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rainer Order" sheetId="2" r:id="rId6"/>
    <sheet state="visible" name="Kanto Leaders" sheetId="3" r:id="rId7"/>
    <sheet state="visible" name="Kanto Rematch" sheetId="4" r:id="rId8"/>
    <sheet state="visible" name="Johto Leaders" sheetId="5" r:id="rId9"/>
    <sheet state="visible" name="Rivals" sheetId="6" r:id="rId10"/>
    <sheet state="visible" name="Team Rocket" sheetId="7" r:id="rId11"/>
    <sheet state="visible" name="Mini Bosses" sheetId="8" r:id="rId12"/>
    <sheet state="visible" name="Optional Bosses" sheetId="9" r:id="rId13"/>
    <sheet state="visible" name="Indigo League" sheetId="10" r:id="rId14"/>
    <sheet state="visible" name="Postgame" sheetId="11" r:id="rId15"/>
    <sheet state="hidden" name="Dex"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Tap, click or hover on certain cells to see notes!
(Black small fold on the upper right corner of a cell, like this one.)</t>
      </text>
    </comment>
    <comment authorId="0" ref="F166">
      <text>
        <t xml:space="preserve">Technically can be fought as soon as you reach Lavender Town.</t>
      </text>
    </comment>
    <comment authorId="0" ref="F214">
      <text>
        <t xml:space="preserve">Technically can be fought as soon as you reach Saffron City.</t>
      </text>
    </comment>
    <comment authorId="0" ref="F325">
      <text>
        <t xml:space="preserve">Can be fought as soon as you obtain the Mega Ring.
</t>
      </text>
    </comment>
    <comment authorId="0" ref="F3">
      <text>
        <t xml:space="preserve">Mostly based the on earliest or only level cap you can fight the trainer at.
Certain bosses can be fought at different level caps, or are simply optional.</t>
      </text>
    </comment>
    <comment authorId="0" ref="F146">
      <text>
        <t xml:space="preserve">HEAVILY recommended, despite being technically possible at 36.
Erika's Pokémon have a fixed level.</t>
      </text>
    </comment>
    <comment authorId="0" ref="F321">
      <text>
        <t xml:space="preserve">Can be fought as soon as you obtain the Mega Ring.
</t>
      </text>
    </comment>
    <comment authorId="0" ref="F317">
      <text>
        <t xml:space="preserve">Can be fought as soon as you obtain the Mega Ring.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3">
      <text>
        <t xml:space="preserve">0 Speed IVs.</t>
      </text>
    </comment>
    <comment authorId="0" ref="AE123">
      <text>
        <t xml:space="preserve">0 Speed IVs.</t>
      </text>
    </comment>
    <comment authorId="0" ref="P123">
      <text>
        <t xml:space="preserve">0 Speed IVs.</t>
      </text>
    </comment>
    <comment authorId="0" ref="AE23">
      <text>
        <t xml:space="preserve">0 Speed IVs.</t>
      </text>
    </comment>
    <comment authorId="0" ref="U123">
      <text>
        <t xml:space="preserve">0 Speed IVs.</t>
      </text>
    </comment>
    <comment authorId="0" ref="F123">
      <text>
        <t xml:space="preserve">0 Speed IVs.</t>
      </text>
    </comment>
    <comment authorId="0" ref="Z123">
      <text>
        <t xml:space="preserve">0 Speed IVs.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43">
      <text>
        <t xml:space="preserve">0 Speed IVs.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264">
      <text>
        <t xml:space="preserve">0 Speed IVs.</t>
      </text>
    </comment>
    <comment authorId="0" ref="Z1335">
      <text>
        <t xml:space="preserve">0 Speed IVs.</t>
      </text>
    </comment>
    <comment authorId="0" ref="AE1335">
      <text>
        <t xml:space="preserve">0 Speed IVs.</t>
      </text>
    </comment>
    <comment authorId="0" ref="F1335">
      <text>
        <t xml:space="preserve">0 Speed IVs.</t>
      </text>
    </comment>
    <comment authorId="0" ref="E693">
      <text>
        <t xml:space="preserve">Never actually uses Safeguard, but this orders the AI to help teammates with Petal Blizzard.</t>
      </text>
    </comment>
    <comment authorId="0" ref="Y614">
      <text>
        <t xml:space="preserve">Supposed to be Modest, but actually is Adamant in-game. It is a bug.</t>
      </text>
    </comment>
    <comment authorId="0" ref="K1335">
      <text>
        <t xml:space="preserve">0 Speed IVs.</t>
      </text>
    </comment>
    <comment authorId="0" ref="J693">
      <text>
        <t xml:space="preserve">Never actually uses Safeguard, but this orders the AI to help teammates with Petal Blizzard.</t>
      </text>
    </comment>
    <comment authorId="0" ref="O694">
      <text>
        <t xml:space="preserve">Never actually uses Safeguard, but this orders the AI to help teammates with Petal Blizzard.</t>
      </text>
    </comment>
    <comment authorId="0" ref="P1335">
      <text>
        <t xml:space="preserve">0 Speed IVs.</t>
      </text>
    </comment>
    <comment authorId="0" ref="O1108">
      <text>
        <t xml:space="preserve">Supposed to be Adamant I believe, but actually is Jolly in-game. It is a bug.</t>
      </text>
    </comment>
    <comment authorId="0" ref="U1335">
      <text>
        <t xml:space="preserve">0 Speed IVs.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Z22">
      <text>
        <t xml:space="preserve">0 Speed IVs.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73">
      <text>
        <t xml:space="preserve">0 Speed IVs.</t>
      </text>
    </comment>
    <comment authorId="0" ref="P173">
      <text>
        <t xml:space="preserve">0 Speed IVs.</t>
      </text>
    </comment>
    <comment authorId="0" ref="U173">
      <text>
        <t xml:space="preserve">0 Speed IVs.</t>
      </text>
    </comment>
    <comment authorId="0" ref="F173">
      <text>
        <t xml:space="preserve">2 Speed IVs.</t>
      </text>
    </comment>
    <comment authorId="0" ref="K1168">
      <text>
        <t xml:space="preserve">0 Speed IVs.</t>
      </text>
    </comment>
    <comment authorId="0" ref="Z173">
      <text>
        <t xml:space="preserve">0 Speed IVs.</t>
      </text>
    </comment>
    <comment authorId="0" ref="K173">
      <text>
        <t xml:space="preserve">0 Speed IVs.</t>
      </text>
    </comment>
  </commentList>
</comments>
</file>

<file path=xl/sharedStrings.xml><?xml version="1.0" encoding="utf-8"?>
<sst xmlns="http://schemas.openxmlformats.org/spreadsheetml/2006/main" count="22028" uniqueCount="4228">
  <si>
    <t>PLEASE CHECK THE OTHER TABS AT THE BOTTOM! THIS IS ONLY THE FIRST TAB.</t>
  </si>
  <si>
    <t>IT IS RECOMMENDED THAT YOU ZOOM OUT TO SEE EVERYTHING BETTER.</t>
  </si>
  <si>
    <t>CLICK/TAP THE LINK INSIDE THAT BOX TO ACCESS THE TRAINER ORDER.</t>
  </si>
  <si>
    <r>
      <rPr>
        <rFont val="Lexend"/>
        <b/>
        <color rgb="FF3E3A3A"/>
        <sz val="16.0"/>
      </rPr>
      <t xml:space="preserve">REPORT MISTAKES IN THE #DOCUMENTATION-REPORTS CHANNEL ON OUR </t>
    </r>
    <r>
      <rPr>
        <rFont val="Lexend"/>
        <b/>
        <color rgb="FF1155CC"/>
        <sz val="16.0"/>
        <u/>
      </rPr>
      <t>DISCORD SERVER</t>
    </r>
    <r>
      <rPr>
        <rFont val="Lexend"/>
        <b/>
        <color rgb="FF3E3A3A"/>
        <sz val="16.0"/>
      </rPr>
      <t>.</t>
    </r>
  </si>
  <si>
    <t>HARDCORE GENERAL RESTRICTIONS AND CHANGES</t>
  </si>
  <si>
    <r>
      <rPr>
        <rFont val="Lexend"/>
        <b/>
        <color rgb="FF000000"/>
        <sz val="11.0"/>
      </rPr>
      <t>Weather / Terrain</t>
    </r>
    <r>
      <rPr>
        <rFont val="Lexend"/>
        <color rgb="FF000000"/>
        <sz val="11.0"/>
      </rPr>
      <t xml:space="preserve"> set by the </t>
    </r>
    <r>
      <rPr>
        <rFont val="Lexend"/>
        <b/>
        <color rgb="FF000000"/>
        <sz val="11.0"/>
      </rPr>
      <t>AI's Pokémon is permanent.</t>
    </r>
  </si>
  <si>
    <r>
      <rPr>
        <rFont val="Lexend"/>
        <color rgb="FF000000"/>
        <sz val="11.0"/>
      </rPr>
      <t xml:space="preserve">Defog, Steel Roller, Ice Spinner and Splintered Stormshards </t>
    </r>
    <r>
      <rPr>
        <rFont val="Lexend"/>
        <b/>
        <color rgb="FF000000"/>
        <sz val="11.0"/>
      </rPr>
      <t>do not remove terrain.</t>
    </r>
  </si>
  <si>
    <r>
      <rPr>
        <rFont val="Lexend"/>
        <b/>
        <color rgb="FF000000"/>
        <sz val="11.0"/>
      </rPr>
      <t>Electric Seed</t>
    </r>
    <r>
      <rPr>
        <rFont val="Lexend"/>
        <color rgb="FF000000"/>
        <sz val="11.0"/>
      </rPr>
      <t xml:space="preserve"> is </t>
    </r>
    <r>
      <rPr>
        <rFont val="Lexend"/>
        <b/>
        <color rgb="FF000000"/>
        <sz val="11.0"/>
      </rPr>
      <t xml:space="preserve">unobtainable </t>
    </r>
    <r>
      <rPr>
        <rFont val="Lexend"/>
        <color rgb="FF000000"/>
        <sz val="11.0"/>
      </rPr>
      <t xml:space="preserve">from wild Pokémon </t>
    </r>
    <r>
      <rPr>
        <rFont val="Lexend"/>
        <b/>
        <color rgb="FF000000"/>
        <sz val="11.0"/>
      </rPr>
      <t>before beating Lt. Surge.</t>
    </r>
  </si>
  <si>
    <r>
      <rPr>
        <rFont val="Lexend"/>
        <b/>
        <color rgb="FF000000"/>
        <sz val="11.0"/>
      </rPr>
      <t>Misty Seed</t>
    </r>
    <r>
      <rPr>
        <rFont val="Lexend"/>
        <color rgb="FF000000"/>
        <sz val="11.0"/>
      </rPr>
      <t xml:space="preserve"> is </t>
    </r>
    <r>
      <rPr>
        <rFont val="Lexend"/>
        <b/>
        <color rgb="FF000000"/>
        <sz val="11.0"/>
      </rPr>
      <t xml:space="preserve">unobtainable </t>
    </r>
    <r>
      <rPr>
        <rFont val="Lexend"/>
        <color rgb="FF000000"/>
        <sz val="11.0"/>
      </rPr>
      <t xml:space="preserve">from wild Pokémon </t>
    </r>
    <r>
      <rPr>
        <rFont val="Lexend"/>
        <b/>
        <color rgb="FF000000"/>
        <sz val="11.0"/>
      </rPr>
      <t>before beating Sabrina.</t>
    </r>
  </si>
  <si>
    <r>
      <rPr>
        <rFont val="Lexend"/>
        <b/>
        <color rgb="FF000000"/>
        <sz val="11.0"/>
      </rPr>
      <t>Psychic Seed</t>
    </r>
    <r>
      <rPr>
        <rFont val="Lexend"/>
        <color rgb="FF000000"/>
        <sz val="11.0"/>
      </rPr>
      <t xml:space="preserve"> is </t>
    </r>
    <r>
      <rPr>
        <rFont val="Lexend"/>
        <b/>
        <color rgb="FF000000"/>
        <sz val="11.0"/>
      </rPr>
      <t>unobtainable</t>
    </r>
    <r>
      <rPr>
        <rFont val="Lexend"/>
        <color rgb="FF000000"/>
        <sz val="11.0"/>
      </rPr>
      <t xml:space="preserve"> from wild Pokémon </t>
    </r>
    <r>
      <rPr>
        <rFont val="Lexend"/>
        <b/>
        <color rgb="FF000000"/>
        <sz val="11.0"/>
      </rPr>
      <t>before beating Koga.</t>
    </r>
  </si>
  <si>
    <r>
      <rPr>
        <rFont val="Lexend"/>
        <color rgb="FF000000"/>
        <sz val="11.0"/>
      </rPr>
      <t xml:space="preserve">Your follower Pokémon </t>
    </r>
    <r>
      <rPr>
        <rFont val="Lexend"/>
        <b/>
        <color rgb="FF000000"/>
        <sz val="11.0"/>
      </rPr>
      <t>cannot pick up</t>
    </r>
    <r>
      <rPr>
        <rFont val="Lexend"/>
        <color rgb="FF000000"/>
        <sz val="11.0"/>
      </rPr>
      <t xml:space="preserve"> an </t>
    </r>
    <r>
      <rPr>
        <rFont val="Lexend"/>
        <b/>
        <color rgb="FF000000"/>
        <sz val="11.0"/>
      </rPr>
      <t xml:space="preserve">Eject Button </t>
    </r>
    <r>
      <rPr>
        <rFont val="Lexend"/>
        <color rgb="FF000000"/>
        <sz val="11.0"/>
      </rPr>
      <t xml:space="preserve">in </t>
    </r>
    <r>
      <rPr>
        <rFont val="Lexend"/>
        <b/>
        <color rgb="FF000000"/>
        <sz val="11.0"/>
      </rPr>
      <t>Power Plant.</t>
    </r>
  </si>
  <si>
    <t>The first four Level Caps are different (see the Level Caps below).</t>
  </si>
  <si>
    <r>
      <rPr>
        <rFont val="Lexend"/>
        <color rgb="FF000000"/>
        <sz val="11.0"/>
      </rPr>
      <t xml:space="preserve">The </t>
    </r>
    <r>
      <rPr>
        <rFont val="Lexend"/>
        <b/>
        <color rgb="FF000000"/>
        <sz val="11.0"/>
      </rPr>
      <t>location</t>
    </r>
    <r>
      <rPr>
        <rFont val="Lexend"/>
        <color rgb="FF000000"/>
        <sz val="11.0"/>
      </rPr>
      <t xml:space="preserve"> of </t>
    </r>
    <r>
      <rPr>
        <rFont val="Lexend"/>
        <b/>
        <color rgb="FF000000"/>
        <sz val="11.0"/>
      </rPr>
      <t>Charizardite Y</t>
    </r>
    <r>
      <rPr>
        <rFont val="Lexend"/>
        <color rgb="FF000000"/>
        <sz val="11.0"/>
      </rPr>
      <t xml:space="preserve"> and </t>
    </r>
    <r>
      <rPr>
        <rFont val="Lexend"/>
        <b/>
        <color rgb="FF000000"/>
        <sz val="11.0"/>
      </rPr>
      <t>Charizardite X</t>
    </r>
    <r>
      <rPr>
        <rFont val="Lexend"/>
        <color rgb="FF000000"/>
        <sz val="11.0"/>
      </rPr>
      <t xml:space="preserve"> are </t>
    </r>
    <r>
      <rPr>
        <rFont val="Lexend"/>
        <b/>
        <color rgb="FF000000"/>
        <sz val="11.0"/>
      </rPr>
      <t>swapped.</t>
    </r>
  </si>
  <si>
    <r>
      <rPr>
        <rFont val="Lexend"/>
        <color rgb="FF000000"/>
        <sz val="11.0"/>
      </rPr>
      <t xml:space="preserve">The </t>
    </r>
    <r>
      <rPr>
        <rFont val="Lexend"/>
        <b/>
        <color rgb="FF000000"/>
        <sz val="11.0"/>
      </rPr>
      <t xml:space="preserve">location </t>
    </r>
    <r>
      <rPr>
        <rFont val="Lexend"/>
        <color rgb="FF000000"/>
        <sz val="11.0"/>
      </rPr>
      <t xml:space="preserve">of </t>
    </r>
    <r>
      <rPr>
        <rFont val="Lexend"/>
        <b/>
        <color rgb="FF000000"/>
        <sz val="11.0"/>
      </rPr>
      <t>Gardevoirite</t>
    </r>
    <r>
      <rPr>
        <rFont val="Lexend"/>
        <color rgb="FF000000"/>
        <sz val="11.0"/>
      </rPr>
      <t xml:space="preserve"> and </t>
    </r>
    <r>
      <rPr>
        <rFont val="Lexend"/>
        <b/>
        <color rgb="FF000000"/>
        <sz val="11.0"/>
      </rPr>
      <t>Cameruptite</t>
    </r>
    <r>
      <rPr>
        <rFont val="Lexend"/>
        <color rgb="FF000000"/>
        <sz val="11.0"/>
      </rPr>
      <t xml:space="preserve"> are </t>
    </r>
    <r>
      <rPr>
        <rFont val="Lexend"/>
        <b/>
        <color rgb="FF000000"/>
        <sz val="11.0"/>
      </rPr>
      <t>swapped.</t>
    </r>
  </si>
  <si>
    <r>
      <rPr>
        <rFont val="Lexend"/>
        <color rgb="FF000000"/>
        <sz val="11.0"/>
      </rPr>
      <t xml:space="preserve">Rapid Spin </t>
    </r>
    <r>
      <rPr>
        <rFont val="Lexend"/>
        <b/>
        <color rgb="FF000000"/>
        <sz val="11.0"/>
      </rPr>
      <t>does not boost speed.</t>
    </r>
  </si>
  <si>
    <r>
      <rPr>
        <rFont val="Lexend"/>
        <color rgb="FF000000"/>
        <sz val="11.0"/>
      </rPr>
      <t xml:space="preserve">Moves that have a chance to </t>
    </r>
    <r>
      <rPr>
        <rFont val="Lexend"/>
        <b/>
        <color rgb="FF000000"/>
        <sz val="11.0"/>
      </rPr>
      <t>Omniboost can't give boosts</t>
    </r>
    <r>
      <rPr>
        <rFont val="Lexend"/>
        <color rgb="FF000000"/>
        <sz val="11.0"/>
      </rPr>
      <t xml:space="preserve"> to the </t>
    </r>
    <r>
      <rPr>
        <rFont val="Lexend"/>
        <b/>
        <color rgb="FF000000"/>
        <sz val="11.0"/>
      </rPr>
      <t>player.</t>
    </r>
  </si>
  <si>
    <r>
      <rPr>
        <rFont val="Lexend"/>
        <b/>
        <color rgb="FF000000"/>
        <sz val="11.0"/>
      </rPr>
      <t xml:space="preserve">Shedinja </t>
    </r>
    <r>
      <rPr>
        <rFont val="Lexend"/>
        <color rgb="FF000000"/>
        <sz val="11.0"/>
      </rPr>
      <t xml:space="preserve">is </t>
    </r>
    <r>
      <rPr>
        <rFont val="Lexend"/>
        <b/>
        <color rgb="FF000000"/>
        <sz val="11.0"/>
      </rPr>
      <t>unobtainable.</t>
    </r>
  </si>
  <si>
    <r>
      <rPr>
        <rFont val="Lexend"/>
        <color rgb="FF000000"/>
        <sz val="11.0"/>
      </rPr>
      <t xml:space="preserve">The player </t>
    </r>
    <r>
      <rPr>
        <rFont val="Lexend"/>
        <b/>
        <color rgb="FF000000"/>
        <sz val="11.0"/>
      </rPr>
      <t>cannot find</t>
    </r>
    <r>
      <rPr>
        <rFont val="Lexend"/>
        <color rgb="FF000000"/>
        <sz val="11.0"/>
      </rPr>
      <t xml:space="preserve"> wild Pokémon with </t>
    </r>
    <r>
      <rPr>
        <rFont val="Lexend"/>
        <b/>
        <color rgb="FF000000"/>
        <sz val="11.0"/>
      </rPr>
      <t>Egg Moves in Raid Dens</t>
    </r>
    <r>
      <rPr>
        <rFont val="Lexend"/>
        <color rgb="FF000000"/>
        <sz val="11.0"/>
      </rPr>
      <t xml:space="preserve"> or by </t>
    </r>
    <r>
      <rPr>
        <rFont val="Lexend"/>
        <b/>
        <color rgb="FF000000"/>
        <sz val="11.0"/>
      </rPr>
      <t>searching with the DexNav.</t>
    </r>
  </si>
  <si>
    <r>
      <rPr>
        <rFont val="Lexend"/>
        <color rgb="FF000000"/>
        <sz val="11.0"/>
      </rPr>
      <t xml:space="preserve">Weakness Policy, Throat Spray, Air Balloon, Light Clay and Weather Rocks are </t>
    </r>
    <r>
      <rPr>
        <rFont val="Lexend"/>
        <b/>
        <color rgb="FF000000"/>
        <sz val="11.0"/>
      </rPr>
      <t>unobtainable.</t>
    </r>
  </si>
  <si>
    <r>
      <rPr>
        <rFont val="Lexend"/>
        <b/>
        <color rgb="FF000000"/>
        <sz val="11.0"/>
      </rPr>
      <t>Booster Energy</t>
    </r>
    <r>
      <rPr>
        <rFont val="Lexend"/>
        <color rgb="FF000000"/>
        <sz val="11.0"/>
      </rPr>
      <t xml:space="preserve"> won't spawn in </t>
    </r>
    <r>
      <rPr>
        <rFont val="Lexend"/>
        <b/>
        <color rgb="FF000000"/>
        <sz val="11.0"/>
      </rPr>
      <t>Cerulean Cave.</t>
    </r>
  </si>
  <si>
    <r>
      <rPr>
        <rFont val="Lexend"/>
        <b/>
        <color rgb="FF000000"/>
        <sz val="11.0"/>
      </rPr>
      <t>Psyshock</t>
    </r>
    <r>
      <rPr>
        <rFont val="Lexend"/>
        <color rgb="FF000000"/>
        <sz val="11.0"/>
      </rPr>
      <t xml:space="preserve"> TM is </t>
    </r>
    <r>
      <rPr>
        <rFont val="Lexend"/>
        <b/>
        <color rgb="FF000000"/>
        <sz val="11.0"/>
      </rPr>
      <t>given by Sabrina</t>
    </r>
    <r>
      <rPr>
        <rFont val="Lexend"/>
        <color rgb="FF000000"/>
        <sz val="11.0"/>
      </rPr>
      <t xml:space="preserve"> and </t>
    </r>
    <r>
      <rPr>
        <rFont val="Lexend"/>
        <b/>
        <color rgb="FF000000"/>
        <sz val="11.0"/>
      </rPr>
      <t xml:space="preserve">not found on Underground Path. </t>
    </r>
  </si>
  <si>
    <t>LEVEL CAPS</t>
  </si>
  <si>
    <t>Pre-Brock (16)</t>
  </si>
  <si>
    <t>Pre-Mt. Moon Archer (23)</t>
  </si>
  <si>
    <t>Pre-Misty (28)</t>
  </si>
  <si>
    <t>Pre-Lt. Surge (36)</t>
  </si>
  <si>
    <t>Pre-Erika (44)</t>
  </si>
  <si>
    <t>Pre-Game Corner Giovanni (47)</t>
  </si>
  <si>
    <t>Pre-Silph Co. Archer &amp; Ariana (56)</t>
  </si>
  <si>
    <t>Pre-Giovanni Silph Co. (57)</t>
  </si>
  <si>
    <t>Pre-Sabrina (59)</t>
  </si>
  <si>
    <t>Pre-Koga (68)</t>
  </si>
  <si>
    <t>Pre-May (73)</t>
  </si>
  <si>
    <t>Pre-Blaine (76)</t>
  </si>
  <si>
    <t>Pre-Cerulean Cave Archer &amp; Ariana (79)</t>
  </si>
  <si>
    <t>Pre-Cerulean Cave Giovanni (80)</t>
  </si>
  <si>
    <t>Pre-Clair (81)</t>
  </si>
  <si>
    <t>Pre-Brendan (82)</t>
  </si>
  <si>
    <t>Pre-Elite 4 (85)</t>
  </si>
  <si>
    <t>Post Game (100)</t>
  </si>
  <si>
    <t>HOW TO GET FOCUS SASH AND CHOICE ITEMS FROM QUESTS</t>
  </si>
  <si>
    <t>Show a Pokémon with 125+ base stat in the respective stat (Chuck asks for a Pokémon with strong attack, show a mon with 125+ base attack like Terrakion).</t>
  </si>
  <si>
    <t>ABOUT THE SHEET</t>
  </si>
  <si>
    <t>All of the trainer info in this sheet should be 100% accurate, because it was either obtained via byte copying and using the Stat Scanner, or thanks to source code data.</t>
  </si>
  <si>
    <t>Even if something looks VERY wrong, that's how it is in-game. Though, feel free to report text typos if you ever find those.</t>
  </si>
  <si>
    <t>All of the opposing Pokémon's moves in this sheet are PP maxed.</t>
  </si>
  <si>
    <r>
      <rPr>
        <rFont val="Lexend, Arial"/>
        <i/>
        <color rgb="FF000000"/>
        <sz val="11.0"/>
      </rPr>
      <t>Generally</t>
    </r>
    <r>
      <rPr>
        <rFont val="Lexend, Arial"/>
        <color rgb="FF000000"/>
        <sz val="11.0"/>
      </rPr>
      <t>, if a Pokémon has Gyro Ball in its moveset or is part of a Trick Room team, you can safely assume it has zero speed IVs.</t>
    </r>
  </si>
  <si>
    <t>Rival's chosen starter determines what team he gets. If he has the Squirtle team, that means the player chose a Fire-type starter Pokémon.</t>
  </si>
  <si>
    <t>Since Hardcore Mode auto-enables Minimal Grinding Mode, opponents don't have EVs. Except for one specific case which is the Ghost Marowak, having 252 HP EVs.</t>
  </si>
  <si>
    <t>All speed stats are determined based on the point when you're expected to battle with the trainer at that specific juncture in the game.</t>
  </si>
  <si>
    <t>ABILITY CHANGES</t>
  </si>
  <si>
    <t>SPECIFIC ABILITY CHANGES</t>
  </si>
  <si>
    <t>BANNED</t>
  </si>
  <si>
    <t>-&gt;</t>
  </si>
  <si>
    <t>CHANGE</t>
  </si>
  <si>
    <t>Drought</t>
  </si>
  <si>
    <t>Sheer Force</t>
  </si>
  <si>
    <t>Orichalcum Pulse</t>
  </si>
  <si>
    <t>Protosynthesis</t>
  </si>
  <si>
    <t>Tyranitar</t>
  </si>
  <si>
    <t>Intimidate</t>
  </si>
  <si>
    <t>Desolate Land</t>
  </si>
  <si>
    <t>Hadron Engine</t>
  </si>
  <si>
    <t>Quark Drive</t>
  </si>
  <si>
    <t>(Sand Stream)</t>
  </si>
  <si>
    <t>Grassy Surge</t>
  </si>
  <si>
    <t>Self Sufficient</t>
  </si>
  <si>
    <t>Speed Boost</t>
  </si>
  <si>
    <t>Infiltrator</t>
  </si>
  <si>
    <t>Mega Tyranitar</t>
  </si>
  <si>
    <t>Seed Sower</t>
  </si>
  <si>
    <t>Imposter</t>
  </si>
  <si>
    <t>Limber</t>
  </si>
  <si>
    <t>Sand Stream</t>
  </si>
  <si>
    <t>Sand Force</t>
  </si>
  <si>
    <t>Magic Bounce</t>
  </si>
  <si>
    <t>Magic Guard</t>
  </si>
  <si>
    <t>Mega Blaziken</t>
  </si>
  <si>
    <t>Striker</t>
  </si>
  <si>
    <t>Sand Spit</t>
  </si>
  <si>
    <t>Blazing Soul</t>
  </si>
  <si>
    <t>Flash Fire</t>
  </si>
  <si>
    <t>(Speed Boost)</t>
  </si>
  <si>
    <t>Drizzle</t>
  </si>
  <si>
    <t>Adaptability</t>
  </si>
  <si>
    <t>Triage</t>
  </si>
  <si>
    <t>Natural Cure</t>
  </si>
  <si>
    <t>Spinda Keeps Contrary</t>
  </si>
  <si>
    <t>Primordial Sea</t>
  </si>
  <si>
    <t>Trace</t>
  </si>
  <si>
    <t>Synchronize</t>
  </si>
  <si>
    <t>Defiant</t>
  </si>
  <si>
    <t>Clear Body</t>
  </si>
  <si>
    <t>Stamina</t>
  </si>
  <si>
    <t>Inner Focus</t>
  </si>
  <si>
    <t>Gigalith</t>
  </si>
  <si>
    <t>Solid Rock</t>
  </si>
  <si>
    <t>Competitive</t>
  </si>
  <si>
    <t>Contrary</t>
  </si>
  <si>
    <t>Bad Company</t>
  </si>
  <si>
    <t>Misty Surge</t>
  </si>
  <si>
    <t>Telepathy</t>
  </si>
  <si>
    <t>Psychic Surge</t>
  </si>
  <si>
    <t>Dazzling</t>
  </si>
  <si>
    <t>Comfey Keeps Triage</t>
  </si>
  <si>
    <t>Electric Surge</t>
  </si>
  <si>
    <t>Snow Warning</t>
  </si>
  <si>
    <t>Slush Rush</t>
  </si>
  <si>
    <t>Moxie</t>
  </si>
  <si>
    <t>Unnerve</t>
  </si>
  <si>
    <t>Toxic Debris</t>
  </si>
  <si>
    <t>Corrosion</t>
  </si>
  <si>
    <t>Rillaboom</t>
  </si>
  <si>
    <t>Chilling Neigh</t>
  </si>
  <si>
    <t>Anger Shell</t>
  </si>
  <si>
    <t>Regenerator</t>
  </si>
  <si>
    <t>(Grassy Terrain)</t>
  </si>
  <si>
    <t>Grim Neigh</t>
  </si>
  <si>
    <t>Espathra Keeps Speed Boost</t>
  </si>
  <si>
    <t>Soul-Heart</t>
  </si>
  <si>
    <t>Beast Boost</t>
  </si>
  <si>
    <t>BANNED MOVES</t>
  </si>
  <si>
    <t xml:space="preserve">TOXIC &amp; LEECH SEED ALLOWED POKEMON  </t>
  </si>
  <si>
    <t>PHYSICAL</t>
  </si>
  <si>
    <t>SPECIAL</t>
  </si>
  <si>
    <t>SET UP</t>
  </si>
  <si>
    <t>OTHER</t>
  </si>
  <si>
    <t>These Pokemon are "subpar" compared to others, and as such they are allowed to learn Toxic and Leech Seed, 
if they could already learn these moves outside of Restricted/Hardcore Mode:</t>
  </si>
  <si>
    <t>Aqua Step</t>
  </si>
  <si>
    <t>Charge Beam</t>
  </si>
  <si>
    <t>Acid Armor</t>
  </si>
  <si>
    <t>Charm</t>
  </si>
  <si>
    <t>Fell Stinger</t>
  </si>
  <si>
    <t>Electro Shot</t>
  </si>
  <si>
    <t>Agility</t>
  </si>
  <si>
    <t>Court Change</t>
  </si>
  <si>
    <t>Butterfree</t>
  </si>
  <si>
    <t>Sudowoodo</t>
  </si>
  <si>
    <t>Bastiodon</t>
  </si>
  <si>
    <t>Maractus</t>
  </si>
  <si>
    <t>Shiinotic</t>
  </si>
  <si>
    <t>Flame Charge</t>
  </si>
  <si>
    <t>Esper Wing</t>
  </si>
  <si>
    <t>Amnesia</t>
  </si>
  <si>
    <t>Decorate</t>
  </si>
  <si>
    <t>Power-Up Punch</t>
  </si>
  <si>
    <t>Fiery Dance</t>
  </si>
  <si>
    <t>Autotomize</t>
  </si>
  <si>
    <t>Destiny Bond</t>
  </si>
  <si>
    <t>Raticate</t>
  </si>
  <si>
    <t>Magcargo</t>
  </si>
  <si>
    <t>Wormadam</t>
  </si>
  <si>
    <t>Garbodor</t>
  </si>
  <si>
    <t>Minior-Core</t>
  </si>
  <si>
    <t>Scale Shot</t>
  </si>
  <si>
    <t>Meteor Beam</t>
  </si>
  <si>
    <t>Barrier</t>
  </si>
  <si>
    <t>Leech Seed
(Not Fully)</t>
  </si>
  <si>
    <t>Skull Bash</t>
  </si>
  <si>
    <t>Spit Up</t>
  </si>
  <si>
    <t>Belly Drum</t>
  </si>
  <si>
    <t>Raticate-A</t>
  </si>
  <si>
    <t>Shuckle</t>
  </si>
  <si>
    <t>Mothim</t>
  </si>
  <si>
    <t>Swanna</t>
  </si>
  <si>
    <t>Komala</t>
  </si>
  <si>
    <t>Trailblaze</t>
  </si>
  <si>
    <t>Torch Song</t>
  </si>
  <si>
    <t>Bulk Up</t>
  </si>
  <si>
    <t>Magic Coat</t>
  </si>
  <si>
    <t>Calm Mind</t>
  </si>
  <si>
    <t>Perish Song</t>
  </si>
  <si>
    <t>Wigglytuff</t>
  </si>
  <si>
    <t>Corsola</t>
  </si>
  <si>
    <t>Pachirisu</t>
  </si>
  <si>
    <t>Vanilluxe</t>
  </si>
  <si>
    <t>Greedent</t>
  </si>
  <si>
    <t>TERRAIN</t>
  </si>
  <si>
    <t>HAZARDS</t>
  </si>
  <si>
    <t>Clangorous Soul</t>
  </si>
  <si>
    <t>Powder</t>
  </si>
  <si>
    <t>Chilly Reception</t>
  </si>
  <si>
    <t>Spikes</t>
  </si>
  <si>
    <t>Coaching</t>
  </si>
  <si>
    <t>Protect</t>
  </si>
  <si>
    <t>Parasect</t>
  </si>
  <si>
    <t>Mightyena</t>
  </si>
  <si>
    <t>Cherrim</t>
  </si>
  <si>
    <t>Emolga</t>
  </si>
  <si>
    <t>Thievul</t>
  </si>
  <si>
    <t>Electric Terrain</t>
  </si>
  <si>
    <t>Stealth Rock</t>
  </si>
  <si>
    <t>Coil</t>
  </si>
  <si>
    <t>Psych Up</t>
  </si>
  <si>
    <t>Grassy Terrain</t>
  </si>
  <si>
    <t>Sticky Web</t>
  </si>
  <si>
    <t>Cosmic Power</t>
  </si>
  <si>
    <t>Shed Tail</t>
  </si>
  <si>
    <t>Venomoth</t>
  </si>
  <si>
    <t>Linoone</t>
  </si>
  <si>
    <t>Purugly</t>
  </si>
  <si>
    <t>Beheeyem</t>
  </si>
  <si>
    <t>Eldegoss</t>
  </si>
  <si>
    <t>Misty Terrain</t>
  </si>
  <si>
    <t>Toxic Spikes</t>
  </si>
  <si>
    <t>Cotton Guard</t>
  </si>
  <si>
    <t>Snatch</t>
  </si>
  <si>
    <t>Psychic Terrain</t>
  </si>
  <si>
    <t>Curse</t>
  </si>
  <si>
    <t>Strength Sap</t>
  </si>
  <si>
    <t>Dugtrio</t>
  </si>
  <si>
    <t>Beautifly</t>
  </si>
  <si>
    <t>Skuntank</t>
  </si>
  <si>
    <t>Cryogonal</t>
  </si>
  <si>
    <t>Dubwool</t>
  </si>
  <si>
    <t>Rain Dance</t>
  </si>
  <si>
    <t>Defense Curl</t>
  </si>
  <si>
    <t>Substitute</t>
  </si>
  <si>
    <t>Sandstorm</t>
  </si>
  <si>
    <t>Dragon Dance</t>
  </si>
  <si>
    <t>Taunt</t>
  </si>
  <si>
    <t>Dugtrio-A</t>
  </si>
  <si>
    <t>Dustox</t>
  </si>
  <si>
    <t>Chatot</t>
  </si>
  <si>
    <t>Stunfisk</t>
  </si>
  <si>
    <t>Coalossal</t>
  </si>
  <si>
    <t>Snowscape</t>
  </si>
  <si>
    <t>Fillet Away</t>
  </si>
  <si>
    <t>Toxic
(Not Fully)</t>
  </si>
  <si>
    <t>Sunny Day</t>
  </si>
  <si>
    <t>Geomancy</t>
  </si>
  <si>
    <t>Persian</t>
  </si>
  <si>
    <t>Grumpig</t>
  </si>
  <si>
    <t>Carnivine</t>
  </si>
  <si>
    <t>Stunfisk-G</t>
  </si>
  <si>
    <t>Stonjourner</t>
  </si>
  <si>
    <t>Trick Room</t>
  </si>
  <si>
    <t>Growth</t>
  </si>
  <si>
    <t>Wide Guard</t>
  </si>
  <si>
    <t>Harden</t>
  </si>
  <si>
    <t>Persian-A</t>
  </si>
  <si>
    <t>Spinda</t>
  </si>
  <si>
    <t>Lumineon</t>
  </si>
  <si>
    <t>Druddigon</t>
  </si>
  <si>
    <t>Pincurchin</t>
  </si>
  <si>
    <t>Hone Claws</t>
  </si>
  <si>
    <t>Howl</t>
  </si>
  <si>
    <t>Vileplume</t>
  </si>
  <si>
    <t>Castform</t>
  </si>
  <si>
    <t>Abomasnow</t>
  </si>
  <si>
    <t>Vivillon</t>
  </si>
  <si>
    <t>Eiscue</t>
  </si>
  <si>
    <t>Iron Defense</t>
  </si>
  <si>
    <t>Meditate</t>
  </si>
  <si>
    <t>Bellossom</t>
  </si>
  <si>
    <t>Kecleon</t>
  </si>
  <si>
    <t>Phione</t>
  </si>
  <si>
    <t>Furfrou</t>
  </si>
  <si>
    <t>Indeedee-M</t>
  </si>
  <si>
    <t>Nasty Plot</t>
  </si>
  <si>
    <t>No Retreat</t>
  </si>
  <si>
    <t>Victreebel</t>
  </si>
  <si>
    <t>Luvdisc</t>
  </si>
  <si>
    <t>Serperior</t>
  </si>
  <si>
    <t>Slurpuff</t>
  </si>
  <si>
    <t>Indeedee-F</t>
  </si>
  <si>
    <t>Quiver Dance</t>
  </si>
  <si>
    <t>Rock Polish</t>
  </si>
  <si>
    <t>Farfetch'd</t>
  </si>
  <si>
    <t>Masquerain</t>
  </si>
  <si>
    <t>Musharna</t>
  </si>
  <si>
    <t>Malamar</t>
  </si>
  <si>
    <t>Oinkologne</t>
  </si>
  <si>
    <t>Shell Smash</t>
  </si>
  <si>
    <t>Shift Gear</t>
  </si>
  <si>
    <t>Muk</t>
  </si>
  <si>
    <t>Wailord</t>
  </si>
  <si>
    <t>Watchog</t>
  </si>
  <si>
    <t>Dedenne</t>
  </si>
  <si>
    <t>Spidops</t>
  </si>
  <si>
    <t>Stockpile</t>
  </si>
  <si>
    <t>Swallow</t>
  </si>
  <si>
    <t>Ninetales</t>
  </si>
  <si>
    <t>Probopass</t>
  </si>
  <si>
    <t>Liepard</t>
  </si>
  <si>
    <t>Carbink</t>
  </si>
  <si>
    <t>Rabsca</t>
  </si>
  <si>
    <t>Swords Dance</t>
  </si>
  <si>
    <t>Tail Glow</t>
  </si>
  <si>
    <t>Hypno</t>
  </si>
  <si>
    <t>Delcatty</t>
  </si>
  <si>
    <t>Unfezant</t>
  </si>
  <si>
    <t>Gumshoos</t>
  </si>
  <si>
    <t>Tailwind</t>
  </si>
  <si>
    <t>Tidy Up</t>
  </si>
  <si>
    <t>Mr. Mime</t>
  </si>
  <si>
    <t>Swalot</t>
  </si>
  <si>
    <t>Oricorio</t>
  </si>
  <si>
    <t>Victory Dance</t>
  </si>
  <si>
    <t>Withdraw</t>
  </si>
  <si>
    <t>Meganium</t>
  </si>
  <si>
    <t>Bibarel</t>
  </si>
  <si>
    <t>Swoobat</t>
  </si>
  <si>
    <t>Ribombee</t>
  </si>
  <si>
    <t>Work Up</t>
  </si>
  <si>
    <t>Ariados</t>
  </si>
  <si>
    <t>Kricketune</t>
  </si>
  <si>
    <t>Lilligant</t>
  </si>
  <si>
    <t>Lurantis</t>
  </si>
  <si>
    <t>(!) CLICK ON TRAINER'S NAME TO INSTANTLY GO TO PAGE!</t>
  </si>
  <si>
    <t>(OPTIONAL)</t>
  </si>
  <si>
    <t>RIVAL</t>
  </si>
  <si>
    <t>ROUTE 22</t>
  </si>
  <si>
    <t>BRENDAN</t>
  </si>
  <si>
    <t>VIRIDIAN FOREST</t>
  </si>
  <si>
    <t>LASS ANNE</t>
  </si>
  <si>
    <t>ACE NELLE</t>
  </si>
  <si>
    <t>16+</t>
  </si>
  <si>
    <t>CATCHER SAMMY</t>
  </si>
  <si>
    <t>FALKNER</t>
  </si>
  <si>
    <t>PEWTER CITY</t>
  </si>
  <si>
    <t>BROCK</t>
  </si>
  <si>
    <t>LASS SALLY</t>
  </si>
  <si>
    <t>ROUTE 3</t>
  </si>
  <si>
    <t>SUPER NERD MIGUEL</t>
  </si>
  <si>
    <t>MT. MOON</t>
  </si>
  <si>
    <t>ARCHER</t>
  </si>
  <si>
    <t>28/36</t>
  </si>
  <si>
    <t>CERULEAN CITY</t>
  </si>
  <si>
    <t>CATCHER CALE</t>
  </si>
  <si>
    <t>NUGGET BRIDGE</t>
  </si>
  <si>
    <t>LASS ALI</t>
  </si>
  <si>
    <t>YOUNGSTER TIMMY</t>
  </si>
  <si>
    <t>LASS RELLI</t>
  </si>
  <si>
    <t>CAMPER ETHAN</t>
  </si>
  <si>
    <t>GRUNT</t>
  </si>
  <si>
    <t>BUGSY</t>
  </si>
  <si>
    <t>28+</t>
  </si>
  <si>
    <r>
      <rPr>
        <rFont val="IBM Plex Sans Condensed"/>
        <b/>
        <i/>
        <color rgb="FFFFFFFF"/>
        <sz val="12.0"/>
      </rPr>
      <t>ROUTE</t>
    </r>
    <r>
      <rPr>
        <rFont val="IBM Plex Sans Condensed"/>
        <b/>
        <i/>
        <color rgb="FFFFFFFF"/>
        <sz val="12.0"/>
      </rPr>
      <t xml:space="preserve"> 25</t>
    </r>
  </si>
  <si>
    <t>MISTY</t>
  </si>
  <si>
    <t>DIG HOUSE</t>
  </si>
  <si>
    <t>CAMPER JEFF</t>
  </si>
  <si>
    <t>ROUTE 6</t>
  </si>
  <si>
    <t>ANN &amp; BROOKS</t>
  </si>
  <si>
    <t>S.S. ANNE</t>
  </si>
  <si>
    <t>EDMOND &amp; TREVOR</t>
  </si>
  <si>
    <t>WHITNEY</t>
  </si>
  <si>
    <t>ROUTE 11</t>
  </si>
  <si>
    <t>GENTLEMAN TUCKER</t>
  </si>
  <si>
    <t>VERMILLION CITY GYM</t>
  </si>
  <si>
    <t>LT. SURGE</t>
  </si>
  <si>
    <t>VERMILLION CITY</t>
  </si>
  <si>
    <t>PICNICKER ALICIA</t>
  </si>
  <si>
    <t>36/44</t>
  </si>
  <si>
    <t>ROUTE 9</t>
  </si>
  <si>
    <t>PICNICKER CAITLIN</t>
  </si>
  <si>
    <t>PICNICKER DANA</t>
  </si>
  <si>
    <t>ROCK TUNNEL</t>
  </si>
  <si>
    <t>MANIAC HERMAN</t>
  </si>
  <si>
    <t>ROUTE 10</t>
  </si>
  <si>
    <t>MORTY</t>
  </si>
  <si>
    <t>36+</t>
  </si>
  <si>
    <t>LAVENDER TOWN</t>
  </si>
  <si>
    <t>SUPER NERD AIDAN</t>
  </si>
  <si>
    <t>ROUTE 8</t>
  </si>
  <si>
    <t>ACE MARY</t>
  </si>
  <si>
    <t>CELADON CITY GYM</t>
  </si>
  <si>
    <t>ERIKA</t>
  </si>
  <si>
    <t>CELADON CITY</t>
  </si>
  <si>
    <t>GUARD</t>
  </si>
  <si>
    <t>GAME CORNER</t>
  </si>
  <si>
    <t>LEFT GUARD</t>
  </si>
  <si>
    <t>ROCKET HIDEOUT</t>
  </si>
  <si>
    <t>RIGHT GUARD</t>
  </si>
  <si>
    <t>GIOVANNI</t>
  </si>
  <si>
    <t>CHANNELER RUTH</t>
  </si>
  <si>
    <t>POKEMON TOWER</t>
  </si>
  <si>
    <t>GHOST</t>
  </si>
  <si>
    <t>GRUNT 1</t>
  </si>
  <si>
    <t>GRUNT 2</t>
  </si>
  <si>
    <t>GRUNT 3</t>
  </si>
  <si>
    <t>SILPH CO.</t>
  </si>
  <si>
    <t>ARIANA &amp; ARCHER</t>
  </si>
  <si>
    <t>ACE COLE</t>
  </si>
  <si>
    <t>59+</t>
  </si>
  <si>
    <t>BEAUTY SAM</t>
  </si>
  <si>
    <t>CELADON CITY HOTEL</t>
  </si>
  <si>
    <t>BEAUTY SHELLY</t>
  </si>
  <si>
    <t>CHUCK</t>
  </si>
  <si>
    <t>SAFFRON CITY</t>
  </si>
  <si>
    <t>SABRINA</t>
  </si>
  <si>
    <t>DUMASS KID</t>
  </si>
  <si>
    <t>ROCKER LUCA</t>
  </si>
  <si>
    <t>ROUTE 12</t>
  </si>
  <si>
    <t>CAMPER JUSTIN</t>
  </si>
  <si>
    <t>FISHERMAN ANDREW</t>
  </si>
  <si>
    <t>BIRD KE. SEBASTIAN</t>
  </si>
  <si>
    <t>ROUTE 13</t>
  </si>
  <si>
    <t>PICNICKER SUSIE</t>
  </si>
  <si>
    <t>PICNICKER ALMA</t>
  </si>
  <si>
    <t>LOLA &amp; SHEILA</t>
  </si>
  <si>
    <t>BIRD KEEPER PERRY</t>
  </si>
  <si>
    <t>BIKER JARED</t>
  </si>
  <si>
    <t>BIRD KEEPER ROBERT</t>
  </si>
  <si>
    <t>ACE HALEY</t>
  </si>
  <si>
    <t>ROUTE 15</t>
  </si>
  <si>
    <t>BIKER LAO</t>
  </si>
  <si>
    <t>ROUTE 16</t>
  </si>
  <si>
    <t>CUE BALL KOJI</t>
  </si>
  <si>
    <t>CUE BALL LUKE</t>
  </si>
  <si>
    <t>BIKER RUBEN</t>
  </si>
  <si>
    <t>CUE BALL CAMRON</t>
  </si>
  <si>
    <t>BIKER HIDEO</t>
  </si>
  <si>
    <t>BIKER WILLIAM</t>
  </si>
  <si>
    <t>ROUTE 18</t>
  </si>
  <si>
    <t>BIRD KEEPER JACOB</t>
  </si>
  <si>
    <t>TAMER RAMIRO</t>
  </si>
  <si>
    <t>ACE WILTON</t>
  </si>
  <si>
    <t>SAFARI ZONE</t>
  </si>
  <si>
    <t>BROCK (REMATCH)</t>
  </si>
  <si>
    <t>59/68</t>
  </si>
  <si>
    <t>MISTY (REMATCH)</t>
  </si>
  <si>
    <t>LT. SURGE (REMATCH)</t>
  </si>
  <si>
    <t>ERIKA (REMATCH)</t>
  </si>
  <si>
    <t>JUGGLER KAYDEN</t>
  </si>
  <si>
    <t>FUCHSIA CITY GYM</t>
  </si>
  <si>
    <t>KOGA</t>
  </si>
  <si>
    <t>FUCHSIA CITY</t>
  </si>
  <si>
    <t>DUMASS JOJO FAN</t>
  </si>
  <si>
    <t>73+</t>
  </si>
  <si>
    <t>POWER PLANT</t>
  </si>
  <si>
    <t>PRYCE</t>
  </si>
  <si>
    <t>SEAFOAM ISLANDS</t>
  </si>
  <si>
    <t>MAY</t>
  </si>
  <si>
    <t>CINNABAR ISLAND</t>
  </si>
  <si>
    <t>JASMINE</t>
  </si>
  <si>
    <t>CINNABAR ISLAND LAB</t>
  </si>
  <si>
    <t>SCIENTIST TED</t>
  </si>
  <si>
    <t>POKEMON MANSION</t>
  </si>
  <si>
    <t>BURGLAR LEWIS</t>
  </si>
  <si>
    <t>ACE DEREK</t>
  </si>
  <si>
    <t>CINNABAR ISLAND GYM</t>
  </si>
  <si>
    <t>ACE LUCY</t>
  </si>
  <si>
    <t>ACE ZAC</t>
  </si>
  <si>
    <t>BLAINE</t>
  </si>
  <si>
    <t>CERULEAN CAVE</t>
  </si>
  <si>
    <t>ARIANA</t>
  </si>
  <si>
    <t>BLACK BELT KETCHUP</t>
  </si>
  <si>
    <t>81+</t>
  </si>
  <si>
    <t>CLAIR</t>
  </si>
  <si>
    <t>VIRIDIAN CITY</t>
  </si>
  <si>
    <t>BURGLAR MAX</t>
  </si>
  <si>
    <t>82+</t>
  </si>
  <si>
    <t>POKEMON MANSION 4F</t>
  </si>
  <si>
    <t>BURGLAR ANSON</t>
  </si>
  <si>
    <t>ROUTE 23</t>
  </si>
  <si>
    <t>ACE NAOMI</t>
  </si>
  <si>
    <t>VICTORY ROAD</t>
  </si>
  <si>
    <t>ACE ROLANDO</t>
  </si>
  <si>
    <t>ACE GEORGE</t>
  </si>
  <si>
    <t>ACE CAROLINE</t>
  </si>
  <si>
    <t>ACE COLBY</t>
  </si>
  <si>
    <t>ACE ALEXA</t>
  </si>
  <si>
    <t>RAY &amp; TYRA</t>
  </si>
  <si>
    <t>DUMASS CREATOR</t>
  </si>
  <si>
    <t>INDIGO PLATEAU</t>
  </si>
  <si>
    <t>LORELEI</t>
  </si>
  <si>
    <t>ELITE FOUR</t>
  </si>
  <si>
    <t>BRUNO</t>
  </si>
  <si>
    <t>AGATHA</t>
  </si>
  <si>
    <t>LANCE</t>
  </si>
  <si>
    <t>CHAMPION</t>
  </si>
  <si>
    <r>
      <rPr>
        <rFont val="IBM Plex Sans Condensed"/>
        <b/>
        <color rgb="FF000000"/>
        <sz val="13.0"/>
        <u/>
      </rPr>
      <t>BATTLE EFFECT:</t>
    </r>
    <r>
      <rPr>
        <rFont val="IBM Plex Sans Condensed"/>
        <b/>
        <color rgb="FFEA4335"/>
        <sz val="13.0"/>
        <u/>
      </rPr>
      <t xml:space="preserve"> PERMANENT SANDSTORM</t>
    </r>
  </si>
  <si>
    <r>
      <rPr>
        <rFont val="IBM Plex Sans Condensed"/>
        <b val="0"/>
        <color rgb="FF000000"/>
        <sz val="13.0"/>
      </rPr>
      <t>GYM LEADER</t>
    </r>
    <r>
      <rPr>
        <rFont val="IBM Plex Sans Condensed"/>
        <b/>
        <color rgb="FF000000"/>
        <sz val="13.0"/>
      </rPr>
      <t xml:space="preserve">
BROCK</t>
    </r>
  </si>
  <si>
    <t>Hippopotas</t>
  </si>
  <si>
    <t>Cacnea</t>
  </si>
  <si>
    <t>Lunatone</t>
  </si>
  <si>
    <t>Lileep</t>
  </si>
  <si>
    <t>Archen</t>
  </si>
  <si>
    <t>Varoom</t>
  </si>
  <si>
    <t>Careful</t>
  </si>
  <si>
    <t>Bashful</t>
  </si>
  <si>
    <t>Bold</t>
  </si>
  <si>
    <t>Sand Rush</t>
  </si>
  <si>
    <t>Levitate</t>
  </si>
  <si>
    <t>Storm Drain</t>
  </si>
  <si>
    <t>Defeatist</t>
  </si>
  <si>
    <t>Filter</t>
  </si>
  <si>
    <t>Berry Juice</t>
  </si>
  <si>
    <t>Eviolite</t>
  </si>
  <si>
    <t>Lum Berry</t>
  </si>
  <si>
    <t>Oran Berry</t>
  </si>
  <si>
    <t>Iapapa Berry</t>
  </si>
  <si>
    <t>Air Balloon</t>
  </si>
  <si>
    <t>Bulldoze</t>
  </si>
  <si>
    <t>Pow-Up Punch</t>
  </si>
  <si>
    <t>Ancient Power</t>
  </si>
  <si>
    <t>Wing Attack</t>
  </si>
  <si>
    <t>Rock Tomb</t>
  </si>
  <si>
    <t>Bullet Seed</t>
  </si>
  <si>
    <t>Psybeam</t>
  </si>
  <si>
    <t>Recover</t>
  </si>
  <si>
    <t>Gyro Ball</t>
  </si>
  <si>
    <t>Toxic</t>
  </si>
  <si>
    <t>Thunder Punch</t>
  </si>
  <si>
    <t>HP Ground</t>
  </si>
  <si>
    <t>HP Rock</t>
  </si>
  <si>
    <t>Slack Off</t>
  </si>
  <si>
    <t>Pin Missile</t>
  </si>
  <si>
    <t>Icy Wind</t>
  </si>
  <si>
    <t>Mega Drain</t>
  </si>
  <si>
    <t>Facade</t>
  </si>
  <si>
    <t>BASE STATS</t>
  </si>
  <si>
    <t>HP</t>
  </si>
  <si>
    <t>ATK</t>
  </si>
  <si>
    <t>DEF</t>
  </si>
  <si>
    <t>SPA</t>
  </si>
  <si>
    <t>SPD</t>
  </si>
  <si>
    <t>SPE</t>
  </si>
  <si>
    <t>SPEED STAT:</t>
  </si>
  <si>
    <t>SAND RUSH:</t>
  </si>
  <si>
    <r>
      <rPr>
        <rFont val="IBM Plex Sans Condensed"/>
        <b/>
        <color rgb="FF000000"/>
        <sz val="13.0"/>
        <u/>
      </rPr>
      <t>BATTLE EFFECT:</t>
    </r>
    <r>
      <rPr>
        <rFont val="IBM Plex Sans Condensed"/>
        <b/>
        <color rgb="FFEA4335"/>
        <sz val="13.0"/>
        <u/>
      </rPr>
      <t xml:space="preserve"> PERMANENT RAIN</t>
    </r>
  </si>
  <si>
    <r>
      <rPr>
        <rFont val="IBM Plex Sans Condensed"/>
        <b val="0"/>
        <color theme="1"/>
        <sz val="13.0"/>
      </rPr>
      <t>GYM LEADER</t>
    </r>
    <r>
      <rPr>
        <rFont val="IBM Plex Sans Condensed"/>
        <b/>
        <color theme="1"/>
        <sz val="13.0"/>
      </rPr>
      <t xml:space="preserve">
MISTY</t>
    </r>
  </si>
  <si>
    <t>Politoed</t>
  </si>
  <si>
    <t>Ludicolo</t>
  </si>
  <si>
    <t>Mantine</t>
  </si>
  <si>
    <t>Clodsire</t>
  </si>
  <si>
    <t>Starmie</t>
  </si>
  <si>
    <t>Toxicroak</t>
  </si>
  <si>
    <t>Sassy</t>
  </si>
  <si>
    <t>Mild</t>
  </si>
  <si>
    <t>Modest</t>
  </si>
  <si>
    <t>Jolly</t>
  </si>
  <si>
    <t>Swift Swim</t>
  </si>
  <si>
    <t>Water Absorb</t>
  </si>
  <si>
    <t>Analytic</t>
  </si>
  <si>
    <t>Dry Skin</t>
  </si>
  <si>
    <t>Sitrus Berry</t>
  </si>
  <si>
    <t>Wacan Berry</t>
  </si>
  <si>
    <t>Black Sludge</t>
  </si>
  <si>
    <t>Mystic Water</t>
  </si>
  <si>
    <t>Life Orb</t>
  </si>
  <si>
    <t>Flip Turn</t>
  </si>
  <si>
    <t>Giga Drain</t>
  </si>
  <si>
    <t>Scald</t>
  </si>
  <si>
    <t>Poison Jab</t>
  </si>
  <si>
    <t>Hurricane</t>
  </si>
  <si>
    <t>Thunderbolt</t>
  </si>
  <si>
    <t>Drain Punch</t>
  </si>
  <si>
    <t>Earthquake</t>
  </si>
  <si>
    <t>Aurora Beam</t>
  </si>
  <si>
    <t>Roost</t>
  </si>
  <si>
    <t>Psyshock</t>
  </si>
  <si>
    <t>HP Grass</t>
  </si>
  <si>
    <t>Sucker Punch</t>
  </si>
  <si>
    <t>SWIFT SWIM:</t>
  </si>
  <si>
    <r>
      <rPr>
        <rFont val="IBM Plex Sans Condensed"/>
        <b/>
        <color rgb="FF000000"/>
        <sz val="13.0"/>
        <u/>
      </rPr>
      <t>BATTLE EFFECT:</t>
    </r>
    <r>
      <rPr>
        <rFont val="IBM Plex Sans Condensed"/>
        <b/>
        <color rgb="FFEA4335"/>
        <sz val="13.0"/>
        <u/>
      </rPr>
      <t xml:space="preserve"> PERMANENT ELECTRIC TERRAIN</t>
    </r>
  </si>
  <si>
    <r>
      <rPr>
        <rFont val="IBM Plex Sans Condensed"/>
        <color theme="1"/>
        <sz val="13.0"/>
      </rPr>
      <t xml:space="preserve">GYM LEADER
</t>
    </r>
    <r>
      <rPr>
        <rFont val="IBM Plex Sans Condensed"/>
        <b/>
        <color theme="1"/>
        <sz val="13.0"/>
      </rPr>
      <t>LT. SURGE</t>
    </r>
  </si>
  <si>
    <t>Rotom-F</t>
  </si>
  <si>
    <t>Electrode-H</t>
  </si>
  <si>
    <t>Raichu-A</t>
  </si>
  <si>
    <t>Hitmonlee</t>
  </si>
  <si>
    <t>Pawmot</t>
  </si>
  <si>
    <t>Ampharos-Mega</t>
  </si>
  <si>
    <t>Timid</t>
  </si>
  <si>
    <t>Naive</t>
  </si>
  <si>
    <t>Adamant</t>
  </si>
  <si>
    <t>Reckless</t>
  </si>
  <si>
    <t>Surge Surfer</t>
  </si>
  <si>
    <t>Unburden</t>
  </si>
  <si>
    <t>Iron Fist</t>
  </si>
  <si>
    <r>
      <rPr>
        <rFont val="IBM Plex Sans Condensed"/>
        <color rgb="FF000000"/>
        <sz val="11.0"/>
      </rPr>
      <t xml:space="preserve">Plus
</t>
    </r>
    <r>
      <rPr>
        <rFont val="IBM Plex Sans Condensed"/>
        <b/>
        <color rgb="FF000000"/>
        <sz val="10.0"/>
      </rPr>
      <t>Mold Breaker (Mega)</t>
    </r>
  </si>
  <si>
    <t>Icium Z</t>
  </si>
  <si>
    <t>Focus Sash</t>
  </si>
  <si>
    <t>Electric Seed</t>
  </si>
  <si>
    <t>Punching Glove</t>
  </si>
  <si>
    <t>Ampharosite</t>
  </si>
  <si>
    <t>Chloroblast</t>
  </si>
  <si>
    <t>Rising Voltage</t>
  </si>
  <si>
    <t>Knock Off</t>
  </si>
  <si>
    <t>Plasma Fists</t>
  </si>
  <si>
    <t>Volt Switch</t>
  </si>
  <si>
    <t>Blizzard</t>
  </si>
  <si>
    <t>Close Combat</t>
  </si>
  <si>
    <t>Mach Punch</t>
  </si>
  <si>
    <t>Dragon Pulse</t>
  </si>
  <si>
    <t>Freeze-Dry</t>
  </si>
  <si>
    <t>HP Ice</t>
  </si>
  <si>
    <t>Rock Slide</t>
  </si>
  <si>
    <t>Ice Punch</t>
  </si>
  <si>
    <t>Focus Blast</t>
  </si>
  <si>
    <t>Explosion</t>
  </si>
  <si>
    <t>Surf</t>
  </si>
  <si>
    <t>SURGE SURF:</t>
  </si>
  <si>
    <t>UNBURDEN:</t>
  </si>
  <si>
    <r>
      <rPr>
        <rFont val="IBM Plex Sans Condensed"/>
        <b/>
        <color rgb="FF000000"/>
        <sz val="13.0"/>
        <u/>
      </rPr>
      <t xml:space="preserve">BATTLE EFFECT: </t>
    </r>
    <r>
      <rPr>
        <rFont val="IBM Plex Sans Condensed"/>
        <b/>
        <color rgb="FFEA4335"/>
        <sz val="13.0"/>
        <u/>
      </rPr>
      <t>PERMANENT GRASSY TERRAIN</t>
    </r>
  </si>
  <si>
    <r>
      <rPr>
        <rFont val="IBM Plex Sans Condensed"/>
        <color theme="1"/>
        <sz val="13.0"/>
      </rPr>
      <t xml:space="preserve">GYM LEADER
</t>
    </r>
    <r>
      <rPr>
        <rFont val="IBM Plex Sans Condensed"/>
        <b/>
        <color theme="1"/>
        <sz val="13.0"/>
      </rPr>
      <t>ERIKA</t>
    </r>
  </si>
  <si>
    <t>Ogerpon-C</t>
  </si>
  <si>
    <t>Hawlucha</t>
  </si>
  <si>
    <t>Sceptile-Mega</t>
  </si>
  <si>
    <t>Toxtricity</t>
  </si>
  <si>
    <t>Slowbro-G</t>
  </si>
  <si>
    <t>Kartana</t>
  </si>
  <si>
    <t>Sturdy</t>
  </si>
  <si>
    <r>
      <rPr>
        <rFont val="IBM Plex Sans Condensed"/>
        <color rgb="FF000000"/>
        <sz val="11.0"/>
      </rPr>
      <t xml:space="preserve">Overgrow
</t>
    </r>
    <r>
      <rPr>
        <rFont val="IBM Plex Sans Condensed"/>
        <b/>
        <color rgb="FF000000"/>
        <sz val="11.0"/>
      </rPr>
      <t>Technician (Mega)</t>
    </r>
  </si>
  <si>
    <t>Punk Rock</t>
  </si>
  <si>
    <t>Corner. Mask</t>
  </si>
  <si>
    <t>Grassy Seed</t>
  </si>
  <si>
    <t>Sceptilite</t>
  </si>
  <si>
    <t>Ivy Cudgel</t>
  </si>
  <si>
    <t>Boomburst</t>
  </si>
  <si>
    <t>Thunder Wave</t>
  </si>
  <si>
    <t>U-Turn</t>
  </si>
  <si>
    <t>Acrobatics</t>
  </si>
  <si>
    <t>Sludge Bomb</t>
  </si>
  <si>
    <t>Grassy Glide</t>
  </si>
  <si>
    <t>Power Whip</t>
  </si>
  <si>
    <t>Draco Barrage</t>
  </si>
  <si>
    <t>Overdrive</t>
  </si>
  <si>
    <t>Flamethrower</t>
  </si>
  <si>
    <t>Cut</t>
  </si>
  <si>
    <t>Stone Edge</t>
  </si>
  <si>
    <t>High Horsep.</t>
  </si>
  <si>
    <t>Teleport</t>
  </si>
  <si>
    <t>Sacred Sword</t>
  </si>
  <si>
    <r>
      <rPr>
        <rFont val="IBM Plex Sans Condensed"/>
        <b/>
        <color rgb="FF000000"/>
        <sz val="13.0"/>
        <u/>
      </rPr>
      <t xml:space="preserve">BATTLE EFFECT: </t>
    </r>
    <r>
      <rPr>
        <rFont val="IBM Plex Sans Condensed"/>
        <b/>
        <color rgb="FFEA4335"/>
        <sz val="13.0"/>
        <u/>
      </rPr>
      <t>DOUBLES + PERMANENT TRICK ROOM</t>
    </r>
  </si>
  <si>
    <r>
      <rPr>
        <rFont val="IBM Plex Sans Condensed"/>
        <color theme="1"/>
        <sz val="13.0"/>
      </rPr>
      <t xml:space="preserve">GYM LEADER
</t>
    </r>
    <r>
      <rPr>
        <rFont val="IBM Plex Sans Condensed"/>
        <b/>
        <color theme="1"/>
        <sz val="13.0"/>
      </rPr>
      <t>SABRINA</t>
    </r>
  </si>
  <si>
    <t>Tapu Fini</t>
  </si>
  <si>
    <t>Camerupt-Mega</t>
  </si>
  <si>
    <t>Glastrier</t>
  </si>
  <si>
    <t>Magearna</t>
  </si>
  <si>
    <t>Iron Hands</t>
  </si>
  <si>
    <t>Jellicent</t>
  </si>
  <si>
    <t>Quiet</t>
  </si>
  <si>
    <t>Brave</t>
  </si>
  <si>
    <r>
      <rPr>
        <rFont val="IBM Plex Sans Condensed"/>
        <color rgb="FF000000"/>
        <sz val="11.0"/>
      </rPr>
      <t xml:space="preserve">Solid Rock
</t>
    </r>
    <r>
      <rPr>
        <rFont val="IBM Plex Sans Condensed"/>
        <b/>
        <color rgb="FF000000"/>
        <sz val="11.0"/>
      </rPr>
      <t>Sheer Force (Mega)</t>
    </r>
  </si>
  <si>
    <t>Water Bubble</t>
  </si>
  <si>
    <t>Cameruptite</t>
  </si>
  <si>
    <t>Fightinium Z</t>
  </si>
  <si>
    <t>Booster Energy</t>
  </si>
  <si>
    <t>Misty Explosi.</t>
  </si>
  <si>
    <t>Moonblast</t>
  </si>
  <si>
    <t>Water Spout</t>
  </si>
  <si>
    <t>Muddy Water</t>
  </si>
  <si>
    <t>Earth Power</t>
  </si>
  <si>
    <t>Ice Hammer</t>
  </si>
  <si>
    <t>Flash Cannon</t>
  </si>
  <si>
    <t>Shadow Ball</t>
  </si>
  <si>
    <t>Steam Erupt.</t>
  </si>
  <si>
    <t>Hydro Pump</t>
  </si>
  <si>
    <r>
      <rPr>
        <rFont val="IBM Plex Sans Condensed"/>
        <b/>
        <color theme="1"/>
        <sz val="13.0"/>
        <u/>
      </rPr>
      <t xml:space="preserve">BATTLE EFFECT: </t>
    </r>
    <r>
      <rPr>
        <rFont val="IBM Plex Sans Condensed"/>
        <b/>
        <color rgb="FFEA4335"/>
        <sz val="13.0"/>
        <u/>
      </rPr>
      <t>PERMANENT TAILWIND</t>
    </r>
  </si>
  <si>
    <r>
      <rPr>
        <rFont val="IBM Plex Sans Condensed"/>
        <color theme="1"/>
        <sz val="13.0"/>
      </rPr>
      <t xml:space="preserve">GYM LEADER
</t>
    </r>
    <r>
      <rPr>
        <rFont val="IBM Plex Sans Condensed"/>
        <b/>
        <color theme="1"/>
        <sz val="13.0"/>
      </rPr>
      <t>KOGA</t>
    </r>
  </si>
  <si>
    <t>Tapu Lele</t>
  </si>
  <si>
    <t>Hoopa-U</t>
  </si>
  <si>
    <t>Krookodile</t>
  </si>
  <si>
    <t>Chi-Yu</t>
  </si>
  <si>
    <t>Nidoking</t>
  </si>
  <si>
    <t>Toxtricity-Mega</t>
  </si>
  <si>
    <t>Rash</t>
  </si>
  <si>
    <t>Magician</t>
  </si>
  <si>
    <t>Beads of Ruin</t>
  </si>
  <si>
    <t>Punk Rock (Both)</t>
  </si>
  <si>
    <t>Twisted Spoon</t>
  </si>
  <si>
    <t>Darkinium Z</t>
  </si>
  <si>
    <t>Black Glasses</t>
  </si>
  <si>
    <t>Toxtricitite</t>
  </si>
  <si>
    <t>Dark Pulse</t>
  </si>
  <si>
    <t>Wicked Blow</t>
  </si>
  <si>
    <t>Expand. Force</t>
  </si>
  <si>
    <t>Psychic</t>
  </si>
  <si>
    <t>Ice Beam</t>
  </si>
  <si>
    <t>HP Fire</t>
  </si>
  <si>
    <t>TAILWIND:</t>
  </si>
  <si>
    <r>
      <rPr>
        <rFont val="IBM Plex Sans Condensed"/>
        <b/>
        <color rgb="FF000000"/>
        <sz val="13.0"/>
        <u/>
      </rPr>
      <t xml:space="preserve">BATTLE EFFECT: </t>
    </r>
    <r>
      <rPr>
        <rFont val="IBM Plex Sans Condensed"/>
        <b/>
        <color rgb="FFEA4335"/>
        <sz val="13.0"/>
        <u/>
      </rPr>
      <t>PERMANENT DESOLATE LAND</t>
    </r>
  </si>
  <si>
    <r>
      <rPr>
        <rFont val="IBM Plex Sans Condensed"/>
        <color theme="1"/>
        <sz val="13.0"/>
      </rPr>
      <t xml:space="preserve">GYM LEADER
</t>
    </r>
    <r>
      <rPr>
        <rFont val="IBM Plex Sans Condensed"/>
        <b/>
        <color theme="1"/>
        <sz val="13.0"/>
      </rPr>
      <t>BLAINE</t>
    </r>
  </si>
  <si>
    <t>Sandy Shocks</t>
  </si>
  <si>
    <t>Great Tusk</t>
  </si>
  <si>
    <t>Walking Wake</t>
  </si>
  <si>
    <t>Venusaur</t>
  </si>
  <si>
    <t>Ho-Oh</t>
  </si>
  <si>
    <t>Charizard-MegaX</t>
  </si>
  <si>
    <t>Chlorophyll</t>
  </si>
  <si>
    <t>Phoenix Down</t>
  </si>
  <si>
    <r>
      <rPr>
        <rFont val="IBM Plex Sans Condensed"/>
        <color rgb="FF000000"/>
        <sz val="11.0"/>
      </rPr>
      <t xml:space="preserve">Solar Power
</t>
    </r>
    <r>
      <rPr>
        <rFont val="IBM Plex Sans Condensed"/>
        <b/>
        <color rgb="FF000000"/>
        <sz val="11.0"/>
      </rPr>
      <t>Tough Claws (Mega)</t>
    </r>
  </si>
  <si>
    <t>Shuca Berry</t>
  </si>
  <si>
    <t>Fighting Gem</t>
  </si>
  <si>
    <t>Water Gem</t>
  </si>
  <si>
    <t>Flyinium Z</t>
  </si>
  <si>
    <t>Charizardite X</t>
  </si>
  <si>
    <t>Ice Spinner</t>
  </si>
  <si>
    <t>Sacred Fire</t>
  </si>
  <si>
    <t>Hydro Steam</t>
  </si>
  <si>
    <t>Solar Beam</t>
  </si>
  <si>
    <t>Brave Bird</t>
  </si>
  <si>
    <t>Flare Blitz</t>
  </si>
  <si>
    <t>Headlong Rush</t>
  </si>
  <si>
    <t>Dragon Claw</t>
  </si>
  <si>
    <t>HP Dark</t>
  </si>
  <si>
    <t>Sleep Talk</t>
  </si>
  <si>
    <t>Weather Ball</t>
  </si>
  <si>
    <t>CHLOROPHY.:</t>
  </si>
  <si>
    <r>
      <rPr>
        <rFont val="IBM Plex Sans Condensed"/>
        <b/>
        <color theme="1"/>
        <sz val="13.0"/>
        <u/>
      </rPr>
      <t xml:space="preserve">BATTLE EFFECT: </t>
    </r>
    <r>
      <rPr>
        <rFont val="IBM Plex Sans Condensed"/>
        <b/>
        <color rgb="FFEA4335"/>
        <sz val="13.0"/>
        <u/>
      </rPr>
      <t>UNABLE TO USE FAIRY TYPES + CAN'T REMOVE HAZARDS</t>
    </r>
  </si>
  <si>
    <r>
      <rPr>
        <rFont val="IBM Plex Sans Condensed"/>
        <color theme="1"/>
        <sz val="13.0"/>
      </rPr>
      <t xml:space="preserve">GYM LEADER
</t>
    </r>
    <r>
      <rPr>
        <rFont val="IBM Plex Sans Condensed"/>
        <b/>
        <color theme="1"/>
        <sz val="13.0"/>
      </rPr>
      <t>CLAIR</t>
    </r>
  </si>
  <si>
    <t>Roaring Moon</t>
  </si>
  <si>
    <t>Necrozma-Ultra</t>
  </si>
  <si>
    <t>Eternatus</t>
  </si>
  <si>
    <t>Archaludon</t>
  </si>
  <si>
    <t>Impish</t>
  </si>
  <si>
    <r>
      <rPr>
        <rFont val="IBM Plex Sans Condensed"/>
        <color rgb="FF000000"/>
        <sz val="11.0"/>
      </rPr>
      <t xml:space="preserve">Prism Armor (Dusk)
</t>
    </r>
    <r>
      <rPr>
        <rFont val="IBM Plex Sans Condensed"/>
        <b/>
        <color rgb="FF000000"/>
        <sz val="11.0"/>
      </rPr>
      <t>Neuroforce (Ultra)</t>
    </r>
  </si>
  <si>
    <t>Pressure</t>
  </si>
  <si>
    <t>Weakness Pol.</t>
  </si>
  <si>
    <t>Ultranecrozium Z</t>
  </si>
  <si>
    <t>Power Herb</t>
  </si>
  <si>
    <t>Assault Vest</t>
  </si>
  <si>
    <t>Dyna. Cannon</t>
  </si>
  <si>
    <t>Draco Meteor</t>
  </si>
  <si>
    <t>Photon Geyser</t>
  </si>
  <si>
    <t>Steel Beam</t>
  </si>
  <si>
    <t>Aura Sphere</t>
  </si>
  <si>
    <t>Dragon Hamm.</t>
  </si>
  <si>
    <t>Body Press</t>
  </si>
  <si>
    <r>
      <rPr>
        <rFont val="IBM Plex Sans Condensed"/>
        <b/>
        <color rgb="FF000000"/>
        <sz val="13.0"/>
        <u/>
      </rPr>
      <t>BATTLE EFFECT:</t>
    </r>
    <r>
      <rPr>
        <rFont val="IBM Plex Sans Condensed"/>
        <b/>
        <color rgb="FFEA4335"/>
        <sz val="13.0"/>
        <u/>
      </rPr>
      <t xml:space="preserve"> PERMANENT SANDSTORM + SUPER EFFECTIVE MOVES DEAL 33% LESS TO BROCK</t>
    </r>
  </si>
  <si>
    <r>
      <rPr>
        <rFont val="IBM Plex Sans Condensed"/>
        <b val="0"/>
        <color rgb="FF000000"/>
        <sz val="13.0"/>
      </rPr>
      <t>GYM LEADER</t>
    </r>
    <r>
      <rPr>
        <rFont val="IBM Plex Sans Condensed"/>
        <b/>
        <color rgb="FF000000"/>
        <sz val="13.0"/>
      </rPr>
      <t xml:space="preserve">
BROCK</t>
    </r>
  </si>
  <si>
    <t>Iron Boulder</t>
  </si>
  <si>
    <t>Landorus-I</t>
  </si>
  <si>
    <t>Zygarde-C</t>
  </si>
  <si>
    <t>Iron Treads</t>
  </si>
  <si>
    <t>Ursaluna-BM</t>
  </si>
  <si>
    <t>Aerodactyl-Mega</t>
  </si>
  <si>
    <t>Highest Lv</t>
  </si>
  <si>
    <t>Power Construct</t>
  </si>
  <si>
    <t>Scrappy</t>
  </si>
  <si>
    <r>
      <rPr>
        <rFont val="IBM Plex Sans Condensed"/>
        <color theme="1"/>
        <sz val="11.0"/>
      </rPr>
      <t xml:space="preserve">Pressure
</t>
    </r>
    <r>
      <rPr>
        <rFont val="IBM Plex Sans Condensed"/>
        <b/>
        <color theme="1"/>
        <sz val="11.0"/>
      </rPr>
      <t>Tough Claws (Mega)</t>
    </r>
  </si>
  <si>
    <t>Leftovers</t>
  </si>
  <si>
    <t>Aerodactylite</t>
  </si>
  <si>
    <t>Blood Moon</t>
  </si>
  <si>
    <t>Thous. Arrows</t>
  </si>
  <si>
    <t>Mighty Cleave</t>
  </si>
  <si>
    <t>Rest</t>
  </si>
  <si>
    <t>Iron Head</t>
  </si>
  <si>
    <t>Vacuum Wave</t>
  </si>
  <si>
    <t>Zen Headbutt</t>
  </si>
  <si>
    <t>Grass Knot</t>
  </si>
  <si>
    <t>Hyper Voice</t>
  </si>
  <si>
    <t>Dual Wingbeat</t>
  </si>
  <si>
    <t>IF YOU'RE</t>
  </si>
  <si>
    <t>LEVEL 68 -&gt;&gt;</t>
  </si>
  <si>
    <r>
      <rPr>
        <rFont val="IBM Plex Sans Condensed"/>
        <b/>
        <color rgb="FF000000"/>
        <sz val="13.0"/>
        <u/>
      </rPr>
      <t>BATTLE EFFECT:</t>
    </r>
    <r>
      <rPr>
        <rFont val="IBM Plex Sans Condensed"/>
        <b/>
        <color rgb="FFEA4335"/>
        <sz val="13.0"/>
        <u/>
      </rPr>
      <t xml:space="preserve"> PERMANENT RAIN + PALAFIN IS PRE-TRANSFORMED</t>
    </r>
  </si>
  <si>
    <r>
      <rPr>
        <rFont val="IBM Plex Sans Condensed"/>
        <b val="0"/>
        <color theme="1"/>
        <sz val="13.0"/>
      </rPr>
      <t>GYM LEADER</t>
    </r>
    <r>
      <rPr>
        <rFont val="IBM Plex Sans Condensed"/>
        <b/>
        <color theme="1"/>
        <sz val="13.0"/>
      </rPr>
      <t xml:space="preserve">
MISTY</t>
    </r>
  </si>
  <si>
    <t>Iron Bundle</t>
  </si>
  <si>
    <t>Palafin-Hero</t>
  </si>
  <si>
    <t>Kingdra</t>
  </si>
  <si>
    <t>Thundurus-T</t>
  </si>
  <si>
    <t>Gyarados-Mega</t>
  </si>
  <si>
    <t>Calm</t>
  </si>
  <si>
    <t>Mold Breaker</t>
  </si>
  <si>
    <t>Volt Absorb</t>
  </si>
  <si>
    <r>
      <rPr>
        <rFont val="IBM Plex Sans Condensed"/>
        <color theme="1"/>
        <sz val="11.0"/>
      </rPr>
      <t xml:space="preserve">Intimidate
</t>
    </r>
    <r>
      <rPr>
        <rFont val="IBM Plex Sans Condensed"/>
        <b/>
        <color theme="1"/>
        <sz val="10.0"/>
      </rPr>
      <t>Mold Breaker (Mega)</t>
    </r>
  </si>
  <si>
    <t>Gyaradosite</t>
  </si>
  <si>
    <t>Jet Punch</t>
  </si>
  <si>
    <t>Waterfall</t>
  </si>
  <si>
    <t xml:space="preserve">Thunder </t>
  </si>
  <si>
    <t>Crunch</t>
  </si>
  <si>
    <r>
      <rPr>
        <rFont val="IBM Plex Sans Condensed"/>
        <b/>
        <color rgb="FF000000"/>
        <sz val="13.0"/>
        <u/>
      </rPr>
      <t>BATTLE EFFECT:</t>
    </r>
    <r>
      <rPr>
        <rFont val="IBM Plex Sans Condensed"/>
        <b/>
        <color rgb="FFEA4335"/>
        <sz val="13.0"/>
        <u/>
      </rPr>
      <t xml:space="preserve"> PERMANENT ELECTRIC TERRAIN &amp; MAGNET RISE</t>
    </r>
  </si>
  <si>
    <r>
      <rPr>
        <rFont val="IBM Plex Sans Condensed"/>
        <color theme="1"/>
        <sz val="13.0"/>
      </rPr>
      <t xml:space="preserve">GYM LEADER
</t>
    </r>
    <r>
      <rPr>
        <rFont val="IBM Plex Sans Condensed"/>
        <b/>
        <color theme="1"/>
        <sz val="13.0"/>
      </rPr>
      <t>LT. SURGE</t>
    </r>
  </si>
  <si>
    <t>Iron Thorns</t>
  </si>
  <si>
    <t>Iron Moth</t>
  </si>
  <si>
    <t>Miraidon</t>
  </si>
  <si>
    <t>Manectric-Mega</t>
  </si>
  <si>
    <t>Intimidate (Both)</t>
  </si>
  <si>
    <t>Fire Gem</t>
  </si>
  <si>
    <t>Manectite</t>
  </si>
  <si>
    <t>Fusion Bolt</t>
  </si>
  <si>
    <t>Sludge Wave</t>
  </si>
  <si>
    <t>Parab. Charge</t>
  </si>
  <si>
    <t>Energy Ball</t>
  </si>
  <si>
    <t>Dazz. Gleam</t>
  </si>
  <si>
    <t>Fake Out</t>
  </si>
  <si>
    <r>
      <rPr>
        <rFont val="IBM Plex Sans Condensed"/>
        <b/>
        <color rgb="FF000000"/>
        <sz val="13.0"/>
        <u/>
      </rPr>
      <t xml:space="preserve">BATTLE EFFECT: </t>
    </r>
    <r>
      <rPr>
        <rFont val="IBM Plex Sans Condensed"/>
        <b/>
        <color rgb="FFEA4335"/>
        <sz val="13.0"/>
        <u/>
      </rPr>
      <t>PERMANENT GRASSY TERRAIN + ERIKA'S GRASS TYPE MOVES DEAL 75% MORE DAMAGE IF-
RESISTED AND IGNORE IMMUNITIES.</t>
    </r>
  </si>
  <si>
    <r>
      <rPr>
        <rFont val="IBM Plex Sans Condensed"/>
        <color theme="1"/>
        <sz val="13.0"/>
      </rPr>
      <t xml:space="preserve">GYM LEADER
</t>
    </r>
    <r>
      <rPr>
        <rFont val="IBM Plex Sans Condensed"/>
        <b/>
        <color theme="1"/>
        <sz val="13.0"/>
      </rPr>
      <t>ERIKA</t>
    </r>
  </si>
  <si>
    <t>Meowscarada</t>
  </si>
  <si>
    <t>Protean</t>
  </si>
  <si>
    <r>
      <rPr>
        <rFont val="IBM Plex Sans Condensed"/>
        <color theme="1"/>
        <sz val="11.0"/>
      </rPr>
      <t xml:space="preserve">Static
</t>
    </r>
    <r>
      <rPr>
        <rFont val="IBM Plex Sans Condensed"/>
        <b/>
        <color theme="1"/>
        <sz val="11.0"/>
      </rPr>
      <t>Thick Fat (Mega)</t>
    </r>
  </si>
  <si>
    <t>Flower Trick</t>
  </si>
  <si>
    <t>Leaf Storm</t>
  </si>
  <si>
    <t>Triple Axel</t>
  </si>
  <si>
    <t>Draining Kiss</t>
  </si>
  <si>
    <t xml:space="preserve">Cut </t>
  </si>
  <si>
    <t>Stored Power</t>
  </si>
  <si>
    <t>Signal Beam</t>
  </si>
  <si>
    <r>
      <rPr>
        <rFont val="IBM Plex Sans Condensed"/>
        <color theme="1"/>
        <sz val="11.0"/>
      </rPr>
      <t>PEWTER MUSEUM</t>
    </r>
    <r>
      <rPr>
        <rFont val="IBM Plex Sans Condensed"/>
        <color theme="1"/>
        <sz val="13.0"/>
      </rPr>
      <t xml:space="preserve">
LEADER
</t>
    </r>
    <r>
      <rPr>
        <rFont val="IBM Plex Sans Condensed"/>
        <b/>
        <color theme="1"/>
        <sz val="13.0"/>
      </rPr>
      <t>FALKNER</t>
    </r>
  </si>
  <si>
    <t>Trumbeak</t>
  </si>
  <si>
    <t>Wattrel</t>
  </si>
  <si>
    <t>Yanma</t>
  </si>
  <si>
    <t>Squawkabilly-G</t>
  </si>
  <si>
    <t>Farfetch'd-G</t>
  </si>
  <si>
    <t>Highest Lv -2</t>
  </si>
  <si>
    <t>Highest Lv -3</t>
  </si>
  <si>
    <t>Skill Link</t>
  </si>
  <si>
    <t>Hustle</t>
  </si>
  <si>
    <t>Muscle Band</t>
  </si>
  <si>
    <t>Leek</t>
  </si>
  <si>
    <t>Aerial Ace</t>
  </si>
  <si>
    <t>Rock Smash</t>
  </si>
  <si>
    <t>Pluck</t>
  </si>
  <si>
    <t>Air Slash</t>
  </si>
  <si>
    <t>Quick Attack</t>
  </si>
  <si>
    <t>Slam</t>
  </si>
  <si>
    <t>HP Bug</t>
  </si>
  <si>
    <t>Reversal</t>
  </si>
  <si>
    <t>Brutal Swing</t>
  </si>
  <si>
    <t>Air Cutter</t>
  </si>
  <si>
    <t>Parting Shot</t>
  </si>
  <si>
    <t>LEVEL 16 -&gt;&gt;</t>
  </si>
  <si>
    <t>1 S. BOOST:</t>
  </si>
  <si>
    <t>LEEK:</t>
  </si>
  <si>
    <t>(!) PRE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</si>
  <si>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</si>
  <si>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</si>
  <si>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Kleavor</t>
  </si>
  <si>
    <t>Scizor</t>
  </si>
  <si>
    <t>Scyther</t>
  </si>
  <si>
    <t>Lokix</t>
  </si>
  <si>
    <t>Araquanid</t>
  </si>
  <si>
    <t>Vikavolt</t>
  </si>
  <si>
    <t>Sharpness</t>
  </si>
  <si>
    <t>Technician</t>
  </si>
  <si>
    <t>Tinted Lens</t>
  </si>
  <si>
    <t>Silver Powder</t>
  </si>
  <si>
    <t>Magnet</t>
  </si>
  <si>
    <t>X-Scissor</t>
  </si>
  <si>
    <t>Bullet Punch</t>
  </si>
  <si>
    <t>Bug Bite</t>
  </si>
  <si>
    <t>First Impress.</t>
  </si>
  <si>
    <t>Stone Axe</t>
  </si>
  <si>
    <t>Night Slash</t>
  </si>
  <si>
    <t>LEVEL 28 -&gt;&gt;</t>
  </si>
  <si>
    <t>(!) POST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</si>
  <si>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</si>
  <si>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</si>
  <si>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Scizor-Mega</t>
  </si>
  <si>
    <t>Technician (Both)</t>
  </si>
  <si>
    <t>Scizorite</t>
  </si>
  <si>
    <t>Bug Gem</t>
  </si>
  <si>
    <t>Thunder</t>
  </si>
  <si>
    <t>Liquidation</t>
  </si>
  <si>
    <t>Bug Buzz</t>
  </si>
  <si>
    <t>LEVEL 44 -&gt;&gt;</t>
  </si>
  <si>
    <r>
      <rPr>
        <rFont val="IBM Plex Sans Condensed"/>
        <b/>
        <color theme="1"/>
        <sz val="13.0"/>
        <u/>
      </rPr>
      <t xml:space="preserve">BATTLE EFFECT: </t>
    </r>
    <r>
      <rPr>
        <rFont val="IBM Plex Sans Condensed"/>
        <b/>
        <color rgb="FFF64A42"/>
        <sz val="13.0"/>
        <u/>
      </rPr>
      <t>SWELLOW IS PRE-BURNED</t>
    </r>
  </si>
  <si>
    <r>
      <rPr>
        <rFont val="IBM Plex Sans Condensed"/>
        <color theme="1"/>
        <sz val="13.0"/>
      </rPr>
      <t xml:space="preserve">ROUTE 11
LEADER
</t>
    </r>
    <r>
      <rPr>
        <rFont val="IBM Plex Sans Condensed"/>
        <b/>
        <color theme="1"/>
        <sz val="13.0"/>
      </rPr>
      <t>WHITNEY</t>
    </r>
  </si>
  <si>
    <t>Pyroar</t>
  </si>
  <si>
    <t>Farigiraf</t>
  </si>
  <si>
    <t>Swellow</t>
  </si>
  <si>
    <t>Togekiss</t>
  </si>
  <si>
    <t>Altaria-Mega</t>
  </si>
  <si>
    <t>Parental Bond</t>
  </si>
  <si>
    <t>Guts</t>
  </si>
  <si>
    <t>Serene Grace</t>
  </si>
  <si>
    <r>
      <rPr>
        <rFont val="IBM Plex Sans Condensed"/>
        <color theme="1"/>
        <sz val="11.0"/>
      </rPr>
      <t xml:space="preserve">Natural Cure
</t>
    </r>
    <r>
      <rPr>
        <rFont val="IBM Plex Sans Condensed"/>
        <b/>
        <color theme="1"/>
        <sz val="11.0"/>
      </rPr>
      <t>Pixilate (Mega)</t>
    </r>
  </si>
  <si>
    <t>Normal Gem</t>
  </si>
  <si>
    <t>Altarianite</t>
  </si>
  <si>
    <t>Lovely Kiss</t>
  </si>
  <si>
    <t>Mystical Fire</t>
  </si>
  <si>
    <r>
      <rPr>
        <rFont val="IBM Plex Sans Condensed"/>
        <color theme="1"/>
        <sz val="12.0"/>
      </rPr>
      <t xml:space="preserve">LAVENDER TOWN
</t>
    </r>
    <r>
      <rPr>
        <rFont val="IBM Plex Sans Condensed"/>
        <color theme="1"/>
        <sz val="13.0"/>
      </rPr>
      <t xml:space="preserve">LEADER
</t>
    </r>
    <r>
      <rPr>
        <rFont val="IBM Plex Sans Condensed"/>
        <b/>
        <color theme="1"/>
        <sz val="13.0"/>
      </rPr>
      <t>MORTY</t>
    </r>
  </si>
  <si>
    <t>Dusknoir</t>
  </si>
  <si>
    <t>Mismagius</t>
  </si>
  <si>
    <t>Ceruledge</t>
  </si>
  <si>
    <t>Weavile</t>
  </si>
  <si>
    <t>Gengar-Mega</t>
  </si>
  <si>
    <r>
      <rPr>
        <rFont val="IBM Plex Sans Condensed"/>
        <color theme="1"/>
        <sz val="11.0"/>
      </rPr>
      <t xml:space="preserve">Levitate
</t>
    </r>
    <r>
      <rPr>
        <rFont val="IBM Plex Sans Condensed"/>
        <b/>
        <color theme="1"/>
        <sz val="11.0"/>
      </rPr>
      <t>Shadow Tag (Mega)</t>
    </r>
  </si>
  <si>
    <t>Chople Berry</t>
  </si>
  <si>
    <t>Reaper Cloth</t>
  </si>
  <si>
    <t>Spell Tag</t>
  </si>
  <si>
    <t>Gengarite</t>
  </si>
  <si>
    <t>Shadow Punch</t>
  </si>
  <si>
    <t>Shadow Sneak</t>
  </si>
  <si>
    <t>Dynamic Punch</t>
  </si>
  <si>
    <t>Bitter Blade</t>
  </si>
  <si>
    <t>Will-O-Wisp</t>
  </si>
  <si>
    <t>Low Kick</t>
  </si>
  <si>
    <t>LEVEL 36 -&gt;&gt;</t>
  </si>
  <si>
    <r>
      <rPr>
        <rFont val="IBM Plex Sans Condensed"/>
        <b/>
        <color theme="1"/>
        <sz val="13.0"/>
        <u/>
      </rPr>
      <t xml:space="preserve">BATTLE EFFECT: </t>
    </r>
    <r>
      <rPr>
        <rFont val="IBM Plex Sans Condensed"/>
        <b/>
        <color rgb="FFF64A42"/>
        <sz val="13.0"/>
        <u/>
      </rPr>
      <t>CHUCK'S POKEMON HAVE ENDURE STATUS IF ABOVE 75% OF MAX HP</t>
    </r>
  </si>
  <si>
    <r>
      <rPr>
        <rFont val="IBM Plex Sans Condensed"/>
        <color theme="1"/>
        <sz val="13.0"/>
      </rPr>
      <t xml:space="preserve">SAFFRON DOJO
LEADER
</t>
    </r>
    <r>
      <rPr>
        <rFont val="IBM Plex Sans Condensed"/>
        <b/>
        <color theme="1"/>
        <sz val="13.0"/>
      </rPr>
      <t>CHUCK</t>
    </r>
  </si>
  <si>
    <t>Iron Crown</t>
  </si>
  <si>
    <t>Sneasler</t>
  </si>
  <si>
    <t>Kommo-o</t>
  </si>
  <si>
    <t>Annihilape</t>
  </si>
  <si>
    <t>Zamazenta-C</t>
  </si>
  <si>
    <t>Gallade-Mega</t>
  </si>
  <si>
    <t>Overcoat</t>
  </si>
  <si>
    <t>Dauntless Shield</t>
  </si>
  <si>
    <r>
      <rPr>
        <rFont val="IBM Plex Sans Condensed"/>
        <color theme="1"/>
        <sz val="11.0"/>
      </rPr>
      <t xml:space="preserve">Steadfast
</t>
    </r>
    <r>
      <rPr>
        <rFont val="IBM Plex Sans Condensed"/>
        <b/>
        <color theme="1"/>
        <sz val="11.0"/>
      </rPr>
      <t>Sharpness (Mega)</t>
    </r>
  </si>
  <si>
    <t>Rocky Helmet</t>
  </si>
  <si>
    <t>Liechi Berry</t>
  </si>
  <si>
    <t>Kommonium Z</t>
  </si>
  <si>
    <t>Salac Berry</t>
  </si>
  <si>
    <t>Rusted Shield</t>
  </si>
  <si>
    <t>Galladite</t>
  </si>
  <si>
    <t>Psychic Noise</t>
  </si>
  <si>
    <t>Clang. Scales</t>
  </si>
  <si>
    <t>Tachyon Cutter</t>
  </si>
  <si>
    <t>Behemo. Bash</t>
  </si>
  <si>
    <t>Secret Sword</t>
  </si>
  <si>
    <t>Rage Fist</t>
  </si>
  <si>
    <t>Psycho Cut</t>
  </si>
  <si>
    <t>Wild Charge</t>
  </si>
  <si>
    <t>SOULBLAZE:</t>
  </si>
  <si>
    <t>SALAC:</t>
  </si>
  <si>
    <t>(!) TEAM ONE</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</si>
  <si>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</si>
  <si>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</si>
  <si>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t>Jynx</t>
  </si>
  <si>
    <t>Cloyster</t>
  </si>
  <si>
    <t>Clefable</t>
  </si>
  <si>
    <t>Kyurem-B</t>
  </si>
  <si>
    <t>Arctozolt</t>
  </si>
  <si>
    <t>Glalie-Mega</t>
  </si>
  <si>
    <t>Lonely</t>
  </si>
  <si>
    <t>Teravolt</t>
  </si>
  <si>
    <r>
      <rPr>
        <rFont val="IBM Plex Sans Condensed"/>
        <color theme="1"/>
        <sz val="11.0"/>
      </rPr>
      <t xml:space="preserve">Ice Body
</t>
    </r>
    <r>
      <rPr>
        <rFont val="IBM Plex Sans Condensed"/>
        <b/>
        <color theme="1"/>
        <sz val="11.0"/>
      </rPr>
      <t>Refrigerate (Mega)</t>
    </r>
  </si>
  <si>
    <t>White Herb</t>
  </si>
  <si>
    <t>Glalitite</t>
  </si>
  <si>
    <t>Bolt Beak</t>
  </si>
  <si>
    <t>Psystrike</t>
  </si>
  <si>
    <t>Icicle Spear</t>
  </si>
  <si>
    <t>Icicle Crash</t>
  </si>
  <si>
    <t>Light Of Ruin</t>
  </si>
  <si>
    <t>Rock Blast</t>
  </si>
  <si>
    <t>Double-Edge</t>
  </si>
  <si>
    <t>LEVEL 73 -&gt;&gt;</t>
  </si>
  <si>
    <t>SLUSH RUSH:</t>
  </si>
  <si>
    <t>(!) TEAM TWO</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</si>
  <si>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</si>
  <si>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</si>
  <si>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t>Sandslash-A</t>
  </si>
  <si>
    <t>Reuniclus</t>
  </si>
  <si>
    <t>Arctovish</t>
  </si>
  <si>
    <r>
      <rPr>
        <rFont val="IBM Plex Sans Condensed"/>
        <color theme="1"/>
        <sz val="11.0"/>
      </rPr>
      <t xml:space="preserve">Ice Body
</t>
    </r>
    <r>
      <rPr>
        <rFont val="IBM Plex Sans Condensed"/>
        <b/>
        <color theme="1"/>
        <sz val="11.0"/>
      </rPr>
      <t>Refrigerate (Mega)</t>
    </r>
  </si>
  <si>
    <t>Fishious Rend</t>
  </si>
  <si>
    <t>Psychic Fangs</t>
  </si>
  <si>
    <t>(!) TEAM THREE</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</si>
  <si>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</si>
  <si>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</si>
  <si>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r>
      <rPr>
        <rFont val="IBM Plex Sans Condensed"/>
        <color theme="1"/>
        <sz val="11.0"/>
      </rPr>
      <t xml:space="preserve">Ice Body
</t>
    </r>
    <r>
      <rPr>
        <rFont val="IBM Plex Sans Condensed"/>
        <b/>
        <color theme="1"/>
        <sz val="11.0"/>
      </rPr>
      <t>Refrigerate (Mega)</t>
    </r>
  </si>
  <si>
    <r>
      <rPr>
        <rFont val="IBM Plex Sans Condensed"/>
        <b/>
        <color theme="1"/>
        <sz val="13.0"/>
        <u/>
      </rPr>
      <t xml:space="preserve">BATTLE EFFECT: </t>
    </r>
    <r>
      <rPr>
        <rFont val="IBM Plex Sans Condensed"/>
        <b/>
        <color rgb="FFF64A42"/>
        <sz val="13.0"/>
        <u/>
      </rPr>
      <t>JASMINE IS IMMUNE TO FIRE TYPE ATTACKS</t>
    </r>
  </si>
  <si>
    <r>
      <rPr>
        <rFont val="IBM Plex Sans Condensed"/>
        <color theme="1"/>
        <sz val="13.0"/>
      </rPr>
      <t xml:space="preserve">CINNABAR LAB
LEADER
</t>
    </r>
    <r>
      <rPr>
        <rFont val="IBM Plex Sans Condensed"/>
        <b/>
        <color theme="1"/>
        <sz val="13.0"/>
      </rPr>
      <t>JASMINE</t>
    </r>
  </si>
  <si>
    <t>Gliscor</t>
  </si>
  <si>
    <t>Tapu Bulu</t>
  </si>
  <si>
    <t>Necrozma-DM</t>
  </si>
  <si>
    <t>Genesect</t>
  </si>
  <si>
    <t>Magnezone</t>
  </si>
  <si>
    <t>Aggron-Mega</t>
  </si>
  <si>
    <t>Poison Heal</t>
  </si>
  <si>
    <t>Prism Armor</t>
  </si>
  <si>
    <t>Download</t>
  </si>
  <si>
    <r>
      <rPr>
        <rFont val="IBM Plex Sans Condensed"/>
        <color theme="1"/>
        <sz val="11.0"/>
      </rPr>
      <t xml:space="preserve">Sturdy
</t>
    </r>
    <r>
      <rPr>
        <rFont val="IBM Plex Sans Condensed"/>
        <b/>
        <color theme="1"/>
        <sz val="11.0"/>
      </rPr>
      <t>Filter (Mega)</t>
    </r>
  </si>
  <si>
    <t>Toxic Orb</t>
  </si>
  <si>
    <t>Aggronite</t>
  </si>
  <si>
    <t>Extreme Speed</t>
  </si>
  <si>
    <t>Play Rough</t>
  </si>
  <si>
    <t>Sunsteel Strike</t>
  </si>
  <si>
    <t>Heavy Slam</t>
  </si>
  <si>
    <t>(!) IF RIVAL HAS SQUIRTLE</t>
  </si>
  <si>
    <r>
      <rPr>
        <rFont val="IBM Plex Sans Condensed"/>
        <color rgb="FF000000"/>
        <sz val="13.0"/>
      </rPr>
      <t xml:space="preserve">ROUTE 22 #1
</t>
    </r>
    <r>
      <rPr>
        <rFont val="IBM Plex Sans Condensed"/>
        <b/>
        <color rgb="FF000000"/>
        <sz val="13.0"/>
      </rPr>
      <t>RIVAL</t>
    </r>
  </si>
  <si>
    <t>Snubbull</t>
  </si>
  <si>
    <t>Litleo</t>
  </si>
  <si>
    <t>Squirtle</t>
  </si>
  <si>
    <t>Highest Lv -1</t>
  </si>
  <si>
    <t>Rivalry</t>
  </si>
  <si>
    <t>Torrent</t>
  </si>
  <si>
    <t>Wise Glasses</t>
  </si>
  <si>
    <t>Incinerate</t>
  </si>
  <si>
    <t>Covet</t>
  </si>
  <si>
    <t>Round</t>
  </si>
  <si>
    <t>Aqua Jet</t>
  </si>
  <si>
    <t>Fire Fang</t>
  </si>
  <si>
    <t>(!) IF RIVAL HAS CHARMANDER</t>
  </si>
  <si>
    <r>
      <rPr>
        <rFont val="IBM Plex Sans Condensed"/>
        <color rgb="FF000000"/>
        <sz val="13.0"/>
      </rPr>
      <t xml:space="preserve">ROUTE 22 #1
</t>
    </r>
    <r>
      <rPr>
        <rFont val="IBM Plex Sans Condensed"/>
        <b/>
        <color rgb="FF000000"/>
        <sz val="13.0"/>
      </rPr>
      <t>RIVAL</t>
    </r>
  </si>
  <si>
    <t>Slowpoke</t>
  </si>
  <si>
    <t>Charmander</t>
  </si>
  <si>
    <t>Solar Power</t>
  </si>
  <si>
    <t>Water Pulse</t>
  </si>
  <si>
    <t>Slash</t>
  </si>
  <si>
    <t>(!) IF RIVAL HAS BULBASAUR</t>
  </si>
  <si>
    <r>
      <rPr>
        <rFont val="IBM Plex Sans Condensed"/>
        <color rgb="FF000000"/>
        <sz val="13.0"/>
      </rPr>
      <t xml:space="preserve">ROUTE 22 #1
</t>
    </r>
    <r>
      <rPr>
        <rFont val="IBM Plex Sans Condensed"/>
        <b/>
        <color rgb="FF000000"/>
        <sz val="13.0"/>
      </rPr>
      <t>RIVAL</t>
    </r>
  </si>
  <si>
    <t>Bulbasaur</t>
  </si>
  <si>
    <t>Overgrow</t>
  </si>
  <si>
    <t>Sleep Powder</t>
  </si>
  <si>
    <t>Sludge</t>
  </si>
  <si>
    <r>
      <rPr>
        <rFont val="IBM Plex Sans Condensed"/>
        <color rgb="FF000000"/>
        <sz val="13.0"/>
      </rPr>
      <t xml:space="preserve">VIRID. FOREST
</t>
    </r>
    <r>
      <rPr>
        <rFont val="IBM Plex Sans Condensed"/>
        <b/>
        <color rgb="FF000000"/>
        <sz val="13.0"/>
      </rPr>
      <t>BRENDAN</t>
    </r>
  </si>
  <si>
    <t>Meditite</t>
  </si>
  <si>
    <t>Corphish</t>
  </si>
  <si>
    <t>Numel</t>
  </si>
  <si>
    <t>Treecko</t>
  </si>
  <si>
    <t>Pure Power</t>
  </si>
  <si>
    <t>Simple</t>
  </si>
  <si>
    <t>Passho Berry</t>
  </si>
  <si>
    <r>
      <rPr>
        <rFont val="IBM Plex Sans Condensed"/>
        <color rgb="FF000000"/>
        <sz val="13.0"/>
      </rPr>
      <t xml:space="preserve">CERULEAN CITY
</t>
    </r>
    <r>
      <rPr>
        <rFont val="IBM Plex Sans Condensed"/>
        <b/>
        <color rgb="FF000000"/>
        <sz val="13.0"/>
      </rPr>
      <t>RIVAL</t>
    </r>
  </si>
  <si>
    <t>Eevee</t>
  </si>
  <si>
    <t>Simisear</t>
  </si>
  <si>
    <t>Arbok</t>
  </si>
  <si>
    <t>Wartortle</t>
  </si>
  <si>
    <t>Sage Power</t>
  </si>
  <si>
    <t>Black Belt</t>
  </si>
  <si>
    <t>Eevium Z</t>
  </si>
  <si>
    <t>Charcoal</t>
  </si>
  <si>
    <t>Poison Barb</t>
  </si>
  <si>
    <t>Last Resort</t>
  </si>
  <si>
    <t>Double Kick</t>
  </si>
  <si>
    <t>Low Sweep</t>
  </si>
  <si>
    <t>Bite</t>
  </si>
  <si>
    <t>Thunder Fang</t>
  </si>
  <si>
    <t>HP Electric</t>
  </si>
  <si>
    <t>EVOBOOST:</t>
  </si>
  <si>
    <r>
      <rPr>
        <rFont val="IBM Plex Sans Condensed"/>
        <color rgb="FF000000"/>
        <sz val="13.0"/>
      </rPr>
      <t xml:space="preserve">CERULEAN CITY
</t>
    </r>
    <r>
      <rPr>
        <rFont val="IBM Plex Sans Condensed"/>
        <b/>
        <color rgb="FF000000"/>
        <sz val="13.0"/>
      </rPr>
      <t>RIVAL</t>
    </r>
  </si>
  <si>
    <t>Hitmontop</t>
  </si>
  <si>
    <t>Simisage</t>
  </si>
  <si>
    <t>Charmeleon</t>
  </si>
  <si>
    <t>Blaze</t>
  </si>
  <si>
    <t>Miracle Seed</t>
  </si>
  <si>
    <t>Fire Punch</t>
  </si>
  <si>
    <t>Power Gem</t>
  </si>
  <si>
    <t>Thief</t>
  </si>
  <si>
    <t>Brick Break</t>
  </si>
  <si>
    <r>
      <rPr>
        <rFont val="IBM Plex Sans Condensed"/>
        <color rgb="FF000000"/>
        <sz val="13.0"/>
      </rPr>
      <t xml:space="preserve">CERULEAN CITY
</t>
    </r>
    <r>
      <rPr>
        <rFont val="IBM Plex Sans Condensed"/>
        <b/>
        <color rgb="FF000000"/>
        <sz val="13.0"/>
      </rPr>
      <t>RIVAL</t>
    </r>
  </si>
  <si>
    <t>Hitmonchan</t>
  </si>
  <si>
    <t>Simipour</t>
  </si>
  <si>
    <t>Ivysaur</t>
  </si>
  <si>
    <t>Leech Seed</t>
  </si>
  <si>
    <r>
      <rPr>
        <rFont val="IBM Plex Sans Condensed"/>
        <color rgb="FF000000"/>
        <sz val="13.0"/>
      </rPr>
      <t xml:space="preserve">S.S. ANNE
</t>
    </r>
    <r>
      <rPr>
        <rFont val="IBM Plex Sans Condensed"/>
        <b/>
        <color rgb="FF000000"/>
        <sz val="13.0"/>
      </rPr>
      <t>BRENDAN</t>
    </r>
  </si>
  <si>
    <t>Crawdaunt</t>
  </si>
  <si>
    <t>Slaking</t>
  </si>
  <si>
    <t>Plusle</t>
  </si>
  <si>
    <t>Gardevoir</t>
  </si>
  <si>
    <t>Sceptile</t>
  </si>
  <si>
    <t>Hariyama</t>
  </si>
  <si>
    <t>Player Max Level</t>
  </si>
  <si>
    <t>Truant</t>
  </si>
  <si>
    <t>Transistor</t>
  </si>
  <si>
    <t>Flame Orb</t>
  </si>
  <si>
    <t>Body Slam</t>
  </si>
  <si>
    <t>Leaf Blade</t>
  </si>
  <si>
    <r>
      <rPr>
        <rFont val="IBM Plex Sans Condensed"/>
        <color rgb="FF000000"/>
        <sz val="13.0"/>
      </rPr>
      <t xml:space="preserve">SILPH CO.
</t>
    </r>
    <r>
      <rPr>
        <rFont val="IBM Plex Sans Condensed"/>
        <b/>
        <color rgb="FF000000"/>
        <sz val="13.0"/>
      </rPr>
      <t>RIVAL</t>
    </r>
  </si>
  <si>
    <t>Azelf</t>
  </si>
  <si>
    <t>Celesteela</t>
  </si>
  <si>
    <t>Electivire</t>
  </si>
  <si>
    <t>Jumpluff</t>
  </si>
  <si>
    <t>Darmanitan</t>
  </si>
  <si>
    <t>Blastoise-Mega</t>
  </si>
  <si>
    <t>Aerilate</t>
  </si>
  <si>
    <r>
      <rPr>
        <rFont val="IBM Plex Sans Condensed"/>
        <color theme="1"/>
        <sz val="11.0"/>
      </rPr>
      <t xml:space="preserve">Torrent
</t>
    </r>
    <r>
      <rPr>
        <rFont val="IBM Plex Sans Condensed"/>
        <b/>
        <color theme="1"/>
        <sz val="10.0"/>
      </rPr>
      <t>Mega Launcher (Mega)</t>
    </r>
  </si>
  <si>
    <t>Electirizer</t>
  </si>
  <si>
    <t>Sharp Beak</t>
  </si>
  <si>
    <t>Blastoisinite</t>
  </si>
  <si>
    <t>Spore</t>
  </si>
  <si>
    <t>LEVEL 56 -&gt;&gt;</t>
  </si>
  <si>
    <r>
      <rPr>
        <rFont val="IBM Plex Sans Condensed"/>
        <color rgb="FF000000"/>
        <sz val="13.0"/>
      </rPr>
      <t xml:space="preserve">SILPH CO.
</t>
    </r>
    <r>
      <rPr>
        <rFont val="IBM Plex Sans Condensed"/>
        <b/>
        <color rgb="FF000000"/>
        <sz val="13.0"/>
      </rPr>
      <t>RIVAL</t>
    </r>
  </si>
  <si>
    <t>Gorebyss</t>
  </si>
  <si>
    <r>
      <rPr>
        <rFont val="IBM Plex Sans Condensed"/>
        <color theme="1"/>
        <sz val="11.0"/>
      </rPr>
      <t xml:space="preserve">Solar Power
</t>
    </r>
    <r>
      <rPr>
        <rFont val="IBM Plex Sans Condensed"/>
        <b/>
        <color theme="1"/>
        <sz val="11.0"/>
      </rPr>
      <t>Tough Claws (Mega)</t>
    </r>
  </si>
  <si>
    <r>
      <rPr>
        <rFont val="IBM Plex Sans Condensed"/>
        <color rgb="FF000000"/>
        <sz val="13.0"/>
      </rPr>
      <t xml:space="preserve">SILPH CO.
</t>
    </r>
    <r>
      <rPr>
        <rFont val="IBM Plex Sans Condensed"/>
        <b/>
        <color rgb="FF000000"/>
        <sz val="13.0"/>
      </rPr>
      <t>RIVAL</t>
    </r>
  </si>
  <si>
    <t>Venusaur-Mega</t>
  </si>
  <si>
    <r>
      <rPr>
        <rFont val="IBM Plex Sans Condensed"/>
        <color theme="1"/>
        <sz val="11.0"/>
      </rPr>
      <t xml:space="preserve">Overgrow
</t>
    </r>
    <r>
      <rPr>
        <rFont val="IBM Plex Sans Condensed"/>
        <b/>
        <color theme="1"/>
        <sz val="11.0"/>
      </rPr>
      <t>Thick Fat (Mega)</t>
    </r>
  </si>
  <si>
    <t>Venusaurite</t>
  </si>
  <si>
    <r>
      <rPr>
        <rFont val="IBM Plex Sans Condensed"/>
        <b/>
        <color rgb="FFF64A42"/>
        <sz val="13.0"/>
        <u/>
      </rPr>
      <t xml:space="preserve">NIHILEGO </t>
    </r>
    <r>
      <rPr>
        <rFont val="IBM Plex Sans Condensed"/>
        <b/>
        <color rgb="FF000000"/>
        <sz val="13.0"/>
        <u/>
      </rPr>
      <t xml:space="preserve">HAS </t>
    </r>
    <r>
      <rPr>
        <rFont val="IBM Plex Sans Condensed"/>
        <b/>
        <color rgb="FFF64A42"/>
        <sz val="13.0"/>
        <u/>
      </rPr>
      <t>21 SPECIAL DEFENSE IVs</t>
    </r>
    <r>
      <rPr>
        <rFont val="IBM Plex Sans Condensed"/>
        <b/>
        <color rgb="FF000000"/>
        <sz val="13.0"/>
        <u/>
      </rPr>
      <t xml:space="preserve"> IN ORDER FOR BEAST BOOST TO BOOST SPECIAL ATTACK</t>
    </r>
  </si>
  <si>
    <r>
      <rPr>
        <rFont val="IBM Plex Sans Condensed"/>
        <color rgb="FF000000"/>
        <sz val="13.0"/>
      </rPr>
      <t xml:space="preserve">FUCHSIA CITY
</t>
    </r>
    <r>
      <rPr>
        <rFont val="IBM Plex Sans Condensed"/>
        <b/>
        <color rgb="FF000000"/>
        <sz val="13.0"/>
      </rPr>
      <t>BRENDAN</t>
    </r>
  </si>
  <si>
    <t>Gengar</t>
  </si>
  <si>
    <t>Nihilego</t>
  </si>
  <si>
    <t>Tapu Koko</t>
  </si>
  <si>
    <t>Urshifu-R</t>
  </si>
  <si>
    <t>Deoxys-A</t>
  </si>
  <si>
    <t>Unseen Fist</t>
  </si>
  <si>
    <r>
      <rPr>
        <rFont val="IBM Plex Sans Condensed"/>
        <color theme="1"/>
        <sz val="11.0"/>
      </rPr>
      <t xml:space="preserve">Overgrow
</t>
    </r>
    <r>
      <rPr>
        <rFont val="IBM Plex Sans Condensed"/>
        <b/>
        <color theme="1"/>
        <sz val="11.0"/>
      </rPr>
      <t>Technician (Mega)</t>
    </r>
  </si>
  <si>
    <t>Surg. Strikes</t>
  </si>
  <si>
    <t>Dual Chop</t>
  </si>
  <si>
    <r>
      <rPr>
        <rFont val="IBM Plex Sans Condensed"/>
        <b/>
        <color rgb="FF000000"/>
        <sz val="13.0"/>
        <u/>
      </rPr>
      <t xml:space="preserve">BATTLE EFFECT: </t>
    </r>
    <r>
      <rPr>
        <rFont val="IBM Plex Sans Condensed"/>
        <b/>
        <color rgb="FFF64A42"/>
        <sz val="13.0"/>
        <u/>
      </rPr>
      <t>PERMANENT MAGMA STORM (FIRE TYPES ARE IMMUNE)</t>
    </r>
  </si>
  <si>
    <r>
      <rPr>
        <rFont val="IBM Plex Sans Condensed"/>
        <color rgb="FF000000"/>
        <sz val="13.0"/>
      </rPr>
      <t xml:space="preserve">CINNABAR ISL.
</t>
    </r>
    <r>
      <rPr>
        <rFont val="IBM Plex Sans Condensed"/>
        <b/>
        <color rgb="FF000000"/>
        <sz val="13.0"/>
      </rPr>
      <t>MAY</t>
    </r>
  </si>
  <si>
    <t>Aggron</t>
  </si>
  <si>
    <t>Regieleki</t>
  </si>
  <si>
    <t>Slowbro</t>
  </si>
  <si>
    <t>Snorlax</t>
  </si>
  <si>
    <t>Blaziken-Mega</t>
  </si>
  <si>
    <t>Thick Fat</t>
  </si>
  <si>
    <t>Speed Boost (Both)</t>
  </si>
  <si>
    <t>Custap Berry</t>
  </si>
  <si>
    <t>Flying Gem</t>
  </si>
  <si>
    <t>Blazikenite</t>
  </si>
  <si>
    <t>Electro Ball</t>
  </si>
  <si>
    <t>Darkest Lariat</t>
  </si>
  <si>
    <t>Heat Crash</t>
  </si>
  <si>
    <t>Endeavor</t>
  </si>
  <si>
    <t>Synthesis</t>
  </si>
  <si>
    <r>
      <rPr>
        <rFont val="IBM Plex Sans Condensed"/>
        <b/>
        <color rgb="FF000000"/>
        <sz val="13.0"/>
        <u/>
      </rPr>
      <t xml:space="preserve">BATTLE EFFECT: </t>
    </r>
    <r>
      <rPr>
        <rFont val="IBM Plex Sans Condensed"/>
        <b/>
        <color rgb="FFF64A42"/>
        <sz val="13.0"/>
        <u/>
      </rPr>
      <t>PERMANENT RAIN + RIVAL HAS SERENE GRACE EFFECT</t>
    </r>
  </si>
  <si>
    <r>
      <rPr>
        <rFont val="IBM Plex Sans Condensed"/>
        <color rgb="FF000000"/>
        <sz val="13.0"/>
      </rPr>
      <t xml:space="preserve">ROUTE 22 #2
</t>
    </r>
    <r>
      <rPr>
        <rFont val="IBM Plex Sans Condensed"/>
        <b/>
        <color rgb="FF000000"/>
        <sz val="13.0"/>
      </rPr>
      <t>RIVAL</t>
    </r>
  </si>
  <si>
    <t>Zapdos</t>
  </si>
  <si>
    <t>Ferrothorn</t>
  </si>
  <si>
    <t>Basculegion</t>
  </si>
  <si>
    <t>Goodra</t>
  </si>
  <si>
    <t>Relaxed</t>
  </si>
  <si>
    <t>Static</t>
  </si>
  <si>
    <t>Iron Barbs</t>
  </si>
  <si>
    <t>Hydration</t>
  </si>
  <si>
    <r>
      <rPr>
        <rFont val="IBM Plex Sans Condensed"/>
        <color theme="1"/>
        <sz val="11.0"/>
      </rPr>
      <t xml:space="preserve">Rain Dish
</t>
    </r>
    <r>
      <rPr>
        <rFont val="IBM Plex Sans Condensed"/>
        <b/>
        <color theme="1"/>
        <sz val="10.0"/>
      </rPr>
      <t>Mega Launcher (Mega)</t>
    </r>
  </si>
  <si>
    <t>Wave Crash</t>
  </si>
  <si>
    <t>Last Respects</t>
  </si>
  <si>
    <t>LEVEL 82 -&gt;&gt;</t>
  </si>
  <si>
    <r>
      <rPr>
        <rFont val="IBM Plex Sans Condensed"/>
        <b/>
        <color rgb="FF000000"/>
        <sz val="13.0"/>
        <u/>
      </rPr>
      <t xml:space="preserve">BATTLE EFFECT: </t>
    </r>
    <r>
      <rPr>
        <rFont val="IBM Plex Sans Condensed"/>
        <b/>
        <color rgb="FFF64A42"/>
        <sz val="13.0"/>
        <u/>
      </rPr>
      <t>PERMANENT MAGMA STORM (FIRE TYPES ARE IMMUNE)</t>
    </r>
  </si>
  <si>
    <r>
      <rPr>
        <rFont val="IBM Plex Sans Condensed"/>
        <color rgb="FF000000"/>
        <sz val="13.0"/>
      </rPr>
      <t xml:space="preserve">ROUTE 22 #2
</t>
    </r>
    <r>
      <rPr>
        <rFont val="IBM Plex Sans Condensed"/>
        <b/>
        <color rgb="FF000000"/>
        <sz val="13.0"/>
      </rPr>
      <t>RIVAL</t>
    </r>
  </si>
  <si>
    <t>Charizard-MegaY</t>
  </si>
  <si>
    <t>Garchomp</t>
  </si>
  <si>
    <t>Sunflora</t>
  </si>
  <si>
    <t>Latias</t>
  </si>
  <si>
    <r>
      <rPr>
        <rFont val="IBM Plex Sans Condensed"/>
        <color theme="1"/>
        <sz val="11.0"/>
      </rPr>
      <t xml:space="preserve">Blaze
</t>
    </r>
    <r>
      <rPr>
        <rFont val="IBM Plex Sans Condensed"/>
        <b/>
        <color theme="1"/>
        <sz val="11.0"/>
      </rPr>
      <t>Drought (Mega)</t>
    </r>
  </si>
  <si>
    <t>Rough Skin</t>
  </si>
  <si>
    <t>Charizardite Y</t>
  </si>
  <si>
    <t>Yache Berry</t>
  </si>
  <si>
    <t>Mist Ball</t>
  </si>
  <si>
    <t>Behem. Bash</t>
  </si>
  <si>
    <r>
      <rPr>
        <rFont val="IBM Plex Sans Condensed"/>
        <b/>
        <color rgb="FF000000"/>
        <sz val="13.0"/>
        <u/>
      </rPr>
      <t xml:space="preserve">BATTLE EFFECT: </t>
    </r>
    <r>
      <rPr>
        <rFont val="IBM Plex Sans Condensed"/>
        <b/>
        <color rgb="FFF64A42"/>
        <sz val="13.0"/>
        <u/>
      </rPr>
      <t>PERMANENT SWAMP (PLAYER'S POKEMON SPEED STAT IS QUARTERED)</t>
    </r>
  </si>
  <si>
    <r>
      <rPr>
        <rFont val="IBM Plex Sans Condensed"/>
        <color rgb="FF000000"/>
        <sz val="13.0"/>
      </rPr>
      <t xml:space="preserve">ROUTE 22 #2
</t>
    </r>
    <r>
      <rPr>
        <rFont val="IBM Plex Sans Condensed"/>
        <b/>
        <color rgb="FF000000"/>
        <sz val="13.0"/>
      </rPr>
      <t>RIVAL</t>
    </r>
  </si>
  <si>
    <t>Kingambit</t>
  </si>
  <si>
    <t>Primarina</t>
  </si>
  <si>
    <t>Chandelure</t>
  </si>
  <si>
    <t>Hydreigon</t>
  </si>
  <si>
    <t>Supreme Overlord</t>
  </si>
  <si>
    <t>Liquid Voice</t>
  </si>
  <si>
    <t>Shadow Tag</t>
  </si>
  <si>
    <r>
      <rPr>
        <rFont val="IBM Plex Sans Condensed"/>
        <color theme="1"/>
        <sz val="11.0"/>
      </rPr>
      <t xml:space="preserve">Overgrow
</t>
    </r>
    <r>
      <rPr>
        <rFont val="IBM Plex Sans Condensed"/>
        <b/>
        <color theme="1"/>
        <sz val="11.0"/>
      </rPr>
      <t>Thick Fat (Mega)</t>
    </r>
  </si>
  <si>
    <r>
      <rPr>
        <rFont val="IBM Plex Sans Condensed"/>
        <b/>
        <color rgb="FF000000"/>
        <sz val="13.0"/>
        <u/>
      </rPr>
      <t>BATTLE EFFECT:</t>
    </r>
    <r>
      <rPr>
        <rFont val="IBM Plex Sans Condensed"/>
        <b/>
        <color rgb="FFF64A42"/>
        <sz val="13.0"/>
        <u/>
      </rPr>
      <t xml:space="preserve"> PERMANENT SWAMP (PLAYER'S POKEMON SPEED STAT IS QUARTERED)</t>
    </r>
  </si>
  <si>
    <r>
      <rPr>
        <rFont val="IBM Plex Sans Condensed"/>
        <color rgb="FF000000"/>
        <sz val="13.0"/>
      </rPr>
      <t xml:space="preserve">ROUTE 23
</t>
    </r>
    <r>
      <rPr>
        <rFont val="IBM Plex Sans Condensed"/>
        <b/>
        <color rgb="FF000000"/>
        <sz val="13.0"/>
      </rPr>
      <t>BRENDAN</t>
    </r>
  </si>
  <si>
    <t>Tyrantrum</t>
  </si>
  <si>
    <t>Marowak-A</t>
  </si>
  <si>
    <t>Empoleon</t>
  </si>
  <si>
    <t>Rock Head</t>
  </si>
  <si>
    <t>Bone Zone</t>
  </si>
  <si>
    <r>
      <rPr>
        <rFont val="IBM Plex Sans Condensed"/>
        <color theme="1"/>
        <sz val="11.0"/>
      </rPr>
      <t xml:space="preserve">Overgrow
</t>
    </r>
    <r>
      <rPr>
        <rFont val="IBM Plex Sans Condensed"/>
        <b/>
        <color theme="1"/>
        <sz val="11.0"/>
      </rPr>
      <t>Technician (Mega)</t>
    </r>
  </si>
  <si>
    <t>Thick Club</t>
  </si>
  <si>
    <t>Shadow Bone</t>
  </si>
  <si>
    <t>Head Smash</t>
  </si>
  <si>
    <t>Bonemerang</t>
  </si>
  <si>
    <r>
      <rPr>
        <rFont val="IBM Plex Sans Condensed"/>
        <color rgb="FF000000"/>
        <sz val="13.0"/>
      </rPr>
      <t xml:space="preserve">MT. MOON
</t>
    </r>
    <r>
      <rPr>
        <rFont val="IBM Plex Sans Condensed"/>
        <b/>
        <color rgb="FF000000"/>
        <sz val="13.0"/>
      </rPr>
      <t>ARCHER</t>
    </r>
  </si>
  <si>
    <t>Glimmet</t>
  </si>
  <si>
    <t>Seviper</t>
  </si>
  <si>
    <t>Houndour</t>
  </si>
  <si>
    <t>Fearow</t>
  </si>
  <si>
    <t>Fatal Precision</t>
  </si>
  <si>
    <t>Strong Jaw</t>
  </si>
  <si>
    <t>Pursuit</t>
  </si>
  <si>
    <t>Venoshock</t>
  </si>
  <si>
    <t>Poison Fang</t>
  </si>
  <si>
    <t>Ice Fang</t>
  </si>
  <si>
    <t>Mud Shot</t>
  </si>
  <si>
    <t>Snarl</t>
  </si>
  <si>
    <t>Drill Run</t>
  </si>
  <si>
    <t>Hypnosis</t>
  </si>
  <si>
    <t>Double Hit</t>
  </si>
  <si>
    <t>LEVEL 23 -&gt;&gt;</t>
  </si>
  <si>
    <r>
      <rPr>
        <rFont val="IBM Plex Sans Condensed"/>
        <color rgb="FF000000"/>
        <sz val="13.0"/>
      </rPr>
      <t>NUGG. BRIDGE</t>
    </r>
    <r>
      <rPr>
        <rFont val="IBM Plex Sans Condensed"/>
        <color rgb="FF000000"/>
        <sz val="13.0"/>
      </rPr>
      <t xml:space="preserve">
</t>
    </r>
    <r>
      <rPr>
        <rFont val="IBM Plex Sans Condensed"/>
        <b/>
        <color rgb="FF000000"/>
        <sz val="13.0"/>
      </rPr>
      <t>GRUNT</t>
    </r>
  </si>
  <si>
    <t>Arcanine</t>
  </si>
  <si>
    <t>Togedemaru</t>
  </si>
  <si>
    <t>Comatose</t>
  </si>
  <si>
    <t>Silk Scarf</t>
  </si>
  <si>
    <t>Dragon Rage</t>
  </si>
  <si>
    <t>Flame Wheel</t>
  </si>
  <si>
    <t>Zippy Zap</t>
  </si>
  <si>
    <t>Dragon Tail</t>
  </si>
  <si>
    <t>-</t>
  </si>
  <si>
    <t>Poison Tail</t>
  </si>
  <si>
    <t>Nuzzle</t>
  </si>
  <si>
    <r>
      <rPr>
        <rFont val="IBM Plex Sans Condensed"/>
        <color rgb="FF000000"/>
        <sz val="13.0"/>
      </rPr>
      <t xml:space="preserve">DIG HOUSE
</t>
    </r>
    <r>
      <rPr>
        <rFont val="IBM Plex Sans Condensed"/>
        <b/>
        <color rgb="FF000000"/>
        <sz val="13.0"/>
      </rPr>
      <t>GRUNT</t>
    </r>
  </si>
  <si>
    <t>Crobat</t>
  </si>
  <si>
    <t>Veluza</t>
  </si>
  <si>
    <t>Feline Prowess</t>
  </si>
  <si>
    <t>Sniper</t>
  </si>
  <si>
    <t>Scope Lens</t>
  </si>
  <si>
    <t>Expert Belt</t>
  </si>
  <si>
    <t>Aqua Cutter</t>
  </si>
  <si>
    <t>Cross Poison</t>
  </si>
  <si>
    <t>Stom. Tantrum</t>
  </si>
  <si>
    <t>Shock Wave</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</si>
  <si>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</si>
  <si>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GAME CORNER
</t>
    </r>
    <r>
      <rPr>
        <rFont val="IBM Plex Sans Condensed"/>
        <b/>
        <color rgb="FF000000"/>
        <sz val="13.0"/>
      </rPr>
      <t>GUARD</t>
    </r>
  </si>
  <si>
    <t>Aerodactyl</t>
  </si>
  <si>
    <t>Tinkaton</t>
  </si>
  <si>
    <t>Inteleon</t>
  </si>
  <si>
    <t>Bad Dreams</t>
  </si>
  <si>
    <t>Own Tempo</t>
  </si>
  <si>
    <t>Colbur Berry</t>
  </si>
  <si>
    <t>Steel Gem</t>
  </si>
  <si>
    <t>Dark Void</t>
  </si>
  <si>
    <t>Giga. Hammer</t>
  </si>
  <si>
    <t>Snipe Shot</t>
  </si>
  <si>
    <t>LEVEL 47 -&gt;&gt;</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</si>
  <si>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</si>
  <si>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LEFT GUARD</t>
    </r>
  </si>
  <si>
    <t>Weezing-G</t>
  </si>
  <si>
    <t>Lilligant-H</t>
  </si>
  <si>
    <t>Neutralizing Gas</t>
  </si>
  <si>
    <t>Charti Berry</t>
  </si>
  <si>
    <t>Strange Steam</t>
  </si>
  <si>
    <t>Frost Breath</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</si>
  <si>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</si>
  <si>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RIGHT GUARD</t>
    </r>
  </si>
  <si>
    <t>Talonflame</t>
  </si>
  <si>
    <t>Shiftry</t>
  </si>
  <si>
    <t>Okidogi</t>
  </si>
  <si>
    <t>Rotom-W</t>
  </si>
  <si>
    <t>Gale Wings</t>
  </si>
  <si>
    <t>Wind Rider</t>
  </si>
  <si>
    <t>Toxic Chain</t>
  </si>
  <si>
    <t>Wide Lens</t>
  </si>
  <si>
    <t>Ceaseless Edge</t>
  </si>
  <si>
    <t>Fire Blast</t>
  </si>
  <si>
    <r>
      <rPr>
        <rFont val="IBM Plex Sans Condensed"/>
        <color rgb="FF000000"/>
        <sz val="13.0"/>
      </rPr>
      <t xml:space="preserve">ROCKET HIDE.
</t>
    </r>
    <r>
      <rPr>
        <rFont val="IBM Plex Sans Condensed"/>
        <b/>
        <color rgb="FF000000"/>
        <sz val="13.0"/>
      </rPr>
      <t>GIOVANNI</t>
    </r>
  </si>
  <si>
    <t>Infernape</t>
  </si>
  <si>
    <t>Torterra</t>
  </si>
  <si>
    <t>Orthworm</t>
  </si>
  <si>
    <t>Gyarados</t>
  </si>
  <si>
    <t>Kangaskhan-Mega</t>
  </si>
  <si>
    <t>Earth Eater</t>
  </si>
  <si>
    <r>
      <rPr>
        <rFont val="IBM Plex Sans Condensed"/>
        <color theme="1"/>
        <sz val="11.0"/>
      </rPr>
      <t xml:space="preserve">Inner Focus
</t>
    </r>
    <r>
      <rPr>
        <rFont val="IBM Plex Sans Condensed"/>
        <b/>
        <color theme="1"/>
        <sz val="10.0"/>
      </rPr>
      <t>Parental Bond (Mega)</t>
    </r>
  </si>
  <si>
    <t>Kangaskhanite</t>
  </si>
  <si>
    <t>Pyro Ball</t>
  </si>
  <si>
    <t>Wood Hammer</t>
  </si>
  <si>
    <t>Bounce</t>
  </si>
  <si>
    <r>
      <rPr>
        <rFont val="IBM Plex Sans Condensed"/>
        <color rgb="FF000000"/>
        <sz val="13.0"/>
      </rPr>
      <t xml:space="preserve">PKMN TOWER
</t>
    </r>
    <r>
      <rPr>
        <rFont val="IBM Plex Sans Condensed"/>
        <b/>
        <color rgb="FF000000"/>
        <sz val="13.0"/>
      </rPr>
      <t>GRUNT 1</t>
    </r>
  </si>
  <si>
    <t>Pelipper</t>
  </si>
  <si>
    <t>Overqwil</t>
  </si>
  <si>
    <t>Ninetales-A</t>
  </si>
  <si>
    <t>Mr. Rime</t>
  </si>
  <si>
    <t>Ice Body</t>
  </si>
  <si>
    <t>Choice Specs</t>
  </si>
  <si>
    <t>Gunk Shot</t>
  </si>
  <si>
    <t>Throat Chop</t>
  </si>
  <si>
    <r>
      <rPr>
        <rFont val="IBM Plex Sans Condensed"/>
        <color rgb="FF000000"/>
        <sz val="13.0"/>
      </rPr>
      <t xml:space="preserve">PKMN TOWER
</t>
    </r>
    <r>
      <rPr>
        <rFont val="IBM Plex Sans Condensed"/>
        <b/>
        <color rgb="FF000000"/>
        <sz val="13.0"/>
      </rPr>
      <t>GRUNT 2</t>
    </r>
  </si>
  <si>
    <t>Klefki</t>
  </si>
  <si>
    <t>Obstagoon</t>
  </si>
  <si>
    <t>Braviary</t>
  </si>
  <si>
    <t>Dragalge</t>
  </si>
  <si>
    <t>Honchkrow</t>
  </si>
  <si>
    <t>Prankster</t>
  </si>
  <si>
    <t>Super Luck</t>
  </si>
  <si>
    <t>Drill Peck</t>
  </si>
  <si>
    <t>Foul Play</t>
  </si>
  <si>
    <t>Heat Wave</t>
  </si>
  <si>
    <r>
      <rPr>
        <rFont val="IBM Plex Sans Condensed"/>
        <color rgb="FF000000"/>
        <sz val="13.0"/>
      </rPr>
      <t xml:space="preserve">PKMN TOWER
</t>
    </r>
    <r>
      <rPr>
        <rFont val="IBM Plex Sans Condensed"/>
        <b/>
        <color rgb="FF000000"/>
        <sz val="13.0"/>
      </rPr>
      <t>GRUNT 3</t>
    </r>
  </si>
  <si>
    <t>Golurk</t>
  </si>
  <si>
    <t>Magnet Pull</t>
  </si>
  <si>
    <t>Misty Explosion</t>
  </si>
  <si>
    <t>Fickle Beam</t>
  </si>
  <si>
    <r>
      <rPr>
        <rFont val="IBM Plex Sans Condensed"/>
        <b/>
        <color rgb="FF000000"/>
        <sz val="13.0"/>
        <u/>
      </rPr>
      <t>BATTLE EFFECT:</t>
    </r>
    <r>
      <rPr>
        <rFont val="IBM Plex Sans Condensed"/>
        <b/>
        <color rgb="FFEA4335"/>
        <sz val="13.0"/>
        <u/>
      </rPr>
      <t xml:space="preserve"> DOUBLES WITH PARTNER BRENDAN</t>
    </r>
  </si>
  <si>
    <r>
      <rPr>
        <rFont val="IBM Plex Sans Condensed"/>
        <color rgb="FF000000"/>
        <sz val="13.0"/>
      </rPr>
      <t xml:space="preserve">SILPH CO.
</t>
    </r>
    <r>
      <rPr>
        <rFont val="IBM Plex Sans Condensed"/>
        <b/>
        <color rgb="FF000000"/>
        <sz val="13.0"/>
      </rPr>
      <t xml:space="preserve">ARIANA
</t>
    </r>
    <r>
      <rPr>
        <rFont val="IBM Plex Sans Condensed"/>
        <color rgb="FF000000"/>
        <sz val="13.0"/>
      </rPr>
      <t xml:space="preserve">&amp;
</t>
    </r>
    <r>
      <rPr>
        <rFont val="IBM Plex Sans Condensed"/>
        <b/>
        <color rgb="FF000000"/>
        <sz val="13.0"/>
      </rPr>
      <t>ARCHER</t>
    </r>
  </si>
  <si>
    <t>Incineroar</t>
  </si>
  <si>
    <t>Mawile-Mega</t>
  </si>
  <si>
    <t>Articuno-G</t>
  </si>
  <si>
    <t>Gholdengo</t>
  </si>
  <si>
    <t>Houndoom-Mega</t>
  </si>
  <si>
    <r>
      <rPr>
        <rFont val="IBM Plex Sans Condensed"/>
        <color theme="1"/>
        <sz val="11.0"/>
      </rPr>
      <t xml:space="preserve">Intimidate
</t>
    </r>
    <r>
      <rPr>
        <rFont val="IBM Plex Sans Condensed"/>
        <b/>
        <color theme="1"/>
        <sz val="11.0"/>
      </rPr>
      <t>Huge Power (Mega)</t>
    </r>
  </si>
  <si>
    <t>Good As Gold</t>
  </si>
  <si>
    <r>
      <rPr>
        <rFont val="IBM Plex Sans Condensed"/>
        <color theme="1"/>
        <sz val="11.0"/>
      </rPr>
      <t xml:space="preserve">Early Bird
</t>
    </r>
    <r>
      <rPr>
        <rFont val="IBM Plex Sans Condensed"/>
        <b/>
        <color theme="1"/>
        <sz val="11.0"/>
      </rPr>
      <t>Dark Aura (Mega)</t>
    </r>
  </si>
  <si>
    <t>Throat Spray</t>
  </si>
  <si>
    <t>Mawilite</t>
  </si>
  <si>
    <t>Ghostium Z</t>
  </si>
  <si>
    <t>Houndoominite</t>
  </si>
  <si>
    <t>Make It Rain</t>
  </si>
  <si>
    <t>Fiery Wrath</t>
  </si>
  <si>
    <t>Scorch. Sands</t>
  </si>
  <si>
    <r>
      <rPr>
        <rFont val="IBM Plex Sans Condensed"/>
        <color rgb="FF000000"/>
        <sz val="13.0"/>
      </rPr>
      <t xml:space="preserve">PARTNER
</t>
    </r>
    <r>
      <rPr>
        <rFont val="IBM Plex Sans Condensed"/>
        <b/>
        <color rgb="FF000000"/>
        <sz val="13.0"/>
      </rPr>
      <t>BRENDAN</t>
    </r>
  </si>
  <si>
    <t>Exploud</t>
  </si>
  <si>
    <r>
      <rPr>
        <rFont val="IBM Plex Sans Condensed"/>
        <color theme="1"/>
        <sz val="11.0"/>
      </rPr>
      <t xml:space="preserve">Unburden
</t>
    </r>
    <r>
      <rPr>
        <rFont val="IBM Plex Sans Condensed"/>
        <b/>
        <color theme="1"/>
        <sz val="11.0"/>
      </rPr>
      <t>Technician (Mega)</t>
    </r>
  </si>
  <si>
    <t xml:space="preserve">Flamethrower </t>
  </si>
  <si>
    <t>Dragon Breath</t>
  </si>
  <si>
    <t>Stun Spore</t>
  </si>
  <si>
    <r>
      <rPr>
        <rFont val="IBM Plex Sans Condensed"/>
        <b/>
        <color rgb="FF000000"/>
        <sz val="13.0"/>
        <u/>
      </rPr>
      <t xml:space="preserve">BATTLE EFFECT: </t>
    </r>
    <r>
      <rPr>
        <rFont val="IBM Plex Sans Condensed"/>
        <b/>
        <color rgb="FFF64A42"/>
        <sz val="13.0"/>
        <u/>
      </rPr>
      <t>PERMANENT SANDSTORM</t>
    </r>
  </si>
  <si>
    <r>
      <rPr>
        <rFont val="IBM Plex Sans Condensed"/>
        <color rgb="FF000000"/>
        <sz val="13.0"/>
      </rPr>
      <t xml:space="preserve">SILPH CO.
</t>
    </r>
    <r>
      <rPr>
        <rFont val="IBM Plex Sans Condensed"/>
        <b/>
        <color rgb="FF000000"/>
        <sz val="13.0"/>
      </rPr>
      <t>GIOVANNI</t>
    </r>
  </si>
  <si>
    <t>Mamoswine</t>
  </si>
  <si>
    <t>Dracovish</t>
  </si>
  <si>
    <t>Garganacl</t>
  </si>
  <si>
    <t>Excadrill</t>
  </si>
  <si>
    <t>Garchomp-Mega</t>
  </si>
  <si>
    <t>Purifying Salt</t>
  </si>
  <si>
    <r>
      <rPr>
        <rFont val="IBM Plex Sans Condensed"/>
        <color theme="1"/>
        <sz val="11.0"/>
      </rPr>
      <t xml:space="preserve">Sand Veil
</t>
    </r>
    <r>
      <rPr>
        <rFont val="IBM Plex Sans Condensed"/>
        <b/>
        <color theme="1"/>
        <sz val="11.0"/>
      </rPr>
      <t>Sand Force (Mega)</t>
    </r>
  </si>
  <si>
    <t>Garchompite</t>
  </si>
  <si>
    <t>Ice Shard</t>
  </si>
  <si>
    <t>Salt Cure</t>
  </si>
  <si>
    <r>
      <rPr>
        <rFont val="IBM Plex Sans Condensed"/>
        <color rgb="FF000000"/>
        <sz val="13.0"/>
      </rPr>
      <t xml:space="preserve">CERULEA. CAVE
</t>
    </r>
    <r>
      <rPr>
        <rFont val="IBM Plex Sans Condensed"/>
        <b/>
        <color rgb="FF000000"/>
        <sz val="13.0"/>
      </rPr>
      <t>GRUNT 1</t>
    </r>
  </si>
  <si>
    <t>Glimmora</t>
  </si>
  <si>
    <t>Mandibuzz</t>
  </si>
  <si>
    <t>Blissey</t>
  </si>
  <si>
    <t>Tangrowth</t>
  </si>
  <si>
    <t>Garbodor-Mega</t>
  </si>
  <si>
    <r>
      <rPr>
        <rFont val="IBM Plex Sans Condensed"/>
        <color theme="1"/>
        <sz val="11.0"/>
      </rPr>
      <t xml:space="preserve">Gooey
</t>
    </r>
    <r>
      <rPr>
        <rFont val="IBM Plex Sans Condensed"/>
        <b/>
        <color theme="1"/>
        <sz val="9.0"/>
      </rPr>
      <t>Parasitic Waste (Mega)</t>
    </r>
  </si>
  <si>
    <t>Garbodorite</t>
  </si>
  <si>
    <t>Seismic Toss</t>
  </si>
  <si>
    <t>Soft-Boiled</t>
  </si>
  <si>
    <t>Future Sight</t>
  </si>
  <si>
    <t>LEVEL 79 -&gt;&gt;</t>
  </si>
  <si>
    <r>
      <rPr>
        <rFont val="IBM Plex Sans Condensed"/>
        <b/>
        <color theme="1"/>
        <sz val="13.0"/>
        <u/>
      </rPr>
      <t xml:space="preserve">BATTLE EFFECT: </t>
    </r>
    <r>
      <rPr>
        <rFont val="IBM Plex Sans Condensed"/>
        <b/>
        <color rgb="FFEA4335"/>
        <sz val="13.0"/>
        <u/>
      </rPr>
      <t>URSARING IS PRE-BURNED</t>
    </r>
  </si>
  <si>
    <r>
      <rPr>
        <rFont val="IBM Plex Sans Condensed"/>
        <color rgb="FF000000"/>
        <sz val="13.0"/>
      </rPr>
      <t xml:space="preserve">CERULEA. CAVE
</t>
    </r>
    <r>
      <rPr>
        <rFont val="IBM Plex Sans Condensed"/>
        <b/>
        <color rgb="FF000000"/>
        <sz val="13.0"/>
      </rPr>
      <t>GRUNT 2</t>
    </r>
  </si>
  <si>
    <t>Grimmsnarl</t>
  </si>
  <si>
    <t>Ursaring</t>
  </si>
  <si>
    <t>Espathra</t>
  </si>
  <si>
    <t>Sharpedo-Mega</t>
  </si>
  <si>
    <r>
      <rPr>
        <rFont val="IBM Plex Sans Condensed"/>
        <color theme="1"/>
        <sz val="11.0"/>
      </rPr>
      <t xml:space="preserve">Speed Boost
</t>
    </r>
    <r>
      <rPr>
        <rFont val="IBM Plex Sans Condensed"/>
        <b/>
        <color theme="1"/>
        <sz val="11.0"/>
      </rPr>
      <t>Strong Jaw (Mega)</t>
    </r>
  </si>
  <si>
    <t>Light Clay</t>
  </si>
  <si>
    <t>Sharpedonite</t>
  </si>
  <si>
    <t>Reflect</t>
  </si>
  <si>
    <t>Aqua Fang</t>
  </si>
  <si>
    <t>Light Screen</t>
  </si>
  <si>
    <t>Spirit Break</t>
  </si>
  <si>
    <r>
      <rPr>
        <rFont val="IBM Plex Sans Condensed"/>
        <color rgb="FF000000"/>
        <sz val="13.0"/>
      </rPr>
      <t xml:space="preserve">CERULEA. CAVE
</t>
    </r>
    <r>
      <rPr>
        <rFont val="IBM Plex Sans Condensed"/>
        <b/>
        <color rgb="FF000000"/>
        <sz val="13.0"/>
      </rPr>
      <t>ARCHER</t>
    </r>
  </si>
  <si>
    <t>Exeggutor</t>
  </si>
  <si>
    <t>Landorus-T</t>
  </si>
  <si>
    <r>
      <rPr>
        <rFont val="IBM Plex Sans Condensed"/>
        <color theme="1"/>
        <sz val="11.0"/>
      </rPr>
      <t xml:space="preserve">Flash Fire
</t>
    </r>
    <r>
      <rPr>
        <rFont val="IBM Plex Sans Condensed"/>
        <b/>
        <color theme="1"/>
        <sz val="11.0"/>
      </rPr>
      <t>Solar Power (Mega)</t>
    </r>
  </si>
  <si>
    <t>Dark Hole</t>
  </si>
  <si>
    <t>Fly</t>
  </si>
  <si>
    <t>(!) BACK TO BACK</t>
  </si>
  <si>
    <r>
      <rPr>
        <rFont val="IBM Plex Sans Condensed"/>
        <color rgb="FF000000"/>
        <sz val="13.0"/>
      </rPr>
      <t xml:space="preserve">CERULEA. CAVE
</t>
    </r>
    <r>
      <rPr>
        <rFont val="IBM Plex Sans Condensed"/>
        <b/>
        <color rgb="FF000000"/>
        <sz val="13.0"/>
      </rPr>
      <t>ARIANA</t>
    </r>
  </si>
  <si>
    <t>Espeon</t>
  </si>
  <si>
    <t>Buzzwole</t>
  </si>
  <si>
    <t>Blubber Defense</t>
  </si>
  <si>
    <r>
      <rPr>
        <rFont val="IBM Plex Sans Condensed"/>
        <color theme="1"/>
        <sz val="11.0"/>
      </rPr>
      <t xml:space="preserve">Intimidate
</t>
    </r>
    <r>
      <rPr>
        <rFont val="IBM Plex Sans Condensed"/>
        <b/>
        <color theme="1"/>
        <sz val="11.0"/>
      </rPr>
      <t>Huge Power (Mega)</t>
    </r>
  </si>
  <si>
    <t>Coba Berry</t>
  </si>
  <si>
    <t>Bouncy Bubble</t>
  </si>
  <si>
    <t>Double I. Bash</t>
  </si>
  <si>
    <t>Leech Life</t>
  </si>
  <si>
    <r>
      <rPr>
        <rFont val="IBM Plex Sans Condensed"/>
        <b/>
        <color rgb="FF000000"/>
        <sz val="13.0"/>
        <u/>
      </rPr>
      <t>BATTLE EFFECT:</t>
    </r>
    <r>
      <rPr>
        <rFont val="IBM Plex Sans Condensed"/>
        <b/>
        <color rgb="FFEA4335"/>
        <sz val="13.0"/>
        <u/>
      </rPr>
      <t xml:space="preserve"> </t>
    </r>
    <r>
      <rPr>
        <rFont val="IBM Plex Sans Condensed"/>
        <b/>
        <color rgb="FFEA3535"/>
        <sz val="13.0"/>
        <u/>
      </rPr>
      <t>DOUBLES WITH PARTNER LANCE + PERMANENT PSYCHIC TERRAIN + MEWTWO MEGA 
EVOLVES AFTER FAINTING FOR 1ST TIME</t>
    </r>
  </si>
  <si>
    <r>
      <rPr>
        <rFont val="IBM Plex Sans Condensed"/>
        <color rgb="FF000000"/>
        <sz val="13.0"/>
      </rPr>
      <t xml:space="preserve">CERULEA. CAVE
</t>
    </r>
    <r>
      <rPr>
        <rFont val="IBM Plex Sans Condensed"/>
        <b/>
        <color rgb="FF000000"/>
        <sz val="13.0"/>
      </rPr>
      <t>GIOVANNI</t>
    </r>
  </si>
  <si>
    <t>Spiritomb</t>
  </si>
  <si>
    <t>Delphox</t>
  </si>
  <si>
    <t>Silvally-Fairy</t>
  </si>
  <si>
    <t>Moltres-G</t>
  </si>
  <si>
    <t>Mewtwo-MegaY</t>
  </si>
  <si>
    <t>Hasty</t>
  </si>
  <si>
    <t>Battle Armor</t>
  </si>
  <si>
    <t>Berserk</t>
  </si>
  <si>
    <r>
      <rPr>
        <rFont val="IBM Plex Sans Condensed"/>
        <color theme="1"/>
        <sz val="11.0"/>
      </rPr>
      <t xml:space="preserve">Unnerve
</t>
    </r>
    <r>
      <rPr>
        <rFont val="IBM Plex Sans Condensed"/>
        <b/>
        <color theme="1"/>
        <sz val="11.0"/>
      </rPr>
      <t>Insomnia (Mega)</t>
    </r>
  </si>
  <si>
    <t>Figy Berry</t>
  </si>
  <si>
    <t>No Item</t>
  </si>
  <si>
    <t>X</t>
  </si>
  <si>
    <t>Multi-Attack</t>
  </si>
  <si>
    <t>Soul Robbery</t>
  </si>
  <si>
    <r>
      <rPr>
        <rFont val="IBM Plex Sans Condensed"/>
        <color rgb="FF000000"/>
        <sz val="13.0"/>
      </rPr>
      <t xml:space="preserve">PARTNER
</t>
    </r>
    <r>
      <rPr>
        <rFont val="IBM Plex Sans Condensed"/>
        <b/>
        <color rgb="FF000000"/>
        <sz val="13.0"/>
      </rPr>
      <t>LANCE</t>
    </r>
  </si>
  <si>
    <t>Dragapult</t>
  </si>
  <si>
    <t>Dialga</t>
  </si>
  <si>
    <t>Salamence-Mega</t>
  </si>
  <si>
    <r>
      <rPr>
        <rFont val="IBM Plex Sans Condensed"/>
        <color theme="1"/>
        <sz val="11.0"/>
      </rPr>
      <t xml:space="preserve">Intimidate
</t>
    </r>
    <r>
      <rPr>
        <rFont val="IBM Plex Sans Condensed"/>
        <b/>
        <color theme="1"/>
        <sz val="11.0"/>
      </rPr>
      <t>Aerilate (Mega)</t>
    </r>
  </si>
  <si>
    <t>Salamencite</t>
  </si>
  <si>
    <t>Spirit Shackle</t>
  </si>
  <si>
    <t>Dragon Darts</t>
  </si>
  <si>
    <t>Aqua Tail</t>
  </si>
  <si>
    <r>
      <rPr>
        <rFont val="IBM Plex Sans Condensed"/>
        <color rgb="FF000000"/>
        <sz val="13.0"/>
      </rPr>
      <t xml:space="preserve">VIRID. FOREST
LASS </t>
    </r>
    <r>
      <rPr>
        <rFont val="IBM Plex Sans Condensed"/>
        <b/>
        <color rgb="FF000000"/>
        <sz val="13.0"/>
      </rPr>
      <t xml:space="preserve">
ANNE</t>
    </r>
  </si>
  <si>
    <t>Stufful</t>
  </si>
  <si>
    <t>Clefairy</t>
  </si>
  <si>
    <t>Audino</t>
  </si>
  <si>
    <t>Fluffy</t>
  </si>
  <si>
    <t>Metronome</t>
  </si>
  <si>
    <t>Swagger</t>
  </si>
  <si>
    <t>Tackle</t>
  </si>
  <si>
    <t>Wish</t>
  </si>
  <si>
    <t>Yawn</t>
  </si>
  <si>
    <r>
      <rPr>
        <rFont val="IBM Plex Sans Condensed"/>
        <color rgb="FF000000"/>
        <sz val="13.0"/>
      </rPr>
      <t>VIRID. FOREST
ACE TRAINER</t>
    </r>
    <r>
      <rPr>
        <rFont val="IBM Plex Sans Condensed"/>
        <b/>
        <color rgb="FF000000"/>
        <sz val="13.0"/>
      </rPr>
      <t xml:space="preserve">
NELLE</t>
    </r>
  </si>
  <si>
    <t>Charcadet</t>
  </si>
  <si>
    <t>Gulpin</t>
  </si>
  <si>
    <t>Flame Body</t>
  </si>
  <si>
    <t>Gluttony</t>
  </si>
  <si>
    <t>Fire Spin</t>
  </si>
  <si>
    <t>Belch</t>
  </si>
  <si>
    <t>Night Shade</t>
  </si>
  <si>
    <t>Clear Smog</t>
  </si>
  <si>
    <r>
      <rPr>
        <rFont val="IBM Plex Sans Condensed"/>
        <color rgb="FF000000"/>
        <sz val="13.0"/>
      </rPr>
      <t>VIRID. FOREST
BUG CATCHER</t>
    </r>
    <r>
      <rPr>
        <rFont val="IBM Plex Sans Condensed"/>
        <b/>
        <color rgb="FF000000"/>
        <sz val="13.0"/>
      </rPr>
      <t xml:space="preserve">
SAMMY</t>
    </r>
  </si>
  <si>
    <t>Volbeat</t>
  </si>
  <si>
    <t>Shield Dust</t>
  </si>
  <si>
    <t>Flash</t>
  </si>
  <si>
    <r>
      <rPr>
        <rFont val="IBM Plex Sans Condensed"/>
        <color rgb="FF000000"/>
        <sz val="13.0"/>
      </rPr>
      <t xml:space="preserve">ROUTE 3
LASS </t>
    </r>
    <r>
      <rPr>
        <rFont val="IBM Plex Sans Condensed"/>
        <b/>
        <color rgb="FF000000"/>
        <sz val="13.0"/>
      </rPr>
      <t xml:space="preserve">
SALLY</t>
    </r>
  </si>
  <si>
    <t>Pikachu-Flying</t>
  </si>
  <si>
    <t>Oricorio-Sensu</t>
  </si>
  <si>
    <t>Whimsicott</t>
  </si>
  <si>
    <t>Mawile</t>
  </si>
  <si>
    <t>Lightning Rod</t>
  </si>
  <si>
    <t>Dancer</t>
  </si>
  <si>
    <t>Light Ball</t>
  </si>
  <si>
    <t>HP Flying</t>
  </si>
  <si>
    <t>HP Ghost</t>
  </si>
  <si>
    <t>Metal Claw</t>
  </si>
  <si>
    <t>HP Psychic</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</si>
  <si>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</si>
  <si>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 xml:space="preserve">MT. MOON
SUPER NERD </t>
    </r>
    <r>
      <rPr>
        <rFont val="IBM Plex Sans Condensed"/>
        <b/>
        <color rgb="FF000000"/>
        <sz val="13.0"/>
      </rPr>
      <t xml:space="preserve">
MIGUEL</t>
    </r>
  </si>
  <si>
    <t>Thwackey</t>
  </si>
  <si>
    <t>Voltorb-H</t>
  </si>
  <si>
    <t>Skiddo</t>
  </si>
  <si>
    <t>Sableye</t>
  </si>
  <si>
    <t>Grass Pelt</t>
  </si>
  <si>
    <t>Horn Leech</t>
  </si>
  <si>
    <t>Self-Destruct</t>
  </si>
  <si>
    <t>Milk Drink</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</si>
  <si>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</si>
  <si>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BUG CATCHER</t>
    </r>
    <r>
      <rPr>
        <rFont val="IBM Plex Sans Condensed"/>
        <b/>
        <color rgb="FF000000"/>
        <sz val="13.0"/>
      </rPr>
      <t xml:space="preserve">
CALE</t>
    </r>
  </si>
  <si>
    <t>Wormadam-Sa</t>
  </si>
  <si>
    <t>Friend Guard</t>
  </si>
  <si>
    <t>Compound Eyes</t>
  </si>
  <si>
    <t>Struggle Bug</t>
  </si>
  <si>
    <t>Electroweb</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</si>
  <si>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</si>
  <si>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LASS</t>
    </r>
    <r>
      <rPr>
        <rFont val="IBM Plex Sans Condensed"/>
        <b/>
        <color rgb="FF000000"/>
        <sz val="13.0"/>
      </rPr>
      <t xml:space="preserve">
ALI</t>
    </r>
  </si>
  <si>
    <t>Jigglypuff</t>
  </si>
  <si>
    <t>Amaura</t>
  </si>
  <si>
    <t>Brionne</t>
  </si>
  <si>
    <t>Refrigerate</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</si>
  <si>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</si>
  <si>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
YOUNGSTER</t>
    </r>
    <r>
      <rPr>
        <rFont val="IBM Plex Sans Condensed"/>
        <b/>
        <color rgb="FF000000"/>
        <sz val="13.0"/>
      </rPr>
      <t xml:space="preserve">
TIMMY</t>
    </r>
  </si>
  <si>
    <t>Electrike</t>
  </si>
  <si>
    <t>Snover</t>
  </si>
  <si>
    <t>Plus</t>
  </si>
  <si>
    <t>Minus</t>
  </si>
  <si>
    <t>Occa Berry</t>
  </si>
  <si>
    <t>Flame Burst</t>
  </si>
  <si>
    <r>
      <rPr>
        <rFont val="IBM Plex Sans Condensed"/>
        <color rgb="FF000000"/>
        <sz val="13.0"/>
      </rPr>
      <t>NUGG. BRIDGE
LASS</t>
    </r>
    <r>
      <rPr>
        <rFont val="IBM Plex Sans Condensed"/>
        <b/>
        <color rgb="FF000000"/>
        <sz val="13.0"/>
      </rPr>
      <t xml:space="preserve">
RELI</t>
    </r>
  </si>
  <si>
    <t>Togetic</t>
  </si>
  <si>
    <t>Clamperl</t>
  </si>
  <si>
    <t>Cheek Pouch</t>
  </si>
  <si>
    <t>Deep Sea Tooth</t>
  </si>
  <si>
    <t>Seed Bomb</t>
  </si>
  <si>
    <t>Magical Leaf</t>
  </si>
  <si>
    <r>
      <rPr>
        <rFont val="IBM Plex Sans Condensed"/>
        <color rgb="FF000000"/>
        <sz val="13.0"/>
      </rPr>
      <t>NUGG. BRIDGE
CAMPER</t>
    </r>
    <r>
      <rPr>
        <rFont val="IBM Plex Sans Condensed"/>
        <b/>
        <color rgb="FF000000"/>
        <sz val="13.0"/>
      </rPr>
      <t xml:space="preserve">
ETHAN</t>
    </r>
  </si>
  <si>
    <t>Mabosstiff</t>
  </si>
  <si>
    <t>Salandit</t>
  </si>
  <si>
    <t>Misdreavus</t>
  </si>
  <si>
    <t>Hex</t>
  </si>
  <si>
    <t>1 TRAILBLAZE:</t>
  </si>
  <si>
    <r>
      <rPr>
        <rFont val="IBM Plex Sans Condensed"/>
        <b/>
        <color rgb="FF000000"/>
        <sz val="13.0"/>
        <u/>
      </rPr>
      <t xml:space="preserve">BATTLE EFFECT: </t>
    </r>
    <r>
      <rPr>
        <rFont val="IBM Plex Sans Condensed"/>
        <b/>
        <color rgb="FFF64A42"/>
        <sz val="13.0"/>
        <u/>
      </rPr>
      <t>DOUBLES</t>
    </r>
  </si>
  <si>
    <r>
      <rPr>
        <rFont val="IBM Plex Sans Condensed"/>
        <color rgb="FF000000"/>
        <sz val="13.0"/>
      </rPr>
      <t>ROUTE 6
CAMPER</t>
    </r>
    <r>
      <rPr>
        <rFont val="IBM Plex Sans Condensed"/>
        <b/>
        <color rgb="FF000000"/>
        <sz val="13.0"/>
      </rPr>
      <t xml:space="preserve">
JEFF</t>
    </r>
  </si>
  <si>
    <t>Ambipom</t>
  </si>
  <si>
    <t>Mr. Mime-G</t>
  </si>
  <si>
    <t>Perrserker</t>
  </si>
  <si>
    <t>Boltund</t>
  </si>
  <si>
    <t>Granbull</t>
  </si>
  <si>
    <t>Tough Claws</t>
  </si>
  <si>
    <t>Metal Coat</t>
  </si>
  <si>
    <t>Beat Up</t>
  </si>
  <si>
    <t>Arm Thrust</t>
  </si>
  <si>
    <t>Tail Slap</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</si>
  <si>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</si>
  <si>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LASS</t>
    </r>
    <r>
      <rPr>
        <rFont val="IBM Plex Sans Condensed"/>
        <b/>
        <color rgb="FF000000"/>
        <sz val="13.0"/>
      </rPr>
      <t xml:space="preserve">
ANN
</t>
    </r>
    <r>
      <rPr>
        <rFont val="IBM Plex Sans Condensed"/>
        <color rgb="FF000000"/>
        <sz val="13.0"/>
      </rPr>
      <t xml:space="preserve">&amp;
GENTLEMAN
</t>
    </r>
    <r>
      <rPr>
        <rFont val="IBM Plex Sans Condensed"/>
        <b/>
        <color rgb="FF000000"/>
        <sz val="13.0"/>
      </rPr>
      <t>BROOKS</t>
    </r>
  </si>
  <si>
    <t>Samurott</t>
  </si>
  <si>
    <t>Decidueye</t>
  </si>
  <si>
    <t>Choice Scarf</t>
  </si>
  <si>
    <t>Water Pledge</t>
  </si>
  <si>
    <t>Fire Pledge</t>
  </si>
  <si>
    <t>Grass Pledge</t>
  </si>
  <si>
    <t>CHOI. SCARF:</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</si>
  <si>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</si>
  <si>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SAILOR</t>
    </r>
    <r>
      <rPr>
        <rFont val="IBM Plex Sans Condensed"/>
        <b/>
        <color rgb="FF000000"/>
        <sz val="13.0"/>
      </rPr>
      <t xml:space="preserve">
EDMOND
</t>
    </r>
    <r>
      <rPr>
        <rFont val="IBM Plex Sans Condensed"/>
        <color rgb="FF000000"/>
        <sz val="13.0"/>
      </rPr>
      <t xml:space="preserve">&amp;
SAILOR
</t>
    </r>
    <r>
      <rPr>
        <rFont val="IBM Plex Sans Condensed"/>
        <b/>
        <color rgb="FF000000"/>
        <sz val="13.0"/>
      </rPr>
      <t>TREVOR</t>
    </r>
  </si>
  <si>
    <t>Cradily</t>
  </si>
  <si>
    <t>Tatsugiri</t>
  </si>
  <si>
    <t>Cramorant</t>
  </si>
  <si>
    <t>Nidoqueen</t>
  </si>
  <si>
    <t>Gulp Missile</t>
  </si>
  <si>
    <t>Safeguard</t>
  </si>
  <si>
    <r>
      <rPr>
        <rFont val="IBM Plex Sans Condensed"/>
        <color rgb="FF000000"/>
        <sz val="11.0"/>
      </rPr>
      <t>VERMILLION GYM</t>
    </r>
    <r>
      <rPr>
        <rFont val="IBM Plex Sans Condensed"/>
        <color rgb="FF000000"/>
        <sz val="13.0"/>
      </rPr>
      <t xml:space="preserve">
GENTLEMAN</t>
    </r>
    <r>
      <rPr>
        <rFont val="IBM Plex Sans Condensed"/>
        <b/>
        <color rgb="FF000000"/>
        <sz val="13.0"/>
      </rPr>
      <t xml:space="preserve">
TUCKER</t>
    </r>
  </si>
  <si>
    <t>Alakazam</t>
  </si>
  <si>
    <t>Pikachu-Surfing</t>
  </si>
  <si>
    <t>No Guard</t>
  </si>
  <si>
    <t>Arena Trap</t>
  </si>
  <si>
    <t>HP Fighting</t>
  </si>
  <si>
    <r>
      <rPr>
        <rFont val="IBM Plex Sans Condensed"/>
        <color rgb="FF000000"/>
        <sz val="13.0"/>
      </rPr>
      <t>ROUTE 9
PICNICKER</t>
    </r>
    <r>
      <rPr>
        <rFont val="IBM Plex Sans Condensed"/>
        <b/>
        <color rgb="FF000000"/>
        <sz val="13.0"/>
      </rPr>
      <t xml:space="preserve">
ALICIA</t>
    </r>
  </si>
  <si>
    <t>Roserade</t>
  </si>
  <si>
    <t>Bruxish</t>
  </si>
  <si>
    <t>Flareon</t>
  </si>
  <si>
    <t>Toxic Boost</t>
  </si>
  <si>
    <t>Chatter</t>
  </si>
  <si>
    <t>1 F. CHARGE:</t>
  </si>
  <si>
    <r>
      <rPr>
        <rFont val="IBM Plex Sans Condensed"/>
        <color rgb="FF000000"/>
        <sz val="13.0"/>
      </rPr>
      <t>ROUTE 9
PICNICKER</t>
    </r>
    <r>
      <rPr>
        <rFont val="IBM Plex Sans Condensed"/>
        <b/>
        <color rgb="FF000000"/>
        <sz val="13.0"/>
      </rPr>
      <t xml:space="preserve">
CAITLIN</t>
    </r>
  </si>
  <si>
    <t>Smeargle</t>
  </si>
  <si>
    <t>Sneasel-H</t>
  </si>
  <si>
    <t>V-Create</t>
  </si>
  <si>
    <t>Assist</t>
  </si>
  <si>
    <t>Dragon Ascent</t>
  </si>
  <si>
    <t>Trick</t>
  </si>
  <si>
    <r>
      <rPr>
        <rFont val="IBM Plex Sans Condensed"/>
        <color rgb="FF000000"/>
        <sz val="13.0"/>
      </rPr>
      <t>ROCK TUNNEL
PICNICKER</t>
    </r>
    <r>
      <rPr>
        <rFont val="IBM Plex Sans Condensed"/>
        <b/>
        <color rgb="FF000000"/>
        <sz val="13.0"/>
      </rPr>
      <t xml:space="preserve">
DANA</t>
    </r>
  </si>
  <si>
    <t>Bouffalant</t>
  </si>
  <si>
    <t>Clawitzer</t>
  </si>
  <si>
    <t>Rampardos</t>
  </si>
  <si>
    <t>Magmortar</t>
  </si>
  <si>
    <t>Bull Rush</t>
  </si>
  <si>
    <t>Mega Launcher</t>
  </si>
  <si>
    <t>Hard Stone</t>
  </si>
  <si>
    <t>Magmarizer</t>
  </si>
  <si>
    <t>Head Charge</t>
  </si>
  <si>
    <t>Accelerock</t>
  </si>
  <si>
    <t>BULL RUSH:</t>
  </si>
  <si>
    <r>
      <rPr>
        <rFont val="IBM Plex Sans Condensed"/>
        <b/>
        <color rgb="FF000000"/>
        <sz val="13.0"/>
        <u/>
      </rPr>
      <t xml:space="preserve">BATTLE EFFECT: </t>
    </r>
    <r>
      <rPr>
        <rFont val="IBM Plex Sans Condensed"/>
        <b/>
        <color rgb="FFF64A42"/>
        <sz val="13.0"/>
        <u/>
      </rPr>
      <t>DOUBLES</t>
    </r>
  </si>
  <si>
    <r>
      <rPr>
        <rFont val="IBM Plex Sans Condensed"/>
        <color rgb="FF000000"/>
        <sz val="13.0"/>
      </rPr>
      <t>ROUTE 10
POKE MANIAC</t>
    </r>
    <r>
      <rPr>
        <rFont val="IBM Plex Sans Condensed"/>
        <b/>
        <color rgb="FF000000"/>
        <sz val="13.0"/>
      </rPr>
      <t xml:space="preserve">
HERMAN</t>
    </r>
  </si>
  <si>
    <t>Sylveon</t>
  </si>
  <si>
    <t>Flower Gift</t>
  </si>
  <si>
    <t>Pixilate</t>
  </si>
  <si>
    <t>Pixie Plate</t>
  </si>
  <si>
    <t>Solar Blade</t>
  </si>
  <si>
    <t>Return</t>
  </si>
  <si>
    <t>FLOWER GIFT:</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</si>
  <si>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</si>
  <si>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ROUTE 8
SUPER NERD</t>
    </r>
    <r>
      <rPr>
        <rFont val="IBM Plex Sans Condensed"/>
        <b/>
        <color rgb="FF000000"/>
        <sz val="13.0"/>
      </rPr>
      <t xml:space="preserve">
AIDAN</t>
    </r>
  </si>
  <si>
    <t>Armarouge</t>
  </si>
  <si>
    <t>Tsareena</t>
  </si>
  <si>
    <t>Arcanine-H</t>
  </si>
  <si>
    <t>Basculegion-F</t>
  </si>
  <si>
    <t>Braviary-H</t>
  </si>
  <si>
    <t>Weak Armor</t>
  </si>
  <si>
    <t>Queenly Majesty</t>
  </si>
  <si>
    <t>1 W. ARMOR:</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</si>
  <si>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</si>
  <si>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CELADON GYM
ACE TRAINER</t>
    </r>
    <r>
      <rPr>
        <rFont val="IBM Plex Sans Condensed"/>
        <b/>
        <color rgb="FF000000"/>
        <sz val="13.0"/>
      </rPr>
      <t xml:space="preserve">
MARY</t>
    </r>
  </si>
  <si>
    <t>Copperajah</t>
  </si>
  <si>
    <t>Steam Engine</t>
  </si>
  <si>
    <t>Heavy Metal</t>
  </si>
  <si>
    <t>Spiky Shield</t>
  </si>
  <si>
    <t>STEAM ENGI.:</t>
  </si>
  <si>
    <r>
      <rPr>
        <rFont val="IBM Plex Sans Condensed"/>
        <b/>
        <color rgb="FF000000"/>
        <sz val="13.0"/>
        <u/>
      </rPr>
      <t xml:space="preserve">BATTLE EFFECT: </t>
    </r>
    <r>
      <rPr>
        <rFont val="IBM Plex Sans Condensed"/>
        <b/>
        <color rgb="FFF64A42"/>
        <sz val="13.0"/>
        <u/>
      </rPr>
      <t>DOUBLES</t>
    </r>
  </si>
  <si>
    <r>
      <rPr>
        <rFont val="IBM Plex Sans Condensed"/>
        <color rgb="FF000000"/>
        <sz val="13.0"/>
      </rPr>
      <t>PKMN TOWER
CHANNELER</t>
    </r>
    <r>
      <rPr>
        <rFont val="IBM Plex Sans Condensed"/>
        <b/>
        <color rgb="FF000000"/>
        <sz val="13.0"/>
      </rPr>
      <t xml:space="preserve">
RUTH</t>
    </r>
  </si>
  <si>
    <t>Drifblim</t>
  </si>
  <si>
    <t>Cresselia</t>
  </si>
  <si>
    <t>Polteageist</t>
  </si>
  <si>
    <t>Heatproof</t>
  </si>
  <si>
    <t>Moonlight</t>
  </si>
  <si>
    <r>
      <rPr>
        <rFont val="IBM Plex Sans Condensed"/>
        <b/>
        <color rgb="FF000000"/>
        <sz val="13.0"/>
        <u/>
      </rPr>
      <t>BATTLE EFFECT:</t>
    </r>
    <r>
      <rPr>
        <rFont val="IBM Plex Sans Condensed"/>
        <b/>
        <color rgb="FFEA4335"/>
        <sz val="13.0"/>
        <u/>
      </rPr>
      <t xml:space="preserve"> OMNI-BOOSTED + 252 HP EVs + STATS CANNOT BE REDUCED + SAFEGUARD</t>
    </r>
  </si>
  <si>
    <r>
      <rPr>
        <rFont val="IBM Plex Sans Condensed"/>
        <color rgb="FF000000"/>
        <sz val="13.0"/>
      </rPr>
      <t xml:space="preserve">PKMN TOWER
</t>
    </r>
    <r>
      <rPr>
        <rFont val="IBM Plex Sans Condensed"/>
        <b/>
        <color rgb="FF000000"/>
        <sz val="13.0"/>
      </rPr>
      <t>GHOST</t>
    </r>
  </si>
  <si>
    <t>OMNI-BOOST:</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</si>
  <si>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</si>
  <si>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ROCKER</t>
    </r>
    <r>
      <rPr>
        <rFont val="IBM Plex Sans Condensed"/>
        <b/>
        <color rgb="FF000000"/>
        <sz val="13.0"/>
      </rPr>
      <t xml:space="preserve">
LUCA</t>
    </r>
  </si>
  <si>
    <t>Tornadus-I</t>
  </si>
  <si>
    <t>Yanmega</t>
  </si>
  <si>
    <t>Walrein</t>
  </si>
  <si>
    <r>
      <rPr>
        <rFont val="IBM Plex Sans Condensed"/>
        <color theme="1"/>
        <sz val="11.0"/>
      </rPr>
      <t xml:space="preserve">Rain Dish
</t>
    </r>
    <r>
      <rPr>
        <rFont val="IBM Plex Sans Condensed"/>
        <b/>
        <color theme="1"/>
        <sz val="9.0"/>
      </rPr>
      <t>Mega Launcher (Mega)</t>
    </r>
  </si>
  <si>
    <t>Superpower</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</si>
  <si>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</si>
  <si>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CAMPER</t>
    </r>
    <r>
      <rPr>
        <rFont val="IBM Plex Sans Condensed"/>
        <b/>
        <color rgb="FF000000"/>
        <sz val="13.0"/>
      </rPr>
      <t xml:space="preserve">
JUSTIN</t>
    </r>
  </si>
  <si>
    <t>Darmanitan-GZ</t>
  </si>
  <si>
    <t>Cetitan</t>
  </si>
  <si>
    <t>Conkeldurr</t>
  </si>
  <si>
    <t>Zen Mode</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</si>
  <si>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</si>
  <si>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FISHERMAN</t>
    </r>
    <r>
      <rPr>
        <rFont val="IBM Plex Sans Condensed"/>
        <b/>
        <color rgb="FF000000"/>
        <sz val="13.0"/>
      </rPr>
      <t xml:space="preserve">
ANDREW</t>
    </r>
  </si>
  <si>
    <t>Froslass</t>
  </si>
  <si>
    <t>Barbaracle</t>
  </si>
  <si>
    <t>Baxcalibur</t>
  </si>
  <si>
    <t>Thermal Exchange</t>
  </si>
  <si>
    <t>Dragonium Z</t>
  </si>
  <si>
    <t>Aurora Veil</t>
  </si>
  <si>
    <t>Glaive Rush</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</si>
  <si>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</si>
  <si>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SEBASTIAN</t>
    </r>
  </si>
  <si>
    <t>Blaziken</t>
  </si>
  <si>
    <t>Tropius</t>
  </si>
  <si>
    <r>
      <rPr>
        <rFont val="IBM Plex Sans Condensed"/>
        <color theme="1"/>
        <sz val="11.0"/>
      </rPr>
      <t xml:space="preserve">Blaze
</t>
    </r>
    <r>
      <rPr>
        <rFont val="IBM Plex Sans Condensed"/>
        <b/>
        <color theme="1"/>
        <sz val="11.0"/>
      </rPr>
      <t>Tough Claws (Mega)</t>
    </r>
  </si>
  <si>
    <t>Aeroblast</t>
  </si>
  <si>
    <t>EVs</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</si>
  <si>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</si>
  <si>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SUSIE</t>
    </r>
  </si>
  <si>
    <t>Heatran</t>
  </si>
  <si>
    <t>Alcremie-Mega</t>
  </si>
  <si>
    <t>Sap Sipper</t>
  </si>
  <si>
    <r>
      <rPr>
        <rFont val="IBM Plex Sans Condensed"/>
        <color theme="1"/>
        <sz val="11.0"/>
      </rPr>
      <t xml:space="preserve">Sweet Veil
</t>
    </r>
    <r>
      <rPr>
        <rFont val="IBM Plex Sans Condensed"/>
        <b/>
        <color theme="1"/>
        <sz val="10.0"/>
      </rPr>
      <t>Self Sufficient (Mega)</t>
    </r>
  </si>
  <si>
    <t>Alcremite</t>
  </si>
  <si>
    <t>Magma Storm</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</si>
  <si>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</si>
  <si>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ALMA</t>
    </r>
  </si>
  <si>
    <t>Chansey</t>
  </si>
  <si>
    <r>
      <rPr>
        <rFont val="IBM Plex Sans Condensed"/>
        <color theme="1"/>
        <sz val="11.0"/>
      </rPr>
      <t xml:space="preserve">Natural Cure
</t>
    </r>
    <r>
      <rPr>
        <rFont val="IBM Plex Sans Condensed"/>
        <b/>
        <color theme="1"/>
        <sz val="11.0"/>
      </rPr>
      <t>Pixilate (Mega)</t>
    </r>
  </si>
  <si>
    <r>
      <rPr>
        <rFont val="IBM Plex Sans Condensed"/>
        <b/>
        <color rgb="FF000000"/>
        <sz val="13.0"/>
        <u/>
      </rPr>
      <t>BATTLE EFFECT:</t>
    </r>
    <r>
      <rPr>
        <rFont val="IBM Plex Sans Condensed"/>
        <b/>
        <color rgb="FFEA4335"/>
        <sz val="13.0"/>
        <u/>
      </rPr>
      <t xml:space="preserve"> DOUBLES + PERMANENT SUN</t>
    </r>
  </si>
  <si>
    <r>
      <rPr>
        <rFont val="IBM Plex Sans Condensed"/>
        <color rgb="FF000000"/>
        <sz val="13.0"/>
      </rPr>
      <t>ROUTE 13
BEAUTY</t>
    </r>
    <r>
      <rPr>
        <rFont val="IBM Plex Sans Condensed"/>
        <b/>
        <color rgb="FF000000"/>
        <sz val="13.0"/>
      </rPr>
      <t xml:space="preserve">
LOLA
</t>
    </r>
    <r>
      <rPr>
        <rFont val="IBM Plex Sans Condensed"/>
        <color rgb="FF000000"/>
        <sz val="13.0"/>
      </rPr>
      <t xml:space="preserve">&amp;
BEAUTY
</t>
    </r>
    <r>
      <rPr>
        <rFont val="IBM Plex Sans Condensed"/>
        <b/>
        <color rgb="FF000000"/>
        <sz val="13.0"/>
      </rPr>
      <t>SHEILA</t>
    </r>
  </si>
  <si>
    <t>Florges</t>
  </si>
  <si>
    <t>Zebstrika</t>
  </si>
  <si>
    <t>Electrium Z</t>
  </si>
  <si>
    <t>Petal Blizzard</t>
  </si>
  <si>
    <t>Bolt Strike</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</si>
  <si>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</si>
  <si>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PERRY</t>
    </r>
  </si>
  <si>
    <t>Rhyperior</t>
  </si>
  <si>
    <t>Ogerpon-H</t>
  </si>
  <si>
    <t>Rapidash</t>
  </si>
  <si>
    <t>Stalwart</t>
  </si>
  <si>
    <t>Rindo Berry</t>
  </si>
  <si>
    <t>Hearth. Mask</t>
  </si>
  <si>
    <t>Fire Lash</t>
  </si>
  <si>
    <t>Jump Kick</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</si>
  <si>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</si>
  <si>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BIKER
</t>
    </r>
    <r>
      <rPr>
        <rFont val="IBM Plex Sans Condensed"/>
        <b/>
        <color rgb="FF000000"/>
        <sz val="13.0"/>
      </rPr>
      <t>JARED</t>
    </r>
  </si>
  <si>
    <t>Crustle</t>
  </si>
  <si>
    <t>Leavanny</t>
  </si>
  <si>
    <t>Eelektross</t>
  </si>
  <si>
    <r>
      <rPr>
        <rFont val="IBM Plex Sans Condensed"/>
        <color theme="1"/>
        <sz val="11.0"/>
      </rPr>
      <t xml:space="preserve">Solid Rock
</t>
    </r>
    <r>
      <rPr>
        <rFont val="IBM Plex Sans Condensed"/>
        <b/>
        <color theme="1"/>
        <sz val="11.0"/>
      </rPr>
      <t>Sheer Force (Mega)</t>
    </r>
  </si>
  <si>
    <t>Mountain Gale</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</si>
  <si>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</si>
  <si>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ROBERT</t>
    </r>
  </si>
  <si>
    <t>Archeops</t>
  </si>
  <si>
    <t>Emboar</t>
  </si>
  <si>
    <t>Jolteon</t>
  </si>
  <si>
    <t>Glare</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</si>
  <si>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</si>
  <si>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LAO</t>
    </r>
  </si>
  <si>
    <t>Mienshao</t>
  </si>
  <si>
    <t>Heliolisk</t>
  </si>
  <si>
    <t>Sand Veil</t>
  </si>
  <si>
    <t>(!!) BACK TO BACK TO BACK</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</si>
  <si>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</si>
  <si>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KOJI</t>
    </r>
  </si>
  <si>
    <t>Kingler-Mega</t>
  </si>
  <si>
    <t>Dracozolt</t>
  </si>
  <si>
    <r>
      <rPr>
        <rFont val="IBM Plex Sans Condensed"/>
        <color theme="1"/>
        <sz val="11.0"/>
      </rPr>
      <t xml:space="preserve">Hyper Cutter
</t>
    </r>
    <r>
      <rPr>
        <rFont val="IBM Plex Sans Condensed"/>
        <b/>
        <color theme="1"/>
        <sz val="11.0"/>
      </rPr>
      <t>Tough Claws (Mega)</t>
    </r>
  </si>
  <si>
    <t>Kinglerite</t>
  </si>
  <si>
    <t>Electric Gem</t>
  </si>
  <si>
    <t>Crabhammer</t>
  </si>
  <si>
    <t>Meteor Mash</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</si>
  <si>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</si>
  <si>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LUKE</t>
    </r>
  </si>
  <si>
    <t>Zygarde-10</t>
  </si>
  <si>
    <t>Golem</t>
  </si>
  <si>
    <t>Rock Gem</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</si>
  <si>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</si>
  <si>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RUBEN</t>
    </r>
  </si>
  <si>
    <t>Accelgor</t>
  </si>
  <si>
    <t>Lopunny-Mega</t>
  </si>
  <si>
    <r>
      <rPr>
        <rFont val="IBM Plex Sans Condensed"/>
        <color theme="1"/>
        <sz val="11.0"/>
      </rPr>
      <t xml:space="preserve">Limber
</t>
    </r>
    <r>
      <rPr>
        <rFont val="IBM Plex Sans Condensed"/>
        <b/>
        <color theme="1"/>
        <sz val="11.0"/>
      </rPr>
      <t>Scrappy (Mega)</t>
    </r>
  </si>
  <si>
    <t>Lopunnite</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</si>
  <si>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</si>
  <si>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CAMRON</t>
    </r>
  </si>
  <si>
    <t>Swampert</t>
  </si>
  <si>
    <t>Cacturne</t>
  </si>
  <si>
    <t>Damp</t>
  </si>
  <si>
    <r>
      <rPr>
        <rFont val="IBM Plex Sans Condensed"/>
        <color theme="1"/>
        <sz val="11.0"/>
      </rPr>
      <t xml:space="preserve">Swarm
</t>
    </r>
    <r>
      <rPr>
        <rFont val="IBM Plex Sans Condensed"/>
        <b/>
        <color theme="1"/>
        <sz val="11.0"/>
      </rPr>
      <t>Technician (Mega)</t>
    </r>
  </si>
  <si>
    <t>Needle Arm</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</si>
  <si>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</si>
  <si>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HIDEO</t>
    </r>
  </si>
  <si>
    <t>Beedrill-Mega</t>
  </si>
  <si>
    <t>Rotom-H</t>
  </si>
  <si>
    <t>Greninja</t>
  </si>
  <si>
    <t>Aron</t>
  </si>
  <si>
    <r>
      <rPr>
        <rFont val="IBM Plex Sans Condensed"/>
        <color theme="1"/>
        <sz val="11.0"/>
      </rPr>
      <t xml:space="preserve">Swarm
</t>
    </r>
    <r>
      <rPr>
        <rFont val="IBM Plex Sans Condensed"/>
        <b/>
        <color theme="1"/>
        <sz val="11.0"/>
      </rPr>
      <t>Adaptability (Mega)</t>
    </r>
  </si>
  <si>
    <t>Beedrillite</t>
  </si>
  <si>
    <t>Firium Z</t>
  </si>
  <si>
    <t>Shell Bell</t>
  </si>
  <si>
    <t>Overheat</t>
  </si>
  <si>
    <r>
      <rPr>
        <rFont val="IBM Plex Sans Condensed"/>
        <b/>
        <color rgb="FF000000"/>
        <sz val="13.0"/>
        <u/>
      </rPr>
      <t>BATTLE EFFECT:</t>
    </r>
    <r>
      <rPr>
        <rFont val="IBM Plex Sans Condensed"/>
        <b/>
        <color rgb="FFEA4335"/>
        <sz val="13.0"/>
        <u/>
      </rPr>
      <t xml:space="preserve"> PERMANENT RAIN</t>
    </r>
  </si>
  <si>
    <r>
      <rPr>
        <rFont val="IBM Plex Sans Condensed"/>
        <color rgb="FF000000"/>
        <sz val="13.0"/>
      </rPr>
      <t xml:space="preserve">ROUTE 18
BIKER
</t>
    </r>
    <r>
      <rPr>
        <rFont val="IBM Plex Sans Condensed"/>
        <b/>
        <color rgb="FF000000"/>
        <sz val="13.0"/>
      </rPr>
      <t>WILLIAM</t>
    </r>
  </si>
  <si>
    <t>Bisharp</t>
  </si>
  <si>
    <t>Whiscash</t>
  </si>
  <si>
    <t>Salamence</t>
  </si>
  <si>
    <t>Cash Splash</t>
  </si>
  <si>
    <r>
      <rPr>
        <rFont val="IBM Plex Sans Condensed"/>
        <b/>
        <color rgb="FF000000"/>
        <sz val="13.0"/>
        <u/>
      </rPr>
      <t>BATTLE EFFECT:</t>
    </r>
    <r>
      <rPr>
        <rFont val="IBM Plex Sans Condensed"/>
        <b/>
        <color rgb="FFEA4335"/>
        <sz val="13.0"/>
        <u/>
      </rPr>
      <t xml:space="preserve"> PERMANENT RAIN + CRAMORANT STARTS IN GORGING FORM</t>
    </r>
  </si>
  <si>
    <r>
      <rPr>
        <rFont val="IBM Plex Sans Condensed"/>
        <color rgb="FF000000"/>
        <sz val="13.0"/>
      </rPr>
      <t xml:space="preserve">ROUTE 18
BIRD KEEPER
</t>
    </r>
    <r>
      <rPr>
        <rFont val="IBM Plex Sans Condensed"/>
        <b/>
        <color rgb="FF000000"/>
        <sz val="13.0"/>
      </rPr>
      <t>JACOB</t>
    </r>
  </si>
  <si>
    <t>Cramorant-Gorg</t>
  </si>
  <si>
    <t>Ogerpon-W</t>
  </si>
  <si>
    <t>Porygon2</t>
  </si>
  <si>
    <t>Raikou</t>
  </si>
  <si>
    <t>Well. Mask</t>
  </si>
  <si>
    <t>Bubble Beam</t>
  </si>
  <si>
    <r>
      <rPr>
        <rFont val="IBM Plex Sans Condensed"/>
        <b/>
        <color rgb="FF000000"/>
        <sz val="13.0"/>
        <u/>
      </rPr>
      <t>BATTLE EFFECT:</t>
    </r>
    <r>
      <rPr>
        <rFont val="IBM Plex Sans Condensed"/>
        <b/>
        <color rgb="FFEA4335"/>
        <sz val="13.0"/>
        <u/>
      </rPr>
      <t xml:space="preserve"> DOUBLES + PERMANENT RAIN</t>
    </r>
  </si>
  <si>
    <r>
      <rPr>
        <rFont val="IBM Plex Sans Condensed"/>
        <color rgb="FF000000"/>
        <sz val="13.0"/>
      </rPr>
      <t xml:space="preserve">ROUTE 18
</t>
    </r>
    <r>
      <rPr>
        <rFont val="IBM Plex Sans Condensed"/>
        <color rgb="FF000000"/>
        <sz val="12.0"/>
      </rPr>
      <t>DRAGON TAMER</t>
    </r>
    <r>
      <rPr>
        <rFont val="IBM Plex Sans Condensed"/>
        <color rgb="FF000000"/>
        <sz val="13.0"/>
      </rPr>
      <t xml:space="preserve">
</t>
    </r>
    <r>
      <rPr>
        <rFont val="IBM Plex Sans Condensed"/>
        <b/>
        <color rgb="FF000000"/>
        <sz val="13.0"/>
      </rPr>
      <t>RAMIRO</t>
    </r>
  </si>
  <si>
    <t>Regice</t>
  </si>
  <si>
    <t>Milotic</t>
  </si>
  <si>
    <t>Lapras-Mega</t>
  </si>
  <si>
    <t>Dragonite</t>
  </si>
  <si>
    <r>
      <rPr>
        <rFont val="IBM Plex Sans Condensed"/>
        <color theme="1"/>
        <sz val="11.0"/>
      </rPr>
      <t xml:space="preserve">Water Absorb
</t>
    </r>
    <r>
      <rPr>
        <rFont val="IBM Plex Sans Condensed"/>
        <b/>
        <color theme="1"/>
        <sz val="11.0"/>
      </rPr>
      <t>Liquid Voice (Mega)</t>
    </r>
  </si>
  <si>
    <t>Multiscale</t>
  </si>
  <si>
    <t>Laprasite</t>
  </si>
  <si>
    <t>Soul Dew</t>
  </si>
  <si>
    <t>Mirror Coat</t>
  </si>
  <si>
    <r>
      <rPr>
        <rFont val="IBM Plex Sans Condensed"/>
        <b/>
        <color rgb="FF000000"/>
        <sz val="13.0"/>
        <u/>
      </rPr>
      <t xml:space="preserve">BATTLE EFFECT: </t>
    </r>
    <r>
      <rPr>
        <rFont val="IBM Plex Sans Condensed"/>
        <b/>
        <color rgb="FFEA4335"/>
        <sz val="13.0"/>
        <u/>
      </rPr>
      <t>PERMANENT RAIN</t>
    </r>
  </si>
  <si>
    <r>
      <rPr>
        <rFont val="IBM Plex Sans Condensed"/>
        <color rgb="FF000000"/>
        <sz val="13.0"/>
      </rPr>
      <t>ROUTE 18
ACE TRAINER</t>
    </r>
    <r>
      <rPr>
        <rFont val="IBM Plex Sans Condensed"/>
        <b/>
        <color rgb="FF000000"/>
        <sz val="13.0"/>
      </rPr>
      <t xml:space="preserve">
WILTON</t>
    </r>
  </si>
  <si>
    <t>Kabutops</t>
  </si>
  <si>
    <t>Pinsir-Mega</t>
  </si>
  <si>
    <t>Omastar</t>
  </si>
  <si>
    <t>Kilowattrel</t>
  </si>
  <si>
    <r>
      <rPr>
        <rFont val="IBM Plex Sans Condensed"/>
        <color theme="1"/>
        <sz val="11.0"/>
      </rPr>
      <t xml:space="preserve">Hyper Cutter
</t>
    </r>
    <r>
      <rPr>
        <rFont val="IBM Plex Sans Condensed"/>
        <b/>
        <color theme="1"/>
        <sz val="11.0"/>
      </rPr>
      <t>Aerilate (Mega)</t>
    </r>
  </si>
  <si>
    <t>Pinsirite</t>
  </si>
  <si>
    <r>
      <rPr>
        <rFont val="IBM Plex Sans Condensed"/>
        <color rgb="FF000000"/>
        <sz val="13.0"/>
      </rPr>
      <t>FUCHSIA GYM
JUGGLER</t>
    </r>
    <r>
      <rPr>
        <rFont val="IBM Plex Sans Condensed"/>
        <b/>
        <color rgb="FF000000"/>
        <sz val="13.0"/>
      </rPr>
      <t xml:space="preserve">
KAYDEN</t>
    </r>
  </si>
  <si>
    <t>Hatterene</t>
  </si>
  <si>
    <t>Electrode</t>
  </si>
  <si>
    <t>Turtonator</t>
  </si>
  <si>
    <t>Silvally</t>
  </si>
  <si>
    <t>Volcanion</t>
  </si>
  <si>
    <t>Galvanize</t>
  </si>
  <si>
    <t>Shell Armor</t>
  </si>
  <si>
    <t>Shadow Claw</t>
  </si>
  <si>
    <r>
      <rPr>
        <rFont val="IBM Plex Sans Condensed"/>
        <color rgb="FF000000"/>
        <sz val="13.0"/>
      </rPr>
      <t>PKM</t>
    </r>
    <r>
      <rPr>
        <rFont val="IBM Plex Sans Condensed"/>
        <color rgb="FF000000"/>
        <sz val="12.0"/>
      </rPr>
      <t xml:space="preserve"> </t>
    </r>
    <r>
      <rPr>
        <rFont val="IBM Plex Sans Condensed"/>
        <color rgb="FF000000"/>
        <sz val="13.0"/>
      </rPr>
      <t>MANSION
SCIENTIST</t>
    </r>
    <r>
      <rPr>
        <rFont val="IBM Plex Sans Condensed"/>
        <b/>
        <color rgb="FF000000"/>
        <sz val="13.0"/>
      </rPr>
      <t xml:space="preserve">
TED</t>
    </r>
  </si>
  <si>
    <t>Samurott-H</t>
  </si>
  <si>
    <t>Pidgeot-Mega</t>
  </si>
  <si>
    <t>Leafeon</t>
  </si>
  <si>
    <t>Flygon</t>
  </si>
  <si>
    <t>Stakeout</t>
  </si>
  <si>
    <t>No Guard (Both)</t>
  </si>
  <si>
    <t>Pidgeotite</t>
  </si>
  <si>
    <t>Cease. Edge</t>
  </si>
  <si>
    <t>Razor Shell</t>
  </si>
  <si>
    <t>Sappy Seed</t>
  </si>
  <si>
    <t>Poltergeist</t>
  </si>
  <si>
    <t>LEVEL 76 -&gt;&gt;</t>
  </si>
  <si>
    <r>
      <t xml:space="preserve">BATTLE EFFECT: </t>
    </r>
    <r>
      <rPr>
        <rFont val="IBM Plex Sans Condensed"/>
        <b/>
        <color rgb="FFFF0000"/>
        <sz val="13.0"/>
        <u/>
      </rPr>
      <t>DOUBLES</t>
    </r>
  </si>
  <si>
    <r>
      <rPr>
        <rFont val="IBM Plex Sans Condensed"/>
        <color rgb="FF000000"/>
        <sz val="13.0"/>
      </rPr>
      <t>MANSION
BURGLAR</t>
    </r>
    <r>
      <rPr>
        <rFont val="IBM Plex Sans Condensed"/>
        <b/>
        <color rgb="FF000000"/>
        <sz val="13.0"/>
      </rPr>
      <t xml:space="preserve">
LEWIS</t>
    </r>
  </si>
  <si>
    <t>Drapion</t>
  </si>
  <si>
    <t>Spectrier</t>
  </si>
  <si>
    <r>
      <rPr>
        <rFont val="IBM Plex Sans Condensed"/>
        <color theme="1"/>
        <sz val="11.0"/>
      </rPr>
      <t xml:space="preserve">Limber
</t>
    </r>
    <r>
      <rPr>
        <rFont val="IBM Plex Sans Condensed"/>
        <b/>
        <color theme="1"/>
        <sz val="11.0"/>
      </rPr>
      <t>Scrappy (Mega)</t>
    </r>
  </si>
  <si>
    <t>Freezing Glare</t>
  </si>
  <si>
    <t>Morning Sun</t>
  </si>
  <si>
    <r>
      <rPr>
        <rFont val="IBM Plex Sans Condensed"/>
        <b/>
        <color rgb="FF000000"/>
        <sz val="13.0"/>
        <u/>
      </rPr>
      <t xml:space="preserve">BATTLE EFFECT: </t>
    </r>
    <r>
      <rPr>
        <rFont val="IBM Plex Sans Condensed"/>
        <b/>
        <color rgb="FFEA4335"/>
        <sz val="13.0"/>
        <u/>
      </rPr>
      <t>PERMANENT DESOLATE LAND</t>
    </r>
  </si>
  <si>
    <r>
      <rPr>
        <rFont val="IBM Plex Sans Condensed"/>
        <color rgb="FF000000"/>
        <sz val="13.0"/>
      </rPr>
      <t>CINNABAR GYM
ACE TRAINER</t>
    </r>
    <r>
      <rPr>
        <rFont val="IBM Plex Sans Condensed"/>
        <b/>
        <color rgb="FF000000"/>
        <sz val="13.0"/>
      </rPr>
      <t xml:space="preserve">
DEREK</t>
    </r>
  </si>
  <si>
    <t>Zapdos-G</t>
  </si>
  <si>
    <t>Centiskorch-Mega</t>
  </si>
  <si>
    <r>
      <rPr>
        <rFont val="IBM Plex Sans Condensed"/>
        <color theme="1"/>
        <sz val="11.0"/>
      </rPr>
      <t xml:space="preserve">Flash Fire
</t>
    </r>
    <r>
      <rPr>
        <rFont val="IBM Plex Sans Condensed"/>
        <b/>
        <color theme="1"/>
        <sz val="11.0"/>
      </rPr>
      <t>Mountaineer (Mega)</t>
    </r>
  </si>
  <si>
    <t>Rockium Z</t>
  </si>
  <si>
    <t>Centiskite</t>
  </si>
  <si>
    <t>Mind Blown</t>
  </si>
  <si>
    <t>Thund. Kick</t>
  </si>
  <si>
    <t>Megahorn</t>
  </si>
  <si>
    <r>
      <rPr>
        <rFont val="IBM Plex Sans Condensed"/>
        <b/>
        <color rgb="FF000000"/>
        <sz val="13.0"/>
        <u/>
      </rPr>
      <t xml:space="preserve">BATTLE EFFECT: </t>
    </r>
    <r>
      <rPr>
        <rFont val="IBM Plex Sans Condensed"/>
        <b/>
        <color rgb="FFEA4335"/>
        <sz val="13.0"/>
        <u/>
      </rPr>
      <t>PERMANENT DESOLATE LAND</t>
    </r>
  </si>
  <si>
    <r>
      <rPr>
        <rFont val="IBM Plex Sans Condensed"/>
        <color rgb="FF000000"/>
        <sz val="13.0"/>
      </rPr>
      <t>CINNABAR GYM
ACE TRAINER</t>
    </r>
    <r>
      <rPr>
        <rFont val="IBM Plex Sans Condensed"/>
        <b/>
        <color rgb="FF000000"/>
        <sz val="13.0"/>
      </rPr>
      <t xml:space="preserve">
LUCY</t>
    </r>
  </si>
  <si>
    <t>Lycanroc</t>
  </si>
  <si>
    <t>Raging Bolt</t>
  </si>
  <si>
    <t>Charizard</t>
  </si>
  <si>
    <t>Steadfast</t>
  </si>
  <si>
    <t>Hyper Cutter</t>
  </si>
  <si>
    <t>Thunderclap</t>
  </si>
  <si>
    <r>
      <rPr>
        <rFont val="IBM Plex Sans Condensed"/>
        <b/>
        <color rgb="FF000000"/>
        <sz val="13.0"/>
        <u/>
      </rPr>
      <t xml:space="preserve">BATTLE EFFECT: </t>
    </r>
    <r>
      <rPr>
        <rFont val="IBM Plex Sans Condensed"/>
        <b/>
        <color rgb="FFEA4335"/>
        <sz val="13.0"/>
        <u/>
      </rPr>
      <t>DOUBLES + PERMANENT DESOLATE LAND</t>
    </r>
  </si>
  <si>
    <r>
      <rPr>
        <rFont val="IBM Plex Sans Condensed"/>
        <color rgb="FF000000"/>
        <sz val="13.0"/>
      </rPr>
      <t>CINNABAR GYM
ACE TRAINER</t>
    </r>
    <r>
      <rPr>
        <rFont val="IBM Plex Sans Condensed"/>
        <b/>
        <color rgb="FF000000"/>
        <sz val="13.0"/>
      </rPr>
      <t xml:space="preserve">
ZAC</t>
    </r>
  </si>
  <si>
    <t>Cinderace</t>
  </si>
  <si>
    <t>Volcarona</t>
  </si>
  <si>
    <t>Libero</t>
  </si>
  <si>
    <r>
      <rPr>
        <rFont val="IBM Plex Sans Condensed"/>
        <color theme="1"/>
        <sz val="11.0"/>
      </rPr>
      <t xml:space="preserve">Intimidate
</t>
    </r>
    <r>
      <rPr>
        <rFont val="IBM Plex Sans Condensed"/>
        <b/>
        <color theme="1"/>
        <sz val="11.0"/>
      </rPr>
      <t>Aerilate (Mega)</t>
    </r>
  </si>
  <si>
    <t>Ground Gem</t>
  </si>
  <si>
    <t>High J. Kick</t>
  </si>
  <si>
    <r>
      <rPr>
        <rFont val="IBM Plex Sans Condensed"/>
        <color rgb="FF000000"/>
        <sz val="13.0"/>
      </rPr>
      <t>VICTORY ROAD
ACE TRAINER</t>
    </r>
    <r>
      <rPr>
        <rFont val="IBM Plex Sans Condensed"/>
        <b/>
        <color rgb="FF000000"/>
        <sz val="13.0"/>
      </rPr>
      <t xml:space="preserve">
NAOMI</t>
    </r>
  </si>
  <si>
    <t>Maushold</t>
  </si>
  <si>
    <t>Shedinja</t>
  </si>
  <si>
    <t>Absol-Mega</t>
  </si>
  <si>
    <t>Galvantula</t>
  </si>
  <si>
    <t>Blacephalon</t>
  </si>
  <si>
    <t>Wonder Guard</t>
  </si>
  <si>
    <r>
      <rPr>
        <rFont val="IBM Plex Sans Condensed"/>
        <color theme="1"/>
        <sz val="11.0"/>
      </rPr>
      <t xml:space="preserve">Super Luck
</t>
    </r>
    <r>
      <rPr>
        <rFont val="IBM Plex Sans Condensed"/>
        <b/>
        <color theme="1"/>
        <sz val="11.0"/>
      </rPr>
      <t>Sharpness (Mega)</t>
    </r>
  </si>
  <si>
    <t>Absolite</t>
  </si>
  <si>
    <t>Popula. Bomb</t>
  </si>
  <si>
    <t>LEVEL 85 -&gt;&gt;</t>
  </si>
  <si>
    <r>
      <rPr>
        <rFont val="IBM Plex Sans Condensed"/>
        <color rgb="FF000000"/>
        <sz val="13.0"/>
      </rPr>
      <t>VICTORY ROAD
ACE TRAINER</t>
    </r>
    <r>
      <rPr>
        <rFont val="IBM Plex Sans Condensed"/>
        <b/>
        <color rgb="FF000000"/>
        <sz val="13.0"/>
      </rPr>
      <t xml:space="preserve">
ROLANDO</t>
    </r>
  </si>
  <si>
    <t>Cyclizar</t>
  </si>
  <si>
    <r>
      <rPr>
        <rFont val="IBM Plex Sans Condensed"/>
        <color theme="1"/>
        <sz val="11.0"/>
      </rPr>
      <t xml:space="preserve">Hyper Cutter
</t>
    </r>
    <r>
      <rPr>
        <rFont val="IBM Plex Sans Condensed"/>
        <b/>
        <color theme="1"/>
        <sz val="11.0"/>
      </rPr>
      <t>Tough Claws (Mega)</t>
    </r>
  </si>
  <si>
    <t>Waterium Z</t>
  </si>
  <si>
    <r>
      <rPr>
        <rFont val="IBM Plex Sans Condensed"/>
        <color rgb="FF000000"/>
        <sz val="13.0"/>
      </rPr>
      <t>VICTORY ROAD
ACE TRAINER</t>
    </r>
    <r>
      <rPr>
        <rFont val="IBM Plex Sans Condensed"/>
        <b/>
        <color rgb="FF000000"/>
        <sz val="13.0"/>
      </rPr>
      <t xml:space="preserve">
GEORGE</t>
    </r>
  </si>
  <si>
    <t>Metagross</t>
  </si>
  <si>
    <t>Pangoro</t>
  </si>
  <si>
    <t>Tauros</t>
  </si>
  <si>
    <t>Illuminate</t>
  </si>
  <si>
    <r>
      <rPr>
        <rFont val="IBM Plex Sans Condensed"/>
        <color theme="1"/>
        <sz val="11.0"/>
      </rPr>
      <t xml:space="preserve">Hyper Cutter
</t>
    </r>
    <r>
      <rPr>
        <rFont val="IBM Plex Sans Condensed"/>
        <b/>
        <color theme="1"/>
        <sz val="11.0"/>
      </rPr>
      <t>Aerilate (Mega)</t>
    </r>
  </si>
  <si>
    <r>
      <rPr>
        <rFont val="IBM Plex Sans Condensed"/>
        <color rgb="FF000000"/>
        <sz val="13.0"/>
      </rPr>
      <t>VICTORY ROAD
ACE TRAINER</t>
    </r>
    <r>
      <rPr>
        <rFont val="IBM Plex Sans Condensed"/>
        <b/>
        <color rgb="FF000000"/>
        <sz val="13.0"/>
      </rPr>
      <t xml:space="preserve">
CAROLINE</t>
    </r>
  </si>
  <si>
    <t>Stakataka</t>
  </si>
  <si>
    <t>Morpeko</t>
  </si>
  <si>
    <r>
      <rPr>
        <rFont val="IBM Plex Sans Condensed"/>
        <color theme="1"/>
        <sz val="11.0"/>
      </rPr>
      <t xml:space="preserve">Limber
</t>
    </r>
    <r>
      <rPr>
        <rFont val="IBM Plex Sans Condensed"/>
        <b/>
        <color theme="1"/>
        <sz val="11.0"/>
      </rPr>
      <t>Scrappy (Mega)</t>
    </r>
  </si>
  <si>
    <t>Hunger Switch</t>
  </si>
  <si>
    <t>Aura Wheel</t>
  </si>
  <si>
    <r>
      <rPr>
        <rFont val="IBM Plex Sans Condensed"/>
        <color rgb="FF000000"/>
        <sz val="13.0"/>
      </rPr>
      <t>VICTORY ROAD
ACE TRAINER</t>
    </r>
    <r>
      <rPr>
        <rFont val="IBM Plex Sans Condensed"/>
        <b/>
        <color rgb="FF000000"/>
        <sz val="13.0"/>
      </rPr>
      <t xml:space="preserve">
COLBY</t>
    </r>
  </si>
  <si>
    <t>Diancie-Mega</t>
  </si>
  <si>
    <t>Iron Leaves</t>
  </si>
  <si>
    <t>Muk-A</t>
  </si>
  <si>
    <t>Grapploct</t>
  </si>
  <si>
    <r>
      <rPr>
        <rFont val="IBM Plex Sans Condensed"/>
        <color theme="1"/>
        <sz val="11.0"/>
      </rPr>
      <t xml:space="preserve">Clear Body
</t>
    </r>
    <r>
      <rPr>
        <rFont val="IBM Plex Sans Condensed"/>
        <b/>
        <color theme="1"/>
        <sz val="10.0"/>
      </rPr>
      <t>Magic Bounce (Mega)</t>
    </r>
  </si>
  <si>
    <t>Poison Touch</t>
  </si>
  <si>
    <t>Diancite</t>
  </si>
  <si>
    <t>Diam. Storm</t>
  </si>
  <si>
    <r>
      <rPr>
        <rFont val="IBM Plex Sans Condensed"/>
        <color rgb="FF000000"/>
        <sz val="13.0"/>
      </rPr>
      <t>VICTORY ROAD
ACE TRAINER</t>
    </r>
    <r>
      <rPr>
        <rFont val="IBM Plex Sans Condensed"/>
        <b/>
        <color rgb="FF000000"/>
        <sz val="13.0"/>
      </rPr>
      <t xml:space="preserve">
ALEXA</t>
    </r>
  </si>
  <si>
    <t>Dondozo</t>
  </si>
  <si>
    <t>Mew</t>
  </si>
  <si>
    <t>Unaware</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</si>
  <si>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</si>
  <si>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VICTORY ROAD
COOL COUPLE</t>
    </r>
    <r>
      <rPr>
        <rFont val="IBM Plex Sans Condensed"/>
        <b/>
        <color rgb="FF000000"/>
        <sz val="13.0"/>
      </rPr>
      <t xml:space="preserve">
RAY
</t>
    </r>
    <r>
      <rPr>
        <rFont val="IBM Plex Sans Condensed"/>
        <color rgb="FF000000"/>
        <sz val="13.0"/>
      </rPr>
      <t xml:space="preserve">&amp;
</t>
    </r>
    <r>
      <rPr>
        <rFont val="IBM Plex Sans Condensed"/>
        <b/>
        <color rgb="FF000000"/>
        <sz val="13.0"/>
      </rPr>
      <t>TYRA</t>
    </r>
  </si>
  <si>
    <t>Scrafty</t>
  </si>
  <si>
    <t>Copperajah-Mega</t>
  </si>
  <si>
    <t>Darmanitan-Z</t>
  </si>
  <si>
    <t>Runerigus</t>
  </si>
  <si>
    <r>
      <rPr>
        <rFont val="IBM Plex Sans Condensed"/>
        <color theme="1"/>
        <sz val="11.0"/>
      </rPr>
      <t xml:space="preserve">Heavy Metal
</t>
    </r>
    <r>
      <rPr>
        <rFont val="IBM Plex Sans Condensed"/>
        <b/>
        <color theme="1"/>
        <sz val="11.0"/>
      </rPr>
      <t>Sheer Force (Mega)</t>
    </r>
  </si>
  <si>
    <t>Shadow Shield</t>
  </si>
  <si>
    <t>Copperajite</t>
  </si>
  <si>
    <r>
      <rPr>
        <rFont val="IBM Plex Sans Condensed"/>
        <color rgb="FF000000"/>
        <sz val="13.0"/>
      </rPr>
      <t xml:space="preserve">INDIGO PLAT.
CREATOR
</t>
    </r>
    <r>
      <rPr>
        <rFont val="IBM Plex Sans Condensed"/>
        <b/>
        <color rgb="FF000000"/>
        <sz val="13.0"/>
      </rPr>
      <t>SOUPERCELL</t>
    </r>
  </si>
  <si>
    <t>Smooth Rock</t>
  </si>
  <si>
    <t>Supercell Slam</t>
  </si>
  <si>
    <r>
      <rPr>
        <rFont val="IBM Plex Sans Condensed"/>
        <color rgb="FF000000"/>
        <sz val="13.0"/>
      </rPr>
      <t>ROUTE 8
ACE TRAINER</t>
    </r>
    <r>
      <rPr>
        <rFont val="IBM Plex Sans Condensed"/>
        <b/>
        <color rgb="FF000000"/>
        <sz val="13.0"/>
      </rPr>
      <t xml:space="preserve">
COLE</t>
    </r>
  </si>
  <si>
    <r>
      <rPr>
        <rFont val="IBM Plex Sans Condensed"/>
        <color theme="1"/>
        <sz val="11.0"/>
      </rPr>
      <t xml:space="preserve">Flash Fire
</t>
    </r>
    <r>
      <rPr>
        <rFont val="IBM Plex Sans Condensed"/>
        <b/>
        <color theme="1"/>
        <sz val="11.0"/>
      </rPr>
      <t>Mountaineer (Mega)</t>
    </r>
  </si>
  <si>
    <t>LEVEL 59 -&gt;&gt;</t>
  </si>
  <si>
    <r>
      <rPr>
        <rFont val="IBM Plex Sans Condensed"/>
        <b/>
        <color rgb="FF000000"/>
        <sz val="13.0"/>
        <u/>
      </rPr>
      <t>BATTLE EFFECT:</t>
    </r>
    <r>
      <rPr>
        <rFont val="IBM Plex Sans Condensed"/>
        <b/>
        <color rgb="FFF64A42"/>
        <sz val="13.0"/>
        <u/>
      </rPr>
      <t xml:space="preserve"> PERMANENT RAIN</t>
    </r>
  </si>
  <si>
    <r>
      <rPr>
        <rFont val="IBM Plex Sans Condensed"/>
        <color rgb="FF000000"/>
        <sz val="13.0"/>
      </rPr>
      <t>SAFFRON CITY
DUMASS</t>
    </r>
    <r>
      <rPr>
        <rFont val="IBM Plex Sans Condensed"/>
        <b/>
        <color rgb="FF000000"/>
        <sz val="13.0"/>
      </rPr>
      <t xml:space="preserve">
KID</t>
    </r>
  </si>
  <si>
    <t>Beartic</t>
  </si>
  <si>
    <t>Frosmoth</t>
  </si>
  <si>
    <t>Swampert-Mega</t>
  </si>
  <si>
    <t>Ice Scales</t>
  </si>
  <si>
    <r>
      <rPr>
        <rFont val="IBM Plex Sans Condensed"/>
        <color theme="1"/>
        <sz val="11.0"/>
      </rPr>
      <t xml:space="preserve">Damp
</t>
    </r>
    <r>
      <rPr>
        <rFont val="IBM Plex Sans Condensed"/>
        <b/>
        <color theme="1"/>
        <sz val="11.0"/>
      </rPr>
      <t>Swift Swim (Mega)</t>
    </r>
  </si>
  <si>
    <t>Swampertite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</si>
  <si>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SAM</t>
    </r>
  </si>
  <si>
    <t>Vaporeon</t>
  </si>
  <si>
    <t>Flapple-Mega</t>
  </si>
  <si>
    <r>
      <rPr>
        <rFont val="IBM Plex Sans Condensed"/>
        <color theme="1"/>
        <sz val="11.0"/>
      </rPr>
      <t xml:space="preserve">Ripen
</t>
    </r>
    <r>
      <rPr>
        <rFont val="IBM Plex Sans Condensed"/>
        <b/>
        <color theme="1"/>
        <sz val="10.0"/>
      </rPr>
      <t>Dragon's Maw (Mega)</t>
    </r>
  </si>
  <si>
    <t>Applite</t>
  </si>
  <si>
    <t>Grav Apple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</si>
  <si>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SHELLY</t>
    </r>
  </si>
  <si>
    <t>Dodrio</t>
  </si>
  <si>
    <t>Klinklang</t>
  </si>
  <si>
    <t>Appletun-Mega</t>
  </si>
  <si>
    <t>Steely Spirit</t>
  </si>
  <si>
    <r>
      <rPr>
        <rFont val="IBM Plex Sans Condensed"/>
        <color theme="1"/>
        <sz val="11.0"/>
      </rPr>
      <t xml:space="preserve">Ripen
</t>
    </r>
    <r>
      <rPr>
        <rFont val="IBM Plex Sans Condensed"/>
        <b/>
        <color theme="1"/>
        <sz val="11.0"/>
      </rPr>
      <t>Contrary (Mega)</t>
    </r>
  </si>
  <si>
    <t>Gear Grind</t>
  </si>
  <si>
    <t>Volt Tackle</t>
  </si>
  <si>
    <r>
      <rPr>
        <rFont val="IBM Plex Sans Condensed"/>
        <color rgb="FF000000"/>
        <sz val="13.0"/>
      </rPr>
      <t>ROUTE 15
ACE TRAINER</t>
    </r>
    <r>
      <rPr>
        <rFont val="IBM Plex Sans Condensed"/>
        <b/>
        <color rgb="FF000000"/>
        <sz val="13.0"/>
      </rPr>
      <t xml:space="preserve">
HALEY</t>
    </r>
  </si>
  <si>
    <t>Escavalier</t>
  </si>
  <si>
    <t>Cursola</t>
  </si>
  <si>
    <t>Sandaconda-Mega</t>
  </si>
  <si>
    <r>
      <rPr>
        <rFont val="IBM Plex Sans Condensed"/>
        <color theme="1"/>
        <sz val="11.0"/>
      </rPr>
      <t xml:space="preserve">Shed Skin
</t>
    </r>
    <r>
      <rPr>
        <rFont val="IBM Plex Sans Condensed"/>
        <b/>
        <color theme="1"/>
        <sz val="11.0"/>
      </rPr>
      <t>Aerilate (Mega)</t>
    </r>
  </si>
  <si>
    <t>Sandacondite</t>
  </si>
  <si>
    <t>Sky Attack</t>
  </si>
  <si>
    <r>
      <rPr>
        <rFont val="IBM Plex Sans Condensed"/>
        <color rgb="FF000000"/>
        <sz val="13.0"/>
      </rPr>
      <t>POWER PLANT
DUMASS</t>
    </r>
    <r>
      <rPr>
        <rFont val="IBM Plex Sans Condensed"/>
        <b/>
        <color rgb="FF000000"/>
        <sz val="13.0"/>
      </rPr>
      <t xml:space="preserve">
JOJO FAN</t>
    </r>
  </si>
  <si>
    <t>Aegislash</t>
  </si>
  <si>
    <t>Celebi</t>
  </si>
  <si>
    <t>Machamp-Mega</t>
  </si>
  <si>
    <t>Stance Change</t>
  </si>
  <si>
    <r>
      <rPr>
        <rFont val="IBM Plex Sans Condensed"/>
        <color theme="1"/>
        <sz val="11.0"/>
      </rPr>
      <t xml:space="preserve">Guts
</t>
    </r>
    <r>
      <rPr>
        <rFont val="IBM Plex Sans Condensed"/>
        <b/>
        <color theme="1"/>
        <sz val="8.0"/>
      </rPr>
      <t>ORAORAORAORA! (Mega)</t>
    </r>
  </si>
  <si>
    <t>Machampite</t>
  </si>
  <si>
    <t>Hypersp. Fury</t>
  </si>
  <si>
    <t>King's Shield</t>
  </si>
  <si>
    <t>(!) FIRST BATTLE</t>
  </si>
  <si>
    <r>
      <rPr>
        <rFont val="IBM Plex Sans Condensed"/>
        <b/>
        <color rgb="FF000000"/>
        <sz val="13.0"/>
        <u/>
      </rPr>
      <t>BATTLE EFFECT:</t>
    </r>
    <r>
      <rPr>
        <rFont val="IBM Plex Sans Condensed"/>
        <b/>
        <color rgb="FFEA3535"/>
        <sz val="13.0"/>
        <u/>
      </rPr>
      <t xml:space="preserve"> PERMANENT TAILWIND</t>
    </r>
  </si>
  <si>
    <r>
      <rPr>
        <rFont val="IBM Plex Sans Condensed"/>
        <color rgb="FF000000"/>
        <sz val="13.0"/>
      </rPr>
      <t>CERULEA. CAVE
BLACK BELT</t>
    </r>
    <r>
      <rPr>
        <rFont val="IBM Plex Sans Condensed"/>
        <b/>
        <color rgb="FF000000"/>
        <sz val="13.0"/>
      </rPr>
      <t xml:space="preserve">
KETCHUP</t>
    </r>
  </si>
  <si>
    <t>Urshifu-S</t>
  </si>
  <si>
    <t>Petaya Berry</t>
  </si>
  <si>
    <t>Iron Tail</t>
  </si>
  <si>
    <t>LEVEL 81 -&gt;&gt;</t>
  </si>
  <si>
    <t>SALAC BERRY:</t>
  </si>
  <si>
    <t>(!) REMATCH</t>
  </si>
  <si>
    <r>
      <rPr>
        <rFont val="IBM Plex Sans Condensed"/>
        <b/>
        <color rgb="FF000000"/>
        <sz val="13.0"/>
        <u/>
      </rPr>
      <t>BATTLE EFFECT:</t>
    </r>
    <r>
      <rPr>
        <rFont val="IBM Plex Sans Condensed"/>
        <b/>
        <color rgb="FFEA3535"/>
        <sz val="13.0"/>
        <u/>
      </rPr>
      <t xml:space="preserve"> KETCHUP'S POKEMON WILL ENDURE A HIT IF ABOVE 75% OF MAX HP</t>
    </r>
  </si>
  <si>
    <r>
      <rPr>
        <rFont val="IBM Plex Sans Condensed"/>
        <color rgb="FF000000"/>
        <sz val="13.0"/>
      </rPr>
      <t>CERULEA. CAVE
BLACK BELT</t>
    </r>
    <r>
      <rPr>
        <rFont val="IBM Plex Sans Condensed"/>
        <b/>
        <color rgb="FF000000"/>
        <sz val="13.0"/>
      </rPr>
      <t xml:space="preserve">
KETCHUP</t>
    </r>
  </si>
  <si>
    <t>Necrozma</t>
  </si>
  <si>
    <t>Banette-Mega</t>
  </si>
  <si>
    <r>
      <rPr>
        <rFont val="IBM Plex Sans Condensed"/>
        <color theme="1"/>
        <sz val="11.0"/>
      </rPr>
      <t xml:space="preserve">Insomnia
</t>
    </r>
    <r>
      <rPr>
        <rFont val="IBM Plex Sans Condensed"/>
        <b/>
        <color theme="1"/>
        <sz val="11.0"/>
      </rPr>
      <t>Prankster (Mega)</t>
    </r>
  </si>
  <si>
    <t>Banettite</t>
  </si>
  <si>
    <r>
      <rPr>
        <rFont val="IBM Plex Sans Condensed"/>
        <color rgb="FF000000"/>
        <sz val="13.0"/>
      </rPr>
      <t>MANSION F4
BURGLAR</t>
    </r>
    <r>
      <rPr>
        <rFont val="IBM Plex Sans Condensed"/>
        <b/>
        <color rgb="FF000000"/>
        <sz val="13.0"/>
      </rPr>
      <t xml:space="preserve">
MAX</t>
    </r>
  </si>
  <si>
    <t>Qwilfish-H</t>
  </si>
  <si>
    <t>Wugtrio</t>
  </si>
  <si>
    <t>Hydrapple</t>
  </si>
  <si>
    <t>Fezandipiti</t>
  </si>
  <si>
    <t>Triple Dive</t>
  </si>
  <si>
    <t>Drain Kiss</t>
  </si>
  <si>
    <r>
      <rPr>
        <rFont val="IBM Plex Sans Condensed"/>
        <color rgb="FF000000"/>
        <sz val="13.0"/>
      </rPr>
      <t>MANSION F4
BURGLAR</t>
    </r>
    <r>
      <rPr>
        <rFont val="IBM Plex Sans Condensed"/>
        <b/>
        <color rgb="FF000000"/>
        <sz val="13.0"/>
      </rPr>
      <t xml:space="preserve">
ANSON</t>
    </r>
  </si>
  <si>
    <t>Munkidori</t>
  </si>
  <si>
    <t>Scream Tail</t>
  </si>
  <si>
    <t>Frisk</t>
  </si>
  <si>
    <t>(!!!) ALL SPEED STATS IN THIS SECTION ARE ASSUMING YOU'RE LEVEL 85</t>
  </si>
  <si>
    <t>(!) RAIN TEAM</t>
  </si>
  <si>
    <r>
      <rPr>
        <rFont val="IBM Plex Sans Condensed"/>
        <b/>
        <color rgb="FF000000"/>
        <sz val="13.0"/>
        <u/>
      </rPr>
      <t xml:space="preserve">BATTLE EFFECT: </t>
    </r>
    <r>
      <rPr>
        <rFont val="IBM Plex Sans Condensed"/>
        <b/>
        <color rgb="FFEA4335"/>
        <sz val="13.0"/>
        <u/>
      </rPr>
      <t>DOUBLES + PERMANENT PRIMORDIAL SEA</t>
    </r>
  </si>
  <si>
    <r>
      <rPr>
        <rFont val="IBM Plex Sans Condensed"/>
        <color rgb="FF000000"/>
        <sz val="13.0"/>
      </rPr>
      <t xml:space="preserve">ELITE FOUR
</t>
    </r>
    <r>
      <rPr>
        <rFont val="IBM Plex Sans Condensed"/>
        <b/>
        <color rgb="FF000000"/>
        <sz val="13.0"/>
      </rPr>
      <t>LORELEI</t>
    </r>
  </si>
  <si>
    <t>Palkia-O</t>
  </si>
  <si>
    <r>
      <rPr>
        <rFont val="IBM Plex Sans Condensed"/>
        <color theme="1"/>
        <sz val="11.0"/>
      </rPr>
      <t xml:space="preserve">Damp
</t>
    </r>
    <r>
      <rPr>
        <rFont val="IBM Plex Sans Condensed"/>
        <b/>
        <color theme="1"/>
        <sz val="11.0"/>
      </rPr>
      <t>Swift Swim (Mega)</t>
    </r>
  </si>
  <si>
    <t>Lustrous Orb</t>
  </si>
  <si>
    <t>QUAR. DRIVE:</t>
  </si>
  <si>
    <t>(!) SNOW TEAM</t>
  </si>
  <si>
    <r>
      <rPr>
        <rFont val="IBM Plex Sans Condensed"/>
        <b/>
        <color rgb="FF000000"/>
        <sz val="13.0"/>
        <u/>
      </rPr>
      <t xml:space="preserve">BATTLE EFFECT: </t>
    </r>
    <r>
      <rPr>
        <rFont val="IBM Plex Sans Condensed"/>
        <b/>
        <color rgb="FFEA4335"/>
        <sz val="13.0"/>
        <u/>
      </rPr>
      <t>DOUBLES + PERMANENT SNOW</t>
    </r>
  </si>
  <si>
    <r>
      <rPr>
        <rFont val="IBM Plex Sans Condensed"/>
        <color rgb="FF000000"/>
        <sz val="13.0"/>
      </rPr>
      <t xml:space="preserve">ELITE FOUR
</t>
    </r>
    <r>
      <rPr>
        <rFont val="IBM Plex Sans Condensed"/>
        <b/>
        <color rgb="FF000000"/>
        <sz val="13.0"/>
      </rPr>
      <t>LORELEI</t>
    </r>
  </si>
  <si>
    <t>Glaceon</t>
  </si>
  <si>
    <t>Chien-Pao</t>
  </si>
  <si>
    <t>Kyurem-W</t>
  </si>
  <si>
    <t>Abomasnow-Mega</t>
  </si>
  <si>
    <t>Sword Of Ruin</t>
  </si>
  <si>
    <t>Turboblaze</t>
  </si>
  <si>
    <r>
      <rPr>
        <rFont val="IBM Plex Sans Condensed"/>
        <color theme="1"/>
        <sz val="11.0"/>
      </rPr>
      <t xml:space="preserve">Snow Warning
</t>
    </r>
    <r>
      <rPr>
        <rFont val="IBM Plex Sans Condensed"/>
        <b/>
        <color theme="1"/>
        <sz val="11.0"/>
      </rPr>
      <t>Slush Rush (Mega)</t>
    </r>
  </si>
  <si>
    <t>Abomasite</t>
  </si>
  <si>
    <t>Fusion Flare</t>
  </si>
  <si>
    <t xml:space="preserve"> (!) TEAM ONE</t>
  </si>
  <si>
    <r>
      <rPr>
        <rFont val="IBM Plex Sans Condensed"/>
        <b/>
        <color rgb="FF3E3A3A"/>
        <sz val="13.0"/>
        <u/>
      </rPr>
      <t xml:space="preserve">BATTLE EFFECT: </t>
    </r>
    <r>
      <rPr>
        <rFont val="IBM Plex Sans Condensed"/>
        <b/>
        <color rgb="FFEA3535"/>
        <sz val="13.0"/>
        <u/>
      </rPr>
      <t>PERMANENT MISTY TERRAIN</t>
    </r>
  </si>
  <si>
    <r>
      <rPr>
        <rFont val="IBM Plex Sans Condensed"/>
        <color rgb="FF000000"/>
        <sz val="13.0"/>
      </rPr>
      <t xml:space="preserve">ELITE FOUR
</t>
    </r>
    <r>
      <rPr>
        <rFont val="IBM Plex Sans Condensed"/>
        <b/>
        <color rgb="FF000000"/>
        <sz val="13.0"/>
      </rPr>
      <t>BRUNO</t>
    </r>
  </si>
  <si>
    <t>Zeraora</t>
  </si>
  <si>
    <t>Iron Valiant</t>
  </si>
  <si>
    <t>Zacian-C</t>
  </si>
  <si>
    <t>Lucario-Mega</t>
  </si>
  <si>
    <t>Intrepid Sword</t>
  </si>
  <si>
    <r>
      <rPr>
        <rFont val="IBM Plex Sans Condensed"/>
        <color theme="1"/>
        <sz val="11.0"/>
      </rPr>
      <t xml:space="preserve">Inner Focus
</t>
    </r>
    <r>
      <rPr>
        <rFont val="IBM Plex Sans Condensed"/>
        <b/>
        <color theme="1"/>
        <sz val="11.0"/>
      </rPr>
      <t>Adaptability (Mega)</t>
    </r>
  </si>
  <si>
    <t>Misty Seed</t>
  </si>
  <si>
    <t>Rusted Sword</t>
  </si>
  <si>
    <t>Lucarionite</t>
  </si>
  <si>
    <t>Behem. Blade</t>
  </si>
  <si>
    <t xml:space="preserve"> (!) TEAM TWO</t>
  </si>
  <si>
    <r>
      <rPr>
        <rFont val="IBM Plex Sans Condensed"/>
        <b/>
        <color rgb="FF3E3A3A"/>
        <sz val="13.0"/>
        <u/>
      </rPr>
      <t xml:space="preserve">BATTLE EFFECT: </t>
    </r>
    <r>
      <rPr>
        <rFont val="IBM Plex Sans Condensed"/>
        <b/>
        <color rgb="FFEA3535"/>
        <sz val="13.0"/>
        <u/>
      </rPr>
      <t>PERMANENT MISTY TERRAIN</t>
    </r>
  </si>
  <si>
    <r>
      <rPr>
        <rFont val="IBM Plex Sans Condensed"/>
        <color rgb="FF000000"/>
        <sz val="13.0"/>
      </rPr>
      <t xml:space="preserve">ELITE FOUR
</t>
    </r>
    <r>
      <rPr>
        <rFont val="IBM Plex Sans Condensed"/>
        <b/>
        <color rgb="FF000000"/>
        <sz val="13.0"/>
      </rPr>
      <t>BRUNO</t>
    </r>
  </si>
  <si>
    <t>Medicham-Mega</t>
  </si>
  <si>
    <t>Pure Power (Both)</t>
  </si>
  <si>
    <t>Medichamite</t>
  </si>
  <si>
    <r>
      <rPr>
        <rFont val="IBM Plex Sans Condensed"/>
        <b/>
        <color rgb="FF3E3A3A"/>
        <sz val="13.0"/>
        <u/>
      </rPr>
      <t xml:space="preserve">BATTLE EFFECT: </t>
    </r>
    <r>
      <rPr>
        <rFont val="IBM Plex Sans Condensed"/>
        <b/>
        <color rgb="FFD23A3A"/>
        <sz val="13.0"/>
        <u/>
      </rPr>
      <t>PERMANENT PSYCHIC TERRAIN</t>
    </r>
  </si>
  <si>
    <r>
      <rPr>
        <rFont val="IBM Plex Sans Condensed"/>
        <color rgb="FF000000"/>
        <sz val="13.0"/>
      </rPr>
      <t xml:space="preserve">ELITE FOUR
</t>
    </r>
    <r>
      <rPr>
        <rFont val="IBM Plex Sans Condensed"/>
        <b/>
        <color rgb="FF000000"/>
        <sz val="13.0"/>
      </rPr>
      <t>AGATHA</t>
    </r>
  </si>
  <si>
    <t>Mewtwo-MegaX</t>
  </si>
  <si>
    <t>Yveltal</t>
  </si>
  <si>
    <t>Flutter Mane</t>
  </si>
  <si>
    <t>Victini</t>
  </si>
  <si>
    <t>Calyrex-S</t>
  </si>
  <si>
    <r>
      <rPr>
        <rFont val="IBM Plex Sans Condensed"/>
        <color theme="1"/>
        <sz val="11.0"/>
      </rPr>
      <t xml:space="preserve">Pressure
</t>
    </r>
    <r>
      <rPr>
        <rFont val="IBM Plex Sans Condensed"/>
        <b/>
        <color theme="1"/>
        <sz val="11.0"/>
      </rPr>
      <t>Steadfast (Mega)</t>
    </r>
  </si>
  <si>
    <t>Dark Aura</t>
  </si>
  <si>
    <t>Victory Star</t>
  </si>
  <si>
    <t>As One</t>
  </si>
  <si>
    <t>Mewtwonite X</t>
  </si>
  <si>
    <t>Normalium Z</t>
  </si>
  <si>
    <t>Oblivion Wing</t>
  </si>
  <si>
    <t>Celebrate</t>
  </si>
  <si>
    <t>Astral Barrage</t>
  </si>
  <si>
    <t>PROTOSYN.:</t>
  </si>
  <si>
    <t>Z-CELEBRATE:</t>
  </si>
  <si>
    <r>
      <rPr>
        <rFont val="IBM Plex Sans Condensed"/>
        <b/>
        <color rgb="FF3E3A3A"/>
        <sz val="13.0"/>
        <u/>
      </rPr>
      <t xml:space="preserve">BATTLE EFFECT: </t>
    </r>
    <r>
      <rPr>
        <rFont val="IBM Plex Sans Condensed"/>
        <b/>
        <color rgb="FFD23A3A"/>
        <sz val="13.0"/>
        <u/>
      </rPr>
      <t>PERMANENT PSYCHIC TERRAIN</t>
    </r>
  </si>
  <si>
    <r>
      <rPr>
        <rFont val="IBM Plex Sans Condensed"/>
        <color rgb="FF000000"/>
        <sz val="13.0"/>
      </rPr>
      <t xml:space="preserve">ELITE FOUR
</t>
    </r>
    <r>
      <rPr>
        <rFont val="IBM Plex Sans Condensed"/>
        <b/>
        <color rgb="FF000000"/>
        <sz val="13.0"/>
      </rPr>
      <t>AGATHA</t>
    </r>
  </si>
  <si>
    <r>
      <rPr>
        <rFont val="IBM Plex Sans Condensed"/>
        <color theme="1"/>
        <sz val="11.0"/>
      </rPr>
      <t xml:space="preserve">Pressure
</t>
    </r>
    <r>
      <rPr>
        <rFont val="IBM Plex Sans Condensed"/>
        <b/>
        <color theme="1"/>
        <sz val="11.0"/>
      </rPr>
      <t>Steadfast (Mega)</t>
    </r>
  </si>
  <si>
    <r>
      <rPr>
        <rFont val="IBM Plex Sans Condensed"/>
        <b/>
        <color rgb="FF000000"/>
        <sz val="13.0"/>
        <u/>
      </rPr>
      <t xml:space="preserve">BATTLE EFFECT: </t>
    </r>
    <r>
      <rPr>
        <rFont val="IBM Plex Sans Condensed"/>
        <b/>
        <color rgb="FFEA3535"/>
        <sz val="13.0"/>
        <u/>
      </rPr>
      <t>CAN'T REMOVE HAZARDS</t>
    </r>
  </si>
  <si>
    <r>
      <rPr>
        <rFont val="IBM Plex Sans Condensed"/>
        <color rgb="FF000000"/>
        <sz val="13.0"/>
      </rPr>
      <t xml:space="preserve">ELITE FOUR
</t>
    </r>
    <r>
      <rPr>
        <rFont val="IBM Plex Sans Condensed"/>
        <b/>
        <color rgb="FF000000"/>
        <sz val="13.0"/>
      </rPr>
      <t>LANCE</t>
    </r>
  </si>
  <si>
    <t>Melmetal</t>
  </si>
  <si>
    <t>Arceus-Fairy</t>
  </si>
  <si>
    <t>Dialga-Primal</t>
  </si>
  <si>
    <t>Rayquaza-Mega</t>
  </si>
  <si>
    <t>Multitype</t>
  </si>
  <si>
    <t>Primal Armor</t>
  </si>
  <si>
    <r>
      <rPr>
        <rFont val="IBM Plex Sans Condensed"/>
        <color theme="1"/>
        <sz val="11.0"/>
      </rPr>
      <t xml:space="preserve">Air Lock
</t>
    </r>
    <r>
      <rPr>
        <rFont val="IBM Plex Sans Condensed"/>
        <b/>
        <color theme="1"/>
        <sz val="11.0"/>
      </rPr>
      <t>Delta Stream (Mega)</t>
    </r>
  </si>
  <si>
    <t>Adamant Orb</t>
  </si>
  <si>
    <t>Roar Of Time</t>
  </si>
  <si>
    <t>Judgment</t>
  </si>
  <si>
    <r>
      <rPr>
        <rFont val="IBM Plex Sans Condensed"/>
        <b/>
        <color rgb="FF000000"/>
        <sz val="13.0"/>
        <u/>
      </rPr>
      <t xml:space="preserve">BATTLE EFFECT: </t>
    </r>
    <r>
      <rPr>
        <rFont val="IBM Plex Sans Condensed"/>
        <b/>
        <color rgb="FFEA3535"/>
        <sz val="13.0"/>
        <u/>
      </rPr>
      <t>CAN'T REMOVE HAZARDS</t>
    </r>
  </si>
  <si>
    <r>
      <rPr>
        <rFont val="IBM Plex Sans Condensed"/>
        <color rgb="FF000000"/>
        <sz val="13.0"/>
      </rPr>
      <t xml:space="preserve">ELITE FOUR
</t>
    </r>
    <r>
      <rPr>
        <rFont val="IBM Plex Sans Condensed"/>
        <b/>
        <color rgb="FF000000"/>
        <sz val="13.0"/>
      </rPr>
      <t>LANCE</t>
    </r>
  </si>
  <si>
    <r>
      <rPr>
        <rFont val="IBM Plex Sans Condensed"/>
        <color theme="1"/>
        <sz val="11.0"/>
      </rPr>
      <t xml:space="preserve">Air Lock
</t>
    </r>
    <r>
      <rPr>
        <rFont val="IBM Plex Sans Condensed"/>
        <b/>
        <color theme="1"/>
        <sz val="11.0"/>
      </rPr>
      <t>Delta Stream (Mega)</t>
    </r>
  </si>
  <si>
    <t>IF RIVAL HAS SQUIRTLE</t>
  </si>
  <si>
    <r>
      <rPr>
        <rFont val="IBM Plex Sans Condensed"/>
        <color rgb="FF000000"/>
        <sz val="13.0"/>
      </rPr>
      <t xml:space="preserve">CHAMPION
</t>
    </r>
    <r>
      <rPr>
        <rFont val="IBM Plex Sans Condensed"/>
        <b/>
        <color rgb="FF000000"/>
        <sz val="13.0"/>
      </rPr>
      <t>RIVAL</t>
    </r>
  </si>
  <si>
    <t>Kyogre-P</t>
  </si>
  <si>
    <t>Eternatus-Max</t>
  </si>
  <si>
    <t>Arceus</t>
  </si>
  <si>
    <r>
      <rPr>
        <rFont val="IBM Plex Sans Condensed"/>
        <color theme="1"/>
        <sz val="11.0"/>
      </rPr>
      <t xml:space="preserve">Damp
</t>
    </r>
    <r>
      <rPr>
        <rFont val="IBM Plex Sans Condensed"/>
        <b/>
        <color theme="1"/>
        <sz val="11.0"/>
      </rPr>
      <t>Swift Swim (Mega)</t>
    </r>
  </si>
  <si>
    <r>
      <t xml:space="preserve">Prism Armor (Wings)
</t>
    </r>
    <r>
      <rPr>
        <rFont val="IBM Plex Sans Condensed"/>
        <b/>
        <color theme="1"/>
        <sz val="11.0"/>
      </rPr>
      <t>Neuroforce (Ultra)</t>
    </r>
  </si>
  <si>
    <t>Blue Orb</t>
  </si>
  <si>
    <t>Eternamax Orb</t>
  </si>
  <si>
    <t>Origin Pulse</t>
  </si>
  <si>
    <t>Eathquake</t>
  </si>
  <si>
    <t>IF RIVAL HAS CHARMANDER</t>
  </si>
  <si>
    <r>
      <rPr>
        <rFont val="IBM Plex Sans Condensed"/>
        <color rgb="FF000000"/>
        <sz val="13.0"/>
      </rPr>
      <t xml:space="preserve">CHAMPION
</t>
    </r>
    <r>
      <rPr>
        <rFont val="IBM Plex Sans Condensed"/>
        <b/>
        <color rgb="FF000000"/>
        <sz val="13.0"/>
      </rPr>
      <t>RIVAL</t>
    </r>
  </si>
  <si>
    <t>Groudon-P</t>
  </si>
  <si>
    <t>Gouging Fire</t>
  </si>
  <si>
    <t>Koraidon</t>
  </si>
  <si>
    <t>Arceus-Ground</t>
  </si>
  <si>
    <t>Xerneas</t>
  </si>
  <si>
    <t>Fairy Aura</t>
  </si>
  <si>
    <t>Red Orb</t>
  </si>
  <si>
    <t>Roseli Berry</t>
  </si>
  <si>
    <t>Groundium Z</t>
  </si>
  <si>
    <t>Precip. Blades</t>
  </si>
  <si>
    <t>Collision Course</t>
  </si>
  <si>
    <t>GEOMANCY:</t>
  </si>
  <si>
    <t>IF RIVAL HAS BULBASAUR</t>
  </si>
  <si>
    <r>
      <rPr>
        <rFont val="IBM Plex Sans Condensed"/>
        <color rgb="FF000000"/>
        <sz val="13.0"/>
      </rPr>
      <t xml:space="preserve">CHAMPION
</t>
    </r>
    <r>
      <rPr>
        <rFont val="IBM Plex Sans Condensed"/>
        <b/>
        <color rgb="FF000000"/>
        <sz val="13.0"/>
      </rPr>
      <t>RIVAL</t>
    </r>
  </si>
  <si>
    <t>Arceus-Steel</t>
  </si>
  <si>
    <r>
      <rPr>
        <rFont val="IBM Plex Sans Condensed"/>
        <color theme="1"/>
        <sz val="11.0"/>
      </rPr>
      <t xml:space="preserve">Damp
</t>
    </r>
    <r>
      <rPr>
        <rFont val="IBM Plex Sans Condensed"/>
        <b/>
        <color theme="1"/>
        <sz val="11.0"/>
      </rPr>
      <t>Swift Swim (Mega)</t>
    </r>
  </si>
  <si>
    <t>Steelium Z</t>
  </si>
  <si>
    <t xml:space="preserve"> </t>
  </si>
  <si>
    <t>(!!!) ALL SPEED STATS IN THIS SECTION ARE ASSUMING YOU'RE LEVEL 100</t>
  </si>
  <si>
    <r>
      <rPr>
        <rFont val="IBM Plex Sans Condensed"/>
        <color rgb="FF000000"/>
        <sz val="13.0"/>
      </rPr>
      <t>OAK'S LAB
PROFESSOR</t>
    </r>
    <r>
      <rPr>
        <rFont val="IBM Plex Sans Condensed"/>
        <b/>
        <color rgb="FF000000"/>
        <sz val="13.0"/>
      </rPr>
      <t xml:space="preserve">
OAK</t>
    </r>
  </si>
  <si>
    <t>Harvest</t>
  </si>
  <si>
    <r>
      <rPr>
        <rFont val="IBM Plex Sans Condensed"/>
        <color theme="1"/>
        <sz val="11.0"/>
      </rPr>
      <t xml:space="preserve">Blaze
</t>
    </r>
    <r>
      <rPr>
        <rFont val="IBM Plex Sans Condensed"/>
        <b/>
        <color theme="1"/>
        <sz val="11.0"/>
      </rPr>
      <t>Tough Claws (Mega)</t>
    </r>
  </si>
  <si>
    <r>
      <rPr>
        <rFont val="IBM Plex Sans Condensed"/>
        <color rgb="FF000000"/>
        <sz val="13.0"/>
      </rPr>
      <t>OAK'S LAB
PROFESSOR</t>
    </r>
    <r>
      <rPr>
        <rFont val="IBM Plex Sans Condensed"/>
        <b/>
        <color rgb="FF000000"/>
        <sz val="13.0"/>
      </rPr>
      <t xml:space="preserve">
OAK</t>
    </r>
  </si>
  <si>
    <t>Machamp</t>
  </si>
  <si>
    <r>
      <rPr>
        <rFont val="IBM Plex Sans Condensed"/>
        <color theme="1"/>
        <sz val="11.0"/>
      </rPr>
      <t xml:space="preserve">Frisk
</t>
    </r>
    <r>
      <rPr>
        <rFont val="IBM Plex Sans Condensed"/>
        <b/>
        <color theme="1"/>
        <sz val="11.0"/>
      </rPr>
      <t>No Guard (Mega)</t>
    </r>
  </si>
  <si>
    <r>
      <rPr>
        <rFont val="IBM Plex Sans Condensed"/>
        <color theme="1"/>
        <sz val="11.0"/>
      </rPr>
      <t xml:space="preserve">Torrent
</t>
    </r>
    <r>
      <rPr>
        <rFont val="IBM Plex Sans Condensed"/>
        <b/>
        <color theme="1"/>
        <sz val="9.0"/>
      </rPr>
      <t>Mega Launcher (Mega)</t>
    </r>
  </si>
  <si>
    <r>
      <rPr>
        <rFont val="IBM Plex Sans Condensed"/>
        <b/>
        <color rgb="FF000000"/>
        <sz val="13.0"/>
        <u/>
      </rPr>
      <t xml:space="preserve">BATTLE EFFECT: </t>
    </r>
    <r>
      <rPr>
        <rFont val="IBM Plex Sans Condensed"/>
        <b/>
        <color rgb="FFEA4335"/>
        <sz val="13.0"/>
        <u/>
      </rPr>
      <t>DOUBLES + UNABLE TO USE FAIRY TYPES</t>
    </r>
  </si>
  <si>
    <r>
      <rPr>
        <rFont val="IBM Plex Sans Condensed"/>
        <color theme="1"/>
        <sz val="13.0"/>
      </rPr>
      <t xml:space="preserve">GYM LEADER
</t>
    </r>
    <r>
      <rPr>
        <rFont val="IBM Plex Sans Condensed"/>
        <b/>
        <color theme="1"/>
        <sz val="13.0"/>
      </rPr>
      <t>CLAIR</t>
    </r>
  </si>
  <si>
    <r>
      <rPr>
        <rFont val="IBM Plex Sans Condensed"/>
        <color rgb="FF000000"/>
        <sz val="11.0"/>
      </rPr>
      <t xml:space="preserve">Ripen
</t>
    </r>
    <r>
      <rPr>
        <rFont val="IBM Plex Sans Condensed"/>
        <b/>
        <color rgb="FF000000"/>
        <sz val="10.0"/>
      </rPr>
      <t>Dragon's Maw (Mega)</t>
    </r>
  </si>
  <si>
    <t>Dragon Energy</t>
  </si>
  <si>
    <r>
      <rPr>
        <rFont val="IBM Plex Sans Condensed"/>
        <b/>
        <color rgb="FF000000"/>
        <sz val="13.0"/>
        <u/>
      </rPr>
      <t>BATTLE EFFECT:</t>
    </r>
    <r>
      <rPr>
        <rFont val="IBM Plex Sans Condensed"/>
        <b/>
        <color rgb="FFEA4335"/>
        <sz val="13.0"/>
        <u/>
      </rPr>
      <t xml:space="preserve"> DOUBLES</t>
    </r>
  </si>
  <si>
    <r>
      <rPr>
        <rFont val="IBM Plex Sans Condensed"/>
        <b val="0"/>
        <color theme="1"/>
        <sz val="13.0"/>
      </rPr>
      <t>GYM LEADER</t>
    </r>
    <r>
      <rPr>
        <rFont val="IBM Plex Sans Condensed"/>
        <b/>
        <color theme="1"/>
        <sz val="13.0"/>
      </rPr>
      <t xml:space="preserve">
MISTY</t>
    </r>
  </si>
  <si>
    <t>Goodra-H</t>
  </si>
  <si>
    <t>Drednaw-Mega</t>
  </si>
  <si>
    <t>Floatzel</t>
  </si>
  <si>
    <t>Gooey</t>
  </si>
  <si>
    <r>
      <rPr>
        <rFont val="IBM Plex Sans Condensed"/>
        <color rgb="FF000000"/>
        <sz val="11.0"/>
      </rPr>
      <t xml:space="preserve">Shell Armor
</t>
    </r>
    <r>
      <rPr>
        <rFont val="IBM Plex Sans Condensed"/>
        <b/>
        <color rgb="FF000000"/>
        <sz val="11.0"/>
      </rPr>
      <t>Strong Jaw (Mega)</t>
    </r>
  </si>
  <si>
    <t>Drednawite</t>
  </si>
  <si>
    <t>Jaw Lock</t>
  </si>
  <si>
    <r>
      <rPr>
        <rFont val="IBM Plex Sans Condensed"/>
        <b/>
        <color theme="1"/>
        <sz val="13.0"/>
        <u/>
      </rPr>
      <t xml:space="preserve">BATTLE EFFECT: </t>
    </r>
    <r>
      <rPr>
        <rFont val="IBM Plex Sans Condensed"/>
        <b/>
        <color rgb="FFF64A42"/>
        <sz val="13.0"/>
        <u/>
      </rPr>
      <t>PERMANENT DELTA STREAM</t>
    </r>
  </si>
  <si>
    <r>
      <rPr>
        <rFont val="IBM Plex Sans Condensed"/>
        <color theme="1"/>
        <sz val="13.0"/>
      </rPr>
      <t xml:space="preserve">ROCK TUNNEL
LEADER
</t>
    </r>
    <r>
      <rPr>
        <rFont val="IBM Plex Sans Condensed"/>
        <b/>
        <color theme="1"/>
        <sz val="13.0"/>
      </rPr>
      <t>FALKNER</t>
    </r>
  </si>
  <si>
    <t>Shaymin-S</t>
  </si>
  <si>
    <t>Enamorus-I</t>
  </si>
  <si>
    <r>
      <rPr>
        <rFont val="IBM Plex Sans Condensed"/>
        <color theme="1"/>
        <sz val="11.0"/>
      </rPr>
      <t xml:space="preserve">Frisk
</t>
    </r>
    <r>
      <rPr>
        <rFont val="IBM Plex Sans Condensed"/>
        <b/>
        <color theme="1"/>
        <sz val="11.0"/>
      </rPr>
      <t>No Guard (Mega)</t>
    </r>
  </si>
  <si>
    <t>Seed Flare</t>
  </si>
  <si>
    <r>
      <rPr>
        <rFont val="IBM Plex Sans Condensed"/>
        <b/>
        <color rgb="FF000000"/>
        <sz val="13.0"/>
        <u/>
      </rPr>
      <t xml:space="preserve">BATTLE EFFECT: </t>
    </r>
    <r>
      <rPr>
        <rFont val="IBM Plex Sans Condensed"/>
        <b/>
        <color rgb="FFEA4335"/>
        <sz val="13.0"/>
        <u/>
      </rPr>
      <t>DOUBLES + PERMANENT RAIN + GRENINJA IS PRE-TRANSFORMED</t>
    </r>
  </si>
  <si>
    <r>
      <rPr>
        <rFont val="IBM Plex Sans Condensed"/>
        <color rgb="FF000000"/>
        <sz val="13.0"/>
      </rPr>
      <t>SAFFRON CITY
DUMASS</t>
    </r>
    <r>
      <rPr>
        <rFont val="IBM Plex Sans Condensed"/>
        <b/>
        <color rgb="FF000000"/>
        <sz val="13.0"/>
      </rPr>
      <t xml:space="preserve">
GIAN</t>
    </r>
  </si>
  <si>
    <t>Magearna-O</t>
  </si>
  <si>
    <t>Greninja-Ash</t>
  </si>
  <si>
    <r>
      <rPr>
        <rFont val="IBM Plex Sans Condensed"/>
        <color theme="1"/>
        <sz val="11.0"/>
      </rPr>
      <t xml:space="preserve">Damp
</t>
    </r>
    <r>
      <rPr>
        <rFont val="IBM Plex Sans Condensed"/>
        <b/>
        <color theme="1"/>
        <sz val="11.0"/>
      </rPr>
      <t>Swift Swim (Mega)</t>
    </r>
  </si>
  <si>
    <t>Battle Bond</t>
  </si>
  <si>
    <t>Solganium Z</t>
  </si>
  <si>
    <t>Helping Hand</t>
  </si>
  <si>
    <t>Water Shurik.</t>
  </si>
  <si>
    <t>Spacial Rend</t>
  </si>
  <si>
    <t>HP Dragon</t>
  </si>
  <si>
    <r>
      <rPr>
        <rFont val="IBM Plex Sans Condensed"/>
        <b/>
        <color rgb="FF000000"/>
        <sz val="13.0"/>
        <u/>
      </rPr>
      <t>BATTLE EFFECT:</t>
    </r>
    <r>
      <rPr>
        <rFont val="IBM Plex Sans Condensed"/>
        <b/>
        <color rgb="FFEA4335"/>
        <sz val="13.0"/>
        <u/>
      </rPr>
      <t xml:space="preserve"> DOUBLES + PERMANENT TRICK ROOM + PLAYER'S FIRST 3 SLOTS GET FROSTBITE + KYUREM 
BECOMES KYUREM-WHITE AFTER FIRST FAINT &amp; EARTH POWER BECOMES FUSION FLARE</t>
    </r>
  </si>
  <si>
    <r>
      <rPr>
        <rFont val="IBM Plex Sans Condensed"/>
        <color theme="1"/>
        <sz val="13.0"/>
      </rPr>
      <t xml:space="preserve">SEAFOAM ISL.
SECRET ROOM
LEADER
</t>
    </r>
    <r>
      <rPr>
        <rFont val="IBM Plex Sans Condensed"/>
        <b/>
        <color theme="1"/>
        <sz val="13.0"/>
      </rPr>
      <t>PRYCE</t>
    </r>
  </si>
  <si>
    <t>Calyrex-I</t>
  </si>
  <si>
    <t>Wishiwashi-S-Sch</t>
  </si>
  <si>
    <t>Donphan</t>
  </si>
  <si>
    <t>Heracross-Mega</t>
  </si>
  <si>
    <r>
      <rPr>
        <rFont val="IBM Plex Sans Condensed"/>
        <color theme="1"/>
        <sz val="11.0"/>
      </rPr>
      <t xml:space="preserve">Soundproof
</t>
    </r>
    <r>
      <rPr>
        <rFont val="IBM Plex Sans Condensed"/>
        <b/>
        <color theme="1"/>
        <sz val="10.0"/>
      </rPr>
      <t>Snow Warning (Mega)</t>
    </r>
  </si>
  <si>
    <r>
      <rPr>
        <rFont val="IBM Plex Sans Condensed"/>
        <color theme="1"/>
        <sz val="11.0"/>
      </rPr>
      <t xml:space="preserve">Pressure
</t>
    </r>
    <r>
      <rPr>
        <rFont val="IBM Plex Sans Condensed"/>
        <b/>
        <color theme="1"/>
        <sz val="11.0"/>
      </rPr>
      <t>Turboblaze (White)</t>
    </r>
  </si>
  <si>
    <t>Schooling</t>
  </si>
  <si>
    <r>
      <rPr>
        <rFont val="IBM Plex Sans Condensed"/>
        <color theme="1"/>
        <sz val="11.0"/>
      </rPr>
      <t xml:space="preserve">Moxie
</t>
    </r>
    <r>
      <rPr>
        <rFont val="IBM Plex Sans Condensed"/>
        <b/>
        <color theme="1"/>
        <sz val="11.0"/>
      </rPr>
      <t>Skill Link (Mega)</t>
    </r>
  </si>
  <si>
    <t>Abomasnite</t>
  </si>
  <si>
    <t>Heracronite</t>
  </si>
  <si>
    <t>Glacial Lance</t>
  </si>
  <si>
    <t>SMALL FORM: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</si>
  <si>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</si>
  <si>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PKMN TOWER
GAUNTLET 1</t>
    </r>
    <r>
      <rPr>
        <rFont val="IBM Plex Sans Condensed"/>
        <b/>
        <color rgb="FF000000"/>
        <sz val="13.0"/>
      </rPr>
      <t xml:space="preserve">
</t>
    </r>
    <r>
      <rPr>
        <rFont val="IBM Plex Sans Condensed"/>
        <color rgb="FF000000"/>
        <sz val="13.0"/>
      </rPr>
      <t>TESTER</t>
    </r>
    <r>
      <rPr>
        <rFont val="IBM Plex Sans Condensed"/>
        <b/>
        <color rgb="FF000000"/>
        <sz val="13.0"/>
      </rPr>
      <t xml:space="preserve">
RUNAN</t>
    </r>
  </si>
  <si>
    <t>Keldeo</t>
  </si>
  <si>
    <r>
      <rPr>
        <rFont val="IBM Plex Sans Condensed"/>
        <color theme="1"/>
        <sz val="11.0"/>
      </rPr>
      <t xml:space="preserve">Intimidate
</t>
    </r>
    <r>
      <rPr>
        <rFont val="IBM Plex Sans Condensed"/>
        <b/>
        <color theme="1"/>
        <sz val="11.0"/>
      </rPr>
      <t>Aerilate (Mega)</t>
    </r>
  </si>
  <si>
    <t>Fleur Cannon</t>
  </si>
  <si>
    <t>Dragon Rush</t>
  </si>
  <si>
    <t>Glaciate</t>
  </si>
  <si>
    <r>
      <rPr>
        <rFont val="IBM Plex Sans Condensed"/>
        <color rgb="FF000000"/>
        <sz val="13.0"/>
      </rPr>
      <t>PKMN TOWER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SAMANTHA</t>
    </r>
  </si>
  <si>
    <t>Torkoal</t>
  </si>
  <si>
    <t>Dodrio-S</t>
  </si>
  <si>
    <r>
      <rPr>
        <rFont val="IBM Plex Sans Condensed"/>
        <color theme="1"/>
        <sz val="11.0"/>
      </rPr>
      <t xml:space="preserve">Rough Skin
</t>
    </r>
    <r>
      <rPr>
        <rFont val="IBM Plex Sans Condensed"/>
        <b/>
        <color theme="1"/>
        <sz val="11.0"/>
      </rPr>
      <t xml:space="preserve">Sand Force (Mega) </t>
    </r>
  </si>
  <si>
    <t>Lava Plume</t>
  </si>
  <si>
    <r>
      <rPr>
        <rFont val="IBM Plex Sans Condensed"/>
        <color rgb="FF000000"/>
        <sz val="13.0"/>
      </rPr>
      <t>PKMN TOWER
GAUNTLET 3</t>
    </r>
    <r>
      <rPr>
        <rFont val="IBM Plex Sans Condensed"/>
        <b/>
        <color rgb="FF000000"/>
        <sz val="13.0"/>
      </rPr>
      <t xml:space="preserve">
</t>
    </r>
    <r>
      <rPr>
        <rFont val="IBM Plex Sans Condensed"/>
        <color rgb="FF000000"/>
        <sz val="13.0"/>
      </rPr>
      <t>TESTER</t>
    </r>
    <r>
      <rPr>
        <rFont val="IBM Plex Sans Condensed"/>
        <b/>
        <color rgb="FF000000"/>
        <sz val="13.0"/>
      </rPr>
      <t xml:space="preserve">
SYMES</t>
    </r>
  </si>
  <si>
    <t>Zebstrika-S</t>
  </si>
  <si>
    <t>Decidueye-H</t>
  </si>
  <si>
    <r>
      <rPr>
        <rFont val="IBM Plex Sans Condensed"/>
        <color theme="1"/>
        <sz val="11.0"/>
      </rPr>
      <t xml:space="preserve">Sweet Veil
</t>
    </r>
    <r>
      <rPr>
        <rFont val="IBM Plex Sans Condensed"/>
        <b/>
        <color theme="1"/>
        <sz val="10.0"/>
      </rPr>
      <t>Self Sufficient (Mega)</t>
    </r>
  </si>
  <si>
    <t>Quill Rush</t>
  </si>
  <si>
    <t>QUILL RUSH:</t>
  </si>
  <si>
    <r>
      <rPr>
        <rFont val="IBM Plex Sans Condensed"/>
        <color theme="1"/>
        <sz val="13.0"/>
      </rPr>
      <t xml:space="preserve">PKMN TOWER
</t>
    </r>
    <r>
      <rPr>
        <rFont val="IBM Plex Sans Condensed"/>
        <color theme="1"/>
        <sz val="12.0"/>
      </rPr>
      <t>GAUNTLET BOSS</t>
    </r>
    <r>
      <rPr>
        <rFont val="IBM Plex Sans Condensed"/>
        <color theme="1"/>
        <sz val="13.0"/>
      </rPr>
      <t xml:space="preserve">
LEADER
</t>
    </r>
    <r>
      <rPr>
        <rFont val="IBM Plex Sans Condensed"/>
        <b/>
        <color theme="1"/>
        <sz val="13.0"/>
      </rPr>
      <t>MORTY</t>
    </r>
  </si>
  <si>
    <t>Mimikyu</t>
  </si>
  <si>
    <t>Marshadow</t>
  </si>
  <si>
    <t>Zarude</t>
  </si>
  <si>
    <t>Disguise</t>
  </si>
  <si>
    <r>
      <rPr>
        <rFont val="IBM Plex Sans Condensed"/>
        <color theme="1"/>
        <sz val="11.0"/>
      </rPr>
      <t xml:space="preserve">Levitate
</t>
    </r>
    <r>
      <rPr>
        <rFont val="IBM Plex Sans Condensed"/>
        <b/>
        <color theme="1"/>
        <sz val="11.0"/>
      </rPr>
      <t>Shadow Tag (Mega)</t>
    </r>
  </si>
  <si>
    <t>Leaf Guard</t>
  </si>
  <si>
    <t>Spectral Thief</t>
  </si>
  <si>
    <r>
      <rPr>
        <rFont val="IBM Plex Sans Condensed"/>
        <color rgb="FF000000"/>
        <sz val="13.0"/>
      </rPr>
      <t>ONE ISLAND
DUMASS</t>
    </r>
    <r>
      <rPr>
        <rFont val="IBM Plex Sans Condensed"/>
        <b/>
        <color rgb="FF000000"/>
        <sz val="13.0"/>
      </rPr>
      <t xml:space="preserve">
JOJO FAN</t>
    </r>
  </si>
  <si>
    <t>Huntail</t>
  </si>
  <si>
    <r>
      <rPr>
        <rFont val="IBM Plex Sans Condensed"/>
        <color theme="1"/>
        <sz val="11.0"/>
      </rPr>
      <t xml:space="preserve">Rough Skin
</t>
    </r>
    <r>
      <rPr>
        <rFont val="IBM Plex Sans Condensed"/>
        <b/>
        <color theme="1"/>
        <sz val="11.0"/>
      </rPr>
      <t>Sand Force (Mega)</t>
    </r>
  </si>
  <si>
    <r>
      <rPr>
        <rFont val="IBM Plex Sans Condensed"/>
        <color theme="1"/>
        <sz val="11.0"/>
      </rPr>
      <t xml:space="preserve">Guts or No Guard
</t>
    </r>
    <r>
      <rPr>
        <rFont val="IBM Plex Sans Condensed"/>
        <b/>
        <color theme="1"/>
        <sz val="8.0"/>
      </rPr>
      <t>ORAORAORAORA! (Mega)</t>
    </r>
  </si>
  <si>
    <r>
      <rPr>
        <rFont val="IBM Plex Sans Condensed"/>
        <color rgb="FF000000"/>
        <sz val="13.0"/>
      </rPr>
      <t>TREASURE BEA.
SWIMMER</t>
    </r>
    <r>
      <rPr>
        <rFont val="IBM Plex Sans Condensed"/>
        <b/>
        <color rgb="FF000000"/>
        <sz val="13.0"/>
      </rPr>
      <t xml:space="preserve">
AMARA</t>
    </r>
  </si>
  <si>
    <t>Milotic-S</t>
  </si>
  <si>
    <t>Dewgong</t>
  </si>
  <si>
    <t>Haze</t>
  </si>
  <si>
    <r>
      <rPr>
        <rFont val="IBM Plex Sans Condensed"/>
        <color rgb="FF000000"/>
        <sz val="13.0"/>
      </rPr>
      <t>TREASURE BEA.
SWIMMER</t>
    </r>
    <r>
      <rPr>
        <rFont val="IBM Plex Sans Condensed"/>
        <b/>
        <color rgb="FF000000"/>
        <sz val="13.0"/>
      </rPr>
      <t xml:space="preserve">
ABIGAIL</t>
    </r>
  </si>
  <si>
    <t>Azumarill</t>
  </si>
  <si>
    <t>Octillery</t>
  </si>
  <si>
    <t>Golisopod</t>
  </si>
  <si>
    <t>Wishiwashi-Sch</t>
  </si>
  <si>
    <t>Huge Power</t>
  </si>
  <si>
    <t>Emergency Exit</t>
  </si>
  <si>
    <r>
      <rPr>
        <rFont val="IBM Plex Sans Condensed"/>
        <color rgb="FF000000"/>
        <sz val="13.0"/>
      </rPr>
      <t xml:space="preserve">KINDLE ROAD
</t>
    </r>
    <r>
      <rPr>
        <rFont val="IBM Plex Sans Condensed"/>
        <b/>
        <color rgb="FF000000"/>
        <sz val="13.0"/>
      </rPr>
      <t>RED</t>
    </r>
  </si>
  <si>
    <t>Pikachu-Libre</t>
  </si>
  <si>
    <r>
      <rPr>
        <rFont val="IBM Plex Sans Condensed"/>
        <color theme="1"/>
        <sz val="11.0"/>
      </rPr>
      <t xml:space="preserve">Overgrow
</t>
    </r>
    <r>
      <rPr>
        <rFont val="IBM Plex Sans Condensed"/>
        <b/>
        <color theme="1"/>
        <sz val="11.0"/>
      </rPr>
      <t>Thick Fat (Mega)</t>
    </r>
  </si>
  <si>
    <r>
      <rPr>
        <rFont val="IBM Plex Sans Condensed"/>
        <color theme="1"/>
        <sz val="11.0"/>
      </rPr>
      <t xml:space="preserve">Torrent
</t>
    </r>
    <r>
      <rPr>
        <rFont val="IBM Plex Sans Condensed"/>
        <b/>
        <color theme="1"/>
        <sz val="9.0"/>
      </rPr>
      <t>Mega Launcher (Mega)</t>
    </r>
  </si>
  <si>
    <r>
      <rPr>
        <rFont val="IBM Plex Sans Condensed"/>
        <color theme="1"/>
        <sz val="11.0"/>
      </rPr>
      <t xml:space="preserve">Blaze
</t>
    </r>
    <r>
      <rPr>
        <rFont val="IBM Plex Sans Condensed"/>
        <b/>
        <color theme="1"/>
        <sz val="11.0"/>
      </rPr>
      <t>Tough Claws (Mega)</t>
    </r>
  </si>
  <si>
    <r>
      <rPr>
        <rFont val="IBM Plex Sans Condensed"/>
        <color theme="1"/>
        <sz val="11.0"/>
      </rPr>
      <t xml:space="preserve">Pressure
</t>
    </r>
    <r>
      <rPr>
        <rFont val="IBM Plex Sans Condensed"/>
        <b/>
        <color theme="1"/>
        <sz val="11.0"/>
      </rPr>
      <t>Steadfast (Mega)</t>
    </r>
  </si>
  <si>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</si>
  <si>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PICNICKER</t>
    </r>
    <r>
      <rPr>
        <rFont val="IBM Plex Sans Condensed"/>
        <b/>
        <color rgb="FF000000"/>
        <sz val="13.0"/>
      </rPr>
      <t xml:space="preserve">
CLAIRE</t>
    </r>
  </si>
  <si>
    <t>Alakazam-Mega</t>
  </si>
  <si>
    <t>Lucario</t>
  </si>
  <si>
    <r>
      <rPr>
        <rFont val="IBM Plex Sans Condensed"/>
        <color theme="1"/>
        <sz val="11.0"/>
      </rPr>
      <t xml:space="preserve">Synchronize
</t>
    </r>
    <r>
      <rPr>
        <rFont val="IBM Plex Sans Condensed"/>
        <b/>
        <color theme="1"/>
        <sz val="11.0"/>
      </rPr>
      <t>Trace (Mega)</t>
    </r>
  </si>
  <si>
    <t>Justified</t>
  </si>
  <si>
    <t>Alakazite</t>
  </si>
  <si>
    <t>Tanga Berry</t>
  </si>
  <si>
    <t>Follow Me</t>
  </si>
  <si>
    <r>
      <rPr>
        <rFont val="IBM Plex Sans Condensed"/>
        <color rgb="FF000000"/>
        <sz val="13.0"/>
      </rPr>
      <t>KINDLE ROAD
CRUSH GIRL</t>
    </r>
    <r>
      <rPr>
        <rFont val="IBM Plex Sans Condensed"/>
        <b/>
        <color rgb="FF000000"/>
        <sz val="13.0"/>
      </rPr>
      <t xml:space="preserve">
TANYA</t>
    </r>
  </si>
  <si>
    <t>Bewear</t>
  </si>
  <si>
    <t>Ursaring-S</t>
  </si>
  <si>
    <r>
      <rPr>
        <rFont val="IBM Plex Sans Condensed"/>
        <color rgb="FF000000"/>
        <sz val="13.0"/>
      </rPr>
      <t>KINDLE ROAD
CAMPER</t>
    </r>
    <r>
      <rPr>
        <rFont val="IBM Plex Sans Condensed"/>
        <b/>
        <color rgb="FF000000"/>
        <sz val="13.0"/>
      </rPr>
      <t xml:space="preserve">
BRYCE</t>
    </r>
  </si>
  <si>
    <t>Butterfree-Mega</t>
  </si>
  <si>
    <t>Compound Eyes (Both)</t>
  </si>
  <si>
    <t>Butterfrite</t>
  </si>
  <si>
    <r>
      <rPr>
        <rFont val="IBM Plex Sans Condensed"/>
        <b/>
        <color theme="1"/>
        <sz val="13.0"/>
        <u/>
      </rPr>
      <t xml:space="preserve">BATTLE EFFECT: </t>
    </r>
    <r>
      <rPr>
        <rFont val="IBM Plex Sans Condensed"/>
        <b/>
        <color rgb="FFEA4335"/>
        <sz val="13.0"/>
        <u/>
      </rPr>
      <t>DOUBLES</t>
    </r>
  </si>
  <si>
    <r>
      <rPr>
        <rFont val="IBM Plex Sans Condensed"/>
        <color rgb="FF000000"/>
        <sz val="13.0"/>
      </rPr>
      <t>KINDLE ROAD
SWIMMER</t>
    </r>
    <r>
      <rPr>
        <rFont val="IBM Plex Sans Condensed"/>
        <b/>
        <color rgb="FF000000"/>
        <sz val="13.0"/>
      </rPr>
      <t xml:space="preserve">
GARRETT</t>
    </r>
  </si>
  <si>
    <t>Mantine-S</t>
  </si>
  <si>
    <r>
      <rPr>
        <rFont val="IBM Plex Sans Condensed"/>
        <color theme="1"/>
        <sz val="11.0"/>
      </rPr>
      <t xml:space="preserve">Water Absorb
</t>
    </r>
    <r>
      <rPr>
        <rFont val="IBM Plex Sans Condensed"/>
        <b/>
        <color theme="1"/>
        <sz val="11.0"/>
      </rPr>
      <t>Liquid Voice (Mega)</t>
    </r>
  </si>
  <si>
    <t>Extrasensory</t>
  </si>
  <si>
    <r>
      <rPr>
        <rFont val="IBM Plex Sans Condensed"/>
        <color rgb="FF000000"/>
        <sz val="13.0"/>
      </rPr>
      <t>KINDLE ROAD
CRUSH KIN</t>
    </r>
    <r>
      <rPr>
        <rFont val="IBM Plex Sans Condensed"/>
        <b/>
        <color rgb="FF000000"/>
        <sz val="13.0"/>
      </rPr>
      <t xml:space="preserve">
MIK &amp; KIA</t>
    </r>
  </si>
  <si>
    <t>Metagross-Mega</t>
  </si>
  <si>
    <t>Lycanroc-D</t>
  </si>
  <si>
    <r>
      <rPr>
        <rFont val="IBM Plex Sans Condensed"/>
        <color theme="1"/>
        <sz val="11.0"/>
      </rPr>
      <t xml:space="preserve">Clear Body
</t>
    </r>
    <r>
      <rPr>
        <rFont val="IBM Plex Sans Condensed"/>
        <b/>
        <color theme="1"/>
        <sz val="11.0"/>
      </rPr>
      <t>Tough Claws (Mega)</t>
    </r>
  </si>
  <si>
    <t>Metagrossite</t>
  </si>
  <si>
    <r>
      <rPr>
        <rFont val="IBM Plex Sans Condensed"/>
        <color rgb="FF000000"/>
        <sz val="13.0"/>
      </rPr>
      <t>KINDLE ROAD
BLACK BELT</t>
    </r>
    <r>
      <rPr>
        <rFont val="IBM Plex Sans Condensed"/>
        <b/>
        <color rgb="FF000000"/>
        <sz val="13.0"/>
      </rPr>
      <t xml:space="preserve">
SHEA</t>
    </r>
  </si>
  <si>
    <t>Choice Band</t>
  </si>
  <si>
    <t>SCARF+RUSH:</t>
  </si>
  <si>
    <r>
      <rPr>
        <rFont val="IBM Plex Sans Condensed"/>
        <color rgb="FF000000"/>
        <sz val="13.0"/>
      </rPr>
      <t>KINDLE ROAD
BLACK BELT</t>
    </r>
    <r>
      <rPr>
        <rFont val="IBM Plex Sans Condensed"/>
        <b/>
        <color rgb="FF000000"/>
        <sz val="13.0"/>
      </rPr>
      <t xml:space="preserve">
HUGH</t>
    </r>
  </si>
  <si>
    <t>Heracross</t>
  </si>
  <si>
    <r>
      <rPr>
        <rFont val="IBM Plex Sans Condensed"/>
        <color rgb="FF000000"/>
        <sz val="13.0"/>
      </rPr>
      <t>KINDLE ROAD
CRUSH GIRL</t>
    </r>
    <r>
      <rPr>
        <rFont val="IBM Plex Sans Condensed"/>
        <b/>
        <color rgb="FF000000"/>
        <sz val="13.0"/>
      </rPr>
      <t xml:space="preserve">
SHARON</t>
    </r>
  </si>
  <si>
    <r>
      <rPr>
        <rFont val="IBM Plex Sans Condensed"/>
        <color theme="1"/>
        <sz val="11.0"/>
      </rPr>
      <t xml:space="preserve">Steadfast
</t>
    </r>
    <r>
      <rPr>
        <rFont val="IBM Plex Sans Condensed"/>
        <b/>
        <color theme="1"/>
        <sz val="11.0"/>
      </rPr>
      <t>Sharpness (Mega)</t>
    </r>
  </si>
  <si>
    <r>
      <rPr>
        <rFont val="IBM Plex Sans Condensed"/>
        <color rgb="FF000000"/>
        <sz val="13.0"/>
      </rPr>
      <t>KINDLE ROAD
SWIMMER</t>
    </r>
    <r>
      <rPr>
        <rFont val="IBM Plex Sans Condensed"/>
        <b/>
        <color rgb="FF000000"/>
        <sz val="13.0"/>
      </rPr>
      <t xml:space="preserve">
FINN</t>
    </r>
  </si>
  <si>
    <t>Barraskewda</t>
  </si>
  <si>
    <t>Strong Jaw (Both)</t>
  </si>
  <si>
    <r>
      <rPr>
        <rFont val="IBM Plex Sans Condensed"/>
        <color rgb="FF000000"/>
        <sz val="13.0"/>
      </rPr>
      <t>KINDLE ROAD
SWIMMER</t>
    </r>
    <r>
      <rPr>
        <rFont val="IBM Plex Sans Condensed"/>
        <b/>
        <color rgb="FF000000"/>
        <sz val="13.0"/>
      </rPr>
      <t xml:space="preserve">
MARIA</t>
    </r>
  </si>
  <si>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</si>
  <si>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FISHERMAN</t>
    </r>
    <r>
      <rPr>
        <rFont val="IBM Plex Sans Condensed"/>
        <b/>
        <color rgb="FF000000"/>
        <sz val="13.0"/>
      </rPr>
      <t xml:space="preserve">
TOMMY</t>
    </r>
  </si>
  <si>
    <t>Slowbro-Mega</t>
  </si>
  <si>
    <r>
      <rPr>
        <rFont val="IBM Plex Sans Condensed"/>
        <color theme="1"/>
        <sz val="11.0"/>
      </rPr>
      <t xml:space="preserve">Regenerator
</t>
    </r>
    <r>
      <rPr>
        <rFont val="IBM Plex Sans Condensed"/>
        <b/>
        <color theme="1"/>
        <sz val="11.0"/>
      </rPr>
      <t>Shell Armor (Mega)</t>
    </r>
  </si>
  <si>
    <t>Slowbronite</t>
  </si>
  <si>
    <t>Phantom Force</t>
  </si>
  <si>
    <r>
      <rPr>
        <rFont val="IBM Plex Sans Condensed"/>
        <color theme="1"/>
        <sz val="13.0"/>
      </rPr>
      <t xml:space="preserve">KINDLE ROAD
LEADER
</t>
    </r>
    <r>
      <rPr>
        <rFont val="IBM Plex Sans Condensed"/>
        <b/>
        <color theme="1"/>
        <sz val="13.0"/>
      </rPr>
      <t>BUGSY</t>
    </r>
  </si>
  <si>
    <t>Pheromosa</t>
  </si>
  <si>
    <t>Clawitzer-S</t>
  </si>
  <si>
    <t>Genesect-Douse</t>
  </si>
  <si>
    <t>Arceus-Bug</t>
  </si>
  <si>
    <r>
      <rPr>
        <rFont val="IBM Plex Sans Condensed"/>
        <color theme="1"/>
        <sz val="11.0"/>
      </rPr>
      <t xml:space="preserve">Hyper Cutter
</t>
    </r>
    <r>
      <rPr>
        <rFont val="IBM Plex Sans Condensed"/>
        <b/>
        <color theme="1"/>
        <sz val="11.0"/>
      </rPr>
      <t>Aerilate (Mega)</t>
    </r>
  </si>
  <si>
    <t>Douse Drive</t>
  </si>
  <si>
    <t>Buginium Z</t>
  </si>
  <si>
    <t>Techno Blast</t>
  </si>
  <si>
    <t>1 B. BOOST:</t>
  </si>
  <si>
    <r>
      <rPr>
        <rFont val="IBM Plex Sans Condensed"/>
        <color theme="1"/>
        <sz val="13.0"/>
      </rPr>
      <t xml:space="preserve">MT. EMBER
RANGER
</t>
    </r>
    <r>
      <rPr>
        <rFont val="IBM Plex Sans Condensed"/>
        <b/>
        <color theme="1"/>
        <sz val="13.0"/>
      </rPr>
      <t>BETH</t>
    </r>
  </si>
  <si>
    <t>Haxorus</t>
  </si>
  <si>
    <r>
      <rPr>
        <rFont val="IBM Plex Sans Condensed"/>
        <color theme="1"/>
        <sz val="13.0"/>
      </rPr>
      <t xml:space="preserve">MT. EMBER
GATEKEEPER
</t>
    </r>
    <r>
      <rPr>
        <rFont val="IBM Plex Sans Condensed"/>
        <b/>
        <color theme="1"/>
        <sz val="13.0"/>
      </rPr>
      <t>LOGAN</t>
    </r>
  </si>
  <si>
    <t>Feraligatr</t>
  </si>
  <si>
    <r>
      <rPr>
        <rFont val="IBM Plex Sans Condensed"/>
        <color theme="1"/>
        <sz val="11.0"/>
      </rPr>
      <t xml:space="preserve">Natural Cure
</t>
    </r>
    <r>
      <rPr>
        <rFont val="IBM Plex Sans Condensed"/>
        <b/>
        <color theme="1"/>
        <sz val="11.0"/>
      </rPr>
      <t>Pixilate (Mega)</t>
    </r>
  </si>
  <si>
    <r>
      <rPr>
        <rFont val="IBM Plex Sans Condensed"/>
        <color rgb="FF000000"/>
        <sz val="13.0"/>
      </rPr>
      <t>MT. EMBER
CRUSH GIRL</t>
    </r>
    <r>
      <rPr>
        <rFont val="IBM Plex Sans Condensed"/>
        <b/>
        <color rgb="FF000000"/>
        <sz val="13.0"/>
      </rPr>
      <t xml:space="preserve">
JOCELYN</t>
    </r>
  </si>
  <si>
    <t>Dudunsparce</t>
  </si>
  <si>
    <t>Naughty</t>
  </si>
  <si>
    <t>Headbutt</t>
  </si>
  <si>
    <r>
      <rPr>
        <rFont val="IBM Plex Sans Condensed"/>
        <color rgb="FF000000"/>
        <sz val="13.0"/>
      </rPr>
      <t xml:space="preserve">MT. EMBER
</t>
    </r>
    <r>
      <rPr>
        <rFont val="IBM Plex Sans Condensed"/>
        <b/>
        <color rgb="FF000000"/>
        <sz val="13.0"/>
      </rPr>
      <t>ARIANA</t>
    </r>
  </si>
  <si>
    <r>
      <rPr>
        <rFont val="IBM Plex Sans Condensed"/>
        <color theme="1"/>
        <sz val="11.0"/>
      </rPr>
      <t xml:space="preserve">Limber
</t>
    </r>
    <r>
      <rPr>
        <rFont val="IBM Plex Sans Condensed"/>
        <b/>
        <color theme="1"/>
        <sz val="11.0"/>
      </rPr>
      <t>Scrappy (Mega)</t>
    </r>
  </si>
  <si>
    <r>
      <rPr>
        <rFont val="IBM Plex Sans Condensed"/>
        <color theme="1"/>
        <sz val="11.0"/>
      </rPr>
      <t xml:space="preserve">Intimidate
</t>
    </r>
    <r>
      <rPr>
        <rFont val="IBM Plex Sans Condensed"/>
        <b/>
        <color theme="1"/>
        <sz val="11.0"/>
      </rPr>
      <t>Huge Power (Mega)</t>
    </r>
  </si>
  <si>
    <t>Dazzling Gleam</t>
  </si>
  <si>
    <r>
      <rPr>
        <rFont val="IBM Plex Sans Condensed"/>
        <b/>
        <color theme="1"/>
        <sz val="13.0"/>
        <u/>
      </rPr>
      <t xml:space="preserve">BATTLE EFFECT: </t>
    </r>
    <r>
      <rPr>
        <rFont val="IBM Plex Sans Condensed"/>
        <b/>
        <color rgb="FFEA4335"/>
        <sz val="13.0"/>
        <u/>
      </rPr>
      <t>DOUBLES + PERMANENT DESOLATE LAND</t>
    </r>
  </si>
  <si>
    <r>
      <rPr>
        <rFont val="IBM Plex Sans Condensed"/>
        <color rgb="FF000000"/>
        <sz val="13.0"/>
      </rPr>
      <t xml:space="preserve">MT. EMBER
</t>
    </r>
    <r>
      <rPr>
        <rFont val="IBM Plex Sans Condensed"/>
        <b/>
        <color rgb="FF000000"/>
        <sz val="13.0"/>
      </rPr>
      <t>ARCHER</t>
    </r>
  </si>
  <si>
    <r>
      <rPr>
        <rFont val="IBM Plex Sans Condensed"/>
        <color theme="1"/>
        <sz val="11.0"/>
      </rPr>
      <t xml:space="preserve">Intimidate
</t>
    </r>
    <r>
      <rPr>
        <rFont val="IBM Plex Sans Condensed"/>
        <b/>
        <color theme="1"/>
        <sz val="11.0"/>
      </rPr>
      <t>Aerilate (Mega)</t>
    </r>
  </si>
  <si>
    <r>
      <rPr>
        <rFont val="IBM Plex Sans Condensed"/>
        <color theme="1"/>
        <sz val="11.0"/>
      </rPr>
      <t xml:space="preserve">Flash Fire
</t>
    </r>
    <r>
      <rPr>
        <rFont val="IBM Plex Sans Condensed"/>
        <b/>
        <color theme="1"/>
        <sz val="11.0"/>
      </rPr>
      <t>Solar Power (Mega)</t>
    </r>
  </si>
  <si>
    <r>
      <rPr>
        <rFont val="IBM Plex Sans Condensed"/>
        <b/>
        <color theme="1"/>
        <sz val="13.0"/>
        <u/>
      </rPr>
      <t xml:space="preserve">BATTLE EFFECT: </t>
    </r>
    <r>
      <rPr>
        <rFont val="IBM Plex Sans Condensed"/>
        <b/>
        <color rgb="FFEA4335"/>
        <sz val="13.0"/>
        <u/>
      </rPr>
      <t>INVERSE BATTLE + ZANGOOSE IS PRE-POISONED + URSALUNA IS PRE-BURNED</t>
    </r>
  </si>
  <si>
    <t>(INVERSE TYPE CHART CLICK HERE)</t>
  </si>
  <si>
    <r>
      <rPr>
        <rFont val="IBM Plex Sans Condensed"/>
        <color theme="1"/>
        <sz val="13.0"/>
      </rPr>
      <t xml:space="preserve">TWO ISLAND
</t>
    </r>
    <r>
      <rPr>
        <rFont val="IBM Plex Sans Condensed"/>
        <b/>
        <color theme="1"/>
        <sz val="13.0"/>
      </rPr>
      <t>WHITNEY</t>
    </r>
  </si>
  <si>
    <t>Zangoose</t>
  </si>
  <si>
    <t>Miltank</t>
  </si>
  <si>
    <t>Zoroark-H</t>
  </si>
  <si>
    <t>Ursaluna</t>
  </si>
  <si>
    <t>Snorlax-Mega</t>
  </si>
  <si>
    <t>Illusion</t>
  </si>
  <si>
    <t>Thick Fat (Both)</t>
  </si>
  <si>
    <t>Kasib Berry</t>
  </si>
  <si>
    <t>Snorlaxite</t>
  </si>
  <si>
    <r>
      <rPr>
        <rFont val="IBM Plex Sans Condensed"/>
        <color rgb="FF000000"/>
        <sz val="13.0"/>
      </rPr>
      <t>JOYFUL
GAME CORNER</t>
    </r>
    <r>
      <rPr>
        <rFont val="IBM Plex Sans Condensed"/>
        <b/>
        <color rgb="FF000000"/>
        <sz val="13.0"/>
      </rPr>
      <t xml:space="preserve">
</t>
    </r>
    <r>
      <rPr>
        <rFont val="IBM Plex Sans Condensed"/>
        <color rgb="FF000000"/>
        <sz val="13.0"/>
      </rPr>
      <t>ACE TRAINER</t>
    </r>
    <r>
      <rPr>
        <rFont val="IBM Plex Sans Condensed"/>
        <b/>
        <color rgb="FF000000"/>
        <sz val="13.0"/>
      </rPr>
      <t xml:space="preserve">
ANDREW</t>
    </r>
  </si>
  <si>
    <r>
      <rPr>
        <rFont val="IBM Plex Sans Condensed"/>
        <color theme="1"/>
        <sz val="11.0"/>
      </rPr>
      <t xml:space="preserve">Overgrow
</t>
    </r>
    <r>
      <rPr>
        <rFont val="IBM Plex Sans Condensed"/>
        <b/>
        <color theme="1"/>
        <sz val="11.0"/>
      </rPr>
      <t>Technician (Mega)</t>
    </r>
  </si>
  <si>
    <r>
      <rPr>
        <rFont val="IBM Plex Sans Condensed"/>
        <color theme="1"/>
        <sz val="11.0"/>
      </rPr>
      <t xml:space="preserve">Striker
</t>
    </r>
    <r>
      <rPr>
        <rFont val="IBM Plex Sans Condensed"/>
        <b/>
        <color theme="1"/>
        <sz val="11.0"/>
      </rPr>
      <t>Speed Boost (Mega)</t>
    </r>
  </si>
  <si>
    <t>Hydro Cannon</t>
  </si>
  <si>
    <t>1 SPE BOOST:</t>
  </si>
  <si>
    <r>
      <rPr>
        <rFont val="IBM Plex Sans Condensed"/>
        <color rgb="FF000000"/>
        <sz val="13.0"/>
      </rPr>
      <t>CAPE BRINK
CHANNELER</t>
    </r>
    <r>
      <rPr>
        <rFont val="IBM Plex Sans Condensed"/>
        <b/>
        <color rgb="FF000000"/>
        <sz val="13.0"/>
      </rPr>
      <t xml:space="preserve">
RACHEL</t>
    </r>
  </si>
  <si>
    <t>Darkrai</t>
  </si>
  <si>
    <r>
      <rPr>
        <rFont val="IBM Plex Sans Condensed"/>
        <color theme="1"/>
        <sz val="11.0"/>
      </rPr>
      <t xml:space="preserve">Super Luck
</t>
    </r>
    <r>
      <rPr>
        <rFont val="IBM Plex Sans Condensed"/>
        <b/>
        <color theme="1"/>
        <sz val="11.0"/>
      </rPr>
      <t>Sharpness (Mega)</t>
    </r>
  </si>
  <si>
    <r>
      <rPr>
        <rFont val="IBM Plex Sans Condensed"/>
        <color rgb="FF000000"/>
        <sz val="13.0"/>
      </rPr>
      <t xml:space="preserve">THREE ISLAND
</t>
    </r>
    <r>
      <rPr>
        <rFont val="IBM Plex Sans Condensed"/>
        <b/>
        <color rgb="FF000000"/>
        <sz val="13.0"/>
      </rPr>
      <t>GOON 1</t>
    </r>
  </si>
  <si>
    <t>Dark Gem</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</si>
  <si>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</si>
  <si>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 xml:space="preserve">THREE ISLAND
</t>
    </r>
    <r>
      <rPr>
        <rFont val="IBM Plex Sans Condensed"/>
        <b/>
        <color rgb="FF000000"/>
        <sz val="13.0"/>
      </rPr>
      <t>GOON 2</t>
    </r>
  </si>
  <si>
    <r>
      <rPr>
        <rFont val="IBM Plex Sans Condensed"/>
        <color rgb="FF000000"/>
        <sz val="13.0"/>
      </rPr>
      <t xml:space="preserve">THREE ISLAND
</t>
    </r>
    <r>
      <rPr>
        <rFont val="IBM Plex Sans Condensed"/>
        <b/>
        <color rgb="FF000000"/>
        <sz val="13.0"/>
      </rPr>
      <t>GOON 3</t>
    </r>
  </si>
  <si>
    <t>Avalugg-H</t>
  </si>
  <si>
    <r>
      <rPr>
        <rFont val="IBM Plex Sans Condensed"/>
        <color theme="1"/>
        <sz val="11.0"/>
      </rPr>
      <t xml:space="preserve">Speed Boost
</t>
    </r>
    <r>
      <rPr>
        <rFont val="IBM Plex Sans Condensed"/>
        <b/>
        <color theme="1"/>
        <sz val="11.0"/>
      </rPr>
      <t>Strong Jaw (Mega)</t>
    </r>
  </si>
  <si>
    <r>
      <rPr>
        <rFont val="IBM Plex Sans Condensed"/>
        <color rgb="FF000000"/>
        <sz val="13.0"/>
      </rPr>
      <t xml:space="preserve">THREE ISLAND
</t>
    </r>
    <r>
      <rPr>
        <rFont val="IBM Plex Sans Condensed"/>
        <b/>
        <color rgb="FF000000"/>
        <sz val="13.0"/>
      </rPr>
      <t>GANG BOSS</t>
    </r>
  </si>
  <si>
    <t>Centiskorch-MegaS</t>
  </si>
  <si>
    <r>
      <rPr>
        <rFont val="IBM Plex Sans Condensed"/>
        <color theme="1"/>
        <sz val="11.0"/>
      </rPr>
      <t xml:space="preserve">White Smoke
</t>
    </r>
    <r>
      <rPr>
        <rFont val="IBM Plex Sans Condensed"/>
        <b/>
        <color theme="1"/>
        <sz val="11.0"/>
      </rPr>
      <t>Sand Force (Mega)</t>
    </r>
  </si>
  <si>
    <r>
      <rPr>
        <rFont val="IBM Plex Sans Condensed"/>
        <b/>
        <color rgb="FF000000"/>
        <sz val="13.0"/>
      </rPr>
      <t>BATTLE EFFECT:</t>
    </r>
    <r>
      <rPr>
        <rFont val="IBM Plex Sans Condensed"/>
        <b/>
        <color rgb="FFEA4335"/>
        <sz val="13.0"/>
      </rPr>
      <t xml:space="preserve"> DOUBLES</t>
    </r>
  </si>
  <si>
    <r>
      <rPr>
        <rFont val="IBM Plex Sans Condensed"/>
        <color rgb="FF000000"/>
        <sz val="13.0"/>
      </rPr>
      <t>BOND BRIDGE
TWINS</t>
    </r>
    <r>
      <rPr>
        <rFont val="IBM Plex Sans Condensed"/>
        <b/>
        <color rgb="FF000000"/>
        <sz val="13.0"/>
      </rPr>
      <t xml:space="preserve">
JOY &amp; MEG</t>
    </r>
  </si>
  <si>
    <t>Illumise</t>
  </si>
  <si>
    <t>Minun</t>
  </si>
  <si>
    <t>Lunge</t>
  </si>
  <si>
    <r>
      <rPr>
        <rFont val="IBM Plex Sans Condensed"/>
        <color rgb="FF000000"/>
        <sz val="13.0"/>
      </rPr>
      <t>BOND BRIDGE
AROMA LADY</t>
    </r>
    <r>
      <rPr>
        <rFont val="IBM Plex Sans Condensed"/>
        <b/>
        <color rgb="FF000000"/>
        <sz val="13.0"/>
      </rPr>
      <t xml:space="preserve">
VIOLET</t>
    </r>
  </si>
  <si>
    <r>
      <rPr>
        <rFont val="IBM Plex Sans Condensed"/>
        <color theme="1"/>
        <sz val="11.0"/>
      </rPr>
      <t xml:space="preserve">Gluttony
</t>
    </r>
    <r>
      <rPr>
        <rFont val="IBM Plex Sans Condensed"/>
        <b/>
        <color theme="1"/>
        <sz val="10.0"/>
      </rPr>
      <t>Dragon's Maw (Mega)</t>
    </r>
  </si>
  <si>
    <r>
      <rPr>
        <rFont val="IBM Plex Sans Condensed"/>
        <color rgb="FF000000"/>
        <sz val="13.0"/>
      </rPr>
      <t>BOND BRIDGE
TUBER</t>
    </r>
    <r>
      <rPr>
        <rFont val="IBM Plex Sans Condensed"/>
        <b/>
        <color rgb="FF000000"/>
        <sz val="13.0"/>
      </rPr>
      <t xml:space="preserve">
ALEXIS</t>
    </r>
  </si>
  <si>
    <t>Carracosta</t>
  </si>
  <si>
    <t>Kingler</t>
  </si>
  <si>
    <t>Lanturn</t>
  </si>
  <si>
    <r>
      <rPr>
        <rFont val="IBM Plex Sans Condensed"/>
        <color theme="1"/>
        <sz val="11.0"/>
      </rPr>
      <t xml:space="preserve">Regenerator
</t>
    </r>
    <r>
      <rPr>
        <rFont val="IBM Plex Sans Condensed"/>
        <b/>
        <color theme="1"/>
        <sz val="11.0"/>
      </rPr>
      <t>Shell Armor (Mega)</t>
    </r>
  </si>
  <si>
    <r>
      <rPr>
        <rFont val="IBM Plex Sans Condensed"/>
        <color rgb="FF000000"/>
        <sz val="13.0"/>
      </rPr>
      <t>BOND BRIDGE
SWIMMER</t>
    </r>
    <r>
      <rPr>
        <rFont val="IBM Plex Sans Condensed"/>
        <b/>
        <color rgb="FF000000"/>
        <sz val="13.0"/>
      </rPr>
      <t xml:space="preserve">
TISHA</t>
    </r>
  </si>
  <si>
    <t>Golduck</t>
  </si>
  <si>
    <t>Noivern</t>
  </si>
  <si>
    <t>Damp Rock</t>
  </si>
  <si>
    <t>Psychium Z</t>
  </si>
  <si>
    <t>Ice Gem</t>
  </si>
  <si>
    <t>Synchronoise</t>
  </si>
  <si>
    <r>
      <rPr>
        <rFont val="IBM Plex Sans Condensed"/>
        <color rgb="FF000000"/>
        <sz val="13.0"/>
      </rPr>
      <t>BOND BRIDGE
TUBER</t>
    </r>
    <r>
      <rPr>
        <rFont val="IBM Plex Sans Condensed"/>
        <b/>
        <color rgb="FF000000"/>
        <sz val="13.0"/>
      </rPr>
      <t xml:space="preserve">
AMIRA</t>
    </r>
  </si>
  <si>
    <t>Palossand</t>
  </si>
  <si>
    <t>Water Compaction</t>
  </si>
  <si>
    <t>Poisonium Z</t>
  </si>
  <si>
    <t>Shore Up</t>
  </si>
  <si>
    <r>
      <rPr>
        <rFont val="IBM Plex Sans Condensed"/>
        <color rgb="FF000000"/>
        <sz val="13.0"/>
      </rPr>
      <t>BOND BRIDGE
AROMA LADY</t>
    </r>
    <r>
      <rPr>
        <rFont val="IBM Plex Sans Condensed"/>
        <b/>
        <color rgb="FF000000"/>
        <sz val="13.0"/>
      </rPr>
      <t xml:space="preserve">
NIKKI</t>
    </r>
  </si>
  <si>
    <t>Sableye-Mega</t>
  </si>
  <si>
    <t>Toxapex</t>
  </si>
  <si>
    <r>
      <rPr>
        <rFont val="IBM Plex Sans Condensed"/>
        <color theme="1"/>
        <sz val="11.0"/>
      </rPr>
      <t xml:space="preserve">Prankster
</t>
    </r>
    <r>
      <rPr>
        <rFont val="IBM Plex Sans Condensed"/>
        <b/>
        <color theme="1"/>
        <sz val="10.0"/>
      </rPr>
      <t>Magic Bounce (Mega)</t>
    </r>
  </si>
  <si>
    <t>Sablenite</t>
  </si>
  <si>
    <r>
      <rPr>
        <rFont val="IBM Plex Sans Condensed"/>
        <color rgb="FF000000"/>
        <sz val="13.0"/>
      </rPr>
      <t>BERRY FOREST
GAUNTLET 1</t>
    </r>
    <r>
      <rPr>
        <rFont val="IBM Plex Sans Condensed"/>
        <b/>
        <color rgb="FF000000"/>
        <sz val="13.0"/>
      </rPr>
      <t xml:space="preserve">
</t>
    </r>
    <r>
      <rPr>
        <rFont val="IBM Plex Sans Condensed"/>
        <color rgb="FF000000"/>
        <sz val="13.0"/>
      </rPr>
      <t>ACE TRAINER</t>
    </r>
    <r>
      <rPr>
        <rFont val="IBM Plex Sans Condensed"/>
        <b/>
        <color rgb="FF000000"/>
        <sz val="13.0"/>
      </rPr>
      <t xml:space="preserve">
BARRY</t>
    </r>
  </si>
  <si>
    <t>Corviknight</t>
  </si>
  <si>
    <t>Soundproof</t>
  </si>
  <si>
    <t>Clanging Scales</t>
  </si>
  <si>
    <t>Power Trip</t>
  </si>
  <si>
    <r>
      <rPr>
        <rFont val="IBM Plex Sans Condensed"/>
        <color rgb="FF000000"/>
        <sz val="13.0"/>
      </rPr>
      <t>BERRY FOREST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SHARON</t>
    </r>
  </si>
  <si>
    <t>Zoroark</t>
  </si>
  <si>
    <r>
      <rPr>
        <rFont val="IBM Plex Sans Condensed"/>
        <color theme="1"/>
        <sz val="11.0"/>
      </rPr>
      <t xml:space="preserve">Super Luck
</t>
    </r>
    <r>
      <rPr>
        <rFont val="IBM Plex Sans Condensed"/>
        <b/>
        <color theme="1"/>
        <sz val="11.0"/>
      </rPr>
      <t>Sharpness (Mega)</t>
    </r>
  </si>
  <si>
    <r>
      <rPr>
        <rFont val="IBM Plex Sans Condensed"/>
        <color rgb="FF000000"/>
        <sz val="13.0"/>
      </rPr>
      <t>BERRY FOREST
GAUNTLET 3</t>
    </r>
    <r>
      <rPr>
        <rFont val="IBM Plex Sans Condensed"/>
        <b/>
        <color rgb="FF000000"/>
        <sz val="13.0"/>
      </rPr>
      <t xml:space="preserve">
</t>
    </r>
    <r>
      <rPr>
        <rFont val="IBM Plex Sans Condensed"/>
        <color rgb="FF000000"/>
        <sz val="13.0"/>
      </rPr>
      <t>ACE TRAINER</t>
    </r>
    <r>
      <rPr>
        <rFont val="IBM Plex Sans Condensed"/>
        <b/>
        <color rgb="FF000000"/>
        <sz val="13.0"/>
      </rPr>
      <t xml:space="preserve">
NICK</t>
    </r>
  </si>
  <si>
    <r>
      <rPr>
        <rFont val="IBM Plex Sans Condensed"/>
        <color theme="1"/>
        <sz val="11.0"/>
      </rPr>
      <t xml:space="preserve">Sand Veil
</t>
    </r>
    <r>
      <rPr>
        <rFont val="IBM Plex Sans Condensed"/>
        <b/>
        <color theme="1"/>
        <sz val="11.0"/>
      </rPr>
      <t>Sand Force (Mega)</t>
    </r>
  </si>
  <si>
    <r>
      <rPr>
        <rFont val="IBM Plex Sans Condensed"/>
        <color rgb="FF000000"/>
        <sz val="13.0"/>
      </rPr>
      <t>BERRY FOREST
GAUNTLET 4</t>
    </r>
    <r>
      <rPr>
        <rFont val="IBM Plex Sans Condensed"/>
        <b/>
        <color rgb="FF000000"/>
        <sz val="13.0"/>
      </rPr>
      <t xml:space="preserve">
</t>
    </r>
    <r>
      <rPr>
        <rFont val="IBM Plex Sans Condensed"/>
        <color rgb="FF000000"/>
        <sz val="13.0"/>
      </rPr>
      <t>ACE TRAINER</t>
    </r>
    <r>
      <rPr>
        <rFont val="IBM Plex Sans Condensed"/>
        <b/>
        <color rgb="FF000000"/>
        <sz val="13.0"/>
      </rPr>
      <t xml:space="preserve">
JANNY</t>
    </r>
  </si>
  <si>
    <t>Seismitoad</t>
  </si>
  <si>
    <r>
      <rPr>
        <rFont val="IBM Plex Sans Condensed"/>
        <b/>
        <color rgb="FF000000"/>
        <sz val="13.0"/>
        <u/>
      </rPr>
      <t>BATTLE EFFECT:</t>
    </r>
    <r>
      <rPr>
        <rFont val="IBM Plex Sans Condensed"/>
        <b/>
        <color rgb="FFEA4335"/>
        <sz val="13.0"/>
        <u/>
      </rPr>
      <t xml:space="preserve"> OMNI-BOOSTED</t>
    </r>
  </si>
  <si>
    <r>
      <rPr>
        <rFont val="IBM Plex Sans Condensed"/>
        <color rgb="FF000000"/>
        <sz val="13.0"/>
      </rPr>
      <t xml:space="preserve">BERRY FOREST
</t>
    </r>
    <r>
      <rPr>
        <rFont val="IBM Plex Sans Condensed"/>
        <b/>
        <color rgb="FF000000"/>
        <sz val="13.0"/>
      </rPr>
      <t>SPIRIT</t>
    </r>
  </si>
  <si>
    <t>Random</t>
  </si>
  <si>
    <t>Me First</t>
  </si>
  <si>
    <t>388, 354 or 318</t>
  </si>
  <si>
    <r>
      <rPr>
        <rFont val="IBM Plex Sans Condensed"/>
        <color rgb="FF000000"/>
        <sz val="13.0"/>
      </rPr>
      <t>BERRY FOREST</t>
    </r>
    <r>
      <rPr>
        <rFont val="IBM Plex Sans Condensed"/>
        <b/>
        <color rgb="FF000000"/>
        <sz val="13.0"/>
      </rPr>
      <t xml:space="preserve">
</t>
    </r>
    <r>
      <rPr>
        <rFont val="IBM Plex Sans Condensed"/>
        <color rgb="FF000000"/>
        <sz val="13.0"/>
      </rPr>
      <t>GATEKEEPER</t>
    </r>
    <r>
      <rPr>
        <rFont val="IBM Plex Sans Condensed"/>
        <b/>
        <color rgb="FF000000"/>
        <sz val="13.0"/>
      </rPr>
      <t xml:space="preserve">
OWEN</t>
    </r>
  </si>
  <si>
    <t>Meloetta-Pirouette</t>
  </si>
  <si>
    <t>Giratina-O</t>
  </si>
  <si>
    <t>Enamorus-T</t>
  </si>
  <si>
    <r>
      <rPr>
        <rFont val="IBM Plex Sans Condensed"/>
        <color theme="1"/>
        <sz val="11.0"/>
      </rPr>
      <t xml:space="preserve">Hyper Cutter
</t>
    </r>
    <r>
      <rPr>
        <rFont val="IBM Plex Sans Condensed"/>
        <b/>
        <color theme="1"/>
        <sz val="11.0"/>
      </rPr>
      <t>Tough Claws (Mega)</t>
    </r>
  </si>
  <si>
    <t>Mewnium Z</t>
  </si>
  <si>
    <t>Griseous Orb</t>
  </si>
  <si>
    <t>KANTO</t>
  </si>
  <si>
    <t>TYPES</t>
  </si>
  <si>
    <t>BULBASAUR</t>
  </si>
  <si>
    <t>Grass</t>
  </si>
  <si>
    <t>Poison</t>
  </si>
  <si>
    <t>normal</t>
  </si>
  <si>
    <t>IVYSAUR</t>
  </si>
  <si>
    <t>fighting</t>
  </si>
  <si>
    <t>VENUSAUR</t>
  </si>
  <si>
    <t>flying</t>
  </si>
  <si>
    <t>VENUSAUR_MEGA</t>
  </si>
  <si>
    <t>poison</t>
  </si>
  <si>
    <t>CHARMANDER</t>
  </si>
  <si>
    <t>Fire</t>
  </si>
  <si>
    <t>ground</t>
  </si>
  <si>
    <t>CHARMELEON</t>
  </si>
  <si>
    <t>rock</t>
  </si>
  <si>
    <t>CHARIZARD</t>
  </si>
  <si>
    <t>Flying</t>
  </si>
  <si>
    <t>bug</t>
  </si>
  <si>
    <t>CHARIZARD_MEGA_X</t>
  </si>
  <si>
    <t>Dragon</t>
  </si>
  <si>
    <t>ghost</t>
  </si>
  <si>
    <t>CHARIZARD_MEGA_Y</t>
  </si>
  <si>
    <t>steel</t>
  </si>
  <si>
    <t>SQUIRTLE</t>
  </si>
  <si>
    <t>Water</t>
  </si>
  <si>
    <t>fire</t>
  </si>
  <si>
    <t>WARTORTLE</t>
  </si>
  <si>
    <t>water</t>
  </si>
  <si>
    <t>Blastoise</t>
  </si>
  <si>
    <t>BLASTOISE</t>
  </si>
  <si>
    <t>grass</t>
  </si>
  <si>
    <t>BLASTOISE_MEGA</t>
  </si>
  <si>
    <t>electric</t>
  </si>
  <si>
    <t>Caterpie</t>
  </si>
  <si>
    <t>CATERPIE</t>
  </si>
  <si>
    <t>Bug</t>
  </si>
  <si>
    <t>psychic</t>
  </si>
  <si>
    <t>Metapod</t>
  </si>
  <si>
    <t>METAPOD</t>
  </si>
  <si>
    <t>ice</t>
  </si>
  <si>
    <t>BUTTERFREE</t>
  </si>
  <si>
    <t>dragon</t>
  </si>
  <si>
    <t>BUTTERFREE_GIGA</t>
  </si>
  <si>
    <t>dark</t>
  </si>
  <si>
    <t>Weedle</t>
  </si>
  <si>
    <t>WEEDLE</t>
  </si>
  <si>
    <t>fairy</t>
  </si>
  <si>
    <t>Kakuna</t>
  </si>
  <si>
    <t>KAKUNA</t>
  </si>
  <si>
    <t>Beedrill</t>
  </si>
  <si>
    <t>BEEDRILL</t>
  </si>
  <si>
    <t>BEEDRILL_MEGA</t>
  </si>
  <si>
    <t>Pidgey</t>
  </si>
  <si>
    <t>PIDGEY</t>
  </si>
  <si>
    <t>Normal</t>
  </si>
  <si>
    <t>Pidgeotto</t>
  </si>
  <si>
    <t>PIDGEOTTO</t>
  </si>
  <si>
    <t>Pidgeot</t>
  </si>
  <si>
    <t>PIDGEOT</t>
  </si>
  <si>
    <t>PIDGEOT_MEGA</t>
  </si>
  <si>
    <t>Rattata</t>
  </si>
  <si>
    <t>RATTATA</t>
  </si>
  <si>
    <t>Rattata-A</t>
  </si>
  <si>
    <t>RATTATA_A</t>
  </si>
  <si>
    <t>Dark</t>
  </si>
  <si>
    <t>RATICATE</t>
  </si>
  <si>
    <t>RATICATE_A</t>
  </si>
  <si>
    <t>Spearow</t>
  </si>
  <si>
    <t>SPEAROW</t>
  </si>
  <si>
    <t>FEAROW</t>
  </si>
  <si>
    <t>Ekans</t>
  </si>
  <si>
    <t>EKANS</t>
  </si>
  <si>
    <t>ARBOK</t>
  </si>
  <si>
    <t>Pikachu</t>
  </si>
  <si>
    <t>PIKACHU</t>
  </si>
  <si>
    <t>Electric</t>
  </si>
  <si>
    <t>Pikachu-Rockstar</t>
  </si>
  <si>
    <t>PIKACHU_ROCK_STAR</t>
  </si>
  <si>
    <t>Steel</t>
  </si>
  <si>
    <t>Pikachu-Belle</t>
  </si>
  <si>
    <t>PIKACHU_BELLE</t>
  </si>
  <si>
    <t>Ice</t>
  </si>
  <si>
    <t>Pikachu-Popstar</t>
  </si>
  <si>
    <t>PIKACHU_POP_STAR</t>
  </si>
  <si>
    <t>Fairy</t>
  </si>
  <si>
    <t>Pikachu-Phd</t>
  </si>
  <si>
    <t>PIKACHU_PHD</t>
  </si>
  <si>
    <t>PIKACHU_LIBRE</t>
  </si>
  <si>
    <t>Fighting</t>
  </si>
  <si>
    <t>PIKACHU_FLYING</t>
  </si>
  <si>
    <t>PIKACHU_SURFING</t>
  </si>
  <si>
    <t>Raichu</t>
  </si>
  <si>
    <t>RAICHU</t>
  </si>
  <si>
    <t>RAICHU_A</t>
  </si>
  <si>
    <t>Sandshrew</t>
  </si>
  <si>
    <t>SANDSHREW</t>
  </si>
  <si>
    <t>Ground</t>
  </si>
  <si>
    <t>Sandshrew-A</t>
  </si>
  <si>
    <t>SANDSHREW_A</t>
  </si>
  <si>
    <t>Sandslash</t>
  </si>
  <si>
    <t>SANDSLASH</t>
  </si>
  <si>
    <t>SANDSLASH_A</t>
  </si>
  <si>
    <t>Nidoran-F</t>
  </si>
  <si>
    <t>NIDORAN_F</t>
  </si>
  <si>
    <t>Nidorina</t>
  </si>
  <si>
    <t>NIDORINA</t>
  </si>
  <si>
    <t>NIDOQUEEN</t>
  </si>
  <si>
    <t>Nidoran-M</t>
  </si>
  <si>
    <t>NIDORAN_M</t>
  </si>
  <si>
    <t>Nidorino</t>
  </si>
  <si>
    <t>NIDORINO</t>
  </si>
  <si>
    <t>NIDOKING</t>
  </si>
  <si>
    <t>CLEFAIRY</t>
  </si>
  <si>
    <t>CLEFABLE</t>
  </si>
  <si>
    <t>Vulpix</t>
  </si>
  <si>
    <t>VULPIX</t>
  </si>
  <si>
    <t>Vulpix-A</t>
  </si>
  <si>
    <t>VULPIX_A</t>
  </si>
  <si>
    <t>NINETALES</t>
  </si>
  <si>
    <t>NINETALES_A</t>
  </si>
  <si>
    <t>JIGGLYPUFF</t>
  </si>
  <si>
    <t>WIGGLYTUFF</t>
  </si>
  <si>
    <t>Zubat</t>
  </si>
  <si>
    <t>ZUBAT</t>
  </si>
  <si>
    <t>Golbat</t>
  </si>
  <si>
    <t>GOLBAT</t>
  </si>
  <si>
    <t>Oddish</t>
  </si>
  <si>
    <t>ODDISH</t>
  </si>
  <si>
    <t>Gloom</t>
  </si>
  <si>
    <t>GLOOM</t>
  </si>
  <si>
    <t>VILEPLUME</t>
  </si>
  <si>
    <t>Paras</t>
  </si>
  <si>
    <t>PARAS</t>
  </si>
  <si>
    <t>PARASECT</t>
  </si>
  <si>
    <t>Venonat</t>
  </si>
  <si>
    <t>VENONAT</t>
  </si>
  <si>
    <t>VENOMOTH</t>
  </si>
  <si>
    <t>Diglett</t>
  </si>
  <si>
    <t>DIGLETT</t>
  </si>
  <si>
    <t>Diglett-A</t>
  </si>
  <si>
    <t>DIGLETT_A</t>
  </si>
  <si>
    <t>DUGTRIO</t>
  </si>
  <si>
    <t>DUGTRIO_A</t>
  </si>
  <si>
    <t>Meowth</t>
  </si>
  <si>
    <t>MEOWTH</t>
  </si>
  <si>
    <t>Meowth-A</t>
  </si>
  <si>
    <t>MEOWTH_A</t>
  </si>
  <si>
    <t>Meowth-G</t>
  </si>
  <si>
    <t>MEOWTH_G</t>
  </si>
  <si>
    <t>PERSIAN</t>
  </si>
  <si>
    <t>PERSIAN_A</t>
  </si>
  <si>
    <t>Psyduck</t>
  </si>
  <si>
    <t>PSYDUCK</t>
  </si>
  <si>
    <t>GOLDUCK</t>
  </si>
  <si>
    <t>Mankey</t>
  </si>
  <si>
    <t>MANKEY</t>
  </si>
  <si>
    <t>Primeape</t>
  </si>
  <si>
    <t>PRIMEAPE</t>
  </si>
  <si>
    <t>Growlithe</t>
  </si>
  <si>
    <t>GROWLITHE</t>
  </si>
  <si>
    <t>Growlithe-H</t>
  </si>
  <si>
    <t>GROWLITHE_H</t>
  </si>
  <si>
    <t>Rock</t>
  </si>
  <si>
    <t>ARCANINE</t>
  </si>
  <si>
    <t>ARCANINE_H</t>
  </si>
  <si>
    <t>Poliwag</t>
  </si>
  <si>
    <t>POLIWAG</t>
  </si>
  <si>
    <t>Poliwhirl</t>
  </si>
  <si>
    <t>POLIWHIRL</t>
  </si>
  <si>
    <t>Poliwrath</t>
  </si>
  <si>
    <t>POLIWRATH</t>
  </si>
  <si>
    <t>Abra</t>
  </si>
  <si>
    <t>ABRA</t>
  </si>
  <si>
    <t>Kadabra</t>
  </si>
  <si>
    <t>KADABRA</t>
  </si>
  <si>
    <t>ALAKAZAM</t>
  </si>
  <si>
    <t>ALAKAZAM_MEGA</t>
  </si>
  <si>
    <t>Machop</t>
  </si>
  <si>
    <t>MACHOP</t>
  </si>
  <si>
    <t>Machoke</t>
  </si>
  <si>
    <t>MACHOKE</t>
  </si>
  <si>
    <t>MACHAMP</t>
  </si>
  <si>
    <t>MACHAMP_GIGA</t>
  </si>
  <si>
    <t>Bellsprout</t>
  </si>
  <si>
    <t>BELLSPROUT</t>
  </si>
  <si>
    <t>Weepinbell</t>
  </si>
  <si>
    <t>WEEPINBELL</t>
  </si>
  <si>
    <t>VICTREEBEL</t>
  </si>
  <si>
    <t>Tentacool</t>
  </si>
  <si>
    <t>TENTACOOL</t>
  </si>
  <si>
    <t>Tentacruel</t>
  </si>
  <si>
    <t>TENTACRUEL</t>
  </si>
  <si>
    <t>Geodude</t>
  </si>
  <si>
    <t>GEODUDE</t>
  </si>
  <si>
    <t>Geodude-A</t>
  </si>
  <si>
    <t>GEODUDE_A</t>
  </si>
  <si>
    <t>Graveler</t>
  </si>
  <si>
    <t>GRAVELER</t>
  </si>
  <si>
    <t>Graveler-A</t>
  </si>
  <si>
    <t>GRAVELER_A</t>
  </si>
  <si>
    <t>GOLEM</t>
  </si>
  <si>
    <t>Golem-A</t>
  </si>
  <si>
    <t>GOLEM_A</t>
  </si>
  <si>
    <t>Ponyta</t>
  </si>
  <si>
    <t>PONYTA</t>
  </si>
  <si>
    <t>Ponyta-G</t>
  </si>
  <si>
    <t>PONYTA_G</t>
  </si>
  <si>
    <t>RAPIDASH</t>
  </si>
  <si>
    <t>Rapidash-G</t>
  </si>
  <si>
    <t>RAPIDASH_G</t>
  </si>
  <si>
    <t>SLOWPOKE</t>
  </si>
  <si>
    <t>Slowpoke-G</t>
  </si>
  <si>
    <t>SLOWPOKE_G</t>
  </si>
  <si>
    <t>SLOWBRO</t>
  </si>
  <si>
    <t>SLOWBRO_G</t>
  </si>
  <si>
    <t>SLOWBRO_MEGA</t>
  </si>
  <si>
    <t>Magnemite</t>
  </si>
  <si>
    <t>MAGNEMITE</t>
  </si>
  <si>
    <t>Magneton</t>
  </si>
  <si>
    <t>MAGNETON</t>
  </si>
  <si>
    <t>FARFETCHD</t>
  </si>
  <si>
    <t>FARFETCHD_G</t>
  </si>
  <si>
    <t>Doduo</t>
  </si>
  <si>
    <t>DODUO</t>
  </si>
  <si>
    <t>DODRIO</t>
  </si>
  <si>
    <t>Seel</t>
  </si>
  <si>
    <t>SEEL</t>
  </si>
  <si>
    <t>DEWGONG</t>
  </si>
  <si>
    <t>Grimer</t>
  </si>
  <si>
    <t>GRIMER</t>
  </si>
  <si>
    <t>Grimer-A</t>
  </si>
  <si>
    <t>GRIMER_A</t>
  </si>
  <si>
    <t>MUK</t>
  </si>
  <si>
    <t>MUK_A</t>
  </si>
  <si>
    <t>Shellder</t>
  </si>
  <si>
    <t>SHELLDER</t>
  </si>
  <si>
    <t>CLOYSTER</t>
  </si>
  <si>
    <t>Gastly</t>
  </si>
  <si>
    <t>GASTLY</t>
  </si>
  <si>
    <t>Ghost</t>
  </si>
  <si>
    <t>Haunter</t>
  </si>
  <si>
    <t>HAUNTER</t>
  </si>
  <si>
    <t>GENGAR</t>
  </si>
  <si>
    <t>GENGAR_MEGA</t>
  </si>
  <si>
    <t>Onix</t>
  </si>
  <si>
    <t>ONIX</t>
  </si>
  <si>
    <t>Drowzee</t>
  </si>
  <si>
    <t>DROWZEE</t>
  </si>
  <si>
    <t>HYPNO</t>
  </si>
  <si>
    <t>Krabby</t>
  </si>
  <si>
    <t>KRABBY</t>
  </si>
  <si>
    <t>KINGLER</t>
  </si>
  <si>
    <t>KINGLER_GIGA</t>
  </si>
  <si>
    <t>Voltorb</t>
  </si>
  <si>
    <t>VOLTORB</t>
  </si>
  <si>
    <t>VOLTORB_H</t>
  </si>
  <si>
    <t>ELECTRODE</t>
  </si>
  <si>
    <t>ELECTRODE_H</t>
  </si>
  <si>
    <t>Exeggcute</t>
  </si>
  <si>
    <t>EXEGGCUTE</t>
  </si>
  <si>
    <t>EXEGGUTOR</t>
  </si>
  <si>
    <t>Exeggutor-A</t>
  </si>
  <si>
    <t>EXEGGUTOR_A</t>
  </si>
  <si>
    <t>Cubone</t>
  </si>
  <si>
    <t>CUBONE</t>
  </si>
  <si>
    <t>Marowak</t>
  </si>
  <si>
    <t>MAROWAK</t>
  </si>
  <si>
    <t>MAROWAK_A</t>
  </si>
  <si>
    <t>HITMONLEE</t>
  </si>
  <si>
    <t>HITMONCHAN</t>
  </si>
  <si>
    <t>Lickitung</t>
  </si>
  <si>
    <t>LICKITUNG</t>
  </si>
  <si>
    <t>Koffing</t>
  </si>
  <si>
    <t>KOFFING</t>
  </si>
  <si>
    <t>Weezing</t>
  </si>
  <si>
    <t>WEEZING</t>
  </si>
  <si>
    <t>WEEZING_G</t>
  </si>
  <si>
    <t>Rhyhorn</t>
  </si>
  <si>
    <t>RHYHORN</t>
  </si>
  <si>
    <t>Rhydon</t>
  </si>
  <si>
    <t>RHYDON</t>
  </si>
  <si>
    <t>CHANSEY</t>
  </si>
  <si>
    <t>Tangela</t>
  </si>
  <si>
    <t>TANGELA</t>
  </si>
  <si>
    <t>Kangaskhan</t>
  </si>
  <si>
    <t>KANGASKHAN</t>
  </si>
  <si>
    <t>KANGASKHAN_MEGA</t>
  </si>
  <si>
    <t>Horsea</t>
  </si>
  <si>
    <t>HORSEA</t>
  </si>
  <si>
    <t>Seadra</t>
  </si>
  <si>
    <t>SEADRA</t>
  </si>
  <si>
    <t>Goldeen</t>
  </si>
  <si>
    <t>GOLDEEN</t>
  </si>
  <si>
    <t>Seaking</t>
  </si>
  <si>
    <t>SEAKING</t>
  </si>
  <si>
    <t>Staryu</t>
  </si>
  <si>
    <t>STARYU</t>
  </si>
  <si>
    <t>STARMIE</t>
  </si>
  <si>
    <t>MR_MIME</t>
  </si>
  <si>
    <t>MR_MIME_G</t>
  </si>
  <si>
    <t>SCYTHER</t>
  </si>
  <si>
    <t>JYNX</t>
  </si>
  <si>
    <t>Electabuzz</t>
  </si>
  <si>
    <t>ELECTABUZZ</t>
  </si>
  <si>
    <t>Magmar</t>
  </si>
  <si>
    <t>MAGMAR</t>
  </si>
  <si>
    <t>Pinsir</t>
  </si>
  <si>
    <t>PINSIR</t>
  </si>
  <si>
    <t>PINSIR_MEGA</t>
  </si>
  <si>
    <t>TAUROS</t>
  </si>
  <si>
    <t>Tauros-P</t>
  </si>
  <si>
    <t>TAUROS_P</t>
  </si>
  <si>
    <t>Tauros-F</t>
  </si>
  <si>
    <t>TAUROS_F</t>
  </si>
  <si>
    <t>Tauros-W</t>
  </si>
  <si>
    <t>TAUROS_W</t>
  </si>
  <si>
    <t>Magikarp</t>
  </si>
  <si>
    <t>MAGIKARP</t>
  </si>
  <si>
    <t>GYARADOS</t>
  </si>
  <si>
    <t>GYARADOS_MEGA</t>
  </si>
  <si>
    <t>Lapras</t>
  </si>
  <si>
    <t>LAPRAS</t>
  </si>
  <si>
    <t>LAPRAS_GIGA</t>
  </si>
  <si>
    <t>Ditto</t>
  </si>
  <si>
    <t>DITTO</t>
  </si>
  <si>
    <t>EEVEE</t>
  </si>
  <si>
    <t>VAPOREON</t>
  </si>
  <si>
    <t>JOLTEON</t>
  </si>
  <si>
    <t>FLAREON</t>
  </si>
  <si>
    <t>Porygon</t>
  </si>
  <si>
    <t>PORYGON</t>
  </si>
  <si>
    <t>Omanyte</t>
  </si>
  <si>
    <t>OMANYTE</t>
  </si>
  <si>
    <t>OMASTAR</t>
  </si>
  <si>
    <t>Kabuto</t>
  </si>
  <si>
    <t>KABUTO</t>
  </si>
  <si>
    <t>KABUTOPS</t>
  </si>
  <si>
    <t>AERODACTYL</t>
  </si>
  <si>
    <t>AERODACTYL_MEGA</t>
  </si>
  <si>
    <t>SNORLAX</t>
  </si>
  <si>
    <t>SNORLAX_GIGA</t>
  </si>
  <si>
    <t>Articuno</t>
  </si>
  <si>
    <t>ARTICUNO</t>
  </si>
  <si>
    <t>ARTICUNO_G</t>
  </si>
  <si>
    <t>ZAPDOS</t>
  </si>
  <si>
    <t>ZAPDOS_G</t>
  </si>
  <si>
    <t>Moltres</t>
  </si>
  <si>
    <t>MOLTRES</t>
  </si>
  <si>
    <t>MOLTRES_G</t>
  </si>
  <si>
    <t>Dratini</t>
  </si>
  <si>
    <t>DRATINI</t>
  </si>
  <si>
    <t>Dragonair</t>
  </si>
  <si>
    <t>DRAGONAIR</t>
  </si>
  <si>
    <t>DRAGONITE</t>
  </si>
  <si>
    <t>Mewtwo</t>
  </si>
  <si>
    <t>MEWTWO</t>
  </si>
  <si>
    <t>MEWTWO_MEGA_X</t>
  </si>
  <si>
    <t>MEWTWO_MEGA_Y</t>
  </si>
  <si>
    <t>MEW</t>
  </si>
  <si>
    <t>JOHTO</t>
  </si>
  <si>
    <t>Chikorita</t>
  </si>
  <si>
    <t>CHIKORITA</t>
  </si>
  <si>
    <t>Bayleef</t>
  </si>
  <si>
    <t>BAYLEEF</t>
  </si>
  <si>
    <t>MEGANIUM</t>
  </si>
  <si>
    <t>Cyndaquil</t>
  </si>
  <si>
    <t>CYNDAQUIL</t>
  </si>
  <si>
    <t>Quilava</t>
  </si>
  <si>
    <t>QUILAVA</t>
  </si>
  <si>
    <t>Typhlosion</t>
  </si>
  <si>
    <t>TYPHLOSION</t>
  </si>
  <si>
    <t>Typhlosion-H</t>
  </si>
  <si>
    <t>TYPHLOSION_H</t>
  </si>
  <si>
    <t>Totodile</t>
  </si>
  <si>
    <t>TOTODILE</t>
  </si>
  <si>
    <t>Croconaw</t>
  </si>
  <si>
    <t>CROCONAW</t>
  </si>
  <si>
    <t>FERALIGATR</t>
  </si>
  <si>
    <t>Sentret</t>
  </si>
  <si>
    <t>SENTRET</t>
  </si>
  <si>
    <t>Furret</t>
  </si>
  <si>
    <t>FURRET</t>
  </si>
  <si>
    <t>Hoothoot</t>
  </si>
  <si>
    <t>HOOTHOOT</t>
  </si>
  <si>
    <t>Noctowl</t>
  </si>
  <si>
    <t>NOCTOWL</t>
  </si>
  <si>
    <t>Ledyba</t>
  </si>
  <si>
    <t>LEDYBA</t>
  </si>
  <si>
    <t>Ledian</t>
  </si>
  <si>
    <t>LEDIAN</t>
  </si>
  <si>
    <t>Spinarak</t>
  </si>
  <si>
    <t>SPINARAK</t>
  </si>
  <si>
    <t>ARIADOS</t>
  </si>
  <si>
    <t>CROBAT</t>
  </si>
  <si>
    <t>Chinchou</t>
  </si>
  <si>
    <t>CHINCHOU</t>
  </si>
  <si>
    <t>LANTURN</t>
  </si>
  <si>
    <t>Pichu</t>
  </si>
  <si>
    <t>PICHU</t>
  </si>
  <si>
    <t>Cleffa</t>
  </si>
  <si>
    <t>CLEFFA</t>
  </si>
  <si>
    <t>Igglybuff</t>
  </si>
  <si>
    <t>IGGLYBUFF</t>
  </si>
  <si>
    <t>Togepi</t>
  </si>
  <si>
    <t>TOGEPI</t>
  </si>
  <si>
    <t>TOGETIC</t>
  </si>
  <si>
    <t>Natu</t>
  </si>
  <si>
    <t>NATU</t>
  </si>
  <si>
    <t>Xatu</t>
  </si>
  <si>
    <t>XATU</t>
  </si>
  <si>
    <t>Mareep</t>
  </si>
  <si>
    <t>MAREEP</t>
  </si>
  <si>
    <t>Flaaffy</t>
  </si>
  <si>
    <t>FLAAFFY</t>
  </si>
  <si>
    <t>Ampharos</t>
  </si>
  <si>
    <t>AMPHAROS</t>
  </si>
  <si>
    <t>AMPHAROS_MEGA</t>
  </si>
  <si>
    <t>BELLOSSOM</t>
  </si>
  <si>
    <t>Marill</t>
  </si>
  <si>
    <t>MARILL</t>
  </si>
  <si>
    <t>AZUMARILL</t>
  </si>
  <si>
    <t>SUDOWOODO</t>
  </si>
  <si>
    <t>POLITOED</t>
  </si>
  <si>
    <t>Hoppip</t>
  </si>
  <si>
    <t>HOPPIP</t>
  </si>
  <si>
    <t>Skiploom</t>
  </si>
  <si>
    <t>SKIPLOOM</t>
  </si>
  <si>
    <t>JUMPLUFF</t>
  </si>
  <si>
    <t>Aipom</t>
  </si>
  <si>
    <t>AIPOM</t>
  </si>
  <si>
    <t>Sunkern</t>
  </si>
  <si>
    <t>SUNKERN</t>
  </si>
  <si>
    <t>SUNFLORA</t>
  </si>
  <si>
    <t>YANMA</t>
  </si>
  <si>
    <t>Wooper</t>
  </si>
  <si>
    <t>WOOPER</t>
  </si>
  <si>
    <t>Wooper-P</t>
  </si>
  <si>
    <t>WOOPER_P</t>
  </si>
  <si>
    <t>Quagsire</t>
  </si>
  <si>
    <t>QUAGSIRE</t>
  </si>
  <si>
    <t>ESPEON</t>
  </si>
  <si>
    <t>Umbreon</t>
  </si>
  <si>
    <t>UMBREON</t>
  </si>
  <si>
    <t>Murkrow</t>
  </si>
  <si>
    <t>MURKROW</t>
  </si>
  <si>
    <t>Slowking</t>
  </si>
  <si>
    <t>SLOWKING</t>
  </si>
  <si>
    <t>Slowking-G</t>
  </si>
  <si>
    <t>SLOWKING_G</t>
  </si>
  <si>
    <t>MISDREAVUS</t>
  </si>
  <si>
    <t>Unown</t>
  </si>
  <si>
    <t>UNOWN</t>
  </si>
  <si>
    <t>Wobbuffet</t>
  </si>
  <si>
    <t>WOBBUFFET</t>
  </si>
  <si>
    <t>Girafarig</t>
  </si>
  <si>
    <t>GIRAFARIG</t>
  </si>
  <si>
    <t>Pineco</t>
  </si>
  <si>
    <t>PINECO</t>
  </si>
  <si>
    <t>Forretress</t>
  </si>
  <si>
    <t>FORRETRESS</t>
  </si>
  <si>
    <t>Dunsparce</t>
  </si>
  <si>
    <t>DUNSPARCE</t>
  </si>
  <si>
    <t>Gligar</t>
  </si>
  <si>
    <t>GLIGAR</t>
  </si>
  <si>
    <t>Steelix</t>
  </si>
  <si>
    <t>STEELIX</t>
  </si>
  <si>
    <t>Steelix-Mega</t>
  </si>
  <si>
    <t>STEELIX_MEGA</t>
  </si>
  <si>
    <t>SNUBBULL</t>
  </si>
  <si>
    <t>GRANBULL</t>
  </si>
  <si>
    <t>Qwilfish</t>
  </si>
  <si>
    <t>QWILFISH</t>
  </si>
  <si>
    <t>QWILFISH_H</t>
  </si>
  <si>
    <t>SCIZOR</t>
  </si>
  <si>
    <t>SCIZOR_MEGA</t>
  </si>
  <si>
    <t>SHUCKLE</t>
  </si>
  <si>
    <t>HERACROSS</t>
  </si>
  <si>
    <t>HERACROSS_MEGA</t>
  </si>
  <si>
    <t>Sneasel</t>
  </si>
  <si>
    <t>SNEASEL</t>
  </si>
  <si>
    <t>SNEASEL_H</t>
  </si>
  <si>
    <t>Teddiursa</t>
  </si>
  <si>
    <t>TEDDIURSA</t>
  </si>
  <si>
    <t>URSARING</t>
  </si>
  <si>
    <t>Slugma</t>
  </si>
  <si>
    <t>SLUGMA</t>
  </si>
  <si>
    <t>MAGCARGO</t>
  </si>
  <si>
    <t>Swinub</t>
  </si>
  <si>
    <t>SWINUB</t>
  </si>
  <si>
    <t>Piloswine</t>
  </si>
  <si>
    <t>PILOSWINE</t>
  </si>
  <si>
    <t>CORSOLA</t>
  </si>
  <si>
    <t>Corsola-G</t>
  </si>
  <si>
    <t>CORSOLA_G</t>
  </si>
  <si>
    <t>Remoraid</t>
  </si>
  <si>
    <t>REMORAID</t>
  </si>
  <si>
    <t>OCTILLERY</t>
  </si>
  <si>
    <t>Delibird</t>
  </si>
  <si>
    <t>DELIBIRD</t>
  </si>
  <si>
    <t>MANTINE</t>
  </si>
  <si>
    <t>Skarmory</t>
  </si>
  <si>
    <t>SKARMORY</t>
  </si>
  <si>
    <t>HOUNDOUR</t>
  </si>
  <si>
    <t>Houndoom</t>
  </si>
  <si>
    <t>HOUNDOOM</t>
  </si>
  <si>
    <t>HOUNDOOM_MEGA</t>
  </si>
  <si>
    <t>KINGDRA</t>
  </si>
  <si>
    <t>Phanpy</t>
  </si>
  <si>
    <t>PHANPY</t>
  </si>
  <si>
    <t>DONPHAN</t>
  </si>
  <si>
    <t>PORYGON2</t>
  </si>
  <si>
    <t>Stantler</t>
  </si>
  <si>
    <t>STANTLER</t>
  </si>
  <si>
    <t>SMEARGLE</t>
  </si>
  <si>
    <t>Tyrogue</t>
  </si>
  <si>
    <t>TYROGUE</t>
  </si>
  <si>
    <t>HITMONTOP</t>
  </si>
  <si>
    <t>Smoochum</t>
  </si>
  <si>
    <t>SMOOCHUM</t>
  </si>
  <si>
    <t>Elekid</t>
  </si>
  <si>
    <t>ELEKID</t>
  </si>
  <si>
    <t>Magby</t>
  </si>
  <si>
    <t>MAGBY</t>
  </si>
  <si>
    <t>MILTANK</t>
  </si>
  <si>
    <t>BLISSEY</t>
  </si>
  <si>
    <t>RAIKOU</t>
  </si>
  <si>
    <t>Entei</t>
  </si>
  <si>
    <t>ENTEI</t>
  </si>
  <si>
    <t>Suicune</t>
  </si>
  <si>
    <t>SUICUNE</t>
  </si>
  <si>
    <t>Larvitar</t>
  </si>
  <si>
    <t>LARVITAR</t>
  </si>
  <si>
    <t>Pupitar</t>
  </si>
  <si>
    <t>PUPITAR</t>
  </si>
  <si>
    <t>TYRANITAR</t>
  </si>
  <si>
    <t>Tyranitar-Mega</t>
  </si>
  <si>
    <t>TYRANITAR_MEGA</t>
  </si>
  <si>
    <t>Lugia</t>
  </si>
  <si>
    <t>LUGIA</t>
  </si>
  <si>
    <t>HO_OH</t>
  </si>
  <si>
    <t>CELEBI</t>
  </si>
  <si>
    <t>HOENN</t>
  </si>
  <si>
    <t>TREECKO</t>
  </si>
  <si>
    <t>Grovyle</t>
  </si>
  <si>
    <t>GROVYLE</t>
  </si>
  <si>
    <t>SCEPTILE</t>
  </si>
  <si>
    <t>SCEPTILE_MEGA</t>
  </si>
  <si>
    <t>Torchic</t>
  </si>
  <si>
    <t>TORCHIC</t>
  </si>
  <si>
    <t>Combusken</t>
  </si>
  <si>
    <t>COMBUSKEN</t>
  </si>
  <si>
    <t>BLAZIKEN</t>
  </si>
  <si>
    <t>BLAZIKEN_MEGA</t>
  </si>
  <si>
    <t>Mudkip</t>
  </si>
  <si>
    <t>MUDKIP</t>
  </si>
  <si>
    <t>Marshtomp</t>
  </si>
  <si>
    <t>MARSHTOMP</t>
  </si>
  <si>
    <t>SWAMPERT</t>
  </si>
  <si>
    <t>SWAMPERT_MEGA</t>
  </si>
  <si>
    <t>Poochyena</t>
  </si>
  <si>
    <t>POOCHYENA</t>
  </si>
  <si>
    <t>MIGHTYENA</t>
  </si>
  <si>
    <t>Zigzagoon</t>
  </si>
  <si>
    <t>ZIGZAGOON</t>
  </si>
  <si>
    <t>Zigzagoon-G</t>
  </si>
  <si>
    <t>ZIGZAGOON_G</t>
  </si>
  <si>
    <t>LINOONE</t>
  </si>
  <si>
    <t>Linoone-G</t>
  </si>
  <si>
    <t>LINOONE_G</t>
  </si>
  <si>
    <t>Wurmple</t>
  </si>
  <si>
    <t>WURMPLE</t>
  </si>
  <si>
    <t>Silcoon</t>
  </si>
  <si>
    <t>SILCOON</t>
  </si>
  <si>
    <t>BEAUTIFLY</t>
  </si>
  <si>
    <t>Cascoon</t>
  </si>
  <si>
    <t>CASCOON</t>
  </si>
  <si>
    <t>DUSTOX</t>
  </si>
  <si>
    <t>Lotad</t>
  </si>
  <si>
    <t>LOTAD</t>
  </si>
  <si>
    <t>Lombre</t>
  </si>
  <si>
    <t>LOMBRE</t>
  </si>
  <si>
    <t>LUDICOLO</t>
  </si>
  <si>
    <t>Seedot</t>
  </si>
  <si>
    <t>SEEDOT</t>
  </si>
  <si>
    <t>Nuzleaf</t>
  </si>
  <si>
    <t>NUZLEAF</t>
  </si>
  <si>
    <t>SHIFTRY</t>
  </si>
  <si>
    <t>Taillow</t>
  </si>
  <si>
    <t>TAILLOW</t>
  </si>
  <si>
    <t>SWELLOW</t>
  </si>
  <si>
    <t>Wingull</t>
  </si>
  <si>
    <t>WINGULL</t>
  </si>
  <si>
    <t>PELIPPER</t>
  </si>
  <si>
    <t>Ralts</t>
  </si>
  <si>
    <t>RALTS</t>
  </si>
  <si>
    <t>Kirlia</t>
  </si>
  <si>
    <t>KIRLIA</t>
  </si>
  <si>
    <t>GARDEVOIR</t>
  </si>
  <si>
    <t>Gardevoir-Mega</t>
  </si>
  <si>
    <t>GARDEVOIR_MEGA</t>
  </si>
  <si>
    <t>Surskit</t>
  </si>
  <si>
    <t>SURSKIT</t>
  </si>
  <si>
    <t>MASQUERAIN</t>
  </si>
  <si>
    <t>Shroomish</t>
  </si>
  <si>
    <t>SHROOMISH</t>
  </si>
  <si>
    <t>Breloom</t>
  </si>
  <si>
    <t>BRELOOM</t>
  </si>
  <si>
    <t>Slakoth</t>
  </si>
  <si>
    <t>SLAKOTH</t>
  </si>
  <si>
    <t>Vigoroth</t>
  </si>
  <si>
    <t>VIGOROTH</t>
  </si>
  <si>
    <t>SLAKING</t>
  </si>
  <si>
    <t>Nincada</t>
  </si>
  <si>
    <t>NINCADA</t>
  </si>
  <si>
    <t>Ninjask</t>
  </si>
  <si>
    <t>NINJASK</t>
  </si>
  <si>
    <t>SHEDINJA</t>
  </si>
  <si>
    <t>Whismur</t>
  </si>
  <si>
    <t>WHISMUR</t>
  </si>
  <si>
    <t>Loudred</t>
  </si>
  <si>
    <t>LOUDRED</t>
  </si>
  <si>
    <t>EXPLOUD</t>
  </si>
  <si>
    <t>Makuhita</t>
  </si>
  <si>
    <t>MAKUHITA</t>
  </si>
  <si>
    <t>HARIYAMA</t>
  </si>
  <si>
    <t>Azurill</t>
  </si>
  <si>
    <t>AZURILL</t>
  </si>
  <si>
    <t>Nosepass</t>
  </si>
  <si>
    <t>NOSEPASS</t>
  </si>
  <si>
    <t>Skitty</t>
  </si>
  <si>
    <t>SKITTY</t>
  </si>
  <si>
    <t>DELCATTY</t>
  </si>
  <si>
    <t>SABLEYE</t>
  </si>
  <si>
    <t>SABLEYE_MEGA</t>
  </si>
  <si>
    <t>MAWILE</t>
  </si>
  <si>
    <t>MAWILE_MEGA</t>
  </si>
  <si>
    <t>ARON</t>
  </si>
  <si>
    <t>Lairon</t>
  </si>
  <si>
    <t>LAIRON</t>
  </si>
  <si>
    <t>AGGRON</t>
  </si>
  <si>
    <t>AGGRON_MEGA</t>
  </si>
  <si>
    <t>MEDITITE</t>
  </si>
  <si>
    <t>Medicham</t>
  </si>
  <si>
    <t>MEDICHAM</t>
  </si>
  <si>
    <t>MEDICHAM_MEGA</t>
  </si>
  <si>
    <t>ELECTRIKE</t>
  </si>
  <si>
    <t>Manectric</t>
  </si>
  <si>
    <t>MANECTRIC</t>
  </si>
  <si>
    <t>MANECTRIC_MEGA</t>
  </si>
  <si>
    <t>PLUSLE</t>
  </si>
  <si>
    <t>MINUN</t>
  </si>
  <si>
    <t>VOLBEAT</t>
  </si>
  <si>
    <t>ILLUMISE</t>
  </si>
  <si>
    <t>Roselia</t>
  </si>
  <si>
    <t>ROSELIA</t>
  </si>
  <si>
    <t>GULPIN</t>
  </si>
  <si>
    <t>SWALOT</t>
  </si>
  <si>
    <t>Carvanha</t>
  </si>
  <si>
    <t>CARVANHA</t>
  </si>
  <si>
    <t>Sharpedo</t>
  </si>
  <si>
    <t>SHARPEDO</t>
  </si>
  <si>
    <t>SHARPEDO_MEGA</t>
  </si>
  <si>
    <t>Wailmer</t>
  </si>
  <si>
    <t>WAILMER</t>
  </si>
  <si>
    <t>WAILORD</t>
  </si>
  <si>
    <t>NUMEL</t>
  </si>
  <si>
    <t>Camerupt</t>
  </si>
  <si>
    <t>CAMERUPT</t>
  </si>
  <si>
    <t>CAMERUPT_MEGA</t>
  </si>
  <si>
    <t>TORKOAL</t>
  </si>
  <si>
    <t>Spoink</t>
  </si>
  <si>
    <t>SPOINK</t>
  </si>
  <si>
    <t>GRUMPIG</t>
  </si>
  <si>
    <t>SPINDA</t>
  </si>
  <si>
    <t>Trapinch</t>
  </si>
  <si>
    <t>TRAPINCH</t>
  </si>
  <si>
    <t>Vibrava</t>
  </si>
  <si>
    <t>VIBRAVA</t>
  </si>
  <si>
    <t>FLYGON</t>
  </si>
  <si>
    <t>CACNEA</t>
  </si>
  <si>
    <t>CACTURNE</t>
  </si>
  <si>
    <t>Swablu</t>
  </si>
  <si>
    <t>SWABLU</t>
  </si>
  <si>
    <t>Altaria</t>
  </si>
  <si>
    <t>ALTARIA</t>
  </si>
  <si>
    <t>ALTARIA_MEGA</t>
  </si>
  <si>
    <t>ZANGOOSE</t>
  </si>
  <si>
    <t>SEVIPER</t>
  </si>
  <si>
    <t>LUNATONE</t>
  </si>
  <si>
    <t>Solrock</t>
  </si>
  <si>
    <t>SOLROCK</t>
  </si>
  <si>
    <t>Barboach</t>
  </si>
  <si>
    <t>BARBOACH</t>
  </si>
  <si>
    <t>WHISCASH</t>
  </si>
  <si>
    <t>CORPHISH</t>
  </si>
  <si>
    <t>CRAWDAUNT</t>
  </si>
  <si>
    <t>Baltoy</t>
  </si>
  <si>
    <t>BALTOY</t>
  </si>
  <si>
    <t>Claydol</t>
  </si>
  <si>
    <t>CLAYDOL</t>
  </si>
  <si>
    <t>LILEEP</t>
  </si>
  <si>
    <t>CRADILY</t>
  </si>
  <si>
    <t>Anorith</t>
  </si>
  <si>
    <t>ANORITH</t>
  </si>
  <si>
    <t>Armaldo</t>
  </si>
  <si>
    <t>ARMALDO</t>
  </si>
  <si>
    <t>Feebas</t>
  </si>
  <si>
    <t>FEEBAS</t>
  </si>
  <si>
    <t>MILOTIC</t>
  </si>
  <si>
    <t>CASTFORM</t>
  </si>
  <si>
    <t>KECLEON</t>
  </si>
  <si>
    <t>Shuppet</t>
  </si>
  <si>
    <t>SHUPPET</t>
  </si>
  <si>
    <t>Banette</t>
  </si>
  <si>
    <t>BANETTE</t>
  </si>
  <si>
    <t>BANETTE_MEGA</t>
  </si>
  <si>
    <t>Duskull</t>
  </si>
  <si>
    <t>DUSKULL</t>
  </si>
  <si>
    <t>Dusclops</t>
  </si>
  <si>
    <t>DUSCLOPS</t>
  </si>
  <si>
    <t>TROPIUS</t>
  </si>
  <si>
    <t>Chimecho</t>
  </si>
  <si>
    <t>CHIMECHO</t>
  </si>
  <si>
    <t>Absol</t>
  </si>
  <si>
    <t>ABSOL</t>
  </si>
  <si>
    <t>ABSOL_MEGA</t>
  </si>
  <si>
    <t>Wynaut</t>
  </si>
  <si>
    <t>WYNAUT</t>
  </si>
  <si>
    <t>Snorunt</t>
  </si>
  <si>
    <t>SNORUNT</t>
  </si>
  <si>
    <t>Glalie</t>
  </si>
  <si>
    <t>GLALIE</t>
  </si>
  <si>
    <t>GLALIE_MEGA</t>
  </si>
  <si>
    <t>Spheal</t>
  </si>
  <si>
    <t>SPHEAL</t>
  </si>
  <si>
    <t>Sealeo</t>
  </si>
  <si>
    <t>SEALEO</t>
  </si>
  <si>
    <t>WALREIN</t>
  </si>
  <si>
    <t>CLAMPERL</t>
  </si>
  <si>
    <t>HUNTAIL</t>
  </si>
  <si>
    <t>GOREBYSS</t>
  </si>
  <si>
    <t>Relicanth</t>
  </si>
  <si>
    <t>RELICANTH</t>
  </si>
  <si>
    <t>LUVDISC</t>
  </si>
  <si>
    <t>Bagon</t>
  </si>
  <si>
    <t>BAGON</t>
  </si>
  <si>
    <t>Shelgon</t>
  </si>
  <si>
    <t>SHELGON</t>
  </si>
  <si>
    <t>SALAMENCE</t>
  </si>
  <si>
    <t>SALAMENCE_MEGA</t>
  </si>
  <si>
    <t>Beldum</t>
  </si>
  <si>
    <t>BELDUM</t>
  </si>
  <si>
    <t>Metang</t>
  </si>
  <si>
    <t>METANG</t>
  </si>
  <si>
    <t>METAGROSS</t>
  </si>
  <si>
    <t>METAGROSS_MEGA</t>
  </si>
  <si>
    <t>Regirock</t>
  </si>
  <si>
    <t>REGIROCK</t>
  </si>
  <si>
    <t>REGICE</t>
  </si>
  <si>
    <t>Registeel</t>
  </si>
  <si>
    <t>REGISTEEL</t>
  </si>
  <si>
    <t>LATIAS</t>
  </si>
  <si>
    <t>Latias-Mega</t>
  </si>
  <si>
    <t>LATIAS_MEGA</t>
  </si>
  <si>
    <t>Latios</t>
  </si>
  <si>
    <t>LATIOS</t>
  </si>
  <si>
    <t>Latios-Mega</t>
  </si>
  <si>
    <t>LATIOS_MEGA</t>
  </si>
  <si>
    <t>Kyogre</t>
  </si>
  <si>
    <t>KYOGRE</t>
  </si>
  <si>
    <t>KYOGRE_PRIMAL</t>
  </si>
  <si>
    <t>Groudon</t>
  </si>
  <si>
    <t>GROUDON</t>
  </si>
  <si>
    <t>GROUDON_PRIMAL</t>
  </si>
  <si>
    <t>Rayquaza</t>
  </si>
  <si>
    <t>RAYQUAZA</t>
  </si>
  <si>
    <t>RAYQUAZA_MEGA</t>
  </si>
  <si>
    <t>Jirachi</t>
  </si>
  <si>
    <t>JIRACHI</t>
  </si>
  <si>
    <t>Deoxys</t>
  </si>
  <si>
    <t>DEOXYS</t>
  </si>
  <si>
    <t>DEOXYS_ATTACK</t>
  </si>
  <si>
    <t>Deoxys-D</t>
  </si>
  <si>
    <t>DEOXYS_DEFENSE</t>
  </si>
  <si>
    <t>Deoxys-S</t>
  </si>
  <si>
    <t>DEOXYS_SPEED</t>
  </si>
  <si>
    <t>SINNOH</t>
  </si>
  <si>
    <t>Turtwig</t>
  </si>
  <si>
    <t>TURTWIG</t>
  </si>
  <si>
    <t>Grotle</t>
  </si>
  <si>
    <t>GROTLE</t>
  </si>
  <si>
    <t>TORTERRA</t>
  </si>
  <si>
    <t>Chimchar</t>
  </si>
  <si>
    <t>CHIMCHAR</t>
  </si>
  <si>
    <t>Monferno</t>
  </si>
  <si>
    <t>MONFERNO</t>
  </si>
  <si>
    <t>INFERNAPE</t>
  </si>
  <si>
    <t>Piplup</t>
  </si>
  <si>
    <t>PIPLUP</t>
  </si>
  <si>
    <t>Prinplup</t>
  </si>
  <si>
    <t>PRINPLUP</t>
  </si>
  <si>
    <t>EMPOLEON</t>
  </si>
  <si>
    <t>Starly</t>
  </si>
  <si>
    <t>STARLY</t>
  </si>
  <si>
    <t>Staravia</t>
  </si>
  <si>
    <t>STARAVIA</t>
  </si>
  <si>
    <t>Staraptor</t>
  </si>
  <si>
    <t>STARAPTOR</t>
  </si>
  <si>
    <t>Bidoof</t>
  </si>
  <si>
    <t>BIDOOF</t>
  </si>
  <si>
    <t>BIBAREL</t>
  </si>
  <si>
    <t>Kricketot</t>
  </si>
  <si>
    <t>KRICKETOT</t>
  </si>
  <si>
    <t>KRICKETUNE</t>
  </si>
  <si>
    <t>Shinx</t>
  </si>
  <si>
    <t>SHINX</t>
  </si>
  <si>
    <t>Luxio</t>
  </si>
  <si>
    <t>LUXIO</t>
  </si>
  <si>
    <t>Luxray</t>
  </si>
  <si>
    <t>LUXRAY</t>
  </si>
  <si>
    <t>Budew</t>
  </si>
  <si>
    <t>BUDEW</t>
  </si>
  <si>
    <t>ROSERADE</t>
  </si>
  <si>
    <t>Cranidos</t>
  </si>
  <si>
    <t>CRANIDOS</t>
  </si>
  <si>
    <t>RAMPARDOS</t>
  </si>
  <si>
    <t>Shieldon</t>
  </si>
  <si>
    <t>SHIELDON</t>
  </si>
  <si>
    <t>BASTIODON</t>
  </si>
  <si>
    <t>Burmy</t>
  </si>
  <si>
    <t>BURMY</t>
  </si>
  <si>
    <t>Burmy-Sa</t>
  </si>
  <si>
    <t>BURMY_SANDY</t>
  </si>
  <si>
    <t>Burmy-Tr</t>
  </si>
  <si>
    <t>BURMY_TRASH</t>
  </si>
  <si>
    <t>WORMADAM</t>
  </si>
  <si>
    <t>WORMADAM_SANDY</t>
  </si>
  <si>
    <t>Wormadam-Tr</t>
  </si>
  <si>
    <t>WORMADAM_TRASH</t>
  </si>
  <si>
    <t>MOTHIM</t>
  </si>
  <si>
    <t>Combee</t>
  </si>
  <si>
    <t>COMBEE</t>
  </si>
  <si>
    <t>Vespiquen</t>
  </si>
  <si>
    <t>VESPIQUEN</t>
  </si>
  <si>
    <t>PACHIRISU</t>
  </si>
  <si>
    <t>Buizel</t>
  </si>
  <si>
    <t>BUIZEL</t>
  </si>
  <si>
    <t>FLOATZEL</t>
  </si>
  <si>
    <t>Cherubi</t>
  </si>
  <si>
    <t>CHERUBI</t>
  </si>
  <si>
    <t>CHERRIM</t>
  </si>
  <si>
    <t>Shellos</t>
  </si>
  <si>
    <t>SHELLOS</t>
  </si>
  <si>
    <t>Gastrodon</t>
  </si>
  <si>
    <t>GASTRODON</t>
  </si>
  <si>
    <t>AMBIPOM</t>
  </si>
  <si>
    <t>Drifloon</t>
  </si>
  <si>
    <t>DRIFLOON</t>
  </si>
  <si>
    <t>DRIFBLIM</t>
  </si>
  <si>
    <t>Buneary</t>
  </si>
  <si>
    <t>BUNEARY</t>
  </si>
  <si>
    <t>Lopunny</t>
  </si>
  <si>
    <t>LOPUNNY</t>
  </si>
  <si>
    <t>LOPUNNY_MEGA</t>
  </si>
  <si>
    <t>MISMAGIUS</t>
  </si>
  <si>
    <t>HONCHKROW</t>
  </si>
  <si>
    <t>Glameow</t>
  </si>
  <si>
    <t>GLAMEOW</t>
  </si>
  <si>
    <t>PURUGLY</t>
  </si>
  <si>
    <t>Chingling</t>
  </si>
  <si>
    <t>CHINGLING</t>
  </si>
  <si>
    <t>Stunky</t>
  </si>
  <si>
    <t>STUNKY</t>
  </si>
  <si>
    <t>SKUNTANK</t>
  </si>
  <si>
    <t>Bronzor</t>
  </si>
  <si>
    <t>BRONZOR</t>
  </si>
  <si>
    <t>Bronzong</t>
  </si>
  <si>
    <t>BRONZONG</t>
  </si>
  <si>
    <t>Bonsly</t>
  </si>
  <si>
    <t>BONSLY</t>
  </si>
  <si>
    <t>Mime Jr.</t>
  </si>
  <si>
    <t>MIME_JR</t>
  </si>
  <si>
    <t>Happiny</t>
  </si>
  <si>
    <t>HAPPINY</t>
  </si>
  <si>
    <t>CHATOT</t>
  </si>
  <si>
    <t>SPIRITOMB</t>
  </si>
  <si>
    <t>Gible</t>
  </si>
  <si>
    <t>GIBLE</t>
  </si>
  <si>
    <t>Gabite</t>
  </si>
  <si>
    <t>GABITE</t>
  </si>
  <si>
    <t>GARCHOMP</t>
  </si>
  <si>
    <t>GARCHOMP_MEGA</t>
  </si>
  <si>
    <t>Munchlax</t>
  </si>
  <si>
    <t>MUNCHLAX</t>
  </si>
  <si>
    <t>Riolu</t>
  </si>
  <si>
    <t>RIOLU</t>
  </si>
  <si>
    <t>LUCARIO</t>
  </si>
  <si>
    <t>LUCARIO_MEGA</t>
  </si>
  <si>
    <t>HIPPOPOTAS</t>
  </si>
  <si>
    <t>Hippowdon</t>
  </si>
  <si>
    <t>HIPPOWDON</t>
  </si>
  <si>
    <t>Skorupi</t>
  </si>
  <si>
    <t>SKORUPI</t>
  </si>
  <si>
    <t>DRAPION</t>
  </si>
  <si>
    <t>Croagunk</t>
  </si>
  <si>
    <t>CROAGUNK</t>
  </si>
  <si>
    <t>TOXICROAK</t>
  </si>
  <si>
    <t>CARNIVINE</t>
  </si>
  <si>
    <t>Finneon</t>
  </si>
  <si>
    <t>FINNEON</t>
  </si>
  <si>
    <t>LUMINEON</t>
  </si>
  <si>
    <t>Mantyke</t>
  </si>
  <si>
    <t>MANTYKE</t>
  </si>
  <si>
    <t>SNOVER</t>
  </si>
  <si>
    <t>ABOMASNOW</t>
  </si>
  <si>
    <t>ABOMASNOW_MEGA</t>
  </si>
  <si>
    <t>WEAVILE</t>
  </si>
  <si>
    <t>MAGNEZONE</t>
  </si>
  <si>
    <t>Lickilicky</t>
  </si>
  <si>
    <t>LICKILICKY</t>
  </si>
  <si>
    <t>RHYPERIOR</t>
  </si>
  <si>
    <t>TANGROWTH</t>
  </si>
  <si>
    <t>ELECTIVIRE</t>
  </si>
  <si>
    <t>MAGMORTAR</t>
  </si>
  <si>
    <t>TOGEKISS</t>
  </si>
  <si>
    <t>YANMEGA</t>
  </si>
  <si>
    <t>LEAFEON</t>
  </si>
  <si>
    <t>GLACEON</t>
  </si>
  <si>
    <t>GLISCOR</t>
  </si>
  <si>
    <t>MAMOSWINE</t>
  </si>
  <si>
    <t>Porygon-Z</t>
  </si>
  <si>
    <t>PORYGON_Z</t>
  </si>
  <si>
    <t>Gallade</t>
  </si>
  <si>
    <t>GALLADE</t>
  </si>
  <si>
    <t>GALLADE_MEGA</t>
  </si>
  <si>
    <t>PROBOPASS</t>
  </si>
  <si>
    <t>DUSKNOIR</t>
  </si>
  <si>
    <t>FROSLASS</t>
  </si>
  <si>
    <t>Rotom</t>
  </si>
  <si>
    <t>ROTOM</t>
  </si>
  <si>
    <t>ROTOM_HEAT</t>
  </si>
  <si>
    <t>ROTOM_WASH</t>
  </si>
  <si>
    <t>ROTOM_FROST</t>
  </si>
  <si>
    <t>ROTOM_FAN</t>
  </si>
  <si>
    <t>Rotom-M</t>
  </si>
  <si>
    <t>ROTOM_MOW</t>
  </si>
  <si>
    <t>Uxie</t>
  </si>
  <si>
    <t>UXIE</t>
  </si>
  <si>
    <t>Mesprit</t>
  </si>
  <si>
    <t>MESPRIT</t>
  </si>
  <si>
    <t>AZELF</t>
  </si>
  <si>
    <t>DIALGA</t>
  </si>
  <si>
    <t>Dialga-O</t>
  </si>
  <si>
    <t>DIALGA_O</t>
  </si>
  <si>
    <t>DIALGA_P</t>
  </si>
  <si>
    <t>Palkia</t>
  </si>
  <si>
    <t>PALKIA</t>
  </si>
  <si>
    <t>PALKIA_O</t>
  </si>
  <si>
    <t>HEATRAN</t>
  </si>
  <si>
    <t>Regigigas</t>
  </si>
  <si>
    <t>REGIGIGAS</t>
  </si>
  <si>
    <t>Giratina</t>
  </si>
  <si>
    <t>GIRATINA</t>
  </si>
  <si>
    <t>GIRATINA_ORIGIN</t>
  </si>
  <si>
    <t>CRESSELIA</t>
  </si>
  <si>
    <t>PHIONE</t>
  </si>
  <si>
    <t>Manaphy</t>
  </si>
  <si>
    <t>MANAPHY</t>
  </si>
  <si>
    <t>DARKRAI</t>
  </si>
  <si>
    <t>Shaymin</t>
  </si>
  <si>
    <t>SHAYMIN</t>
  </si>
  <si>
    <t>SHAYMIN_SKY</t>
  </si>
  <si>
    <t>ARCEUS</t>
  </si>
  <si>
    <t>ARCEUS_BUG</t>
  </si>
  <si>
    <t>Arceus-Dark</t>
  </si>
  <si>
    <t>ARCEUS_DARK</t>
  </si>
  <si>
    <t>Arceus-Dragon</t>
  </si>
  <si>
    <t>ARCEUS_DRAGON</t>
  </si>
  <si>
    <t>Arceus-Electric</t>
  </si>
  <si>
    <t>ARCEUS_ELECTRIC</t>
  </si>
  <si>
    <t>ARCEUS_FAIRY</t>
  </si>
  <si>
    <t>Arceus-Fighting</t>
  </si>
  <si>
    <t>ARCEUS_FIGHT</t>
  </si>
  <si>
    <t>Arceus-Fire</t>
  </si>
  <si>
    <t>ARCEUS_FIRE</t>
  </si>
  <si>
    <t>Arceus-Flying</t>
  </si>
  <si>
    <t>ARCEUS_FLYING</t>
  </si>
  <si>
    <t>Arceus-Ghost</t>
  </si>
  <si>
    <t>ARCEUS_GHOST</t>
  </si>
  <si>
    <t>Arceus-Grass</t>
  </si>
  <si>
    <t>ARCEUS_GRASS</t>
  </si>
  <si>
    <t>ARCEUS_GROUND</t>
  </si>
  <si>
    <t>Arceus-Ice</t>
  </si>
  <si>
    <t>ARCEUS_ICE</t>
  </si>
  <si>
    <t>Arceus-Poison</t>
  </si>
  <si>
    <t>ARCEUS_POISON</t>
  </si>
  <si>
    <t>Arceus-Psychic</t>
  </si>
  <si>
    <t>ARCEUS_PSYCHIC</t>
  </si>
  <si>
    <t>Arceus-Rock</t>
  </si>
  <si>
    <t>ARCEUS_ROCK</t>
  </si>
  <si>
    <t>ARCEUS_STEEL</t>
  </si>
  <si>
    <t>Arceus-Water</t>
  </si>
  <si>
    <t>ARCEUS_WATER</t>
  </si>
  <si>
    <t>UNOVA</t>
  </si>
  <si>
    <t>VICTINI</t>
  </si>
  <si>
    <t>Snivy</t>
  </si>
  <si>
    <t>SNIVY</t>
  </si>
  <si>
    <t>Servine</t>
  </si>
  <si>
    <t>SERVINE</t>
  </si>
  <si>
    <t>SERPERIOR</t>
  </si>
  <si>
    <t>Tepig</t>
  </si>
  <si>
    <t>TEPIG</t>
  </si>
  <si>
    <t>Pignite</t>
  </si>
  <si>
    <t>PIGNITE</t>
  </si>
  <si>
    <t>EMBOAR</t>
  </si>
  <si>
    <t>Oshawott</t>
  </si>
  <si>
    <t>OSHAWOTT</t>
  </si>
  <si>
    <t>Dewott</t>
  </si>
  <si>
    <t>DEWOTT</t>
  </si>
  <si>
    <t>SAMUROTT</t>
  </si>
  <si>
    <t>SAMUROTT_H</t>
  </si>
  <si>
    <t>Patrat</t>
  </si>
  <si>
    <t>PATRAT</t>
  </si>
  <si>
    <t>WATCHOG</t>
  </si>
  <si>
    <t>Lillipup</t>
  </si>
  <si>
    <t>LILLIPUP</t>
  </si>
  <si>
    <t>Herdier</t>
  </si>
  <si>
    <t>HERDIER</t>
  </si>
  <si>
    <t>Stoutland</t>
  </si>
  <si>
    <t>STOUTLAND</t>
  </si>
  <si>
    <t>Purrloin</t>
  </si>
  <si>
    <t>PURRLOIN</t>
  </si>
  <si>
    <t>LIEPARD</t>
  </si>
  <si>
    <t>Pansage</t>
  </si>
  <si>
    <t>PANSAGE</t>
  </si>
  <si>
    <t>SIMISAGE</t>
  </si>
  <si>
    <t>Pansear</t>
  </si>
  <si>
    <t>PANSEAR</t>
  </si>
  <si>
    <t>SIMISEAR</t>
  </si>
  <si>
    <t>Panpour</t>
  </si>
  <si>
    <t>PANPOUR</t>
  </si>
  <si>
    <t>SIMIPOUR</t>
  </si>
  <si>
    <t>Munna</t>
  </si>
  <si>
    <t>MUNNA</t>
  </si>
  <si>
    <t>MUSHARNA</t>
  </si>
  <si>
    <t>Pidove</t>
  </si>
  <si>
    <t>PIDOVE</t>
  </si>
  <si>
    <t>Tranquill</t>
  </si>
  <si>
    <t>TRANQUILL</t>
  </si>
  <si>
    <t>UNFEZANT</t>
  </si>
  <si>
    <t>Unfezant-F</t>
  </si>
  <si>
    <t>UNFEZANT_F</t>
  </si>
  <si>
    <t>Blitzle</t>
  </si>
  <si>
    <t>BLITZLE</t>
  </si>
  <si>
    <t>ZEBSTRIKA</t>
  </si>
  <si>
    <t>Roggenrola</t>
  </si>
  <si>
    <t>ROGGENROLA</t>
  </si>
  <si>
    <t>Boldore</t>
  </si>
  <si>
    <t>BOLDORE</t>
  </si>
  <si>
    <t>GIGALITH</t>
  </si>
  <si>
    <t>Woobat</t>
  </si>
  <si>
    <t>WOOBAT</t>
  </si>
  <si>
    <t>SWOOBAT</t>
  </si>
  <si>
    <t>Drilbur</t>
  </si>
  <si>
    <t>DRILBUR</t>
  </si>
  <si>
    <t>EXCADRILL</t>
  </si>
  <si>
    <t>AUDINO</t>
  </si>
  <si>
    <t>Audino-Mega</t>
  </si>
  <si>
    <t>AUDINO_MEGA</t>
  </si>
  <si>
    <t>Timburr</t>
  </si>
  <si>
    <t>TIMBURR</t>
  </si>
  <si>
    <t>Gurdurr</t>
  </si>
  <si>
    <t>GURDURR</t>
  </si>
  <si>
    <t>CONKELDURR</t>
  </si>
  <si>
    <t>Tympole</t>
  </si>
  <si>
    <t>TYMPOLE</t>
  </si>
  <si>
    <t>Palpitoad</t>
  </si>
  <si>
    <t>PALPITOAD</t>
  </si>
  <si>
    <t>SEISMITOAD</t>
  </si>
  <si>
    <t>Throh</t>
  </si>
  <si>
    <t>THROH</t>
  </si>
  <si>
    <t>Sawk</t>
  </si>
  <si>
    <t>SAWK</t>
  </si>
  <si>
    <t>Sewaddle</t>
  </si>
  <si>
    <t>SEWADDLE</t>
  </si>
  <si>
    <t>Swadloon</t>
  </si>
  <si>
    <t>SWADLOON</t>
  </si>
  <si>
    <t>LEAVANNY</t>
  </si>
  <si>
    <t>Venipede</t>
  </si>
  <si>
    <t>VENIPEDE</t>
  </si>
  <si>
    <t>Whirlipede</t>
  </si>
  <si>
    <t>WHIRLIPEDE</t>
  </si>
  <si>
    <t>Scolipede</t>
  </si>
  <si>
    <t>SCOLIPEDE</t>
  </si>
  <si>
    <t>Cottonee</t>
  </si>
  <si>
    <t>COTTONEE</t>
  </si>
  <si>
    <t>WHIMSICOTT</t>
  </si>
  <si>
    <t>Petilil</t>
  </si>
  <si>
    <t>PETILIL</t>
  </si>
  <si>
    <t>LILLIGANT</t>
  </si>
  <si>
    <t>LILLIGANT_H</t>
  </si>
  <si>
    <t>Basculin</t>
  </si>
  <si>
    <t>BASCULIN_BLUE</t>
  </si>
  <si>
    <t>Basculin-Blue-Striped</t>
  </si>
  <si>
    <t>BASCULIN_RED</t>
  </si>
  <si>
    <t>Sandile</t>
  </si>
  <si>
    <t>SANDILE</t>
  </si>
  <si>
    <t>Krokorok</t>
  </si>
  <si>
    <t>KROKOROK</t>
  </si>
  <si>
    <t>KROOKODILE</t>
  </si>
  <si>
    <t>Darumaka</t>
  </si>
  <si>
    <t>DARUMAKA</t>
  </si>
  <si>
    <t>Darumaka-G</t>
  </si>
  <si>
    <t>DARUMAKA_G</t>
  </si>
  <si>
    <t>DARMANITAN</t>
  </si>
  <si>
    <t>DARMANITANZEN</t>
  </si>
  <si>
    <t>Darmanitan-G</t>
  </si>
  <si>
    <t>DARMANITAN_G</t>
  </si>
  <si>
    <t>DARMANITAN_G_ZEN</t>
  </si>
  <si>
    <t>MARACTUS</t>
  </si>
  <si>
    <t>Dwebble</t>
  </si>
  <si>
    <t>DWEBBLE</t>
  </si>
  <si>
    <t>CRUSTLE</t>
  </si>
  <si>
    <t>Scraggy</t>
  </si>
  <si>
    <t>SCRAGGY</t>
  </si>
  <si>
    <t>SCRAFTY</t>
  </si>
  <si>
    <t>Sigilyph</t>
  </si>
  <si>
    <t>SIGILYPH</t>
  </si>
  <si>
    <t>Yamask</t>
  </si>
  <si>
    <t>YAMASK</t>
  </si>
  <si>
    <t>Yamask-G</t>
  </si>
  <si>
    <t>YAMASK_G</t>
  </si>
  <si>
    <t>Cofagrigus</t>
  </si>
  <si>
    <t>COFAGRIGUS</t>
  </si>
  <si>
    <t>Tirtouga</t>
  </si>
  <si>
    <t>TIRTOUGA</t>
  </si>
  <si>
    <t>CARRACOSTA</t>
  </si>
  <si>
    <t>ARCHEN</t>
  </si>
  <si>
    <t>ARCHEOPS</t>
  </si>
  <si>
    <t>Trubbish</t>
  </si>
  <si>
    <t>TRUBBISH</t>
  </si>
  <si>
    <t>GARBODOR</t>
  </si>
  <si>
    <t>GARBODOR_GIGA</t>
  </si>
  <si>
    <t>Zorua</t>
  </si>
  <si>
    <t>ZORUA</t>
  </si>
  <si>
    <t>Zorua-H</t>
  </si>
  <si>
    <t>ZORUA_H</t>
  </si>
  <si>
    <t>ZOROARK</t>
  </si>
  <si>
    <t>ZOROARK_H</t>
  </si>
  <si>
    <t>Minccino</t>
  </si>
  <si>
    <t>MINCCINO</t>
  </si>
  <si>
    <t>Cinccino</t>
  </si>
  <si>
    <t>CINCCINO</t>
  </si>
  <si>
    <t>Gothita</t>
  </si>
  <si>
    <t>GOTHITA</t>
  </si>
  <si>
    <t>Gothorita</t>
  </si>
  <si>
    <t>GOTHORITA</t>
  </si>
  <si>
    <t>Gothitelle</t>
  </si>
  <si>
    <t>GOTHITELLE</t>
  </si>
  <si>
    <t>Solosis</t>
  </si>
  <si>
    <t>SOLOSIS</t>
  </si>
  <si>
    <t>Duosion</t>
  </si>
  <si>
    <t>DUOSION</t>
  </si>
  <si>
    <t>REUNICLUS</t>
  </si>
  <si>
    <t>Ducklett</t>
  </si>
  <si>
    <t>DUCKLETT</t>
  </si>
  <si>
    <t>SWANNA</t>
  </si>
  <si>
    <t>Vanillite</t>
  </si>
  <si>
    <t>VANILLITE</t>
  </si>
  <si>
    <t>Vanillish</t>
  </si>
  <si>
    <t>VANILLISH</t>
  </si>
  <si>
    <t>VANILLUXE</t>
  </si>
  <si>
    <t>Deerling</t>
  </si>
  <si>
    <t>DEERLING</t>
  </si>
  <si>
    <t>Sawsbuck</t>
  </si>
  <si>
    <t>SAWSBUCK</t>
  </si>
  <si>
    <t>EMOLGA</t>
  </si>
  <si>
    <t>Karrablast</t>
  </si>
  <si>
    <t>KARRABLAST</t>
  </si>
  <si>
    <t>ESCAVALIER</t>
  </si>
  <si>
    <t>Foongus</t>
  </si>
  <si>
    <t>FOONGUS</t>
  </si>
  <si>
    <t>Amoonguss</t>
  </si>
  <si>
    <t>AMOONGUSS</t>
  </si>
  <si>
    <t>Frillish</t>
  </si>
  <si>
    <t>FRILLISH</t>
  </si>
  <si>
    <t>Frillish-F</t>
  </si>
  <si>
    <t>FRILLISH_F</t>
  </si>
  <si>
    <t>JELLICENT</t>
  </si>
  <si>
    <t>Jellicent-F</t>
  </si>
  <si>
    <t>JELLICENT_F</t>
  </si>
  <si>
    <t>Alomomola</t>
  </si>
  <si>
    <t>ALOMOMOLA</t>
  </si>
  <si>
    <t>Joltik</t>
  </si>
  <si>
    <t>JOLTIK</t>
  </si>
  <si>
    <t>GALVANTULA</t>
  </si>
  <si>
    <t>Ferroseed</t>
  </si>
  <si>
    <t>FERROSEED</t>
  </si>
  <si>
    <t>FERROTHORN</t>
  </si>
  <si>
    <t>Klink</t>
  </si>
  <si>
    <t>KLINK</t>
  </si>
  <si>
    <t>Klang</t>
  </si>
  <si>
    <t>KLANG</t>
  </si>
  <si>
    <t>KLINKLANG</t>
  </si>
  <si>
    <t>Tynamo</t>
  </si>
  <si>
    <t>TYNAMO</t>
  </si>
  <si>
    <t>Eelektrik</t>
  </si>
  <si>
    <t>EELEKTRIK</t>
  </si>
  <si>
    <t>EELEKTROSS</t>
  </si>
  <si>
    <t>Elgyem</t>
  </si>
  <si>
    <t>ELGYEM</t>
  </si>
  <si>
    <t>BEHEEYEM</t>
  </si>
  <si>
    <t>Litwick</t>
  </si>
  <si>
    <t>LITWICK</t>
  </si>
  <si>
    <t>Lampent</t>
  </si>
  <si>
    <t>LAMPENT</t>
  </si>
  <si>
    <t>CHANDELURE</t>
  </si>
  <si>
    <t>Axew</t>
  </si>
  <si>
    <t>AXEW</t>
  </si>
  <si>
    <t>Fraxure</t>
  </si>
  <si>
    <t>FRAXURE</t>
  </si>
  <si>
    <t>HAXORUS</t>
  </si>
  <si>
    <t>Cubchoo</t>
  </si>
  <si>
    <t>CUBCHOO</t>
  </si>
  <si>
    <t>BEARTIC</t>
  </si>
  <si>
    <t>CRYOGONAL</t>
  </si>
  <si>
    <t>Shelmet</t>
  </si>
  <si>
    <t>SHELMET</t>
  </si>
  <si>
    <t>ACCELGOR</t>
  </si>
  <si>
    <t>STUNFISK</t>
  </si>
  <si>
    <t>STUNFISK_G</t>
  </si>
  <si>
    <t>Mienfoo</t>
  </si>
  <si>
    <t>MIENFOO</t>
  </si>
  <si>
    <t>MIENSHAO</t>
  </si>
  <si>
    <t>DRUDDIGON</t>
  </si>
  <si>
    <t>Golett</t>
  </si>
  <si>
    <t>GOLETT</t>
  </si>
  <si>
    <t>GOLURK</t>
  </si>
  <si>
    <t>Pawniard</t>
  </si>
  <si>
    <t>PAWNIARD</t>
  </si>
  <si>
    <t>BISHARP</t>
  </si>
  <si>
    <t>BOUFFALANT</t>
  </si>
  <si>
    <t>Rufflet</t>
  </si>
  <si>
    <t>RUFFLET</t>
  </si>
  <si>
    <t>BRAVIARY</t>
  </si>
  <si>
    <t>BRAVIARY_H</t>
  </si>
  <si>
    <t>Vullaby</t>
  </si>
  <si>
    <t>VULLABY</t>
  </si>
  <si>
    <t>MANDIBUZZ</t>
  </si>
  <si>
    <t>Heatmor</t>
  </si>
  <si>
    <t>HEATMOR</t>
  </si>
  <si>
    <t>Durant</t>
  </si>
  <si>
    <t>DURANT</t>
  </si>
  <si>
    <t>Deino</t>
  </si>
  <si>
    <t>DEINO</t>
  </si>
  <si>
    <t>Zweilous</t>
  </si>
  <si>
    <t>ZWEILOUS</t>
  </si>
  <si>
    <t>HYDREIGON</t>
  </si>
  <si>
    <t>Larvesta</t>
  </si>
  <si>
    <t>LARVESTA</t>
  </si>
  <si>
    <t>VOLCARONA</t>
  </si>
  <si>
    <t>Cobalion</t>
  </si>
  <si>
    <t>COBALION</t>
  </si>
  <si>
    <t>Terrakion</t>
  </si>
  <si>
    <t>TERRAKION</t>
  </si>
  <si>
    <t>Virizion</t>
  </si>
  <si>
    <t>VIRIZION</t>
  </si>
  <si>
    <t>TORNADUS</t>
  </si>
  <si>
    <t>Tornadus-T</t>
  </si>
  <si>
    <t>TORNADUS_THERIAN</t>
  </si>
  <si>
    <t>Thundurus-I</t>
  </si>
  <si>
    <t>THUNDURUS</t>
  </si>
  <si>
    <t>THUNDURUS_THERIAN</t>
  </si>
  <si>
    <t>Reshiram</t>
  </si>
  <si>
    <t>RESHIRAM</t>
  </si>
  <si>
    <t>Zekrom</t>
  </si>
  <si>
    <t>ZEKROM</t>
  </si>
  <si>
    <t>LANDORUS</t>
  </si>
  <si>
    <t>LANDORUS_THERIAN</t>
  </si>
  <si>
    <t>Kyurem</t>
  </si>
  <si>
    <t>KYUREM</t>
  </si>
  <si>
    <t>KYUREM_BLACK</t>
  </si>
  <si>
    <t>KYUREM_WHITE</t>
  </si>
  <si>
    <t>KELDEO</t>
  </si>
  <si>
    <t>Meloetta</t>
  </si>
  <si>
    <t>MELOETTA</t>
  </si>
  <si>
    <t>MELOETTA_PIROUETTE</t>
  </si>
  <si>
    <t>GENESECT</t>
  </si>
  <si>
    <t>Genesect-Burn</t>
  </si>
  <si>
    <t>Genesect-Chill</t>
  </si>
  <si>
    <t>Genesect-Shock</t>
  </si>
  <si>
    <t>KALOS</t>
  </si>
  <si>
    <t>Chespin</t>
  </si>
  <si>
    <t>CHESPIN</t>
  </si>
  <si>
    <t>Quilladin</t>
  </si>
  <si>
    <t>QUILLADIN</t>
  </si>
  <si>
    <t>Chesnaught</t>
  </si>
  <si>
    <t>CHESNAUGHT</t>
  </si>
  <si>
    <t>Fennekin</t>
  </si>
  <si>
    <t>FENNEKIN</t>
  </si>
  <si>
    <t>Braixen</t>
  </si>
  <si>
    <t>BRAIXEN</t>
  </si>
  <si>
    <t>DELPHOX</t>
  </si>
  <si>
    <t>Froakie</t>
  </si>
  <si>
    <t>FROAKIE</t>
  </si>
  <si>
    <t>Frogadier</t>
  </si>
  <si>
    <t>FROGADIER</t>
  </si>
  <si>
    <t>GRENINJA</t>
  </si>
  <si>
    <t>ASHGRENINJA</t>
  </si>
  <si>
    <t>Bunnelby</t>
  </si>
  <si>
    <t>BUNNELBY</t>
  </si>
  <si>
    <t>Diggersby</t>
  </si>
  <si>
    <t>DIGGERSBY</t>
  </si>
  <si>
    <t>Fletchling</t>
  </si>
  <si>
    <t>FLETCHLING</t>
  </si>
  <si>
    <t>Fletchinder</t>
  </si>
  <si>
    <t>FLETCHINDER</t>
  </si>
  <si>
    <t>TALONFLAME</t>
  </si>
  <si>
    <t>Scatterbug</t>
  </si>
  <si>
    <t>SCATTERBUG</t>
  </si>
  <si>
    <t>Spewpa</t>
  </si>
  <si>
    <t>SPEWPA</t>
  </si>
  <si>
    <t>VIVILLON</t>
  </si>
  <si>
    <t>LITLEO</t>
  </si>
  <si>
    <t>PYROAR</t>
  </si>
  <si>
    <t>Pyroar-F</t>
  </si>
  <si>
    <t>PYROAR_FEMALE</t>
  </si>
  <si>
    <t>Flabebe</t>
  </si>
  <si>
    <t>FLABEBE</t>
  </si>
  <si>
    <t>Floette</t>
  </si>
  <si>
    <t>FLOETTE</t>
  </si>
  <si>
    <t>Floette-Eternal</t>
  </si>
  <si>
    <t>FLORGES</t>
  </si>
  <si>
    <t>SKIDDO</t>
  </si>
  <si>
    <t>Gogoat</t>
  </si>
  <si>
    <t>GOGOAT</t>
  </si>
  <si>
    <t>Pancham</t>
  </si>
  <si>
    <t>PANCHAM</t>
  </si>
  <si>
    <t>PANGORO</t>
  </si>
  <si>
    <t>FURFROU</t>
  </si>
  <si>
    <t>Espurr</t>
  </si>
  <si>
    <t>ESPURR</t>
  </si>
  <si>
    <t>Meowstic</t>
  </si>
  <si>
    <t>MEOWSTIC</t>
  </si>
  <si>
    <t>Meowstic-F</t>
  </si>
  <si>
    <t>MEOWSTIC_FEMALE</t>
  </si>
  <si>
    <t>Honedge</t>
  </si>
  <si>
    <t>HONEDGE</t>
  </si>
  <si>
    <t>Doublade</t>
  </si>
  <si>
    <t>DOUBLADE</t>
  </si>
  <si>
    <t>Aegislash-S</t>
  </si>
  <si>
    <t>AEGISLASH</t>
  </si>
  <si>
    <t>AEGISLASH_BLADE</t>
  </si>
  <si>
    <t>Spritzee</t>
  </si>
  <si>
    <t>SPRITZEE</t>
  </si>
  <si>
    <t>Aromatisse</t>
  </si>
  <si>
    <t>AROMATISSE</t>
  </si>
  <si>
    <t>Swirlix</t>
  </si>
  <si>
    <t>SWIRLIX</t>
  </si>
  <si>
    <t>SLURPUFF</t>
  </si>
  <si>
    <t>Inkay</t>
  </si>
  <si>
    <t>INKAY</t>
  </si>
  <si>
    <t>MALAMAR</t>
  </si>
  <si>
    <t>Binacle</t>
  </si>
  <si>
    <t>BINACLE</t>
  </si>
  <si>
    <t>BARBARACLE</t>
  </si>
  <si>
    <t>Skrelp</t>
  </si>
  <si>
    <t>SKRELP</t>
  </si>
  <si>
    <t>DRAGALGE</t>
  </si>
  <si>
    <t>Clauncher</t>
  </si>
  <si>
    <t>CLAUNCHER</t>
  </si>
  <si>
    <t>CLAWITZER</t>
  </si>
  <si>
    <t>Helioptile</t>
  </si>
  <si>
    <t>HELIOPTILE</t>
  </si>
  <si>
    <t>HELIOLISK</t>
  </si>
  <si>
    <t>Tyrunt</t>
  </si>
  <si>
    <t>TYRUNT</t>
  </si>
  <si>
    <t>TYRANTRUM</t>
  </si>
  <si>
    <t>AMAURA</t>
  </si>
  <si>
    <t>Aurorus</t>
  </si>
  <si>
    <t>AURORUS</t>
  </si>
  <si>
    <t>SYLVEON</t>
  </si>
  <si>
    <t>HAWLUCHA</t>
  </si>
  <si>
    <t>DEDENNE</t>
  </si>
  <si>
    <t>CARBINK</t>
  </si>
  <si>
    <t>Goomy</t>
  </si>
  <si>
    <t>GOOMY</t>
  </si>
  <si>
    <t>Sliggoo</t>
  </si>
  <si>
    <t>SLIGGOO</t>
  </si>
  <si>
    <t>Sliggoo-H</t>
  </si>
  <si>
    <t>SLIGGOO_H</t>
  </si>
  <si>
    <t>GOODRA</t>
  </si>
  <si>
    <t>GOODRA_H</t>
  </si>
  <si>
    <t>KLEFKI</t>
  </si>
  <si>
    <t>Phantump</t>
  </si>
  <si>
    <t>PHANTUMP</t>
  </si>
  <si>
    <t>Trevenant</t>
  </si>
  <si>
    <t>TREVENANT</t>
  </si>
  <si>
    <t>Pumpkaboo-A</t>
  </si>
  <si>
    <t>PUMPKABOO</t>
  </si>
  <si>
    <t>Pumpkaboo-S</t>
  </si>
  <si>
    <t>PUMPKABOO_M</t>
  </si>
  <si>
    <t>Pumpkaboo-L</t>
  </si>
  <si>
    <t>PUMPKABOO_L</t>
  </si>
  <si>
    <t>Pumpkaboo-XL</t>
  </si>
  <si>
    <t>PUMPKABOO_XL</t>
  </si>
  <si>
    <t>Gourgeist-A</t>
  </si>
  <si>
    <t>GOURGEIST</t>
  </si>
  <si>
    <t>Gourgeist-S</t>
  </si>
  <si>
    <t>GOURGEIST_M</t>
  </si>
  <si>
    <t>Gourgeist-L</t>
  </si>
  <si>
    <t>GOURGEIST_L</t>
  </si>
  <si>
    <t>Gourgeist-XL</t>
  </si>
  <si>
    <t>GOURGEIST_XL</t>
  </si>
  <si>
    <t>Bergmite</t>
  </si>
  <si>
    <t>BERGMITE</t>
  </si>
  <si>
    <t>Avalugg</t>
  </si>
  <si>
    <t>AVALUGG</t>
  </si>
  <si>
    <t>AVALUGG_H</t>
  </si>
  <si>
    <t>Noibat</t>
  </si>
  <si>
    <t>NOIBAT</t>
  </si>
  <si>
    <t>NOIVERN</t>
  </si>
  <si>
    <t>XERNEAS</t>
  </si>
  <si>
    <t>YVELTAL</t>
  </si>
  <si>
    <t>Zygarde</t>
  </si>
  <si>
    <t>ZYGARDE</t>
  </si>
  <si>
    <t>ZYGARDE_10</t>
  </si>
  <si>
    <t>ZYGARDE_COMPLETE</t>
  </si>
  <si>
    <t>Diancie</t>
  </si>
  <si>
    <t>DIANCIE</t>
  </si>
  <si>
    <t>DIANCIE_MEGA</t>
  </si>
  <si>
    <t>Hoopa</t>
  </si>
  <si>
    <t>HOOPA</t>
  </si>
  <si>
    <t>HOOPA_UNBOUND</t>
  </si>
  <si>
    <t>VOLCANION</t>
  </si>
  <si>
    <t>ALOLA</t>
  </si>
  <si>
    <t>Rowlet</t>
  </si>
  <si>
    <t>ROWLET</t>
  </si>
  <si>
    <t>Dartrix</t>
  </si>
  <si>
    <t>DARTRIX</t>
  </si>
  <si>
    <t>DECIDUEYE</t>
  </si>
  <si>
    <t>DECIDUEYE_H</t>
  </si>
  <si>
    <t>Litten</t>
  </si>
  <si>
    <t>LITTEN</t>
  </si>
  <si>
    <t>Torracat</t>
  </si>
  <si>
    <t>TORRACAT</t>
  </si>
  <si>
    <t>INCINEROAR</t>
  </si>
  <si>
    <t>Popplio</t>
  </si>
  <si>
    <t>POPPLIO</t>
  </si>
  <si>
    <t>BRIONNE</t>
  </si>
  <si>
    <t>PRIMARINA</t>
  </si>
  <si>
    <t>Pikipek</t>
  </si>
  <si>
    <t>PIKIPEK</t>
  </si>
  <si>
    <t>TRUMBEAK</t>
  </si>
  <si>
    <t>Toucannon</t>
  </si>
  <si>
    <t>TOUCANNON</t>
  </si>
  <si>
    <t>Yungoos</t>
  </si>
  <si>
    <t>YUNGOOS</t>
  </si>
  <si>
    <t>GUMSHOOS</t>
  </si>
  <si>
    <t>Grubbin</t>
  </si>
  <si>
    <t>GRUBBIN</t>
  </si>
  <si>
    <t>Charjabug</t>
  </si>
  <si>
    <t>CHARJABUG</t>
  </si>
  <si>
    <t>VIKAVOLT</t>
  </si>
  <si>
    <t>Crabrawler</t>
  </si>
  <si>
    <t>CRABRAWLER</t>
  </si>
  <si>
    <t>Crabominable</t>
  </si>
  <si>
    <t>CRABOMINABLE</t>
  </si>
  <si>
    <t>ORICORIO</t>
  </si>
  <si>
    <t>Oricorio-Pompom</t>
  </si>
  <si>
    <t>ORICORIO_Y</t>
  </si>
  <si>
    <t>Oricorio-Pau</t>
  </si>
  <si>
    <t>ORICORIO_P</t>
  </si>
  <si>
    <t>ORICORIO_S</t>
  </si>
  <si>
    <t>Cutiefly</t>
  </si>
  <si>
    <t>CUTIEFLY</t>
  </si>
  <si>
    <t>RIBOMBEE</t>
  </si>
  <si>
    <t>Rockruff</t>
  </si>
  <si>
    <t>ROCKRUFF</t>
  </si>
  <si>
    <t>LYCANROC</t>
  </si>
  <si>
    <t>Lycanroc-N</t>
  </si>
  <si>
    <t>LYCANROC_N</t>
  </si>
  <si>
    <t>LYCANROC_DUSK</t>
  </si>
  <si>
    <t>Wishiwashi</t>
  </si>
  <si>
    <t>WISHIWASHI</t>
  </si>
  <si>
    <t>WISHIWASHI_S</t>
  </si>
  <si>
    <t>Mareanie</t>
  </si>
  <si>
    <t>MAREANIE</t>
  </si>
  <si>
    <t>TOXAPEX</t>
  </si>
  <si>
    <t>Mudbray</t>
  </si>
  <si>
    <t>MUDBRAY</t>
  </si>
  <si>
    <t>Mudsdale</t>
  </si>
  <si>
    <t>MUDSDALE</t>
  </si>
  <si>
    <t>Dewpider</t>
  </si>
  <si>
    <t>DEWPIDER</t>
  </si>
  <si>
    <t>ARAQUANID</t>
  </si>
  <si>
    <t>Fomantis</t>
  </si>
  <si>
    <t>FOMANTIS</t>
  </si>
  <si>
    <t>LURANTIS</t>
  </si>
  <si>
    <t>Morelull</t>
  </si>
  <si>
    <t>MORELULL</t>
  </si>
  <si>
    <t>SHIINOTIC</t>
  </si>
  <si>
    <t>SALANDIT</t>
  </si>
  <si>
    <t>Salazzle</t>
  </si>
  <si>
    <t>SALAZZLE</t>
  </si>
  <si>
    <t>STUFFUL</t>
  </si>
  <si>
    <t>BEWEAR</t>
  </si>
  <si>
    <t>Bounsweet</t>
  </si>
  <si>
    <t>BOUNSWEET</t>
  </si>
  <si>
    <t>Steenee</t>
  </si>
  <si>
    <t>STEENEE</t>
  </si>
  <si>
    <t>TSAREENA</t>
  </si>
  <si>
    <t>Comfey</t>
  </si>
  <si>
    <t>COMFEY</t>
  </si>
  <si>
    <t>Oranguru</t>
  </si>
  <si>
    <t>ORANGURU</t>
  </si>
  <si>
    <t>Passimian</t>
  </si>
  <si>
    <t>PASSIMIAN</t>
  </si>
  <si>
    <t>Wimpod</t>
  </si>
  <si>
    <t>WIMPOD</t>
  </si>
  <si>
    <t>GOLISOPOD</t>
  </si>
  <si>
    <t>Sandygast</t>
  </si>
  <si>
    <t>SANDYGAST</t>
  </si>
  <si>
    <t>PALOSSAND</t>
  </si>
  <si>
    <t>Pyukumuku</t>
  </si>
  <si>
    <t>PYUKUMUKU</t>
  </si>
  <si>
    <t>Type: Null</t>
  </si>
  <si>
    <t>TYPE_NULL</t>
  </si>
  <si>
    <t>SILVALLY</t>
  </si>
  <si>
    <t>Silvally-Bug</t>
  </si>
  <si>
    <t>SILVALLY_BUG</t>
  </si>
  <si>
    <t>Silvally-Dark</t>
  </si>
  <si>
    <t>SILVALLY_DARK</t>
  </si>
  <si>
    <t>Silvally-Dragon</t>
  </si>
  <si>
    <t>SILVALLY_DRAGON</t>
  </si>
  <si>
    <t>Silvally-Electric</t>
  </si>
  <si>
    <t>SILVALLY_ELECTRIC</t>
  </si>
  <si>
    <t>SILVALLY_FAIRY</t>
  </si>
  <si>
    <t>Silvally-Fighting</t>
  </si>
  <si>
    <t>SILVALLY_FIGHT</t>
  </si>
  <si>
    <t>Silvally-Fire</t>
  </si>
  <si>
    <t>SILVALLY_FIRE</t>
  </si>
  <si>
    <t>Silvally-Flying</t>
  </si>
  <si>
    <t>SILVALLY_FLYING</t>
  </si>
  <si>
    <t>Silvally-Ghost</t>
  </si>
  <si>
    <t>SILVALLY_GHOST</t>
  </si>
  <si>
    <t>Silvally-Grass</t>
  </si>
  <si>
    <t>SILVALLY_GRASS</t>
  </si>
  <si>
    <t>Silvally-Ground</t>
  </si>
  <si>
    <t>SILVALLY_GROUND</t>
  </si>
  <si>
    <t>Silvally-Ice</t>
  </si>
  <si>
    <t>SILVALLY_ICE</t>
  </si>
  <si>
    <t>Silvally-Poison</t>
  </si>
  <si>
    <t>SILVALLY_POISON</t>
  </si>
  <si>
    <t>Silvally-Psychic</t>
  </si>
  <si>
    <t>SILVALLY_PSYCHIC</t>
  </si>
  <si>
    <t>Silvally-Rock</t>
  </si>
  <si>
    <t>SILVALLY_ROCK</t>
  </si>
  <si>
    <t>Silvally-Steel</t>
  </si>
  <si>
    <t>SILVALLY_STEEL</t>
  </si>
  <si>
    <t>Silvally-Water</t>
  </si>
  <si>
    <t>SILVALLY_WATER</t>
  </si>
  <si>
    <t>MINIOR_CORE</t>
  </si>
  <si>
    <t>Minior-Meteor</t>
  </si>
  <si>
    <t>MINIOR_SHIELD</t>
  </si>
  <si>
    <t>KOMALA</t>
  </si>
  <si>
    <t>TURTONATOR</t>
  </si>
  <si>
    <t>TOGEDEMARU</t>
  </si>
  <si>
    <t>MIMIKYU</t>
  </si>
  <si>
    <t>BRUXISH</t>
  </si>
  <si>
    <t>Drampa</t>
  </si>
  <si>
    <t>DRAMPA</t>
  </si>
  <si>
    <t>Dhelmise</t>
  </si>
  <si>
    <t>DHELMISE</t>
  </si>
  <si>
    <t>Jangmo-o</t>
  </si>
  <si>
    <t>JANGMO_O</t>
  </si>
  <si>
    <t>Hakamo-o</t>
  </si>
  <si>
    <t>HAKAMO_O</t>
  </si>
  <si>
    <t>KOMMO_O</t>
  </si>
  <si>
    <t>TAPU_KOKO</t>
  </si>
  <si>
    <t>TAPU_LELE</t>
  </si>
  <si>
    <t>TAPU_BULU</t>
  </si>
  <si>
    <t>TAPU_FINI</t>
  </si>
  <si>
    <t>Cosmog</t>
  </si>
  <si>
    <t>COSMOG</t>
  </si>
  <si>
    <t>Cosmoem</t>
  </si>
  <si>
    <t>COSMOEM</t>
  </si>
  <si>
    <t>Solgaleo</t>
  </si>
  <si>
    <t>SOLGALEO</t>
  </si>
  <si>
    <t>Lunala</t>
  </si>
  <si>
    <t>LUNALA</t>
  </si>
  <si>
    <t>NIHILEGO</t>
  </si>
  <si>
    <t>BUZZWOLE</t>
  </si>
  <si>
    <t>PHEROMOSA</t>
  </si>
  <si>
    <t>Xurkitree</t>
  </si>
  <si>
    <t>XURKITREE</t>
  </si>
  <si>
    <t>CELESTEELA</t>
  </si>
  <si>
    <t>KARTANA</t>
  </si>
  <si>
    <t>Guzzlord</t>
  </si>
  <si>
    <t>GUZZLORD</t>
  </si>
  <si>
    <t>NECROZMA</t>
  </si>
  <si>
    <t>NECROZMA_DUSK_MANE</t>
  </si>
  <si>
    <t>Necrozma-DW</t>
  </si>
  <si>
    <t>NECROZMA_DAWN_WINGS</t>
  </si>
  <si>
    <t>NECROZMA_ULTRA</t>
  </si>
  <si>
    <t>MAGEARNA</t>
  </si>
  <si>
    <t>MARSHADOW</t>
  </si>
  <si>
    <t>Poipole</t>
  </si>
  <si>
    <t>POIPOLE</t>
  </si>
  <si>
    <t>Naganadel</t>
  </si>
  <si>
    <t>NAGANADEL</t>
  </si>
  <si>
    <t>STAKATAKA</t>
  </si>
  <si>
    <t>BLACEPHALON</t>
  </si>
  <si>
    <t>ZERAORA</t>
  </si>
  <si>
    <t>Meltan</t>
  </si>
  <si>
    <t>MELTAN</t>
  </si>
  <si>
    <t>MELMETAL</t>
  </si>
  <si>
    <t>GALAR</t>
  </si>
  <si>
    <t>Grookey</t>
  </si>
  <si>
    <t>GROOKEY</t>
  </si>
  <si>
    <t>THWACKEY</t>
  </si>
  <si>
    <t>RILLABOOM</t>
  </si>
  <si>
    <t>Scorbunny</t>
  </si>
  <si>
    <t>SCORBUNNY</t>
  </si>
  <si>
    <t>Raboot</t>
  </si>
  <si>
    <t>RABOOT</t>
  </si>
  <si>
    <t>CINDERACE</t>
  </si>
  <si>
    <t>Sobble</t>
  </si>
  <si>
    <t>SOBBLE</t>
  </si>
  <si>
    <t>Drizzile</t>
  </si>
  <si>
    <t>DRIZZILE</t>
  </si>
  <si>
    <t>INTELEON</t>
  </si>
  <si>
    <t>Skwovet</t>
  </si>
  <si>
    <t>SKWOVET</t>
  </si>
  <si>
    <t>GREEDENT</t>
  </si>
  <si>
    <t>Rookidee</t>
  </si>
  <si>
    <t>ROOKIDEE</t>
  </si>
  <si>
    <t>Corvisquire</t>
  </si>
  <si>
    <t>CORVISQUIRE</t>
  </si>
  <si>
    <t>CORVIKNIGHT</t>
  </si>
  <si>
    <t>Blipbug</t>
  </si>
  <si>
    <t>BLIPBUG</t>
  </si>
  <si>
    <t>Dottler</t>
  </si>
  <si>
    <t>DOTTLER</t>
  </si>
  <si>
    <t>Orbeetle</t>
  </si>
  <si>
    <t>ORBEETLE</t>
  </si>
  <si>
    <t>Orbeetle-Mega</t>
  </si>
  <si>
    <t>ORBEETLE_GIGA</t>
  </si>
  <si>
    <t>Nickit</t>
  </si>
  <si>
    <t>NICKIT</t>
  </si>
  <si>
    <t>THIEVUL</t>
  </si>
  <si>
    <t>Gossifleur</t>
  </si>
  <si>
    <t>GOSSIFLEUR</t>
  </si>
  <si>
    <t>ELDEGOSS</t>
  </si>
  <si>
    <t>Wooloo</t>
  </si>
  <si>
    <t>WOOLOO</t>
  </si>
  <si>
    <t>DUBWOOL</t>
  </si>
  <si>
    <t>Chewtle</t>
  </si>
  <si>
    <t>CHEWTLE</t>
  </si>
  <si>
    <t>Drednaw</t>
  </si>
  <si>
    <t>DREDNAW</t>
  </si>
  <si>
    <t>DREDNAW_GIGA</t>
  </si>
  <si>
    <t>Yamper</t>
  </si>
  <si>
    <t>YAMPER</t>
  </si>
  <si>
    <t>BOLTUND</t>
  </si>
  <si>
    <t>Rolycoly</t>
  </si>
  <si>
    <t>ROLYCOLY</t>
  </si>
  <si>
    <t>Carkol</t>
  </si>
  <si>
    <t>CARKOL</t>
  </si>
  <si>
    <t>COALOSSAL</t>
  </si>
  <si>
    <t>Coalossal-Mega</t>
  </si>
  <si>
    <t>COALOSSAL_GIGA</t>
  </si>
  <si>
    <t>Applin</t>
  </si>
  <si>
    <t>APPLIN</t>
  </si>
  <si>
    <t>Flapple</t>
  </si>
  <si>
    <t>FLAPPLE</t>
  </si>
  <si>
    <t>FLAPPLE_GIGA</t>
  </si>
  <si>
    <t>Appletun</t>
  </si>
  <si>
    <t>APPLETUN</t>
  </si>
  <si>
    <t>APPLETUN_GIGA</t>
  </si>
  <si>
    <t>Silicobra</t>
  </si>
  <si>
    <t>SILICOBRA</t>
  </si>
  <si>
    <t>Sandaconda</t>
  </si>
  <si>
    <t>SANDACONDA</t>
  </si>
  <si>
    <t>SANDACONDA_GIGA</t>
  </si>
  <si>
    <t>CRAMORANT</t>
  </si>
  <si>
    <t>CRAMORANT_GORGING</t>
  </si>
  <si>
    <t>Cramorant-Gulp</t>
  </si>
  <si>
    <t>CRAMORANT_GULPING</t>
  </si>
  <si>
    <t>Arrokuda</t>
  </si>
  <si>
    <t>ARROKUDA</t>
  </si>
  <si>
    <t>BARRASKEWDA</t>
  </si>
  <si>
    <t>Toxel</t>
  </si>
  <si>
    <t>TOXEL</t>
  </si>
  <si>
    <t>TOXTRICITY</t>
  </si>
  <si>
    <t>TOXTRICITY_GIGA</t>
  </si>
  <si>
    <t>Sizzlipede</t>
  </si>
  <si>
    <t>SIZZLIPEDE</t>
  </si>
  <si>
    <t>Centiskorch</t>
  </si>
  <si>
    <t>CENTISKORCH</t>
  </si>
  <si>
    <t>CENTISKORCH_GIGA</t>
  </si>
  <si>
    <t>Clobbopus</t>
  </si>
  <si>
    <t>CLOBBOPUS</t>
  </si>
  <si>
    <t>GRAPPLOCT</t>
  </si>
  <si>
    <t>Sinistea</t>
  </si>
  <si>
    <t>SINISTEA</t>
  </si>
  <si>
    <t>POLTEAGEIST</t>
  </si>
  <si>
    <t>Hatenna</t>
  </si>
  <si>
    <t>HATENNA</t>
  </si>
  <si>
    <t>Hattrem</t>
  </si>
  <si>
    <t>HATTREM</t>
  </si>
  <si>
    <t>HATTERENE</t>
  </si>
  <si>
    <t>Impidimp</t>
  </si>
  <si>
    <t>IMPIDIMP</t>
  </si>
  <si>
    <t>Morgrem</t>
  </si>
  <si>
    <t>MORGREM</t>
  </si>
  <si>
    <t>GRIMMSNARL</t>
  </si>
  <si>
    <t>OBSTAGOON</t>
  </si>
  <si>
    <t>PERRSERKER</t>
  </si>
  <si>
    <t>CURSOLA</t>
  </si>
  <si>
    <t>Sirfetch'd</t>
  </si>
  <si>
    <t>SIRFETCHD</t>
  </si>
  <si>
    <t>MR_RIME</t>
  </si>
  <si>
    <t>RUNERIGUS</t>
  </si>
  <si>
    <t>Milcery</t>
  </si>
  <si>
    <t>MILCERY</t>
  </si>
  <si>
    <t>Alcremie</t>
  </si>
  <si>
    <t>ALCREMIE_STRAWBERRY</t>
  </si>
  <si>
    <t>ALCREMIE_GIGA</t>
  </si>
  <si>
    <t>Falinks</t>
  </si>
  <si>
    <t>FALINKS</t>
  </si>
  <si>
    <t>PINCURCHIN</t>
  </si>
  <si>
    <t>Snom</t>
  </si>
  <si>
    <t>SNOM</t>
  </si>
  <si>
    <t>FROSMOTH</t>
  </si>
  <si>
    <t>STONJOURNER</t>
  </si>
  <si>
    <t>EISCUE</t>
  </si>
  <si>
    <t>Eiscue-Noice</t>
  </si>
  <si>
    <t>EISCUE_NOICE</t>
  </si>
  <si>
    <t>INDEEDEE</t>
  </si>
  <si>
    <t>INDEEDEE_FEMALE</t>
  </si>
  <si>
    <t>MORPEKO</t>
  </si>
  <si>
    <t>Cufant</t>
  </si>
  <si>
    <t>CUFANT</t>
  </si>
  <si>
    <t>COPPERAJAH</t>
  </si>
  <si>
    <t>COPPERAJAH_GIGA</t>
  </si>
  <si>
    <t>DRACOZOLT</t>
  </si>
  <si>
    <t>ARCTOZOLT</t>
  </si>
  <si>
    <t>DRACOVISH</t>
  </si>
  <si>
    <t>ARCTOVISH</t>
  </si>
  <si>
    <t>Duraludon</t>
  </si>
  <si>
    <t>DURALUDON</t>
  </si>
  <si>
    <t>Dreepy</t>
  </si>
  <si>
    <t>DREEPY</t>
  </si>
  <si>
    <t>Drakloak</t>
  </si>
  <si>
    <t>DRAKLOAK</t>
  </si>
  <si>
    <t>DRAGAPULT</t>
  </si>
  <si>
    <t>Zacian</t>
  </si>
  <si>
    <t>ZACIAN</t>
  </si>
  <si>
    <t>ZACIAN_CROWNED</t>
  </si>
  <si>
    <t>Zamazenta</t>
  </si>
  <si>
    <t>ZAMAZENTA</t>
  </si>
  <si>
    <t>ZAMAZENTA_CROWNED</t>
  </si>
  <si>
    <t>ETERNATUS</t>
  </si>
  <si>
    <t>ETERNATUS_ETERNAMAX</t>
  </si>
  <si>
    <t>Kubfu</t>
  </si>
  <si>
    <t>KUBFU</t>
  </si>
  <si>
    <t>URSHIFU_SINGLE</t>
  </si>
  <si>
    <t>URSHIFU_RAPID</t>
  </si>
  <si>
    <t>ZARUDE</t>
  </si>
  <si>
    <t>REGIELEKI</t>
  </si>
  <si>
    <t>Regidrago</t>
  </si>
  <si>
    <t>REGIDRAGO</t>
  </si>
  <si>
    <t>GLASTRIER</t>
  </si>
  <si>
    <t>SPECTRIER</t>
  </si>
  <si>
    <t>Calyrex</t>
  </si>
  <si>
    <t>CALYREX</t>
  </si>
  <si>
    <t>CALYREX_ICE</t>
  </si>
  <si>
    <t>CALYREX_SHADOW</t>
  </si>
  <si>
    <t>Wyrdeer</t>
  </si>
  <si>
    <t>WYRDEER</t>
  </si>
  <si>
    <t>KLEAVOR</t>
  </si>
  <si>
    <t>URSALUNA</t>
  </si>
  <si>
    <t>URSALUNA_BM</t>
  </si>
  <si>
    <t>BASCULEGION</t>
  </si>
  <si>
    <t>BASCULEGION_F</t>
  </si>
  <si>
    <t>SNEASLER</t>
  </si>
  <si>
    <t>OVERQWIL</t>
  </si>
  <si>
    <t>ENAMORUS</t>
  </si>
  <si>
    <t>ENAMORUS_THERIAN</t>
  </si>
  <si>
    <t>PALDEA</t>
  </si>
  <si>
    <t>Sprigatito</t>
  </si>
  <si>
    <t>SPRIGATITO</t>
  </si>
  <si>
    <t>Floragato</t>
  </si>
  <si>
    <t>FLORAGATO</t>
  </si>
  <si>
    <t>MEOWSCARADA</t>
  </si>
  <si>
    <t>Fuecoco</t>
  </si>
  <si>
    <t>FUECOCO</t>
  </si>
  <si>
    <t>Crocalor</t>
  </si>
  <si>
    <t>CROCALOR</t>
  </si>
  <si>
    <t>Skeledirge</t>
  </si>
  <si>
    <t>SKELEDIRGE</t>
  </si>
  <si>
    <t>Quaxly</t>
  </si>
  <si>
    <t>QUAXLY</t>
  </si>
  <si>
    <t>Quaxwell</t>
  </si>
  <si>
    <t>QUAXWELL</t>
  </si>
  <si>
    <t>Quaquaval</t>
  </si>
  <si>
    <t>QUAQUAVAL</t>
  </si>
  <si>
    <t>Lechonk</t>
  </si>
  <si>
    <t>LECHONK</t>
  </si>
  <si>
    <t>OINKOLOGNE</t>
  </si>
  <si>
    <t>Oinkologne-F</t>
  </si>
  <si>
    <t>OINKOLOGNE_F</t>
  </si>
  <si>
    <t>Tarountula</t>
  </si>
  <si>
    <t>TAROUNTULA</t>
  </si>
  <si>
    <t>SPIDOPS</t>
  </si>
  <si>
    <t>Nymble</t>
  </si>
  <si>
    <t>NYMBLE</t>
  </si>
  <si>
    <t>LOKIX</t>
  </si>
  <si>
    <t>Pawmi</t>
  </si>
  <si>
    <t>PAWMI</t>
  </si>
  <si>
    <t>Pawmo</t>
  </si>
  <si>
    <t>PAWMO</t>
  </si>
  <si>
    <t>PAWMOT</t>
  </si>
  <si>
    <t>Tandemaus</t>
  </si>
  <si>
    <t>TANDEMAUS</t>
  </si>
  <si>
    <t>MAUSHOLD</t>
  </si>
  <si>
    <t>Fidough</t>
  </si>
  <si>
    <t>FIDOUGH</t>
  </si>
  <si>
    <t>Dachsbun</t>
  </si>
  <si>
    <t>DACHSBUN</t>
  </si>
  <si>
    <t>Smoliv</t>
  </si>
  <si>
    <t>SMOLIV</t>
  </si>
  <si>
    <t>Dolliv</t>
  </si>
  <si>
    <t>DOLLIV</t>
  </si>
  <si>
    <t>Arboliva</t>
  </si>
  <si>
    <t>ARBOLIVA</t>
  </si>
  <si>
    <t>SQUAWKABILLY</t>
  </si>
  <si>
    <t>Squawkabilly-W</t>
  </si>
  <si>
    <t>SQUAWKABILLY_2</t>
  </si>
  <si>
    <t>Nacli</t>
  </si>
  <si>
    <t>NACLI</t>
  </si>
  <si>
    <t>Naclstack</t>
  </si>
  <si>
    <t>NACLSTACK</t>
  </si>
  <si>
    <t>GARGANACL</t>
  </si>
  <si>
    <t>CHARCADET</t>
  </si>
  <si>
    <t>ARMAROUGE</t>
  </si>
  <si>
    <t>CERULEDGE</t>
  </si>
  <si>
    <t>Tadbulb</t>
  </si>
  <si>
    <t>TADBULB</t>
  </si>
  <si>
    <t>Bellibolt</t>
  </si>
  <si>
    <t>BELLIBOLT</t>
  </si>
  <si>
    <t>WATTREL</t>
  </si>
  <si>
    <t>KILOWATTREL</t>
  </si>
  <si>
    <t>Maschiff</t>
  </si>
  <si>
    <t>MASCHIFF</t>
  </si>
  <si>
    <t>MABOSSTIFF</t>
  </si>
  <si>
    <t>Shroodle</t>
  </si>
  <si>
    <t>SHROODLE</t>
  </si>
  <si>
    <t>Grafaiai</t>
  </si>
  <si>
    <t>GRAFAIAI</t>
  </si>
  <si>
    <t>Bramblin</t>
  </si>
  <si>
    <t>BRAMBLIN</t>
  </si>
  <si>
    <t>Brambleghast</t>
  </si>
  <si>
    <t>BRAMBLEGHAST</t>
  </si>
  <si>
    <t>Toedscool</t>
  </si>
  <si>
    <t>TOEDSCOOL</t>
  </si>
  <si>
    <t>Toedscruel</t>
  </si>
  <si>
    <t>TOEDSCRUEL</t>
  </si>
  <si>
    <t>Klawf</t>
  </si>
  <si>
    <t>KLAWF</t>
  </si>
  <si>
    <t>Capsakid</t>
  </si>
  <si>
    <t>CAPSAKID</t>
  </si>
  <si>
    <t>Scovillain</t>
  </si>
  <si>
    <t>SCOVILLAIN</t>
  </si>
  <si>
    <t>Rellor</t>
  </si>
  <si>
    <t>RELLOR</t>
  </si>
  <si>
    <t>RABSCA</t>
  </si>
  <si>
    <t>Flittle</t>
  </si>
  <si>
    <t>FLITTLE</t>
  </si>
  <si>
    <t>ESPATHRA</t>
  </si>
  <si>
    <t>Tinkatink</t>
  </si>
  <si>
    <t>TINKATINK</t>
  </si>
  <si>
    <t>Tinkatuff</t>
  </si>
  <si>
    <t>TINKATUFF</t>
  </si>
  <si>
    <t>TINKATON</t>
  </si>
  <si>
    <t>Wiglett</t>
  </si>
  <si>
    <t>WIGLETT</t>
  </si>
  <si>
    <t>WUGTRIO</t>
  </si>
  <si>
    <t>Bombirdier</t>
  </si>
  <si>
    <t>BOMBIRDIER</t>
  </si>
  <si>
    <t>Finizen</t>
  </si>
  <si>
    <t>FINIZEN</t>
  </si>
  <si>
    <t>Palafin</t>
  </si>
  <si>
    <t>PALAFIN</t>
  </si>
  <si>
    <t>PALAFIN_HERO</t>
  </si>
  <si>
    <t>VAROOM</t>
  </si>
  <si>
    <t>Revavroom</t>
  </si>
  <si>
    <t>REVAVROOM</t>
  </si>
  <si>
    <t>CYCLIZAR</t>
  </si>
  <si>
    <t>ORTHWORM</t>
  </si>
  <si>
    <t>GLIMMET</t>
  </si>
  <si>
    <t>GLIMMORA</t>
  </si>
  <si>
    <t>Greavard</t>
  </si>
  <si>
    <t>GREAVARD</t>
  </si>
  <si>
    <t>Houndstone</t>
  </si>
  <si>
    <t>HOUNDSTONE</t>
  </si>
  <si>
    <t>Flamigo</t>
  </si>
  <si>
    <t>FLAMIGO</t>
  </si>
  <si>
    <t>Cetoddle</t>
  </si>
  <si>
    <t>CETODDLE</t>
  </si>
  <si>
    <t>CETITAN</t>
  </si>
  <si>
    <t>VELUZA</t>
  </si>
  <si>
    <t>DONDOZO</t>
  </si>
  <si>
    <t>TATSUGIRI</t>
  </si>
  <si>
    <t>ANNIHILAPE</t>
  </si>
  <si>
    <t>CLODSIRE</t>
  </si>
  <si>
    <t>FARIGIRAF</t>
  </si>
  <si>
    <t>DUDUNSPARCE</t>
  </si>
  <si>
    <t>KINGAMBIT</t>
  </si>
  <si>
    <t>GREATTUSK</t>
  </si>
  <si>
    <t>SCREAMTAIL</t>
  </si>
  <si>
    <t>Brute Bonnet</t>
  </si>
  <si>
    <t>BRUTEBONNET</t>
  </si>
  <si>
    <t>FLUTTERMANE</t>
  </si>
  <si>
    <t>Slither Wing</t>
  </si>
  <si>
    <t>SLITHERWING</t>
  </si>
  <si>
    <t>SANDYSHOCKS</t>
  </si>
  <si>
    <t>IRONTREADS</t>
  </si>
  <si>
    <t>IRONBUNDLE</t>
  </si>
  <si>
    <t>IRONHANDS</t>
  </si>
  <si>
    <t>Iron Jugulis</t>
  </si>
  <si>
    <t>IRONJUGULIS</t>
  </si>
  <si>
    <t>IRONMOTH</t>
  </si>
  <si>
    <t>IRONTHORNS</t>
  </si>
  <si>
    <t>Frigibax</t>
  </si>
  <si>
    <t>FRIGIBAX</t>
  </si>
  <si>
    <t>Arctibax</t>
  </si>
  <si>
    <t>ARCTIBAX</t>
  </si>
  <si>
    <t>BAXCALIBUR</t>
  </si>
  <si>
    <t>Gimmighoul</t>
  </si>
  <si>
    <t>GIMMIGHOUL_CHEST</t>
  </si>
  <si>
    <t>GHOLDENGO</t>
  </si>
  <si>
    <t>Wo-Chien</t>
  </si>
  <si>
    <t>WO_CHIEN</t>
  </si>
  <si>
    <t>CHIEN_PAO</t>
  </si>
  <si>
    <t>Ting-Lu</t>
  </si>
  <si>
    <t>TING_LU</t>
  </si>
  <si>
    <t>CHI_YU</t>
  </si>
  <si>
    <t>ROARINGMOON</t>
  </si>
  <si>
    <t>IRONVALIANT</t>
  </si>
  <si>
    <t>KORAIDON</t>
  </si>
  <si>
    <t>MIRAIDON</t>
  </si>
  <si>
    <t>WALKINGWAKE</t>
  </si>
  <si>
    <t>IRONLEAVES</t>
  </si>
  <si>
    <t>Dipplin</t>
  </si>
  <si>
    <t>DIPPLIN</t>
  </si>
  <si>
    <t>Poltchageist</t>
  </si>
  <si>
    <t>POLTCHAGEIST</t>
  </si>
  <si>
    <t>Sinistcha</t>
  </si>
  <si>
    <t>SINISTCHA</t>
  </si>
  <si>
    <t>OKIDOGI</t>
  </si>
  <si>
    <t>MUNKIDORI</t>
  </si>
  <si>
    <t>FEZANDIPITI</t>
  </si>
  <si>
    <t>Ogerpon</t>
  </si>
  <si>
    <t>OGERPON</t>
  </si>
  <si>
    <t>OGERPON_W</t>
  </si>
  <si>
    <t>OGERPON_F</t>
  </si>
  <si>
    <t>OGERPON_R</t>
  </si>
  <si>
    <t>ARCHALUDON</t>
  </si>
  <si>
    <t>HYDRAPPLE</t>
  </si>
  <si>
    <t>GOUGINGFIRE</t>
  </si>
  <si>
    <t>RAGINGBOLT</t>
  </si>
  <si>
    <t>IRONBOULDER</t>
  </si>
  <si>
    <t>IRONCROWN</t>
  </si>
  <si>
    <t>Terapagos</t>
  </si>
  <si>
    <t>TERAPAGOS</t>
  </si>
  <si>
    <t>Pecharunt</t>
  </si>
  <si>
    <t>PECHARUNT</t>
  </si>
  <si>
    <t>SEVII / CUSTOM</t>
  </si>
  <si>
    <t>Doduo-S</t>
  </si>
  <si>
    <t>DODUO_S</t>
  </si>
  <si>
    <t>DODRIO_S</t>
  </si>
  <si>
    <t>Teddiursa-S</t>
  </si>
  <si>
    <t>TEDDIURSA_S</t>
  </si>
  <si>
    <t>URSARING_S</t>
  </si>
  <si>
    <t>Mantyke-S</t>
  </si>
  <si>
    <t>MANTYKE_S</t>
  </si>
  <si>
    <t>MANTINE_S</t>
  </si>
  <si>
    <t>Feebas-S</t>
  </si>
  <si>
    <t>FEEBAS_S</t>
  </si>
  <si>
    <t>MILOTIC_S</t>
  </si>
  <si>
    <t>Carnivine-S</t>
  </si>
  <si>
    <t>CARNIVINE_S</t>
  </si>
  <si>
    <t>Blitzle-S</t>
  </si>
  <si>
    <t>BLITZLE_S</t>
  </si>
  <si>
    <t>ZEBSTRIKA_S</t>
  </si>
  <si>
    <t>Clauncher-S</t>
  </si>
  <si>
    <t>CLAUNCHER_S</t>
  </si>
  <si>
    <t>CLAWITZER_S</t>
  </si>
  <si>
    <t>Noibat-S</t>
  </si>
  <si>
    <t>NOIBAT_S</t>
  </si>
  <si>
    <t>Noivern-S</t>
  </si>
  <si>
    <t>NOIVERN_S</t>
  </si>
  <si>
    <t>Wishiwashi-S</t>
  </si>
  <si>
    <t>WISHIWASHI_SEVI</t>
  </si>
  <si>
    <t>WISHIWASHI_SEVI_S</t>
  </si>
  <si>
    <t>Dhelmise-S</t>
  </si>
  <si>
    <t>DHELMISE_S</t>
  </si>
  <si>
    <t>Sizzlipede-S</t>
  </si>
  <si>
    <t>SIZZLIPEDE_S</t>
  </si>
  <si>
    <t>Centiskorch-S</t>
  </si>
  <si>
    <t>CENTISKORCH_S</t>
  </si>
  <si>
    <t>CENTISKORCH_S_MEGA</t>
  </si>
  <si>
    <t>Nymble-S</t>
  </si>
  <si>
    <t>NYMBLE_S</t>
  </si>
  <si>
    <t>Lokix-S</t>
  </si>
  <si>
    <t>LOKIX_S</t>
  </si>
  <si>
    <t>Chillet</t>
  </si>
  <si>
    <t>CHILLET</t>
  </si>
</sst>
</file>

<file path=xl/styles.xml><?xml version="1.0" encoding="utf-8"?>
<styleSheet xmlns="http://schemas.openxmlformats.org/spreadsheetml/2006/main" xmlns:x14ac="http://schemas.microsoft.com/office/spreadsheetml/2009/9/ac" xmlns:mc="http://schemas.openxmlformats.org/markup-compatibility/2006">
  <fonts count="230">
    <font>
      <sz val="10.0"/>
      <color rgb="FF000000"/>
      <name val="Arial"/>
      <scheme val="minor"/>
    </font>
    <font>
      <color theme="1"/>
      <name val="Lexend"/>
    </font>
    <font>
      <color theme="1"/>
      <name val="Arial"/>
    </font>
    <font>
      <b/>
      <i/>
      <sz val="16.0"/>
      <color rgb="FFFF00FF"/>
      <name val="Lexend"/>
    </font>
    <font>
      <b/>
      <sz val="16.0"/>
      <color rgb="FF3E3A3A"/>
      <name val="Lexend"/>
    </font>
    <font/>
    <font>
      <b/>
      <u/>
      <sz val="16.0"/>
      <color rgb="FF0000FF"/>
      <name val="Lexend"/>
    </font>
    <font>
      <b/>
      <u/>
      <sz val="16.0"/>
      <color rgb="FF3E3A3A"/>
      <name val="Lexend"/>
    </font>
    <font>
      <b/>
      <i/>
      <sz val="14.0"/>
      <color rgb="FF0000FF"/>
      <name val="Lexend"/>
    </font>
    <font>
      <b/>
      <u/>
      <sz val="15.0"/>
      <color rgb="FFC83850"/>
      <name val="Lexend"/>
    </font>
    <font>
      <b/>
      <sz val="15.0"/>
      <color rgb="FFC83850"/>
      <name val="Lexend"/>
    </font>
    <font>
      <color rgb="FF3E3A3A"/>
      <name val="Lexend"/>
    </font>
    <font>
      <b/>
      <sz val="11.0"/>
      <color theme="1"/>
      <name val="Lexend"/>
    </font>
    <font>
      <sz val="11.0"/>
      <color rgb="FF000000"/>
      <name val="Lexend"/>
    </font>
    <font>
      <sz val="11.0"/>
      <color theme="1"/>
      <name val="Lexend"/>
    </font>
    <font>
      <b/>
      <u/>
      <sz val="15.0"/>
      <color rgb="FFFFB500"/>
      <name val="Lexend"/>
    </font>
    <font>
      <b/>
      <u/>
      <sz val="15.0"/>
      <color rgb="FFF68339"/>
      <name val="Lexend"/>
    </font>
    <font>
      <sz val="11.0"/>
      <color rgb="FF3E3A3A"/>
      <name val="Lexend"/>
    </font>
    <font>
      <b/>
      <u/>
      <sz val="15.0"/>
      <color rgb="FFFF0000"/>
      <name val="Lexend"/>
    </font>
    <font>
      <b/>
      <u/>
      <sz val="15.0"/>
      <color rgb="FFE05C88"/>
      <name val="Lexend"/>
    </font>
    <font>
      <b/>
      <u/>
      <sz val="15.0"/>
      <color rgb="FF0FA553"/>
      <name val="Lexend"/>
    </font>
    <font>
      <b/>
      <u/>
      <sz val="13.0"/>
      <color rgb="FFE05C88"/>
      <name val="Lexend"/>
    </font>
    <font>
      <b/>
      <sz val="11.0"/>
      <color rgb="FF3E3A3A"/>
      <name val="Lexend"/>
    </font>
    <font>
      <b/>
      <u/>
      <sz val="13.0"/>
      <color rgb="FFE05C88"/>
      <name val="Lexend"/>
    </font>
    <font>
      <b/>
      <u/>
      <sz val="13.0"/>
      <color rgb="FF0FA553"/>
      <name val="Lexend"/>
    </font>
    <font>
      <b/>
      <u/>
      <sz val="13.0"/>
      <color rgb="FF0FA553"/>
      <name val="Lexend"/>
    </font>
    <font>
      <b/>
      <u/>
      <sz val="15.0"/>
      <color rgb="FF326EDC"/>
      <name val="Lexend"/>
    </font>
    <font>
      <b/>
      <u/>
      <sz val="15.0"/>
      <color rgb="FF7C58E5"/>
      <name val="Lexend"/>
    </font>
    <font>
      <b/>
      <u/>
      <sz val="13.0"/>
      <color rgb="FF326EDC"/>
      <name val="Lexend"/>
    </font>
    <font>
      <b/>
      <u/>
      <sz val="13.0"/>
      <color rgb="FF326EDC"/>
      <name val="Lexend"/>
    </font>
    <font>
      <b/>
      <sz val="12.0"/>
      <color rgb="FF7C58E5"/>
      <name val="Lexend"/>
    </font>
    <font>
      <color rgb="FFFFFFFF"/>
      <name val="IBM Plex Sans Condensed"/>
    </font>
    <font>
      <b/>
      <sz val="14.0"/>
      <color rgb="FFFFFFFF"/>
      <name val="IBM Plex Sans Condensed"/>
    </font>
    <font>
      <b/>
      <sz val="14.0"/>
      <color rgb="FF000000"/>
      <name val="IBM Plex Sans Condensed"/>
    </font>
    <font>
      <b/>
      <u/>
      <sz val="12.0"/>
      <color rgb="FFC83850"/>
      <name val="IBM Plex Sans Condensed"/>
    </font>
    <font>
      <b/>
      <u/>
      <sz val="15.0"/>
      <color rgb="FFFFFFFF"/>
      <name val="IBM Plex Sans Condensed"/>
    </font>
    <font>
      <b/>
      <sz val="20.0"/>
      <color rgb="FF000000"/>
      <name val="IBM Plex Sans Condensed"/>
    </font>
    <font>
      <b/>
      <sz val="16.0"/>
      <color rgb="FF000000"/>
      <name val="IBM Plex Sans Condensed"/>
    </font>
    <font>
      <b/>
      <i/>
      <sz val="12.0"/>
      <color rgb="FFFFFFFF"/>
      <name val="IBM Plex Sans Condensed"/>
    </font>
    <font>
      <sz val="20.0"/>
      <color rgb="FFFFFFFF"/>
      <name val="IBM Plex Sans Condensed"/>
    </font>
    <font>
      <b/>
      <u/>
      <sz val="15.0"/>
      <color rgb="FFFFFFFF"/>
      <name val="IBM Plex Sans Condensed"/>
    </font>
    <font>
      <b/>
      <u/>
      <sz val="15.0"/>
      <color rgb="FFFFFFFF"/>
      <name val="IBM Plex Sans Condensed"/>
    </font>
    <font>
      <sz val="20.0"/>
      <color theme="1"/>
      <name val="Arial"/>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sz val="19.0"/>
      <color rgb="FF000000"/>
      <name val="IBM Plex Sans Condensed"/>
    </font>
    <font>
      <b/>
      <u/>
      <sz val="15.0"/>
      <color rgb="FFFFFFFF"/>
      <name val="IBM Plex Sans Condensed"/>
    </font>
    <font>
      <b/>
      <u/>
      <sz val="15.0"/>
      <color rgb="FFFFFFFF"/>
      <name val="IBM Plex Sans Condensed"/>
    </font>
    <font>
      <color rgb="FFFFFFFF"/>
      <name val="Arial"/>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2.0"/>
      <color rgb="FFC83850"/>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color rgb="FF434343"/>
      <name val="Lexend"/>
    </font>
    <font>
      <sz val="12.0"/>
      <color theme="1"/>
      <name val="Lexend"/>
    </font>
    <font>
      <sz val="9.0"/>
      <color rgb="FF434343"/>
      <name val="Lexend"/>
    </font>
    <font>
      <sz val="13.0"/>
      <color theme="1"/>
      <name val="IBM Plex Sans Condensed"/>
    </font>
    <font>
      <b/>
      <u/>
      <sz val="13.0"/>
      <color rgb="FFEA4335"/>
      <name val="IBM Plex Sans Condensed"/>
    </font>
    <font>
      <b/>
      <color rgb="FF434343"/>
      <name val="Lexend"/>
    </font>
    <font>
      <b/>
      <color rgb="FF000000"/>
      <name val="Lexend"/>
    </font>
    <font>
      <b/>
      <sz val="10.0"/>
      <color rgb="FF3E3A3A"/>
      <name val="Barlow Semi Condensed"/>
    </font>
    <font>
      <sz val="11.0"/>
      <color rgb="FF434343"/>
      <name val="Lexend"/>
    </font>
    <font>
      <b/>
      <sz val="13.0"/>
      <color rgb="FF000000"/>
      <name val="IBM Plex Sans Condensed"/>
    </font>
    <font>
      <b/>
      <sz val="12.0"/>
      <color rgb="FF000000"/>
      <name val="IBM Plex Sans Condensed"/>
    </font>
    <font>
      <sz val="13.0"/>
      <color rgb="FF000000"/>
      <name val="IBM Plex Sans Condensed"/>
    </font>
    <font>
      <sz val="10.0"/>
      <color rgb="FF434343"/>
      <name val="Lexend"/>
    </font>
    <font>
      <b/>
      <sz val="11.0"/>
      <color rgb="FF000000"/>
      <name val="IBM Plex Sans Condensed"/>
    </font>
    <font>
      <sz val="11.0"/>
      <color rgb="FF000000"/>
      <name val="IBM Plex Sans Condensed"/>
    </font>
    <font>
      <color rgb="FF000000"/>
      <name val="IBM Plex Sans Condensed"/>
    </font>
    <font>
      <sz val="10.0"/>
      <color rgb="FF3E3A3A"/>
      <name val="Barlow Semi Condensed"/>
    </font>
    <font>
      <b/>
      <sz val="10.0"/>
      <color theme="1"/>
      <name val="Lexend"/>
    </font>
    <font>
      <b/>
      <sz val="10.0"/>
      <color rgb="FF434343"/>
      <name val="Lexend"/>
    </font>
    <font>
      <sz val="12.0"/>
      <color rgb="FF434343"/>
      <name val="Lexend"/>
    </font>
    <font>
      <sz val="10.0"/>
      <color rgb="FFFCF3EB"/>
      <name val="Lexend"/>
    </font>
    <font>
      <b/>
      <sz val="10.0"/>
      <color rgb="FFFCF3EB"/>
      <name val="Lexend"/>
    </font>
    <font>
      <b/>
      <sz val="11.0"/>
      <color rgb="FFF3F3F3"/>
      <name val="IBM Plex Sans Condensed"/>
    </font>
    <font>
      <b/>
      <sz val="10.0"/>
      <color rgb="FFF3F3F3"/>
      <name val="IBM Plex Sans Condensed"/>
    </font>
    <font>
      <b/>
      <sz val="14.0"/>
      <color theme="1"/>
      <name val="Lexend"/>
    </font>
    <font>
      <b/>
      <sz val="14.0"/>
      <color rgb="FF434343"/>
      <name val="Lexend"/>
    </font>
    <font>
      <b/>
      <u/>
      <sz val="13.0"/>
      <color rgb="FFEA4335"/>
      <name val="IBM Plex Sans Condensed"/>
    </font>
    <font>
      <b/>
      <sz val="13.0"/>
      <color theme="1"/>
      <name val="IBM Plex Sans Condensed"/>
    </font>
    <font>
      <b/>
      <u/>
      <sz val="13.0"/>
      <color rgb="FFEA4335"/>
      <name val="IBM Plex Sans Condensed"/>
    </font>
    <font>
      <b/>
      <color rgb="FF434343"/>
      <name val="IBM Plex Sans Condensed"/>
    </font>
    <font>
      <sz val="10.0"/>
      <color rgb="FF000000"/>
      <name val="IBM Plex Sans Condensed"/>
    </font>
    <font>
      <b/>
      <sz val="9.0"/>
      <color rgb="FF434343"/>
      <name val="Lexend"/>
    </font>
    <font>
      <b/>
      <sz val="11.0"/>
      <color rgb="FF434343"/>
      <name val="Lexend"/>
    </font>
    <font>
      <b/>
      <u/>
      <sz val="13.0"/>
      <color rgb="FFEA4335"/>
      <name val="IBM Plex Sans Condensed"/>
    </font>
    <font>
      <b/>
      <sz val="10.0"/>
      <color rgb="FF000000"/>
      <name val="IBM Plex Sans Condensed"/>
    </font>
    <font>
      <b/>
      <u/>
      <sz val="13.0"/>
      <color rgb="FFEA4335"/>
      <name val="IBM Plex Sans Condensed"/>
    </font>
    <font>
      <b/>
      <color rgb="FF000000"/>
      <name val="IBM Plex Sans Condensed"/>
    </font>
    <font>
      <b/>
      <sz val="12.0"/>
      <color theme="1"/>
      <name val="IBM Plex Sans Condensed"/>
    </font>
    <font>
      <b/>
      <sz val="11.0"/>
      <color theme="1"/>
      <name val="IBM Plex Sans Condensed"/>
    </font>
    <font>
      <sz val="11.0"/>
      <color theme="1"/>
      <name val="IBM Plex Sans Condensed"/>
    </font>
    <font>
      <b/>
      <sz val="10.0"/>
      <color rgb="FF000000"/>
      <name val="Lexend"/>
    </font>
    <font>
      <b/>
      <sz val="11.0"/>
      <color rgb="FF000000"/>
      <name val="Lexend"/>
    </font>
    <font>
      <sz val="12.0"/>
      <color rgb="FF000000"/>
      <name val="Lexend"/>
    </font>
    <font>
      <b/>
      <u/>
      <sz val="13.0"/>
      <color theme="1"/>
      <name val="IBM Plex Sans Condensed"/>
    </font>
    <font>
      <b/>
      <u/>
      <sz val="13.0"/>
      <color rgb="FFEA4335"/>
      <name val="IBM Plex Sans Condensed"/>
    </font>
    <font>
      <b/>
      <sz val="11.0"/>
      <color rgb="FFFFFFFF"/>
      <name val="IBM Plex Sans Condensed"/>
    </font>
    <font>
      <b/>
      <sz val="10.0"/>
      <color rgb="FFFFFFFF"/>
      <name val="IBM Plex Sans Condensed"/>
    </font>
    <font>
      <b/>
      <sz val="10.0"/>
      <color rgb="FFFCF3EB"/>
      <name val="IBM Plex Sans Condensed"/>
    </font>
    <font>
      <b/>
      <u/>
      <sz val="13.0"/>
      <color theme="1"/>
      <name val="IBM Plex Sans Condensed"/>
    </font>
    <font>
      <b/>
      <color theme="1"/>
      <name val="Lexend"/>
    </font>
    <font>
      <b/>
      <sz val="11.0"/>
      <color rgb="FF434343"/>
      <name val="IBM Plex Sans Condensed"/>
    </font>
    <font>
      <sz val="9.0"/>
      <color theme="1"/>
      <name val="Lexend"/>
    </font>
    <font>
      <sz val="10.0"/>
      <color theme="1"/>
      <name val="Lexend"/>
    </font>
    <font>
      <b/>
      <sz val="10.0"/>
      <color theme="1"/>
      <name val="IBM Plex Sans Condensed"/>
    </font>
    <font>
      <sz val="11.0"/>
      <color rgb="FF434343"/>
      <name val="IBM Plex Sans Condensed"/>
    </font>
    <font>
      <b/>
      <sz val="13.0"/>
      <color rgb="FFFFFFFF"/>
      <name val="IBM Plex Sans Condensed"/>
    </font>
    <font>
      <b/>
      <sz val="14.0"/>
      <color rgb="FF000000"/>
      <name val="Lexend"/>
    </font>
    <font>
      <b/>
      <sz val="9.0"/>
      <color theme="1"/>
      <name val="Lexend"/>
    </font>
    <font>
      <b/>
      <sz val="10.0"/>
      <color rgb="FFFFFFFF"/>
      <name val="Lexend"/>
    </font>
    <font>
      <b/>
      <u/>
      <sz val="13.0"/>
      <color rgb="FFEA4335"/>
      <name val="IBM Plex Sans Condensed"/>
    </font>
    <font>
      <color rgb="FF434343"/>
      <name val="IBM Plex Sans Condensed"/>
    </font>
    <font>
      <color theme="1"/>
      <name val="IBM Plex Sans Condensed"/>
    </font>
    <font>
      <sz val="9.0"/>
      <color rgb="FF434343"/>
      <name val="IBM Plex Sans Condensed"/>
    </font>
    <font>
      <b/>
      <color theme="1"/>
      <name val="IBM Plex Sans Condensed"/>
    </font>
    <font>
      <b/>
      <sz val="10.0"/>
      <color rgb="FF3E3A3A"/>
      <name val="IBM Plex Sans Condensed"/>
    </font>
    <font>
      <sz val="10.0"/>
      <color theme="1"/>
      <name val="IBM Plex Sans Condensed"/>
    </font>
    <font>
      <sz val="10.0"/>
      <color rgb="FF3E3A3A"/>
      <name val="IBM Plex Sans Condensed"/>
    </font>
    <font>
      <b/>
      <sz val="10.0"/>
      <color rgb="FF434343"/>
      <name val="IBM Plex Sans Condensed"/>
    </font>
    <font>
      <sz val="12.0"/>
      <color rgb="FF434343"/>
      <name val="IBM Plex Sans Condensed"/>
    </font>
    <font>
      <sz val="10.0"/>
      <color rgb="FFFCF3EB"/>
      <name val="IBM Plex Sans Condensed"/>
    </font>
    <font>
      <b/>
      <sz val="18.0"/>
      <color rgb="FFF3F3F3"/>
      <name val="IBM Plex Sans Condensed"/>
    </font>
    <font>
      <sz val="12.0"/>
      <color rgb="FFCCCCCC"/>
      <name val="IBM Plex Sans Condensed"/>
    </font>
    <font>
      <color rgb="FFCCCCCC"/>
      <name val="IBM Plex Sans Condensed"/>
    </font>
    <font>
      <u/>
      <sz val="13.0"/>
      <color theme="1"/>
      <name val="IBM Plex Sans Condensed"/>
    </font>
    <font>
      <b/>
      <u/>
      <sz val="13.0"/>
      <color theme="1"/>
      <name val="IBM Plex Sans Condensed"/>
    </font>
    <font>
      <b/>
      <u/>
      <sz val="13.0"/>
      <color theme="1"/>
      <name val="IBM Plex Sans Condensed"/>
    </font>
    <font>
      <b/>
      <u/>
      <sz val="13.0"/>
      <color rgb="FFEA4335"/>
      <name val="IBM Plex Sans Condensed"/>
    </font>
    <font>
      <b/>
      <u/>
      <sz val="13.0"/>
      <color rgb="FFEA4335"/>
      <name val="IBM Plex Sans Condensed"/>
    </font>
    <font>
      <sz val="12.0"/>
      <color theme="1"/>
      <name val="IBM Plex Sans Condensed"/>
    </font>
    <font>
      <b/>
      <u/>
      <sz val="13.0"/>
      <color theme="1"/>
      <name val="IBM Plex Sans Condensed"/>
    </font>
    <font>
      <sz val="11.0"/>
      <color rgb="FFFF0000"/>
      <name val="IBM Plex Sans Condensed"/>
    </font>
    <font>
      <color rgb="FFF3F3F3"/>
      <name val="IBM Plex Sans Condensed"/>
    </font>
    <font>
      <sz val="11.0"/>
      <color rgb="FFF3F3F3"/>
      <name val="IBM Plex Sans Condensed"/>
    </font>
    <font>
      <b/>
      <u/>
      <sz val="13.0"/>
      <color rgb="FF000000"/>
      <name val="IBM Plex Sans Condensed"/>
    </font>
    <font>
      <sz val="10.0"/>
      <color rgb="FFF3F3F3"/>
      <name val="IBM Plex Sans Condensed"/>
    </font>
    <font>
      <b/>
      <u/>
      <sz val="13.0"/>
      <color rgb="FF000000"/>
      <name val="IBM Plex Sans Condensed"/>
    </font>
    <font>
      <b/>
      <u/>
      <sz val="13.0"/>
      <color rgb="FF000000"/>
      <name val="IBM Plex Sans Condensed"/>
    </font>
    <font>
      <b/>
      <u/>
      <sz val="13.0"/>
      <color rgb="FFF64A42"/>
      <name val="IBM Plex Sans Condensed"/>
    </font>
    <font>
      <b/>
      <u/>
      <sz val="13.0"/>
      <color theme="1"/>
      <name val="IBM Plex Sans Condensed"/>
    </font>
    <font>
      <b/>
      <u/>
      <sz val="13.0"/>
      <color rgb="FFEA4335"/>
      <name val="IBM Plex Sans Condensed"/>
    </font>
    <font>
      <b/>
      <sz val="12.0"/>
      <color rgb="FFEA4335"/>
      <name val="IBM Plex Sans Condensed"/>
    </font>
    <font>
      <b/>
      <u/>
      <sz val="13.0"/>
      <color rgb="FF000000"/>
      <name val="IBM Plex Sans Condensed"/>
    </font>
    <font>
      <b/>
      <u/>
      <sz val="13.0"/>
      <color rgb="FFEA4335"/>
      <name val="IBM Plex Sans Condensed"/>
    </font>
    <font>
      <b/>
      <sz val="11.0"/>
      <color rgb="FFEA4335"/>
      <name val="IBM Plex Sans Condensed"/>
    </font>
    <font>
      <b/>
      <sz val="10.0"/>
      <color rgb="FFEA4335"/>
      <name val="IBM Plex Sans Condensed"/>
    </font>
    <font>
      <b/>
      <u/>
      <sz val="13.0"/>
      <color rgb="FFEA4335"/>
      <name val="IBM Plex Sans Condensed"/>
    </font>
    <font>
      <sz val="10.0"/>
      <color rgb="FFFFFFFF"/>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000000"/>
      <name val="IBM Plex Sans Condensed"/>
    </font>
    <font>
      <b/>
      <u/>
      <sz val="13.0"/>
      <color rgb="FFEA4335"/>
      <name val="IBM Plex Sans Condensed"/>
    </font>
    <font>
      <sz val="13.0"/>
      <color rgb="FFFFFFFF"/>
      <name val="IBM Plex Sans Condensed"/>
    </font>
    <font>
      <b/>
      <u/>
      <sz val="13.0"/>
      <color rgb="FFEA4335"/>
      <name val="IBM Plex Sans Condensed"/>
    </font>
    <font>
      <b/>
      <u/>
      <sz val="13.0"/>
      <color rgb="FF000000"/>
      <name val="IBM Plex Sans Condensed"/>
    </font>
    <font>
      <b/>
      <u/>
      <sz val="13.0"/>
      <color rgb="FFEA4335"/>
      <name val="IBM Plex Sans Condensed"/>
    </font>
    <font>
      <b/>
      <u/>
      <sz val="13.0"/>
      <color rgb="FF000000"/>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000000"/>
      <name val="IBM Plex Sans Condensed"/>
    </font>
    <font>
      <b/>
      <u/>
      <sz val="13.0"/>
      <color rgb="FF000000"/>
      <name val="IBM Plex Sans Condensed"/>
    </font>
    <font>
      <b/>
      <u/>
      <sz val="13.0"/>
      <color rgb="FF000000"/>
      <name val="IBM Plex Sans Condensed"/>
    </font>
    <font>
      <u/>
      <color theme="1"/>
      <name val="IBM Plex Sans Condensed"/>
    </font>
    <font>
      <b/>
      <sz val="22.0"/>
      <color rgb="FFFFFFFF"/>
      <name val="IBM Plex Sans Condensed"/>
    </font>
    <font>
      <b/>
      <u/>
      <sz val="13.0"/>
      <color rgb="FFEA4335"/>
      <name val="IBM Plex Sans Condensed"/>
    </font>
    <font>
      <b/>
      <u/>
      <sz val="13.0"/>
      <color rgb="FFEA4335"/>
      <name val="IBM Plex Sans Condensed"/>
    </font>
    <font>
      <b/>
      <u/>
      <sz val="13.0"/>
      <color rgb="FF3E3A3A"/>
      <name val="IBM Plex Sans Condensed"/>
    </font>
    <font>
      <b/>
      <u/>
      <sz val="13.0"/>
      <color rgb="FF3E3A3A"/>
      <name val="IBM Plex Sans Condensed"/>
    </font>
    <font>
      <b/>
      <u/>
      <sz val="13.0"/>
      <color rgb="FF000000"/>
      <name val="IBM Plex Sans Condensed"/>
    </font>
    <font>
      <b/>
      <u/>
      <sz val="13.0"/>
      <color rgb="FF000000"/>
      <name val="IBM Plex Sans Condensed"/>
    </font>
    <font>
      <b/>
      <u/>
      <sz val="13.0"/>
      <color rgb="FFEA4335"/>
      <name val="IBM Plex Sans Condensed"/>
    </font>
    <font>
      <b/>
      <u/>
      <sz val="13.0"/>
      <color theme="1"/>
      <name val="IBM Plex Sans Condensed"/>
    </font>
    <font>
      <b/>
      <u/>
      <sz val="13.0"/>
      <color rgb="FF000000"/>
      <name val="IBM Plex Sans Condensed"/>
    </font>
    <font>
      <color theme="1"/>
      <name val="Arial"/>
      <scheme val="minor"/>
    </font>
    <font>
      <b/>
      <sz val="9.0"/>
      <color theme="1"/>
      <name val="IBM Plex Sans Condensed"/>
    </font>
    <font>
      <b/>
      <u/>
      <sz val="13.0"/>
      <color theme="1"/>
      <name val="IBM Plex Sans Condensed"/>
    </font>
    <font>
      <b/>
      <u/>
      <sz val="13.0"/>
      <color theme="1"/>
      <name val="IBM Plex Sans Condensed"/>
    </font>
    <font>
      <b/>
      <i/>
      <u/>
      <sz val="13.0"/>
      <color rgb="FFEA4335"/>
      <name val="IBM Plex Sans Condensed"/>
    </font>
    <font>
      <b/>
      <sz val="13.0"/>
      <color rgb="FFEA4335"/>
      <name val="IBM Plex Sans Condensed"/>
    </font>
    <font>
      <b/>
      <sz val="20.0"/>
      <color theme="1"/>
      <name val="IBM Plex Sans Condensed"/>
    </font>
    <font>
      <b/>
      <sz val="15.0"/>
      <color theme="1"/>
      <name val="IBM Plex Sans Condensed"/>
    </font>
  </fonts>
  <fills count="189">
    <fill>
      <patternFill patternType="none"/>
    </fill>
    <fill>
      <patternFill patternType="lightGray"/>
    </fill>
    <fill>
      <patternFill patternType="solid">
        <fgColor rgb="FFF1C232"/>
        <bgColor rgb="FFF1C232"/>
      </patternFill>
    </fill>
    <fill>
      <patternFill patternType="solid">
        <fgColor rgb="FFF3F3F3"/>
        <bgColor rgb="FFF3F3F3"/>
      </patternFill>
    </fill>
    <fill>
      <patternFill patternType="solid">
        <fgColor rgb="FFC83850"/>
        <bgColor rgb="FFC83850"/>
      </patternFill>
    </fill>
    <fill>
      <patternFill patternType="solid">
        <fgColor rgb="FFE8E8E8"/>
        <bgColor rgb="FFE8E8E8"/>
      </patternFill>
    </fill>
    <fill>
      <patternFill patternType="solid">
        <fgColor rgb="FFFEBF00"/>
        <bgColor rgb="FFFEBF00"/>
      </patternFill>
    </fill>
    <fill>
      <patternFill patternType="solid">
        <fgColor rgb="FFF68339"/>
        <bgColor rgb="FFF68339"/>
      </patternFill>
    </fill>
    <fill>
      <patternFill patternType="solid">
        <fgColor rgb="FFFF0000"/>
        <bgColor rgb="FFFF0000"/>
      </patternFill>
    </fill>
    <fill>
      <patternFill patternType="solid">
        <fgColor rgb="FFE05C88"/>
        <bgColor rgb="FFE05C88"/>
      </patternFill>
    </fill>
    <fill>
      <patternFill patternType="solid">
        <fgColor rgb="FF0FA553"/>
        <bgColor rgb="FF0FA553"/>
      </patternFill>
    </fill>
    <fill>
      <patternFill patternType="solid">
        <fgColor rgb="FF3E3A3A"/>
        <bgColor rgb="FF3E3A3A"/>
      </patternFill>
    </fill>
    <fill>
      <patternFill patternType="solid">
        <fgColor rgb="FFEFEFEF"/>
        <bgColor rgb="FFEFEFEF"/>
      </patternFill>
    </fill>
    <fill>
      <patternFill patternType="solid">
        <fgColor rgb="FF8C949A"/>
        <bgColor rgb="FF8C949A"/>
      </patternFill>
    </fill>
    <fill>
      <patternFill patternType="solid">
        <fgColor rgb="FFEB6E6E"/>
        <bgColor rgb="FFEB6E6E"/>
      </patternFill>
    </fill>
    <fill>
      <patternFill patternType="solid">
        <fgColor rgb="FF518245"/>
        <bgColor rgb="FF518245"/>
      </patternFill>
    </fill>
    <fill>
      <patternFill patternType="solid">
        <fgColor rgb="FFD9B6B5"/>
        <bgColor rgb="FFD9B6B5"/>
      </patternFill>
    </fill>
    <fill>
      <patternFill patternType="solid">
        <fgColor rgb="FFF9516C"/>
        <bgColor rgb="FFF9516C"/>
      </patternFill>
    </fill>
    <fill>
      <patternFill patternType="solid">
        <fgColor rgb="FF90C12C"/>
        <bgColor rgb="FF90C12C"/>
      </patternFill>
    </fill>
    <fill>
      <patternFill patternType="solid">
        <fgColor rgb="FFA8E0D5"/>
        <bgColor rgb="FFA8E0D5"/>
      </patternFill>
    </fill>
    <fill>
      <patternFill patternType="solid">
        <fgColor rgb="FFAA9888"/>
        <bgColor rgb="FFAA9888"/>
      </patternFill>
    </fill>
    <fill>
      <patternFill patternType="solid">
        <fgColor rgb="FFE58F68"/>
        <bgColor rgb="FFE58F68"/>
      </patternFill>
    </fill>
    <fill>
      <patternFill patternType="solid">
        <fgColor rgb="FF6D7698"/>
        <bgColor rgb="FF6D7698"/>
      </patternFill>
    </fill>
    <fill>
      <patternFill patternType="solid">
        <fgColor rgb="FF5492A4"/>
        <bgColor rgb="FF5492A4"/>
      </patternFill>
    </fill>
    <fill>
      <patternFill patternType="solid">
        <fgColor rgb="FFF2C253"/>
        <bgColor rgb="FFF2C253"/>
      </patternFill>
    </fill>
    <fill>
      <patternFill patternType="solid">
        <fgColor rgb="FFE3BA20"/>
        <bgColor rgb="FFE3BA20"/>
      </patternFill>
    </fill>
    <fill>
      <patternFill patternType="solid">
        <fgColor rgb="FF52A494"/>
        <bgColor rgb="FF52A494"/>
      </patternFill>
    </fill>
    <fill>
      <patternFill patternType="solid">
        <fgColor rgb="FF4F4F4F"/>
        <bgColor rgb="FF4F4F4F"/>
      </patternFill>
    </fill>
    <fill>
      <patternFill patternType="solid">
        <fgColor rgb="FF3883C8"/>
        <bgColor rgb="FF3883C8"/>
      </patternFill>
    </fill>
    <fill>
      <patternFill patternType="solid">
        <fgColor rgb="FFC1ADA4"/>
        <bgColor rgb="FFC1ADA4"/>
      </patternFill>
    </fill>
    <fill>
      <patternFill patternType="solid">
        <fgColor rgb="FF4461B0"/>
        <bgColor rgb="FF4461B0"/>
      </patternFill>
    </fill>
    <fill>
      <patternFill patternType="solid">
        <fgColor rgb="FF8C8C8C"/>
        <bgColor rgb="FF8C8C8C"/>
      </patternFill>
    </fill>
    <fill>
      <patternFill patternType="solid">
        <fgColor rgb="FF7A3209"/>
        <bgColor rgb="FF7A3209"/>
      </patternFill>
    </fill>
    <fill>
      <patternFill patternType="solid">
        <fgColor rgb="FFBFE32F"/>
        <bgColor rgb="FFBFE32F"/>
      </patternFill>
    </fill>
    <fill>
      <patternFill patternType="solid">
        <fgColor rgb="FFF4DC26"/>
        <bgColor rgb="FFF4DC26"/>
      </patternFill>
    </fill>
    <fill>
      <patternFill patternType="solid">
        <fgColor rgb="FFE08C59"/>
        <bgColor rgb="FFE08C59"/>
      </patternFill>
    </fill>
    <fill>
      <patternFill patternType="solid">
        <fgColor rgb="FF6D5387"/>
        <bgColor rgb="FF6D5387"/>
      </patternFill>
    </fill>
    <fill>
      <patternFill patternType="solid">
        <fgColor rgb="FF528D55"/>
        <bgColor rgb="FF528D55"/>
      </patternFill>
    </fill>
    <fill>
      <patternFill patternType="solid">
        <fgColor rgb="FF80EA5C"/>
        <bgColor rgb="FF80EA5C"/>
      </patternFill>
    </fill>
    <fill>
      <patternFill patternType="solid">
        <fgColor rgb="FF65E1C7"/>
        <bgColor rgb="FF65E1C7"/>
      </patternFill>
    </fill>
    <fill>
      <patternFill patternType="solid">
        <fgColor rgb="FF6C5A5A"/>
        <bgColor rgb="FF6C5A5A"/>
      </patternFill>
    </fill>
    <fill>
      <patternFill patternType="solid">
        <fgColor rgb="FF506A5E"/>
        <bgColor rgb="FF506A5E"/>
      </patternFill>
    </fill>
    <fill>
      <patternFill patternType="solid">
        <fgColor rgb="FF434343"/>
        <bgColor rgb="FF434343"/>
      </patternFill>
    </fill>
    <fill>
      <patternFill patternType="solid">
        <fgColor rgb="FF60BEDE"/>
        <bgColor rgb="FF60BEDE"/>
      </patternFill>
    </fill>
    <fill>
      <patternFill patternType="solid">
        <fgColor rgb="FFAD9FCB"/>
        <bgColor rgb="FFAD9FCB"/>
      </patternFill>
    </fill>
    <fill>
      <patternFill patternType="solid">
        <fgColor rgb="FF61B6D2"/>
        <bgColor rgb="FF61B6D2"/>
      </patternFill>
    </fill>
    <fill>
      <patternFill patternType="solid">
        <fgColor rgb="FF7883CB"/>
        <bgColor rgb="FF7883CB"/>
      </patternFill>
    </fill>
    <fill>
      <patternFill patternType="solid">
        <fgColor rgb="FFD5BB57"/>
        <bgColor rgb="FFD5BB57"/>
      </patternFill>
    </fill>
    <fill>
      <patternFill patternType="solid">
        <fgColor rgb="FFA84D3D"/>
        <bgColor rgb="FFA84D3D"/>
      </patternFill>
    </fill>
    <fill>
      <patternFill patternType="solid">
        <fgColor rgb="FFD571E5"/>
        <bgColor rgb="FFD571E5"/>
      </patternFill>
    </fill>
    <fill>
      <patternFill patternType="solid">
        <fgColor rgb="FF70A8B8"/>
        <bgColor rgb="FF70A8B8"/>
      </patternFill>
    </fill>
    <fill>
      <patternFill patternType="solid">
        <fgColor rgb="FFA6B1C9"/>
        <bgColor rgb="FFA6B1C9"/>
      </patternFill>
    </fill>
    <fill>
      <patternFill patternType="solid">
        <fgColor rgb="FFC57CE6"/>
        <bgColor rgb="FFC57CE6"/>
      </patternFill>
    </fill>
    <fill>
      <patternFill patternType="solid">
        <fgColor rgb="FF009EE6"/>
        <bgColor rgb="FF009EE6"/>
      </patternFill>
    </fill>
    <fill>
      <patternFill patternType="solid">
        <fgColor rgb="FF438FDF"/>
        <bgColor rgb="FF438FDF"/>
      </patternFill>
    </fill>
    <fill>
      <patternFill patternType="solid">
        <fgColor rgb="FFA84038"/>
        <bgColor rgb="FFA84038"/>
      </patternFill>
    </fill>
    <fill>
      <patternFill patternType="solid">
        <fgColor rgb="FF954DDF"/>
        <bgColor rgb="FF954DDF"/>
      </patternFill>
    </fill>
    <fill>
      <patternFill patternType="solid">
        <fgColor rgb="FFC14444"/>
        <bgColor rgb="FFC14444"/>
      </patternFill>
    </fill>
    <fill>
      <patternFill patternType="solid">
        <fgColor rgb="FF8E6686"/>
        <bgColor rgb="FF8E6686"/>
      </patternFill>
    </fill>
    <fill>
      <patternFill patternType="solid">
        <fgColor rgb="FFE6AF5F"/>
        <bgColor rgb="FFE6AF5F"/>
      </patternFill>
    </fill>
    <fill>
      <patternFill patternType="solid">
        <fgColor rgb="FFC367D0"/>
        <bgColor rgb="FFC367D0"/>
      </patternFill>
    </fill>
    <fill>
      <patternFill patternType="solid">
        <fgColor rgb="FF7DD4FF"/>
        <bgColor rgb="FF7DD4FF"/>
      </patternFill>
    </fill>
    <fill>
      <patternFill patternType="solid">
        <fgColor rgb="FFF16949"/>
        <bgColor rgb="FFF16949"/>
      </patternFill>
    </fill>
    <fill>
      <patternFill patternType="solid">
        <fgColor rgb="FFB7B7C5"/>
        <bgColor rgb="FFB7B7C5"/>
      </patternFill>
    </fill>
    <fill>
      <patternFill patternType="solid">
        <fgColor rgb="FF798EA4"/>
        <bgColor rgb="FF798EA4"/>
      </patternFill>
    </fill>
    <fill>
      <patternFill patternType="solid">
        <fgColor rgb="FFBC54B8"/>
        <bgColor rgb="FFBC54B8"/>
      </patternFill>
    </fill>
    <fill>
      <patternFill patternType="solid">
        <fgColor rgb="FFD466BF"/>
        <bgColor rgb="FFD466BF"/>
      </patternFill>
    </fill>
    <fill>
      <patternFill patternType="solid">
        <fgColor rgb="FFBE5252"/>
        <bgColor rgb="FFBE5252"/>
      </patternFill>
    </fill>
    <fill>
      <patternFill patternType="solid">
        <fgColor rgb="FFD9578E"/>
        <bgColor rgb="FFD9578E"/>
      </patternFill>
    </fill>
    <fill>
      <patternFill patternType="solid">
        <fgColor rgb="FFFC675F"/>
        <bgColor rgb="FFFC675F"/>
      </patternFill>
    </fill>
    <fill>
      <patternFill patternType="solid">
        <fgColor rgb="FFF46EC1"/>
        <bgColor rgb="FFF46EC1"/>
      </patternFill>
    </fill>
    <fill>
      <patternFill patternType="solid">
        <fgColor rgb="FF8B7DF1"/>
        <bgColor rgb="FF8B7DF1"/>
      </patternFill>
    </fill>
    <fill>
      <patternFill patternType="solid">
        <fgColor rgb="FFE3A1B3"/>
        <bgColor rgb="FFE3A1B3"/>
      </patternFill>
    </fill>
    <fill>
      <patternFill patternType="solid">
        <fgColor rgb="FF999999"/>
        <bgColor rgb="FF999999"/>
      </patternFill>
    </fill>
    <fill>
      <patternFill patternType="solid">
        <fgColor rgb="FF3C78D8"/>
        <bgColor rgb="FF3C78D8"/>
      </patternFill>
    </fill>
    <fill>
      <patternFill patternType="solid">
        <fgColor rgb="FFFFBD96"/>
        <bgColor rgb="FFFFBD96"/>
      </patternFill>
    </fill>
    <fill>
      <patternFill patternType="solid">
        <fgColor rgb="FF6351C6"/>
        <bgColor rgb="FF6351C6"/>
      </patternFill>
    </fill>
    <fill>
      <patternFill patternType="solid">
        <fgColor rgb="FF3D82C3"/>
        <bgColor rgb="FF3D82C3"/>
      </patternFill>
    </fill>
    <fill>
      <patternFill patternType="solid">
        <fgColor rgb="FFD23A3A"/>
        <bgColor rgb="FFD23A3A"/>
      </patternFill>
    </fill>
    <fill>
      <patternFill patternType="solid">
        <fgColor rgb="FFFCF3EB"/>
        <bgColor rgb="FFFCF3EB"/>
      </patternFill>
    </fill>
    <fill>
      <patternFill patternType="solid">
        <fgColor rgb="FFEBF4FC"/>
        <bgColor rgb="FFEBF4FC"/>
      </patternFill>
    </fill>
    <fill>
      <patternFill patternType="solid">
        <fgColor rgb="FFFCFBEB"/>
        <bgColor rgb="FFFCFBEB"/>
      </patternFill>
    </fill>
    <fill>
      <patternFill patternType="solid">
        <fgColor rgb="FFB0A23C"/>
        <bgColor rgb="FFB0A23C"/>
      </patternFill>
    </fill>
    <fill>
      <patternFill patternType="solid">
        <fgColor rgb="FFEBFCEB"/>
        <bgColor rgb="FFEBFCEB"/>
      </patternFill>
    </fill>
    <fill>
      <patternFill patternType="solid">
        <fgColor rgb="FFFCEBFB"/>
        <bgColor rgb="FFFCEBFB"/>
      </patternFill>
    </fill>
    <fill>
      <patternFill patternType="solid">
        <fgColor rgb="FFBC65C9"/>
        <bgColor rgb="FFBC65C9"/>
      </patternFill>
    </fill>
    <fill>
      <patternFill patternType="solid">
        <fgColor rgb="FFF3EBFC"/>
        <bgColor rgb="FFF3EBFC"/>
      </patternFill>
    </fill>
    <fill>
      <patternFill patternType="solid">
        <fgColor rgb="FFB76EA8"/>
        <bgColor rgb="FFB76EA8"/>
      </patternFill>
    </fill>
    <fill>
      <patternFill patternType="solid">
        <fgColor rgb="FFFCEBEB"/>
        <bgColor rgb="FFFCEBEB"/>
      </patternFill>
    </fill>
    <fill>
      <patternFill patternType="solid">
        <fgColor rgb="FFEBECFC"/>
        <bgColor rgb="FFEBECFC"/>
      </patternFill>
    </fill>
    <fill>
      <patternFill patternType="solid">
        <fgColor rgb="FF615C80"/>
        <bgColor rgb="FF615C80"/>
      </patternFill>
    </fill>
    <fill>
      <patternFill patternType="solid">
        <fgColor rgb="FFDA4900"/>
        <bgColor rgb="FFDA4900"/>
      </patternFill>
    </fill>
    <fill>
      <patternFill patternType="solid">
        <fgColor rgb="FFEBFCFC"/>
        <bgColor rgb="FFEBFCFC"/>
      </patternFill>
    </fill>
    <fill>
      <patternFill patternType="solid">
        <fgColor rgb="FF6F8B85"/>
        <bgColor rgb="FF6F8B85"/>
      </patternFill>
    </fill>
    <fill>
      <patternFill patternType="solid">
        <fgColor rgb="FFF8FCEB"/>
        <bgColor rgb="FFF8FCEB"/>
      </patternFill>
    </fill>
    <fill>
      <patternFill patternType="solid">
        <fgColor rgb="FFEFEAE9"/>
        <bgColor rgb="FFEFEAE9"/>
      </patternFill>
    </fill>
    <fill>
      <patternFill patternType="solid">
        <fgColor rgb="FFF9F9F9"/>
        <bgColor rgb="FFF9F9F9"/>
      </patternFill>
    </fill>
    <fill>
      <patternFill patternType="solid">
        <fgColor rgb="FFD7D7D7"/>
        <bgColor rgb="FFD7D7D7"/>
      </patternFill>
    </fill>
    <fill>
      <patternFill patternType="solid">
        <fgColor rgb="FFECE1FF"/>
        <bgColor rgb="FFECE1FF"/>
      </patternFill>
    </fill>
    <fill>
      <patternFill patternType="solid">
        <fgColor rgb="FFFFE6E1"/>
        <bgColor rgb="FFFFE6E1"/>
      </patternFill>
    </fill>
    <fill>
      <patternFill patternType="solid">
        <fgColor rgb="FF7B534C"/>
        <bgColor rgb="FF7B534C"/>
      </patternFill>
    </fill>
    <fill>
      <patternFill patternType="solid">
        <fgColor rgb="FFEBFCFB"/>
        <bgColor rgb="FFEBFCFB"/>
      </patternFill>
    </fill>
    <fill>
      <patternFill patternType="solid">
        <fgColor rgb="FF61879A"/>
        <bgColor rgb="FF61879A"/>
      </patternFill>
    </fill>
    <fill>
      <patternFill patternType="solid">
        <fgColor rgb="FFE6E6E6"/>
        <bgColor rgb="FFE6E6E6"/>
      </patternFill>
    </fill>
    <fill>
      <patternFill patternType="solid">
        <fgColor rgb="FF93939F"/>
        <bgColor rgb="FF93939F"/>
      </patternFill>
    </fill>
    <fill>
      <patternFill patternType="solid">
        <fgColor rgb="FF66B343"/>
        <bgColor rgb="FF66B343"/>
      </patternFill>
    </fill>
    <fill>
      <patternFill patternType="solid">
        <fgColor rgb="FFFFECDE"/>
        <bgColor rgb="FFFFECDE"/>
      </patternFill>
    </fill>
    <fill>
      <patternFill patternType="solid">
        <fgColor rgb="FFD6E1D5"/>
        <bgColor rgb="FFD6E1D5"/>
      </patternFill>
    </fill>
    <fill>
      <patternFill patternType="solid">
        <fgColor rgb="FF4D6F57"/>
        <bgColor rgb="FF4D6F57"/>
      </patternFill>
    </fill>
    <fill>
      <patternFill patternType="solid">
        <fgColor rgb="FF3580D6"/>
        <bgColor rgb="FF3580D6"/>
      </patternFill>
    </fill>
    <fill>
      <patternFill patternType="solid">
        <fgColor rgb="FFF9D9D1"/>
        <bgColor rgb="FFF9D9D1"/>
      </patternFill>
    </fill>
    <fill>
      <patternFill patternType="solid">
        <fgColor rgb="FFD4D4E6"/>
        <bgColor rgb="FFD4D4E6"/>
      </patternFill>
    </fill>
    <fill>
      <patternFill patternType="solid">
        <fgColor rgb="FFD5CCCC"/>
        <bgColor rgb="FFD5CCCC"/>
      </patternFill>
    </fill>
    <fill>
      <patternFill patternType="solid">
        <fgColor rgb="FFDAC7C3"/>
        <bgColor rgb="FFDAC7C3"/>
      </patternFill>
    </fill>
    <fill>
      <patternFill patternType="solid">
        <fgColor rgb="FF826D6D"/>
        <bgColor rgb="FF826D6D"/>
      </patternFill>
    </fill>
    <fill>
      <patternFill patternType="solid">
        <fgColor rgb="FFF5EFF9"/>
        <bgColor rgb="FFF5EFF9"/>
      </patternFill>
    </fill>
    <fill>
      <patternFill patternType="solid">
        <fgColor rgb="FFCDB0B4"/>
        <bgColor rgb="FFCDB0B4"/>
      </patternFill>
    </fill>
    <fill>
      <patternFill patternType="solid">
        <fgColor rgb="FFD8DCE3"/>
        <bgColor rgb="FFD8DCE3"/>
      </patternFill>
    </fill>
    <fill>
      <patternFill patternType="solid">
        <fgColor rgb="FFD2E7FB"/>
        <bgColor rgb="FFD2E7FB"/>
      </patternFill>
    </fill>
    <fill>
      <patternFill patternType="solid">
        <fgColor rgb="FF7C58E5"/>
        <bgColor rgb="FF7C58E5"/>
      </patternFill>
    </fill>
    <fill>
      <patternFill patternType="solid">
        <fgColor rgb="FFFFF4F3"/>
        <bgColor rgb="FFFFF4F3"/>
      </patternFill>
    </fill>
    <fill>
      <patternFill patternType="solid">
        <fgColor rgb="FFF2CCCB"/>
        <bgColor rgb="FFF2CCCB"/>
      </patternFill>
    </fill>
    <fill>
      <patternFill patternType="solid">
        <fgColor rgb="FFF7EEFF"/>
        <bgColor rgb="FFF7EEFF"/>
      </patternFill>
    </fill>
    <fill>
      <patternFill patternType="solid">
        <fgColor rgb="FFD7E3BF"/>
        <bgColor rgb="FFD7E3BF"/>
      </patternFill>
    </fill>
    <fill>
      <patternFill patternType="solid">
        <fgColor rgb="FFE7E9F6"/>
        <bgColor rgb="FFE7E9F6"/>
      </patternFill>
    </fill>
    <fill>
      <patternFill patternType="solid">
        <fgColor rgb="FF5C6380"/>
        <bgColor rgb="FF5C6380"/>
      </patternFill>
    </fill>
    <fill>
      <patternFill patternType="solid">
        <fgColor rgb="FFFFE4D1"/>
        <bgColor rgb="FFFFE4D1"/>
      </patternFill>
    </fill>
    <fill>
      <patternFill patternType="solid">
        <fgColor rgb="FFDCEBE8"/>
        <bgColor rgb="FFDCEBE8"/>
      </patternFill>
    </fill>
    <fill>
      <patternFill patternType="solid">
        <fgColor rgb="FFFFEFE8"/>
        <bgColor rgb="FFFFEFE8"/>
      </patternFill>
    </fill>
    <fill>
      <patternFill patternType="solid">
        <fgColor rgb="FFD7D3CF"/>
        <bgColor rgb="FFD7D3CF"/>
      </patternFill>
    </fill>
    <fill>
      <patternFill patternType="solid">
        <fgColor rgb="FFF0F2F7"/>
        <bgColor rgb="FFF0F2F7"/>
      </patternFill>
    </fill>
    <fill>
      <patternFill patternType="solid">
        <fgColor rgb="FF78A0B8"/>
        <bgColor rgb="FF78A0B8"/>
      </patternFill>
    </fill>
    <fill>
      <patternFill patternType="solid">
        <fgColor rgb="FF6A7BAC"/>
        <bgColor rgb="FF6A7BAC"/>
      </patternFill>
    </fill>
    <fill>
      <patternFill patternType="solid">
        <fgColor rgb="FFE4ECFF"/>
        <bgColor rgb="FFE4ECFF"/>
      </patternFill>
    </fill>
    <fill>
      <patternFill patternType="solid">
        <fgColor rgb="FFFFFFFF"/>
        <bgColor rgb="FFFFFFFF"/>
      </patternFill>
    </fill>
    <fill>
      <patternFill patternType="solid">
        <fgColor rgb="FFE4EAE7"/>
        <bgColor rgb="FFE4EAE7"/>
      </patternFill>
    </fill>
    <fill>
      <patternFill patternType="solid">
        <fgColor rgb="FFD9D9D9"/>
        <bgColor rgb="FFD9D9D9"/>
      </patternFill>
    </fill>
    <fill>
      <patternFill patternType="solid">
        <fgColor rgb="FFFFFDCD"/>
        <bgColor rgb="FFFFFDCD"/>
      </patternFill>
    </fill>
    <fill>
      <patternFill patternType="solid">
        <fgColor rgb="FFBCC7E0"/>
        <bgColor rgb="FFBCC7E0"/>
      </patternFill>
    </fill>
    <fill>
      <patternFill patternType="solid">
        <fgColor rgb="FF859BA6"/>
        <bgColor rgb="FF859BA6"/>
      </patternFill>
    </fill>
    <fill>
      <patternFill patternType="solid">
        <fgColor rgb="FFFFF8EE"/>
        <bgColor rgb="FFFFF8EE"/>
      </patternFill>
    </fill>
    <fill>
      <patternFill patternType="solid">
        <fgColor rgb="FFEDE4DA"/>
        <bgColor rgb="FFEDE4DA"/>
      </patternFill>
    </fill>
    <fill>
      <patternFill patternType="solid">
        <fgColor rgb="FF1781B2"/>
        <bgColor rgb="FF1781B2"/>
      </patternFill>
    </fill>
    <fill>
      <patternFill patternType="solid">
        <fgColor rgb="FFFFEFE2"/>
        <bgColor rgb="FFFFEFE2"/>
      </patternFill>
    </fill>
    <fill>
      <patternFill patternType="solid">
        <fgColor rgb="FFFFFAE9"/>
        <bgColor rgb="FFFFFAE9"/>
      </patternFill>
    </fill>
    <fill>
      <patternFill patternType="solid">
        <fgColor rgb="FFA4986B"/>
        <bgColor rgb="FFA4986B"/>
      </patternFill>
    </fill>
    <fill>
      <patternFill patternType="solid">
        <fgColor rgb="FFD9C888"/>
        <bgColor rgb="FFD9C888"/>
      </patternFill>
    </fill>
    <fill>
      <patternFill patternType="solid">
        <fgColor rgb="FFFFF4CD"/>
        <bgColor rgb="FFFFF4CD"/>
      </patternFill>
    </fill>
    <fill>
      <patternFill patternType="solid">
        <fgColor rgb="FFC4B783"/>
        <bgColor rgb="FFC4B783"/>
      </patternFill>
    </fill>
    <fill>
      <patternFill patternType="solid">
        <fgColor rgb="FF8C4F4A"/>
        <bgColor rgb="FF8C4F4A"/>
      </patternFill>
    </fill>
    <fill>
      <patternFill patternType="solid">
        <fgColor rgb="FFE9EFFF"/>
        <bgColor rgb="FFE9EFFF"/>
      </patternFill>
    </fill>
    <fill>
      <patternFill patternType="solid">
        <fgColor rgb="FFEFEFFF"/>
        <bgColor rgb="FFEFEFFF"/>
      </patternFill>
    </fill>
    <fill>
      <patternFill patternType="solid">
        <fgColor rgb="FFD1D9E1"/>
        <bgColor rgb="FFD1D9E1"/>
      </patternFill>
    </fill>
    <fill>
      <patternFill patternType="solid">
        <fgColor rgb="FF5E6C7A"/>
        <bgColor rgb="FF5E6C7A"/>
      </patternFill>
    </fill>
    <fill>
      <patternFill patternType="solid">
        <fgColor rgb="FFDA455D"/>
        <bgColor rgb="FFDA455D"/>
      </patternFill>
    </fill>
    <fill>
      <patternFill patternType="solid">
        <fgColor rgb="FFE7DEEF"/>
        <bgColor rgb="FFE7DEEF"/>
      </patternFill>
    </fill>
    <fill>
      <patternFill patternType="solid">
        <fgColor rgb="FFFDFFEB"/>
        <bgColor rgb="FFFDFFEB"/>
      </patternFill>
    </fill>
    <fill>
      <patternFill patternType="solid">
        <fgColor rgb="FF79949C"/>
        <bgColor rgb="FF79949C"/>
      </patternFill>
    </fill>
    <fill>
      <patternFill patternType="solid">
        <fgColor rgb="FFFFE6E6"/>
        <bgColor rgb="FFFFE6E6"/>
      </patternFill>
    </fill>
    <fill>
      <patternFill patternType="solid">
        <fgColor rgb="FFEDE8E8"/>
        <bgColor rgb="FFEDE8E8"/>
      </patternFill>
    </fill>
    <fill>
      <patternFill patternType="solid">
        <fgColor rgb="FF326EDC"/>
        <bgColor rgb="FF326EDC"/>
      </patternFill>
    </fill>
    <fill>
      <patternFill patternType="solid">
        <fgColor rgb="FFF2F6FF"/>
        <bgColor rgb="FFF2F6FF"/>
      </patternFill>
    </fill>
    <fill>
      <patternFill patternType="solid">
        <fgColor rgb="FF69C2DA"/>
        <bgColor rgb="FF69C2DA"/>
      </patternFill>
    </fill>
    <fill>
      <patternFill patternType="solid">
        <fgColor rgb="FFEAFAFF"/>
        <bgColor rgb="FFEAFAFF"/>
      </patternFill>
    </fill>
    <fill>
      <patternFill patternType="solid">
        <fgColor rgb="FFFCE5CD"/>
        <bgColor rgb="FFFCE5CD"/>
      </patternFill>
    </fill>
    <fill>
      <patternFill patternType="solid">
        <fgColor rgb="FFB87A55"/>
        <bgColor rgb="FFB87A55"/>
      </patternFill>
    </fill>
    <fill>
      <patternFill patternType="solid">
        <fgColor rgb="FFC1B6D5"/>
        <bgColor rgb="FFC1B6D5"/>
      </patternFill>
    </fill>
    <fill>
      <patternFill patternType="solid">
        <fgColor rgb="FF5C519C"/>
        <bgColor rgb="FF5C519C"/>
      </patternFill>
    </fill>
    <fill>
      <patternFill patternType="solid">
        <fgColor rgb="FF58A3C1"/>
        <bgColor rgb="FF58A3C1"/>
      </patternFill>
    </fill>
    <fill>
      <patternFill patternType="solid">
        <fgColor rgb="FFFF00FF"/>
        <bgColor rgb="FFFF00FF"/>
      </patternFill>
    </fill>
    <fill>
      <patternFill patternType="solid">
        <fgColor rgb="FFD6CDDA"/>
        <bgColor rgb="FFD6CDDA"/>
      </patternFill>
    </fill>
    <fill>
      <patternFill patternType="solid">
        <fgColor rgb="FFA787B8"/>
        <bgColor rgb="FFA787B8"/>
      </patternFill>
    </fill>
    <fill>
      <patternFill patternType="solid">
        <fgColor rgb="FFFBFCFF"/>
        <bgColor rgb="FFFBFCFF"/>
      </patternFill>
    </fill>
    <fill>
      <patternFill patternType="solid">
        <fgColor rgb="FFD86870"/>
        <bgColor rgb="FFD86870"/>
      </patternFill>
    </fill>
    <fill>
      <patternFill patternType="solid">
        <fgColor rgb="FFF9D1CF"/>
        <bgColor rgb="FFF9D1CF"/>
      </patternFill>
    </fill>
    <fill>
      <patternFill patternType="solid">
        <fgColor rgb="FFF64A42"/>
        <bgColor rgb="FFF64A42"/>
      </patternFill>
    </fill>
    <fill>
      <patternFill patternType="solid">
        <fgColor rgb="FFCB443D"/>
        <bgColor rgb="FFCB443D"/>
      </patternFill>
    </fill>
    <fill>
      <patternFill patternType="solid">
        <fgColor rgb="FFFC805F"/>
        <bgColor rgb="FFFC805F"/>
      </patternFill>
    </fill>
    <fill>
      <patternFill patternType="solid">
        <fgColor rgb="FFFF6D46"/>
        <bgColor rgb="FFFF6D46"/>
      </patternFill>
    </fill>
    <fill>
      <patternFill patternType="solid">
        <fgColor rgb="FFDADBE0"/>
        <bgColor rgb="FFDADBE0"/>
      </patternFill>
    </fill>
    <fill>
      <patternFill patternType="solid">
        <fgColor rgb="FFF09050"/>
        <bgColor rgb="FFF09050"/>
      </patternFill>
    </fill>
    <fill>
      <patternFill patternType="solid">
        <fgColor rgb="FFF0FBF9"/>
        <bgColor rgb="FFF0FBF9"/>
      </patternFill>
    </fill>
    <fill>
      <patternFill patternType="solid">
        <fgColor rgb="FF5888B8"/>
        <bgColor rgb="FF5888B8"/>
      </patternFill>
    </fill>
    <fill>
      <patternFill patternType="solid">
        <fgColor rgb="FFFFA8FC"/>
        <bgColor rgb="FFFFA8FC"/>
      </patternFill>
    </fill>
    <fill>
      <patternFill patternType="solid">
        <fgColor rgb="FFC48BC2"/>
        <bgColor rgb="FFC48BC2"/>
      </patternFill>
    </fill>
    <fill>
      <patternFill patternType="solid">
        <fgColor rgb="FFC6D6DE"/>
        <bgColor rgb="FFC6D6DE"/>
      </patternFill>
    </fill>
    <fill>
      <patternFill patternType="solid">
        <fgColor rgb="FF68AAC8"/>
        <bgColor rgb="FF68AAC8"/>
      </patternFill>
    </fill>
    <fill>
      <patternFill patternType="solid">
        <fgColor rgb="FF3C63F9"/>
        <bgColor rgb="FF3C63F9"/>
      </patternFill>
    </fill>
    <fill>
      <patternFill patternType="solid">
        <fgColor rgb="FF3550B8"/>
        <bgColor rgb="FF3550B8"/>
      </patternFill>
    </fill>
  </fills>
  <borders count="4209">
    <border/>
    <border>
      <left style="thin">
        <color rgb="FFF1C232"/>
      </left>
      <right style="thin">
        <color rgb="FFF1C232"/>
      </right>
      <top style="thin">
        <color rgb="FFF1C232"/>
      </top>
      <bottom style="thin">
        <color rgb="FFF1C232"/>
      </bottom>
    </border>
    <border>
      <left style="thin">
        <color rgb="FFF1C232"/>
      </left>
      <right style="thin">
        <color rgb="FFF1C232"/>
      </right>
      <top style="thin">
        <color rgb="FFF1C232"/>
      </top>
    </border>
    <border>
      <left style="thin">
        <color rgb="FFF1C232"/>
      </left>
      <top style="thin">
        <color rgb="FFF1C232"/>
      </top>
      <bottom style="thin">
        <color rgb="FFF1C232"/>
      </bottom>
    </border>
    <border>
      <left style="thick">
        <color rgb="FF3E3A3A"/>
      </left>
      <right style="thin">
        <color rgb="FFF3F3F3"/>
      </right>
      <top style="thick">
        <color rgb="FF3E3A3A"/>
      </top>
      <bottom style="thin">
        <color rgb="FFF3F3F3"/>
      </bottom>
    </border>
    <border>
      <left style="thin">
        <color rgb="FFF3F3F3"/>
      </left>
      <right style="thin">
        <color rgb="FFF3F3F3"/>
      </right>
      <top style="thick">
        <color rgb="FF3E3A3A"/>
      </top>
      <bottom style="thin">
        <color rgb="FFF3F3F3"/>
      </bottom>
    </border>
    <border>
      <left style="thin">
        <color rgb="FFF3F3F3"/>
      </left>
      <right style="thick">
        <color rgb="FF3E3A3A"/>
      </right>
      <top style="thick">
        <color rgb="FF3E3A3A"/>
      </top>
      <bottom style="thin">
        <color rgb="FFF3F3F3"/>
      </bottom>
    </border>
    <border>
      <right style="thin">
        <color rgb="FFF1C232"/>
      </right>
      <top style="thin">
        <color rgb="FFF1C232"/>
      </top>
      <bottom style="thin">
        <color rgb="FFF1C232"/>
      </bottom>
    </border>
    <border>
      <left style="thick">
        <color rgb="FF3E3A3A"/>
      </left>
      <right style="thin">
        <color rgb="FFF3F3F3"/>
      </right>
      <bottom style="thin">
        <color rgb="FFF3F3F3"/>
      </bottom>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ck">
        <color rgb="FF3E3A3A"/>
      </right>
      <top style="thin">
        <color rgb="FFF3F3F3"/>
      </top>
      <bottom style="thin">
        <color rgb="FFF3F3F3"/>
      </bottom>
    </border>
    <border>
      <left style="thin">
        <color rgb="FFF3F3F3"/>
      </left>
      <right style="thin">
        <color rgb="FFF3F3F3"/>
      </right>
      <top style="thin">
        <color rgb="FFF3F3F3"/>
      </top>
      <bottom style="thin">
        <color rgb="FFF3F3F3"/>
      </bottom>
    </border>
    <border>
      <left style="thick">
        <color rgb="FF3E3A3A"/>
      </left>
      <right style="thin">
        <color rgb="FFF3F3F3"/>
      </right>
      <top style="thin">
        <color rgb="FFF3F3F3"/>
      </top>
      <bottom style="thin">
        <color rgb="FFF3F3F3"/>
      </bottom>
    </border>
    <border>
      <left style="thin">
        <color rgb="FFF3F3F3"/>
      </left>
      <top style="thin">
        <color rgb="FFF3F3F3"/>
      </top>
    </border>
    <border>
      <top style="thin">
        <color rgb="FFF3F3F3"/>
      </top>
    </border>
    <border>
      <right style="thin">
        <color rgb="FFF3F3F3"/>
      </right>
      <top style="thin">
        <color rgb="FFF3F3F3"/>
      </top>
    </border>
    <border>
      <left style="thin">
        <color rgb="FF3E3A3A"/>
      </left>
      <right style="thin">
        <color rgb="FF3E3A3A"/>
      </right>
      <top style="thin">
        <color rgb="FF3E3A3A"/>
      </top>
      <bottom style="thin">
        <color rgb="FF3E3A3A"/>
      </bottom>
    </border>
    <border>
      <left style="thick">
        <color rgb="FFE8E8E8"/>
      </left>
      <top style="thick">
        <color rgb="FFE8E8E8"/>
      </top>
      <bottom style="thin">
        <color rgb="FFF3F3F3"/>
      </bottom>
    </border>
    <border>
      <top style="thick">
        <color rgb="FFE8E8E8"/>
      </top>
      <bottom style="thin">
        <color rgb="FFF3F3F3"/>
      </bottom>
    </border>
    <border>
      <right style="thin">
        <color rgb="FFF3F3F3"/>
      </right>
      <top style="thick">
        <color rgb="FFE8E8E8"/>
      </top>
      <bottom style="thin">
        <color rgb="FFF3F3F3"/>
      </bottom>
    </border>
    <border>
      <left style="thin">
        <color rgb="FFF3F3F3"/>
      </left>
      <right style="thin">
        <color rgb="FFF3F3F3"/>
      </right>
      <bottom style="thin">
        <color rgb="FFF3F3F3"/>
      </bottom>
    </border>
    <border>
      <left style="thick">
        <color rgb="FFF3F3F3"/>
      </left>
      <top style="thick">
        <color rgb="FFF3F3F3"/>
      </top>
      <bottom style="thin">
        <color rgb="FFF3F3F3"/>
      </bottom>
    </border>
    <border>
      <top style="thick">
        <color rgb="FFF3F3F3"/>
      </top>
      <bottom style="thin">
        <color rgb="FFF3F3F3"/>
      </bottom>
    </border>
    <border>
      <right style="thin">
        <color rgb="FFF3F3F3"/>
      </right>
      <top style="thick">
        <color rgb="FFF3F3F3"/>
      </top>
      <bottom style="thin">
        <color rgb="FFF3F3F3"/>
      </bottom>
    </border>
    <border>
      <left style="thin">
        <color rgb="FFE8E8E8"/>
      </left>
      <top style="thin">
        <color rgb="FFE8E8E8"/>
      </top>
      <bottom style="thin">
        <color rgb="FFF3F3F3"/>
      </bottom>
    </border>
    <border>
      <top style="thin">
        <color rgb="FFE8E8E8"/>
      </top>
      <bottom style="thin">
        <color rgb="FFF3F3F3"/>
      </bottom>
    </border>
    <border>
      <right style="thin">
        <color rgb="FFF3F3F3"/>
      </right>
      <top style="thin">
        <color rgb="FFE8E8E8"/>
      </top>
      <bottom style="thin">
        <color rgb="FFF3F3F3"/>
      </bottom>
    </border>
    <border>
      <left style="thick">
        <color rgb="FFF3F3F3"/>
      </left>
      <top style="thick">
        <color rgb="FFF3F3F3"/>
      </top>
      <bottom style="thick">
        <color rgb="FFF3F3F3"/>
      </bottom>
    </border>
    <border>
      <top style="thick">
        <color rgb="FFF3F3F3"/>
      </top>
      <bottom style="thick">
        <color rgb="FFF3F3F3"/>
      </bottom>
    </border>
    <border>
      <right style="thick">
        <color rgb="FFF3F3F3"/>
      </right>
      <top style="thick">
        <color rgb="FFF3F3F3"/>
      </top>
      <bottom style="thick">
        <color rgb="FFF3F3F3"/>
      </bottom>
    </border>
    <border>
      <right style="thin">
        <color rgb="FFF3F3F3"/>
      </right>
      <bottom style="thin">
        <color rgb="FFF3F3F3"/>
      </bottom>
    </border>
    <border>
      <bottom style="thin">
        <color rgb="FFF3F3F3"/>
      </bottom>
    </border>
    <border>
      <left style="thick">
        <color rgb="FFE8E8E8"/>
      </left>
      <top style="thick">
        <color rgb="FFE8E8E8"/>
      </top>
      <bottom style="thick">
        <color rgb="FFE8E8E8"/>
      </bottom>
    </border>
    <border>
      <top style="thick">
        <color rgb="FFE8E8E8"/>
      </top>
      <bottom style="thick">
        <color rgb="FFE8E8E8"/>
      </bottom>
    </border>
    <border>
      <right style="thick">
        <color rgb="FFE8E8E8"/>
      </right>
      <top style="thick">
        <color rgb="FFE8E8E8"/>
      </top>
      <bottom style="thick">
        <color rgb="FFE8E8E8"/>
      </bottom>
    </border>
    <border>
      <left style="thin">
        <color rgb="FFF3F3F3"/>
      </left>
      <right style="thin">
        <color rgb="FFF3F3F3"/>
      </right>
    </border>
    <border>
      <left style="thick">
        <color rgb="FF3E3A3A"/>
      </left>
      <bottom style="thin">
        <color rgb="FFF3F3F3"/>
      </bottom>
    </border>
    <border>
      <left style="thick">
        <color rgb="FF3E3A3A"/>
      </left>
      <right style="thin">
        <color rgb="FF000000"/>
      </right>
      <bottom style="thin">
        <color rgb="FFF3F3F3"/>
      </bottom>
    </border>
    <border>
      <left style="thin">
        <color rgb="FFF3F3F3"/>
      </left>
      <top style="thin">
        <color rgb="FFF3F3F3"/>
      </top>
      <bottom style="thick">
        <color rgb="FFE05C88"/>
      </bottom>
    </border>
    <border>
      <top style="thin">
        <color rgb="FFF3F3F3"/>
      </top>
      <bottom style="thick">
        <color rgb="FFE05C88"/>
      </bottom>
    </border>
    <border>
      <right style="thin">
        <color rgb="FFF3F3F3"/>
      </right>
      <top style="thin">
        <color rgb="FFF3F3F3"/>
      </top>
      <bottom style="thick">
        <color rgb="FFE05C88"/>
      </bottom>
    </border>
    <border>
      <left style="thin">
        <color rgb="FFF3F3F3"/>
      </left>
      <top style="thin">
        <color rgb="FFF3F3F3"/>
      </top>
      <bottom style="thick">
        <color rgb="FF0FA553"/>
      </bottom>
    </border>
    <border>
      <top style="thin">
        <color rgb="FFF3F3F3"/>
      </top>
      <bottom style="thick">
        <color rgb="FF0FA553"/>
      </bottom>
    </border>
    <border>
      <left style="thick">
        <color rgb="FF0FA553"/>
      </left>
      <right style="thin">
        <color rgb="FFF3F3F3"/>
      </right>
      <top style="thin">
        <color rgb="FFF3F3F3"/>
      </top>
      <bottom style="thin">
        <color rgb="FFF3F3F3"/>
      </bottom>
    </border>
    <border>
      <left style="thick">
        <color rgb="FFE05C88"/>
      </left>
      <right style="thin">
        <color rgb="FFF3F3F3"/>
      </right>
      <top style="thin">
        <color rgb="FFF3F3F3"/>
      </top>
      <bottom style="thin">
        <color rgb="FFF3F3F3"/>
      </bottom>
    </border>
    <border>
      <left style="thin">
        <color rgb="FFF3F3F3"/>
      </left>
      <bottom style="thin">
        <color rgb="FFF3F3F3"/>
      </bottom>
    </border>
    <border>
      <left style="thick">
        <color rgb="FF0FA553"/>
      </left>
      <right style="thin">
        <color rgb="FFF3F3F3"/>
      </right>
      <bottom style="thin">
        <color rgb="FFF3F3F3"/>
      </bottom>
    </border>
    <border>
      <left style="thin">
        <color rgb="FFF3F3F3"/>
      </left>
    </border>
    <border>
      <right style="thin">
        <color rgb="FFF3F3F3"/>
      </right>
    </border>
    <border>
      <left style="thin">
        <color rgb="FFF3F3F3"/>
      </left>
      <right style="thin">
        <color rgb="FFF3F3F3"/>
      </right>
      <top style="thin">
        <color rgb="FFF3F3F3"/>
      </top>
    </border>
    <border>
      <left style="thick">
        <color rgb="FF3E3A3A"/>
      </left>
      <top style="thin">
        <color rgb="FFF3F3F3"/>
      </top>
      <bottom style="thin">
        <color rgb="FFF3F3F3"/>
      </bottom>
    </border>
    <border>
      <left style="thin">
        <color rgb="FF3E3A3A"/>
      </left>
      <right style="thin">
        <color rgb="FF3E3A3A"/>
      </right>
      <top style="thin">
        <color rgb="FF3E3A3A"/>
      </top>
    </border>
    <border>
      <left style="thick">
        <color rgb="FFE8E8E8"/>
      </left>
      <top style="thick">
        <color rgb="FFE8E8E8"/>
      </top>
      <bottom style="thin">
        <color rgb="FFE8E8E8"/>
      </bottom>
    </border>
    <border>
      <top style="thick">
        <color rgb="FFE8E8E8"/>
      </top>
      <bottom style="thin">
        <color rgb="FFE8E8E8"/>
      </bottom>
    </border>
    <border>
      <right style="thin">
        <color rgb="FFE8E8E8"/>
      </right>
      <top style="thick">
        <color rgb="FFE8E8E8"/>
      </top>
      <bottom style="thin">
        <color rgb="FFE8E8E8"/>
      </bottom>
    </border>
    <border>
      <left style="thin">
        <color rgb="FFE8E8E8"/>
      </left>
      <right style="thin">
        <color rgb="FFE8E8E8"/>
      </right>
      <top style="thick">
        <color rgb="FFE8E8E8"/>
      </top>
    </border>
    <border>
      <left style="thin">
        <color rgb="FFE8E8E8"/>
      </left>
      <top style="thick">
        <color rgb="FFE8E8E8"/>
      </top>
    </border>
    <border>
      <top style="thick">
        <color rgb="FFE8E8E8"/>
      </top>
    </border>
    <border>
      <right style="thick">
        <color rgb="FFE8E8E8"/>
      </right>
      <top style="thick">
        <color rgb="FFE8E8E8"/>
      </top>
    </border>
    <border>
      <right style="thin">
        <color rgb="FFE8E8E8"/>
      </right>
      <top style="thick">
        <color rgb="FFE8E8E8"/>
      </top>
      <bottom style="thick">
        <color rgb="FFE8E8E8"/>
      </bottom>
    </border>
    <border>
      <left style="thin">
        <color rgb="FFE8E8E8"/>
      </left>
      <right style="thin">
        <color rgb="FFE8E8E8"/>
      </right>
      <top style="thick">
        <color rgb="FFE8E8E8"/>
      </top>
      <bottom style="thick">
        <color rgb="FFE8E8E8"/>
      </bottom>
    </border>
    <border>
      <left style="thin">
        <color rgb="FFE8E8E8"/>
      </left>
      <top style="thick">
        <color rgb="FFE8E8E8"/>
      </top>
      <bottom style="thick">
        <color rgb="FFE8E8E8"/>
      </bottom>
    </border>
    <border>
      <left style="thin">
        <color rgb="FFE8E8E8"/>
      </left>
      <top style="thin">
        <color rgb="FFE8E8E8"/>
      </top>
    </border>
    <border>
      <right style="thick">
        <color rgb="FFE8E8E8"/>
      </right>
      <top style="thin">
        <color rgb="FFE8E8E8"/>
      </top>
    </border>
    <border>
      <top style="thin">
        <color rgb="FFE8E8E8"/>
      </top>
      <bottom style="thin">
        <color rgb="FFE8E8E8"/>
      </bottom>
    </border>
    <border>
      <right style="thin">
        <color rgb="FFE8E8E8"/>
      </right>
      <top style="thin">
        <color rgb="FFE8E8E8"/>
      </top>
      <bottom style="thin">
        <color rgb="FFE8E8E8"/>
      </bottom>
    </border>
    <border>
      <left style="thin">
        <color rgb="FFE8E8E8"/>
      </left>
      <right style="thin">
        <color rgb="FFE8E8E8"/>
      </right>
      <top style="thin">
        <color rgb="FFE8E8E8"/>
      </top>
    </border>
    <border>
      <top style="thin">
        <color rgb="FFE8E8E8"/>
      </top>
    </border>
    <border>
      <right style="thin">
        <color rgb="FFE8E8E8"/>
      </right>
      <top style="thin">
        <color rgb="FFE8E8E8"/>
      </top>
    </border>
    <border>
      <left style="thin">
        <color rgb="FF3E3A3A"/>
      </left>
      <right style="thin">
        <color rgb="FF3E3A3A"/>
      </right>
    </border>
    <border>
      <left style="thick">
        <color rgb="FFE8E8E8"/>
      </left>
      <right style="thin">
        <color rgb="FFE8E8E8"/>
      </right>
    </border>
    <border>
      <left style="thin">
        <color rgb="FFE8E8E8"/>
      </left>
      <right style="thin">
        <color rgb="FFE8E8E8"/>
      </right>
    </border>
    <border>
      <left style="thin">
        <color rgb="FFE8E8E8"/>
      </left>
    </border>
    <border>
      <right style="thick">
        <color rgb="FFE8E8E8"/>
      </right>
    </border>
    <border>
      <left style="thin">
        <color rgb="FFE8E8E8"/>
      </left>
      <right style="thin">
        <color rgb="FFE8E8E8"/>
      </right>
      <top style="thin">
        <color rgb="FFE8E8E8"/>
      </top>
      <bottom style="thin">
        <color rgb="FFE8E8E8"/>
      </bottom>
    </border>
    <border>
      <right style="thin">
        <color rgb="FFE8E8E8"/>
      </right>
    </border>
    <border>
      <left style="thin">
        <color rgb="FF3E3A3A"/>
      </left>
      <right style="thin">
        <color rgb="FF3E3A3A"/>
      </right>
      <bottom style="thin">
        <color rgb="FF3E3A3A"/>
      </bottom>
    </border>
    <border>
      <left style="thick">
        <color rgb="FFE8E8E8"/>
      </left>
      <top style="thin">
        <color rgb="FFE8E8E8"/>
      </top>
      <bottom style="thick">
        <color rgb="FFE8E8E8"/>
      </bottom>
    </border>
    <border>
      <top style="thin">
        <color rgb="FFE8E8E8"/>
      </top>
      <bottom style="thick">
        <color rgb="FFE8E8E8"/>
      </bottom>
    </border>
    <border>
      <right style="thin">
        <color rgb="FFE8E8E8"/>
      </right>
      <top style="thin">
        <color rgb="FFE8E8E8"/>
      </top>
      <bottom style="thick">
        <color rgb="FFE8E8E8"/>
      </bottom>
    </border>
    <border>
      <left style="thin">
        <color rgb="FFE8E8E8"/>
      </left>
      <right style="thin">
        <color rgb="FFE8E8E8"/>
      </right>
      <bottom style="thick">
        <color rgb="FFE8E8E8"/>
      </bottom>
    </border>
    <border>
      <left style="thin">
        <color rgb="FFE8E8E8"/>
      </left>
      <bottom style="thick">
        <color rgb="FFE8E8E8"/>
      </bottom>
    </border>
    <border>
      <bottom style="thick">
        <color rgb="FFE8E8E8"/>
      </bottom>
    </border>
    <border>
      <right style="thick">
        <color rgb="FFE8E8E8"/>
      </right>
      <bottom style="thick">
        <color rgb="FFE8E8E8"/>
      </bottom>
    </border>
    <border>
      <right style="thin">
        <color rgb="FFF3F3F3"/>
      </right>
      <top style="thick">
        <color rgb="FFF3F3F3"/>
      </top>
      <bottom style="thick">
        <color rgb="FFF3F3F3"/>
      </bottom>
    </border>
    <border>
      <left style="thin">
        <color rgb="FFF3F3F3"/>
      </left>
      <right style="thin">
        <color rgb="FFF3F3F3"/>
      </right>
      <top style="thick">
        <color rgb="FFF3F3F3"/>
      </top>
      <bottom style="thick">
        <color rgb="FFF3F3F3"/>
      </bottom>
    </border>
    <border>
      <left style="thin">
        <color rgb="FFF3F3F3"/>
      </left>
      <top style="thick">
        <color rgb="FFF3F3F3"/>
      </top>
      <bottom style="thick">
        <color rgb="FFF3F3F3"/>
      </bottom>
    </border>
    <border>
      <left style="thin">
        <color rgb="FFE8E8E8"/>
      </left>
      <bottom style="thin">
        <color rgb="FFE8E8E8"/>
      </bottom>
    </border>
    <border>
      <right style="thick">
        <color rgb="FFE8E8E8"/>
      </right>
      <bottom style="thin">
        <color rgb="FFE8E8E8"/>
      </bottom>
    </border>
    <border>
      <left style="thin">
        <color rgb="FFE8E8E8"/>
      </left>
      <right style="thin">
        <color rgb="FFE8E8E8"/>
      </right>
      <bottom style="thin">
        <color rgb="FFE8E8E8"/>
      </bottom>
    </border>
    <border>
      <bottom style="thin">
        <color rgb="FFE8E8E8"/>
      </bottom>
    </border>
    <border>
      <right style="thin">
        <color rgb="FFE8E8E8"/>
      </right>
      <bottom style="thin">
        <color rgb="FFE8E8E8"/>
      </bottom>
    </border>
    <border>
      <left style="thick">
        <color rgb="FFE05C88"/>
      </left>
      <right style="thin">
        <color rgb="FFF3F3F3"/>
      </right>
    </border>
    <border>
      <left style="thick">
        <color rgb="FF0FA553"/>
      </left>
      <right style="thin">
        <color rgb="FFF3F3F3"/>
      </right>
    </border>
    <border>
      <left style="thin">
        <color rgb="FFF3F3F3"/>
      </left>
      <right style="thin">
        <color rgb="FFF3F3F3"/>
      </right>
      <top style="thick">
        <color rgb="FFF3F3F3"/>
      </top>
    </border>
    <border>
      <left style="thin">
        <color rgb="FFF3F3F3"/>
      </left>
      <top style="thick">
        <color rgb="FFF3F3F3"/>
      </top>
    </border>
    <border>
      <top style="thick">
        <color rgb="FFF3F3F3"/>
      </top>
    </border>
    <border>
      <right style="thick">
        <color rgb="FFF3F3F3"/>
      </right>
      <top style="thick">
        <color rgb="FFF3F3F3"/>
      </top>
    </border>
    <border>
      <left style="thick">
        <color rgb="FFF3F3F3"/>
      </left>
      <top style="thick">
        <color rgb="FFF3F3F3"/>
      </top>
    </border>
    <border>
      <right style="thin">
        <color rgb="FFF3F3F3"/>
      </right>
      <top style="thick">
        <color rgb="FFF3F3F3"/>
      </top>
    </border>
    <border>
      <left style="thin">
        <color rgb="FFF3F3F3"/>
      </left>
      <top style="thick">
        <color rgb="FFF3F3F3"/>
      </top>
      <bottom style="thin">
        <color rgb="FFF3F3F3"/>
      </bottom>
    </border>
    <border>
      <left style="thick">
        <color rgb="FFF3F3F3"/>
      </left>
      <right style="thin">
        <color rgb="FFF3F3F3"/>
      </right>
    </border>
    <border>
      <right style="thick">
        <color rgb="FFF3F3F3"/>
      </right>
    </border>
    <border>
      <left style="thick">
        <color rgb="FFF3F3F3"/>
      </left>
    </border>
    <border>
      <left style="thick">
        <color rgb="FFF3F3F3"/>
      </left>
      <top style="thin">
        <color rgb="FFF3F3F3"/>
      </top>
      <bottom style="thick">
        <color rgb="FFF3F3F3"/>
      </bottom>
    </border>
    <border>
      <top style="thin">
        <color rgb="FFF3F3F3"/>
      </top>
      <bottom style="thick">
        <color rgb="FFF3F3F3"/>
      </bottom>
    </border>
    <border>
      <right style="thin">
        <color rgb="FFF3F3F3"/>
      </right>
      <top style="thin">
        <color rgb="FFF3F3F3"/>
      </top>
      <bottom style="thick">
        <color rgb="FFF3F3F3"/>
      </bottom>
    </border>
    <border>
      <left style="thin">
        <color rgb="FFF3F3F3"/>
      </left>
      <right style="thin">
        <color rgb="FFF3F3F3"/>
      </right>
      <bottom style="thick">
        <color rgb="FFF3F3F3"/>
      </bottom>
    </border>
    <border>
      <left style="thin">
        <color rgb="FFF3F3F3"/>
      </left>
      <bottom style="thick">
        <color rgb="FFF3F3F3"/>
      </bottom>
    </border>
    <border>
      <bottom style="thick">
        <color rgb="FFF3F3F3"/>
      </bottom>
    </border>
    <border>
      <right style="thick">
        <color rgb="FFF3F3F3"/>
      </right>
      <bottom style="thick">
        <color rgb="FFF3F3F3"/>
      </bottom>
    </border>
    <border>
      <left style="thick">
        <color rgb="FFF3F3F3"/>
      </left>
      <bottom style="thick">
        <color rgb="FFF3F3F3"/>
      </bottom>
    </border>
    <border>
      <right style="thin">
        <color rgb="FFF3F3F3"/>
      </right>
      <bottom style="thick">
        <color rgb="FFF3F3F3"/>
      </bottom>
    </border>
    <border>
      <left style="thin">
        <color rgb="FFF3F3F3"/>
      </left>
      <top style="thin">
        <color rgb="FFF3F3F3"/>
      </top>
      <bottom style="thick">
        <color rgb="FFF3F3F3"/>
      </bottom>
    </border>
    <border>
      <left style="thick">
        <color rgb="FFE05C88"/>
      </left>
      <right style="thin">
        <color rgb="FFF3F3F3"/>
      </right>
      <bottom style="thin">
        <color rgb="FFF3F3F3"/>
      </bottom>
    </border>
    <border>
      <left style="thick">
        <color rgb="FFE8E8E8"/>
      </left>
      <bottom style="thin">
        <color rgb="FFE8E8E8"/>
      </bottom>
    </border>
    <border>
      <right style="thin">
        <color rgb="FFE8E8E8"/>
      </right>
      <top style="thin">
        <color rgb="FFF3F3F3"/>
      </top>
    </border>
    <border>
      <right style="thin">
        <color rgb="FFE8E8E8"/>
      </right>
      <bottom style="thin">
        <color rgb="FFF3F3F3"/>
      </bottom>
    </border>
    <border>
      <left style="thick">
        <color rgb="FFE05C88"/>
      </left>
      <top style="thin">
        <color rgb="FFF3F3F3"/>
      </top>
      <bottom style="thin">
        <color rgb="FFF3F3F3"/>
      </bottom>
    </border>
    <border>
      <right style="thin">
        <color rgb="FFF3F3F3"/>
      </right>
      <bottom style="thick">
        <color rgb="FFE05C88"/>
      </bottom>
    </border>
    <border>
      <left style="thin">
        <color rgb="FFF3F3F3"/>
      </left>
      <top style="thin">
        <color rgb="FFF3F3F3"/>
      </top>
      <bottom style="thick">
        <color rgb="FF326EDC"/>
      </bottom>
    </border>
    <border>
      <top style="thin">
        <color rgb="FFF3F3F3"/>
      </top>
      <bottom style="thick">
        <color rgb="FF326EDC"/>
      </bottom>
    </border>
    <border>
      <right style="thin">
        <color rgb="FFF3F3F3"/>
      </right>
      <top style="thin">
        <color rgb="FFF3F3F3"/>
      </top>
      <bottom style="thick">
        <color rgb="FF326EDC"/>
      </bottom>
    </border>
    <border>
      <left style="thin">
        <color rgb="FFF3F3F3"/>
      </left>
      <top style="thin">
        <color rgb="FFF3F3F3"/>
      </top>
      <bottom style="thick">
        <color rgb="FF7C58E5"/>
      </bottom>
    </border>
    <border>
      <top style="thin">
        <color rgb="FFF3F3F3"/>
      </top>
      <bottom style="thick">
        <color rgb="FF7C58E5"/>
      </bottom>
    </border>
    <border>
      <right style="thin">
        <color rgb="FFF3F3F3"/>
      </right>
      <top style="thin">
        <color rgb="FFF3F3F3"/>
      </top>
      <bottom style="thick">
        <color rgb="FF7C58E5"/>
      </bottom>
    </border>
    <border>
      <left style="thick">
        <color rgb="FF326EDC"/>
      </left>
      <right style="thin">
        <color rgb="FFF3F3F3"/>
      </right>
      <top style="thin">
        <color rgb="FFF3F3F3"/>
      </top>
      <bottom style="thin">
        <color rgb="FFF3F3F3"/>
      </bottom>
    </border>
    <border>
      <left style="thick">
        <color rgb="FF7C58E5"/>
      </left>
      <right style="thin">
        <color rgb="FFF3F3F3"/>
      </right>
      <top style="thin">
        <color rgb="FFF3F3F3"/>
      </top>
      <bottom style="thin">
        <color rgb="FFF3F3F3"/>
      </bottom>
    </border>
    <border>
      <left style="thick">
        <color rgb="FF326EDC"/>
      </left>
      <right style="thin">
        <color rgb="FFF3F3F3"/>
      </right>
      <bottom style="thin">
        <color rgb="FFF3F3F3"/>
      </bottom>
    </border>
    <border>
      <left style="thick">
        <color rgb="FF7C58E5"/>
      </left>
      <right style="thin">
        <color rgb="FFF3F3F3"/>
      </right>
      <bottom style="thin">
        <color rgb="FFF3F3F3"/>
      </bottom>
    </border>
    <border>
      <bottom style="thick">
        <color rgb="FF7C58E5"/>
      </bottom>
    </border>
    <border>
      <right style="thin">
        <color rgb="FFF3F3F3"/>
      </right>
      <bottom style="thick">
        <color rgb="FF7C58E5"/>
      </bottom>
    </border>
    <border>
      <left style="thick">
        <color rgb="FF326EDC"/>
      </left>
      <bottom style="thin">
        <color rgb="FFF3F3F3"/>
      </bottom>
    </border>
    <border>
      <left style="thick">
        <color rgb="FFE8E8E8"/>
      </left>
      <top style="thick">
        <color rgb="FFE8E8E8"/>
      </top>
    </border>
    <border>
      <right style="thin">
        <color rgb="FFE8E8E8"/>
      </right>
      <top style="thick">
        <color rgb="FFE8E8E8"/>
      </top>
    </border>
    <border>
      <left style="thick">
        <color rgb="FFF3F3F3"/>
      </left>
      <bottom style="thin">
        <color rgb="FFF3F3F3"/>
      </bottom>
    </border>
    <border>
      <left style="thick">
        <color rgb="FFE8E8E8"/>
      </left>
      <bottom style="thick">
        <color rgb="FFE8E8E8"/>
      </bottom>
    </border>
    <border>
      <right style="thin">
        <color rgb="FFE8E8E8"/>
      </right>
      <bottom style="thick">
        <color rgb="FFE8E8E8"/>
      </bottom>
    </border>
    <border>
      <left style="thick">
        <color rgb="FFF3F3F3"/>
      </left>
      <top style="thin">
        <color rgb="FFE8E8E8"/>
      </top>
      <bottom style="thin">
        <color rgb="FFE8E8E8"/>
      </bottom>
    </border>
    <border>
      <right style="thin">
        <color rgb="FFF3F3F3"/>
      </right>
      <top style="thin">
        <color rgb="FFE8E8E8"/>
      </top>
      <bottom style="thin">
        <color rgb="FFE8E8E8"/>
      </bottom>
    </border>
    <border>
      <left style="thick">
        <color rgb="FF326EDC"/>
      </left>
      <top style="thick">
        <color rgb="FF326EDC"/>
      </top>
    </border>
    <border>
      <top style="thick">
        <color rgb="FF326EDC"/>
      </top>
    </border>
    <border>
      <right style="thick">
        <color rgb="FF326EDC"/>
      </right>
      <top style="thick">
        <color rgb="FF326EDC"/>
      </top>
    </border>
    <border>
      <left style="thick">
        <color rgb="FF326EDC"/>
      </left>
      <top style="thick">
        <color rgb="FFF3F3F3"/>
      </top>
      <bottom style="thin">
        <color rgb="FFF3F3F3"/>
      </bottom>
    </border>
    <border>
      <right style="thick">
        <color rgb="FF326EDC"/>
      </right>
      <top style="thick">
        <color rgb="FFF3F3F3"/>
      </top>
      <bottom style="thin">
        <color rgb="FFF3F3F3"/>
      </bottom>
    </border>
    <border>
      <left style="thick">
        <color rgb="FF326EDC"/>
      </left>
      <top style="thick">
        <color rgb="FFF3F3F3"/>
      </top>
    </border>
    <border>
      <right style="thick">
        <color rgb="FF326EDC"/>
      </right>
      <top style="thick">
        <color rgb="FFF3F3F3"/>
      </top>
    </border>
    <border>
      <left style="thick">
        <color rgb="FFF3F3F3"/>
      </left>
      <top style="thin">
        <color rgb="FFE8E8E8"/>
      </top>
    </border>
    <border>
      <right style="thin">
        <color rgb="FFF3F3F3"/>
      </right>
      <top style="thin">
        <color rgb="FFE8E8E8"/>
      </top>
    </border>
    <border>
      <left style="thick">
        <color rgb="FFF3F3F3"/>
      </left>
      <bottom style="thin">
        <color rgb="FFE8E8E8"/>
      </bottom>
    </border>
    <border>
      <right style="thin">
        <color rgb="FFF3F3F3"/>
      </right>
      <bottom style="thin">
        <color rgb="FFE8E8E8"/>
      </bottom>
    </border>
    <border>
      <left style="thick">
        <color rgb="FF326EDC"/>
      </left>
      <top style="thick">
        <color rgb="FF326EDC"/>
      </top>
      <bottom style="thin">
        <color rgb="FFF3F3F3"/>
      </bottom>
    </border>
    <border>
      <top style="thick">
        <color rgb="FF326EDC"/>
      </top>
      <bottom style="thin">
        <color rgb="FFF3F3F3"/>
      </bottom>
    </border>
    <border>
      <right style="thin">
        <color rgb="FFF3F3F3"/>
      </right>
      <top style="thick">
        <color rgb="FF326EDC"/>
      </top>
      <bottom style="thin">
        <color rgb="FFF3F3F3"/>
      </bottom>
    </border>
    <border>
      <left style="thick">
        <color rgb="FFF3F3F3"/>
      </left>
      <top style="thick">
        <color rgb="FF326EDC"/>
      </top>
      <bottom style="thin">
        <color rgb="FFF3F3F3"/>
      </bottom>
    </border>
    <border>
      <right style="thick">
        <color rgb="FF326EDC"/>
      </right>
      <bottom style="thin">
        <color rgb="FFF3F3F3"/>
      </bottom>
    </border>
    <border>
      <left style="thick">
        <color rgb="FF7C58E5"/>
      </left>
      <right style="thin">
        <color rgb="FFF3F3F3"/>
      </right>
      <top style="thick">
        <color rgb="FF7C58E5"/>
      </top>
      <bottom style="thin">
        <color rgb="FFF3F3F3"/>
      </bottom>
    </border>
    <border>
      <right style="thin">
        <color rgb="FFF3F3F3"/>
      </right>
      <top style="thick">
        <color rgb="FF7C58E5"/>
      </top>
      <bottom style="thin">
        <color rgb="FFF3F3F3"/>
      </bottom>
    </border>
    <border>
      <left style="thick">
        <color rgb="FFF3F3F3"/>
      </left>
      <top style="thick">
        <color rgb="FF7C58E5"/>
      </top>
      <bottom style="thin">
        <color rgb="FFF3F3F3"/>
      </bottom>
    </border>
    <border>
      <top style="thick">
        <color rgb="FF7C58E5"/>
      </top>
      <bottom style="thin">
        <color rgb="FFF3F3F3"/>
      </bottom>
    </border>
    <border>
      <left style="thick">
        <color rgb="FF3E3A3A"/>
      </left>
      <right style="thin">
        <color rgb="FFF3F3F3"/>
      </right>
      <top style="thin">
        <color rgb="FFF3F3F3"/>
      </top>
      <bottom style="thick">
        <color rgb="FF3E3A3A"/>
      </bottom>
    </border>
    <border>
      <left style="thin">
        <color rgb="FFF3F3F3"/>
      </left>
      <right style="thin">
        <color rgb="FFF3F3F3"/>
      </right>
      <top style="thin">
        <color rgb="FFF3F3F3"/>
      </top>
      <bottom style="thick">
        <color rgb="FF3E3A3A"/>
      </bottom>
    </border>
    <border>
      <left style="thin">
        <color rgb="FFF3F3F3"/>
      </left>
      <right style="thin">
        <color rgb="FFF3F3F3"/>
      </right>
      <bottom style="thick">
        <color rgb="FF3E3A3A"/>
      </bottom>
    </border>
    <border>
      <left style="thin">
        <color rgb="FFF3F3F3"/>
      </left>
      <right style="thick">
        <color rgb="FF3E3A3A"/>
      </right>
      <top style="thin">
        <color rgb="FFF3F3F3"/>
      </top>
      <bottom style="thick">
        <color rgb="FF3E3A3A"/>
      </bottom>
    </border>
    <border>
      <left style="thin">
        <color rgb="FFF1C232"/>
      </left>
      <right style="thin">
        <color rgb="FFF1C232"/>
      </right>
      <bottom style="thin">
        <color rgb="FFF1C232"/>
      </bottom>
    </border>
    <border>
      <left style="thin">
        <color rgb="FF3E3A3A"/>
      </left>
      <top style="thin">
        <color rgb="FF3E3A3A"/>
      </top>
      <bottom style="thin">
        <color rgb="FF3E3A3A"/>
      </bottom>
    </border>
    <border>
      <left style="thick">
        <color rgb="FFFFFFFF"/>
      </left>
      <right style="thin">
        <color rgb="FFEFEFEF"/>
      </right>
      <top style="thick">
        <color rgb="FFFFFFFF"/>
      </top>
      <bottom style="thin">
        <color rgb="FFEFEFEF"/>
      </bottom>
    </border>
    <border>
      <left style="thin">
        <color rgb="FFEFEFEF"/>
      </left>
      <right style="thin">
        <color rgb="FFEFEFEF"/>
      </right>
      <top style="thick">
        <color rgb="FFFFFFFF"/>
      </top>
    </border>
    <border>
      <left style="thin">
        <color rgb="FFEFEFEF"/>
      </left>
      <top style="thick">
        <color rgb="FFFFFFFF"/>
      </top>
    </border>
    <border>
      <left style="thin">
        <color rgb="FFEFEFEF"/>
      </left>
      <right style="thick">
        <color rgb="FFFFFFFF"/>
      </right>
      <top style="thick">
        <color rgb="FFFFFFFF"/>
      </top>
      <bottom style="thin">
        <color rgb="FFEFEFEF"/>
      </bottom>
    </border>
    <border>
      <right style="thin">
        <color rgb="FF3E3A3A"/>
      </right>
      <top style="thin">
        <color rgb="FF3E3A3A"/>
      </top>
      <bottom style="thin">
        <color rgb="FF3E3A3A"/>
      </bottom>
    </border>
    <border>
      <left style="thick">
        <color rgb="FFFFFFFF"/>
      </left>
      <top style="thin">
        <color rgb="FFEFEFEF"/>
      </top>
      <bottom style="thin">
        <color rgb="FFEFEFEF"/>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thin">
        <color rgb="FFEFEFEF"/>
      </top>
    </border>
    <border>
      <left style="medium">
        <color rgb="FF000000"/>
      </left>
      <right style="medium">
        <color rgb="FF000000"/>
      </right>
      <top style="medium">
        <color rgb="FF000000"/>
      </top>
      <bottom style="medium">
        <color rgb="FF000000"/>
      </bottom>
    </border>
    <border>
      <right style="thick">
        <color rgb="FFFFFFFF"/>
      </right>
      <top style="thin">
        <color rgb="FFEFEFEF"/>
      </top>
      <bottom style="thin">
        <color rgb="FFEFEFEF"/>
      </bottom>
    </border>
    <border>
      <left style="thick">
        <color rgb="FFFFFFFF"/>
      </left>
      <right style="thin">
        <color rgb="FFEFEFEF"/>
      </right>
      <top style="thin">
        <color rgb="FFEFEFEF"/>
      </top>
      <bottom style="thin">
        <color rgb="FFEFEFEF"/>
      </bottom>
    </border>
    <border>
      <left style="thin">
        <color rgb="FFEFEFEF"/>
      </left>
      <right style="thin">
        <color rgb="FFEFEFEF"/>
      </right>
    </border>
    <border>
      <right style="thin">
        <color rgb="FFEFEFEF"/>
      </right>
    </border>
    <border>
      <left style="thin">
        <color rgb="FFEFEFEF"/>
      </left>
      <bottom style="thin">
        <color rgb="FFEFEFEF"/>
      </bottom>
    </border>
    <border>
      <left style="thin">
        <color rgb="FFEFEFEF"/>
      </left>
      <right style="thick">
        <color rgb="FFFFFFFF"/>
      </right>
      <top style="thin">
        <color rgb="FFEFEFEF"/>
      </top>
      <bottom style="thin">
        <color rgb="FFEFEFEF"/>
      </bottom>
    </border>
    <border>
      <left style="thin">
        <color rgb="FF3E3A3A"/>
      </left>
      <right style="thick">
        <color rgb="FFFFFFFF"/>
      </right>
      <top style="thin">
        <color rgb="FF3E3A3A"/>
      </top>
      <bottom style="thin">
        <color rgb="FF3E3A3A"/>
      </bottom>
    </border>
    <border>
      <right style="thin">
        <color rgb="FFEFEFEF"/>
      </right>
      <top style="thin">
        <color rgb="FFEFEFEF"/>
      </top>
      <bottom style="thin">
        <color rgb="FFEFEFEF"/>
      </bottom>
    </border>
    <border>
      <top style="thin">
        <color rgb="FFEFEFEF"/>
      </top>
      <bottom style="thick">
        <color rgb="FF3E3A3A"/>
      </bottom>
    </border>
    <border>
      <right style="thin">
        <color rgb="FFEFEFEF"/>
      </right>
      <top style="thin">
        <color rgb="FFEFEFEF"/>
      </top>
      <bottom style="thick">
        <color rgb="FF3E3A3A"/>
      </bottom>
    </border>
    <border>
      <left style="thick">
        <color rgb="FF3E3A3A"/>
      </left>
      <top style="thick">
        <color rgb="FF3E3A3A"/>
      </top>
    </border>
    <border>
      <left style="thin">
        <color rgb="FF8C949A"/>
      </left>
      <right style="thick">
        <color rgb="FF3E3A3A"/>
      </right>
      <top style="thick">
        <color rgb="FF3E3A3A"/>
      </top>
      <bottom style="thin">
        <color rgb="FF8C949A"/>
      </bottom>
    </border>
    <border>
      <left style="medium">
        <color rgb="FF000000"/>
      </left>
      <right style="medium">
        <color rgb="FF000000"/>
      </right>
      <top style="medium">
        <color rgb="FF000000"/>
      </top>
    </border>
    <border>
      <right style="thick">
        <color rgb="FFFFFFFF"/>
      </right>
      <top style="thin">
        <color rgb="FFEFEFEF"/>
      </top>
    </border>
    <border>
      <left style="thick">
        <color rgb="FF3E3A3A"/>
      </left>
    </border>
    <border>
      <left style="thin">
        <color rgb="FF8C949A"/>
      </left>
      <right style="thick">
        <color rgb="FF3E3A3A"/>
      </right>
      <top style="thin">
        <color rgb="FF8C949A"/>
      </top>
      <bottom style="thick">
        <color rgb="FF3E3A3A"/>
      </bottom>
    </border>
    <border>
      <left style="medium">
        <color rgb="FF000000"/>
      </left>
      <right style="medium">
        <color rgb="FF000000"/>
      </right>
    </border>
    <border>
      <right style="thick">
        <color rgb="FFFFFFFF"/>
      </right>
    </border>
    <border>
      <left style="thick">
        <color rgb="FF3E3A3A"/>
      </left>
      <bottom style="thick">
        <color rgb="FF3E3A3A"/>
      </bottom>
    </border>
    <border>
      <left style="thick">
        <color rgb="FF3E3A3A"/>
      </left>
      <right style="thin">
        <color rgb="FFEFEFEF"/>
      </right>
      <bottom style="thin">
        <color rgb="FFEFEFEF"/>
      </bottom>
    </border>
    <border>
      <left style="medium">
        <color rgb="FF000000"/>
      </left>
      <right style="medium">
        <color rgb="FF000000"/>
      </right>
      <bottom style="medium">
        <color rgb="FF000000"/>
      </bottom>
    </border>
    <border>
      <right style="thick">
        <color rgb="FFFFFFFF"/>
      </right>
      <bottom style="thin">
        <color rgb="FFEFEFEF"/>
      </bottom>
    </border>
    <border>
      <left style="thin">
        <color rgb="FFEFEFEF"/>
      </left>
      <right style="thin">
        <color rgb="FFEFEFEF"/>
      </right>
      <bottom style="thin">
        <color rgb="FFEFEFEF"/>
      </bottom>
    </border>
    <border>
      <left style="thin">
        <color rgb="FF518245"/>
      </left>
      <right style="thick">
        <color rgb="FF3E3A3A"/>
      </right>
      <top style="thick">
        <color rgb="FF3E3A3A"/>
      </top>
      <bottom style="thin">
        <color rgb="FF518245"/>
      </bottom>
    </border>
    <border>
      <left style="thin">
        <color rgb="FFEFEFEF"/>
      </left>
      <right style="thick">
        <color rgb="FFFFFFFF"/>
      </right>
      <top style="thin">
        <color rgb="FFEFEFEF"/>
      </top>
    </border>
    <border>
      <left style="thin">
        <color rgb="FF518245"/>
      </left>
      <right style="thick">
        <color rgb="FF3E3A3A"/>
      </right>
      <top style="thin">
        <color rgb="FF518245"/>
      </top>
      <bottom style="thick">
        <color rgb="FF3E3A3A"/>
      </bottom>
    </border>
    <border>
      <left style="thin">
        <color rgb="FFEFEFEF"/>
      </left>
      <right style="thick">
        <color rgb="FFFFFFFF"/>
      </right>
    </border>
    <border>
      <left style="thin">
        <color rgb="FFEFEFEF"/>
      </left>
      <right style="thick">
        <color rgb="FFFFFFFF"/>
      </right>
      <bottom style="thin">
        <color rgb="FFEFEFEF"/>
      </bottom>
    </border>
    <border>
      <left style="thin">
        <color rgb="FFEFEFEF"/>
      </left>
      <top style="thin">
        <color rgb="FFEFEFEF"/>
      </top>
      <bottom style="thin">
        <color rgb="FFEFEFEF"/>
      </bottom>
    </border>
    <border>
      <left style="thin">
        <color rgb="FFD9B6B5"/>
      </left>
      <right style="thick">
        <color rgb="FF3E3A3A"/>
      </right>
      <top style="thick">
        <color rgb="FF3E3A3A"/>
      </top>
      <bottom style="thin">
        <color rgb="FFD9B6B5"/>
      </bottom>
    </border>
    <border>
      <left style="thin">
        <color rgb="FFD9B6B5"/>
      </left>
      <right style="thick">
        <color rgb="FF3E3A3A"/>
      </right>
      <top style="thin">
        <color rgb="FFD9B6B5"/>
      </top>
      <bottom style="thick">
        <color rgb="FF3E3A3A"/>
      </bottom>
    </border>
    <border>
      <top style="thin">
        <color rgb="FFEFEFEF"/>
      </top>
      <bottom style="thin">
        <color rgb="FFEFEFEF"/>
      </bottom>
    </border>
    <border>
      <left style="thin">
        <color rgb="FFF9516C"/>
      </left>
      <right style="thick">
        <color rgb="FF3E3A3A"/>
      </right>
      <top style="thick">
        <color rgb="FF3E3A3A"/>
      </top>
      <bottom style="thin">
        <color rgb="FFF9516C"/>
      </bottom>
    </border>
    <border>
      <left style="thin">
        <color rgb="FFF9516C"/>
      </left>
      <right style="thick">
        <color rgb="FF3E3A3A"/>
      </right>
      <top style="thin">
        <color rgb="FFF9516C"/>
      </top>
      <bottom style="thick">
        <color rgb="FF3E3A3A"/>
      </bottom>
    </border>
    <border>
      <left style="thin">
        <color rgb="FF90C12C"/>
      </left>
      <right style="thick">
        <color rgb="FF3E3A3A"/>
      </right>
      <top style="thick">
        <color rgb="FF3E3A3A"/>
      </top>
      <bottom style="thin">
        <color rgb="FF90C12C"/>
      </bottom>
    </border>
    <border>
      <left style="thin">
        <color rgb="FF90C12C"/>
      </left>
      <right style="thick">
        <color rgb="FF3E3A3A"/>
      </right>
      <top style="thin">
        <color rgb="FF90C12C"/>
      </top>
      <bottom style="thick">
        <color rgb="FF3E3A3A"/>
      </bottom>
    </border>
    <border>
      <left style="thin">
        <color rgb="FFA8E0D5"/>
      </left>
      <right style="thick">
        <color rgb="FF3E3A3A"/>
      </right>
      <top style="thick">
        <color rgb="FF3E3A3A"/>
      </top>
      <bottom style="thin">
        <color rgb="FFA8E0D5"/>
      </bottom>
    </border>
    <border>
      <left style="thin">
        <color rgb="FFA8E0D5"/>
      </left>
      <right style="thick">
        <color rgb="FF3E3A3A"/>
      </right>
      <top style="thin">
        <color rgb="FFA8E0D5"/>
      </top>
      <bottom style="thick">
        <color rgb="FF3E3A3A"/>
      </bottom>
    </border>
    <border>
      <left style="thin">
        <color rgb="FFAA9888"/>
      </left>
      <right style="thick">
        <color rgb="FF3E3A3A"/>
      </right>
      <top style="thick">
        <color rgb="FF3E3A3A"/>
      </top>
      <bottom style="thin">
        <color rgb="FFAA9888"/>
      </bottom>
    </border>
    <border>
      <left style="thin">
        <color rgb="FFAA9888"/>
      </left>
      <right style="thick">
        <color rgb="FF3E3A3A"/>
      </right>
      <top style="thin">
        <color rgb="FFAA9888"/>
      </top>
      <bottom style="thick">
        <color rgb="FF3E3A3A"/>
      </bottom>
    </border>
    <border>
      <left style="thin">
        <color rgb="FFEFEFEF"/>
      </left>
      <top style="thin">
        <color rgb="FFEFEFEF"/>
      </top>
    </border>
    <border>
      <left style="thin">
        <color rgb="FF6D7698"/>
      </left>
      <right style="thick">
        <color rgb="FF3E3A3A"/>
      </right>
      <top style="thick">
        <color rgb="FF3E3A3A"/>
      </top>
      <bottom style="thin">
        <color rgb="FF6D7698"/>
      </bottom>
    </border>
    <border>
      <left style="thin">
        <color rgb="FF6D7698"/>
      </left>
      <right style="thick">
        <color rgb="FF3E3A3A"/>
      </right>
      <top style="thin">
        <color rgb="FF6D7698"/>
      </top>
      <bottom style="thick">
        <color rgb="FF3E3A3A"/>
      </bottom>
    </border>
    <border>
      <left style="thin">
        <color rgb="FF5492A4"/>
      </left>
      <right style="thick">
        <color rgb="FF3E3A3A"/>
      </right>
      <top style="thick">
        <color rgb="FF3E3A3A"/>
      </top>
      <bottom style="thin">
        <color rgb="FF5492A4"/>
      </bottom>
    </border>
    <border>
      <left style="thin">
        <color rgb="FF5492A4"/>
      </left>
      <right style="thick">
        <color rgb="FF3E3A3A"/>
      </right>
      <top style="thin">
        <color rgb="FF5492A4"/>
      </top>
      <bottom style="thick">
        <color rgb="FF3E3A3A"/>
      </bottom>
    </border>
    <border>
      <left style="thin">
        <color rgb="FFE3BA20"/>
      </left>
      <right style="thick">
        <color rgb="FF3E3A3A"/>
      </right>
      <top style="thick">
        <color rgb="FF3E3A3A"/>
      </top>
      <bottom style="thin">
        <color rgb="FFE3BA20"/>
      </bottom>
    </border>
    <border>
      <left style="thin">
        <color rgb="FFE3BA20"/>
      </left>
      <right style="thick">
        <color rgb="FF3E3A3A"/>
      </right>
      <top style="thin">
        <color rgb="FFE3BA20"/>
      </top>
      <bottom style="thick">
        <color rgb="FF3E3A3A"/>
      </bottom>
    </border>
    <border>
      <left style="thick">
        <color rgb="FF3E3A3A"/>
      </left>
      <right style="thin">
        <color rgb="FF52A494"/>
      </right>
      <top style="thick">
        <color rgb="FF3E3A3A"/>
      </top>
    </border>
    <border>
      <left style="thin">
        <color rgb="FF52A494"/>
      </left>
      <right style="thick">
        <color rgb="FF3E3A3A"/>
      </right>
      <top style="thick">
        <color rgb="FF3E3A3A"/>
      </top>
      <bottom style="thin">
        <color rgb="FF52A494"/>
      </bottom>
    </border>
    <border>
      <left style="thick">
        <color rgb="FF3E3A3A"/>
      </left>
      <right style="thin">
        <color rgb="FF52A494"/>
      </right>
    </border>
    <border>
      <left style="thin">
        <color rgb="FF52A494"/>
      </left>
      <right style="thick">
        <color rgb="FF3E3A3A"/>
      </right>
      <top style="thin">
        <color rgb="FF52A494"/>
      </top>
      <bottom style="thick">
        <color rgb="FF3E3A3A"/>
      </bottom>
    </border>
    <border>
      <left style="thick">
        <color rgb="FF3E3A3A"/>
      </left>
      <right style="thin">
        <color rgb="FF52A494"/>
      </right>
      <bottom style="thick">
        <color rgb="FF3E3A3A"/>
      </bottom>
    </border>
    <border>
      <left style="thick">
        <color rgb="FF3E3A3A"/>
      </left>
      <right style="thin">
        <color rgb="FF4F4F4F"/>
      </right>
      <top style="thick">
        <color rgb="FF3E3A3A"/>
      </top>
    </border>
    <border>
      <left style="thin">
        <color rgb="FF4F4F4F"/>
      </left>
      <right style="thick">
        <color rgb="FF3E3A3A"/>
      </right>
      <top style="thick">
        <color rgb="FF3E3A3A"/>
      </top>
      <bottom style="thin">
        <color rgb="FF4F4F4F"/>
      </bottom>
    </border>
    <border>
      <left style="thick">
        <color rgb="FF3E3A3A"/>
      </left>
      <right style="thin">
        <color rgb="FF4F4F4F"/>
      </right>
    </border>
    <border>
      <left style="thin">
        <color rgb="FF4F4F4F"/>
      </left>
      <right style="thick">
        <color rgb="FF3E3A3A"/>
      </right>
      <top style="thin">
        <color rgb="FF4F4F4F"/>
      </top>
      <bottom style="thick">
        <color rgb="FF3E3A3A"/>
      </bottom>
    </border>
    <border>
      <left style="thick">
        <color rgb="FF3E3A3A"/>
      </left>
      <right style="thin">
        <color rgb="FF4F4F4F"/>
      </right>
      <bottom style="thick">
        <color rgb="FF3E3A3A"/>
      </bottom>
    </border>
    <border>
      <left style="thick">
        <color rgb="FF3E3A3A"/>
      </left>
      <right style="thin">
        <color rgb="FF3883C8"/>
      </right>
      <top style="thick">
        <color rgb="FF3E3A3A"/>
      </top>
    </border>
    <border>
      <left style="thin">
        <color rgb="FF3883C8"/>
      </left>
      <right style="thick">
        <color rgb="FF3E3A3A"/>
      </right>
      <top style="thick">
        <color rgb="FF3E3A3A"/>
      </top>
      <bottom style="thin">
        <color rgb="FF3883C8"/>
      </bottom>
    </border>
    <border>
      <left style="thick">
        <color rgb="FF3E3A3A"/>
      </left>
      <right style="thin">
        <color rgb="FF3883C8"/>
      </right>
    </border>
    <border>
      <left style="thin">
        <color rgb="FF3883C8"/>
      </left>
      <right style="thick">
        <color rgb="FF3E3A3A"/>
      </right>
      <top style="thin">
        <color rgb="FF3883C8"/>
      </top>
      <bottom style="thick">
        <color rgb="FF3E3A3A"/>
      </bottom>
    </border>
    <border>
      <left style="thick">
        <color rgb="FF3E3A3A"/>
      </left>
      <right style="thin">
        <color rgb="FF3883C8"/>
      </right>
      <bottom style="thick">
        <color rgb="FF3E3A3A"/>
      </bottom>
    </border>
    <border>
      <left style="thin">
        <color rgb="FFC1ADA4"/>
      </left>
      <right style="thick">
        <color rgb="FF3E3A3A"/>
      </right>
      <top style="thick">
        <color rgb="FF3E3A3A"/>
      </top>
      <bottom style="thin">
        <color rgb="FFC1ADA4"/>
      </bottom>
    </border>
    <border>
      <left style="thin">
        <color rgb="FFC1ADA4"/>
      </left>
      <right style="thick">
        <color rgb="FF3E3A3A"/>
      </right>
      <top style="thin">
        <color rgb="FFC1ADA4"/>
      </top>
      <bottom style="thick">
        <color rgb="FF3E3A3A"/>
      </bottom>
    </border>
    <border>
      <left style="thin">
        <color rgb="FF4461B0"/>
      </left>
      <right style="thick">
        <color rgb="FF3E3A3A"/>
      </right>
      <top style="thick">
        <color rgb="FF3E3A3A"/>
      </top>
      <bottom style="thin">
        <color rgb="FF4461B0"/>
      </bottom>
    </border>
    <border>
      <left style="thin">
        <color rgb="FF4461B0"/>
      </left>
      <right style="thick">
        <color rgb="FF3E3A3A"/>
      </right>
      <top style="thin">
        <color rgb="FF4461B0"/>
      </top>
      <bottom style="thick">
        <color rgb="FF3E3A3A"/>
      </bottom>
    </border>
    <border>
      <left style="thin">
        <color rgb="FF8C8C8C"/>
      </left>
      <right style="thick">
        <color rgb="FF3E3A3A"/>
      </right>
      <top style="thick">
        <color rgb="FF3E3A3A"/>
      </top>
      <bottom style="thin">
        <color rgb="FF8C8C8C"/>
      </bottom>
    </border>
    <border>
      <left style="thin">
        <color rgb="FF8C8C8C"/>
      </left>
      <right style="thick">
        <color rgb="FF3E3A3A"/>
      </right>
      <top style="thin">
        <color rgb="FF8C8C8C"/>
      </top>
      <bottom style="thick">
        <color rgb="FF3E3A3A"/>
      </bottom>
    </border>
    <border>
      <left style="thin">
        <color rgb="FF7A3209"/>
      </left>
      <right style="thick">
        <color rgb="FF3E3A3A"/>
      </right>
      <top style="thick">
        <color rgb="FF3E3A3A"/>
      </top>
      <bottom style="thin">
        <color rgb="FF7A3209"/>
      </bottom>
    </border>
    <border>
      <left style="thin">
        <color rgb="FF7A3209"/>
      </left>
      <right style="thick">
        <color rgb="FF3E3A3A"/>
      </right>
      <top style="thin">
        <color rgb="FF7A3209"/>
      </top>
      <bottom style="thick">
        <color rgb="FF3E3A3A"/>
      </bottom>
    </border>
    <border>
      <left style="thin">
        <color rgb="FFF4DC26"/>
      </left>
      <right style="thick">
        <color rgb="FF3E3A3A"/>
      </right>
      <top style="thick">
        <color rgb="FF3E3A3A"/>
      </top>
      <bottom style="thin">
        <color rgb="FFF4DC26"/>
      </bottom>
    </border>
    <border>
      <left style="thin">
        <color rgb="FFF4DC26"/>
      </left>
      <right style="thick">
        <color rgb="FF3E3A3A"/>
      </right>
      <top style="thin">
        <color rgb="FFF4DC26"/>
      </top>
      <bottom style="thick">
        <color rgb="FF3E3A3A"/>
      </bottom>
    </border>
    <border>
      <left style="thin">
        <color rgb="FFE08C59"/>
      </left>
      <right style="thick">
        <color rgb="FF3E3A3A"/>
      </right>
      <top style="thick">
        <color rgb="FF3E3A3A"/>
      </top>
      <bottom style="thin">
        <color rgb="FFE08C59"/>
      </bottom>
    </border>
    <border>
      <left style="thin">
        <color rgb="FFE08C59"/>
      </left>
      <right style="thick">
        <color rgb="FF3E3A3A"/>
      </right>
      <top style="thin">
        <color rgb="FFE08C59"/>
      </top>
      <bottom style="thick">
        <color rgb="FF3E3A3A"/>
      </bottom>
    </border>
    <border>
      <left style="thin">
        <color rgb="FF6D5387"/>
      </left>
      <right style="thick">
        <color rgb="FF3E3A3A"/>
      </right>
      <top style="thick">
        <color rgb="FF3E3A3A"/>
      </top>
      <bottom style="thin">
        <color rgb="FF6D5387"/>
      </bottom>
    </border>
    <border>
      <left style="thin">
        <color rgb="FF6D5387"/>
      </left>
      <right style="thick">
        <color rgb="FF3E3A3A"/>
      </right>
      <top style="thin">
        <color rgb="FF6D5387"/>
      </top>
      <bottom style="thick">
        <color rgb="FF3E3A3A"/>
      </bottom>
    </border>
    <border>
      <left style="thick">
        <color rgb="FF3E3A3A"/>
      </left>
      <right style="thin">
        <color rgb="FF528D55"/>
      </right>
      <top style="thick">
        <color rgb="FF3E3A3A"/>
      </top>
    </border>
    <border>
      <left style="thin">
        <color rgb="FF528D55"/>
      </left>
      <right style="thick">
        <color rgb="FF3E3A3A"/>
      </right>
      <top style="thick">
        <color rgb="FF3E3A3A"/>
      </top>
      <bottom style="thin">
        <color rgb="FF528D55"/>
      </bottom>
    </border>
    <border>
      <left style="thick">
        <color rgb="FF3E3A3A"/>
      </left>
      <right style="thin">
        <color rgb="FF528D55"/>
      </right>
    </border>
    <border>
      <left style="thin">
        <color rgb="FF528D55"/>
      </left>
      <right style="thick">
        <color rgb="FF3E3A3A"/>
      </right>
      <top style="thin">
        <color rgb="FF528D55"/>
      </top>
      <bottom style="thick">
        <color rgb="FF3E3A3A"/>
      </bottom>
    </border>
    <border>
      <left style="thick">
        <color rgb="FF3E3A3A"/>
      </left>
      <right style="thin">
        <color rgb="FF528D55"/>
      </right>
      <bottom style="thick">
        <color rgb="FF3E3A3A"/>
      </bottom>
    </border>
    <border>
      <left style="thin">
        <color rgb="FFEFEFEF"/>
      </left>
    </border>
    <border>
      <right style="thin">
        <color rgb="FFEFEFEF"/>
      </right>
      <bottom style="thin">
        <color rgb="FFEFEFEF"/>
      </bottom>
    </border>
    <border>
      <left style="medium">
        <color rgb="FF6C5A5A"/>
      </left>
      <right style="thick">
        <color rgb="FF3E3A3A"/>
      </right>
      <top style="thick">
        <color rgb="FF3E3A3A"/>
      </top>
      <bottom style="medium">
        <color rgb="FF6C5A5A"/>
      </bottom>
    </border>
    <border>
      <left style="medium">
        <color rgb="FF6C5A5A"/>
      </left>
      <right style="thick">
        <color rgb="FF3E3A3A"/>
      </right>
      <top style="medium">
        <color rgb="FF6C5A5A"/>
      </top>
      <bottom style="thick">
        <color rgb="FF3E3A3A"/>
      </bottom>
    </border>
    <border>
      <left style="thin">
        <color rgb="FF506A5E"/>
      </left>
      <right style="thick">
        <color rgb="FF3E3A3A"/>
      </right>
      <top style="thick">
        <color rgb="FF3E3A3A"/>
      </top>
      <bottom style="thin">
        <color rgb="FF506A5E"/>
      </bottom>
    </border>
    <border>
      <left style="thin">
        <color rgb="FF506A5E"/>
      </left>
      <right style="thick">
        <color rgb="FF3E3A3A"/>
      </right>
      <top style="thin">
        <color rgb="FF506A5E"/>
      </top>
      <bottom style="thick">
        <color rgb="FF3E3A3A"/>
      </bottom>
    </border>
    <border>
      <left style="medium">
        <color rgb="FF434343"/>
      </left>
      <right style="thick">
        <color rgb="FF3E3A3A"/>
      </right>
      <top style="thick">
        <color rgb="FF3E3A3A"/>
      </top>
      <bottom style="medium">
        <color rgb="FF434343"/>
      </bottom>
    </border>
    <border>
      <left style="medium">
        <color rgb="FF434343"/>
      </left>
      <right style="thick">
        <color rgb="FF3E3A3A"/>
      </right>
      <top style="medium">
        <color rgb="FF434343"/>
      </top>
      <bottom style="thick">
        <color rgb="FF3E3A3A"/>
      </bottom>
    </border>
    <border>
      <left style="thin">
        <color rgb="FFAD9FCB"/>
      </left>
      <right style="thick">
        <color rgb="FF3E3A3A"/>
      </right>
      <top style="thick">
        <color rgb="FF3E3A3A"/>
      </top>
      <bottom style="thin">
        <color rgb="FFAD9FCB"/>
      </bottom>
    </border>
    <border>
      <left style="thin">
        <color rgb="FFAD9FCB"/>
      </left>
      <right style="thick">
        <color rgb="FF3E3A3A"/>
      </right>
      <top style="thin">
        <color rgb="FFAD9FCB"/>
      </top>
      <bottom style="thick">
        <color rgb="FF3E3A3A"/>
      </bottom>
    </border>
    <border>
      <left style="thin">
        <color rgb="FFD5BB57"/>
      </left>
      <right style="thick">
        <color rgb="FF3E3A3A"/>
      </right>
      <top style="thick">
        <color rgb="FF3E3A3A"/>
      </top>
      <bottom style="thin">
        <color rgb="FFD5BB57"/>
      </bottom>
    </border>
    <border>
      <left style="thin">
        <color rgb="FFD5BB57"/>
      </left>
      <right style="thick">
        <color rgb="FF3E3A3A"/>
      </right>
      <top style="thin">
        <color rgb="FFD5BB57"/>
      </top>
      <bottom style="thick">
        <color rgb="FF3E3A3A"/>
      </bottom>
    </border>
    <border>
      <left style="thin">
        <color rgb="FFA84D3D"/>
      </left>
      <right style="thick">
        <color rgb="FF3E3A3A"/>
      </right>
      <top style="thick">
        <color rgb="FF3E3A3A"/>
      </top>
      <bottom style="thin">
        <color rgb="FFA84D3D"/>
      </bottom>
    </border>
    <border>
      <left style="thin">
        <color rgb="FFA84D3D"/>
      </left>
      <right style="thick">
        <color rgb="FF3E3A3A"/>
      </right>
      <top style="thin">
        <color rgb="FFA84D3D"/>
      </top>
      <bottom style="thick">
        <color rgb="FF3E3A3A"/>
      </bottom>
    </border>
    <border>
      <left style="thin">
        <color rgb="FFD571E5"/>
      </left>
      <right style="thick">
        <color rgb="FF3E3A3A"/>
      </right>
      <top style="thick">
        <color rgb="FF3E3A3A"/>
      </top>
      <bottom style="thin">
        <color rgb="FFD571E5"/>
      </bottom>
    </border>
    <border>
      <left style="thin">
        <color rgb="FFD571E5"/>
      </left>
      <right style="thick">
        <color rgb="FF3E3A3A"/>
      </right>
      <top style="thin">
        <color rgb="FFD571E5"/>
      </top>
      <bottom style="thick">
        <color rgb="FF3E3A3A"/>
      </bottom>
    </border>
    <border>
      <left style="thin">
        <color rgb="FF70A8B8"/>
      </left>
      <right style="thick">
        <color rgb="FF3E3A3A"/>
      </right>
      <top style="thick">
        <color rgb="FF3E3A3A"/>
      </top>
      <bottom style="thin">
        <color rgb="FF70A8B8"/>
      </bottom>
    </border>
    <border>
      <left style="thin">
        <color rgb="FF70A8B8"/>
      </left>
      <right style="thick">
        <color rgb="FF3E3A3A"/>
      </right>
      <top style="thin">
        <color rgb="FF70A8B8"/>
      </top>
      <bottom style="thick">
        <color rgb="FF3E3A3A"/>
      </bottom>
    </border>
    <border>
      <left style="thin">
        <color rgb="FFA6B1C9"/>
      </left>
      <right style="thick">
        <color rgb="FF3E3A3A"/>
      </right>
      <top style="thick">
        <color rgb="FF3E3A3A"/>
      </top>
      <bottom style="thin">
        <color rgb="FFA6B1C9"/>
      </bottom>
    </border>
    <border>
      <left style="thin">
        <color rgb="FFA6B1C9"/>
      </left>
      <right style="thick">
        <color rgb="FF3E3A3A"/>
      </right>
      <top style="thin">
        <color rgb="FFA6B1C9"/>
      </top>
      <bottom style="thick">
        <color rgb="FF3E3A3A"/>
      </bottom>
    </border>
    <border>
      <left style="thin">
        <color rgb="FF009EE6"/>
      </left>
      <right style="thick">
        <color rgb="FF3E3A3A"/>
      </right>
      <top style="thick">
        <color rgb="FF3E3A3A"/>
      </top>
      <bottom style="thin">
        <color rgb="FF009EE6"/>
      </bottom>
    </border>
    <border>
      <left style="thin">
        <color rgb="FF009EE6"/>
      </left>
      <right style="thick">
        <color rgb="FF3E3A3A"/>
      </right>
      <top style="thin">
        <color rgb="FF009EE6"/>
      </top>
      <bottom style="thick">
        <color rgb="FF3E3A3A"/>
      </bottom>
    </border>
    <border>
      <left style="thin">
        <color rgb="FF438FDF"/>
      </left>
      <right style="thick">
        <color rgb="FF3E3A3A"/>
      </right>
      <top style="thick">
        <color rgb="FF3E3A3A"/>
      </top>
      <bottom style="thin">
        <color rgb="FF438FDF"/>
      </bottom>
    </border>
    <border>
      <left style="thin">
        <color rgb="FF438FDF"/>
      </left>
      <right style="thick">
        <color rgb="FF3E3A3A"/>
      </right>
      <top style="thin">
        <color rgb="FF438FDF"/>
      </top>
      <bottom style="thick">
        <color rgb="FF3E3A3A"/>
      </bottom>
    </border>
    <border>
      <left style="thin">
        <color rgb="FFA84038"/>
      </left>
      <right style="thick">
        <color rgb="FF3E3A3A"/>
      </right>
      <top style="thick">
        <color rgb="FF3E3A3A"/>
      </top>
      <bottom style="thin">
        <color rgb="FFA84038"/>
      </bottom>
    </border>
    <border>
      <left style="thin">
        <color rgb="FFA84038"/>
      </left>
      <right style="thick">
        <color rgb="FF3E3A3A"/>
      </right>
      <top style="thin">
        <color rgb="FFA84038"/>
      </top>
      <bottom style="thick">
        <color rgb="FF3E3A3A"/>
      </bottom>
    </border>
    <border>
      <left style="thin">
        <color rgb="FF954DDF"/>
      </left>
      <right style="thick">
        <color rgb="FF3E3A3A"/>
      </right>
      <top style="thick">
        <color rgb="FF3E3A3A"/>
      </top>
      <bottom style="thin">
        <color rgb="FF954DDF"/>
      </bottom>
    </border>
    <border>
      <left style="thin">
        <color rgb="FF954DDF"/>
      </left>
      <right style="thick">
        <color rgb="FF3E3A3A"/>
      </right>
      <top style="thin">
        <color rgb="FF954DDF"/>
      </top>
      <bottom style="thick">
        <color rgb="FF3E3A3A"/>
      </bottom>
    </border>
    <border>
      <left style="thin">
        <color rgb="FFC14444"/>
      </left>
      <right style="thick">
        <color rgb="FF3E3A3A"/>
      </right>
      <top style="thick">
        <color rgb="FF3E3A3A"/>
      </top>
      <bottom style="thin">
        <color rgb="FFC14444"/>
      </bottom>
    </border>
    <border>
      <left style="thin">
        <color rgb="FFC14444"/>
      </left>
      <right style="thick">
        <color rgb="FF3E3A3A"/>
      </right>
      <top style="thin">
        <color rgb="FFC14444"/>
      </top>
      <bottom style="thick">
        <color rgb="FF3E3A3A"/>
      </bottom>
    </border>
    <border>
      <left style="thin">
        <color rgb="FF8E6686"/>
      </left>
      <right style="thick">
        <color rgb="FF3E3A3A"/>
      </right>
      <top style="thick">
        <color rgb="FF3E3A3A"/>
      </top>
      <bottom style="thin">
        <color rgb="FF8E6686"/>
      </bottom>
    </border>
    <border>
      <left style="thin">
        <color rgb="FF8E6686"/>
      </left>
      <right style="thick">
        <color rgb="FF3E3A3A"/>
      </right>
      <top style="thin">
        <color rgb="FF8E6686"/>
      </top>
      <bottom style="thick">
        <color rgb="FF3E3A3A"/>
      </bottom>
    </border>
    <border>
      <left style="thin">
        <color rgb="FFE6AF5F"/>
      </left>
      <right style="thick">
        <color rgb="FF3E3A3A"/>
      </right>
      <top style="thick">
        <color rgb="FF3E3A3A"/>
      </top>
      <bottom style="thin">
        <color rgb="FFE6AF5F"/>
      </bottom>
    </border>
    <border>
      <left style="thin">
        <color rgb="FFE6AF5F"/>
      </left>
      <right style="thick">
        <color rgb="FF3E3A3A"/>
      </right>
      <top style="thin">
        <color rgb="FFE6AF5F"/>
      </top>
      <bottom style="thick">
        <color rgb="FF3E3A3A"/>
      </bottom>
    </border>
    <border>
      <left style="thin">
        <color rgb="FF7DD4FF"/>
      </left>
      <right style="thick">
        <color rgb="FF3E3A3A"/>
      </right>
      <top style="thick">
        <color rgb="FF3E3A3A"/>
      </top>
      <bottom style="thin">
        <color rgb="FF7DD4FF"/>
      </bottom>
    </border>
    <border>
      <left style="thin">
        <color rgb="FF7DD4FF"/>
      </left>
      <right style="thick">
        <color rgb="FF3E3A3A"/>
      </right>
      <top style="thin">
        <color rgb="FF7DD4FF"/>
      </top>
      <bottom style="thick">
        <color rgb="FF3E3A3A"/>
      </bottom>
    </border>
    <border>
      <left style="thin">
        <color rgb="FFF16949"/>
      </left>
      <right style="thick">
        <color rgb="FF3E3A3A"/>
      </right>
      <top style="thick">
        <color rgb="FF3E3A3A"/>
      </top>
      <bottom style="thin">
        <color rgb="FFF16949"/>
      </bottom>
    </border>
    <border>
      <left style="thin">
        <color rgb="FFF16949"/>
      </left>
      <right style="thick">
        <color rgb="FF3E3A3A"/>
      </right>
      <top style="thin">
        <color rgb="FFF16949"/>
      </top>
      <bottom style="thick">
        <color rgb="FF3E3A3A"/>
      </bottom>
    </border>
    <border>
      <left style="thin">
        <color rgb="FFB7B7C5"/>
      </left>
      <right style="thick">
        <color rgb="FF3E3A3A"/>
      </right>
      <top style="thick">
        <color rgb="FF3E3A3A"/>
      </top>
      <bottom style="thin">
        <color rgb="FFB7B7C5"/>
      </bottom>
    </border>
    <border>
      <left style="thin">
        <color rgb="FFB7B7C5"/>
      </left>
      <right style="thick">
        <color rgb="FF3E3A3A"/>
      </right>
      <top style="thin">
        <color rgb="FFB7B7C5"/>
      </top>
      <bottom style="thick">
        <color rgb="FF3E3A3A"/>
      </bottom>
    </border>
    <border>
      <left style="thin">
        <color rgb="FF0FA553"/>
      </left>
      <right style="thick">
        <color rgb="FF3E3A3A"/>
      </right>
      <top style="thick">
        <color rgb="FF3E3A3A"/>
      </top>
      <bottom style="thin">
        <color rgb="FF0FA553"/>
      </bottom>
    </border>
    <border>
      <left style="thin">
        <color rgb="FF0FA553"/>
      </left>
      <right style="thick">
        <color rgb="FF3E3A3A"/>
      </right>
      <top style="thin">
        <color rgb="FF0FA553"/>
      </top>
      <bottom style="thick">
        <color rgb="FF3E3A3A"/>
      </bottom>
    </border>
    <border>
      <left style="thin">
        <color rgb="FF798EA4"/>
      </left>
      <right style="thick">
        <color rgb="FF3E3A3A"/>
      </right>
      <top style="thick">
        <color rgb="FF3E3A3A"/>
      </top>
      <bottom style="thin">
        <color rgb="FF798EA4"/>
      </bottom>
    </border>
    <border>
      <left style="thin">
        <color rgb="FF798EA4"/>
      </left>
      <right style="thick">
        <color rgb="FF3E3A3A"/>
      </right>
      <top style="thin">
        <color rgb="FF798EA4"/>
      </top>
      <bottom style="thick">
        <color rgb="FF3E3A3A"/>
      </bottom>
    </border>
    <border>
      <left style="thin">
        <color rgb="FFC83850"/>
      </left>
      <right style="thick">
        <color rgb="FF3E3A3A"/>
      </right>
      <top style="thick">
        <color rgb="FF3E3A3A"/>
      </top>
      <bottom style="thin">
        <color rgb="FFC83850"/>
      </bottom>
    </border>
    <border>
      <left style="thin">
        <color rgb="FFC83850"/>
      </left>
      <right style="thick">
        <color rgb="FF3E3A3A"/>
      </right>
      <top style="thin">
        <color rgb="FFC83850"/>
      </top>
      <bottom style="thick">
        <color rgb="FF3E3A3A"/>
      </bottom>
    </border>
    <border>
      <left style="thin">
        <color rgb="FFBE5252"/>
      </left>
      <right style="thick">
        <color rgb="FF3E3A3A"/>
      </right>
      <top style="thick">
        <color rgb="FF3E3A3A"/>
      </top>
      <bottom style="thin">
        <color rgb="FFBE5252"/>
      </bottom>
    </border>
    <border>
      <left style="thin">
        <color rgb="FFBE5252"/>
      </left>
      <right style="thick">
        <color rgb="FF3E3A3A"/>
      </right>
      <top style="thin">
        <color rgb="FFBE5252"/>
      </top>
      <bottom style="thick">
        <color rgb="FF3E3A3A"/>
      </bottom>
    </border>
    <border>
      <left style="thin">
        <color rgb="FFFC675F"/>
      </left>
      <right style="thick">
        <color rgb="FF3E3A3A"/>
      </right>
      <top style="thick">
        <color rgb="FF3E3A3A"/>
      </top>
      <bottom style="thin">
        <color rgb="FFFC675F"/>
      </bottom>
    </border>
    <border>
      <left style="thin">
        <color rgb="FFFC675F"/>
      </left>
      <right style="thick">
        <color rgb="FF3E3A3A"/>
      </right>
      <top style="thin">
        <color rgb="FFFC675F"/>
      </top>
      <bottom style="thick">
        <color rgb="FF3E3A3A"/>
      </bottom>
    </border>
    <border>
      <left style="thin">
        <color rgb="FF8B7DF1"/>
      </left>
      <right style="thick">
        <color rgb="FF3E3A3A"/>
      </right>
      <top style="thick">
        <color rgb="FF3E3A3A"/>
      </top>
      <bottom style="thin">
        <color rgb="FF8B7DF1"/>
      </bottom>
    </border>
    <border>
      <left style="thin">
        <color rgb="FF8B7DF1"/>
      </left>
      <right style="thick">
        <color rgb="FF3E3A3A"/>
      </right>
      <top style="thin">
        <color rgb="FF8B7DF1"/>
      </top>
      <bottom style="thick">
        <color rgb="FF3E3A3A"/>
      </bottom>
    </border>
    <border>
      <left style="thin">
        <color rgb="FF3C78D8"/>
      </left>
      <right style="thick">
        <color rgb="FF3E3A3A"/>
      </right>
      <top style="thick">
        <color rgb="FF3E3A3A"/>
      </top>
      <bottom style="thin">
        <color rgb="FF3C78D8"/>
      </bottom>
    </border>
    <border>
      <left style="thin">
        <color rgb="FF3C78D8"/>
      </left>
      <right style="thick">
        <color rgb="FF3E3A3A"/>
      </right>
      <top style="thin">
        <color rgb="FF3C78D8"/>
      </top>
      <bottom style="thick">
        <color rgb="FF3E3A3A"/>
      </bottom>
    </border>
    <border>
      <left style="thin">
        <color rgb="FFFFBD96"/>
      </left>
      <right style="thick">
        <color rgb="FF3E3A3A"/>
      </right>
      <top style="thick">
        <color rgb="FF3E3A3A"/>
      </top>
      <bottom style="thin">
        <color rgb="FFFFBD96"/>
      </bottom>
    </border>
    <border>
      <left style="thin">
        <color rgb="FFFFBD96"/>
      </left>
      <right style="thick">
        <color rgb="FF3E3A3A"/>
      </right>
      <top style="thin">
        <color rgb="FFFFBD96"/>
      </top>
      <bottom style="thick">
        <color rgb="FF3E3A3A"/>
      </bottom>
    </border>
    <border>
      <left style="thin">
        <color rgb="FF6351C6"/>
      </left>
      <right style="thick">
        <color rgb="FF3E3A3A"/>
      </right>
      <top style="thick">
        <color rgb="FF3E3A3A"/>
      </top>
      <bottom style="thin">
        <color rgb="FF6351C6"/>
      </bottom>
    </border>
    <border>
      <left style="thin">
        <color rgb="FF6351C6"/>
      </left>
      <right style="thick">
        <color rgb="FF3E3A3A"/>
      </right>
      <top style="thin">
        <color rgb="FF6351C6"/>
      </top>
      <bottom style="thick">
        <color rgb="FF3E3A3A"/>
      </bottom>
    </border>
    <border>
      <left style="thin">
        <color rgb="FF3D82C3"/>
      </left>
      <right style="thick">
        <color rgb="FF3E3A3A"/>
      </right>
      <top style="thick">
        <color rgb="FF3E3A3A"/>
      </top>
      <bottom style="thin">
        <color rgb="FF3D82C3"/>
      </bottom>
    </border>
    <border>
      <left style="thin">
        <color rgb="FF3D82C3"/>
      </left>
      <right style="thick">
        <color rgb="FF3E3A3A"/>
      </right>
      <top style="thin">
        <color rgb="FF3D82C3"/>
      </top>
      <bottom style="thick">
        <color rgb="FF3E3A3A"/>
      </bottom>
    </border>
    <border>
      <left style="thick">
        <color rgb="FFFFFFFF"/>
      </left>
      <right style="thin">
        <color rgb="FFEFEFEF"/>
      </right>
      <top style="thin">
        <color rgb="FFEFEFEF"/>
      </top>
      <bottom style="thick">
        <color rgb="FFFFFFFF"/>
      </bottom>
    </border>
    <border>
      <left style="thin">
        <color rgb="FFEFEFEF"/>
      </left>
      <right style="thin">
        <color rgb="FFEFEFEF"/>
      </right>
      <top style="thin">
        <color rgb="FFEFEFEF"/>
      </top>
      <bottom style="thick">
        <color rgb="FFFFFFFF"/>
      </bottom>
    </border>
    <border>
      <left style="thin">
        <color rgb="FFEFEFEF"/>
      </left>
      <top style="thin">
        <color rgb="FFEFEFEF"/>
      </top>
      <bottom style="thick">
        <color rgb="FFFFFFFF"/>
      </bottom>
    </border>
    <border>
      <left style="thin">
        <color rgb="FFEFEFEF"/>
      </left>
      <right style="thick">
        <color rgb="FFFFFFFF"/>
      </right>
      <top style="thin">
        <color rgb="FFEFEFEF"/>
      </top>
      <bottom style="thick">
        <color rgb="FFFFFFFF"/>
      </bottom>
    </border>
    <border>
      <left style="thin">
        <color rgb="FFD23A3A"/>
      </left>
      <right style="thin">
        <color rgb="FFD23A3A"/>
      </right>
      <top style="thin">
        <color rgb="FFD23A3A"/>
      </top>
      <bottom style="thin">
        <color rgb="FFD23A3A"/>
      </bottom>
    </border>
    <border>
      <left style="thin">
        <color rgb="FFD23A3A"/>
      </left>
      <right style="thin">
        <color rgb="FFD23A3A"/>
      </right>
      <top style="thin">
        <color rgb="FFD23A3A"/>
      </top>
    </border>
    <border>
      <left style="thin">
        <color rgb="FFD23A3A"/>
      </left>
      <top style="thin">
        <color rgb="FFD23A3A"/>
      </top>
      <bottom style="thin">
        <color rgb="FFD23A3A"/>
      </bottom>
    </border>
    <border>
      <left style="thick">
        <color rgb="FF3E3A3A"/>
      </left>
      <right style="thin">
        <color rgb="FFFCF3EB"/>
      </right>
      <top style="thick">
        <color rgb="FF3E3A3A"/>
      </top>
      <bottom style="thin">
        <color rgb="FFFCF3EB"/>
      </bottom>
    </border>
    <border>
      <left style="thin">
        <color rgb="FFFCF3EB"/>
      </left>
      <right style="thin">
        <color rgb="FFFCF3EB"/>
      </right>
      <top style="thick">
        <color rgb="FF3E3A3A"/>
      </top>
    </border>
    <border>
      <left style="thin">
        <color rgb="FFFCF3EB"/>
      </left>
      <right style="thin">
        <color rgb="FFFCF3EB"/>
      </right>
      <top style="thick">
        <color rgb="FF3E3A3A"/>
      </top>
      <bottom style="thin">
        <color rgb="FFFCF3EB"/>
      </bottom>
    </border>
    <border>
      <left style="thin">
        <color rgb="FFFCF3EB"/>
      </left>
      <right style="thick">
        <color rgb="FF3E3A3A"/>
      </right>
      <top style="thick">
        <color rgb="FF3E3A3A"/>
      </top>
      <bottom style="thin">
        <color rgb="FFFCF3EB"/>
      </bottom>
    </border>
    <border>
      <right style="thin">
        <color rgb="FFD23A3A"/>
      </right>
      <top style="thin">
        <color rgb="FFD23A3A"/>
      </top>
      <bottom style="thin">
        <color rgb="FFD23A3A"/>
      </bottom>
    </border>
    <border>
      <left style="thick">
        <color rgb="FF3E3A3A"/>
      </left>
      <right style="thin">
        <color rgb="FFFCF3EB"/>
      </right>
      <top style="thin">
        <color rgb="FFFCF3EB"/>
      </top>
      <bottom style="thin">
        <color rgb="FFFCF3EB"/>
      </bottom>
    </border>
    <border>
      <left style="thin">
        <color rgb="FFFCF3EB"/>
      </left>
      <right style="thin">
        <color rgb="FFFCF3EB"/>
      </right>
      <top style="thin">
        <color rgb="FFFCF3EB"/>
      </top>
      <bottom style="thin">
        <color rgb="FFFFFFFF"/>
      </bottom>
    </border>
    <border>
      <left style="thin">
        <color rgb="FFFCF3EB"/>
      </left>
      <right style="thin">
        <color rgb="FFFCF3EB"/>
      </right>
      <top style="thin">
        <color rgb="FFFCF3EB"/>
      </top>
      <bottom style="thin">
        <color rgb="FFFCF3EB"/>
      </bottom>
    </border>
    <border>
      <left style="thin">
        <color rgb="FFFCF3EB"/>
      </left>
      <top style="thin">
        <color rgb="FFFCF3EB"/>
      </top>
    </border>
    <border>
      <top style="thin">
        <color rgb="FFFCF3EB"/>
      </top>
    </border>
    <border>
      <right style="thin">
        <color rgb="FFFCF3EB"/>
      </right>
      <top style="thin">
        <color rgb="FFFCF3EB"/>
      </top>
    </border>
    <border>
      <left style="thin">
        <color rgb="FFFCF3EB"/>
      </left>
      <right style="thick">
        <color rgb="FF3E3A3A"/>
      </right>
      <top style="thin">
        <color rgb="FFFCF3EB"/>
      </top>
      <bottom style="thin">
        <color rgb="FFFCF3EB"/>
      </bottom>
    </border>
    <border>
      <left style="thick">
        <color rgb="FF3E3A3A"/>
      </left>
      <top style="thin">
        <color rgb="FFFCF3EB"/>
      </top>
      <bottom style="thin">
        <color rgb="FFFCF3EB"/>
      </bottom>
    </border>
    <border>
      <left style="thick">
        <color rgb="FF434343"/>
      </left>
      <right style="thick">
        <color rgb="FF434343"/>
      </right>
      <top style="thick">
        <color rgb="FF434343"/>
      </top>
    </border>
    <border>
      <top style="thin">
        <color rgb="FFFCF3EB"/>
      </top>
      <bottom style="thin">
        <color rgb="FFFCF3EB"/>
      </bottom>
    </border>
    <border>
      <left style="thick">
        <color rgb="FF434343"/>
      </left>
      <top style="thick">
        <color rgb="FF434343"/>
      </top>
      <bottom style="medium">
        <color rgb="FF434343"/>
      </bottom>
    </border>
    <border>
      <top style="thick">
        <color rgb="FF434343"/>
      </top>
      <bottom style="medium">
        <color rgb="FF434343"/>
      </bottom>
    </border>
    <border>
      <right style="thick">
        <color rgb="FF434343"/>
      </right>
      <top style="thick">
        <color rgb="FF434343"/>
      </top>
      <bottom style="medium">
        <color rgb="FF434343"/>
      </bottom>
    </border>
    <border>
      <right style="thick">
        <color rgb="FF3E3A3A"/>
      </right>
      <top style="thin">
        <color rgb="FFFCF3EB"/>
      </top>
      <bottom style="thin">
        <color rgb="FFFCF3EB"/>
      </bottom>
    </border>
    <border>
      <left style="thick">
        <color rgb="FF434343"/>
      </left>
      <right style="thick">
        <color rgb="FF434343"/>
      </right>
      <top style="medium">
        <color rgb="FF434343"/>
      </top>
    </border>
    <border>
      <left style="thick">
        <color rgb="FF434343"/>
      </left>
      <bottom style="thin">
        <color rgb="FFFCF3EB"/>
      </bottom>
    </border>
    <border>
      <bottom style="thin">
        <color rgb="FFFCF3EB"/>
      </bottom>
    </border>
    <border>
      <right style="thick">
        <color rgb="FF434343"/>
      </right>
      <bottom style="thin">
        <color rgb="FFFCF3EB"/>
      </bottom>
    </border>
    <border>
      <left style="thick">
        <color rgb="FF434343"/>
      </left>
      <right style="thick">
        <color rgb="FF434343"/>
      </right>
      <bottom style="thick">
        <color rgb="FF434343"/>
      </bottom>
    </border>
    <border>
      <left style="thick">
        <color rgb="FF434343"/>
      </left>
      <top style="thin">
        <color rgb="FFFCF3EB"/>
      </top>
    </border>
    <border>
      <right style="thick">
        <color rgb="FF434343"/>
      </right>
      <top style="thin">
        <color rgb="FFFCF3EB"/>
      </top>
    </border>
    <border>
      <left style="thin">
        <color rgb="FFFCF3EB"/>
      </left>
      <right style="thin">
        <color rgb="FFFFFFFF"/>
      </right>
    </border>
    <border>
      <left style="thick">
        <color rgb="FF434343"/>
      </left>
      <right style="thin">
        <color rgb="FFFCF3EB"/>
      </right>
      <top style="medium">
        <color rgb="FFFCF3EB"/>
      </top>
      <bottom style="medium">
        <color rgb="FFFCF3EB"/>
      </bottom>
    </border>
    <border>
      <left style="thin">
        <color rgb="FFFCF3EB"/>
      </left>
      <top style="medium">
        <color rgb="FFFCF3EB"/>
      </top>
      <bottom style="medium">
        <color rgb="FFFCF3EB"/>
      </bottom>
    </border>
    <border>
      <right style="thin">
        <color rgb="FFFCF3EB"/>
      </right>
      <top style="medium">
        <color rgb="FFFCF3EB"/>
      </top>
      <bottom style="medium">
        <color rgb="FFFCF3EB"/>
      </bottom>
    </border>
    <border>
      <left style="thin">
        <color rgb="FFFCF3EB"/>
      </left>
      <right style="thick">
        <color rgb="FF434343"/>
      </right>
      <top style="medium">
        <color rgb="FFFCF3EB"/>
      </top>
      <bottom style="medium">
        <color rgb="FFFCF3EB"/>
      </bottom>
    </border>
    <border>
      <left style="thin">
        <color rgb="FFFCF3EB"/>
      </left>
      <right style="thin">
        <color rgb="FFFCF3EB"/>
      </right>
      <top style="medium">
        <color rgb="FFFCF3EB"/>
      </top>
      <bottom style="medium">
        <color rgb="FFFCF3EB"/>
      </bottom>
    </border>
    <border>
      <left style="thick">
        <color rgb="FF434343"/>
      </left>
      <right style="thin">
        <color rgb="FFFCF3EB"/>
      </right>
      <bottom style="medium">
        <color rgb="FF434343"/>
      </bottom>
    </border>
    <border>
      <left style="thin">
        <color rgb="FFFCF3EB"/>
      </left>
      <right style="thin">
        <color rgb="FFFCF3EB"/>
      </right>
      <bottom style="medium">
        <color rgb="FF434343"/>
      </bottom>
    </border>
    <border>
      <left style="thin">
        <color rgb="FFFCF3EB"/>
      </left>
      <right style="thick">
        <color rgb="FF434343"/>
      </right>
      <bottom style="medium">
        <color rgb="FF434343"/>
      </bottom>
    </border>
    <border>
      <left style="thin">
        <color rgb="FFFCF3EB"/>
      </left>
      <right style="thin">
        <color rgb="FFFFFFFF"/>
      </right>
      <bottom style="thin">
        <color rgb="FFFCF3EB"/>
      </bottom>
    </border>
    <border>
      <left style="thick">
        <color rgb="FF434343"/>
      </left>
      <top style="medium">
        <color rgb="FF434343"/>
      </top>
      <bottom style="thin">
        <color rgb="FFFCF3EB"/>
      </bottom>
    </border>
    <border>
      <top style="medium">
        <color rgb="FF434343"/>
      </top>
      <bottom style="thin">
        <color rgb="FFFCF3EB"/>
      </bottom>
    </border>
    <border>
      <right style="thick">
        <color rgb="FF434343"/>
      </right>
      <top style="medium">
        <color rgb="FF434343"/>
      </top>
      <bottom style="thin">
        <color rgb="FFFCF3EB"/>
      </bottom>
    </border>
    <border>
      <left style="thin">
        <color rgb="FFFCF3EB"/>
      </left>
      <right style="thin">
        <color rgb="FFFFFFFF"/>
      </right>
      <top style="thin">
        <color rgb="FFFCF3EB"/>
      </top>
    </border>
    <border>
      <left style="thick">
        <color rgb="FF434343"/>
      </left>
      <top style="thin">
        <color rgb="FFFCF3EB"/>
      </top>
      <bottom style="thin">
        <color rgb="FFFCF3EB"/>
      </bottom>
    </border>
    <border>
      <right style="thick">
        <color rgb="FF434343"/>
      </right>
      <top style="thin">
        <color rgb="FFFCF3EB"/>
      </top>
      <bottom style="thin">
        <color rgb="FFFCF3EB"/>
      </bottom>
    </border>
    <border>
      <right style="thin">
        <color rgb="FFF8F8FF"/>
      </right>
      <top style="thin">
        <color rgb="FFFCF3EB"/>
      </top>
    </border>
    <border>
      <left style="thin">
        <color rgb="FFFCF3EB"/>
      </left>
      <right style="thick">
        <color rgb="FF434343"/>
      </right>
      <top style="thin">
        <color rgb="FFFCF3EB"/>
      </top>
    </border>
    <border>
      <left style="thin">
        <color rgb="FFFCF3EB"/>
      </left>
      <right style="thick">
        <color rgb="FF434343"/>
      </right>
      <top style="medium">
        <color rgb="FF434343"/>
      </top>
      <bottom style="thin">
        <color rgb="FFFCF3EB"/>
      </bottom>
    </border>
    <border>
      <left style="thin">
        <color rgb="FFFCF3EB"/>
      </left>
      <right style="thin">
        <color rgb="FFFFFFFF"/>
      </right>
      <top style="thin">
        <color rgb="FFFCF3EB"/>
      </top>
      <bottom style="thin">
        <color rgb="FFFCF3EB"/>
      </bottom>
    </border>
    <border>
      <left style="thin">
        <color rgb="FFFCF3EB"/>
      </left>
      <right style="thick">
        <color rgb="FF434343"/>
      </right>
      <top style="thin">
        <color rgb="FFFCF3EB"/>
      </top>
      <bottom style="thin">
        <color rgb="FFFCF3EB"/>
      </bottom>
    </border>
    <border>
      <left style="thick">
        <color rgb="FF434343"/>
      </left>
      <top style="thin">
        <color rgb="FFFCF3EB"/>
      </top>
      <bottom style="thick">
        <color rgb="FF3E3A3A"/>
      </bottom>
    </border>
    <border>
      <top style="thin">
        <color rgb="FFFCF3EB"/>
      </top>
      <bottom style="thick">
        <color rgb="FF3E3A3A"/>
      </bottom>
    </border>
    <border>
      <left style="thin">
        <color rgb="FFFCF3EB"/>
      </left>
      <right style="thick">
        <color rgb="FF434343"/>
      </right>
      <top style="thin">
        <color rgb="FFFCF3EB"/>
      </top>
      <bottom style="thick">
        <color rgb="FF3E3A3A"/>
      </bottom>
    </border>
    <border>
      <left style="thin">
        <color rgb="FFFCF3EB"/>
      </left>
      <right style="thin">
        <color rgb="FFFCF3EB"/>
      </right>
    </border>
    <border>
      <left style="thin">
        <color rgb="FFFFFFFF"/>
      </left>
      <top style="thin">
        <color rgb="FFFCF3EB"/>
      </top>
      <bottom style="thin">
        <color rgb="FFFCF3EB"/>
      </bottom>
    </border>
    <border>
      <left style="thick">
        <color rgb="FF3E3A3A"/>
      </left>
      <top style="thick">
        <color rgb="FF3E3A3A"/>
      </top>
      <bottom style="medium">
        <color rgb="FF3E3A3A"/>
      </bottom>
    </border>
    <border>
      <top style="thick">
        <color rgb="FF3E3A3A"/>
      </top>
      <bottom style="medium">
        <color rgb="FF3E3A3A"/>
      </bottom>
    </border>
    <border>
      <right style="thick">
        <color rgb="FF3E3A3A"/>
      </right>
      <top style="thick">
        <color rgb="FF3E3A3A"/>
      </top>
      <bottom style="medium">
        <color rgb="FF3E3A3A"/>
      </bottom>
    </border>
    <border>
      <left style="thick">
        <color rgb="FF3E3A3A"/>
      </left>
      <right style="thin">
        <color rgb="FFAA9888"/>
      </right>
      <bottom style="thin">
        <color rgb="FFAA9888"/>
      </bottom>
    </border>
    <border>
      <left style="thin">
        <color rgb="FFAA9888"/>
      </left>
      <right style="thin">
        <color rgb="FFAA9888"/>
      </right>
      <bottom style="thin">
        <color rgb="FFAA9888"/>
      </bottom>
    </border>
    <border>
      <left style="thin">
        <color rgb="FFAA9888"/>
      </left>
      <top style="thin">
        <color rgb="FF3E3A3A"/>
      </top>
      <bottom style="thin">
        <color rgb="FFAA9888"/>
      </bottom>
    </border>
    <border>
      <right style="thick">
        <color rgb="FF3E3A3A"/>
      </right>
      <top style="thin">
        <color rgb="FF3E3A3A"/>
      </top>
      <bottom style="thin">
        <color rgb="FFAA9888"/>
      </bottom>
    </border>
    <border>
      <right style="thin">
        <color rgb="FFFCF3EB"/>
      </right>
      <top style="thin">
        <color rgb="FFFCF3EB"/>
      </top>
      <bottom style="thin">
        <color rgb="FFFCF3EB"/>
      </bottom>
    </border>
    <border>
      <left style="thick">
        <color rgb="FF3E3A3A"/>
      </left>
      <right style="thin">
        <color rgb="FFAA9888"/>
      </right>
      <top style="thin">
        <color rgb="FFAA9888"/>
      </top>
      <bottom style="thin">
        <color rgb="FFAA9888"/>
      </bottom>
    </border>
    <border>
      <left style="thin">
        <color rgb="FFAA9888"/>
      </left>
      <right style="thin">
        <color rgb="FFAA9888"/>
      </right>
      <top style="thin">
        <color rgb="FFAA9888"/>
      </top>
      <bottom style="thin">
        <color rgb="FFAA9888"/>
      </bottom>
    </border>
    <border>
      <left style="thin">
        <color rgb="FFAA9888"/>
      </left>
      <top style="thin">
        <color rgb="FFAA9888"/>
      </top>
      <bottom style="thin">
        <color rgb="FFAA9888"/>
      </bottom>
    </border>
    <border>
      <right style="thick">
        <color rgb="FF3E3A3A"/>
      </right>
      <top style="thin">
        <color rgb="FFAA9888"/>
      </top>
      <bottom style="thin">
        <color rgb="FFAA9888"/>
      </bottom>
    </border>
    <border>
      <left style="thick">
        <color rgb="FF3E3A3A"/>
      </left>
      <right style="thin">
        <color rgb="FFAA9888"/>
      </right>
      <top style="thin">
        <color rgb="FFAA9888"/>
      </top>
    </border>
    <border>
      <left style="thin">
        <color rgb="FFAA9888"/>
      </left>
      <right style="thin">
        <color rgb="FFAA9888"/>
      </right>
      <top style="thin">
        <color rgb="FFAA9888"/>
      </top>
    </border>
    <border>
      <left style="thin">
        <color rgb="FFAA9888"/>
      </left>
      <top style="thin">
        <color rgb="FFAA9888"/>
      </top>
      <bottom style="medium">
        <color rgb="FF3E3A3A"/>
      </bottom>
    </border>
    <border>
      <right style="thick">
        <color rgb="FF3E3A3A"/>
      </right>
      <top style="thin">
        <color rgb="FFAA9888"/>
      </top>
      <bottom style="medium">
        <color rgb="FF3E3A3A"/>
      </bottom>
    </border>
    <border>
      <left style="thin">
        <color rgb="FFFCF3EB"/>
      </left>
      <top style="thin">
        <color rgb="FFFCF3EB"/>
      </top>
      <bottom style="thin">
        <color rgb="FFFCF3EB"/>
      </bottom>
    </border>
    <border>
      <left style="thick">
        <color rgb="FF3E3A3A"/>
      </left>
      <top style="medium">
        <color rgb="FF3E3A3A"/>
      </top>
      <bottom style="thick">
        <color rgb="FF3E3A3A"/>
      </bottom>
    </border>
    <border>
      <top style="medium">
        <color rgb="FF3E3A3A"/>
      </top>
      <bottom style="thick">
        <color rgb="FF3E3A3A"/>
      </bottom>
    </border>
    <border>
      <right style="medium">
        <color rgb="FF3E3A3A"/>
      </right>
      <top style="medium">
        <color rgb="FF3E3A3A"/>
      </top>
      <bottom style="thick">
        <color rgb="FF3E3A3A"/>
      </bottom>
    </border>
    <border>
      <left style="medium">
        <color rgb="FF3E3A3A"/>
      </left>
      <right style="thick">
        <color rgb="FF3E3A3A"/>
      </right>
      <top style="medium">
        <color rgb="FF3E3A3A"/>
      </top>
      <bottom style="thick">
        <color rgb="FF3E3A3A"/>
      </bottom>
    </border>
    <border>
      <top style="thin">
        <color rgb="FFFCF3EB"/>
      </top>
      <bottom style="thin">
        <color rgb="FFFFFFFF"/>
      </bottom>
    </border>
    <border>
      <left style="thick">
        <color rgb="FF3E3A3A"/>
      </left>
      <top style="medium">
        <color rgb="FF3E3A3A"/>
      </top>
      <bottom style="thin">
        <color rgb="FF3E3A3A"/>
      </bottom>
    </border>
    <border>
      <top style="medium">
        <color rgb="FF3E3A3A"/>
      </top>
      <bottom style="thin">
        <color rgb="FF3E3A3A"/>
      </bottom>
    </border>
    <border>
      <right style="medium">
        <color rgb="FF3E3A3A"/>
      </right>
      <top style="medium">
        <color rgb="FF3E3A3A"/>
      </top>
      <bottom style="thin">
        <color rgb="FF3E3A3A"/>
      </bottom>
    </border>
    <border>
      <left style="thin">
        <color rgb="FFFFFFFF"/>
      </left>
      <top style="thin">
        <color rgb="FFFCF3EB"/>
      </top>
      <bottom style="thin">
        <color rgb="FFFFFFFF"/>
      </bottom>
    </border>
    <border>
      <left style="thin">
        <color rgb="FFFCF3EB"/>
      </left>
    </border>
    <border>
      <left style="thick">
        <color rgb="FF3E3A3A"/>
      </left>
      <top style="thin">
        <color rgb="FF3E3A3A"/>
      </top>
      <bottom style="thick">
        <color rgb="FF3E3A3A"/>
      </bottom>
    </border>
    <border>
      <top style="thin">
        <color rgb="FF3E3A3A"/>
      </top>
      <bottom style="thick">
        <color rgb="FF3E3A3A"/>
      </bottom>
    </border>
    <border>
      <right style="medium">
        <color rgb="FF3E3A3A"/>
      </right>
      <top style="thin">
        <color rgb="FF3E3A3A"/>
      </top>
      <bottom style="thick">
        <color rgb="FF3E3A3A"/>
      </bottom>
    </border>
    <border>
      <left style="medium">
        <color rgb="FF3E3A3A"/>
      </left>
      <right style="thick">
        <color rgb="FF3E3A3A"/>
      </right>
      <top style="thin">
        <color rgb="FF3E3A3A"/>
      </top>
      <bottom style="thick">
        <color rgb="FF3E3A3A"/>
      </bottom>
    </border>
    <border>
      <left style="thick">
        <color rgb="FF3E3A3A"/>
      </left>
      <right style="thin">
        <color rgb="FFFCF3EB"/>
      </right>
      <bottom style="thick">
        <color rgb="FF3E3A3A"/>
      </bottom>
    </border>
    <border>
      <left style="thin">
        <color rgb="FFFCF3EB"/>
      </left>
      <right style="thin">
        <color rgb="FFFCF3EB"/>
      </right>
      <bottom style="thick">
        <color rgb="FF3E3A3A"/>
      </bottom>
    </border>
    <border>
      <left style="thin">
        <color rgb="FFFCF3EB"/>
      </left>
      <right style="thick">
        <color rgb="FF3E3A3A"/>
      </right>
      <bottom style="thick">
        <color rgb="FF3E3A3A"/>
      </bottom>
    </border>
    <border>
      <left style="thick">
        <color rgb="FF3E3A3A"/>
      </left>
      <right style="thin">
        <color rgb="FFEBF4FC"/>
      </right>
      <bottom style="thin">
        <color rgb="FFEBF4FC"/>
      </bottom>
    </border>
    <border>
      <left style="thin">
        <color rgb="FFEBF4FC"/>
      </left>
      <right style="thin">
        <color rgb="FFEBF4FC"/>
      </right>
    </border>
    <border>
      <left style="thin">
        <color rgb="FFEBF4FC"/>
      </left>
      <right style="thin">
        <color rgb="FFEBF4FC"/>
      </right>
      <bottom style="thin">
        <color rgb="FFEBF4FC"/>
      </bottom>
    </border>
    <border>
      <left style="thin">
        <color rgb="FFEBF4FC"/>
      </left>
      <right style="thick">
        <color rgb="FF3E3A3A"/>
      </right>
      <bottom style="thin">
        <color rgb="FFEBF4FC"/>
      </bottom>
    </border>
    <border>
      <left style="thick">
        <color rgb="FF3E3A3A"/>
      </left>
      <right style="thin">
        <color rgb="FFEBF4FC"/>
      </right>
      <top style="thin">
        <color rgb="FFEBF4FC"/>
      </top>
      <bottom style="thin">
        <color rgb="FFEBF4FC"/>
      </bottom>
    </border>
    <border>
      <left style="thin">
        <color rgb="FFEBF4FC"/>
      </left>
      <right style="thin">
        <color rgb="FFEBF4FC"/>
      </right>
      <top style="thin">
        <color rgb="FFEBF4FC"/>
      </top>
      <bottom style="thin">
        <color rgb="FFFFFFFF"/>
      </bottom>
    </border>
    <border>
      <left style="thin">
        <color rgb="FFEBF4FC"/>
      </left>
      <right style="thin">
        <color rgb="FFEBF4FC"/>
      </right>
      <top style="thin">
        <color rgb="FFEBF4FC"/>
      </top>
    </border>
    <border>
      <left style="thin">
        <color rgb="FFEBF4FC"/>
      </left>
      <top style="thin">
        <color rgb="FFEBF4FC"/>
      </top>
    </border>
    <border>
      <top style="thin">
        <color rgb="FFEBF4FC"/>
      </top>
    </border>
    <border>
      <right style="thin">
        <color rgb="FFEBF4FC"/>
      </right>
      <top style="thin">
        <color rgb="FFEBF4FC"/>
      </top>
    </border>
    <border>
      <left style="thin">
        <color rgb="FFEBF4FC"/>
      </left>
      <right style="thick">
        <color rgb="FF3E3A3A"/>
      </right>
      <top style="thin">
        <color rgb="FFEBF4FC"/>
      </top>
      <bottom style="thin">
        <color rgb="FFEBF4FC"/>
      </bottom>
    </border>
    <border>
      <left style="thick">
        <color rgb="FF3E3A3A"/>
      </left>
      <top style="thin">
        <color rgb="FFEBF4FC"/>
      </top>
      <bottom style="thin">
        <color rgb="FFEBF4FC"/>
      </bottom>
    </border>
    <border>
      <left style="thick">
        <color rgb="FF434343"/>
      </left>
      <right style="thick">
        <color rgb="FF434343"/>
      </right>
      <top style="thick">
        <color rgb="FF434343"/>
      </top>
      <bottom style="medium">
        <color rgb="FF434343"/>
      </bottom>
    </border>
    <border>
      <top style="thin">
        <color rgb="FFEBF4FC"/>
      </top>
      <bottom style="thin">
        <color rgb="FFEBF4FC"/>
      </bottom>
    </border>
    <border>
      <left style="thick">
        <color rgb="FF434343"/>
      </left>
      <bottom style="thin">
        <color rgb="FFEBF4FC"/>
      </bottom>
    </border>
    <border>
      <bottom style="thin">
        <color rgb="FFEBF4FC"/>
      </bottom>
    </border>
    <border>
      <right style="thick">
        <color rgb="FF434343"/>
      </right>
      <bottom style="thin">
        <color rgb="FFEBF4FC"/>
      </bottom>
    </border>
    <border>
      <left style="thin">
        <color rgb="FFEBF4FC"/>
      </left>
    </border>
    <border>
      <left style="thick">
        <color rgb="FF434343"/>
      </left>
      <top style="thin">
        <color rgb="FFEBF4FC"/>
      </top>
      <bottom style="thin">
        <color rgb="FFEBF4FC"/>
      </bottom>
    </border>
    <border>
      <right style="thick">
        <color rgb="FF434343"/>
      </right>
      <top style="thin">
        <color rgb="FFEBF4FC"/>
      </top>
      <bottom style="thin">
        <color rgb="FFEBF4FC"/>
      </bottom>
    </border>
    <border>
      <left style="thin">
        <color rgb="FFEBF4FC"/>
      </left>
      <top style="thin">
        <color rgb="FFEBF4FC"/>
      </top>
      <bottom style="thin">
        <color rgb="FFEBF4FC"/>
      </bottom>
    </border>
    <border>
      <left style="thick">
        <color rgb="FF434343"/>
      </left>
      <right style="thin">
        <color rgb="FFEBF4FC"/>
      </right>
      <top style="thin">
        <color rgb="FFEBF4FC"/>
      </top>
      <bottom style="thin">
        <color rgb="FFEBF4FC"/>
      </bottom>
    </border>
    <border>
      <right style="thin">
        <color rgb="FFEBF4FC"/>
      </right>
      <top style="thin">
        <color rgb="FFEBF4FC"/>
      </top>
      <bottom style="thin">
        <color rgb="FFEBF4FC"/>
      </bottom>
    </border>
    <border>
      <left style="thin">
        <color rgb="FFEBF4FC"/>
      </left>
      <right style="thick">
        <color rgb="FF434343"/>
      </right>
      <top style="thin">
        <color rgb="FFEBF4FC"/>
      </top>
      <bottom style="thin">
        <color rgb="FFEBF4FC"/>
      </bottom>
    </border>
    <border>
      <left style="thin">
        <color rgb="FFEBF4FC"/>
      </left>
      <right style="thin">
        <color rgb="FFEBF4FC"/>
      </right>
      <top style="thin">
        <color rgb="FFEBF4FC"/>
      </top>
      <bottom style="thin">
        <color rgb="FFEBF4FC"/>
      </bottom>
    </border>
    <border>
      <left style="thick">
        <color rgb="FF434343"/>
      </left>
      <right style="thin">
        <color rgb="FFEBF4FC"/>
      </right>
    </border>
    <border>
      <left style="thin">
        <color rgb="FFEBF4FC"/>
      </left>
      <right style="thick">
        <color rgb="FF434343"/>
      </right>
    </border>
    <border>
      <left style="thick">
        <color rgb="FF434343"/>
      </left>
      <top style="medium">
        <color rgb="FF434343"/>
      </top>
      <bottom style="thin">
        <color rgb="FFEBF4FC"/>
      </bottom>
    </border>
    <border>
      <top style="medium">
        <color rgb="FF434343"/>
      </top>
      <bottom style="thin">
        <color rgb="FFEBF4FC"/>
      </bottom>
    </border>
    <border>
      <right style="thick">
        <color rgb="FF434343"/>
      </right>
      <top style="medium">
        <color rgb="FF434343"/>
      </top>
      <bottom style="thin">
        <color rgb="FFEBF4FC"/>
      </bottom>
    </border>
    <border>
      <left style="thick">
        <color rgb="FF434343"/>
      </left>
      <top style="thin">
        <color rgb="FFEBF4FC"/>
      </top>
    </border>
    <border>
      <left style="thin">
        <color rgb="FFEBF4FC"/>
      </left>
      <right style="thick">
        <color rgb="FF434343"/>
      </right>
      <top style="thin">
        <color rgb="FFEBF4FC"/>
      </top>
    </border>
    <border>
      <left style="thin">
        <color rgb="FFEBF4FC"/>
      </left>
      <right style="thick">
        <color rgb="FF434343"/>
      </right>
      <top style="medium">
        <color rgb="FF434343"/>
      </top>
      <bottom style="thin">
        <color rgb="FFEBF4FC"/>
      </bottom>
    </border>
    <border>
      <left style="thick">
        <color rgb="FF434343"/>
      </left>
      <top style="thin">
        <color rgb="FFEBF4FC"/>
      </top>
      <bottom style="thick">
        <color rgb="FF434343"/>
      </bottom>
    </border>
    <border>
      <top style="thin">
        <color rgb="FFEBF4FC"/>
      </top>
      <bottom style="thick">
        <color rgb="FF434343"/>
      </bottom>
    </border>
    <border>
      <left style="thin">
        <color rgb="FFEBF4FC"/>
      </left>
      <right style="thick">
        <color rgb="FF434343"/>
      </right>
      <top style="thin">
        <color rgb="FFEBF4FC"/>
      </top>
      <bottom style="thick">
        <color rgb="FF434343"/>
      </bottom>
    </border>
    <border>
      <left style="thin">
        <color rgb="FFEBF4FC"/>
      </left>
      <bottom style="thin">
        <color rgb="FFEBF4FC"/>
      </bottom>
    </border>
    <border>
      <left style="thin">
        <color rgb="FFEBF4FC"/>
      </left>
      <right style="thin">
        <color rgb="FFEBF4FC"/>
      </right>
      <bottom style="thick">
        <color rgb="FF3E3A3A"/>
      </bottom>
    </border>
    <border>
      <right style="thin">
        <color rgb="FFEBF4FC"/>
      </right>
      <bottom style="thick">
        <color rgb="FF3E3A3A"/>
      </bottom>
    </border>
    <border>
      <right style="thick">
        <color rgb="FF3E3A3A"/>
      </right>
      <top style="thin">
        <color rgb="FFEBF4FC"/>
      </top>
      <bottom style="thin">
        <color rgb="FFEBF4FC"/>
      </bottom>
    </border>
    <border>
      <left style="thick">
        <color rgb="FF3E3A3A"/>
      </left>
      <right style="thin">
        <color rgb="FF3883C8"/>
      </right>
      <bottom style="thin">
        <color rgb="FF3883C8"/>
      </bottom>
    </border>
    <border>
      <left style="thin">
        <color rgb="FF3883C8"/>
      </left>
      <right style="thin">
        <color rgb="FF3883C8"/>
      </right>
      <bottom style="thin">
        <color rgb="FF3883C8"/>
      </bottom>
    </border>
    <border>
      <left style="thin">
        <color rgb="FF3883C8"/>
      </left>
      <top style="thin">
        <color rgb="FF3E3A3A"/>
      </top>
      <bottom style="thin">
        <color rgb="FF3883C8"/>
      </bottom>
    </border>
    <border>
      <right style="thick">
        <color rgb="FF3E3A3A"/>
      </right>
      <top style="thin">
        <color rgb="FF3E3A3A"/>
      </top>
      <bottom style="thin">
        <color rgb="FF3883C8"/>
      </bottom>
    </border>
    <border>
      <left style="thick">
        <color rgb="FF3E3A3A"/>
      </left>
      <right style="thin">
        <color rgb="FF3883C8"/>
      </right>
      <top style="thin">
        <color rgb="FF3883C8"/>
      </top>
      <bottom style="thin">
        <color rgb="FF3883C8"/>
      </bottom>
    </border>
    <border>
      <left style="thin">
        <color rgb="FF3883C8"/>
      </left>
      <right style="thin">
        <color rgb="FF3883C8"/>
      </right>
      <top style="thin">
        <color rgb="FF3883C8"/>
      </top>
      <bottom style="thin">
        <color rgb="FF3883C8"/>
      </bottom>
    </border>
    <border>
      <left style="thin">
        <color rgb="FF3883C8"/>
      </left>
      <top style="thin">
        <color rgb="FF3883C8"/>
      </top>
      <bottom style="thin">
        <color rgb="FF3883C8"/>
      </bottom>
    </border>
    <border>
      <right style="thick">
        <color rgb="FF3E3A3A"/>
      </right>
      <top style="thin">
        <color rgb="FF3883C8"/>
      </top>
      <bottom style="thin">
        <color rgb="FF3883C8"/>
      </bottom>
    </border>
    <border>
      <left style="thick">
        <color rgb="FF3E3A3A"/>
      </left>
      <right style="thin">
        <color rgb="FF3883C8"/>
      </right>
      <top style="thin">
        <color rgb="FF3883C8"/>
      </top>
    </border>
    <border>
      <left style="thin">
        <color rgb="FF3883C8"/>
      </left>
      <right style="thin">
        <color rgb="FF3883C8"/>
      </right>
      <top style="thin">
        <color rgb="FF3883C8"/>
      </top>
    </border>
    <border>
      <left style="thin">
        <color rgb="FF3883C8"/>
      </left>
      <top style="thin">
        <color rgb="FF3883C8"/>
      </top>
      <bottom style="medium">
        <color rgb="FF3E3A3A"/>
      </bottom>
    </border>
    <border>
      <right style="thick">
        <color rgb="FF3E3A3A"/>
      </right>
      <top style="thin">
        <color rgb="FF3883C8"/>
      </top>
      <bottom style="medium">
        <color rgb="FF3E3A3A"/>
      </bottom>
    </border>
    <border>
      <left style="thick">
        <color rgb="FF3E3A3A"/>
      </left>
      <top style="thin">
        <color rgb="FFEBF4FC"/>
      </top>
    </border>
    <border>
      <left style="thin">
        <color rgb="FFEBF4FC"/>
      </left>
      <right style="thick">
        <color rgb="FF3E3A3A"/>
      </right>
    </border>
    <border>
      <left style="thick">
        <color rgb="FF3E3A3A"/>
      </left>
      <right style="thin">
        <color rgb="FFEBF4FC"/>
      </right>
      <top style="thin">
        <color rgb="FFEBF4FC"/>
      </top>
      <bottom style="thick">
        <color rgb="FF3E3A3A"/>
      </bottom>
    </border>
    <border>
      <left style="thin">
        <color rgb="FFEBF4FC"/>
      </left>
      <right style="thin">
        <color rgb="FFEBF4FC"/>
      </right>
      <top style="thin">
        <color rgb="FFEBF4FC"/>
      </top>
      <bottom style="thick">
        <color rgb="FF3E3A3A"/>
      </bottom>
    </border>
    <border>
      <left style="thin">
        <color rgb="FFEBF4FC"/>
      </left>
      <right style="thick">
        <color rgb="FF3E3A3A"/>
      </right>
      <bottom style="thick">
        <color rgb="FF3E3A3A"/>
      </bottom>
    </border>
    <border>
      <left style="thick">
        <color rgb="FF3E3A3A"/>
      </left>
      <right style="thin">
        <color rgb="FFFCFBEB"/>
      </right>
      <bottom style="thin">
        <color rgb="FFFCFBEB"/>
      </bottom>
    </border>
    <border>
      <left style="thin">
        <color rgb="FFFCFBEB"/>
      </left>
      <right style="thin">
        <color rgb="FFFCFBEB"/>
      </right>
    </border>
    <border>
      <left style="thin">
        <color rgb="FFFCFBEB"/>
      </left>
      <right style="thin">
        <color rgb="FFFCFBEB"/>
      </right>
      <bottom style="thin">
        <color rgb="FFFCFBEB"/>
      </bottom>
    </border>
    <border>
      <left style="thin">
        <color rgb="FFFCFBEB"/>
      </left>
      <right style="thick">
        <color rgb="FF3E3A3A"/>
      </right>
    </border>
    <border>
      <left style="thick">
        <color rgb="FF3E3A3A"/>
      </left>
      <right style="thin">
        <color rgb="FFFCFBEB"/>
      </right>
      <top style="thin">
        <color rgb="FFFCFBEB"/>
      </top>
      <bottom style="thin">
        <color rgb="FFFCFBEB"/>
      </bottom>
    </border>
    <border>
      <left style="thin">
        <color rgb="FFFCFBEB"/>
      </left>
      <right style="thin">
        <color rgb="FFFCFBEB"/>
      </right>
      <top style="thin">
        <color rgb="FFFCFBEB"/>
      </top>
      <bottom style="thin">
        <color rgb="FFFFFFFF"/>
      </bottom>
    </border>
    <border>
      <left style="thin">
        <color rgb="FFFCFBEB"/>
      </left>
      <top style="thin">
        <color rgb="FFFCFBEB"/>
      </top>
    </border>
    <border>
      <top style="thin">
        <color rgb="FFFCFBEB"/>
      </top>
    </border>
    <border>
      <right style="thin">
        <color rgb="FFFCFBEB"/>
      </right>
      <top style="thin">
        <color rgb="FFFCFBEB"/>
      </top>
    </border>
    <border>
      <left style="thin">
        <color rgb="FFFCFBEB"/>
      </left>
      <right style="thick">
        <color rgb="FF3E3A3A"/>
      </right>
      <top style="thin">
        <color rgb="FFFCFBEB"/>
      </top>
      <bottom style="thin">
        <color rgb="FFFCFBEB"/>
      </bottom>
    </border>
    <border>
      <left style="thick">
        <color rgb="FF3E3A3A"/>
      </left>
      <top style="thin">
        <color rgb="FFFCFBEB"/>
      </top>
      <bottom style="thin">
        <color rgb="FFFCFBEB"/>
      </bottom>
    </border>
    <border>
      <top style="thin">
        <color rgb="FFFCFBEB"/>
      </top>
      <bottom style="thin">
        <color rgb="FFFCFBEB"/>
      </bottom>
    </border>
    <border>
      <right style="thick">
        <color rgb="FF3E3A3A"/>
      </right>
      <top style="thin">
        <color rgb="FFFCFBEB"/>
      </top>
      <bottom style="thin">
        <color rgb="FFFCFBEB"/>
      </bottom>
    </border>
    <border>
      <left style="thick">
        <color rgb="FF434343"/>
      </left>
      <bottom style="thin">
        <color rgb="FFFCFBEB"/>
      </bottom>
    </border>
    <border>
      <bottom style="thin">
        <color rgb="FFFCFBEB"/>
      </bottom>
    </border>
    <border>
      <right style="thick">
        <color rgb="FF434343"/>
      </right>
      <bottom style="thin">
        <color rgb="FFFCFBEB"/>
      </bottom>
    </border>
    <border>
      <left style="thick">
        <color rgb="FF434343"/>
      </left>
      <top style="thin">
        <color rgb="FFFCFBEB"/>
      </top>
      <bottom style="thin">
        <color rgb="FFFCFBEB"/>
      </bottom>
    </border>
    <border>
      <right style="thick">
        <color rgb="FF434343"/>
      </right>
      <top style="thin">
        <color rgb="FFFCFBEB"/>
      </top>
      <bottom style="thin">
        <color rgb="FFFCFBEB"/>
      </bottom>
    </border>
    <border>
      <left style="thin">
        <color rgb="FFFCFBEB"/>
      </left>
      <top style="thin">
        <color rgb="FFFCFBEB"/>
      </top>
      <bottom style="thin">
        <color rgb="FFFCFBEB"/>
      </bottom>
    </border>
    <border>
      <left style="thick">
        <color rgb="FF434343"/>
      </left>
      <right style="thin">
        <color rgb="FFFCFBEB"/>
      </right>
      <top style="thin">
        <color rgb="FFFCFBEB"/>
      </top>
      <bottom style="thin">
        <color rgb="FFFCFBEB"/>
      </bottom>
    </border>
    <border>
      <left style="thin">
        <color rgb="FFFCFBEB"/>
      </left>
      <right style="thin">
        <color rgb="FFFCFBEB"/>
      </right>
      <top style="thin">
        <color rgb="FFFCFBEB"/>
      </top>
      <bottom style="thin">
        <color rgb="FFFCFBEB"/>
      </bottom>
    </border>
    <border>
      <left style="thin">
        <color rgb="FFFCFBEB"/>
      </left>
      <right style="thick">
        <color rgb="FF434343"/>
      </right>
      <top style="thin">
        <color rgb="FFFCFBEB"/>
      </top>
      <bottom style="thin">
        <color rgb="FFFCFBEB"/>
      </bottom>
    </border>
    <border>
      <right style="thin">
        <color rgb="FFFCFBEB"/>
      </right>
      <top style="thin">
        <color rgb="FFFCFBEB"/>
      </top>
      <bottom style="thin">
        <color rgb="FFFCFBEB"/>
      </bottom>
    </border>
    <border>
      <left style="thick">
        <color rgb="FF434343"/>
      </left>
      <right style="thin">
        <color rgb="FFFCFBEB"/>
      </right>
    </border>
    <border>
      <left style="thin">
        <color rgb="FFFCFBEB"/>
      </left>
      <right style="thick">
        <color rgb="FF434343"/>
      </right>
    </border>
    <border>
      <left style="thick">
        <color rgb="FF434343"/>
      </left>
      <top style="medium">
        <color rgb="FF434343"/>
      </top>
      <bottom style="thin">
        <color rgb="FFFCFBEB"/>
      </bottom>
    </border>
    <border>
      <top style="medium">
        <color rgb="FF434343"/>
      </top>
      <bottom style="thin">
        <color rgb="FFFCFBEB"/>
      </bottom>
    </border>
    <border>
      <right style="thick">
        <color rgb="FF434343"/>
      </right>
      <top style="medium">
        <color rgb="FF434343"/>
      </top>
      <bottom style="thin">
        <color rgb="FFFCFBEB"/>
      </bottom>
    </border>
    <border>
      <left style="thin">
        <color rgb="FFFCFBEB"/>
      </left>
      <right style="thin">
        <color rgb="FFFCFBEB"/>
      </right>
      <top style="thin">
        <color rgb="FFFCFBEB"/>
      </top>
    </border>
    <border>
      <left style="thick">
        <color rgb="FF434343"/>
      </left>
      <top style="thin">
        <color rgb="FFFCFBEB"/>
      </top>
    </border>
    <border>
      <left style="thin">
        <color rgb="FFFCFBEB"/>
      </left>
      <right style="thick">
        <color rgb="FF434343"/>
      </right>
      <top style="thin">
        <color rgb="FFFCFBEB"/>
      </top>
    </border>
    <border>
      <left style="thin">
        <color rgb="FFFCFBEB"/>
      </left>
      <right style="thick">
        <color rgb="FF434343"/>
      </right>
      <top style="medium">
        <color rgb="FF434343"/>
      </top>
      <bottom style="thin">
        <color rgb="FFFCFBEB"/>
      </bottom>
    </border>
    <border>
      <left style="thick">
        <color rgb="FF434343"/>
      </left>
      <top style="thin">
        <color rgb="FFFCFBEB"/>
      </top>
      <bottom style="thick">
        <color rgb="FF434343"/>
      </bottom>
    </border>
    <border>
      <top style="thin">
        <color rgb="FFFCFBEB"/>
      </top>
      <bottom style="thick">
        <color rgb="FF434343"/>
      </bottom>
    </border>
    <border>
      <left style="thin">
        <color rgb="FFFCFBEB"/>
      </left>
      <right style="thick">
        <color rgb="FF434343"/>
      </right>
      <top style="thin">
        <color rgb="FFFCFBEB"/>
      </top>
      <bottom style="thick">
        <color rgb="FF434343"/>
      </bottom>
    </border>
    <border>
      <left style="thin">
        <color rgb="FFFCFBEB"/>
      </left>
      <right style="thin">
        <color rgb="FFFCFBEB"/>
      </right>
      <top style="thin">
        <color rgb="FFFFFFFF"/>
      </top>
    </border>
    <border>
      <left style="thick">
        <color rgb="FF3E3A3A"/>
      </left>
      <right style="thin">
        <color rgb="FFB0A23C"/>
      </right>
      <bottom style="thin">
        <color rgb="FFB0A23C"/>
      </bottom>
    </border>
    <border>
      <left style="thin">
        <color rgb="FFB0A23C"/>
      </left>
      <right style="thin">
        <color rgb="FFB0A23C"/>
      </right>
      <bottom style="thin">
        <color rgb="FFB0A23C"/>
      </bottom>
    </border>
    <border>
      <left style="thin">
        <color rgb="FFB0A23C"/>
      </left>
      <top style="thin">
        <color rgb="FF3E3A3A"/>
      </top>
      <bottom style="thin">
        <color rgb="FFB0A23C"/>
      </bottom>
    </border>
    <border>
      <right style="thick">
        <color rgb="FF3E3A3A"/>
      </right>
      <top style="thin">
        <color rgb="FF3E3A3A"/>
      </top>
      <bottom style="thin">
        <color rgb="FFB0A23C"/>
      </bottom>
    </border>
    <border>
      <left style="thick">
        <color rgb="FF3E3A3A"/>
      </left>
      <right style="thin">
        <color rgb="FFB0A23C"/>
      </right>
      <top style="thin">
        <color rgb="FFB0A23C"/>
      </top>
      <bottom style="thin">
        <color rgb="FFB0A23C"/>
      </bottom>
    </border>
    <border>
      <left style="thin">
        <color rgb="FFB0A23C"/>
      </left>
      <right style="thin">
        <color rgb="FFB0A23C"/>
      </right>
      <top style="thin">
        <color rgb="FFB0A23C"/>
      </top>
      <bottom style="thin">
        <color rgb="FFB0A23C"/>
      </bottom>
    </border>
    <border>
      <left style="thin">
        <color rgb="FFB0A23C"/>
      </left>
      <top style="thin">
        <color rgb="FFB0A23C"/>
      </top>
      <bottom style="thin">
        <color rgb="FFB0A23C"/>
      </bottom>
    </border>
    <border>
      <right style="thick">
        <color rgb="FF3E3A3A"/>
      </right>
      <top style="thin">
        <color rgb="FFB0A23C"/>
      </top>
      <bottom style="thin">
        <color rgb="FFB0A23C"/>
      </bottom>
    </border>
    <border>
      <left style="thick">
        <color rgb="FF3E3A3A"/>
      </left>
      <right style="thin">
        <color rgb="FFB0A23C"/>
      </right>
      <top style="thin">
        <color rgb="FFB0A23C"/>
      </top>
    </border>
    <border>
      <left style="thin">
        <color rgb="FFB0A23C"/>
      </left>
      <right style="thin">
        <color rgb="FFB0A23C"/>
      </right>
      <top style="thin">
        <color rgb="FFB0A23C"/>
      </top>
    </border>
    <border>
      <left style="thin">
        <color rgb="FFB0A23C"/>
      </left>
      <top style="thin">
        <color rgb="FFB0A23C"/>
      </top>
      <bottom style="medium">
        <color rgb="FF3E3A3A"/>
      </bottom>
    </border>
    <border>
      <right style="thick">
        <color rgb="FF3E3A3A"/>
      </right>
      <top style="thin">
        <color rgb="FFB0A23C"/>
      </top>
      <bottom style="medium">
        <color rgb="FF3E3A3A"/>
      </bottom>
    </border>
    <border>
      <left style="thin">
        <color rgb="FFEBF4FC"/>
      </left>
      <top style="thin">
        <color rgb="FFFCFBEB"/>
      </top>
      <bottom style="thin">
        <color rgb="FFFCFBEB"/>
      </bottom>
    </border>
    <border>
      <left style="thick">
        <color rgb="FF3E3A3A"/>
      </left>
      <right style="thin">
        <color rgb="FFFCFBEB"/>
      </right>
      <top style="thin">
        <color rgb="FFFCFBEB"/>
      </top>
    </border>
    <border>
      <left style="thin">
        <color rgb="FFFCFBEB"/>
      </left>
      <right style="thick">
        <color rgb="FF3E3A3A"/>
      </right>
      <top style="thin">
        <color rgb="FFFCFBEB"/>
      </top>
    </border>
    <border>
      <left style="thick">
        <color rgb="FF3E3A3A"/>
      </left>
      <right style="thin">
        <color rgb="FFFCFBEB"/>
      </right>
      <top style="thin">
        <color rgb="FFFCFBEB"/>
      </top>
      <bottom style="thick">
        <color rgb="FF3E3A3A"/>
      </bottom>
    </border>
    <border>
      <left style="thin">
        <color rgb="FFFCFBEB"/>
      </left>
      <right style="thin">
        <color rgb="FFFCFBEB"/>
      </right>
      <top style="thin">
        <color rgb="FFFCFBEB"/>
      </top>
      <bottom style="thick">
        <color rgb="FF3E3A3A"/>
      </bottom>
    </border>
    <border>
      <left style="thin">
        <color rgb="FFFCFBEB"/>
      </left>
      <right style="thin">
        <color rgb="FFFCFBEB"/>
      </right>
      <bottom style="thick">
        <color rgb="FF3E3A3A"/>
      </bottom>
    </border>
    <border>
      <left style="thin">
        <color rgb="FFFCFBEB"/>
      </left>
      <right style="thick">
        <color rgb="FF3E3A3A"/>
      </right>
      <top style="thin">
        <color rgb="FFFCFBEB"/>
      </top>
      <bottom style="thick">
        <color rgb="FF3E3A3A"/>
      </bottom>
    </border>
    <border>
      <left style="thick">
        <color rgb="FF3E3A3A"/>
      </left>
      <right style="thin">
        <color rgb="FFEBFCEB"/>
      </right>
      <bottom style="thin">
        <color rgb="FFEBFCEB"/>
      </bottom>
    </border>
    <border>
      <left style="thin">
        <color rgb="FFEBFCEB"/>
      </left>
      <right style="thin">
        <color rgb="FFEBFCEB"/>
      </right>
    </border>
    <border>
      <left style="thin">
        <color rgb="FFEBFCEB"/>
      </left>
      <right style="thin">
        <color rgb="FFEBFCEB"/>
      </right>
      <bottom style="thin">
        <color rgb="FFEBFCEB"/>
      </bottom>
    </border>
    <border>
      <left style="thin">
        <color rgb="FFEBFCEB"/>
      </left>
      <right style="thick">
        <color rgb="FF3E3A3A"/>
      </right>
      <bottom style="thin">
        <color rgb="FFEBFCEB"/>
      </bottom>
    </border>
    <border>
      <left style="thick">
        <color rgb="FF3E3A3A"/>
      </left>
      <right style="thin">
        <color rgb="FFEBFCEB"/>
      </right>
      <top style="thin">
        <color rgb="FFEBFCEB"/>
      </top>
      <bottom style="thin">
        <color rgb="FFEBFCEB"/>
      </bottom>
    </border>
    <border>
      <left style="thin">
        <color rgb="FFEBFCEB"/>
      </left>
      <right style="thin">
        <color rgb="FFEBFCEB"/>
      </right>
      <top style="thin">
        <color rgb="FFEBFCEB"/>
      </top>
      <bottom style="thin">
        <color rgb="FFFFFFFF"/>
      </bottom>
    </border>
    <border>
      <left style="thin">
        <color rgb="FFEBFCEB"/>
      </left>
      <top style="thin">
        <color rgb="FFEBFCEB"/>
      </top>
    </border>
    <border>
      <top style="thin">
        <color rgb="FFEBFCEB"/>
      </top>
    </border>
    <border>
      <right style="thin">
        <color rgb="FFEBFCEB"/>
      </right>
      <top style="thin">
        <color rgb="FFEBFCEB"/>
      </top>
    </border>
    <border>
      <left style="thin">
        <color rgb="FFEBFCEB"/>
      </left>
      <right style="thick">
        <color rgb="FF3E3A3A"/>
      </right>
      <top style="thin">
        <color rgb="FFEBFCEB"/>
      </top>
      <bottom style="thin">
        <color rgb="FFEBFCEB"/>
      </bottom>
    </border>
    <border>
      <left style="thick">
        <color rgb="FF3E3A3A"/>
      </left>
      <top style="thin">
        <color rgb="FFEBFCEB"/>
      </top>
      <bottom style="thin">
        <color rgb="FFEBFCEB"/>
      </bottom>
    </border>
    <border>
      <top style="thin">
        <color rgb="FFEBFCEB"/>
      </top>
      <bottom style="thin">
        <color rgb="FFEBFCEB"/>
      </bottom>
    </border>
    <border>
      <right style="thick">
        <color rgb="FF3E3A3A"/>
      </right>
      <top style="thin">
        <color rgb="FFEBFCEB"/>
      </top>
      <bottom style="thin">
        <color rgb="FFEBFCEB"/>
      </bottom>
    </border>
    <border>
      <left style="thick">
        <color rgb="FF434343"/>
      </left>
      <bottom style="thin">
        <color rgb="FFEBFCEB"/>
      </bottom>
    </border>
    <border>
      <bottom style="thin">
        <color rgb="FFEBFCEB"/>
      </bottom>
    </border>
    <border>
      <right style="thick">
        <color rgb="FF434343"/>
      </right>
      <bottom style="thin">
        <color rgb="FFEBFCEB"/>
      </bottom>
    </border>
    <border>
      <left style="thick">
        <color rgb="FF434343"/>
      </left>
      <top style="thin">
        <color rgb="FFEBFCEB"/>
      </top>
      <bottom style="thin">
        <color rgb="FFEBFCEB"/>
      </bottom>
    </border>
    <border>
      <right style="thick">
        <color rgb="FF434343"/>
      </right>
      <top style="thin">
        <color rgb="FFEBFCEB"/>
      </top>
      <bottom style="thin">
        <color rgb="FFEBFCEB"/>
      </bottom>
    </border>
    <border>
      <left style="thin">
        <color rgb="FFEBFCEB"/>
      </left>
      <top style="thin">
        <color rgb="FFEBFCEB"/>
      </top>
      <bottom style="thin">
        <color rgb="FFEBFCEB"/>
      </bottom>
    </border>
    <border>
      <left style="thick">
        <color rgb="FF434343"/>
      </left>
      <right style="thin">
        <color rgb="FFEBFCEB"/>
      </right>
      <top style="thin">
        <color rgb="FFEBFCEB"/>
      </top>
      <bottom style="thin">
        <color rgb="FFEBFCEB"/>
      </bottom>
    </border>
    <border>
      <left style="thin">
        <color rgb="FFEBFCEB"/>
      </left>
      <right style="thin">
        <color rgb="FFEBFCEB"/>
      </right>
      <top style="thin">
        <color rgb="FFEBFCEB"/>
      </top>
      <bottom style="thin">
        <color rgb="FFEBFCEB"/>
      </bottom>
    </border>
    <border>
      <left style="thin">
        <color rgb="FFEBFCEB"/>
      </left>
      <right style="thick">
        <color rgb="FF434343"/>
      </right>
      <top style="thin">
        <color rgb="FFEBFCEB"/>
      </top>
      <bottom style="thin">
        <color rgb="FFEBFCEB"/>
      </bottom>
    </border>
    <border>
      <left style="thick">
        <color rgb="FF434343"/>
      </left>
      <right style="thin">
        <color rgb="FFEBFCEB"/>
      </right>
    </border>
    <border>
      <left style="thin">
        <color rgb="FFEBFCEB"/>
      </left>
      <right style="thick">
        <color rgb="FF434343"/>
      </right>
    </border>
    <border>
      <left style="thick">
        <color rgb="FF434343"/>
      </left>
      <top style="medium">
        <color rgb="FF434343"/>
      </top>
      <bottom style="thin">
        <color rgb="FFEBFCEB"/>
      </bottom>
    </border>
    <border>
      <top style="medium">
        <color rgb="FF434343"/>
      </top>
      <bottom style="thin">
        <color rgb="FFEBFCEB"/>
      </bottom>
    </border>
    <border>
      <right style="thick">
        <color rgb="FF434343"/>
      </right>
      <top style="medium">
        <color rgb="FF434343"/>
      </top>
      <bottom style="thin">
        <color rgb="FFEBFCEB"/>
      </bottom>
    </border>
    <border>
      <left style="thin">
        <color rgb="FFEBFCEB"/>
      </left>
      <right style="thin">
        <color rgb="FFEBFCEB"/>
      </right>
      <top style="thin">
        <color rgb="FFEBFCEB"/>
      </top>
    </border>
    <border>
      <left style="thick">
        <color rgb="FF434343"/>
      </left>
      <top style="thin">
        <color rgb="FFEBFCEB"/>
      </top>
    </border>
    <border>
      <left style="thin">
        <color rgb="FFEBFCEB"/>
      </left>
      <right style="thick">
        <color rgb="FF434343"/>
      </right>
      <top style="thin">
        <color rgb="FFEBFCEB"/>
      </top>
    </border>
    <border>
      <right style="thin">
        <color rgb="FFFFFFFF"/>
      </right>
      <top style="medium">
        <color rgb="FF434343"/>
      </top>
      <bottom style="thin">
        <color rgb="FFEBFCEB"/>
      </bottom>
    </border>
    <border>
      <left style="thin">
        <color rgb="FFEBFCEB"/>
      </left>
      <right style="thick">
        <color rgb="FF434343"/>
      </right>
      <top style="medium">
        <color rgb="FF434343"/>
      </top>
      <bottom style="thin">
        <color rgb="FFEBFCEB"/>
      </bottom>
    </border>
    <border>
      <right style="thin">
        <color rgb="FFFFFFFF"/>
      </right>
      <top style="thin">
        <color rgb="FFEBFCEB"/>
      </top>
      <bottom style="thin">
        <color rgb="FFEBFCEB"/>
      </bottom>
    </border>
    <border>
      <left style="thick">
        <color rgb="FF434343"/>
      </left>
      <top style="thin">
        <color rgb="FFEBFCEB"/>
      </top>
      <bottom style="thick">
        <color rgb="FF434343"/>
      </bottom>
    </border>
    <border>
      <top style="thin">
        <color rgb="FFEBFCEB"/>
      </top>
      <bottom style="thick">
        <color rgb="FF434343"/>
      </bottom>
    </border>
    <border>
      <right style="thin">
        <color rgb="FFFFFFFF"/>
      </right>
      <top style="thin">
        <color rgb="FFEBFCEB"/>
      </top>
      <bottom style="thick">
        <color rgb="FF434343"/>
      </bottom>
    </border>
    <border>
      <left style="thin">
        <color rgb="FFEBFCEB"/>
      </left>
      <right style="thick">
        <color rgb="FF434343"/>
      </right>
      <top style="thin">
        <color rgb="FFEBFCEB"/>
      </top>
      <bottom style="thick">
        <color rgb="FF434343"/>
      </bottom>
    </border>
    <border>
      <left style="thin">
        <color rgb="FFEBFCEB"/>
      </left>
      <right style="thin">
        <color rgb="FFEBFCEB"/>
      </right>
      <top style="thin">
        <color rgb="FFFFFFFF"/>
      </top>
    </border>
    <border>
      <left style="thick">
        <color rgb="FF3E3A3A"/>
      </left>
      <right style="thin">
        <color rgb="FF528D55"/>
      </right>
      <bottom style="thin">
        <color rgb="FF528D55"/>
      </bottom>
    </border>
    <border>
      <left style="thin">
        <color rgb="FF528D55"/>
      </left>
      <right style="thin">
        <color rgb="FF528D55"/>
      </right>
      <bottom style="thin">
        <color rgb="FF528D55"/>
      </bottom>
    </border>
    <border>
      <left style="thin">
        <color rgb="FF528D55"/>
      </left>
      <top style="thin">
        <color rgb="FF3E3A3A"/>
      </top>
      <bottom style="thin">
        <color rgb="FF528D55"/>
      </bottom>
    </border>
    <border>
      <right style="thick">
        <color rgb="FF3E3A3A"/>
      </right>
      <top style="thin">
        <color rgb="FF3E3A3A"/>
      </top>
      <bottom style="thin">
        <color rgb="FF528D55"/>
      </bottom>
    </border>
    <border>
      <right style="thin">
        <color rgb="FFEBFCEB"/>
      </right>
      <top style="thin">
        <color rgb="FFEBFCEB"/>
      </top>
      <bottom style="thin">
        <color rgb="FFEBFCEB"/>
      </bottom>
    </border>
    <border>
      <left style="thick">
        <color rgb="FF3E3A3A"/>
      </left>
      <right style="thin">
        <color rgb="FF528D55"/>
      </right>
      <top style="thin">
        <color rgb="FF528D55"/>
      </top>
      <bottom style="thin">
        <color rgb="FF528D55"/>
      </bottom>
    </border>
    <border>
      <left style="thin">
        <color rgb="FF528D55"/>
      </left>
      <right style="thin">
        <color rgb="FF528D55"/>
      </right>
      <top style="thin">
        <color rgb="FF528D55"/>
      </top>
      <bottom style="thin">
        <color rgb="FF528D55"/>
      </bottom>
    </border>
    <border>
      <left style="thin">
        <color rgb="FF528D55"/>
      </left>
      <top style="thin">
        <color rgb="FF528D55"/>
      </top>
      <bottom style="thin">
        <color rgb="FF528D55"/>
      </bottom>
    </border>
    <border>
      <right style="thick">
        <color rgb="FF3E3A3A"/>
      </right>
      <top style="thin">
        <color rgb="FF528D55"/>
      </top>
      <bottom style="thin">
        <color rgb="FF528D55"/>
      </bottom>
    </border>
    <border>
      <left style="thick">
        <color rgb="FF3E3A3A"/>
      </left>
      <right style="thin">
        <color rgb="FF528D55"/>
      </right>
      <top style="thin">
        <color rgb="FF528D55"/>
      </top>
    </border>
    <border>
      <left style="thin">
        <color rgb="FF528D55"/>
      </left>
      <right style="thin">
        <color rgb="FF528D55"/>
      </right>
      <top style="thin">
        <color rgb="FF528D55"/>
      </top>
    </border>
    <border>
      <left style="thin">
        <color rgb="FF528D55"/>
      </left>
      <top style="thin">
        <color rgb="FF528D55"/>
      </top>
      <bottom style="medium">
        <color rgb="FF3E3A3A"/>
      </bottom>
    </border>
    <border>
      <right style="thick">
        <color rgb="FF3E3A3A"/>
      </right>
      <top style="thin">
        <color rgb="FF528D55"/>
      </top>
      <bottom style="medium">
        <color rgb="FF3E3A3A"/>
      </bottom>
    </border>
    <border>
      <left style="thin">
        <color rgb="FFEBF4FC"/>
      </left>
      <top style="thin">
        <color rgb="FFEBFCEB"/>
      </top>
      <bottom style="thin">
        <color rgb="FFEBFCEB"/>
      </bottom>
    </border>
    <border>
      <left style="thick">
        <color rgb="FF3E3A3A"/>
      </left>
      <right style="thin">
        <color rgb="FFEBFCEB"/>
      </right>
      <top style="thin">
        <color rgb="FFEBFCEB"/>
      </top>
    </border>
    <border>
      <left style="thin">
        <color rgb="FFEBFCEB"/>
      </left>
      <right style="thick">
        <color rgb="FF3E3A3A"/>
      </right>
      <top style="thin">
        <color rgb="FFEBFCEB"/>
      </top>
    </border>
    <border>
      <left style="thick">
        <color rgb="FF3E3A3A"/>
      </left>
      <right style="thin">
        <color rgb="FFEBFCEB"/>
      </right>
      <top style="thin">
        <color rgb="FFEBFCEB"/>
      </top>
      <bottom style="thick">
        <color rgb="FF3E3A3A"/>
      </bottom>
    </border>
    <border>
      <left style="thin">
        <color rgb="FFEBFCEB"/>
      </left>
      <right style="thin">
        <color rgb="FFEBFCEB"/>
      </right>
      <top style="thin">
        <color rgb="FFEBFCEB"/>
      </top>
      <bottom style="thick">
        <color rgb="FF3E3A3A"/>
      </bottom>
    </border>
    <border>
      <left style="thin">
        <color rgb="FFEBFCEB"/>
      </left>
      <right style="thin">
        <color rgb="FFEBFCEB"/>
      </right>
      <bottom style="thick">
        <color rgb="FF3E3A3A"/>
      </bottom>
    </border>
    <border>
      <left style="thin">
        <color rgb="FFEBFCEB"/>
      </left>
      <right style="thick">
        <color rgb="FF3E3A3A"/>
      </right>
      <top style="thin">
        <color rgb="FFEBFCEB"/>
      </top>
      <bottom style="thick">
        <color rgb="FF3E3A3A"/>
      </bottom>
    </border>
    <border>
      <left style="thick">
        <color rgb="FF3E3A3A"/>
      </left>
      <right style="thin">
        <color rgb="FFFCEBFB"/>
      </right>
      <bottom style="thin">
        <color rgb="FFFCEBFB"/>
      </bottom>
    </border>
    <border>
      <left style="thin">
        <color rgb="FFFCEBFB"/>
      </left>
      <right style="thin">
        <color rgb="FFFCEBFB"/>
      </right>
      <bottom style="thin">
        <color rgb="FFFCEBFB"/>
      </bottom>
    </border>
    <border>
      <left style="thin">
        <color rgb="FFFCEBFB"/>
      </left>
      <right style="thick">
        <color rgb="FF3E3A3A"/>
      </right>
      <bottom style="thin">
        <color rgb="FFFCEBFB"/>
      </bottom>
    </border>
    <border>
      <left style="thick">
        <color rgb="FF3E3A3A"/>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FFFFF"/>
      </bottom>
    </border>
    <border>
      <left style="thin">
        <color rgb="FFFCEBFB"/>
      </left>
      <top style="thin">
        <color rgb="FFFCEBFB"/>
      </top>
    </border>
    <border>
      <top style="thin">
        <color rgb="FFFCEBFB"/>
      </top>
    </border>
    <border>
      <right style="thin">
        <color rgb="FFFCEBFB"/>
      </right>
      <top style="thin">
        <color rgb="FFFCEBFB"/>
      </top>
    </border>
    <border>
      <left style="thin">
        <color rgb="FFFCEBFB"/>
      </left>
      <right style="thick">
        <color rgb="FF3E3A3A"/>
      </right>
      <top style="thin">
        <color rgb="FFFCEBFB"/>
      </top>
      <bottom style="thin">
        <color rgb="FFFCEBFB"/>
      </bottom>
    </border>
    <border>
      <left style="thick">
        <color rgb="FF3E3A3A"/>
      </left>
      <top style="thin">
        <color rgb="FFFCEBFB"/>
      </top>
      <bottom style="thin">
        <color rgb="FFFCEBFB"/>
      </bottom>
    </border>
    <border>
      <top style="thin">
        <color rgb="FFFFFFFF"/>
      </top>
      <bottom style="thin">
        <color rgb="FFFFFFFF"/>
      </bottom>
    </border>
    <border>
      <right style="thick">
        <color rgb="FF3E3A3A"/>
      </right>
      <top style="thin">
        <color rgb="FFFCEBFB"/>
      </top>
      <bottom style="thin">
        <color rgb="FFFCEBFB"/>
      </bottom>
    </border>
    <border>
      <left style="thick">
        <color rgb="FF434343"/>
      </left>
      <bottom style="thin">
        <color rgb="FFFCEBFB"/>
      </bottom>
    </border>
    <border>
      <bottom style="thin">
        <color rgb="FFFCEBFB"/>
      </bottom>
    </border>
    <border>
      <right style="thick">
        <color rgb="FF434343"/>
      </right>
      <bottom style="thin">
        <color rgb="FFFCEBFB"/>
      </bottom>
    </border>
    <border>
      <left style="thick">
        <color rgb="FF434343"/>
      </left>
      <top style="thin">
        <color rgb="FFFCEBFB"/>
      </top>
      <bottom style="thin">
        <color rgb="FFFCEBFB"/>
      </bottom>
    </border>
    <border>
      <top style="thin">
        <color rgb="FFFCEBFB"/>
      </top>
      <bottom style="thin">
        <color rgb="FFFCEBFB"/>
      </bottom>
    </border>
    <border>
      <right style="thick">
        <color rgb="FF434343"/>
      </right>
      <top style="thin">
        <color rgb="FFFCEBFB"/>
      </top>
      <bottom style="thin">
        <color rgb="FFFCEBFB"/>
      </bottom>
    </border>
    <border>
      <left style="thin">
        <color rgb="FFFCEBFB"/>
      </left>
      <right style="thin">
        <color rgb="FFFCEBFB"/>
      </right>
    </border>
    <border>
      <left style="thin">
        <color rgb="FFFCEBFB"/>
      </left>
      <top style="thin">
        <color rgb="FFFFFFFF"/>
      </top>
      <bottom style="thin">
        <color rgb="FFFCEBFB"/>
      </bottom>
    </border>
    <border>
      <left style="thick">
        <color rgb="FF434343"/>
      </left>
      <right style="thin">
        <color rgb="FFFCEBFB"/>
      </right>
      <bottom style="thin">
        <color rgb="FFFCEBFB"/>
      </bottom>
    </border>
    <border>
      <right style="thin">
        <color rgb="FFFCEBFB"/>
      </right>
      <bottom style="thin">
        <color rgb="FFFCEBFB"/>
      </bottom>
    </border>
    <border>
      <left style="thick">
        <color rgb="FF434343"/>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CEBFB"/>
      </bottom>
    </border>
    <border>
      <left style="thin">
        <color rgb="FFFCEBFB"/>
      </left>
      <right style="thick">
        <color rgb="FF434343"/>
      </right>
      <top style="thin">
        <color rgb="FFFCEBFB"/>
      </top>
      <bottom style="thin">
        <color rgb="FFFCEBFB"/>
      </bottom>
    </border>
    <border>
      <left style="thin">
        <color rgb="FFFCEBFB"/>
      </left>
      <top style="thin">
        <color rgb="FFFCEBFB"/>
      </top>
      <bottom style="thin">
        <color rgb="FFFCEBFB"/>
      </bottom>
    </border>
    <border>
      <right style="thin">
        <color rgb="FFFCEBFB"/>
      </right>
      <top style="thin">
        <color rgb="FFFCEBFB"/>
      </top>
      <bottom style="thin">
        <color rgb="FFFCEBFB"/>
      </bottom>
    </border>
    <border>
      <left style="thick">
        <color rgb="FF434343"/>
      </left>
      <right style="thin">
        <color rgb="FFFCEBFB"/>
      </right>
      <bottom style="medium">
        <color rgb="FF434343"/>
      </bottom>
    </border>
    <border>
      <right style="thin">
        <color rgb="FFFCEBFB"/>
      </right>
      <bottom style="medium">
        <color rgb="FF434343"/>
      </bottom>
    </border>
    <border>
      <right style="thick">
        <color rgb="FF434343"/>
      </right>
      <bottom style="medium">
        <color rgb="FF434343"/>
      </bottom>
    </border>
    <border>
      <left style="thick">
        <color rgb="FF434343"/>
      </left>
      <right style="thin">
        <color rgb="FFFCEBFB"/>
      </right>
    </border>
    <border>
      <left style="thin">
        <color rgb="FFFCEBFB"/>
      </left>
      <right style="thick">
        <color rgb="FF434343"/>
      </right>
    </border>
    <border>
      <left style="thick">
        <color rgb="FF434343"/>
      </left>
      <top style="medium">
        <color rgb="FF434343"/>
      </top>
      <bottom style="thin">
        <color rgb="FFFCEBFB"/>
      </bottom>
    </border>
    <border>
      <top style="medium">
        <color rgb="FF434343"/>
      </top>
      <bottom style="thin">
        <color rgb="FFFCEBFB"/>
      </bottom>
    </border>
    <border>
      <right style="thick">
        <color rgb="FF434343"/>
      </right>
      <top style="medium">
        <color rgb="FF434343"/>
      </top>
      <bottom style="thin">
        <color rgb="FFFCEBFB"/>
      </bottom>
    </border>
    <border>
      <left style="thin">
        <color rgb="FFFCEBFB"/>
      </left>
      <right style="thin">
        <color rgb="FFFCEBFB"/>
      </right>
      <top style="thin">
        <color rgb="FFFCEBFB"/>
      </top>
    </border>
    <border>
      <left style="thick">
        <color rgb="FF434343"/>
      </left>
    </border>
    <border>
      <right style="thin">
        <color rgb="FFFCEBFB"/>
      </right>
    </border>
    <border>
      <right style="thick">
        <color rgb="FF434343"/>
      </right>
    </border>
    <border>
      <left style="thick">
        <color rgb="FF434343"/>
      </left>
      <top style="medium">
        <color rgb="FF3E3A3A"/>
      </top>
      <bottom style="thin">
        <color rgb="FFFCEBFB"/>
      </bottom>
    </border>
    <border>
      <top style="medium">
        <color rgb="FF3E3A3A"/>
      </top>
      <bottom style="thin">
        <color rgb="FFFCEBFB"/>
      </bottom>
    </border>
    <border>
      <right style="thin">
        <color rgb="FFFCEBFB"/>
      </right>
      <top style="medium">
        <color rgb="FF3E3A3A"/>
      </top>
      <bottom style="thin">
        <color rgb="FFFCEBFB"/>
      </bottom>
    </border>
    <border>
      <right style="thick">
        <color rgb="FF434343"/>
      </right>
      <top style="medium">
        <color rgb="FF3E3A3A"/>
      </top>
      <bottom style="thin">
        <color rgb="FFFCEBFB"/>
      </bottom>
    </border>
    <border>
      <left style="thick">
        <color rgb="FF434343"/>
      </left>
      <bottom style="thick">
        <color rgb="FF434343"/>
      </bottom>
    </border>
    <border>
      <bottom style="thick">
        <color rgb="FF434343"/>
      </bottom>
    </border>
    <border>
      <right style="thin">
        <color rgb="FFFCEBFB"/>
      </right>
      <bottom style="thick">
        <color rgb="FF434343"/>
      </bottom>
    </border>
    <border>
      <right style="thick">
        <color rgb="FF434343"/>
      </right>
      <bottom style="thick">
        <color rgb="FF434343"/>
      </bottom>
    </border>
    <border>
      <left style="thick">
        <color rgb="FF434343"/>
      </left>
      <top style="thin">
        <color rgb="FFFCEBFB"/>
      </top>
      <bottom style="thick">
        <color rgb="FF434343"/>
      </bottom>
    </border>
    <border>
      <top style="thin">
        <color rgb="FFFCEBFB"/>
      </top>
      <bottom style="thick">
        <color rgb="FF434343"/>
      </bottom>
    </border>
    <border>
      <left style="thin">
        <color rgb="FFFCEBFB"/>
      </left>
      <right style="thick">
        <color rgb="FF434343"/>
      </right>
      <top style="thin">
        <color rgb="FFFCEBFB"/>
      </top>
      <bottom style="thick">
        <color rgb="FF434343"/>
      </bottom>
    </border>
    <border>
      <left style="thin">
        <color rgb="FFFCEBFB"/>
      </left>
      <right style="thin">
        <color rgb="FFFCEBFB"/>
      </right>
      <top style="thin">
        <color rgb="FFFFFFFF"/>
      </top>
    </border>
    <border>
      <left style="thick">
        <color rgb="FF3E3A3A"/>
      </left>
      <right style="thin">
        <color rgb="FFBC65C9"/>
      </right>
      <bottom style="thin">
        <color rgb="FFBC65C9"/>
      </bottom>
    </border>
    <border>
      <left style="thin">
        <color rgb="FFBC65C9"/>
      </left>
      <right style="thin">
        <color rgb="FFBC65C9"/>
      </right>
      <bottom style="thin">
        <color rgb="FFBC65C9"/>
      </bottom>
    </border>
    <border>
      <left style="thin">
        <color rgb="FFBC65C9"/>
      </left>
      <top style="thin">
        <color rgb="FF3E3A3A"/>
      </top>
      <bottom style="thin">
        <color rgb="FFBC65C9"/>
      </bottom>
    </border>
    <border>
      <right style="thick">
        <color rgb="FF3E3A3A"/>
      </right>
      <top style="thin">
        <color rgb="FF3E3A3A"/>
      </top>
      <bottom style="thin">
        <color rgb="FFBC65C9"/>
      </bottom>
    </border>
    <border>
      <left style="thick">
        <color rgb="FF3E3A3A"/>
      </left>
      <right style="thin">
        <color rgb="FFBC65C9"/>
      </right>
      <top style="thin">
        <color rgb="FFBC65C9"/>
      </top>
      <bottom style="thin">
        <color rgb="FFBC65C9"/>
      </bottom>
    </border>
    <border>
      <left style="thin">
        <color rgb="FFBC65C9"/>
      </left>
      <right style="thin">
        <color rgb="FFBC65C9"/>
      </right>
      <top style="thin">
        <color rgb="FFBC65C9"/>
      </top>
      <bottom style="thin">
        <color rgb="FFBC65C9"/>
      </bottom>
    </border>
    <border>
      <left style="thin">
        <color rgb="FFBC65C9"/>
      </left>
      <top style="thin">
        <color rgb="FFBC65C9"/>
      </top>
      <bottom style="thin">
        <color rgb="FFBC65C9"/>
      </bottom>
    </border>
    <border>
      <right style="thick">
        <color rgb="FF3E3A3A"/>
      </right>
      <top style="thin">
        <color rgb="FFBC65C9"/>
      </top>
      <bottom style="thin">
        <color rgb="FFBC65C9"/>
      </bottom>
    </border>
    <border>
      <left style="thick">
        <color rgb="FF3E3A3A"/>
      </left>
      <right style="thin">
        <color rgb="FFBC65C9"/>
      </right>
      <top style="thin">
        <color rgb="FFBC65C9"/>
      </top>
    </border>
    <border>
      <left style="thin">
        <color rgb="FFBC65C9"/>
      </left>
      <right style="thin">
        <color rgb="FFBC65C9"/>
      </right>
      <top style="thin">
        <color rgb="FFBC65C9"/>
      </top>
    </border>
    <border>
      <left style="thin">
        <color rgb="FFBC65C9"/>
      </left>
      <top style="thin">
        <color rgb="FFBC65C9"/>
      </top>
      <bottom style="medium">
        <color rgb="FF3E3A3A"/>
      </bottom>
    </border>
    <border>
      <right style="thick">
        <color rgb="FF3E3A3A"/>
      </right>
      <top style="thin">
        <color rgb="FFBC65C9"/>
      </top>
      <bottom style="medium">
        <color rgb="FF3E3A3A"/>
      </bottom>
    </border>
    <border>
      <left style="thick">
        <color rgb="FF3E3A3A"/>
      </left>
      <right style="thin">
        <color rgb="FFFCEBFB"/>
      </right>
      <top style="thin">
        <color rgb="FFFCEBFB"/>
      </top>
      <bottom style="thick">
        <color rgb="FF3E3A3A"/>
      </bottom>
    </border>
    <border>
      <left style="thin">
        <color rgb="FFFCEBFB"/>
      </left>
      <right style="thin">
        <color rgb="FFFCEBFB"/>
      </right>
      <top style="thin">
        <color rgb="FFFCEBFB"/>
      </top>
      <bottom style="thick">
        <color rgb="FF3E3A3A"/>
      </bottom>
    </border>
    <border>
      <left style="thin">
        <color rgb="FFFCEBFB"/>
      </left>
      <right style="thin">
        <color rgb="FFFCEBFB"/>
      </right>
      <bottom style="thick">
        <color rgb="FF3E3A3A"/>
      </bottom>
    </border>
    <border>
      <left style="thin">
        <color rgb="FFFCEBFB"/>
      </left>
      <right style="thick">
        <color rgb="FF3E3A3A"/>
      </right>
      <top style="thin">
        <color rgb="FFFCEBFB"/>
      </top>
      <bottom style="thick">
        <color rgb="FF3E3A3A"/>
      </bottom>
    </border>
    <border>
      <left style="thick">
        <color rgb="FF3E3A3A"/>
      </left>
      <right style="thin">
        <color rgb="FFF3EBFC"/>
      </right>
      <bottom style="thin">
        <color rgb="FFFFFFFF"/>
      </bottom>
    </border>
    <border>
      <left style="thin">
        <color rgb="FFF3EBFC"/>
      </left>
      <right style="thin">
        <color rgb="FFF3EBFC"/>
      </right>
    </border>
    <border>
      <left style="thin">
        <color rgb="FFF3EBFC"/>
      </left>
      <right style="thin">
        <color rgb="FFF3EBFC"/>
      </right>
      <bottom style="thin">
        <color rgb="FFF3EBFC"/>
      </bottom>
    </border>
    <border>
      <left style="thin">
        <color rgb="FFF3EBFC"/>
      </left>
      <right style="thick">
        <color rgb="FF3E3A3A"/>
      </right>
      <bottom style="thin">
        <color rgb="FFF3EBFC"/>
      </bottom>
    </border>
    <border>
      <left style="thick">
        <color rgb="FF3E3A3A"/>
      </left>
      <right style="thin">
        <color rgb="FFF3EBFC"/>
      </right>
      <top style="thin">
        <color rgb="FFF3EBFC"/>
      </top>
      <bottom style="thin">
        <color rgb="FFF3EBFC"/>
      </bottom>
    </border>
    <border>
      <left style="thin">
        <color rgb="FFF3EBFC"/>
      </left>
      <top style="thin">
        <color rgb="FFF3EBFC"/>
      </top>
      <bottom style="thin">
        <color rgb="FFF3EBFC"/>
      </bottom>
    </border>
    <border>
      <top style="thin">
        <color rgb="FFF3EBFC"/>
      </top>
      <bottom style="thin">
        <color rgb="FFF3EBFC"/>
      </bottom>
    </border>
    <border>
      <right style="thin">
        <color rgb="FFF3EBFC"/>
      </right>
      <top style="thin">
        <color rgb="FFF3EBFC"/>
      </top>
      <bottom style="thin">
        <color rgb="FFF3EBFC"/>
      </bottom>
    </border>
    <border>
      <left style="thin">
        <color rgb="FFF3EBFC"/>
      </left>
      <right style="thick">
        <color rgb="FF3E3A3A"/>
      </right>
      <top style="thin">
        <color rgb="FFF3EBFC"/>
      </top>
      <bottom style="thin">
        <color rgb="FFF3EBFC"/>
      </bottom>
    </border>
    <border>
      <left style="thick">
        <color rgb="FF3E3A3A"/>
      </left>
      <top style="thin">
        <color rgb="FFFFFFFF"/>
      </top>
      <bottom style="thin">
        <color rgb="FFFFFFFF"/>
      </bottom>
    </border>
    <border>
      <top style="thin">
        <color rgb="FFF3EBFC"/>
      </top>
    </border>
    <border>
      <right style="thick">
        <color rgb="FF3E3A3A"/>
      </right>
      <top style="thin">
        <color rgb="FFF3EBFC"/>
      </top>
      <bottom style="thin">
        <color rgb="FFF3EBFC"/>
      </bottom>
    </border>
    <border>
      <left style="thick">
        <color rgb="FF434343"/>
      </left>
      <bottom style="thin">
        <color rgb="FFF3EBFC"/>
      </bottom>
    </border>
    <border>
      <bottom style="thin">
        <color rgb="FFF3EBFC"/>
      </bottom>
    </border>
    <border>
      <right style="thick">
        <color rgb="FF434343"/>
      </right>
      <bottom style="thin">
        <color rgb="FFF3EBFC"/>
      </bottom>
    </border>
    <border>
      <left style="thick">
        <color rgb="FF434343"/>
      </left>
      <top style="thin">
        <color rgb="FFF3EBFC"/>
      </top>
      <bottom style="thin">
        <color rgb="FFF3EBFC"/>
      </bottom>
    </border>
    <border>
      <right style="thick">
        <color rgb="FF434343"/>
      </right>
      <top style="thin">
        <color rgb="FFF3EBFC"/>
      </top>
      <bottom style="thin">
        <color rgb="FFF3EBFC"/>
      </bottom>
    </border>
    <border>
      <left style="thick">
        <color rgb="FF3E3A3A"/>
      </left>
      <right style="thin">
        <color rgb="FFF3EBFC"/>
      </right>
      <top style="thin">
        <color rgb="FFFFFFFF"/>
      </top>
      <bottom style="thin">
        <color rgb="FFF3EBFC"/>
      </bottom>
    </border>
    <border>
      <left style="thin">
        <color rgb="FFF3EBFC"/>
      </left>
      <right style="thin">
        <color rgb="FFFFFFFF"/>
      </right>
    </border>
    <border>
      <left style="thick">
        <color rgb="FF434343"/>
      </left>
      <right style="medium">
        <color rgb="FFF3EBFC"/>
      </right>
      <top style="medium">
        <color rgb="FFF3EBFC"/>
      </top>
      <bottom style="medium">
        <color rgb="FFF3EBFC"/>
      </bottom>
    </border>
    <border>
      <left style="thin">
        <color rgb="FFF3EBFC"/>
      </left>
      <right style="thin">
        <color rgb="FFF3EBFC"/>
      </right>
      <top style="thin">
        <color rgb="FFF3EBFC"/>
      </top>
      <bottom style="thin">
        <color rgb="FFF3EBFC"/>
      </bottom>
    </border>
    <border>
      <left style="medium">
        <color rgb="FFF3EBFC"/>
      </left>
      <right style="thick">
        <color rgb="FF434343"/>
      </right>
      <top style="medium">
        <color rgb="FFF3EBFC"/>
      </top>
      <bottom style="medium">
        <color rgb="FFF3EBFC"/>
      </bottom>
    </border>
    <border>
      <left style="thick">
        <color rgb="FF434343"/>
      </left>
      <right style="medium">
        <color rgb="FFF3EBFC"/>
      </right>
      <top style="medium">
        <color rgb="FFF3EBFC"/>
      </top>
    </border>
    <border>
      <left style="medium">
        <color rgb="FFF3EBFC"/>
      </left>
      <right style="medium">
        <color rgb="FFF3EBFC"/>
      </right>
      <top style="medium">
        <color rgb="FFF3EBFC"/>
      </top>
    </border>
    <border>
      <left style="medium">
        <color rgb="FFF3EBFC"/>
      </left>
      <right style="thick">
        <color rgb="FF434343"/>
      </right>
      <top style="medium">
        <color rgb="FFF3EBFC"/>
      </top>
    </border>
    <border>
      <left style="thin">
        <color rgb="FFF3EBFC"/>
      </left>
      <right style="thin">
        <color rgb="FFFFFFFF"/>
      </right>
      <bottom style="thin">
        <color rgb="FFF3EBFC"/>
      </bottom>
    </border>
    <border>
      <left style="thick">
        <color rgb="FF434343"/>
      </left>
      <top style="medium">
        <color rgb="FF434343"/>
      </top>
      <bottom style="thin">
        <color rgb="FFF3EBFC"/>
      </bottom>
    </border>
    <border>
      <top style="medium">
        <color rgb="FF434343"/>
      </top>
      <bottom style="thin">
        <color rgb="FFF3EBFC"/>
      </bottom>
    </border>
    <border>
      <right style="thick">
        <color rgb="FF434343"/>
      </right>
      <top style="medium">
        <color rgb="FF434343"/>
      </top>
      <bottom style="thin">
        <color rgb="FFF3EBFC"/>
      </bottom>
    </border>
    <border>
      <left style="thin">
        <color rgb="FFF3EBFC"/>
      </left>
      <right style="thin">
        <color rgb="FFFFFFFF"/>
      </right>
      <top style="thin">
        <color rgb="FFF3EBFC"/>
      </top>
    </border>
    <border>
      <left style="thick">
        <color rgb="FF434343"/>
      </left>
      <top style="thin">
        <color rgb="FFF3EBFC"/>
      </top>
    </border>
    <border>
      <right style="thin">
        <color rgb="FFF3EBFC"/>
      </right>
      <top style="thin">
        <color rgb="FFF3EBFC"/>
      </top>
    </border>
    <border>
      <left style="thin">
        <color rgb="FFF3EBFC"/>
      </left>
      <right style="thick">
        <color rgb="FF434343"/>
      </right>
      <top style="thin">
        <color rgb="FFF3EBFC"/>
      </top>
    </border>
    <border>
      <left style="thin">
        <color rgb="FFF3EBFC"/>
      </left>
      <right style="thick">
        <color rgb="FF434343"/>
      </right>
      <top style="medium">
        <color rgb="FF434343"/>
      </top>
      <bottom style="thin">
        <color rgb="FFF3EBFC"/>
      </bottom>
    </border>
    <border>
      <left style="thin">
        <color rgb="FFF3EBFC"/>
      </left>
      <right style="thin">
        <color rgb="FFFFFFFF"/>
      </right>
      <top style="thin">
        <color rgb="FFF3EBFC"/>
      </top>
      <bottom style="thin">
        <color rgb="FFF3EBFC"/>
      </bottom>
    </border>
    <border>
      <left style="thin">
        <color rgb="FFF3EBFC"/>
      </left>
      <right style="thick">
        <color rgb="FF434343"/>
      </right>
      <top style="thin">
        <color rgb="FFF3EBFC"/>
      </top>
      <bottom style="thin">
        <color rgb="FFF3EBFC"/>
      </bottom>
    </border>
    <border>
      <left style="thick">
        <color rgb="FF434343"/>
      </left>
      <top style="thin">
        <color rgb="FFF3EBFC"/>
      </top>
      <bottom style="thick">
        <color rgb="FF434343"/>
      </bottom>
    </border>
    <border>
      <top style="thin">
        <color rgb="FFF3EBFC"/>
      </top>
      <bottom style="thick">
        <color rgb="FF434343"/>
      </bottom>
    </border>
    <border>
      <left style="thin">
        <color rgb="FFF3EBFC"/>
      </left>
      <right style="thick">
        <color rgb="FF434343"/>
      </right>
      <top style="thin">
        <color rgb="FFF3EBFC"/>
      </top>
      <bottom style="thick">
        <color rgb="FF434343"/>
      </bottom>
    </border>
    <border>
      <left style="thin">
        <color rgb="FFF3EBFC"/>
      </left>
      <right style="thin">
        <color rgb="FFF3EBFC"/>
      </right>
      <top style="thin">
        <color rgb="FFFFFFFF"/>
      </top>
    </border>
    <border>
      <left style="thick">
        <color rgb="FF3E3A3A"/>
      </left>
      <right style="thin">
        <color rgb="FFB76EA8"/>
      </right>
      <bottom style="thin">
        <color rgb="FFB76EA8"/>
      </bottom>
    </border>
    <border>
      <left style="thin">
        <color rgb="FFB76EA8"/>
      </left>
      <right style="thin">
        <color rgb="FFB76EA8"/>
      </right>
      <bottom style="thin">
        <color rgb="FFB76EA8"/>
      </bottom>
    </border>
    <border>
      <left style="thin">
        <color rgb="FFB76EA8"/>
      </left>
      <top style="thin">
        <color rgb="FF3E3A3A"/>
      </top>
      <bottom style="thin">
        <color rgb="FFB76EA8"/>
      </bottom>
    </border>
    <border>
      <right style="thick">
        <color rgb="FF3E3A3A"/>
      </right>
      <top style="thin">
        <color rgb="FF3E3A3A"/>
      </top>
      <bottom style="thin">
        <color rgb="FFB76EA8"/>
      </bottom>
    </border>
    <border>
      <left style="thick">
        <color rgb="FF3E3A3A"/>
      </left>
      <right style="thin">
        <color rgb="FFB76EA8"/>
      </right>
      <top style="thin">
        <color rgb="FFB76EA8"/>
      </top>
      <bottom style="thin">
        <color rgb="FFB76EA8"/>
      </bottom>
    </border>
    <border>
      <left style="thin">
        <color rgb="FFB76EA8"/>
      </left>
      <right style="thin">
        <color rgb="FFB76EA8"/>
      </right>
      <top style="thin">
        <color rgb="FFB76EA8"/>
      </top>
      <bottom style="thin">
        <color rgb="FFB76EA8"/>
      </bottom>
    </border>
    <border>
      <left style="thin">
        <color rgb="FFB76EA8"/>
      </left>
      <top style="thin">
        <color rgb="FFB76EA8"/>
      </top>
      <bottom style="thin">
        <color rgb="FFB76EA8"/>
      </bottom>
    </border>
    <border>
      <right style="thick">
        <color rgb="FF3E3A3A"/>
      </right>
      <top style="thin">
        <color rgb="FFB76EA8"/>
      </top>
      <bottom style="thin">
        <color rgb="FFB76EA8"/>
      </bottom>
    </border>
    <border>
      <left style="thick">
        <color rgb="FF3E3A3A"/>
      </left>
      <right style="thin">
        <color rgb="FFB76EA8"/>
      </right>
      <top style="thin">
        <color rgb="FFB76EA8"/>
      </top>
    </border>
    <border>
      <left style="thin">
        <color rgb="FFB76EA8"/>
      </left>
      <right style="thin">
        <color rgb="FFB76EA8"/>
      </right>
      <top style="thin">
        <color rgb="FFB76EA8"/>
      </top>
    </border>
    <border>
      <left style="thin">
        <color rgb="FFB76EA8"/>
      </left>
      <top style="thin">
        <color rgb="FFB76EA8"/>
      </top>
      <bottom style="medium">
        <color rgb="FF3E3A3A"/>
      </bottom>
    </border>
    <border>
      <right style="thick">
        <color rgb="FF3E3A3A"/>
      </right>
      <top style="thin">
        <color rgb="FFB76EA8"/>
      </top>
      <bottom style="medium">
        <color rgb="FF3E3A3A"/>
      </bottom>
    </border>
    <border>
      <left style="thick">
        <color rgb="FF3E3A3A"/>
      </left>
      <right style="thin">
        <color rgb="FFF3EBFC"/>
      </right>
      <top style="thin">
        <color rgb="FFF3EBFC"/>
      </top>
      <bottom style="thick">
        <color rgb="FF3E3A3A"/>
      </bottom>
    </border>
    <border>
      <left style="thin">
        <color rgb="FFF3EBFC"/>
      </left>
      <right style="thin">
        <color rgb="FFF3EBFC"/>
      </right>
      <top style="thin">
        <color rgb="FFF3EBFC"/>
      </top>
      <bottom style="thick">
        <color rgb="FF3E3A3A"/>
      </bottom>
    </border>
    <border>
      <left style="thin">
        <color rgb="FFF3EBFC"/>
      </left>
      <right style="thin">
        <color rgb="FFF3EBFC"/>
      </right>
      <bottom style="thick">
        <color rgb="FF3E3A3A"/>
      </bottom>
    </border>
    <border>
      <left style="thin">
        <color rgb="FFF3EBFC"/>
      </left>
      <right style="thick">
        <color rgb="FF3E3A3A"/>
      </right>
      <top style="thin">
        <color rgb="FFF3EBFC"/>
      </top>
      <bottom style="thick">
        <color rgb="FF3E3A3A"/>
      </bottom>
    </border>
    <border>
      <left style="thick">
        <color rgb="FF3E3A3A"/>
      </left>
      <right style="thin">
        <color rgb="FFFCEBEB"/>
      </right>
      <bottom style="thin">
        <color rgb="FFFCEBEB"/>
      </bottom>
    </border>
    <border>
      <left style="thin">
        <color rgb="FFFCEBEB"/>
      </left>
      <right style="thin">
        <color rgb="FFFCEBEB"/>
      </right>
      <bottom style="thin">
        <color rgb="FFFCEBEB"/>
      </bottom>
    </border>
    <border>
      <left style="thin">
        <color rgb="FFFCEBEB"/>
      </left>
      <right style="thick">
        <color rgb="FF3E3A3A"/>
      </right>
      <bottom style="thin">
        <color rgb="FFFCEBEB"/>
      </bottom>
    </border>
    <border>
      <left style="thick">
        <color rgb="FF3E3A3A"/>
      </left>
      <right style="thin">
        <color rgb="FFFCEBEB"/>
      </right>
      <top style="thin">
        <color rgb="FFFCEBEB"/>
      </top>
      <bottom style="thin">
        <color rgb="FFFCEBEB"/>
      </bottom>
    </border>
    <border>
      <left style="thin">
        <color rgb="FFFCEBEB"/>
      </left>
      <right style="thin">
        <color rgb="FFFCEBEB"/>
      </right>
      <top style="thin">
        <color rgb="FFFCEBEB"/>
      </top>
      <bottom style="thin">
        <color rgb="FFFFFFFF"/>
      </bottom>
    </border>
    <border>
      <left style="thin">
        <color rgb="FFFCEBEB"/>
      </left>
      <right style="thin">
        <color rgb="FFFCEBEB"/>
      </right>
      <top style="thin">
        <color rgb="FFFCEBEB"/>
      </top>
      <bottom style="thin">
        <color rgb="FFFCEBEB"/>
      </bottom>
    </border>
    <border>
      <left style="thin">
        <color rgb="FFFCEBEB"/>
      </left>
      <top style="thin">
        <color rgb="FFFCEBEB"/>
      </top>
    </border>
    <border>
      <top style="thin">
        <color rgb="FFFCEBEB"/>
      </top>
    </border>
    <border>
      <right style="thin">
        <color rgb="FFFCEBEB"/>
      </right>
      <top style="thin">
        <color rgb="FFFCEBEB"/>
      </top>
    </border>
    <border>
      <left style="thin">
        <color rgb="FFFCEBEB"/>
      </left>
      <right style="thick">
        <color rgb="FF3E3A3A"/>
      </right>
      <top style="thin">
        <color rgb="FFFCEBEB"/>
      </top>
      <bottom style="thin">
        <color rgb="FFFCEBEB"/>
      </bottom>
    </border>
    <border>
      <left style="thick">
        <color rgb="FF3E3A3A"/>
      </left>
      <top style="thin">
        <color rgb="FFFCEBEB"/>
      </top>
      <bottom style="thin">
        <color rgb="FFFCEBEB"/>
      </bottom>
    </border>
    <border>
      <top style="thin">
        <color rgb="FFFCEBEB"/>
      </top>
      <bottom style="thin">
        <color rgb="FFFCEBEB"/>
      </bottom>
    </border>
    <border>
      <right style="thick">
        <color rgb="FF3E3A3A"/>
      </right>
      <top style="thin">
        <color rgb="FFFCEBEB"/>
      </top>
      <bottom style="thin">
        <color rgb="FFFCEBEB"/>
      </bottom>
    </border>
    <border>
      <left style="thick">
        <color rgb="FF434343"/>
      </left>
      <bottom style="thin">
        <color rgb="FFFCEBEB"/>
      </bottom>
    </border>
    <border>
      <bottom style="thin">
        <color rgb="FFFCEBEB"/>
      </bottom>
    </border>
    <border>
      <right style="thick">
        <color rgb="FF434343"/>
      </right>
      <bottom style="thin">
        <color rgb="FFFCEBEB"/>
      </bottom>
    </border>
    <border>
      <left style="thick">
        <color rgb="FF434343"/>
      </left>
      <top style="thin">
        <color rgb="FFFCEBEB"/>
      </top>
      <bottom style="thin">
        <color rgb="FFFCEBEB"/>
      </bottom>
    </border>
    <border>
      <right style="thick">
        <color rgb="FF434343"/>
      </right>
      <top style="thin">
        <color rgb="FFFCEBEB"/>
      </top>
      <bottom style="thin">
        <color rgb="FFFCEBEB"/>
      </bottom>
    </border>
    <border>
      <left style="thin">
        <color rgb="FFFCEBEB"/>
      </left>
      <right style="thin">
        <color rgb="FFFCEBEB"/>
      </right>
    </border>
    <border>
      <left style="thin">
        <color rgb="FFFCEBEB"/>
      </left>
      <top style="thin">
        <color rgb="FFFCEBEB"/>
      </top>
      <bottom style="thin">
        <color rgb="FFFCEBEB"/>
      </bottom>
    </border>
    <border>
      <left style="thick">
        <color rgb="FF434343"/>
      </left>
      <right style="thin">
        <color rgb="FFFCEBEB"/>
      </right>
      <top style="thin">
        <color rgb="FFFCEBEB"/>
      </top>
      <bottom style="thin">
        <color rgb="FFFCEBEB"/>
      </bottom>
    </border>
    <border>
      <left style="thin">
        <color rgb="FFFCEBEB"/>
      </left>
      <right style="thick">
        <color rgb="FF434343"/>
      </right>
      <top style="thin">
        <color rgb="FFFCEBEB"/>
      </top>
      <bottom style="thin">
        <color rgb="FFFCEBEB"/>
      </bottom>
    </border>
    <border>
      <left style="thick">
        <color rgb="FF434343"/>
      </left>
      <right style="medium">
        <color rgb="FFFCEBEB"/>
      </right>
    </border>
    <border>
      <left style="medium">
        <color rgb="FFFCEBEB"/>
      </left>
      <right style="medium">
        <color rgb="FFFCEBEB"/>
      </right>
    </border>
    <border>
      <left style="medium">
        <color rgb="FFFCEBEB"/>
      </left>
      <right style="thick">
        <color rgb="FF434343"/>
      </right>
    </border>
    <border>
      <left style="thick">
        <color rgb="FF434343"/>
      </left>
      <top style="medium">
        <color rgb="FF434343"/>
      </top>
      <bottom style="thin">
        <color rgb="FFFCEBEB"/>
      </bottom>
    </border>
    <border>
      <top style="medium">
        <color rgb="FF434343"/>
      </top>
      <bottom style="thin">
        <color rgb="FFFCEBEB"/>
      </bottom>
    </border>
    <border>
      <right style="thick">
        <color rgb="FF434343"/>
      </right>
      <top style="medium">
        <color rgb="FF434343"/>
      </top>
      <bottom style="thin">
        <color rgb="FFFCEBEB"/>
      </bottom>
    </border>
    <border>
      <left style="thin">
        <color rgb="FFFCEBEB"/>
      </left>
      <right style="thin">
        <color rgb="FFFCEBEB"/>
      </right>
      <top style="thin">
        <color rgb="FFFCEBEB"/>
      </top>
    </border>
    <border>
      <left style="thick">
        <color rgb="FF434343"/>
      </left>
      <top style="thin">
        <color rgb="FFFCEBEB"/>
      </top>
    </border>
    <border>
      <left style="thin">
        <color rgb="FFFCEBEB"/>
      </left>
      <right style="thick">
        <color rgb="FF434343"/>
      </right>
      <top style="thin">
        <color rgb="FFFCEBEB"/>
      </top>
    </border>
    <border>
      <left style="thin">
        <color rgb="FFFCEBEB"/>
      </left>
      <right style="thick">
        <color rgb="FF434343"/>
      </right>
      <top style="medium">
        <color rgb="FF434343"/>
      </top>
      <bottom style="thin">
        <color rgb="FFFCEBEB"/>
      </bottom>
    </border>
    <border>
      <left style="thick">
        <color rgb="FF434343"/>
      </left>
      <top style="thin">
        <color rgb="FFFCEBEB"/>
      </top>
      <bottom style="thick">
        <color rgb="FF434343"/>
      </bottom>
    </border>
    <border>
      <top style="thin">
        <color rgb="FFFCEBEB"/>
      </top>
      <bottom style="thick">
        <color rgb="FF434343"/>
      </bottom>
    </border>
    <border>
      <left style="thin">
        <color rgb="FFFCEBEB"/>
      </left>
      <right style="thick">
        <color rgb="FF434343"/>
      </right>
      <top style="thin">
        <color rgb="FFFCEBEB"/>
      </top>
      <bottom style="thick">
        <color rgb="FF434343"/>
      </bottom>
    </border>
    <border>
      <left style="thin">
        <color rgb="FFFCEBEB"/>
      </left>
      <right style="thin">
        <color rgb="FFFFFFFF"/>
      </right>
      <top style="thin">
        <color rgb="FFFCEBEB"/>
      </top>
      <bottom style="thin">
        <color rgb="FFFCEBEB"/>
      </bottom>
    </border>
    <border>
      <left style="thin">
        <color rgb="FFFFFFFF"/>
      </left>
      <right style="thin">
        <color rgb="FFFFFFFF"/>
      </right>
    </border>
    <border>
      <left style="thin">
        <color rgb="FFFFFFFF"/>
      </left>
      <right style="thin">
        <color rgb="FFFFFFFF"/>
      </right>
      <top style="thin">
        <color rgb="FFFCEBEB"/>
      </top>
      <bottom style="thin">
        <color rgb="FFFCEBEB"/>
      </bottom>
    </border>
    <border>
      <right style="thin">
        <color rgb="FFFFFFFF"/>
      </right>
    </border>
    <border>
      <left style="thin">
        <color rgb="FFFFFFFF"/>
      </left>
      <right style="thin">
        <color rgb="FFFFFFFF"/>
      </right>
      <top style="thin">
        <color rgb="FFFFFFFF"/>
      </top>
    </border>
    <border>
      <left style="thick">
        <color rgb="FF3E3A3A"/>
      </left>
      <right style="thin">
        <color rgb="FFC83850"/>
      </right>
      <bottom style="thin">
        <color rgb="FFC83850"/>
      </bottom>
    </border>
    <border>
      <left style="thin">
        <color rgb="FFC83850"/>
      </left>
      <right style="thin">
        <color rgb="FFC83850"/>
      </right>
      <bottom style="thin">
        <color rgb="FFC83850"/>
      </bottom>
    </border>
    <border>
      <left style="thin">
        <color rgb="FFC83850"/>
      </left>
      <top style="thin">
        <color rgb="FF3E3A3A"/>
      </top>
      <bottom style="thin">
        <color rgb="FFC83850"/>
      </bottom>
    </border>
    <border>
      <right style="thick">
        <color rgb="FF3E3A3A"/>
      </right>
      <top style="thin">
        <color rgb="FF3E3A3A"/>
      </top>
      <bottom style="thin">
        <color rgb="FFC83850"/>
      </bottom>
    </border>
    <border>
      <left style="thick">
        <color rgb="FF3E3A3A"/>
      </left>
      <right style="thin">
        <color rgb="FFC83850"/>
      </right>
      <top style="thin">
        <color rgb="FFC83850"/>
      </top>
      <bottom style="thin">
        <color rgb="FFC83850"/>
      </bottom>
    </border>
    <border>
      <left style="thin">
        <color rgb="FFC83850"/>
      </left>
      <right style="thin">
        <color rgb="FFC83850"/>
      </right>
      <top style="thin">
        <color rgb="FFC83850"/>
      </top>
      <bottom style="thin">
        <color rgb="FFC83850"/>
      </bottom>
    </border>
    <border>
      <left style="thin">
        <color rgb="FFC83850"/>
      </left>
      <top style="thin">
        <color rgb="FFC83850"/>
      </top>
      <bottom style="thin">
        <color rgb="FFC83850"/>
      </bottom>
    </border>
    <border>
      <right style="thick">
        <color rgb="FF3E3A3A"/>
      </right>
      <top style="thin">
        <color rgb="FFC83850"/>
      </top>
      <bottom style="thin">
        <color rgb="FFC83850"/>
      </bottom>
    </border>
    <border>
      <left style="thick">
        <color rgb="FF3E3A3A"/>
      </left>
      <right style="thin">
        <color rgb="FFC83850"/>
      </right>
      <top style="thin">
        <color rgb="FFC83850"/>
      </top>
    </border>
    <border>
      <left style="thin">
        <color rgb="FFC83850"/>
      </left>
      <right style="thin">
        <color rgb="FFC83850"/>
      </right>
      <top style="thin">
        <color rgb="FFC83850"/>
      </top>
    </border>
    <border>
      <left style="thin">
        <color rgb="FFC83850"/>
      </left>
      <top style="thin">
        <color rgb="FFC83850"/>
      </top>
      <bottom style="medium">
        <color rgb="FF3E3A3A"/>
      </bottom>
    </border>
    <border>
      <right style="thick">
        <color rgb="FF3E3A3A"/>
      </right>
      <top style="thin">
        <color rgb="FFC83850"/>
      </top>
      <bottom style="medium">
        <color rgb="FF3E3A3A"/>
      </bottom>
    </border>
    <border>
      <left style="thick">
        <color rgb="FF3E3A3A"/>
      </left>
      <right style="thin">
        <color rgb="FFFCEBEB"/>
      </right>
      <top style="thin">
        <color rgb="FFFCEBEB"/>
      </top>
      <bottom style="thick">
        <color rgb="FF3E3A3A"/>
      </bottom>
    </border>
    <border>
      <left style="thin">
        <color rgb="FFFCEBEB"/>
      </left>
      <right style="thin">
        <color rgb="FFFCEBEB"/>
      </right>
      <top style="thin">
        <color rgb="FFFCEBEB"/>
      </top>
      <bottom style="thick">
        <color rgb="FF3E3A3A"/>
      </bottom>
    </border>
    <border>
      <left style="thin">
        <color rgb="FFFCEBEB"/>
      </left>
      <right style="thin">
        <color rgb="FFFCEBEB"/>
      </right>
      <bottom style="thick">
        <color rgb="FF3E3A3A"/>
      </bottom>
    </border>
    <border>
      <left style="thin">
        <color rgb="FFFCEBEB"/>
      </left>
      <right style="thick">
        <color rgb="FF3E3A3A"/>
      </right>
      <top style="thin">
        <color rgb="FFFCEBEB"/>
      </top>
      <bottom style="thick">
        <color rgb="FF3E3A3A"/>
      </bottom>
    </border>
    <border>
      <left style="thick">
        <color rgb="FF3E3A3A"/>
      </left>
      <right style="thin">
        <color rgb="FFEBECFC"/>
      </right>
      <bottom style="thin">
        <color rgb="FFEBECFC"/>
      </bottom>
    </border>
    <border>
      <left style="thin">
        <color rgb="FFEBECFC"/>
      </left>
      <right style="thin">
        <color rgb="FFEBECFC"/>
      </right>
    </border>
    <border>
      <left style="thin">
        <color rgb="FFEBECFC"/>
      </left>
      <right style="thin">
        <color rgb="FFEBECFC"/>
      </right>
      <bottom style="thin">
        <color rgb="FFEBECFC"/>
      </bottom>
    </border>
    <border>
      <left style="thin">
        <color rgb="FFEBECFC"/>
      </left>
      <right style="thick">
        <color rgb="FF3E3A3A"/>
      </right>
      <bottom style="thin">
        <color rgb="FFEBECFC"/>
      </bottom>
    </border>
    <border>
      <left style="thick">
        <color rgb="FF3E3A3A"/>
      </left>
      <right style="thin">
        <color rgb="FFEBECFC"/>
      </right>
      <top style="thin">
        <color rgb="FFEBECFC"/>
      </top>
      <bottom style="thin">
        <color rgb="FFEBECFC"/>
      </bottom>
    </border>
    <border>
      <left style="thin">
        <color rgb="FFEBECFC"/>
      </left>
      <right style="thin">
        <color rgb="FFEBECFC"/>
      </right>
      <top style="thin">
        <color rgb="FFEBECFC"/>
      </top>
      <bottom style="thin">
        <color rgb="FFEBECFC"/>
      </bottom>
    </border>
    <border>
      <left style="thin">
        <color rgb="FFEBECFC"/>
      </left>
      <top style="thin">
        <color rgb="FFEBECFC"/>
      </top>
      <bottom style="thin">
        <color rgb="FFEBECFC"/>
      </bottom>
    </border>
    <border>
      <top style="thin">
        <color rgb="FFEBECFC"/>
      </top>
      <bottom style="thin">
        <color rgb="FFEBECFC"/>
      </bottom>
    </border>
    <border>
      <right style="thin">
        <color rgb="FFEBECFC"/>
      </right>
      <top style="thin">
        <color rgb="FFEBECFC"/>
      </top>
      <bottom style="thin">
        <color rgb="FFEBECFC"/>
      </bottom>
    </border>
    <border>
      <right style="thick">
        <color rgb="FF3E3A3A"/>
      </right>
      <bottom style="thin">
        <color rgb="FFEBECFC"/>
      </bottom>
    </border>
    <border>
      <left style="thick">
        <color rgb="FF3E3A3A"/>
      </left>
      <top style="thin">
        <color rgb="FFEBECFC"/>
      </top>
      <bottom style="thin">
        <color rgb="FFEBECFC"/>
      </bottom>
    </border>
    <border>
      <top style="thin">
        <color rgb="FFEBECFC"/>
      </top>
    </border>
    <border>
      <right style="thick">
        <color rgb="FF3E3A3A"/>
      </right>
      <top style="thin">
        <color rgb="FFEBECFC"/>
      </top>
      <bottom style="thin">
        <color rgb="FFEBECFC"/>
      </bottom>
    </border>
    <border>
      <left style="thick">
        <color rgb="FF434343"/>
      </left>
      <bottom style="thin">
        <color rgb="FFEBECFC"/>
      </bottom>
    </border>
    <border>
      <bottom style="thin">
        <color rgb="FFEBECFC"/>
      </bottom>
    </border>
    <border>
      <right style="thick">
        <color rgb="FF434343"/>
      </right>
      <bottom style="thin">
        <color rgb="FFEBECFC"/>
      </bottom>
    </border>
    <border>
      <left style="thick">
        <color rgb="FF434343"/>
      </left>
      <top style="thin">
        <color rgb="FFEBECFC"/>
      </top>
      <bottom style="thin">
        <color rgb="FFEBECFC"/>
      </bottom>
    </border>
    <border>
      <right style="thick">
        <color rgb="FF434343"/>
      </right>
      <top style="thin">
        <color rgb="FFEBECFC"/>
      </top>
      <bottom style="thin">
        <color rgb="FFEBECFC"/>
      </bottom>
    </border>
    <border>
      <left style="thick">
        <color rgb="FF434343"/>
      </left>
      <right style="thin">
        <color rgb="FFEBECFC"/>
      </right>
      <top style="thin">
        <color rgb="FFEBECFC"/>
      </top>
      <bottom style="medium">
        <color rgb="FFEBECFC"/>
      </bottom>
    </border>
    <border>
      <left style="thin">
        <color rgb="FFEBECFC"/>
      </left>
      <right style="thin">
        <color rgb="FFEBECFC"/>
      </right>
      <top style="thin">
        <color rgb="FFEBECFC"/>
      </top>
      <bottom style="thin">
        <color rgb="FFFCEBEB"/>
      </bottom>
    </border>
    <border>
      <left style="thin">
        <color rgb="FFEBECFC"/>
      </left>
      <right style="thick">
        <color rgb="FF434343"/>
      </right>
      <top style="thin">
        <color rgb="FFEBECFC"/>
      </top>
      <bottom style="medium">
        <color rgb="FFEBECFC"/>
      </bottom>
    </border>
    <border>
      <left style="thick">
        <color rgb="FF434343"/>
      </left>
      <right style="medium">
        <color rgb="FFEBECFC"/>
      </right>
      <top style="medium">
        <color rgb="FFEBECFC"/>
      </top>
    </border>
    <border>
      <left style="medium">
        <color rgb="FFEBECFC"/>
      </left>
      <right style="medium">
        <color rgb="FFEBECFC"/>
      </right>
      <top style="medium">
        <color rgb="FFEBECFC"/>
      </top>
    </border>
    <border>
      <left style="medium">
        <color rgb="FFEBECFC"/>
      </left>
      <right style="thick">
        <color rgb="FF434343"/>
      </right>
      <top style="medium">
        <color rgb="FFEBECFC"/>
      </top>
    </border>
    <border>
      <left style="thick">
        <color rgb="FF434343"/>
      </left>
      <top style="medium">
        <color rgb="FF434343"/>
      </top>
      <bottom style="thin">
        <color rgb="FFEBECFC"/>
      </bottom>
    </border>
    <border>
      <top style="medium">
        <color rgb="FF434343"/>
      </top>
      <bottom style="thin">
        <color rgb="FFEBECFC"/>
      </bottom>
    </border>
    <border>
      <right style="thick">
        <color rgb="FF434343"/>
      </right>
      <top style="medium">
        <color rgb="FF434343"/>
      </top>
      <bottom style="thin">
        <color rgb="FFEBECFC"/>
      </bottom>
    </border>
    <border>
      <left style="thin">
        <color rgb="FFEBECFC"/>
      </left>
      <right style="thin">
        <color rgb="FFEBECFC"/>
      </right>
      <top style="thin">
        <color rgb="FFEBECFC"/>
      </top>
    </border>
    <border>
      <left style="thick">
        <color rgb="FF434343"/>
      </left>
      <top style="thin">
        <color rgb="FFEBECFC"/>
      </top>
    </border>
    <border>
      <right style="thin">
        <color rgb="FFEBECFC"/>
      </right>
      <top style="thin">
        <color rgb="FFEBECFC"/>
      </top>
    </border>
    <border>
      <left style="thin">
        <color rgb="FFEBECFC"/>
      </left>
      <right style="thick">
        <color rgb="FF434343"/>
      </right>
      <top style="thin">
        <color rgb="FFEBECFC"/>
      </top>
    </border>
    <border>
      <left style="thin">
        <color rgb="FFEBECFC"/>
      </left>
      <right style="thick">
        <color rgb="FF434343"/>
      </right>
      <top style="medium">
        <color rgb="FF434343"/>
      </top>
      <bottom style="thin">
        <color rgb="FFEBECFC"/>
      </bottom>
    </border>
    <border>
      <left style="thin">
        <color rgb="FFEBECFC"/>
      </left>
      <right style="thick">
        <color rgb="FF434343"/>
      </right>
      <top style="thin">
        <color rgb="FFEBECFC"/>
      </top>
      <bottom style="thin">
        <color rgb="FFEBECFC"/>
      </bottom>
    </border>
    <border>
      <left style="thick">
        <color rgb="FF434343"/>
      </left>
      <top style="thin">
        <color rgb="FFEBECFC"/>
      </top>
      <bottom style="thick">
        <color rgb="FF434343"/>
      </bottom>
    </border>
    <border>
      <top style="thin">
        <color rgb="FFEBECFC"/>
      </top>
      <bottom style="thick">
        <color rgb="FF434343"/>
      </bottom>
    </border>
    <border>
      <left style="thin">
        <color rgb="FFEBECFC"/>
      </left>
      <right style="thick">
        <color rgb="FF434343"/>
      </right>
      <top style="thin">
        <color rgb="FFEBECFC"/>
      </top>
      <bottom style="thick">
        <color rgb="FF434343"/>
      </bottom>
    </border>
    <border>
      <left style="thin">
        <color rgb="FFEBECFC"/>
      </left>
      <right style="thin">
        <color rgb="FFEBECFC"/>
      </right>
      <top style="thin">
        <color rgb="FFFFFFFF"/>
      </top>
    </border>
    <border>
      <left style="thin">
        <color rgb="FFEBECFC"/>
      </left>
      <right style="thick">
        <color rgb="FF3E3A3A"/>
      </right>
      <top style="thin">
        <color rgb="FFEBECFC"/>
      </top>
      <bottom style="thin">
        <color rgb="FFEBECFC"/>
      </bottom>
    </border>
    <border>
      <left style="thick">
        <color rgb="FF3E3A3A"/>
      </left>
      <right style="thin">
        <color rgb="FF615C80"/>
      </right>
      <bottom style="thin">
        <color rgb="FF615C80"/>
      </bottom>
    </border>
    <border>
      <left style="thin">
        <color rgb="FF615C80"/>
      </left>
      <right style="thin">
        <color rgb="FF615C80"/>
      </right>
      <bottom style="thin">
        <color rgb="FF615C80"/>
      </bottom>
    </border>
    <border>
      <left style="thin">
        <color rgb="FF615C80"/>
      </left>
      <top style="thin">
        <color rgb="FF3E3A3A"/>
      </top>
      <bottom style="thin">
        <color rgb="FF615C80"/>
      </bottom>
    </border>
    <border>
      <right style="thick">
        <color rgb="FF3E3A3A"/>
      </right>
      <top style="thin">
        <color rgb="FF3E3A3A"/>
      </top>
      <bottom style="thin">
        <color rgb="FF615C80"/>
      </bottom>
    </border>
    <border>
      <left style="thick">
        <color rgb="FF3E3A3A"/>
      </left>
      <right style="thin">
        <color rgb="FF615C80"/>
      </right>
      <top style="thin">
        <color rgb="FF615C80"/>
      </top>
      <bottom style="thin">
        <color rgb="FF615C80"/>
      </bottom>
    </border>
    <border>
      <left style="thin">
        <color rgb="FF615C80"/>
      </left>
      <right style="thin">
        <color rgb="FF615C80"/>
      </right>
      <top style="thin">
        <color rgb="FF615C80"/>
      </top>
      <bottom style="thin">
        <color rgb="FF615C80"/>
      </bottom>
    </border>
    <border>
      <left style="thin">
        <color rgb="FF615C80"/>
      </left>
      <top style="thin">
        <color rgb="FF615C80"/>
      </top>
      <bottom style="thin">
        <color rgb="FF615C80"/>
      </bottom>
    </border>
    <border>
      <right style="thick">
        <color rgb="FF3E3A3A"/>
      </right>
      <top style="thin">
        <color rgb="FF615C80"/>
      </top>
      <bottom style="thin">
        <color rgb="FF615C80"/>
      </bottom>
    </border>
    <border>
      <left style="thick">
        <color rgb="FF3E3A3A"/>
      </left>
      <right style="thin">
        <color rgb="FF615C80"/>
      </right>
      <top style="thin">
        <color rgb="FF615C80"/>
      </top>
    </border>
    <border>
      <left style="thin">
        <color rgb="FF615C80"/>
      </left>
      <right style="thin">
        <color rgb="FF615C80"/>
      </right>
      <top style="thin">
        <color rgb="FF615C80"/>
      </top>
    </border>
    <border>
      <left style="thin">
        <color rgb="FF615C80"/>
      </left>
      <top style="thin">
        <color rgb="FF615C80"/>
      </top>
      <bottom style="medium">
        <color rgb="FF3E3A3A"/>
      </bottom>
    </border>
    <border>
      <right style="thick">
        <color rgb="FF3E3A3A"/>
      </right>
      <top style="thin">
        <color rgb="FF615C80"/>
      </top>
      <bottom style="medium">
        <color rgb="FF3E3A3A"/>
      </bottom>
    </border>
    <border>
      <left style="thick">
        <color rgb="FF3E3A3A"/>
      </left>
      <right style="thin">
        <color rgb="FFEBECFC"/>
      </right>
      <top style="thin">
        <color rgb="FFEBECFC"/>
      </top>
      <bottom style="thick">
        <color rgb="FF3E3A3A"/>
      </bottom>
    </border>
    <border>
      <left style="thin">
        <color rgb="FFEBECFC"/>
      </left>
      <right style="thin">
        <color rgb="FFEBECFC"/>
      </right>
      <top style="thin">
        <color rgb="FFEBECFC"/>
      </top>
      <bottom style="thick">
        <color rgb="FF3E3A3A"/>
      </bottom>
    </border>
    <border>
      <left style="thin">
        <color rgb="FFEBECFC"/>
      </left>
      <right style="thin">
        <color rgb="FFEBECFC"/>
      </right>
      <bottom style="thick">
        <color rgb="FF3E3A3A"/>
      </bottom>
    </border>
    <border>
      <left style="thin">
        <color rgb="FFEBECFC"/>
      </left>
      <right style="thick">
        <color rgb="FF3E3A3A"/>
      </right>
      <top style="thin">
        <color rgb="FFEBECFC"/>
      </top>
      <bottom style="thick">
        <color rgb="FF3E3A3A"/>
      </bottom>
    </border>
    <border>
      <left style="thin">
        <color rgb="FFD23A3A"/>
      </left>
      <right style="thin">
        <color rgb="FFD23A3A"/>
      </right>
      <bottom style="thin">
        <color rgb="FFD23A3A"/>
      </bottom>
    </border>
    <border>
      <left style="thick">
        <color rgb="FF434343"/>
      </left>
      <right style="medium">
        <color rgb="FFFCF3EB"/>
      </right>
      <top style="thin">
        <color rgb="FFFCF3EB"/>
      </top>
      <bottom style="medium">
        <color rgb="FFFCF3EB"/>
      </bottom>
    </border>
    <border>
      <left style="medium">
        <color rgb="FFFCF3EB"/>
      </left>
      <right style="thick">
        <color rgb="FF434343"/>
      </right>
      <top style="thin">
        <color rgb="FFFCF3EB"/>
      </top>
      <bottom style="medium">
        <color rgb="FFFCF3EB"/>
      </bottom>
    </border>
    <border>
      <left style="thin">
        <color rgb="FFFFFFFF"/>
      </left>
      <right style="thick">
        <color rgb="FF3E3A3A"/>
      </right>
      <top style="thin">
        <color rgb="FFFCF3EB"/>
      </top>
      <bottom style="thin">
        <color rgb="FFFCF3EB"/>
      </bottom>
    </border>
    <border>
      <left style="thick">
        <color rgb="FF434343"/>
      </left>
      <right style="medium">
        <color rgb="FFFCF3EB"/>
      </right>
      <top style="medium">
        <color rgb="FFFCF3EB"/>
      </top>
    </border>
    <border>
      <left style="medium">
        <color rgb="FFFCF3EB"/>
      </left>
      <right style="medium">
        <color rgb="FFFCF3EB"/>
      </right>
      <top style="medium">
        <color rgb="FFFCF3EB"/>
      </top>
    </border>
    <border>
      <left style="medium">
        <color rgb="FFFCF3EB"/>
      </left>
      <right style="thick">
        <color rgb="FF434343"/>
      </right>
      <top style="medium">
        <color rgb="FFFCF3EB"/>
      </top>
    </border>
    <border>
      <left style="thin">
        <color rgb="FFFCF3EB"/>
      </left>
      <right style="thin">
        <color rgb="FFFCF3EB"/>
      </right>
      <bottom style="thin">
        <color rgb="FFFCF3EB"/>
      </bottom>
    </border>
    <border>
      <left style="thin">
        <color rgb="FFFCF3EB"/>
      </left>
      <right style="thin">
        <color rgb="FFFCF3EB"/>
      </right>
      <top style="thin">
        <color rgb="FFFCF3EB"/>
      </top>
    </border>
    <border>
      <right style="thin">
        <color rgb="FFFCF3EB"/>
      </right>
      <top style="medium">
        <color rgb="FF434343"/>
      </top>
      <bottom style="thin">
        <color rgb="FFFCF3EB"/>
      </bottom>
    </border>
    <border>
      <left style="thick">
        <color rgb="FF434343"/>
      </left>
      <top style="thin">
        <color rgb="FFFCF3EB"/>
      </top>
      <bottom style="thick">
        <color rgb="FF434343"/>
      </bottom>
    </border>
    <border>
      <top style="thin">
        <color rgb="FFFCF3EB"/>
      </top>
      <bottom style="thick">
        <color rgb="FF434343"/>
      </bottom>
    </border>
    <border>
      <right style="thin">
        <color rgb="FFFCF3EB"/>
      </right>
      <top style="thin">
        <color rgb="FFFCF3EB"/>
      </top>
      <bottom style="thick">
        <color rgb="FF434343"/>
      </bottom>
    </border>
    <border>
      <right style="thick">
        <color rgb="FF434343"/>
      </right>
      <top style="thin">
        <color rgb="FFFCF3EB"/>
      </top>
      <bottom style="thick">
        <color rgb="FF434343"/>
      </bottom>
    </border>
    <border>
      <left style="thin">
        <color rgb="FFFCF3EB"/>
      </left>
      <right style="thin">
        <color rgb="FFFCF3EB"/>
      </right>
      <top style="thin">
        <color rgb="FFFFFFFF"/>
      </top>
    </border>
    <border>
      <left style="thick">
        <color rgb="FF3E3A3A"/>
      </left>
      <right style="thick">
        <color rgb="FF3E3A3A"/>
      </right>
      <top style="thick">
        <color rgb="FF3E3A3A"/>
      </top>
      <bottom style="thin">
        <color rgb="FFC83850"/>
      </bottom>
    </border>
    <border>
      <left style="thick">
        <color rgb="FF3E3A3A"/>
      </left>
      <right style="thick">
        <color rgb="FF3E3A3A"/>
      </right>
      <top style="thin">
        <color rgb="FFC83850"/>
      </top>
      <bottom style="thick">
        <color rgb="FF3E3A3A"/>
      </bottom>
    </border>
    <border>
      <left style="thick">
        <color rgb="FF3E3A3A"/>
      </left>
      <right style="thin">
        <color rgb="FFFCF3EB"/>
      </right>
      <top style="thin">
        <color rgb="FFFCF3EB"/>
      </top>
    </border>
    <border>
      <left style="thin">
        <color rgb="FFFCF3EB"/>
      </left>
      <right style="thick">
        <color rgb="FF3E3A3A"/>
      </right>
      <top style="thin">
        <color rgb="FFFCF3EB"/>
      </top>
    </border>
    <border>
      <left style="thick">
        <color rgb="FF3E3A3A"/>
      </left>
      <right style="thin">
        <color rgb="FFFCF3EB"/>
      </right>
      <top style="thin">
        <color rgb="FFFCF3EB"/>
      </top>
      <bottom style="thick">
        <color rgb="FF3E3A3A"/>
      </bottom>
    </border>
    <border>
      <left style="thin">
        <color rgb="FFFCF3EB"/>
      </left>
      <right style="thin">
        <color rgb="FFFCF3EB"/>
      </right>
      <top style="thin">
        <color rgb="FFFCF3EB"/>
      </top>
      <bottom style="thick">
        <color rgb="FF3E3A3A"/>
      </bottom>
    </border>
    <border>
      <left style="thin">
        <color rgb="FFFCF3EB"/>
      </left>
      <right style="thick">
        <color rgb="FF3E3A3A"/>
      </right>
      <top style="thin">
        <color rgb="FFFCF3EB"/>
      </top>
      <bottom style="thick">
        <color rgb="FF3E3A3A"/>
      </bottom>
    </border>
    <border>
      <left style="thick">
        <color rgb="FF434343"/>
      </left>
      <top style="thin">
        <color rgb="FFEBF4FC"/>
      </top>
      <bottom style="medium">
        <color rgb="FFEBF4FC"/>
      </bottom>
    </border>
    <border>
      <right style="thick">
        <color rgb="FF434343"/>
      </right>
      <top style="thin">
        <color rgb="FFEBF4FC"/>
      </top>
      <bottom style="medium">
        <color rgb="FFEBF4FC"/>
      </bottom>
    </border>
    <border>
      <left style="thin">
        <color rgb="FFFFFFFF"/>
      </left>
      <right style="thick">
        <color rgb="FF3E3A3A"/>
      </right>
      <top style="thin">
        <color rgb="FFEBF4FC"/>
      </top>
      <bottom style="thin">
        <color rgb="FFEBF4FC"/>
      </bottom>
    </border>
    <border>
      <left style="thick">
        <color rgb="FF434343"/>
      </left>
      <right style="medium">
        <color rgb="FFEBF4FC"/>
      </right>
      <top style="medium">
        <color rgb="FFEBF4FC"/>
      </top>
    </border>
    <border>
      <left style="medium">
        <color rgb="FFEBF4FC"/>
      </left>
      <right style="medium">
        <color rgb="FFEBF4FC"/>
      </right>
    </border>
    <border>
      <left style="medium">
        <color rgb="FFEBF4FC"/>
      </left>
      <right style="thick">
        <color rgb="FF434343"/>
      </right>
      <top style="medium">
        <color rgb="FFEBF4FC"/>
      </top>
    </border>
    <border>
      <right style="thin">
        <color rgb="FFEBF4FC"/>
      </right>
      <top style="medium">
        <color rgb="FF434343"/>
      </top>
      <bottom style="thin">
        <color rgb="FFEBF4FC"/>
      </bottom>
    </border>
    <border>
      <right style="thin">
        <color rgb="FFEBF4FC"/>
      </right>
      <top style="thin">
        <color rgb="FFEBF4FC"/>
      </top>
      <bottom style="thick">
        <color rgb="FF434343"/>
      </bottom>
    </border>
    <border>
      <right style="thick">
        <color rgb="FF434343"/>
      </right>
      <top style="thin">
        <color rgb="FFEBF4FC"/>
      </top>
      <bottom style="thick">
        <color rgb="FF434343"/>
      </bottom>
    </border>
    <border>
      <left style="thin">
        <color rgb="FFEBF4FC"/>
      </left>
      <right style="thin">
        <color rgb="FFEBF4FC"/>
      </right>
      <top style="thin">
        <color rgb="FFFFFFFF"/>
      </top>
    </border>
    <border>
      <left style="thin">
        <color rgb="FFEBF4FC"/>
      </left>
      <right style="thick">
        <color rgb="FF3E3A3A"/>
      </right>
      <top style="thin">
        <color rgb="FFEBF4FC"/>
      </top>
      <bottom style="thick">
        <color rgb="FF3E3A3A"/>
      </bottom>
    </border>
    <border>
      <left style="thin">
        <color rgb="FFFCFBEB"/>
      </left>
      <right style="thick">
        <color rgb="FF3E3A3A"/>
      </right>
      <bottom style="thin">
        <color rgb="FFFCFBEB"/>
      </bottom>
    </border>
    <border>
      <left style="thick">
        <color rgb="FF434343"/>
      </left>
      <right style="medium">
        <color rgb="FFFCFBEB"/>
      </right>
      <top style="thin">
        <color rgb="FFFCFBEB"/>
      </top>
      <bottom style="medium">
        <color rgb="FFFCFBEB"/>
      </bottom>
    </border>
    <border>
      <left style="medium">
        <color rgb="FFFCFBEB"/>
      </left>
      <right style="thick">
        <color rgb="FF434343"/>
      </right>
      <top style="thin">
        <color rgb="FFFCFBEB"/>
      </top>
      <bottom style="medium">
        <color rgb="FFFCFBEB"/>
      </bottom>
    </border>
    <border>
      <left style="thin">
        <color rgb="FFFFFFFF"/>
      </left>
      <right style="thick">
        <color rgb="FF3E3A3A"/>
      </right>
      <top style="thin">
        <color rgb="FFFCFBEB"/>
      </top>
      <bottom style="thin">
        <color rgb="FFFCFBEB"/>
      </bottom>
    </border>
    <border>
      <left style="thick">
        <color rgb="FF434343"/>
      </left>
      <right style="medium">
        <color rgb="FFFCFBEB"/>
      </right>
      <top style="medium">
        <color rgb="FFFCFBEB"/>
      </top>
    </border>
    <border>
      <left style="medium">
        <color rgb="FFFCFBEB"/>
      </left>
      <right style="medium">
        <color rgb="FFFCFBEB"/>
      </right>
      <top style="medium">
        <color rgb="FFFCFBEB"/>
      </top>
    </border>
    <border>
      <left style="medium">
        <color rgb="FFFCFBEB"/>
      </left>
      <right style="thick">
        <color rgb="FF434343"/>
      </right>
      <top style="medium">
        <color rgb="FFFCFBEB"/>
      </top>
    </border>
    <border>
      <right style="thin">
        <color rgb="FFFCFBEB"/>
      </right>
      <top style="medium">
        <color rgb="FF434343"/>
      </top>
      <bottom style="thin">
        <color rgb="FFFCFBEB"/>
      </bottom>
    </border>
    <border>
      <right style="thin">
        <color rgb="FFFCFBEB"/>
      </right>
      <top style="thin">
        <color rgb="FFFCFBEB"/>
      </top>
      <bottom style="thick">
        <color rgb="FF434343"/>
      </bottom>
    </border>
    <border>
      <right style="thick">
        <color rgb="FF434343"/>
      </right>
      <top style="thin">
        <color rgb="FFFCFBEB"/>
      </top>
      <bottom style="thick">
        <color rgb="FF434343"/>
      </bottom>
    </border>
    <border>
      <left style="thin">
        <color rgb="FFEBFCEB"/>
      </left>
      <top style="thin">
        <color rgb="FFFFFFFF"/>
      </top>
      <bottom style="thin">
        <color rgb="FFEBFCEB"/>
      </bottom>
    </border>
    <border>
      <left style="thick">
        <color rgb="FF434343"/>
      </left>
      <right style="medium">
        <color rgb="FFEBFCEB"/>
      </right>
      <top style="thin">
        <color rgb="FFEBFCEB"/>
      </top>
      <bottom style="medium">
        <color rgb="FFEBFCEB"/>
      </bottom>
    </border>
    <border>
      <left style="medium">
        <color rgb="FFEBFCEB"/>
      </left>
      <right style="thick">
        <color rgb="FF434343"/>
      </right>
      <top style="thin">
        <color rgb="FFEBFCEB"/>
      </top>
      <bottom style="medium">
        <color rgb="FFEBFCEB"/>
      </bottom>
    </border>
    <border>
      <left style="thin">
        <color rgb="FFFFFFFF"/>
      </left>
      <right style="thick">
        <color rgb="FF3E3A3A"/>
      </right>
      <top style="thin">
        <color rgb="FFEBFCEB"/>
      </top>
      <bottom style="thin">
        <color rgb="FFEBFCEB"/>
      </bottom>
    </border>
    <border>
      <left style="thick">
        <color rgb="FF434343"/>
      </left>
      <right style="medium">
        <color rgb="FFEBFCEB"/>
      </right>
      <top style="medium">
        <color rgb="FFEBFCEB"/>
      </top>
    </border>
    <border>
      <left style="medium">
        <color rgb="FFEBFCEB"/>
      </left>
      <right style="medium">
        <color rgb="FFEBFCEB"/>
      </right>
      <top style="medium">
        <color rgb="FFEBFCEB"/>
      </top>
    </border>
    <border>
      <left style="medium">
        <color rgb="FFEBFCEB"/>
      </left>
      <right style="thick">
        <color rgb="FF434343"/>
      </right>
      <top style="medium">
        <color rgb="FFEBFCEB"/>
      </top>
    </border>
    <border>
      <right style="thin">
        <color rgb="FFEBFCEB"/>
      </right>
      <top style="medium">
        <color rgb="FF434343"/>
      </top>
      <bottom style="thin">
        <color rgb="FFEBFCEB"/>
      </bottom>
    </border>
    <border>
      <right style="thin">
        <color rgb="FFEBFCEB"/>
      </right>
      <top style="thin">
        <color rgb="FFEBFCEB"/>
      </top>
      <bottom style="thick">
        <color rgb="FF434343"/>
      </bottom>
    </border>
    <border>
      <right style="thick">
        <color rgb="FF434343"/>
      </right>
      <top style="thin">
        <color rgb="FFEBFCEB"/>
      </top>
      <bottom style="thick">
        <color rgb="FF434343"/>
      </bottom>
    </border>
    <border>
      <left style="thin">
        <color rgb="FFEBFCEB"/>
      </left>
      <right style="thin">
        <color rgb="FFEBFCEB"/>
      </right>
      <top style="thin">
        <color rgb="FFFFFFFF"/>
      </top>
      <bottom style="thick">
        <color rgb="FF3E3A3A"/>
      </bottom>
    </border>
    <border>
      <left style="thin">
        <color rgb="FFDA4900"/>
      </left>
      <right style="thin">
        <color rgb="FFDA4900"/>
      </right>
      <top style="thin">
        <color rgb="FFDA4900"/>
      </top>
      <bottom style="thin">
        <color rgb="FFDA4900"/>
      </bottom>
    </border>
    <border>
      <left style="thin">
        <color rgb="FFDA4900"/>
      </left>
      <right style="thin">
        <color rgb="FFDA4900"/>
      </right>
      <top style="thin">
        <color rgb="FFDA4900"/>
      </top>
    </border>
    <border>
      <left style="thin">
        <color rgb="FFDA4900"/>
      </left>
      <top style="thin">
        <color rgb="FFDA4900"/>
      </top>
      <bottom style="thin">
        <color rgb="FFDA4900"/>
      </bottom>
    </border>
    <border>
      <left style="thick">
        <color rgb="FF3E3A3A"/>
      </left>
      <right style="thin">
        <color rgb="FFEBFCFC"/>
      </right>
      <top style="thick">
        <color rgb="FF3E3A3A"/>
      </top>
      <bottom style="thin">
        <color rgb="FFEBFCFC"/>
      </bottom>
    </border>
    <border>
      <left style="thin">
        <color rgb="FFEBFCFC"/>
      </left>
      <right style="thin">
        <color rgb="FFEBFCFC"/>
      </right>
      <top style="thick">
        <color rgb="FF3E3A3A"/>
      </top>
      <bottom style="thin">
        <color rgb="FFFFFFFF"/>
      </bottom>
    </border>
    <border>
      <left style="thin">
        <color rgb="FFEBFCFC"/>
      </left>
      <right style="thin">
        <color rgb="FFEBFCFC"/>
      </right>
      <top style="thick">
        <color rgb="FF3E3A3A"/>
      </top>
      <bottom style="thin">
        <color rgb="FFEBFCFC"/>
      </bottom>
    </border>
    <border>
      <left style="thin">
        <color rgb="FFEBFCFC"/>
      </left>
      <right style="thin">
        <color rgb="FFEBFCFC"/>
      </right>
      <top style="thick">
        <color rgb="FF3E3A3A"/>
      </top>
    </border>
    <border>
      <left style="thin">
        <color rgb="FFEBFCFC"/>
      </left>
      <right style="thick">
        <color rgb="FF3E3A3A"/>
      </right>
      <top style="thick">
        <color rgb="FF3E3A3A"/>
      </top>
      <bottom style="thin">
        <color rgb="FFEBFCFC"/>
      </bottom>
    </border>
    <border>
      <right style="thin">
        <color rgb="FFDA4900"/>
      </right>
      <top style="thin">
        <color rgb="FFDA4900"/>
      </top>
      <bottom style="thin">
        <color rgb="FFDA4900"/>
      </bottom>
    </border>
    <border>
      <left style="thick">
        <color rgb="FF3E3A3A"/>
      </left>
      <top style="thin">
        <color rgb="FFEBFCFC"/>
      </top>
      <bottom style="thin">
        <color rgb="FFEBFCFC"/>
      </bottom>
    </border>
    <border>
      <top style="thin">
        <color rgb="FFEBFCFC"/>
      </top>
      <bottom style="thin">
        <color rgb="FFEBFCFC"/>
      </bottom>
    </border>
    <border>
      <top style="thin">
        <color rgb="FFEBFCFC"/>
      </top>
    </border>
    <border>
      <right style="thin">
        <color rgb="FFEBFCFC"/>
      </right>
      <top style="thin">
        <color rgb="FFEBFCFC"/>
      </top>
    </border>
    <border>
      <left style="thin">
        <color rgb="FFEBFCFC"/>
      </left>
      <top style="thin">
        <color rgb="FFEBFCFC"/>
      </top>
      <bottom style="thin">
        <color rgb="FFEBFCFC"/>
      </bottom>
    </border>
    <border>
      <right style="thin">
        <color rgb="FFEBFCFC"/>
      </right>
      <top style="thin">
        <color rgb="FFEBFCFC"/>
      </top>
      <bottom style="thin">
        <color rgb="FFEBFCFC"/>
      </bottom>
    </border>
    <border>
      <left style="thin">
        <color rgb="FFEBFCFC"/>
      </left>
      <right style="thick">
        <color rgb="FF3E3A3A"/>
      </right>
      <top style="thin">
        <color rgb="FFEBFCFC"/>
      </top>
      <bottom style="thin">
        <color rgb="FFEBFCFC"/>
      </bottom>
    </border>
    <border>
      <left style="thick">
        <color rgb="FF434343"/>
      </left>
      <right style="thick">
        <color rgb="FF3E3A3A"/>
      </right>
      <top style="medium">
        <color rgb="FF434343"/>
      </top>
    </border>
    <border>
      <left style="thick">
        <color rgb="FF434343"/>
      </left>
      <bottom style="thin">
        <color rgb="FFEBFCFC"/>
      </bottom>
    </border>
    <border>
      <bottom style="thin">
        <color rgb="FFEBFCFC"/>
      </bottom>
    </border>
    <border>
      <right style="thick">
        <color rgb="FF434343"/>
      </right>
      <bottom style="thin">
        <color rgb="FFEBFCFC"/>
      </bottom>
    </border>
    <border>
      <right style="thin">
        <color rgb="FFEBFCFC"/>
      </right>
    </border>
    <border>
      <left style="thick">
        <color rgb="FF434343"/>
      </left>
      <right style="thick">
        <color rgb="FF3E3A3A"/>
      </right>
    </border>
    <border>
      <left style="thick">
        <color rgb="FF434343"/>
      </left>
      <top style="thin">
        <color rgb="FFEBFCFC"/>
      </top>
      <bottom style="thin">
        <color rgb="FFEBFCFC"/>
      </bottom>
    </border>
    <border>
      <right style="thick">
        <color rgb="FF434343"/>
      </right>
      <top style="thin">
        <color rgb="FFEBFCFC"/>
      </top>
      <bottom style="thin">
        <color rgb="FFEBFCFC"/>
      </bottom>
    </border>
    <border>
      <left style="thick">
        <color rgb="FF3E3A3A"/>
      </left>
      <right style="thin">
        <color rgb="FFEBFCFC"/>
      </right>
      <top style="thin">
        <color rgb="FFEBFCFC"/>
      </top>
      <bottom style="thin">
        <color rgb="FFEBFCFC"/>
      </bottom>
    </border>
    <border>
      <left style="thick">
        <color rgb="FF434343"/>
      </left>
      <right style="thick">
        <color rgb="FF3E3A3A"/>
      </right>
      <bottom style="thick">
        <color rgb="FF3E3A3A"/>
      </bottom>
    </border>
    <border>
      <left style="thick">
        <color rgb="FF434343"/>
      </left>
      <right style="thin">
        <color rgb="FFEBFCFC"/>
      </right>
      <top style="thin">
        <color rgb="FFEBFCFC"/>
      </top>
      <bottom style="thin">
        <color rgb="FFEBFCFC"/>
      </bottom>
    </border>
    <border>
      <left style="thin">
        <color rgb="FFEBFCFC"/>
      </left>
      <right style="thin">
        <color rgb="FFEBFCFC"/>
      </right>
      <top style="thin">
        <color rgb="FFEBFCFC"/>
      </top>
      <bottom style="thin">
        <color rgb="FFEBFCFC"/>
      </bottom>
    </border>
    <border>
      <left style="thin">
        <color rgb="FFEBFCFC"/>
      </left>
      <right style="thick">
        <color rgb="FF434343"/>
      </right>
      <top style="thin">
        <color rgb="FFEBFCFC"/>
      </top>
      <bottom style="thin">
        <color rgb="FFEBFCFC"/>
      </bottom>
    </border>
    <border>
      <left style="thin">
        <color rgb="FFEBFCFC"/>
      </left>
      <right style="thin">
        <color rgb="FFEBFCFC"/>
      </right>
      <bottom style="thin">
        <color rgb="FFEBFCFC"/>
      </bottom>
    </border>
    <border>
      <left style="thick">
        <color rgb="FF434343"/>
      </left>
      <right style="medium">
        <color rgb="FFEBFCFC"/>
      </right>
    </border>
    <border>
      <left style="medium">
        <color rgb="FFEBFCFC"/>
      </left>
      <right style="medium">
        <color rgb="FFEBFCFC"/>
      </right>
    </border>
    <border>
      <left style="medium">
        <color rgb="FFEBFCFC"/>
      </left>
      <right style="thick">
        <color rgb="FF434343"/>
      </right>
    </border>
    <border>
      <left style="thick">
        <color rgb="FF434343"/>
      </left>
      <top style="medium">
        <color rgb="FF434343"/>
      </top>
      <bottom style="thin">
        <color rgb="FFEBFCFC"/>
      </bottom>
    </border>
    <border>
      <top style="medium">
        <color rgb="FF434343"/>
      </top>
      <bottom style="thin">
        <color rgb="FFEBFCFC"/>
      </bottom>
    </border>
    <border>
      <right style="thick">
        <color rgb="FF434343"/>
      </right>
      <top style="medium">
        <color rgb="FF434343"/>
      </top>
      <bottom style="thin">
        <color rgb="FFEBFCFC"/>
      </bottom>
    </border>
    <border>
      <left style="thin">
        <color rgb="FFEBFCFC"/>
      </left>
      <right style="thin">
        <color rgb="FFEBFCFC"/>
      </right>
      <top style="thin">
        <color rgb="FFEBFCFC"/>
      </top>
    </border>
    <border>
      <left style="thin">
        <color rgb="FFEBFCFC"/>
      </left>
      <right style="thin">
        <color rgb="FFEBFCFC"/>
      </right>
    </border>
    <border>
      <left style="thick">
        <color rgb="FF434343"/>
      </left>
      <top style="thin">
        <color rgb="FFEBFCFC"/>
      </top>
    </border>
    <border>
      <left style="thin">
        <color rgb="FFEBFCFC"/>
      </left>
      <right style="thick">
        <color rgb="FF434343"/>
      </right>
      <top style="thin">
        <color rgb="FFEBFCFC"/>
      </top>
    </border>
    <border>
      <left style="thin">
        <color rgb="FFEBFCFC"/>
      </left>
      <right style="thick">
        <color rgb="FF434343"/>
      </right>
      <top style="medium">
        <color rgb="FF434343"/>
      </top>
      <bottom style="thin">
        <color rgb="FFEBFCFC"/>
      </bottom>
    </border>
    <border>
      <left style="thick">
        <color rgb="FF434343"/>
      </left>
      <top style="thin">
        <color rgb="FFEBFCFC"/>
      </top>
      <bottom style="thick">
        <color rgb="FF434343"/>
      </bottom>
    </border>
    <border>
      <top style="thin">
        <color rgb="FFEBFCFC"/>
      </top>
      <bottom style="thick">
        <color rgb="FF434343"/>
      </bottom>
    </border>
    <border>
      <left style="thin">
        <color rgb="FFEBFCFC"/>
      </left>
      <right style="thick">
        <color rgb="FF434343"/>
      </right>
      <top style="thin">
        <color rgb="FFEBFCFC"/>
      </top>
      <bottom style="thick">
        <color rgb="FF434343"/>
      </bottom>
    </border>
    <border>
      <right style="thin">
        <color rgb="FFEBFCFC"/>
      </right>
      <bottom style="thin">
        <color rgb="FFEBFCFC"/>
      </bottom>
    </border>
    <border>
      <left style="thick">
        <color rgb="FF3E3A3A"/>
      </left>
      <right style="thin">
        <color rgb="FF6F8B85"/>
      </right>
      <bottom style="thin">
        <color rgb="FF6F8B85"/>
      </bottom>
    </border>
    <border>
      <left style="thin">
        <color rgb="FF6F8B85"/>
      </left>
      <right style="thin">
        <color rgb="FF6F8B85"/>
      </right>
      <bottom style="thin">
        <color rgb="FF6F8B85"/>
      </bottom>
    </border>
    <border>
      <left style="thin">
        <color rgb="FF6F8B85"/>
      </left>
      <top style="thin">
        <color rgb="FF3E3A3A"/>
      </top>
      <bottom style="thin">
        <color rgb="FF6F8B85"/>
      </bottom>
    </border>
    <border>
      <right style="thick">
        <color rgb="FF3E3A3A"/>
      </right>
      <top style="thin">
        <color rgb="FF3E3A3A"/>
      </top>
      <bottom style="thin">
        <color rgb="FF6F8B85"/>
      </bottom>
    </border>
    <border>
      <left style="thin">
        <color rgb="FF6F8B85"/>
      </left>
      <bottom style="thin">
        <color rgb="FF6F8B85"/>
      </bottom>
    </border>
    <border>
      <right style="thick">
        <color rgb="FF3E3A3A"/>
      </right>
      <bottom style="thin">
        <color rgb="FF6F8B85"/>
      </bottom>
    </border>
    <border>
      <left style="thick">
        <color rgb="FF3E3A3A"/>
      </left>
      <right style="thin">
        <color rgb="FF6F8B85"/>
      </right>
      <top style="thin">
        <color rgb="FF6F8B85"/>
      </top>
      <bottom style="thin">
        <color rgb="FF6F8B85"/>
      </bottom>
    </border>
    <border>
      <left style="thin">
        <color rgb="FF6F8B85"/>
      </left>
      <right style="thin">
        <color rgb="FF6F8B85"/>
      </right>
      <top style="thin">
        <color rgb="FF6F8B85"/>
      </top>
      <bottom style="thin">
        <color rgb="FF6F8B85"/>
      </bottom>
    </border>
    <border>
      <left style="thin">
        <color rgb="FF6F8B85"/>
      </left>
      <top style="thin">
        <color rgb="FF6F8B85"/>
      </top>
      <bottom style="thin">
        <color rgb="FF6F8B85"/>
      </bottom>
    </border>
    <border>
      <right style="thick">
        <color rgb="FF3E3A3A"/>
      </right>
      <top style="thin">
        <color rgb="FF6F8B85"/>
      </top>
      <bottom style="thin">
        <color rgb="FF6F8B85"/>
      </bottom>
    </border>
    <border>
      <left style="thick">
        <color rgb="FF3E3A3A"/>
      </left>
      <right style="thin">
        <color rgb="FF6F8B85"/>
      </right>
      <top style="thin">
        <color rgb="FF6F8B85"/>
      </top>
    </border>
    <border>
      <left style="thin">
        <color rgb="FF6F8B85"/>
      </left>
      <right style="thin">
        <color rgb="FF6F8B85"/>
      </right>
      <top style="thin">
        <color rgb="FF6F8B85"/>
      </top>
    </border>
    <border>
      <left style="thin">
        <color rgb="FF6F8B85"/>
      </left>
      <top style="thin">
        <color rgb="FF6F8B85"/>
      </top>
      <bottom style="medium">
        <color rgb="FF3E3A3A"/>
      </bottom>
    </border>
    <border>
      <right style="thick">
        <color rgb="FF3E3A3A"/>
      </right>
      <top style="thin">
        <color rgb="FF6F8B85"/>
      </top>
      <bottom style="medium">
        <color rgb="FF3E3A3A"/>
      </bottom>
    </border>
    <border>
      <left style="thick">
        <color rgb="FF3E3A3A"/>
      </left>
      <right style="thin">
        <color rgb="FFEBFCFC"/>
      </right>
      <top style="thin">
        <color rgb="FFEBFCFC"/>
      </top>
    </border>
    <border>
      <left style="thin">
        <color rgb="FFEBFCFC"/>
      </left>
      <top style="thin">
        <color rgb="FFEBFCFC"/>
      </top>
    </border>
    <border>
      <left style="thick">
        <color rgb="FF3E3A3A"/>
      </left>
      <right style="thin">
        <color rgb="FFEBFCFC"/>
      </right>
      <top style="thin">
        <color rgb="FFEBFCFC"/>
      </top>
      <bottom style="thick">
        <color rgb="FF3E3A3A"/>
      </bottom>
    </border>
    <border>
      <left style="thin">
        <color rgb="FFEBFCFC"/>
      </left>
      <right style="thin">
        <color rgb="FFEBFCFC"/>
      </right>
      <top style="thin">
        <color rgb="FFEBFCFC"/>
      </top>
      <bottom style="thick">
        <color rgb="FF3E3A3A"/>
      </bottom>
    </border>
    <border>
      <left style="thin">
        <color rgb="FFEBFCFC"/>
      </left>
      <right style="thin">
        <color rgb="FFEBFCFC"/>
      </right>
      <bottom style="thick">
        <color rgb="FF3E3A3A"/>
      </bottom>
    </border>
    <border>
      <left style="thin">
        <color rgb="FFEBFCFC"/>
      </left>
      <right style="thick">
        <color rgb="FF3E3A3A"/>
      </right>
      <bottom style="thick">
        <color rgb="FF3E3A3A"/>
      </bottom>
    </border>
    <border>
      <left style="thick">
        <color rgb="FF3E3A3A"/>
      </left>
      <right style="thin">
        <color rgb="FFF8FCEB"/>
      </right>
      <bottom style="thin">
        <color rgb="FFF8FCEB"/>
      </bottom>
    </border>
    <border>
      <left style="thin">
        <color rgb="FFF8FCEB"/>
      </left>
      <bottom style="thin">
        <color rgb="FFF8FCEB"/>
      </bottom>
    </border>
    <border>
      <bottom style="thin">
        <color rgb="FFF8FCEB"/>
      </bottom>
    </border>
    <border>
      <right style="thin">
        <color rgb="FFF8FCEB"/>
      </right>
      <bottom style="thin">
        <color rgb="FFF8FCEB"/>
      </bottom>
    </border>
    <border>
      <left style="thin">
        <color rgb="FFF8FCEB"/>
      </left>
      <right style="thick">
        <color rgb="FF3E3A3A"/>
      </right>
      <bottom style="thin">
        <color rgb="FFF8FCEB"/>
      </bottom>
    </border>
    <border>
      <left style="thick">
        <color rgb="FF3E3A3A"/>
      </left>
      <right style="thin">
        <color rgb="FFF8FCEB"/>
      </right>
      <top style="thin">
        <color rgb="FFF8FCEB"/>
      </top>
      <bottom style="thin">
        <color rgb="FFF8FCEB"/>
      </bottom>
    </border>
    <border>
      <left style="thin">
        <color rgb="FFF8FCEB"/>
      </left>
      <right style="thin">
        <color rgb="FFF8FCEB"/>
      </right>
      <top style="thin">
        <color rgb="FFF8FCEB"/>
      </top>
      <bottom style="thin">
        <color rgb="FFF8FCEB"/>
      </bottom>
    </border>
    <border>
      <left style="thin">
        <color rgb="FFF8FCEB"/>
      </left>
      <top style="thin">
        <color rgb="FFF8FCEB"/>
      </top>
      <bottom style="thin">
        <color rgb="FFF8FCEB"/>
      </bottom>
    </border>
    <border>
      <left style="thick">
        <color rgb="FF3E3A3A"/>
      </left>
      <top style="thick">
        <color rgb="FF3E3A3A"/>
      </top>
      <bottom style="thick">
        <color rgb="FF3E3A3A"/>
      </bottom>
    </border>
    <border>
      <top style="thick">
        <color rgb="FF3E3A3A"/>
      </top>
      <bottom style="thick">
        <color rgb="FF3E3A3A"/>
      </bottom>
    </border>
    <border>
      <right style="thick">
        <color rgb="FF3E3A3A"/>
      </right>
      <top style="thick">
        <color rgb="FF3E3A3A"/>
      </top>
      <bottom style="thick">
        <color rgb="FF3E3A3A"/>
      </bottom>
    </border>
    <border>
      <right style="thick">
        <color rgb="FF3E3A3A"/>
      </right>
      <top style="thin">
        <color rgb="FFF8FCEB"/>
      </top>
      <bottom style="thin">
        <color rgb="FFF8FCEB"/>
      </bottom>
    </border>
    <border>
      <left style="thin">
        <color rgb="FFF8FCEB"/>
      </left>
      <right style="thin">
        <color rgb="FFF8FCEB"/>
      </right>
      <bottom style="thin">
        <color rgb="FFF8FCEB"/>
      </bottom>
    </border>
    <border>
      <left style="thin">
        <color rgb="FFF8FCEB"/>
      </left>
      <right style="thick">
        <color rgb="FF3E3A3A"/>
      </right>
      <top style="thin">
        <color rgb="FFF8FCEB"/>
      </top>
      <bottom style="thin">
        <color rgb="FFF8FCEB"/>
      </bottom>
    </border>
    <border>
      <left style="thin">
        <color rgb="FFF8FCEB"/>
      </left>
      <right style="thin">
        <color rgb="FFF8FCEB"/>
      </right>
      <top style="thin">
        <color rgb="FFF8FCEB"/>
      </top>
      <bottom style="thin">
        <color rgb="FFEFEAE9"/>
      </bottom>
    </border>
    <border>
      <left style="thin">
        <color rgb="FFF8FCEB"/>
      </left>
      <top style="thin">
        <color rgb="FFF8FCEB"/>
      </top>
    </border>
    <border>
      <top style="thin">
        <color rgb="FFF8FCEB"/>
      </top>
    </border>
    <border>
      <right style="thin">
        <color rgb="FFF8FCEB"/>
      </right>
      <top style="thin">
        <color rgb="FFF8FCEB"/>
      </top>
    </border>
    <border>
      <left style="thin">
        <color rgb="FFF8FCEB"/>
      </left>
      <right style="thin">
        <color rgb="FFF8FCEB"/>
      </right>
      <top style="thin">
        <color rgb="FFF8FCEB"/>
      </top>
    </border>
    <border>
      <left style="thick">
        <color rgb="FF3E3A3A"/>
      </left>
      <right style="thin">
        <color rgb="FFEFEAE9"/>
      </right>
      <top style="thin">
        <color rgb="FFF8FCEB"/>
      </top>
      <bottom style="thin">
        <color rgb="FFF8FCEB"/>
      </bottom>
    </border>
    <border>
      <left style="thin">
        <color rgb="FFEFEAE9"/>
      </left>
      <top style="thin">
        <color rgb="FFF8FCEB"/>
      </top>
      <bottom style="thin">
        <color rgb="FFF8FCEB"/>
      </bottom>
    </border>
    <border>
      <top style="thin">
        <color rgb="FFF8FCEB"/>
      </top>
      <bottom style="thin">
        <color rgb="FFF8FCEB"/>
      </bottom>
    </border>
    <border>
      <left style="thick">
        <color rgb="FF434343"/>
      </left>
      <bottom style="thin">
        <color rgb="FFF8FCEB"/>
      </bottom>
    </border>
    <border>
      <right style="thick">
        <color rgb="FF434343"/>
      </right>
      <bottom style="thin">
        <color rgb="FFF8FCEB"/>
      </bottom>
    </border>
    <border>
      <left style="thick">
        <color rgb="FF434343"/>
      </left>
      <top style="thin">
        <color rgb="FFF8FCEB"/>
      </top>
      <bottom style="thin">
        <color rgb="FFF8FCEB"/>
      </bottom>
    </border>
    <border>
      <right style="thick">
        <color rgb="FF434343"/>
      </right>
      <top style="thin">
        <color rgb="FFF8FCEB"/>
      </top>
      <bottom style="thin">
        <color rgb="FFF8FCEB"/>
      </bottom>
    </border>
    <border>
      <right style="thin">
        <color rgb="FFEFEAE9"/>
      </right>
      <top style="thin">
        <color rgb="FFF8FCEB"/>
      </top>
      <bottom style="thin">
        <color rgb="FFF8FCEB"/>
      </bottom>
    </border>
    <border>
      <left style="thick">
        <color rgb="FF434343"/>
      </left>
      <right style="thin">
        <color rgb="FFF8FCEB"/>
      </right>
      <top style="thin">
        <color rgb="FFF8FCEB"/>
      </top>
      <bottom style="thin">
        <color rgb="FFF8FCEB"/>
      </bottom>
    </border>
    <border>
      <left style="thin">
        <color rgb="FFF8FCEB"/>
      </left>
      <right style="thick">
        <color rgb="FF434343"/>
      </right>
      <top style="thin">
        <color rgb="FFF8FCEB"/>
      </top>
      <bottom style="thin">
        <color rgb="FFF8FCEB"/>
      </bottom>
    </border>
    <border>
      <left style="thin">
        <color rgb="FFF8FCEB"/>
      </left>
      <right style="thin">
        <color rgb="FFEFEAE9"/>
      </right>
      <top style="thin">
        <color rgb="FFF8FCEB"/>
      </top>
      <bottom style="thin">
        <color rgb="FFF8FCEB"/>
      </bottom>
    </border>
    <border>
      <left style="thick">
        <color rgb="FF434343"/>
      </left>
      <right style="medium">
        <color rgb="FFF8FCEB"/>
      </right>
    </border>
    <border>
      <left style="medium">
        <color rgb="FFF8FCEB"/>
      </left>
      <right style="medium">
        <color rgb="FFF8FCEB"/>
      </right>
    </border>
    <border>
      <left style="medium">
        <color rgb="FFF8FCEB"/>
      </left>
      <right style="thick">
        <color rgb="FF434343"/>
      </right>
    </border>
    <border>
      <left style="thick">
        <color rgb="FF434343"/>
      </left>
      <top style="medium">
        <color rgb="FF434343"/>
      </top>
      <bottom style="thin">
        <color rgb="FFF8FCEB"/>
      </bottom>
    </border>
    <border>
      <top style="medium">
        <color rgb="FF434343"/>
      </top>
      <bottom style="thin">
        <color rgb="FFF8FCEB"/>
      </bottom>
    </border>
    <border>
      <right style="thick">
        <color rgb="FF434343"/>
      </right>
      <top style="medium">
        <color rgb="FF434343"/>
      </top>
      <bottom style="thin">
        <color rgb="FFF8FCEB"/>
      </bottom>
    </border>
    <border>
      <left style="thick">
        <color rgb="FF434343"/>
      </left>
      <top style="thin">
        <color rgb="FFF8FCEB"/>
      </top>
    </border>
    <border>
      <left style="thin">
        <color rgb="FFF8FCEB"/>
      </left>
      <right style="thick">
        <color rgb="FF434343"/>
      </right>
      <top style="thin">
        <color rgb="FFF8FCEB"/>
      </top>
    </border>
    <border>
      <left style="thin">
        <color rgb="FFF8FCEB"/>
      </left>
      <right style="thick">
        <color rgb="FF434343"/>
      </right>
      <top style="medium">
        <color rgb="FF434343"/>
      </top>
      <bottom style="thin">
        <color rgb="FFF8FCEB"/>
      </bottom>
    </border>
    <border>
      <left style="thick">
        <color rgb="FF434343"/>
      </left>
      <top style="thin">
        <color rgb="FFF8FCEB"/>
      </top>
      <bottom style="thick">
        <color rgb="FF434343"/>
      </bottom>
    </border>
    <border>
      <top style="thin">
        <color rgb="FFF8FCEB"/>
      </top>
      <bottom style="thick">
        <color rgb="FF434343"/>
      </bottom>
    </border>
    <border>
      <left style="thin">
        <color rgb="FFF8FCEB"/>
      </left>
      <right style="thick">
        <color rgb="FF434343"/>
      </right>
      <top style="thin">
        <color rgb="FFF8FCEB"/>
      </top>
      <bottom style="thick">
        <color rgb="FF434343"/>
      </bottom>
    </border>
    <border>
      <bottom style="thin">
        <color rgb="FFEFEAE9"/>
      </bottom>
    </border>
    <border>
      <left style="thin">
        <color rgb="FFF8FCEB"/>
      </left>
      <right style="thin">
        <color rgb="FFF8FCEB"/>
      </right>
    </border>
    <border>
      <left style="thin">
        <color rgb="FFF8FCEB"/>
      </left>
      <right style="thin">
        <color rgb="FFF8FCEB"/>
      </right>
      <top style="thin">
        <color rgb="FFFFFFFF"/>
      </top>
      <bottom style="thin">
        <color rgb="FFEFEAE9"/>
      </bottom>
    </border>
    <border>
      <left style="thick">
        <color rgb="FF3E3A3A"/>
      </left>
      <right style="thin">
        <color rgb="FF90C12C"/>
      </right>
      <bottom style="thin">
        <color rgb="FF90C12C"/>
      </bottom>
    </border>
    <border>
      <left style="thin">
        <color rgb="FF90C12C"/>
      </left>
      <right style="thin">
        <color rgb="FF90C12C"/>
      </right>
      <bottom style="thin">
        <color rgb="FF90C12C"/>
      </bottom>
    </border>
    <border>
      <left style="thin">
        <color rgb="FF90C12C"/>
      </left>
      <top style="thin">
        <color rgb="FF3E3A3A"/>
      </top>
      <bottom style="thin">
        <color rgb="FF90C12C"/>
      </bottom>
    </border>
    <border>
      <right style="thick">
        <color rgb="FF3E3A3A"/>
      </right>
      <top style="thin">
        <color rgb="FF3E3A3A"/>
      </top>
      <bottom style="thin">
        <color rgb="FF90C12C"/>
      </bottom>
    </border>
    <border>
      <right style="thin">
        <color rgb="FFF8FCEB"/>
      </right>
      <top style="thin">
        <color rgb="FFF8FCEB"/>
      </top>
      <bottom style="thin">
        <color rgb="FFF8FCEB"/>
      </bottom>
    </border>
    <border>
      <left style="thick">
        <color rgb="FF3E3A3A"/>
      </left>
      <right style="thin">
        <color rgb="FF90C12C"/>
      </right>
      <top style="thin">
        <color rgb="FF90C12C"/>
      </top>
      <bottom style="thin">
        <color rgb="FF90C12C"/>
      </bottom>
    </border>
    <border>
      <left style="thin">
        <color rgb="FF90C12C"/>
      </left>
      <right style="thin">
        <color rgb="FF90C12C"/>
      </right>
      <top style="thin">
        <color rgb="FF90C12C"/>
      </top>
      <bottom style="thin">
        <color rgb="FF90C12C"/>
      </bottom>
    </border>
    <border>
      <left style="thin">
        <color rgb="FF90C12C"/>
      </left>
      <top style="thin">
        <color rgb="FF90C12C"/>
      </top>
      <bottom style="thin">
        <color rgb="FF90C12C"/>
      </bottom>
    </border>
    <border>
      <right style="thick">
        <color rgb="FF3E3A3A"/>
      </right>
      <top style="thin">
        <color rgb="FF90C12C"/>
      </top>
      <bottom style="thin">
        <color rgb="FF90C12C"/>
      </bottom>
    </border>
    <border>
      <left style="thick">
        <color rgb="FF3E3A3A"/>
      </left>
      <right style="thin">
        <color rgb="FF90C12C"/>
      </right>
      <top style="thin">
        <color rgb="FF90C12C"/>
      </top>
    </border>
    <border>
      <left style="thin">
        <color rgb="FF90C12C"/>
      </left>
      <right style="thin">
        <color rgb="FF90C12C"/>
      </right>
      <top style="thin">
        <color rgb="FF90C12C"/>
      </top>
    </border>
    <border>
      <left style="thin">
        <color rgb="FF90C12C"/>
      </left>
      <top style="thin">
        <color rgb="FF90C12C"/>
      </top>
      <bottom style="medium">
        <color rgb="FF3E3A3A"/>
      </bottom>
    </border>
    <border>
      <right style="thick">
        <color rgb="FF3E3A3A"/>
      </right>
      <top style="thin">
        <color rgb="FF90C12C"/>
      </top>
      <bottom style="medium">
        <color rgb="FF3E3A3A"/>
      </bottom>
    </border>
    <border>
      <left style="thin">
        <color rgb="FFF8FCEB"/>
      </left>
      <right style="thin">
        <color rgb="FFF8FCEB"/>
      </right>
      <top style="thin">
        <color rgb="FFEFEAE9"/>
      </top>
    </border>
    <border>
      <top style="thin">
        <color rgb="FFEFEAE9"/>
      </top>
    </border>
    <border>
      <left style="thick">
        <color rgb="FF3E3A3A"/>
      </left>
      <top style="thin">
        <color rgb="FFF8FCEB"/>
      </top>
      <bottom style="thin">
        <color rgb="FFF8FCEB"/>
      </bottom>
    </border>
    <border>
      <left style="thin">
        <color rgb="FFEFEAE9"/>
      </left>
      <right style="thick">
        <color rgb="FF3E3A3A"/>
      </right>
      <top style="thin">
        <color rgb="FFF8FCEB"/>
      </top>
      <bottom style="thin">
        <color rgb="FFF8FCEB"/>
      </bottom>
    </border>
    <border>
      <left style="thin">
        <color rgb="FFEFEAE9"/>
      </left>
      <right style="thin">
        <color rgb="FFEFEAE9"/>
      </right>
    </border>
    <border>
      <left style="thin">
        <color rgb="FFEFEAE9"/>
      </left>
      <right style="thin">
        <color rgb="FFEFEAE9"/>
      </right>
      <top style="thin">
        <color rgb="FFF8FCEB"/>
      </top>
      <bottom style="thin">
        <color rgb="FFF8FCEB"/>
      </bottom>
    </border>
    <border>
      <left style="thin">
        <color rgb="FFEFEAE9"/>
      </left>
      <right style="thin">
        <color rgb="FFEFEAE9"/>
      </right>
      <top style="thin">
        <color rgb="FFEFEAE9"/>
      </top>
    </border>
    <border>
      <left style="thick">
        <color rgb="FF3E3A3A"/>
      </left>
      <right style="thin">
        <color rgb="FFF8FCEB"/>
      </right>
      <top style="thin">
        <color rgb="FFF8FCEB"/>
      </top>
      <bottom style="thick">
        <color rgb="FF3E3A3A"/>
      </bottom>
    </border>
    <border>
      <left style="thin">
        <color rgb="FFF8FCEB"/>
      </left>
      <right style="thin">
        <color rgb="FFF8FCEB"/>
      </right>
      <top style="thin">
        <color rgb="FFF8FCEB"/>
      </top>
      <bottom style="thick">
        <color rgb="FF3E3A3A"/>
      </bottom>
    </border>
    <border>
      <left style="thin">
        <color rgb="FFF8FCEB"/>
      </left>
      <right style="thin">
        <color rgb="FFF8FCEB"/>
      </right>
      <bottom style="thick">
        <color rgb="FF3E3A3A"/>
      </bottom>
    </border>
    <border>
      <left style="thin">
        <color rgb="FFF8FCEB"/>
      </left>
      <right style="thin">
        <color rgb="FFF8FCEB"/>
      </right>
      <top style="thin">
        <color rgb="FFEFEAE9"/>
      </top>
      <bottom style="thick">
        <color rgb="FF3E3A3A"/>
      </bottom>
    </border>
    <border>
      <left style="thin">
        <color rgb="FFF8FCEB"/>
      </left>
      <right style="thick">
        <color rgb="FF3E3A3A"/>
      </right>
      <bottom style="thick">
        <color rgb="FF3E3A3A"/>
      </bottom>
    </border>
    <border>
      <left style="thick">
        <color rgb="FF3E3A3A"/>
      </left>
      <right style="thin">
        <color rgb="FFF9F9F9"/>
      </right>
      <bottom style="thin">
        <color rgb="FFF9F9F9"/>
      </bottom>
    </border>
    <border>
      <left style="thin">
        <color rgb="FFF9F9F9"/>
      </left>
      <right style="thin">
        <color rgb="FFF9F9F9"/>
      </right>
    </border>
    <border>
      <left style="thin">
        <color rgb="FFF9F9F9"/>
      </left>
      <right style="thin">
        <color rgb="FFF9F9F9"/>
      </right>
      <bottom style="thin">
        <color rgb="FFF9F9F9"/>
      </bottom>
    </border>
    <border>
      <left style="thin">
        <color rgb="FFF9F9F9"/>
      </left>
      <right style="thick">
        <color rgb="FF3E3A3A"/>
      </right>
      <bottom style="thin">
        <color rgb="FFF9F9F9"/>
      </bottom>
    </border>
    <border>
      <left style="thick">
        <color rgb="FF3E3A3A"/>
      </left>
      <right style="thin">
        <color rgb="FFF9F9F9"/>
      </right>
      <top style="thin">
        <color rgb="FFF9F9F9"/>
      </top>
      <bottom style="thin">
        <color rgb="FFF9F9F9"/>
      </bottom>
    </border>
    <border>
      <left style="thin">
        <color rgb="FFF9F9F9"/>
      </left>
      <right style="thin">
        <color rgb="FFF9F9F9"/>
      </right>
      <top style="thin">
        <color rgb="FFF9F9F9"/>
      </top>
      <bottom style="thin">
        <color rgb="FFF9F9F9"/>
      </bottom>
    </border>
    <border>
      <left style="thin">
        <color rgb="FFF9F9F9"/>
      </left>
      <top style="thin">
        <color rgb="FFF9F9F9"/>
      </top>
    </border>
    <border>
      <top style="thin">
        <color rgb="FFF9F9F9"/>
      </top>
    </border>
    <border>
      <right style="thin">
        <color rgb="FFF9F9F9"/>
      </right>
      <top style="thin">
        <color rgb="FFF9F9F9"/>
      </top>
    </border>
    <border>
      <left style="thick">
        <color rgb="FF3E3A3A"/>
      </left>
      <top style="thin">
        <color rgb="FFF9F9F9"/>
      </top>
      <bottom style="thin">
        <color rgb="FFF9F9F9"/>
      </bottom>
    </border>
    <border>
      <left style="thick">
        <color rgb="FF434343"/>
      </left>
      <right style="thick">
        <color rgb="FF434343"/>
      </right>
      <top style="thick">
        <color rgb="FF3E3A3A"/>
      </top>
    </border>
    <border>
      <top style="thin">
        <color rgb="FFF9F9F9"/>
      </top>
      <bottom style="thin">
        <color rgb="FFF9F9F9"/>
      </bottom>
    </border>
    <border>
      <left style="thick">
        <color rgb="FF434343"/>
      </left>
      <top style="thick">
        <color rgb="FF3E3A3A"/>
      </top>
      <bottom style="medium">
        <color rgb="FF434343"/>
      </bottom>
    </border>
    <border>
      <top style="thick">
        <color rgb="FF3E3A3A"/>
      </top>
      <bottom style="medium">
        <color rgb="FF434343"/>
      </bottom>
    </border>
    <border>
      <right style="thick">
        <color rgb="FF434343"/>
      </right>
      <top style="thick">
        <color rgb="FF3E3A3A"/>
      </top>
      <bottom style="medium">
        <color rgb="FF434343"/>
      </bottom>
    </border>
    <border>
      <right style="thick">
        <color rgb="FF3E3A3A"/>
      </right>
      <top style="thin">
        <color rgb="FFF9F9F9"/>
      </top>
      <bottom style="thin">
        <color rgb="FFF9F9F9"/>
      </bottom>
    </border>
    <border>
      <left style="thick">
        <color rgb="FF434343"/>
      </left>
      <bottom style="thin">
        <color rgb="FFF9F9F9"/>
      </bottom>
    </border>
    <border>
      <bottom style="thin">
        <color rgb="FFF9F9F9"/>
      </bottom>
    </border>
    <border>
      <right style="thick">
        <color rgb="FF434343"/>
      </right>
      <bottom style="thin">
        <color rgb="FFF9F9F9"/>
      </bottom>
    </border>
    <border>
      <left style="thick">
        <color rgb="FF434343"/>
      </left>
      <top style="thin">
        <color rgb="FFF9F9F9"/>
      </top>
      <bottom style="thin">
        <color rgb="FFF9F9F9"/>
      </bottom>
    </border>
    <border>
      <right style="thick">
        <color rgb="FF434343"/>
      </right>
      <top style="thin">
        <color rgb="FFF9F9F9"/>
      </top>
      <bottom style="thin">
        <color rgb="FFF9F9F9"/>
      </bottom>
    </border>
    <border>
      <left style="thick">
        <color rgb="FF434343"/>
      </left>
      <right style="thin">
        <color rgb="FFF9F9F9"/>
      </right>
      <top style="thin">
        <color rgb="FFF9F9F9"/>
      </top>
      <bottom style="thin">
        <color rgb="FFF9F9F9"/>
      </bottom>
    </border>
    <border>
      <left style="thin">
        <color rgb="FFF9F9F9"/>
      </left>
      <right style="thick">
        <color rgb="FF434343"/>
      </right>
      <top style="thin">
        <color rgb="FFF9F9F9"/>
      </top>
      <bottom style="thin">
        <color rgb="FFF9F9F9"/>
      </bottom>
    </border>
    <border>
      <left style="thin">
        <color rgb="FFF9F9F9"/>
      </left>
      <top style="thin">
        <color rgb="FFF9F9F9"/>
      </top>
      <bottom style="thin">
        <color rgb="FFF9F9F9"/>
      </bottom>
    </border>
    <border>
      <left style="thin">
        <color rgb="FFF9F9F9"/>
      </left>
      <right style="thick">
        <color rgb="FF3E3A3A"/>
      </right>
      <top style="thin">
        <color rgb="FFF9F9F9"/>
      </top>
      <bottom style="thin">
        <color rgb="FFF9F9F9"/>
      </bottom>
    </border>
    <border>
      <left style="thick">
        <color rgb="FF434343"/>
      </left>
      <right style="medium">
        <color rgb="FFF9F9F9"/>
      </right>
    </border>
    <border>
      <left style="medium">
        <color rgb="FFF9F9F9"/>
      </left>
      <right style="medium">
        <color rgb="FFF9F9F9"/>
      </right>
    </border>
    <border>
      <left style="medium">
        <color rgb="FFF9F9F9"/>
      </left>
      <right style="thick">
        <color rgb="FF434343"/>
      </right>
    </border>
    <border>
      <left style="thick">
        <color rgb="FF434343"/>
      </left>
      <top style="medium">
        <color rgb="FF434343"/>
      </top>
      <bottom style="thin">
        <color rgb="FFF9F9F9"/>
      </bottom>
    </border>
    <border>
      <top style="medium">
        <color rgb="FF434343"/>
      </top>
      <bottom style="thin">
        <color rgb="FFF9F9F9"/>
      </bottom>
    </border>
    <border>
      <right style="thick">
        <color rgb="FF434343"/>
      </right>
      <top style="medium">
        <color rgb="FF434343"/>
      </top>
      <bottom style="thin">
        <color rgb="FFF9F9F9"/>
      </bottom>
    </border>
    <border>
      <left style="thin">
        <color rgb="FFF9F9F9"/>
      </left>
      <right style="thin">
        <color rgb="FFF9F9F9"/>
      </right>
      <top style="thin">
        <color rgb="FFF9F9F9"/>
      </top>
    </border>
    <border>
      <left style="thick">
        <color rgb="FF434343"/>
      </left>
      <top style="thin">
        <color rgb="FFF9F9F9"/>
      </top>
    </border>
    <border>
      <left style="thin">
        <color rgb="FFF9F9F9"/>
      </left>
      <right style="thick">
        <color rgb="FF434343"/>
      </right>
      <top style="thin">
        <color rgb="FFF9F9F9"/>
      </top>
    </border>
    <border>
      <left style="thin">
        <color rgb="FFF9F9F9"/>
      </left>
      <right style="thick">
        <color rgb="FF434343"/>
      </right>
      <top style="medium">
        <color rgb="FF434343"/>
      </top>
      <bottom style="thin">
        <color rgb="FFF9F9F9"/>
      </bottom>
    </border>
    <border>
      <left style="thick">
        <color rgb="FF434343"/>
      </left>
      <top style="thin">
        <color rgb="FFF9F9F9"/>
      </top>
      <bottom style="thick">
        <color rgb="FF434343"/>
      </bottom>
    </border>
    <border>
      <top style="thin">
        <color rgb="FFF9F9F9"/>
      </top>
      <bottom style="thick">
        <color rgb="FF434343"/>
      </bottom>
    </border>
    <border>
      <left style="thin">
        <color rgb="FFF9F9F9"/>
      </left>
      <right style="thick">
        <color rgb="FF434343"/>
      </right>
      <top style="thin">
        <color rgb="FFF9F9F9"/>
      </top>
      <bottom style="thick">
        <color rgb="FF434343"/>
      </bottom>
    </border>
    <border>
      <left style="thin">
        <color rgb="FFF9F9F9"/>
      </left>
      <right style="thin">
        <color rgb="FFF9F9F9"/>
      </right>
      <top style="thin">
        <color rgb="FFFFFFFF"/>
      </top>
    </border>
    <border>
      <left style="thick">
        <color rgb="FF3E3A3A"/>
      </left>
      <right style="thin">
        <color rgb="FF8C8C8C"/>
      </right>
      <bottom style="thin">
        <color rgb="FF8C8C8C"/>
      </bottom>
    </border>
    <border>
      <left style="thin">
        <color rgb="FF8C8C8C"/>
      </left>
      <right style="thin">
        <color rgb="FF8C8C8C"/>
      </right>
      <bottom style="thin">
        <color rgb="FF8C8C8C"/>
      </bottom>
    </border>
    <border>
      <left style="thin">
        <color rgb="FF8C8C8C"/>
      </left>
      <top style="thin">
        <color rgb="FF3E3A3A"/>
      </top>
      <bottom style="thin">
        <color rgb="FF8C8C8C"/>
      </bottom>
    </border>
    <border>
      <right style="thick">
        <color rgb="FF3E3A3A"/>
      </right>
      <top style="thin">
        <color rgb="FF3E3A3A"/>
      </top>
      <bottom style="thin">
        <color rgb="FF8C8C8C"/>
      </bottom>
    </border>
    <border>
      <right style="thin">
        <color rgb="FFF9F9F9"/>
      </right>
      <top style="thin">
        <color rgb="FFF9F9F9"/>
      </top>
      <bottom style="thin">
        <color rgb="FFF9F9F9"/>
      </bottom>
    </border>
    <border>
      <left style="thick">
        <color rgb="FF3E3A3A"/>
      </left>
      <right style="thin">
        <color rgb="FF8C8C8C"/>
      </right>
      <top style="thin">
        <color rgb="FF8C8C8C"/>
      </top>
      <bottom style="thin">
        <color rgb="FF8C8C8C"/>
      </bottom>
    </border>
    <border>
      <left style="thin">
        <color rgb="FF8C8C8C"/>
      </left>
      <right style="thin">
        <color rgb="FF8C8C8C"/>
      </right>
      <top style="thin">
        <color rgb="FF8C8C8C"/>
      </top>
      <bottom style="thin">
        <color rgb="FF8C8C8C"/>
      </bottom>
    </border>
    <border>
      <left style="thin">
        <color rgb="FF8C8C8C"/>
      </left>
      <top style="thin">
        <color rgb="FF8C8C8C"/>
      </top>
      <bottom style="thin">
        <color rgb="FF8C8C8C"/>
      </bottom>
    </border>
    <border>
      <right style="thick">
        <color rgb="FF3E3A3A"/>
      </right>
      <top style="thin">
        <color rgb="FF8C8C8C"/>
      </top>
      <bottom style="thin">
        <color rgb="FF8C8C8C"/>
      </bottom>
    </border>
    <border>
      <left style="thick">
        <color rgb="FF3E3A3A"/>
      </left>
      <right style="thin">
        <color rgb="FF8C8C8C"/>
      </right>
      <top style="thin">
        <color rgb="FF8C8C8C"/>
      </top>
    </border>
    <border>
      <left style="thin">
        <color rgb="FF8C8C8C"/>
      </left>
      <right style="thin">
        <color rgb="FF8C8C8C"/>
      </right>
      <top style="thin">
        <color rgb="FF8C8C8C"/>
      </top>
    </border>
    <border>
      <left style="thin">
        <color rgb="FF8C8C8C"/>
      </left>
      <top style="thin">
        <color rgb="FF8C8C8C"/>
      </top>
      <bottom style="medium">
        <color rgb="FF3E3A3A"/>
      </bottom>
    </border>
    <border>
      <right style="thick">
        <color rgb="FF3E3A3A"/>
      </right>
      <top style="thin">
        <color rgb="FF8C8C8C"/>
      </top>
      <bottom style="medium">
        <color rgb="FF3E3A3A"/>
      </bottom>
    </border>
    <border>
      <left style="thick">
        <color rgb="FF3E3A3A"/>
      </left>
      <right style="thin">
        <color rgb="FFF9F9F9"/>
      </right>
      <top style="thin">
        <color rgb="FFF9F9F9"/>
      </top>
      <bottom style="thick">
        <color rgb="FF3E3A3A"/>
      </bottom>
    </border>
    <border>
      <left style="thin">
        <color rgb="FFF9F9F9"/>
      </left>
      <right style="thin">
        <color rgb="FFF9F9F9"/>
      </right>
      <top style="thin">
        <color rgb="FFF9F9F9"/>
      </top>
      <bottom style="thick">
        <color rgb="FF3E3A3A"/>
      </bottom>
    </border>
    <border>
      <left style="thin">
        <color rgb="FFF9F9F9"/>
      </left>
      <right style="thin">
        <color rgb="FFF9F9F9"/>
      </right>
      <bottom style="thick">
        <color rgb="FF3E3A3A"/>
      </bottom>
    </border>
    <border>
      <left style="thin">
        <color rgb="FFF9F9F9"/>
      </left>
      <right style="thick">
        <color rgb="FF3E3A3A"/>
      </right>
      <top style="thin">
        <color rgb="FFF9F9F9"/>
      </top>
      <bottom style="thick">
        <color rgb="FF3E3A3A"/>
      </bottom>
    </border>
    <border>
      <left style="thick">
        <color rgb="FF3E3A3A"/>
      </left>
      <right style="thin">
        <color rgb="FFECE1FF"/>
      </right>
      <bottom style="thin">
        <color rgb="FFECE1FF"/>
      </bottom>
    </border>
    <border>
      <left style="thin">
        <color rgb="FFECE1FF"/>
      </left>
      <right style="thin">
        <color rgb="FFECE1FF"/>
      </right>
    </border>
    <border>
      <left style="thin">
        <color rgb="FFECE1FF"/>
      </left>
      <right style="thin">
        <color rgb="FFECE1FF"/>
      </right>
      <bottom style="thin">
        <color rgb="FFECE1FF"/>
      </bottom>
    </border>
    <border>
      <left style="thin">
        <color rgb="FFECE1FF"/>
      </left>
      <right style="thick">
        <color rgb="FF3E3A3A"/>
      </right>
      <bottom style="thin">
        <color rgb="FFECE1FF"/>
      </bottom>
    </border>
    <border>
      <left style="thick">
        <color rgb="FF3E3A3A"/>
      </left>
      <top style="thin">
        <color rgb="FFECE1FF"/>
      </top>
      <bottom style="thin">
        <color rgb="FFECE1FF"/>
      </bottom>
    </border>
    <border>
      <top style="thin">
        <color rgb="FFECE1FF"/>
      </top>
      <bottom style="thin">
        <color rgb="FFECE1FF"/>
      </bottom>
    </border>
    <border>
      <left style="thick">
        <color rgb="FF434343"/>
      </left>
      <top style="thick">
        <color rgb="FF434343"/>
      </top>
      <bottom style="medium">
        <color rgb="FF3E3A3A"/>
      </bottom>
    </border>
    <border>
      <top style="thick">
        <color rgb="FF434343"/>
      </top>
      <bottom style="medium">
        <color rgb="FF3E3A3A"/>
      </bottom>
    </border>
    <border>
      <right style="thick">
        <color rgb="FF434343"/>
      </right>
      <top style="thick">
        <color rgb="FF434343"/>
      </top>
      <bottom style="medium">
        <color rgb="FF3E3A3A"/>
      </bottom>
    </border>
    <border>
      <top style="thin">
        <color rgb="FFECE1FF"/>
      </top>
    </border>
    <border>
      <right style="thick">
        <color rgb="FF3E3A3A"/>
      </right>
      <top style="thin">
        <color rgb="FFECE1FF"/>
      </top>
      <bottom style="thin">
        <color rgb="FFECE1FF"/>
      </bottom>
    </border>
    <border>
      <left style="thick">
        <color rgb="FF434343"/>
      </left>
      <bottom style="thin">
        <color rgb="FFECE1FF"/>
      </bottom>
    </border>
    <border>
      <bottom style="thin">
        <color rgb="FFECE1FF"/>
      </bottom>
    </border>
    <border>
      <right style="thick">
        <color rgb="FF434343"/>
      </right>
      <bottom style="thin">
        <color rgb="FFECE1FF"/>
      </bottom>
    </border>
    <border>
      <left style="thick">
        <color rgb="FF434343"/>
      </left>
      <top style="thin">
        <color rgb="FFECE1FF"/>
      </top>
      <bottom style="thin">
        <color rgb="FFECE1FF"/>
      </bottom>
    </border>
    <border>
      <right style="thick">
        <color rgb="FF434343"/>
      </right>
      <top style="thin">
        <color rgb="FFECE1FF"/>
      </top>
      <bottom style="thin">
        <color rgb="FFECE1FF"/>
      </bottom>
    </border>
    <border>
      <left style="thick">
        <color rgb="FF3E3A3A"/>
      </left>
      <right style="thin">
        <color rgb="FFECE1FF"/>
      </right>
      <top style="thin">
        <color rgb="FFECE1FF"/>
      </top>
      <bottom style="thin">
        <color rgb="FFECE1FF"/>
      </bottom>
    </border>
    <border>
      <left style="thick">
        <color rgb="FF434343"/>
      </left>
      <right style="thin">
        <color rgb="FFECE1FF"/>
      </right>
      <top style="thin">
        <color rgb="FFECE1FF"/>
      </top>
      <bottom style="thin">
        <color rgb="FFECE1FF"/>
      </bottom>
    </border>
    <border>
      <left style="thin">
        <color rgb="FFECE1FF"/>
      </left>
      <right style="thin">
        <color rgb="FFECE1FF"/>
      </right>
      <top style="thin">
        <color rgb="FFF9F9F9"/>
      </top>
      <bottom style="thin">
        <color rgb="FFECE1FF"/>
      </bottom>
    </border>
    <border>
      <left style="thin">
        <color rgb="FFECE1FF"/>
      </left>
      <right style="thick">
        <color rgb="FF434343"/>
      </right>
      <top style="thin">
        <color rgb="FFECE1FF"/>
      </top>
      <bottom style="thin">
        <color rgb="FFECE1FF"/>
      </bottom>
    </border>
    <border>
      <left style="thin">
        <color rgb="FFECE1FF"/>
      </left>
      <top style="thin">
        <color rgb="FFF9F9F9"/>
      </top>
      <bottom style="thin">
        <color rgb="FFECE1FF"/>
      </bottom>
    </border>
    <border>
      <right style="thin">
        <color rgb="FFECE1FF"/>
      </right>
      <top style="thin">
        <color rgb="FFF9F9F9"/>
      </top>
      <bottom style="thin">
        <color rgb="FFECE1FF"/>
      </bottom>
    </border>
    <border>
      <left style="thin">
        <color rgb="FFECE1FF"/>
      </left>
      <top style="thin">
        <color rgb="FFECE1FF"/>
      </top>
      <bottom style="thin">
        <color rgb="FFECE1FF"/>
      </bottom>
    </border>
    <border>
      <left style="thick">
        <color rgb="FF434343"/>
      </left>
      <right style="medium">
        <color rgb="FFECE1FF"/>
      </right>
    </border>
    <border>
      <left style="medium">
        <color rgb="FFECE1FF"/>
      </left>
      <right style="medium">
        <color rgb="FFECE1FF"/>
      </right>
    </border>
    <border>
      <left style="medium">
        <color rgb="FFECE1FF"/>
      </left>
      <right style="thick">
        <color rgb="FF434343"/>
      </right>
    </border>
    <border>
      <left style="thin">
        <color rgb="FFECE1FF"/>
      </left>
      <right style="thin">
        <color rgb="FFECE1FF"/>
      </right>
      <top style="thin">
        <color rgb="FFECE1FF"/>
      </top>
      <bottom style="thin">
        <color rgb="FFECE1FF"/>
      </bottom>
    </border>
    <border>
      <left style="thick">
        <color rgb="FF434343"/>
      </left>
      <top style="medium">
        <color rgb="FF434343"/>
      </top>
      <bottom style="thin">
        <color rgb="FFECE1FF"/>
      </bottom>
    </border>
    <border>
      <top style="medium">
        <color rgb="FF434343"/>
      </top>
      <bottom style="thin">
        <color rgb="FFECE1FF"/>
      </bottom>
    </border>
    <border>
      <right style="thick">
        <color rgb="FF434343"/>
      </right>
      <top style="medium">
        <color rgb="FF434343"/>
      </top>
      <bottom style="thin">
        <color rgb="FFECE1FF"/>
      </bottom>
    </border>
    <border>
      <left style="thin">
        <color rgb="FFECE1FF"/>
      </left>
      <right style="thin">
        <color rgb="FFECE1FF"/>
      </right>
      <top style="thin">
        <color rgb="FFECE1FF"/>
      </top>
    </border>
    <border>
      <left style="thick">
        <color rgb="FF434343"/>
      </left>
      <top style="thin">
        <color rgb="FFECE1FF"/>
      </top>
    </border>
    <border>
      <right style="thin">
        <color rgb="FFECE1FF"/>
      </right>
      <top style="thin">
        <color rgb="FFECE1FF"/>
      </top>
    </border>
    <border>
      <left style="thin">
        <color rgb="FFECE1FF"/>
      </left>
      <right style="thick">
        <color rgb="FF434343"/>
      </right>
      <top style="thin">
        <color rgb="FFECE1FF"/>
      </top>
    </border>
    <border>
      <left style="thin">
        <color rgb="FFECE1FF"/>
      </left>
      <right style="thick">
        <color rgb="FF434343"/>
      </right>
      <top style="medium">
        <color rgb="FF434343"/>
      </top>
      <bottom style="thin">
        <color rgb="FFECE1FF"/>
      </bottom>
    </border>
    <border>
      <left style="thick">
        <color rgb="FF434343"/>
      </left>
      <top style="thin">
        <color rgb="FFECE1FF"/>
      </top>
      <bottom style="thick">
        <color rgb="FF434343"/>
      </bottom>
    </border>
    <border>
      <top style="thin">
        <color rgb="FFECE1FF"/>
      </top>
      <bottom style="thick">
        <color rgb="FF434343"/>
      </bottom>
    </border>
    <border>
      <left style="thin">
        <color rgb="FFECE1FF"/>
      </left>
      <right style="thick">
        <color rgb="FF434343"/>
      </right>
      <top style="thin">
        <color rgb="FFECE1FF"/>
      </top>
      <bottom style="thick">
        <color rgb="FF434343"/>
      </bottom>
    </border>
    <border>
      <left style="thin">
        <color rgb="FFECE1FF"/>
      </left>
      <right style="thin">
        <color rgb="FFECE1FF"/>
      </right>
      <top style="thin">
        <color rgb="FFFFFFFF"/>
      </top>
    </border>
    <border>
      <left style="thin">
        <color rgb="FFECE1FF"/>
      </left>
      <right style="thin">
        <color rgb="FFECE1FF"/>
      </right>
      <top style="thin">
        <color rgb="FFF9F9F9"/>
      </top>
    </border>
    <border>
      <left style="thin">
        <color rgb="FFECE1FF"/>
      </left>
      <right style="thick">
        <color rgb="FF3E3A3A"/>
      </right>
      <top style="thin">
        <color rgb="FFECE1FF"/>
      </top>
      <bottom style="thin">
        <color rgb="FFECE1FF"/>
      </bottom>
    </border>
    <border>
      <left style="thick">
        <color rgb="FF3E3A3A"/>
      </left>
      <right style="thin">
        <color rgb="FF6D5387"/>
      </right>
      <bottom style="thin">
        <color rgb="FF6D5387"/>
      </bottom>
    </border>
    <border>
      <left style="thin">
        <color rgb="FF6D5387"/>
      </left>
      <right style="thin">
        <color rgb="FF6D5387"/>
      </right>
      <bottom style="thin">
        <color rgb="FF6D5387"/>
      </bottom>
    </border>
    <border>
      <left style="thin">
        <color rgb="FF6D5387"/>
      </left>
      <top style="thin">
        <color rgb="FF3E3A3A"/>
      </top>
      <bottom style="thin">
        <color rgb="FF6D5387"/>
      </bottom>
    </border>
    <border>
      <right style="thick">
        <color rgb="FF3E3A3A"/>
      </right>
      <top style="thin">
        <color rgb="FF3E3A3A"/>
      </top>
      <bottom style="thin">
        <color rgb="FF6D5387"/>
      </bottom>
    </border>
    <border>
      <left style="thick">
        <color rgb="FF3E3A3A"/>
      </left>
      <right style="thin">
        <color rgb="FF6D5387"/>
      </right>
      <top style="thin">
        <color rgb="FF6D5387"/>
      </top>
      <bottom style="thin">
        <color rgb="FF6D5387"/>
      </bottom>
    </border>
    <border>
      <left style="thin">
        <color rgb="FF6D5387"/>
      </left>
      <right style="thin">
        <color rgb="FF6D5387"/>
      </right>
      <top style="thin">
        <color rgb="FF6D5387"/>
      </top>
      <bottom style="thin">
        <color rgb="FF6D5387"/>
      </bottom>
    </border>
    <border>
      <left style="thin">
        <color rgb="FF6D5387"/>
      </left>
      <top style="thin">
        <color rgb="FF6D5387"/>
      </top>
      <bottom style="thin">
        <color rgb="FF6D5387"/>
      </bottom>
    </border>
    <border>
      <right style="thick">
        <color rgb="FF3E3A3A"/>
      </right>
      <top style="thin">
        <color rgb="FF6D5387"/>
      </top>
      <bottom style="thin">
        <color rgb="FF6D5387"/>
      </bottom>
    </border>
    <border>
      <left style="thick">
        <color rgb="FF3E3A3A"/>
      </left>
      <right style="thin">
        <color rgb="FF6D5387"/>
      </right>
      <top style="thin">
        <color rgb="FF6D5387"/>
      </top>
    </border>
    <border>
      <left style="thin">
        <color rgb="FF6D5387"/>
      </left>
      <right style="thin">
        <color rgb="FF6D5387"/>
      </right>
      <top style="thin">
        <color rgb="FF6D5387"/>
      </top>
    </border>
    <border>
      <left style="thin">
        <color rgb="FF6D5387"/>
      </left>
      <top style="thin">
        <color rgb="FF6D5387"/>
      </top>
      <bottom style="medium">
        <color rgb="FF3E3A3A"/>
      </bottom>
    </border>
    <border>
      <right style="thick">
        <color rgb="FF3E3A3A"/>
      </right>
      <top style="thin">
        <color rgb="FF6D5387"/>
      </top>
      <bottom style="medium">
        <color rgb="FF3E3A3A"/>
      </bottom>
    </border>
    <border>
      <left style="thick">
        <color rgb="FF3E3A3A"/>
      </left>
      <right style="thin">
        <color rgb="FFECE1FF"/>
      </right>
      <top style="thin">
        <color rgb="FFECE1FF"/>
      </top>
      <bottom style="thick">
        <color rgb="FF3E3A3A"/>
      </bottom>
    </border>
    <border>
      <left style="thin">
        <color rgb="FFECE1FF"/>
      </left>
      <right style="thin">
        <color rgb="FFECE1FF"/>
      </right>
      <top style="thin">
        <color rgb="FFECE1FF"/>
      </top>
      <bottom style="thick">
        <color rgb="FF3E3A3A"/>
      </bottom>
    </border>
    <border>
      <left style="thin">
        <color rgb="FFECE1FF"/>
      </left>
      <right style="thin">
        <color rgb="FFECE1FF"/>
      </right>
      <bottom style="thick">
        <color rgb="FF3E3A3A"/>
      </bottom>
    </border>
    <border>
      <left style="thin">
        <color rgb="FFECE1FF"/>
      </left>
      <right style="thick">
        <color rgb="FF3E3A3A"/>
      </right>
      <top style="thin">
        <color rgb="FFECE1FF"/>
      </top>
      <bottom style="thick">
        <color rgb="FF3E3A3A"/>
      </bottom>
    </border>
    <border>
      <left style="thick">
        <color rgb="FF3E3A3A"/>
      </left>
      <right style="thin">
        <color rgb="FFFFE6E1"/>
      </right>
      <bottom style="thin">
        <color rgb="FFFFE6E1"/>
      </bottom>
    </border>
    <border>
      <left style="thin">
        <color rgb="FFFFE6E1"/>
      </left>
      <right style="thin">
        <color rgb="FFFFE6E1"/>
      </right>
    </border>
    <border>
      <left style="thin">
        <color rgb="FFFFE6E1"/>
      </left>
      <right style="thin">
        <color rgb="FFFFE6E1"/>
      </right>
      <bottom style="thin">
        <color rgb="FFFFE6E1"/>
      </bottom>
    </border>
    <border>
      <left style="thin">
        <color rgb="FFFFE6E1"/>
      </left>
      <right style="thick">
        <color rgb="FF3E3A3A"/>
      </right>
      <bottom style="thin">
        <color rgb="FFFFE6E1"/>
      </bottom>
    </border>
    <border>
      <left style="thick">
        <color rgb="FF3E3A3A"/>
      </left>
      <right style="thin">
        <color rgb="FFFFE6E1"/>
      </right>
      <top style="thin">
        <color rgb="FFFFE6E1"/>
      </top>
      <bottom style="thin">
        <color rgb="FFFFE6E1"/>
      </bottom>
    </border>
    <border>
      <left style="thin">
        <color rgb="FFFFE6E1"/>
      </left>
      <right style="thin">
        <color rgb="FFFFE6E1"/>
      </right>
      <top style="thin">
        <color rgb="FFFFE6E1"/>
      </top>
      <bottom style="thin">
        <color rgb="FFFFE6E1"/>
      </bottom>
    </border>
    <border>
      <left style="thin">
        <color rgb="FFFFE6E1"/>
      </left>
      <top style="thin">
        <color rgb="FFFFE6E1"/>
      </top>
      <bottom style="thin">
        <color rgb="FFFFE6E1"/>
      </bottom>
    </border>
    <border>
      <top style="thin">
        <color rgb="FFFFE6E1"/>
      </top>
      <bottom style="thin">
        <color rgb="FFFFE6E1"/>
      </bottom>
    </border>
    <border>
      <right style="thin">
        <color rgb="FFFFE6E1"/>
      </right>
      <top style="thin">
        <color rgb="FFFFE6E1"/>
      </top>
      <bottom style="thin">
        <color rgb="FFFFE6E1"/>
      </bottom>
    </border>
    <border>
      <right style="thick">
        <color rgb="FF3E3A3A"/>
      </right>
      <bottom style="thin">
        <color rgb="FFFFE6E1"/>
      </bottom>
    </border>
    <border>
      <left style="thick">
        <color rgb="FF3E3A3A"/>
      </left>
      <top style="thin">
        <color rgb="FFFFE6E1"/>
      </top>
      <bottom style="thin">
        <color rgb="FFFFE6E1"/>
      </bottom>
    </border>
    <border>
      <right style="thick">
        <color rgb="FF3E3A3A"/>
      </right>
      <top style="thin">
        <color rgb="FFFFE6E1"/>
      </top>
      <bottom style="thin">
        <color rgb="FFFFE6E1"/>
      </bottom>
    </border>
    <border>
      <left style="thick">
        <color rgb="FF434343"/>
      </left>
      <bottom style="thin">
        <color rgb="FFFFE6E1"/>
      </bottom>
    </border>
    <border>
      <bottom style="thin">
        <color rgb="FFFFE6E1"/>
      </bottom>
    </border>
    <border>
      <right style="thick">
        <color rgb="FF434343"/>
      </right>
      <bottom style="thin">
        <color rgb="FFFFE6E1"/>
      </bottom>
    </border>
    <border>
      <left style="thick">
        <color rgb="FF434343"/>
      </left>
      <top style="thin">
        <color rgb="FFFFE6E1"/>
      </top>
      <bottom style="thin">
        <color rgb="FFFFE6E1"/>
      </bottom>
    </border>
    <border>
      <right style="thick">
        <color rgb="FF434343"/>
      </right>
      <top style="thin">
        <color rgb="FFFFE6E1"/>
      </top>
      <bottom style="thin">
        <color rgb="FFFFE6E1"/>
      </bottom>
    </border>
    <border>
      <left style="thick">
        <color rgb="FF434343"/>
      </left>
      <right style="medium">
        <color rgb="FFFFE6E1"/>
      </right>
      <top style="thin">
        <color rgb="FFFFE6E1"/>
      </top>
      <bottom style="medium">
        <color rgb="FFFFE6E1"/>
      </bottom>
    </border>
    <border>
      <left style="medium">
        <color rgb="FFFFE6E1"/>
      </left>
      <right style="thick">
        <color rgb="FF434343"/>
      </right>
      <top style="thin">
        <color rgb="FFFFE6E1"/>
      </top>
      <bottom style="medium">
        <color rgb="FFFFE6E1"/>
      </bottom>
    </border>
    <border>
      <left style="thick">
        <color rgb="FF434343"/>
      </left>
      <right style="medium">
        <color rgb="FFFFE6E1"/>
      </right>
      <top style="medium">
        <color rgb="FFFFE6E1"/>
      </top>
    </border>
    <border>
      <left style="medium">
        <color rgb="FFFFE6E1"/>
      </left>
      <right style="medium">
        <color rgb="FFFFE6E1"/>
      </right>
      <top style="medium">
        <color rgb="FFFFE6E1"/>
      </top>
    </border>
    <border>
      <left style="medium">
        <color rgb="FFFFE6E1"/>
      </left>
      <right style="thick">
        <color rgb="FF434343"/>
      </right>
      <top style="medium">
        <color rgb="FFFFE6E1"/>
      </top>
    </border>
    <border>
      <left style="thick">
        <color rgb="FF434343"/>
      </left>
      <top style="medium">
        <color rgb="FF434343"/>
      </top>
      <bottom style="thin">
        <color rgb="FFFFE6E1"/>
      </bottom>
    </border>
    <border>
      <top style="medium">
        <color rgb="FF434343"/>
      </top>
      <bottom style="thin">
        <color rgb="FFFFE6E1"/>
      </bottom>
    </border>
    <border>
      <right style="thick">
        <color rgb="FF434343"/>
      </right>
      <top style="medium">
        <color rgb="FF434343"/>
      </top>
      <bottom style="thin">
        <color rgb="FFFFE6E1"/>
      </bottom>
    </border>
    <border>
      <left style="thin">
        <color rgb="FFFFE6E1"/>
      </left>
      <right style="thin">
        <color rgb="FFFFE6E1"/>
      </right>
      <top style="thin">
        <color rgb="FFFFE6E1"/>
      </top>
    </border>
    <border>
      <left style="thick">
        <color rgb="FF434343"/>
      </left>
      <top style="thin">
        <color rgb="FFFFE6E1"/>
      </top>
    </border>
    <border>
      <top style="thin">
        <color rgb="FFFFE6E1"/>
      </top>
    </border>
    <border>
      <right style="thin">
        <color rgb="FFFFE6E1"/>
      </right>
      <top style="thin">
        <color rgb="FFFFE6E1"/>
      </top>
    </border>
    <border>
      <left style="thin">
        <color rgb="FFFFE6E1"/>
      </left>
      <right style="thick">
        <color rgb="FF434343"/>
      </right>
      <top style="thin">
        <color rgb="FFFFE6E1"/>
      </top>
    </border>
    <border>
      <left style="thin">
        <color rgb="FFFFE6E1"/>
      </left>
      <right style="thick">
        <color rgb="FF434343"/>
      </right>
      <top style="medium">
        <color rgb="FF434343"/>
      </top>
      <bottom style="thin">
        <color rgb="FFFFE6E1"/>
      </bottom>
    </border>
    <border>
      <left style="thin">
        <color rgb="FFFFE6E1"/>
      </left>
      <right style="thick">
        <color rgb="FF434343"/>
      </right>
      <top style="thin">
        <color rgb="FFFFE6E1"/>
      </top>
      <bottom style="thin">
        <color rgb="FFFFE6E1"/>
      </bottom>
    </border>
    <border>
      <left style="thick">
        <color rgb="FF434343"/>
      </left>
      <top style="thin">
        <color rgb="FFFFE6E1"/>
      </top>
      <bottom style="thick">
        <color rgb="FF434343"/>
      </bottom>
    </border>
    <border>
      <top style="thin">
        <color rgb="FFFFE6E1"/>
      </top>
      <bottom style="thick">
        <color rgb="FF434343"/>
      </bottom>
    </border>
    <border>
      <left style="thin">
        <color rgb="FFFFE6E1"/>
      </left>
      <right style="thick">
        <color rgb="FF434343"/>
      </right>
      <top style="thin">
        <color rgb="FFFFE6E1"/>
      </top>
      <bottom style="thick">
        <color rgb="FF434343"/>
      </bottom>
    </border>
    <border>
      <left style="thin">
        <color rgb="FFFFE6E1"/>
      </left>
      <right style="thin">
        <color rgb="FFFFE6E1"/>
      </right>
      <top style="thin">
        <color rgb="FFFFFFFF"/>
      </top>
    </border>
    <border>
      <left style="thin">
        <color rgb="FFFFE6E1"/>
      </left>
      <right style="thin">
        <color rgb="FFFFE6E1"/>
      </right>
      <top style="thin">
        <color rgb="FFF9F9F9"/>
      </top>
    </border>
    <border>
      <left style="thin">
        <color rgb="FFFFE6E1"/>
      </left>
      <right style="thick">
        <color rgb="FF3E3A3A"/>
      </right>
      <top style="thin">
        <color rgb="FFFFE6E1"/>
      </top>
      <bottom style="thin">
        <color rgb="FFFFE6E1"/>
      </bottom>
    </border>
    <border>
      <left style="thick">
        <color rgb="FF3E3A3A"/>
      </left>
      <right style="thin">
        <color rgb="FF7B534C"/>
      </right>
      <bottom style="thin">
        <color rgb="FF7B534C"/>
      </bottom>
    </border>
    <border>
      <left style="thin">
        <color rgb="FF7B534C"/>
      </left>
      <right style="thin">
        <color rgb="FF7B534C"/>
      </right>
      <bottom style="thin">
        <color rgb="FF7B534C"/>
      </bottom>
    </border>
    <border>
      <left style="thin">
        <color rgb="FF7B534C"/>
      </left>
      <top style="thin">
        <color rgb="FF3E3A3A"/>
      </top>
      <bottom style="thin">
        <color rgb="FF7B534C"/>
      </bottom>
    </border>
    <border>
      <right style="thick">
        <color rgb="FF3E3A3A"/>
      </right>
      <top style="thin">
        <color rgb="FF3E3A3A"/>
      </top>
      <bottom style="thin">
        <color rgb="FF7B534C"/>
      </bottom>
    </border>
    <border>
      <left style="thick">
        <color rgb="FF3E3A3A"/>
      </left>
      <right style="thin">
        <color rgb="FF7B534C"/>
      </right>
      <top style="thin">
        <color rgb="FF7B534C"/>
      </top>
      <bottom style="thin">
        <color rgb="FF7B534C"/>
      </bottom>
    </border>
    <border>
      <left style="thin">
        <color rgb="FF7B534C"/>
      </left>
      <right style="thin">
        <color rgb="FF7B534C"/>
      </right>
      <top style="thin">
        <color rgb="FF7B534C"/>
      </top>
      <bottom style="thin">
        <color rgb="FF7B534C"/>
      </bottom>
    </border>
    <border>
      <left style="thin">
        <color rgb="FF7B534C"/>
      </left>
      <top style="thin">
        <color rgb="FF7B534C"/>
      </top>
      <bottom style="thin">
        <color rgb="FF7B534C"/>
      </bottom>
    </border>
    <border>
      <right style="thick">
        <color rgb="FF3E3A3A"/>
      </right>
      <top style="thin">
        <color rgb="FF7B534C"/>
      </top>
      <bottom style="thin">
        <color rgb="FF7B534C"/>
      </bottom>
    </border>
    <border>
      <left style="thick">
        <color rgb="FF3E3A3A"/>
      </left>
      <right style="thin">
        <color rgb="FF7B534C"/>
      </right>
      <top style="thin">
        <color rgb="FF7B534C"/>
      </top>
    </border>
    <border>
      <left style="thin">
        <color rgb="FF7B534C"/>
      </left>
      <right style="thin">
        <color rgb="FF7B534C"/>
      </right>
      <top style="thin">
        <color rgb="FF7B534C"/>
      </top>
    </border>
    <border>
      <left style="thin">
        <color rgb="FF7B534C"/>
      </left>
      <top style="thin">
        <color rgb="FF7B534C"/>
      </top>
      <bottom style="medium">
        <color rgb="FF3E3A3A"/>
      </bottom>
    </border>
    <border>
      <right style="thick">
        <color rgb="FF3E3A3A"/>
      </right>
      <top style="thin">
        <color rgb="FF7B534C"/>
      </top>
      <bottom style="medium">
        <color rgb="FF3E3A3A"/>
      </bottom>
    </border>
    <border>
      <left style="thick">
        <color rgb="FF3E3A3A"/>
      </left>
      <right style="thin">
        <color rgb="FFFFE6E1"/>
      </right>
      <top style="thin">
        <color rgb="FFFFE6E1"/>
      </top>
    </border>
    <border>
      <left style="thin">
        <color rgb="FFFFE6E1"/>
      </left>
      <top style="thin">
        <color rgb="FFFFE6E1"/>
      </top>
    </border>
    <border>
      <right style="thick">
        <color rgb="FF3E3A3A"/>
      </right>
      <top style="thin">
        <color rgb="FFFFE6E1"/>
      </top>
    </border>
    <border>
      <left style="thick">
        <color rgb="FF3E3A3A"/>
      </left>
      <right style="thin">
        <color rgb="FFFFE6E1"/>
      </right>
      <top style="thin">
        <color rgb="FFFFE6E1"/>
      </top>
      <bottom style="thick">
        <color rgb="FF3E3A3A"/>
      </bottom>
    </border>
    <border>
      <left style="thin">
        <color rgb="FFFFE6E1"/>
      </left>
      <right style="thin">
        <color rgb="FFFFE6E1"/>
      </right>
      <top style="thin">
        <color rgb="FFFFE6E1"/>
      </top>
      <bottom style="thick">
        <color rgb="FF3E3A3A"/>
      </bottom>
    </border>
    <border>
      <left style="thin">
        <color rgb="FFFFE6E1"/>
      </left>
      <right style="thin">
        <color rgb="FFFFE6E1"/>
      </right>
      <bottom style="thick">
        <color rgb="FF3E3A3A"/>
      </bottom>
    </border>
    <border>
      <left style="thin">
        <color rgb="FFFFE6E1"/>
      </left>
      <right style="thick">
        <color rgb="FF3E3A3A"/>
      </right>
      <top style="thin">
        <color rgb="FFFFE6E1"/>
      </top>
      <bottom style="thick">
        <color rgb="FF3E3A3A"/>
      </bottom>
    </border>
    <border>
      <left style="thick">
        <color rgb="FF3E3A3A"/>
      </left>
      <right style="thin">
        <color rgb="FFEBFCFB"/>
      </right>
      <bottom style="thin">
        <color rgb="FFEBFCFB"/>
      </bottom>
    </border>
    <border>
      <left style="thin">
        <color rgb="FFEBFCFB"/>
      </left>
      <right style="thin">
        <color rgb="FFEBFCFB"/>
      </right>
      <bottom style="thin">
        <color rgb="FFEBFCFB"/>
      </bottom>
    </border>
    <border>
      <left style="thin">
        <color rgb="FFEBFCFB"/>
      </left>
      <right style="thick">
        <color rgb="FF3E3A3A"/>
      </right>
      <bottom style="thin">
        <color rgb="FFEBFCFB"/>
      </bottom>
    </border>
    <border>
      <left style="thick">
        <color rgb="FF3E3A3A"/>
      </left>
      <right style="thin">
        <color rgb="FFEBFCFB"/>
      </right>
      <top style="thin">
        <color rgb="FFEBFCFB"/>
      </top>
      <bottom style="thin">
        <color rgb="FFEBFCFB"/>
      </bottom>
    </border>
    <border>
      <left style="thin">
        <color rgb="FFEBFCFB"/>
      </left>
      <right style="thin">
        <color rgb="FFEBFCFB"/>
      </right>
      <top style="thin">
        <color rgb="FFEBFCFB"/>
      </top>
      <bottom style="thin">
        <color rgb="FFEBFCFB"/>
      </bottom>
    </border>
    <border>
      <left style="thin">
        <color rgb="FFEBFCFB"/>
      </left>
      <right style="thick">
        <color rgb="FF3E3A3A"/>
      </right>
      <top style="thin">
        <color rgb="FFEBFCFB"/>
      </top>
      <bottom style="thin">
        <color rgb="FFEBFCFB"/>
      </bottom>
    </border>
    <border>
      <left style="thin">
        <color rgb="FFEBFCFB"/>
      </left>
      <right style="thin">
        <color rgb="FFEBFCFB"/>
      </right>
      <top style="thin">
        <color rgb="FFEBFCFB"/>
      </top>
      <bottom style="thin">
        <color rgb="FFFFFFFF"/>
      </bottom>
    </border>
    <border>
      <left style="thin">
        <color rgb="FFEBFCFB"/>
      </left>
      <right style="thin">
        <color rgb="FFEBFCFB"/>
      </right>
      <top style="thin">
        <color rgb="FFEBFCFB"/>
      </top>
    </border>
    <border>
      <left style="thin">
        <color rgb="FFEBFCFB"/>
      </left>
      <top style="thin">
        <color rgb="FFEBFCFB"/>
      </top>
    </border>
    <border>
      <top style="thin">
        <color rgb="FFEBFCFB"/>
      </top>
    </border>
    <border>
      <right style="thin">
        <color rgb="FFEBFCFB"/>
      </right>
      <top style="thin">
        <color rgb="FFEBFCFB"/>
      </top>
    </border>
    <border>
      <left style="thick">
        <color rgb="FF3E3A3A"/>
      </left>
      <top style="thin">
        <color rgb="FFEBFCFB"/>
      </top>
      <bottom style="thin">
        <color rgb="FFEBFCFB"/>
      </bottom>
    </border>
    <border>
      <top style="thin">
        <color rgb="FFEBFCFB"/>
      </top>
      <bottom style="thin">
        <color rgb="FFEBFCFB"/>
      </bottom>
    </border>
    <border>
      <right style="thick">
        <color rgb="FF3E3A3A"/>
      </right>
      <top style="thin">
        <color rgb="FFEBFCFB"/>
      </top>
      <bottom style="thin">
        <color rgb="FFEBFCFB"/>
      </bottom>
    </border>
    <border>
      <left style="thick">
        <color rgb="FF434343"/>
      </left>
      <bottom style="thin">
        <color rgb="FFEBFCFB"/>
      </bottom>
    </border>
    <border>
      <bottom style="thin">
        <color rgb="FFEBFCFB"/>
      </bottom>
    </border>
    <border>
      <right style="thick">
        <color rgb="FF434343"/>
      </right>
      <bottom style="thin">
        <color rgb="FFEBFCFB"/>
      </bottom>
    </border>
    <border>
      <left style="thick">
        <color rgb="FF434343"/>
      </left>
      <top style="thin">
        <color rgb="FFEBFCFB"/>
      </top>
      <bottom style="thin">
        <color rgb="FFEBFCFB"/>
      </bottom>
    </border>
    <border>
      <right style="thick">
        <color rgb="FF434343"/>
      </right>
      <top style="thin">
        <color rgb="FFEBFCFB"/>
      </top>
      <bottom style="thin">
        <color rgb="FFEBFCFB"/>
      </bottom>
    </border>
    <border>
      <left style="thick">
        <color rgb="FF434343"/>
      </left>
      <right style="thin">
        <color rgb="FFEBFCFB"/>
      </right>
      <top style="thin">
        <color rgb="FFEBFCFB"/>
      </top>
      <bottom style="thin">
        <color rgb="FFEBFCFB"/>
      </bottom>
    </border>
    <border>
      <left style="thin">
        <color rgb="FFEBFCFB"/>
      </left>
      <right style="thick">
        <color rgb="FF434343"/>
      </right>
      <top style="thin">
        <color rgb="FFEBFCFB"/>
      </top>
      <bottom style="thin">
        <color rgb="FFEBFCFB"/>
      </bottom>
    </border>
    <border>
      <left style="thin">
        <color rgb="FFEBFCFB"/>
      </left>
      <top style="thin">
        <color rgb="FFEBFCFB"/>
      </top>
      <bottom style="thin">
        <color rgb="FFEBFCFB"/>
      </bottom>
    </border>
    <border>
      <right style="thin">
        <color rgb="FFEBFCFB"/>
      </right>
      <top style="thin">
        <color rgb="FFEBFCFB"/>
      </top>
      <bottom style="thin">
        <color rgb="FFEBFCFB"/>
      </bottom>
    </border>
    <border>
      <left style="thick">
        <color rgb="FF434343"/>
      </left>
      <right style="medium">
        <color rgb="FFEBFCFB"/>
      </right>
    </border>
    <border>
      <left style="medium">
        <color rgb="FFEBFCFB"/>
      </left>
      <right style="medium">
        <color rgb="FFEBFCFB"/>
      </right>
    </border>
    <border>
      <left style="medium">
        <color rgb="FFEBFCFB"/>
      </left>
      <right style="thick">
        <color rgb="FF434343"/>
      </right>
    </border>
    <border>
      <left style="thick">
        <color rgb="FF434343"/>
      </left>
      <top style="medium">
        <color rgb="FF434343"/>
      </top>
      <bottom style="thin">
        <color rgb="FFEBFCFB"/>
      </bottom>
    </border>
    <border>
      <top style="medium">
        <color rgb="FF434343"/>
      </top>
      <bottom style="thin">
        <color rgb="FFEBFCFB"/>
      </bottom>
    </border>
    <border>
      <right style="thick">
        <color rgb="FF434343"/>
      </right>
      <top style="medium">
        <color rgb="FF434343"/>
      </top>
      <bottom style="thin">
        <color rgb="FFEBFCFB"/>
      </bottom>
    </border>
    <border>
      <left style="thin">
        <color rgb="FFEBFCFB"/>
      </left>
      <right style="thin">
        <color rgb="FFEBFCFB"/>
      </right>
    </border>
    <border>
      <left style="thick">
        <color rgb="FF434343"/>
      </left>
      <top style="thin">
        <color rgb="FFEBFCFB"/>
      </top>
    </border>
    <border>
      <left style="thin">
        <color rgb="FFEBFCFB"/>
      </left>
      <right style="thick">
        <color rgb="FF434343"/>
      </right>
      <top style="thin">
        <color rgb="FFEBFCFB"/>
      </top>
    </border>
    <border>
      <left style="thin">
        <color rgb="FFEBFCFB"/>
      </left>
      <right style="thick">
        <color rgb="FF434343"/>
      </right>
      <top style="medium">
        <color rgb="FF434343"/>
      </top>
      <bottom style="thin">
        <color rgb="FFEBFCFB"/>
      </bottom>
    </border>
    <border>
      <left style="thick">
        <color rgb="FF434343"/>
      </left>
      <top style="thin">
        <color rgb="FFEBFCFB"/>
      </top>
      <bottom style="thick">
        <color rgb="FF434343"/>
      </bottom>
    </border>
    <border>
      <top style="thin">
        <color rgb="FFEBFCFB"/>
      </top>
      <bottom style="thick">
        <color rgb="FF434343"/>
      </bottom>
    </border>
    <border>
      <left style="thin">
        <color rgb="FFEBFCFB"/>
      </left>
      <right style="thick">
        <color rgb="FF434343"/>
      </right>
      <top style="thin">
        <color rgb="FFEBFCFB"/>
      </top>
      <bottom style="thick">
        <color rgb="FF434343"/>
      </bottom>
    </border>
    <border>
      <left style="thin">
        <color rgb="FFEBFCFB"/>
      </left>
      <right style="thin">
        <color rgb="FFEBFCFB"/>
      </right>
      <top style="thin">
        <color rgb="FFFFFFFF"/>
      </top>
    </border>
    <border>
      <left style="thin">
        <color rgb="FFEBFCFB"/>
      </left>
      <right style="thin">
        <color rgb="FFEBFCFB"/>
      </right>
      <top style="thin">
        <color rgb="FFF9F9F9"/>
      </top>
    </border>
    <border>
      <left style="thick">
        <color rgb="FF3E3A3A"/>
      </left>
      <right style="thin">
        <color rgb="FF61879A"/>
      </right>
      <bottom style="thin">
        <color rgb="FF61879A"/>
      </bottom>
    </border>
    <border>
      <left style="thin">
        <color rgb="FF61879A"/>
      </left>
      <right style="thin">
        <color rgb="FF61879A"/>
      </right>
      <bottom style="thin">
        <color rgb="FF61879A"/>
      </bottom>
    </border>
    <border>
      <left style="thin">
        <color rgb="FF61879A"/>
      </left>
      <top style="thin">
        <color rgb="FF3E3A3A"/>
      </top>
      <bottom style="thin">
        <color rgb="FF61879A"/>
      </bottom>
    </border>
    <border>
      <right style="thick">
        <color rgb="FF3E3A3A"/>
      </right>
      <top style="thin">
        <color rgb="FF3E3A3A"/>
      </top>
      <bottom style="thin">
        <color rgb="FF61879A"/>
      </bottom>
    </border>
    <border>
      <left style="thick">
        <color rgb="FF3E3A3A"/>
      </left>
      <right style="thin">
        <color rgb="FF61879A"/>
      </right>
      <top style="thin">
        <color rgb="FF61879A"/>
      </top>
      <bottom style="thin">
        <color rgb="FF61879A"/>
      </bottom>
    </border>
    <border>
      <left style="thin">
        <color rgb="FF61879A"/>
      </left>
      <right style="thin">
        <color rgb="FF61879A"/>
      </right>
      <top style="thin">
        <color rgb="FF61879A"/>
      </top>
      <bottom style="thin">
        <color rgb="FF61879A"/>
      </bottom>
    </border>
    <border>
      <left style="thin">
        <color rgb="FF61879A"/>
      </left>
      <top style="thin">
        <color rgb="FF61879A"/>
      </top>
      <bottom style="thin">
        <color rgb="FF61879A"/>
      </bottom>
    </border>
    <border>
      <right style="thick">
        <color rgb="FF3E3A3A"/>
      </right>
      <top style="thin">
        <color rgb="FF61879A"/>
      </top>
      <bottom style="thin">
        <color rgb="FF61879A"/>
      </bottom>
    </border>
    <border>
      <left style="thick">
        <color rgb="FF3E3A3A"/>
      </left>
      <right style="thin">
        <color rgb="FF61879A"/>
      </right>
      <top style="thin">
        <color rgb="FF61879A"/>
      </top>
    </border>
    <border>
      <left style="thin">
        <color rgb="FF61879A"/>
      </left>
      <right style="thin">
        <color rgb="FF61879A"/>
      </right>
      <top style="thin">
        <color rgb="FF61879A"/>
      </top>
    </border>
    <border>
      <left style="thin">
        <color rgb="FF61879A"/>
      </left>
      <top style="thin">
        <color rgb="FF61879A"/>
      </top>
      <bottom style="medium">
        <color rgb="FF3E3A3A"/>
      </bottom>
    </border>
    <border>
      <right style="thick">
        <color rgb="FF3E3A3A"/>
      </right>
      <top style="thin">
        <color rgb="FF61879A"/>
      </top>
      <bottom style="medium">
        <color rgb="FF3E3A3A"/>
      </bottom>
    </border>
    <border>
      <left style="thick">
        <color rgb="FF3E3A3A"/>
      </left>
      <right style="thin">
        <color rgb="FFEBFCFB"/>
      </right>
      <top style="thin">
        <color rgb="FFEBFCFB"/>
      </top>
      <bottom style="thick">
        <color rgb="FF3E3A3A"/>
      </bottom>
    </border>
    <border>
      <left style="thin">
        <color rgb="FFEBFCFB"/>
      </left>
      <right style="thin">
        <color rgb="FFEBFCFB"/>
      </right>
      <top style="thin">
        <color rgb="FFEBFCFB"/>
      </top>
      <bottom style="thick">
        <color rgb="FF3E3A3A"/>
      </bottom>
    </border>
    <border>
      <left style="thin">
        <color rgb="FFEBFCFB"/>
      </left>
      <right style="thin">
        <color rgb="FFEBFCFB"/>
      </right>
      <bottom style="thick">
        <color rgb="FF3E3A3A"/>
      </bottom>
    </border>
    <border>
      <left style="thin">
        <color rgb="FFEBFCFB"/>
      </left>
      <right style="thick">
        <color rgb="FF3E3A3A"/>
      </right>
      <top style="thin">
        <color rgb="FFEBFCFB"/>
      </top>
      <bottom style="thick">
        <color rgb="FF3E3A3A"/>
      </bottom>
    </border>
    <border>
      <left style="thick">
        <color rgb="FF3E3A3A"/>
      </left>
      <right style="thin">
        <color rgb="FFE6E6E6"/>
      </right>
      <bottom style="thin">
        <color rgb="FFE6E6E6"/>
      </bottom>
    </border>
    <border>
      <left style="thin">
        <color rgb="FFE6E6E6"/>
      </left>
      <right style="thin">
        <color rgb="FFE6E6E6"/>
      </right>
      <bottom style="thin">
        <color rgb="FFE6E6E6"/>
      </bottom>
    </border>
    <border>
      <left style="thin">
        <color rgb="FFE6E6E6"/>
      </left>
      <right style="thick">
        <color rgb="FF3E3A3A"/>
      </right>
      <bottom style="thin">
        <color rgb="FFE6E6E6"/>
      </bottom>
    </border>
    <border>
      <left style="thick">
        <color rgb="FF3E3A3A"/>
      </left>
      <right style="thin">
        <color rgb="FFE6E6E6"/>
      </right>
      <top style="thin">
        <color rgb="FFE6E6E6"/>
      </top>
      <bottom style="thin">
        <color rgb="FFE6E6E6"/>
      </bottom>
    </border>
    <border>
      <left style="thin">
        <color rgb="FFE6E6E6"/>
      </left>
      <right style="thin">
        <color rgb="FFE6E6E6"/>
      </right>
      <top style="thin">
        <color rgb="FFE6E6E6"/>
      </top>
      <bottom style="thin">
        <color rgb="FFE6E6E6"/>
      </bottom>
    </border>
    <border>
      <left style="thin">
        <color rgb="FFE6E6E6"/>
      </left>
      <top style="thin">
        <color rgb="FFE6E6E6"/>
      </top>
    </border>
    <border>
      <top style="thin">
        <color rgb="FFE6E6E6"/>
      </top>
    </border>
    <border>
      <right style="thin">
        <color rgb="FFE6E6E6"/>
      </right>
      <top style="thin">
        <color rgb="FFE6E6E6"/>
      </top>
    </border>
    <border>
      <right style="thick">
        <color rgb="FF3E3A3A"/>
      </right>
      <bottom style="thin">
        <color rgb="FFE6E6E6"/>
      </bottom>
    </border>
    <border>
      <left style="thick">
        <color rgb="FF3E3A3A"/>
      </left>
      <top style="thin">
        <color rgb="FFE6E6E6"/>
      </top>
      <bottom style="thin">
        <color rgb="FFE6E6E6"/>
      </bottom>
    </border>
    <border>
      <top style="thin">
        <color rgb="FFE6E6E6"/>
      </top>
      <bottom style="thin">
        <color rgb="FFE6E6E6"/>
      </bottom>
    </border>
    <border>
      <right style="thick">
        <color rgb="FF3E3A3A"/>
      </right>
      <top style="thin">
        <color rgb="FFE6E6E6"/>
      </top>
      <bottom style="thin">
        <color rgb="FFE6E6E6"/>
      </bottom>
    </border>
    <border>
      <left style="thick">
        <color rgb="FF434343"/>
      </left>
      <bottom style="thin">
        <color rgb="FFE6E6E6"/>
      </bottom>
    </border>
    <border>
      <bottom style="thin">
        <color rgb="FFE6E6E6"/>
      </bottom>
    </border>
    <border>
      <right style="thick">
        <color rgb="FF434343"/>
      </right>
      <bottom style="thin">
        <color rgb="FFE6E6E6"/>
      </bottom>
    </border>
    <border>
      <left style="thick">
        <color rgb="FF434343"/>
      </left>
      <top style="thin">
        <color rgb="FFE6E6E6"/>
      </top>
      <bottom style="thin">
        <color rgb="FFE6E6E6"/>
      </bottom>
    </border>
    <border>
      <right style="thick">
        <color rgb="FF434343"/>
      </right>
      <top style="thin">
        <color rgb="FFE6E6E6"/>
      </top>
      <bottom style="thin">
        <color rgb="FFE6E6E6"/>
      </bottom>
    </border>
    <border>
      <left style="thick">
        <color rgb="FF434343"/>
      </left>
      <right style="thin">
        <color rgb="FFE6E6E6"/>
      </right>
      <top style="thin">
        <color rgb="FFE6E6E6"/>
      </top>
      <bottom style="thin">
        <color rgb="FFE6E6E6"/>
      </bottom>
    </border>
    <border>
      <left style="thin">
        <color rgb="FFE6E6E6"/>
      </left>
      <right style="thick">
        <color rgb="FF434343"/>
      </right>
      <top style="thin">
        <color rgb="FFE6E6E6"/>
      </top>
      <bottom style="thin">
        <color rgb="FFE6E6E6"/>
      </bottom>
    </border>
    <border>
      <left style="thin">
        <color rgb="FFE6E6E6"/>
      </left>
      <top style="thin">
        <color rgb="FFE6E6E6"/>
      </top>
      <bottom style="thin">
        <color rgb="FFE6E6E6"/>
      </bottom>
    </border>
    <border>
      <right style="thin">
        <color rgb="FFE6E6E6"/>
      </right>
      <top style="thin">
        <color rgb="FFE6E6E6"/>
      </top>
      <bottom style="thin">
        <color rgb="FFE6E6E6"/>
      </bottom>
    </border>
    <border>
      <left style="thick">
        <color rgb="FF434343"/>
      </left>
      <right style="medium">
        <color rgb="FFE6E6E6"/>
      </right>
    </border>
    <border>
      <left style="medium">
        <color rgb="FFE6E6E6"/>
      </left>
      <right style="medium">
        <color rgb="FFE6E6E6"/>
      </right>
    </border>
    <border>
      <left style="medium">
        <color rgb="FFE6E6E6"/>
      </left>
      <right style="thick">
        <color rgb="FF434343"/>
      </right>
    </border>
    <border>
      <left style="thick">
        <color rgb="FF434343"/>
      </left>
      <top style="medium">
        <color rgb="FF434343"/>
      </top>
      <bottom style="thin">
        <color rgb="FFE6E6E6"/>
      </bottom>
    </border>
    <border>
      <top style="medium">
        <color rgb="FF434343"/>
      </top>
      <bottom style="thin">
        <color rgb="FFE6E6E6"/>
      </bottom>
    </border>
    <border>
      <right style="thick">
        <color rgb="FF434343"/>
      </right>
      <top style="medium">
        <color rgb="FF434343"/>
      </top>
      <bottom style="thin">
        <color rgb="FFE6E6E6"/>
      </bottom>
    </border>
    <border>
      <left style="thin">
        <color rgb="FFE6E6E6"/>
      </left>
      <right style="thin">
        <color rgb="FFE6E6E6"/>
      </right>
      <top style="thin">
        <color rgb="FFE6E6E6"/>
      </top>
    </border>
    <border>
      <left style="thin">
        <color rgb="FFE6E6E6"/>
      </left>
      <right style="thin">
        <color rgb="FFE6E6E6"/>
      </right>
    </border>
    <border>
      <left style="thick">
        <color rgb="FF434343"/>
      </left>
      <top style="thin">
        <color rgb="FFE6E6E6"/>
      </top>
    </border>
    <border>
      <left style="thin">
        <color rgb="FFE6E6E6"/>
      </left>
      <right style="thick">
        <color rgb="FF434343"/>
      </right>
      <top style="thin">
        <color rgb="FFE6E6E6"/>
      </top>
    </border>
    <border>
      <left style="thin">
        <color rgb="FFE6E6E6"/>
      </left>
      <right style="thick">
        <color rgb="FF434343"/>
      </right>
      <top style="medium">
        <color rgb="FF434343"/>
      </top>
      <bottom style="thin">
        <color rgb="FFE6E6E6"/>
      </bottom>
    </border>
    <border>
      <left style="thick">
        <color rgb="FF434343"/>
      </left>
      <top style="thin">
        <color rgb="FFE6E6E6"/>
      </top>
      <bottom style="thick">
        <color rgb="FF434343"/>
      </bottom>
    </border>
    <border>
      <top style="thin">
        <color rgb="FFE6E6E6"/>
      </top>
      <bottom style="thick">
        <color rgb="FF434343"/>
      </bottom>
    </border>
    <border>
      <left style="thin">
        <color rgb="FFE6E6E6"/>
      </left>
      <right style="thick">
        <color rgb="FF434343"/>
      </right>
      <top style="thin">
        <color rgb="FFE6E6E6"/>
      </top>
      <bottom style="thick">
        <color rgb="FF434343"/>
      </bottom>
    </border>
    <border>
      <left style="thin">
        <color rgb="FFE6E6E6"/>
      </left>
      <right style="thin">
        <color rgb="FFEBFCFB"/>
      </right>
      <top style="thin">
        <color rgb="FFE6E6E6"/>
      </top>
      <bottom style="thin">
        <color rgb="FFE6E6E6"/>
      </bottom>
    </border>
    <border>
      <left style="thin">
        <color rgb="FFEBFCFB"/>
      </left>
      <right style="thick">
        <color rgb="FF3E3A3A"/>
      </right>
      <top style="thin">
        <color rgb="FFE6E6E6"/>
      </top>
      <bottom style="thin">
        <color rgb="FFE6E6E6"/>
      </bottom>
    </border>
    <border>
      <left style="thick">
        <color rgb="FF3E3A3A"/>
      </left>
      <right style="thin">
        <color rgb="FF93939F"/>
      </right>
      <bottom style="thin">
        <color rgb="FF93939F"/>
      </bottom>
    </border>
    <border>
      <left style="thin">
        <color rgb="FF93939F"/>
      </left>
      <right style="thin">
        <color rgb="FF93939F"/>
      </right>
      <bottom style="thin">
        <color rgb="FF93939F"/>
      </bottom>
    </border>
    <border>
      <left style="thin">
        <color rgb="FF93939F"/>
      </left>
      <top style="thin">
        <color rgb="FF3E3A3A"/>
      </top>
      <bottom style="thin">
        <color rgb="FF93939F"/>
      </bottom>
    </border>
    <border>
      <right style="thick">
        <color rgb="FF3E3A3A"/>
      </right>
      <top style="thin">
        <color rgb="FF3E3A3A"/>
      </top>
      <bottom style="thin">
        <color rgb="FF93939F"/>
      </bottom>
    </border>
    <border>
      <left style="thick">
        <color rgb="FF3E3A3A"/>
      </left>
      <right style="thin">
        <color rgb="FF93939F"/>
      </right>
      <top style="thin">
        <color rgb="FF93939F"/>
      </top>
      <bottom style="thin">
        <color rgb="FF93939F"/>
      </bottom>
    </border>
    <border>
      <left style="thin">
        <color rgb="FF93939F"/>
      </left>
      <right style="thin">
        <color rgb="FF93939F"/>
      </right>
      <top style="thin">
        <color rgb="FF93939F"/>
      </top>
      <bottom style="thin">
        <color rgb="FF93939F"/>
      </bottom>
    </border>
    <border>
      <left style="thin">
        <color rgb="FF93939F"/>
      </left>
      <top style="thin">
        <color rgb="FF93939F"/>
      </top>
      <bottom style="thin">
        <color rgb="FF93939F"/>
      </bottom>
    </border>
    <border>
      <right style="thick">
        <color rgb="FF3E3A3A"/>
      </right>
      <top style="thin">
        <color rgb="FF93939F"/>
      </top>
      <bottom style="thin">
        <color rgb="FF93939F"/>
      </bottom>
    </border>
    <border>
      <left style="thick">
        <color rgb="FF3E3A3A"/>
      </left>
      <right style="thin">
        <color rgb="FF93939F"/>
      </right>
      <top style="thin">
        <color rgb="FF93939F"/>
      </top>
    </border>
    <border>
      <left style="thin">
        <color rgb="FF93939F"/>
      </left>
      <right style="thin">
        <color rgb="FF93939F"/>
      </right>
      <top style="thin">
        <color rgb="FF93939F"/>
      </top>
    </border>
    <border>
      <left style="thin">
        <color rgb="FF93939F"/>
      </left>
      <top style="thin">
        <color rgb="FF93939F"/>
      </top>
      <bottom style="medium">
        <color rgb="FF3E3A3A"/>
      </bottom>
    </border>
    <border>
      <right style="thick">
        <color rgb="FF3E3A3A"/>
      </right>
      <top style="thin">
        <color rgb="FF93939F"/>
      </top>
      <bottom style="medium">
        <color rgb="FF3E3A3A"/>
      </bottom>
    </border>
    <border>
      <left style="thick">
        <color rgb="FF3E3A3A"/>
      </left>
      <right style="thin">
        <color rgb="FFE6E6E6"/>
      </right>
      <top style="thin">
        <color rgb="FFE6E6E6"/>
      </top>
      <bottom style="thick">
        <color rgb="FF3E3A3A"/>
      </bottom>
    </border>
    <border>
      <left style="thin">
        <color rgb="FFE6E6E6"/>
      </left>
      <right style="thin">
        <color rgb="FFE6E6E6"/>
      </right>
      <top style="thin">
        <color rgb="FFE6E6E6"/>
      </top>
      <bottom style="thick">
        <color rgb="FF3E3A3A"/>
      </bottom>
    </border>
    <border>
      <left style="thin">
        <color rgb="FFE6E6E6"/>
      </left>
      <right style="thin">
        <color rgb="FFE6E6E6"/>
      </right>
      <bottom style="thick">
        <color rgb="FF3E3A3A"/>
      </bottom>
    </border>
    <border>
      <left style="thin">
        <color rgb="FFE6E6E6"/>
      </left>
      <right style="thick">
        <color rgb="FF3E3A3A"/>
      </right>
      <bottom style="thick">
        <color rgb="FF3E3A3A"/>
      </bottom>
    </border>
    <border>
      <left style="thin">
        <color rgb="FFDA4900"/>
      </left>
      <right style="thin">
        <color rgb="FFDA4900"/>
      </right>
      <bottom style="thin">
        <color rgb="FFDA4900"/>
      </bottom>
    </border>
    <border>
      <left style="thin">
        <color rgb="FF66B343"/>
      </left>
      <right style="thin">
        <color rgb="FF66B343"/>
      </right>
      <top style="thin">
        <color rgb="FF66B343"/>
      </top>
      <bottom style="thin">
        <color rgb="FF66B343"/>
      </bottom>
    </border>
    <border>
      <left style="thin">
        <color rgb="FF66B343"/>
      </left>
      <right style="thin">
        <color rgb="FF66B343"/>
      </right>
      <top style="thin">
        <color rgb="FF66B343"/>
      </top>
    </border>
    <border>
      <left style="thin">
        <color rgb="FF66B343"/>
      </left>
      <top style="thin">
        <color rgb="FF66B343"/>
      </top>
      <bottom style="thin">
        <color rgb="FF66B343"/>
      </bottom>
    </border>
    <border>
      <left style="thick">
        <color rgb="FF3E3A3A"/>
      </left>
      <right style="thin">
        <color rgb="FFEFEFEF"/>
      </right>
      <top style="thick">
        <color rgb="FF3E3A3A"/>
      </top>
      <bottom style="thin">
        <color rgb="FFEFEFEF"/>
      </bottom>
    </border>
    <border>
      <left style="thin">
        <color rgb="FFEFEFEF"/>
      </left>
      <right style="thin">
        <color rgb="FFEFEFEF"/>
      </right>
      <top style="thick">
        <color rgb="FF3E3A3A"/>
      </top>
      <bottom style="thin">
        <color rgb="FFEFEFEF"/>
      </bottom>
    </border>
    <border>
      <left style="thin">
        <color rgb="FFEFEFEF"/>
      </left>
      <right style="thin">
        <color rgb="FFEFEFEF"/>
      </right>
      <top style="thick">
        <color rgb="FF3E3A3A"/>
      </top>
    </border>
    <border>
      <left style="thin">
        <color rgb="FFEFEFEF"/>
      </left>
      <right style="thick">
        <color rgb="FF3E3A3A"/>
      </right>
      <top style="thick">
        <color rgb="FF3E3A3A"/>
      </top>
      <bottom style="thin">
        <color rgb="FFEFEFEF"/>
      </bottom>
    </border>
    <border>
      <right style="thin">
        <color rgb="FF66B343"/>
      </right>
      <top style="thin">
        <color rgb="FF66B343"/>
      </top>
      <bottom style="thin">
        <color rgb="FF66B343"/>
      </bottom>
    </border>
    <border>
      <left style="thick">
        <color rgb="FF3E3A3A"/>
      </left>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right style="thick">
        <color rgb="FF3E3A3A"/>
      </right>
      <top style="thin">
        <color rgb="FFEFEFEF"/>
      </top>
      <bottom style="thin">
        <color rgb="FFEFEFEF"/>
      </bottom>
    </border>
    <border>
      <left style="thin">
        <color rgb="FFEFEFEF"/>
      </left>
      <right style="thin">
        <color rgb="FFEFEFEF"/>
      </right>
      <top style="thin">
        <color rgb="FFEFEFEF"/>
      </top>
      <bottom style="thin">
        <color rgb="FFF8FCEB"/>
      </bottom>
    </border>
    <border>
      <left style="thick">
        <color rgb="FF3E3A3A"/>
      </left>
      <right style="thin">
        <color rgb="FFE1D9BB"/>
      </right>
      <top style="thin">
        <color rgb="FFEFEFEF"/>
      </top>
      <bottom style="thin">
        <color rgb="FFEFEFEF"/>
      </bottom>
    </border>
    <border>
      <left style="thin">
        <color rgb="FFE1D9BB"/>
      </left>
      <top style="thin">
        <color rgb="FFEFEFEF"/>
      </top>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ck">
        <color rgb="FF434343"/>
      </left>
      <bottom style="medium">
        <color rgb="FFEFEFEF"/>
      </bottom>
    </border>
    <border>
      <bottom style="medium">
        <color rgb="FFEFEFEF"/>
      </bottom>
    </border>
    <border>
      <right style="thick">
        <color rgb="FF434343"/>
      </right>
      <bottom style="medium">
        <color rgb="FFEFEFEF"/>
      </bottom>
    </border>
    <border>
      <left style="thick">
        <color rgb="FF3E3A3A"/>
      </left>
      <top style="thin">
        <color rgb="FFEFEFEF"/>
      </top>
      <bottom style="thin">
        <color rgb="FFEFEFEF"/>
      </bottom>
    </border>
    <border>
      <left style="thick">
        <color rgb="FF434343"/>
      </left>
      <top style="medium">
        <color rgb="FFEFEFEF"/>
      </top>
      <bottom style="medium">
        <color rgb="FFEFEFEF"/>
      </bottom>
    </border>
    <border>
      <top style="medium">
        <color rgb="FFEFEFEF"/>
      </top>
      <bottom style="medium">
        <color rgb="FFEFEFEF"/>
      </bottom>
    </border>
    <border>
      <right style="thick">
        <color rgb="FF434343"/>
      </right>
      <top style="medium">
        <color rgb="FFEFEFEF"/>
      </top>
      <bottom style="medium">
        <color rgb="FFEFEFEF"/>
      </bottom>
    </border>
    <border>
      <left style="thin">
        <color rgb="FFEFEFEF"/>
      </left>
      <right style="thin">
        <color rgb="FFE1D9BB"/>
      </right>
      <top style="thin">
        <color rgb="FFEFEFEF"/>
      </top>
      <bottom style="thin">
        <color rgb="FFEFEFEF"/>
      </bottom>
    </border>
    <border>
      <left style="thick">
        <color rgb="FF434343"/>
      </left>
      <right style="medium">
        <color rgb="FFEFEFEF"/>
      </right>
      <top style="medium">
        <color rgb="FFEFEFEF"/>
      </top>
      <bottom style="medium">
        <color rgb="FFEFEFEF"/>
      </bottom>
    </border>
    <border>
      <left style="medium">
        <color rgb="FFEFEFEF"/>
      </left>
      <top style="medium">
        <color rgb="FFEFEFEF"/>
      </top>
      <bottom style="medium">
        <color rgb="FFEFEFEF"/>
      </bottom>
    </border>
    <border>
      <right style="medium">
        <color rgb="FFEFEFEF"/>
      </right>
      <top style="medium">
        <color rgb="FFEFEFEF"/>
      </top>
      <bottom style="medium">
        <color rgb="FFEFEFEF"/>
      </bottom>
    </border>
    <border>
      <left style="medium">
        <color rgb="FFEFEFEF"/>
      </left>
      <right style="thick">
        <color rgb="FF434343"/>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left style="thick">
        <color rgb="FF434343"/>
      </left>
      <right style="medium">
        <color rgb="FFEFEFEF"/>
      </right>
      <top style="medium">
        <color rgb="FFEFEFEF"/>
      </top>
    </border>
    <border>
      <left style="medium">
        <color rgb="FFEFEFEF"/>
      </left>
      <right style="medium">
        <color rgb="FFEFEFEF"/>
      </right>
      <top style="medium">
        <color rgb="FFEFEFEF"/>
      </top>
    </border>
    <border>
      <left style="medium">
        <color rgb="FFEFEFEF"/>
      </left>
      <right style="thick">
        <color rgb="FF434343"/>
      </right>
      <top style="medium">
        <color rgb="FFEFEFEF"/>
      </top>
    </border>
    <border>
      <left style="thick">
        <color rgb="FF434343"/>
      </left>
      <top style="medium">
        <color rgb="FF434343"/>
      </top>
      <bottom style="thin">
        <color rgb="FFEFEFEF"/>
      </bottom>
    </border>
    <border>
      <top style="medium">
        <color rgb="FF434343"/>
      </top>
      <bottom style="thin">
        <color rgb="FFEFEFEF"/>
      </bottom>
    </border>
    <border>
      <right style="thick">
        <color rgb="FF434343"/>
      </right>
      <top style="medium">
        <color rgb="FF434343"/>
      </top>
      <bottom style="thin">
        <color rgb="FFEFEFEF"/>
      </bottom>
    </border>
    <border>
      <left style="thick">
        <color rgb="FF434343"/>
      </left>
      <top style="thin">
        <color rgb="FFEFEFEF"/>
      </top>
      <bottom style="thin">
        <color rgb="FFEFEFEF"/>
      </bottom>
    </border>
    <border>
      <right style="thick">
        <color rgb="FF434343"/>
      </right>
      <top style="thin">
        <color rgb="FFEFEFEF"/>
      </top>
      <bottom style="thin">
        <color rgb="FFEFEFEF"/>
      </bottom>
    </border>
    <border>
      <left style="thick">
        <color rgb="FF434343"/>
      </left>
      <top style="thin">
        <color rgb="FFEFEFEF"/>
      </top>
    </border>
    <border>
      <right style="thin">
        <color rgb="FFFFECDE"/>
      </right>
      <top style="thin">
        <color rgb="FFEFEFEF"/>
      </top>
    </border>
    <border>
      <left style="thin">
        <color rgb="FFFFECDE"/>
      </left>
      <right style="thick">
        <color rgb="FF434343"/>
      </right>
      <top style="thin">
        <color rgb="FFEFEFEF"/>
      </top>
    </border>
    <border>
      <right style="thin">
        <color rgb="FFEFEFEF"/>
      </right>
      <top style="medium">
        <color rgb="FF434343"/>
      </top>
      <bottom style="thin">
        <color rgb="FFEFEFEF"/>
      </bottom>
    </border>
    <border>
      <left style="thin">
        <color rgb="FFEFEFEF"/>
      </left>
      <right style="thick">
        <color rgb="FF434343"/>
      </right>
      <top style="medium">
        <color rgb="FF434343"/>
      </top>
      <bottom style="thin">
        <color rgb="FFEFEFEF"/>
      </bottom>
    </border>
    <border>
      <left style="thin">
        <color rgb="FFEFEFEF"/>
      </left>
      <right style="thick">
        <color rgb="FF434343"/>
      </right>
      <top style="thin">
        <color rgb="FFEFEFEF"/>
      </top>
      <bottom style="thin">
        <color rgb="FFEFEFEF"/>
      </bottom>
    </border>
    <border>
      <left style="thick">
        <color rgb="FF434343"/>
      </left>
      <top style="thin">
        <color rgb="FFEFEFEF"/>
      </top>
      <bottom style="thick">
        <color rgb="FF434343"/>
      </bottom>
    </border>
    <border>
      <top style="thin">
        <color rgb="FFEFEFEF"/>
      </top>
      <bottom style="thick">
        <color rgb="FF434343"/>
      </bottom>
    </border>
    <border>
      <right style="thin">
        <color rgb="FFEFEFEF"/>
      </right>
      <top style="thin">
        <color rgb="FFEFEFEF"/>
      </top>
      <bottom style="thick">
        <color rgb="FF434343"/>
      </bottom>
    </border>
    <border>
      <left style="thin">
        <color rgb="FFEFEFEF"/>
      </left>
      <right style="thick">
        <color rgb="FF434343"/>
      </right>
      <top style="thin">
        <color rgb="FFEFEFEF"/>
      </top>
      <bottom style="thick">
        <color rgb="FF434343"/>
      </bottom>
    </border>
    <border>
      <bottom style="thin">
        <color rgb="FFEFEFEF"/>
      </bottom>
    </border>
    <border>
      <left style="thin">
        <color rgb="FFEFEFEF"/>
      </left>
      <right style="thin">
        <color rgb="FFEFEFEF"/>
      </right>
      <bottom style="thin">
        <color rgb="FFFFECDE"/>
      </bottom>
    </border>
    <border>
      <top style="thin">
        <color rgb="FFFFECDE"/>
      </top>
    </border>
    <border>
      <bottom style="thin">
        <color rgb="FFFFECDE"/>
      </bottom>
    </border>
    <border>
      <top style="thin">
        <color rgb="FFFFECDE"/>
      </top>
      <bottom style="thin">
        <color rgb="FFFFECDE"/>
      </bottom>
    </border>
    <border>
      <left style="thin">
        <color rgb="FFEFEFEF"/>
      </left>
      <right style="thin">
        <color rgb="FFEFEFEF"/>
      </right>
      <top style="thin">
        <color rgb="FFFFECDE"/>
      </top>
    </border>
    <border>
      <left style="thin">
        <color rgb="FFFFFFFF"/>
      </left>
      <top style="thin">
        <color rgb="FFEFEFEF"/>
      </top>
      <bottom style="thin">
        <color rgb="FFEFEFEF"/>
      </bottom>
    </border>
    <border>
      <left style="thick">
        <color rgb="FF3E3A3A"/>
      </left>
      <right style="thin">
        <color rgb="FFEFEFEF"/>
      </right>
      <top style="thin">
        <color rgb="FFEFEFEF"/>
      </top>
      <bottom style="thick">
        <color rgb="FF3E3A3A"/>
      </bottom>
    </border>
    <border>
      <left style="thin">
        <color rgb="FFEFEFEF"/>
      </left>
      <right style="thin">
        <color rgb="FFEFEFEF"/>
      </right>
      <top style="thin">
        <color rgb="FFEFEFEF"/>
      </top>
      <bottom style="thick">
        <color rgb="FF3E3A3A"/>
      </bottom>
    </border>
    <border>
      <left style="thin">
        <color rgb="FFEFEFEF"/>
      </left>
      <right style="thin">
        <color rgb="FFEFEFEF"/>
      </right>
      <bottom style="thick">
        <color rgb="FF3E3A3A"/>
      </bottom>
    </border>
    <border>
      <left style="thin">
        <color rgb="FFEFEFEF"/>
      </left>
      <right style="thick">
        <color rgb="FF3E3A3A"/>
      </right>
      <top style="thin">
        <color rgb="FFEFEFEF"/>
      </top>
      <bottom style="thick">
        <color rgb="FF3E3A3A"/>
      </bottom>
    </border>
    <border>
      <left style="thick">
        <color rgb="FF3E3A3A"/>
      </left>
      <right style="thin">
        <color rgb="FFD6E1D5"/>
      </right>
      <bottom style="thin">
        <color rgb="FFD6E1D5"/>
      </bottom>
    </border>
    <border>
      <left style="thin">
        <color rgb="FFD6E1D5"/>
      </left>
      <right style="thin">
        <color rgb="FFD6E1D5"/>
      </right>
    </border>
    <border>
      <left style="thin">
        <color rgb="FFD6E1D5"/>
      </left>
      <right style="thin">
        <color rgb="FFD6E1D5"/>
      </right>
      <bottom style="thin">
        <color rgb="FFD6E1D5"/>
      </bottom>
    </border>
    <border>
      <left style="thin">
        <color rgb="FFD6E1D5"/>
      </left>
      <right style="thick">
        <color rgb="FF3E3A3A"/>
      </right>
      <bottom style="thin">
        <color rgb="FFD6E1D5"/>
      </bottom>
    </border>
    <border>
      <left style="thick">
        <color rgb="FF3E3A3A"/>
      </left>
      <top style="thin">
        <color rgb="FFD6E1D5"/>
      </top>
      <bottom style="thin">
        <color rgb="FFD6E1D5"/>
      </bottom>
    </border>
    <border>
      <top style="thin">
        <color rgb="FFD6E1D5"/>
      </top>
      <bottom style="thin">
        <color rgb="FFD6E1D5"/>
      </bottom>
    </border>
    <border>
      <top style="thin">
        <color rgb="FFD6E1D5"/>
      </top>
    </border>
    <border>
      <right style="thin">
        <color rgb="FFD6E1D5"/>
      </right>
      <top style="thin">
        <color rgb="FFD6E1D5"/>
      </top>
    </border>
    <border>
      <left style="thin">
        <color rgb="FFD6E1D5"/>
      </left>
      <top style="thin">
        <color rgb="FFD6E1D5"/>
      </top>
      <bottom style="thin">
        <color rgb="FFD6E1D5"/>
      </bottom>
    </border>
    <border>
      <right style="thin">
        <color rgb="FFD6E1D5"/>
      </right>
      <top style="thin">
        <color rgb="FFD6E1D5"/>
      </top>
      <bottom style="thin">
        <color rgb="FFD6E1D5"/>
      </bottom>
    </border>
    <border>
      <left style="thin">
        <color rgb="FFD6E1D5"/>
      </left>
      <right style="thin">
        <color rgb="FFD6E1D5"/>
      </right>
      <top style="thin">
        <color rgb="FFD6E1D5"/>
      </top>
    </border>
    <border>
      <left style="thin">
        <color rgb="FFD6E1D5"/>
      </left>
      <right style="thick">
        <color rgb="FF3E3A3A"/>
      </right>
      <top style="thin">
        <color rgb="FFD6E1D5"/>
      </top>
      <bottom style="thin">
        <color rgb="FFD6E1D5"/>
      </bottom>
    </border>
    <border>
      <left style="thick">
        <color rgb="FF434343"/>
      </left>
      <bottom style="medium">
        <color rgb="FFD6E1D5"/>
      </bottom>
    </border>
    <border>
      <bottom style="medium">
        <color rgb="FFD6E1D5"/>
      </bottom>
    </border>
    <border>
      <right style="thick">
        <color rgb="FF434343"/>
      </right>
      <bottom style="medium">
        <color rgb="FFD6E1D5"/>
      </bottom>
    </border>
    <border>
      <right style="thin">
        <color rgb="FFD6E1D5"/>
      </right>
    </border>
    <border>
      <left style="thick">
        <color rgb="FF434343"/>
      </left>
      <top style="medium">
        <color rgb="FFD6E1D5"/>
      </top>
      <bottom style="medium">
        <color rgb="FFD6E1D5"/>
      </bottom>
    </border>
    <border>
      <top style="medium">
        <color rgb="FFD6E1D5"/>
      </top>
      <bottom style="medium">
        <color rgb="FFD6E1D5"/>
      </bottom>
    </border>
    <border>
      <right style="thick">
        <color rgb="FF434343"/>
      </right>
      <top style="medium">
        <color rgb="FFD6E1D5"/>
      </top>
      <bottom style="medium">
        <color rgb="FFD6E1D5"/>
      </bottom>
    </border>
    <border>
      <left style="thick">
        <color rgb="FF3E3A3A"/>
      </left>
      <right style="thin">
        <color rgb="FFD6E1D5"/>
      </right>
      <top style="thin">
        <color rgb="FFD6E1D5"/>
      </top>
      <bottom style="thin">
        <color rgb="FFD6E1D5"/>
      </bottom>
    </border>
    <border>
      <left style="thick">
        <color rgb="FF434343"/>
      </left>
      <right style="medium">
        <color rgb="FFD6E1D5"/>
      </right>
      <top style="medium">
        <color rgb="FFD6E1D5"/>
      </top>
      <bottom style="medium">
        <color rgb="FFD6E1D5"/>
      </bottom>
    </border>
    <border>
      <left style="medium">
        <color rgb="FFD6E1D5"/>
      </left>
      <right style="medium">
        <color rgb="FFD6E1D5"/>
      </right>
      <top style="medium">
        <color rgb="FFD6E1D5"/>
      </top>
      <bottom style="medium">
        <color rgb="FFD6E1D5"/>
      </bottom>
    </border>
    <border>
      <left style="medium">
        <color rgb="FFD6E1D5"/>
      </left>
      <right style="thick">
        <color rgb="FF434343"/>
      </right>
      <top style="medium">
        <color rgb="FFD6E1D5"/>
      </top>
      <bottom style="medium">
        <color rgb="FFD6E1D5"/>
      </bottom>
    </border>
    <border>
      <left style="medium">
        <color rgb="FFD6E1D5"/>
      </left>
      <top style="medium">
        <color rgb="FFD6E1D5"/>
      </top>
      <bottom style="medium">
        <color rgb="FFD6E1D5"/>
      </bottom>
    </border>
    <border>
      <right style="medium">
        <color rgb="FFD6E1D5"/>
      </right>
      <top style="medium">
        <color rgb="FFD6E1D5"/>
      </top>
      <bottom style="medium">
        <color rgb="FFD6E1D5"/>
      </bottom>
    </border>
    <border>
      <left style="thick">
        <color rgb="FF434343"/>
      </left>
      <right style="medium">
        <color rgb="FFD6E1D5"/>
      </right>
      <top style="medium">
        <color rgb="FFD6E1D5"/>
      </top>
    </border>
    <border>
      <left style="medium">
        <color rgb="FFD6E1D5"/>
      </left>
      <right style="medium">
        <color rgb="FFD6E1D5"/>
      </right>
      <top style="medium">
        <color rgb="FFD6E1D5"/>
      </top>
    </border>
    <border>
      <left style="medium">
        <color rgb="FFD6E1D5"/>
      </left>
      <right style="thick">
        <color rgb="FF434343"/>
      </right>
      <top style="medium">
        <color rgb="FFD6E1D5"/>
      </top>
    </border>
    <border>
      <left style="thin">
        <color rgb="FFD6E1D5"/>
      </left>
      <right style="thin">
        <color rgb="FFD6E1D5"/>
      </right>
      <top style="thin">
        <color rgb="FFD6E1D5"/>
      </top>
      <bottom style="thin">
        <color rgb="FFD6E1D5"/>
      </bottom>
    </border>
    <border>
      <left style="thick">
        <color rgb="FF434343"/>
      </left>
      <top style="medium">
        <color rgb="FF434343"/>
      </top>
      <bottom style="thin">
        <color rgb="FFD6E1D5"/>
      </bottom>
    </border>
    <border>
      <top style="medium">
        <color rgb="FF434343"/>
      </top>
      <bottom style="thin">
        <color rgb="FFD6E1D5"/>
      </bottom>
    </border>
    <border>
      <right style="thick">
        <color rgb="FF434343"/>
      </right>
      <top style="medium">
        <color rgb="FF434343"/>
      </top>
      <bottom style="thin">
        <color rgb="FFD6E1D5"/>
      </bottom>
    </border>
    <border>
      <left style="thick">
        <color rgb="FF434343"/>
      </left>
      <top style="thin">
        <color rgb="FFD6E1D5"/>
      </top>
      <bottom style="thin">
        <color rgb="FFD6E1D5"/>
      </bottom>
    </border>
    <border>
      <right style="thick">
        <color rgb="FF434343"/>
      </right>
      <top style="thin">
        <color rgb="FFD6E1D5"/>
      </top>
      <bottom style="thin">
        <color rgb="FFD6E1D5"/>
      </bottom>
    </border>
    <border>
      <left style="thick">
        <color rgb="FF434343"/>
      </left>
      <top style="thin">
        <color rgb="FFD6E1D5"/>
      </top>
    </border>
    <border>
      <left style="thin">
        <color rgb="FFD6E1D5"/>
      </left>
      <right style="thick">
        <color rgb="FF434343"/>
      </right>
      <top style="thin">
        <color rgb="FFD6E1D5"/>
      </top>
    </border>
    <border>
      <left style="thin">
        <color rgb="FFD6E1D5"/>
      </left>
      <right style="thick">
        <color rgb="FF434343"/>
      </right>
      <top style="medium">
        <color rgb="FF434343"/>
      </top>
      <bottom style="thin">
        <color rgb="FFD6E1D5"/>
      </bottom>
    </border>
    <border>
      <left style="thin">
        <color rgb="FFD6E1D5"/>
      </left>
      <right style="thick">
        <color rgb="FF434343"/>
      </right>
      <top style="thin">
        <color rgb="FFD6E1D5"/>
      </top>
      <bottom style="thin">
        <color rgb="FFD6E1D5"/>
      </bottom>
    </border>
    <border>
      <left style="thick">
        <color rgb="FF434343"/>
      </left>
      <top style="thin">
        <color rgb="FFD6E1D5"/>
      </top>
      <bottom style="thick">
        <color rgb="FF434343"/>
      </bottom>
    </border>
    <border>
      <top style="thin">
        <color rgb="FFD6E1D5"/>
      </top>
      <bottom style="thick">
        <color rgb="FF434343"/>
      </bottom>
    </border>
    <border>
      <left style="thin">
        <color rgb="FFD6E1D5"/>
      </left>
      <right style="thick">
        <color rgb="FF434343"/>
      </right>
      <top style="thin">
        <color rgb="FFD6E1D5"/>
      </top>
      <bottom style="thick">
        <color rgb="FF434343"/>
      </bottom>
    </border>
    <border>
      <bottom style="thin">
        <color rgb="FFD6E1D5"/>
      </bottom>
    </border>
    <border>
      <right style="thin">
        <color rgb="FFD6E1D5"/>
      </right>
      <bottom style="thin">
        <color rgb="FFD6E1D5"/>
      </bottom>
    </border>
    <border>
      <left style="thick">
        <color rgb="FF3E3A3A"/>
      </left>
      <right style="thin">
        <color rgb="FF4D6F57"/>
      </right>
      <bottom style="thin">
        <color rgb="FF4D6F57"/>
      </bottom>
    </border>
    <border>
      <left style="thin">
        <color rgb="FF4D6F57"/>
      </left>
      <right style="thin">
        <color rgb="FF4D6F57"/>
      </right>
      <bottom style="thin">
        <color rgb="FF4D6F57"/>
      </bottom>
    </border>
    <border>
      <left style="thin">
        <color rgb="FF4D6F57"/>
      </left>
      <top style="thin">
        <color rgb="FF3E3A3A"/>
      </top>
      <bottom style="thin">
        <color rgb="FF4D6F57"/>
      </bottom>
    </border>
    <border>
      <right style="thick">
        <color rgb="FF3E3A3A"/>
      </right>
      <top style="thin">
        <color rgb="FF3E3A3A"/>
      </top>
      <bottom style="thin">
        <color rgb="FF4D6F57"/>
      </bottom>
    </border>
    <border>
      <left style="thin">
        <color rgb="FF4D6F57"/>
      </left>
      <bottom style="thin">
        <color rgb="FF4D6F57"/>
      </bottom>
    </border>
    <border>
      <right style="thick">
        <color rgb="FF3E3A3A"/>
      </right>
      <bottom style="thin">
        <color rgb="FF4D6F57"/>
      </bottom>
    </border>
    <border>
      <left style="thick">
        <color rgb="FF3E3A3A"/>
      </left>
      <right style="thin">
        <color rgb="FF4D6F57"/>
      </right>
      <top style="thin">
        <color rgb="FF4D6F57"/>
      </top>
      <bottom style="thin">
        <color rgb="FF4D6F57"/>
      </bottom>
    </border>
    <border>
      <left style="thin">
        <color rgb="FF4D6F57"/>
      </left>
      <right style="thin">
        <color rgb="FF4D6F57"/>
      </right>
      <top style="thin">
        <color rgb="FF4D6F57"/>
      </top>
      <bottom style="thin">
        <color rgb="FF4D6F57"/>
      </bottom>
    </border>
    <border>
      <left style="thin">
        <color rgb="FF4D6F57"/>
      </left>
      <top style="thin">
        <color rgb="FF4D6F57"/>
      </top>
      <bottom style="thin">
        <color rgb="FF4D6F57"/>
      </bottom>
    </border>
    <border>
      <right style="thick">
        <color rgb="FF3E3A3A"/>
      </right>
      <top style="thin">
        <color rgb="FF4D6F57"/>
      </top>
      <bottom style="thin">
        <color rgb="FF4D6F57"/>
      </bottom>
    </border>
    <border>
      <left style="thick">
        <color rgb="FF3E3A3A"/>
      </left>
      <right style="thin">
        <color rgb="FF4D6F57"/>
      </right>
      <top style="thin">
        <color rgb="FF4D6F57"/>
      </top>
    </border>
    <border>
      <left style="thin">
        <color rgb="FF4D6F57"/>
      </left>
      <right style="thin">
        <color rgb="FF4D6F57"/>
      </right>
      <top style="thin">
        <color rgb="FF4D6F57"/>
      </top>
    </border>
    <border>
      <left style="thin">
        <color rgb="FF4D6F57"/>
      </left>
      <top style="thin">
        <color rgb="FF4D6F57"/>
      </top>
      <bottom style="medium">
        <color rgb="FF3E3A3A"/>
      </bottom>
    </border>
    <border>
      <right style="thick">
        <color rgb="FF3E3A3A"/>
      </right>
      <top style="thin">
        <color rgb="FF4D6F57"/>
      </top>
      <bottom style="medium">
        <color rgb="FF3E3A3A"/>
      </bottom>
    </border>
    <border>
      <left style="thick">
        <color rgb="FF3E3A3A"/>
      </left>
      <right style="thin">
        <color rgb="FFD6E1D5"/>
      </right>
      <top style="thin">
        <color rgb="FFD6E1D5"/>
      </top>
    </border>
    <border>
      <left style="thin">
        <color rgb="FFD6E1D5"/>
      </left>
      <top style="thin">
        <color rgb="FFD6E1D5"/>
      </top>
    </border>
    <border>
      <left style="thin">
        <color rgb="FFD6E1D5"/>
      </left>
      <right style="thick">
        <color rgb="FF3E3A3A"/>
      </right>
      <top style="thin">
        <color rgb="FFD6E1D5"/>
      </top>
    </border>
    <border>
      <left style="thick">
        <color rgb="FF3E3A3A"/>
      </left>
      <right style="thin">
        <color rgb="FFD6E1D5"/>
      </right>
      <top style="thin">
        <color rgb="FFD6E1D5"/>
      </top>
      <bottom style="thick">
        <color rgb="FF3E3A3A"/>
      </bottom>
    </border>
    <border>
      <left style="thin">
        <color rgb="FFD6E1D5"/>
      </left>
      <right style="thin">
        <color rgb="FFD6E1D5"/>
      </right>
      <top style="thin">
        <color rgb="FFD6E1D5"/>
      </top>
      <bottom style="thick">
        <color rgb="FF3E3A3A"/>
      </bottom>
    </border>
    <border>
      <left style="thin">
        <color rgb="FFD6E1D5"/>
      </left>
      <right style="thin">
        <color rgb="FFD6E1D5"/>
      </right>
      <bottom style="thick">
        <color rgb="FF3E3A3A"/>
      </bottom>
    </border>
    <border>
      <left style="thin">
        <color rgb="FFD6E1D5"/>
      </left>
      <right style="thick">
        <color rgb="FF3E3A3A"/>
      </right>
      <top style="thin">
        <color rgb="FFD6E1D5"/>
      </top>
      <bottom style="thick">
        <color rgb="FF3E3A3A"/>
      </bottom>
    </border>
    <border>
      <right style="thick">
        <color rgb="FF3E3A3A"/>
      </right>
      <top style="thin">
        <color rgb="FFEFEFEF"/>
      </top>
      <bottom style="thin">
        <color rgb="FFEFEFEF"/>
      </bottom>
    </border>
    <border>
      <left style="thin">
        <color rgb="FFEFEFEF"/>
      </left>
      <right style="thin">
        <color rgb="FFEFEFEF"/>
      </right>
      <top style="thin">
        <color rgb="FFEFEFEF"/>
      </top>
      <bottom style="thin">
        <color rgb="FFFFECDE"/>
      </bottom>
    </border>
    <border>
      <left style="thick">
        <color rgb="FF3E3A3A"/>
      </left>
      <right style="thin">
        <color rgb="FFFFECDE"/>
      </right>
      <top style="thin">
        <color rgb="FFEFEFEF"/>
      </top>
      <bottom style="thin">
        <color rgb="FFEFEFEF"/>
      </bottom>
    </border>
    <border>
      <left style="thin">
        <color rgb="FFFFECDE"/>
      </left>
      <top style="thin">
        <color rgb="FFEFEFEF"/>
      </top>
      <bottom style="thin">
        <color rgb="FFEFEFEF"/>
      </bottom>
    </border>
    <border>
      <left style="thin">
        <color rgb="FFFFECDE"/>
      </left>
      <top style="thin">
        <color rgb="FFEFEFEF"/>
      </top>
      <bottom style="thin">
        <color rgb="FFFFECDE"/>
      </bottom>
    </border>
    <border>
      <left style="thin">
        <color rgb="FFEFEFEF"/>
      </left>
      <right style="thin">
        <color rgb="FFEFEFEF"/>
      </right>
      <top style="thin">
        <color rgb="FFFFECDE"/>
      </top>
      <bottom style="thin">
        <color rgb="FFEFEFEF"/>
      </bottom>
    </border>
    <border>
      <left style="thick">
        <color rgb="FF3E3A3A"/>
      </left>
      <right style="thin">
        <color rgb="FFFFECE6"/>
      </right>
      <top style="thin">
        <color rgb="FFEFEFEF"/>
      </top>
      <bottom style="thin">
        <color rgb="FFEFEFEF"/>
      </bottom>
    </border>
    <border>
      <left style="thin">
        <color rgb="FFFFECE6"/>
      </left>
      <top style="thin">
        <color rgb="FFEFEFEF"/>
      </top>
      <bottom style="thin">
        <color rgb="FFEFEFEF"/>
      </bottom>
    </border>
    <border>
      <left style="thick">
        <color rgb="FF3E3A3A"/>
      </left>
      <top style="thin">
        <color rgb="FFEFEFEF"/>
      </top>
    </border>
    <border>
      <left style="thin">
        <color rgb="FFEFEFEF"/>
      </left>
      <right style="thick">
        <color rgb="FF3E3A3A"/>
      </right>
      <top style="thin">
        <color rgb="FFEFEFEF"/>
      </top>
    </border>
    <border>
      <left style="thin">
        <color rgb="FFEFEFEF"/>
      </left>
      <right style="thin">
        <color rgb="FFEFEFEF"/>
      </right>
      <top style="thin">
        <color rgb="FFFFECE6"/>
      </top>
      <bottom style="thick">
        <color rgb="FF3E3A3A"/>
      </bottom>
    </border>
    <border>
      <left style="thin">
        <color rgb="FFEFEFEF"/>
      </left>
      <right style="thin">
        <color rgb="FFEFEFEF"/>
      </right>
      <top style="thin">
        <color rgb="FFE1D9BB"/>
      </top>
      <bottom style="thick">
        <color rgb="FF3E3A3A"/>
      </bottom>
    </border>
    <border>
      <right style="thick">
        <color rgb="FF3E3A3A"/>
      </right>
      <top style="thin">
        <color rgb="FFD6E1D5"/>
      </top>
      <bottom style="thin">
        <color rgb="FFD6E1D5"/>
      </bottom>
    </border>
    <border>
      <right style="thick">
        <color rgb="FF3E3A3A"/>
      </right>
      <bottom style="thin">
        <color rgb="FFD6E1D5"/>
      </bottom>
    </border>
    <border>
      <left style="thick">
        <color rgb="FF3E3A3A"/>
      </left>
      <right style="thin">
        <color rgb="FFF9D9D1"/>
      </right>
      <bottom style="thin">
        <color rgb="FFF9D9D1"/>
      </bottom>
    </border>
    <border>
      <left style="thin">
        <color rgb="FFF9D9D1"/>
      </left>
      <right style="thin">
        <color rgb="FFF9D9D1"/>
      </right>
    </border>
    <border>
      <left style="thin">
        <color rgb="FFF9D9D1"/>
      </left>
      <right style="thin">
        <color rgb="FFF9D9D1"/>
      </right>
      <bottom style="thin">
        <color rgb="FFF9D9D1"/>
      </bottom>
    </border>
    <border>
      <left style="thin">
        <color rgb="FFF9D9D1"/>
      </left>
      <right style="thick">
        <color rgb="FF3E3A3A"/>
      </right>
      <bottom style="thin">
        <color rgb="FFF9D9D1"/>
      </bottom>
    </border>
    <border>
      <left style="thick">
        <color rgb="FF3E3A3A"/>
      </left>
      <right style="thin">
        <color rgb="FFF9D9D1"/>
      </right>
      <top style="thin">
        <color rgb="FFF9D9D1"/>
      </top>
      <bottom style="thin">
        <color rgb="FFF9D9D1"/>
      </bottom>
    </border>
    <border>
      <left style="thin">
        <color rgb="FFF9D9D1"/>
      </left>
      <right style="thin">
        <color rgb="FFF9D9D1"/>
      </right>
      <top style="thin">
        <color rgb="FFF9D9D1"/>
      </top>
      <bottom style="thin">
        <color rgb="FFF9D9D1"/>
      </bottom>
    </border>
    <border>
      <left style="thin">
        <color rgb="FFF9D9D1"/>
      </left>
      <top style="thin">
        <color rgb="FFF9D9D1"/>
      </top>
      <bottom style="thin">
        <color rgb="FFF9D9D1"/>
      </bottom>
    </border>
    <border>
      <top style="thin">
        <color rgb="FFF9D9D1"/>
      </top>
      <bottom style="thin">
        <color rgb="FFF9D9D1"/>
      </bottom>
    </border>
    <border>
      <right style="thin">
        <color rgb="FFF9D9D1"/>
      </right>
      <top style="thin">
        <color rgb="FFF9D9D1"/>
      </top>
      <bottom style="thin">
        <color rgb="FFF9D9D1"/>
      </bottom>
    </border>
    <border>
      <right style="thick">
        <color rgb="FF3E3A3A"/>
      </right>
      <bottom style="thin">
        <color rgb="FFF9D9D1"/>
      </bottom>
    </border>
    <border>
      <left style="thick">
        <color rgb="FF3E3A3A"/>
      </left>
      <top style="thin">
        <color rgb="FFF9D9D1"/>
      </top>
      <bottom style="thin">
        <color rgb="FFF9D9D1"/>
      </bottom>
    </border>
    <border>
      <right style="thick">
        <color rgb="FF3E3A3A"/>
      </right>
      <top style="thin">
        <color rgb="FFF9D9D1"/>
      </top>
      <bottom style="thin">
        <color rgb="FFF9D9D1"/>
      </bottom>
    </border>
    <border>
      <left style="thick">
        <color rgb="FF434343"/>
      </left>
      <bottom style="medium">
        <color rgb="FFF9D9D1"/>
      </bottom>
    </border>
    <border>
      <bottom style="medium">
        <color rgb="FFF9D9D1"/>
      </bottom>
    </border>
    <border>
      <right style="thick">
        <color rgb="FF434343"/>
      </right>
      <bottom style="medium">
        <color rgb="FFF9D9D1"/>
      </bottom>
    </border>
    <border>
      <left style="thick">
        <color rgb="FF434343"/>
      </left>
      <top style="medium">
        <color rgb="FFF9D9D1"/>
      </top>
      <bottom style="medium">
        <color rgb="FFF9D9D1"/>
      </bottom>
    </border>
    <border>
      <top style="medium">
        <color rgb="FFF9D9D1"/>
      </top>
      <bottom style="medium">
        <color rgb="FFF9D9D1"/>
      </bottom>
    </border>
    <border>
      <right style="thick">
        <color rgb="FF434343"/>
      </right>
      <top style="medium">
        <color rgb="FFF9D9D1"/>
      </top>
      <bottom style="medium">
        <color rgb="FFF9D9D1"/>
      </bottom>
    </border>
    <border>
      <left style="thick">
        <color rgb="FF434343"/>
      </left>
      <right style="medium">
        <color rgb="FFF9D9D1"/>
      </right>
      <top style="medium">
        <color rgb="FFF9D9D1"/>
      </top>
      <bottom style="medium">
        <color rgb="FFF9D9D1"/>
      </bottom>
    </border>
    <border>
      <left style="medium">
        <color rgb="FFF9D9D1"/>
      </left>
      <right style="medium">
        <color rgb="FFF9D9D1"/>
      </right>
      <top style="medium">
        <color rgb="FFF9D9D1"/>
      </top>
      <bottom style="medium">
        <color rgb="FFF9D9D1"/>
      </bottom>
    </border>
    <border>
      <left style="medium">
        <color rgb="FFF9D9D1"/>
      </left>
      <right style="thick">
        <color rgb="FF434343"/>
      </right>
      <top style="medium">
        <color rgb="FFF9D9D1"/>
      </top>
      <bottom style="medium">
        <color rgb="FFF9D9D1"/>
      </bottom>
    </border>
    <border>
      <left style="medium">
        <color rgb="FFF9D9D1"/>
      </left>
      <top style="medium">
        <color rgb="FFF9D9D1"/>
      </top>
      <bottom style="medium">
        <color rgb="FFF9D9D1"/>
      </bottom>
    </border>
    <border>
      <right style="medium">
        <color rgb="FFF9D9D1"/>
      </right>
      <top style="medium">
        <color rgb="FFF9D9D1"/>
      </top>
      <bottom style="medium">
        <color rgb="FFF9D9D1"/>
      </bottom>
    </border>
    <border>
      <left style="thick">
        <color rgb="FF434343"/>
      </left>
      <right style="medium">
        <color rgb="FFF9D9D1"/>
      </right>
      <top style="medium">
        <color rgb="FFF9D9D1"/>
      </top>
    </border>
    <border>
      <left style="medium">
        <color rgb="FFF9D9D1"/>
      </left>
      <right style="medium">
        <color rgb="FFF9D9D1"/>
      </right>
      <top style="medium">
        <color rgb="FFF9D9D1"/>
      </top>
    </border>
    <border>
      <left style="medium">
        <color rgb="FFF9D9D1"/>
      </left>
      <right style="thick">
        <color rgb="FF434343"/>
      </right>
      <top style="medium">
        <color rgb="FFF9D9D1"/>
      </top>
    </border>
    <border>
      <left style="thick">
        <color rgb="FF434343"/>
      </left>
      <top style="medium">
        <color rgb="FF434343"/>
      </top>
      <bottom style="thin">
        <color rgb="FFF9D9D1"/>
      </bottom>
    </border>
    <border>
      <top style="medium">
        <color rgb="FF434343"/>
      </top>
      <bottom style="thin">
        <color rgb="FFF9D9D1"/>
      </bottom>
    </border>
    <border>
      <right style="thick">
        <color rgb="FF434343"/>
      </right>
      <top style="medium">
        <color rgb="FF434343"/>
      </top>
      <bottom style="thin">
        <color rgb="FFF9D9D1"/>
      </bottom>
    </border>
    <border>
      <left style="thin">
        <color rgb="FFF9D9D1"/>
      </left>
      <right style="thin">
        <color rgb="FFF9D9D1"/>
      </right>
      <top style="thin">
        <color rgb="FFF9D9D1"/>
      </top>
    </border>
    <border>
      <left style="thick">
        <color rgb="FF434343"/>
      </left>
      <top style="thin">
        <color rgb="FFF9D9D1"/>
      </top>
      <bottom style="thin">
        <color rgb="FFF9D9D1"/>
      </bottom>
    </border>
    <border>
      <right style="thick">
        <color rgb="FF434343"/>
      </right>
      <top style="thin">
        <color rgb="FFF9D9D1"/>
      </top>
      <bottom style="thin">
        <color rgb="FFF9D9D1"/>
      </bottom>
    </border>
    <border>
      <left style="thick">
        <color rgb="FF434343"/>
      </left>
      <top style="thin">
        <color rgb="FFF9D9D1"/>
      </top>
    </border>
    <border>
      <top style="thin">
        <color rgb="FFF9D9D1"/>
      </top>
    </border>
    <border>
      <right style="thin">
        <color rgb="FFF9D9D1"/>
      </right>
      <top style="thin">
        <color rgb="FFF9D9D1"/>
      </top>
    </border>
    <border>
      <left style="thin">
        <color rgb="FFF9D9D1"/>
      </left>
      <right style="thick">
        <color rgb="FF434343"/>
      </right>
      <top style="thin">
        <color rgb="FFF9D9D1"/>
      </top>
    </border>
    <border>
      <left style="thin">
        <color rgb="FFF9D9D1"/>
      </left>
      <right style="thick">
        <color rgb="FF434343"/>
      </right>
      <top style="medium">
        <color rgb="FF434343"/>
      </top>
      <bottom style="thin">
        <color rgb="FFF9D9D1"/>
      </bottom>
    </border>
    <border>
      <left style="thin">
        <color rgb="FFF9D9D1"/>
      </left>
      <right style="thick">
        <color rgb="FF434343"/>
      </right>
      <top style="thin">
        <color rgb="FFF9D9D1"/>
      </top>
      <bottom style="thin">
        <color rgb="FFF9D9D1"/>
      </bottom>
    </border>
    <border>
      <left style="thick">
        <color rgb="FF434343"/>
      </left>
      <top style="thin">
        <color rgb="FFF9D9D1"/>
      </top>
      <bottom style="thick">
        <color rgb="FF434343"/>
      </bottom>
    </border>
    <border>
      <top style="thin">
        <color rgb="FFF9D9D1"/>
      </top>
      <bottom style="thick">
        <color rgb="FF434343"/>
      </bottom>
    </border>
    <border>
      <left style="thin">
        <color rgb="FFF9D9D1"/>
      </left>
      <right style="thick">
        <color rgb="FF434343"/>
      </right>
      <top style="thin">
        <color rgb="FFF9D9D1"/>
      </top>
      <bottom style="thick">
        <color rgb="FF434343"/>
      </bottom>
    </border>
    <border>
      <left style="thin">
        <color rgb="FFF9D9D1"/>
      </left>
      <right style="thin">
        <color rgb="FFF9D9D1"/>
      </right>
      <top style="thin">
        <color rgb="FFD6E1D5"/>
      </top>
    </border>
    <border>
      <left style="thin">
        <color rgb="FFF9D9D1"/>
      </left>
      <right style="thick">
        <color rgb="FF3E3A3A"/>
      </right>
      <top style="thin">
        <color rgb="FFF9D9D1"/>
      </top>
      <bottom style="thin">
        <color rgb="FFF9D9D1"/>
      </bottom>
    </border>
    <border>
      <left style="thick">
        <color rgb="FF3E3A3A"/>
      </left>
      <right style="thin">
        <color rgb="FFF16949"/>
      </right>
      <bottom style="thin">
        <color rgb="FFF16949"/>
      </bottom>
    </border>
    <border>
      <left style="thin">
        <color rgb="FFF16949"/>
      </left>
      <right style="thin">
        <color rgb="FFF16949"/>
      </right>
      <bottom style="thin">
        <color rgb="FFF16949"/>
      </bottom>
    </border>
    <border>
      <left style="thin">
        <color rgb="FFF16949"/>
      </left>
      <top style="thin">
        <color rgb="FF3E3A3A"/>
      </top>
      <bottom style="thin">
        <color rgb="FFF16949"/>
      </bottom>
    </border>
    <border>
      <right style="thick">
        <color rgb="FF3E3A3A"/>
      </right>
      <top style="thin">
        <color rgb="FF3E3A3A"/>
      </top>
      <bottom style="thin">
        <color rgb="FFF16949"/>
      </bottom>
    </border>
    <border>
      <left style="thick">
        <color rgb="FF3E3A3A"/>
      </left>
      <right style="thin">
        <color rgb="FFF16949"/>
      </right>
      <top style="thin">
        <color rgb="FFF16949"/>
      </top>
      <bottom style="thin">
        <color rgb="FFF16949"/>
      </bottom>
    </border>
    <border>
      <left style="thin">
        <color rgb="FFF16949"/>
      </left>
      <right style="thin">
        <color rgb="FFF16949"/>
      </right>
      <top style="thin">
        <color rgb="FFF16949"/>
      </top>
      <bottom style="thin">
        <color rgb="FFF16949"/>
      </bottom>
    </border>
    <border>
      <left style="thin">
        <color rgb="FFF16949"/>
      </left>
      <top style="thin">
        <color rgb="FFF16949"/>
      </top>
      <bottom style="thin">
        <color rgb="FFF16949"/>
      </bottom>
    </border>
    <border>
      <right style="thick">
        <color rgb="FF3E3A3A"/>
      </right>
      <top style="thin">
        <color rgb="FFF16949"/>
      </top>
      <bottom style="thin">
        <color rgb="FFF16949"/>
      </bottom>
    </border>
    <border>
      <left style="thick">
        <color rgb="FF3E3A3A"/>
      </left>
      <right style="thin">
        <color rgb="FFF16949"/>
      </right>
      <top style="thin">
        <color rgb="FFF16949"/>
      </top>
    </border>
    <border>
      <left style="thin">
        <color rgb="FFF16949"/>
      </left>
      <right style="thin">
        <color rgb="FFF16949"/>
      </right>
      <top style="thin">
        <color rgb="FFF16949"/>
      </top>
    </border>
    <border>
      <left style="thin">
        <color rgb="FFF16949"/>
      </left>
      <top style="thin">
        <color rgb="FFF16949"/>
      </top>
      <bottom style="medium">
        <color rgb="FF3E3A3A"/>
      </bottom>
    </border>
    <border>
      <right style="thick">
        <color rgb="FF3E3A3A"/>
      </right>
      <top style="thin">
        <color rgb="FFF16949"/>
      </top>
      <bottom style="medium">
        <color rgb="FF3E3A3A"/>
      </bottom>
    </border>
    <border>
      <left style="thick">
        <color rgb="FF3E3A3A"/>
      </left>
      <right style="thin">
        <color rgb="FFF9D9D1"/>
      </right>
      <top style="thin">
        <color rgb="FFF9D9D1"/>
      </top>
    </border>
    <border>
      <left style="thin">
        <color rgb="FFF9D9D1"/>
      </left>
      <right style="thick">
        <color rgb="FF3E3A3A"/>
      </right>
      <top style="thin">
        <color rgb="FFF9D9D1"/>
      </top>
    </border>
    <border>
      <left style="thin">
        <color rgb="FFFFECDE"/>
      </left>
      <right style="thick">
        <color rgb="FF3E3A3A"/>
      </right>
      <top style="thin">
        <color rgb="FFEFEFEF"/>
      </top>
      <bottom style="thin">
        <color rgb="FFEFEFEF"/>
      </bottom>
    </border>
    <border>
      <left style="thin">
        <color rgb="FF66B343"/>
      </left>
      <right style="thin">
        <color rgb="FF66B343"/>
      </right>
      <bottom style="thin">
        <color rgb="FF66B343"/>
      </bottom>
    </border>
    <border>
      <left style="thick">
        <color rgb="FF3E3A3A"/>
      </left>
      <right style="thin">
        <color rgb="FFD4D4E6"/>
      </right>
      <top style="thick">
        <color rgb="FF3E3A3A"/>
      </top>
      <bottom style="thin">
        <color rgb="FFD4D4E6"/>
      </bottom>
    </border>
    <border>
      <left style="thin">
        <color rgb="FFD4D4E6"/>
      </left>
      <right style="thin">
        <color rgb="FFD4D4E6"/>
      </right>
      <top style="thick">
        <color rgb="FF3E3A3A"/>
      </top>
      <bottom style="thin">
        <color rgb="FFFFFFFF"/>
      </bottom>
    </border>
    <border>
      <left style="thin">
        <color rgb="FFD4D4E6"/>
      </left>
      <right style="thin">
        <color rgb="FFD4D4E6"/>
      </right>
      <top style="thick">
        <color rgb="FF3E3A3A"/>
      </top>
      <bottom style="thin">
        <color rgb="FFD4D4E6"/>
      </bottom>
    </border>
    <border>
      <left style="thin">
        <color rgb="FFD4D4E6"/>
      </left>
      <right style="thin">
        <color rgb="FFD4D4E6"/>
      </right>
      <top style="thick">
        <color rgb="FF3E3A3A"/>
      </top>
    </border>
    <border>
      <left style="thin">
        <color rgb="FFD4D4E6"/>
      </left>
      <right style="thick">
        <color rgb="FF3E3A3A"/>
      </right>
      <top style="thick">
        <color rgb="FF3E3A3A"/>
      </top>
      <bottom style="thin">
        <color rgb="FFD4D4E6"/>
      </bottom>
    </border>
    <border>
      <left style="thick">
        <color rgb="FF3E3A3A"/>
      </left>
      <top style="thin">
        <color rgb="FFD4D4E6"/>
      </top>
      <bottom style="thin">
        <color rgb="FFD4D4E6"/>
      </bottom>
    </border>
    <border>
      <top style="thin">
        <color rgb="FFD4D4E6"/>
      </top>
      <bottom style="thin">
        <color rgb="FFD4D4E6"/>
      </bottom>
    </border>
    <border>
      <top style="thin">
        <color rgb="FFD4D4E6"/>
      </top>
    </border>
    <border>
      <right style="thin">
        <color rgb="FFD4D4E6"/>
      </right>
      <top style="thin">
        <color rgb="FFD4D4E6"/>
      </top>
    </border>
    <border>
      <left style="thin">
        <color rgb="FFD4D4E6"/>
      </left>
      <top style="thin">
        <color rgb="FFD4D4E6"/>
      </top>
      <bottom style="thin">
        <color rgb="FFD4D4E6"/>
      </bottom>
    </border>
    <border>
      <right style="thin">
        <color rgb="FFD4D4E6"/>
      </right>
      <top style="thin">
        <color rgb="FFD4D4E6"/>
      </top>
      <bottom style="thin">
        <color rgb="FFD4D4E6"/>
      </bottom>
    </border>
    <border>
      <left style="thin">
        <color rgb="FFD4D4E6"/>
      </left>
      <right style="thick">
        <color rgb="FF3E3A3A"/>
      </right>
      <top style="thin">
        <color rgb="FFD4D4E6"/>
      </top>
      <bottom style="thin">
        <color rgb="FFD4D4E6"/>
      </bottom>
    </border>
    <border>
      <left style="thick">
        <color rgb="FF434343"/>
      </left>
      <bottom style="medium">
        <color rgb="FFD4D4E6"/>
      </bottom>
    </border>
    <border>
      <bottom style="medium">
        <color rgb="FFD4D4E6"/>
      </bottom>
    </border>
    <border>
      <right style="thick">
        <color rgb="FF434343"/>
      </right>
      <bottom style="medium">
        <color rgb="FFD4D4E6"/>
      </bottom>
    </border>
    <border>
      <right style="thin">
        <color rgb="FFD4D4E6"/>
      </right>
    </border>
    <border>
      <left style="thick">
        <color rgb="FF434343"/>
      </left>
      <top style="medium">
        <color rgb="FFD4D4E6"/>
      </top>
      <bottom style="medium">
        <color rgb="FFD4D4E6"/>
      </bottom>
    </border>
    <border>
      <top style="medium">
        <color rgb="FFD4D4E6"/>
      </top>
      <bottom style="medium">
        <color rgb="FFD4D4E6"/>
      </bottom>
    </border>
    <border>
      <right style="thick">
        <color rgb="FF434343"/>
      </right>
      <top style="medium">
        <color rgb="FFD4D4E6"/>
      </top>
      <bottom style="medium">
        <color rgb="FFD4D4E6"/>
      </bottom>
    </border>
    <border>
      <left style="thick">
        <color rgb="FF3E3A3A"/>
      </left>
      <right style="thin">
        <color rgb="FFD4D4E6"/>
      </right>
      <top style="thin">
        <color rgb="FFD4D4E6"/>
      </top>
      <bottom style="thin">
        <color rgb="FFD4D4E6"/>
      </bottom>
    </border>
    <border>
      <left style="thin">
        <color rgb="FFD4D4E6"/>
      </left>
      <right style="thin">
        <color rgb="FFD4D4E6"/>
      </right>
    </border>
    <border>
      <left style="thick">
        <color rgb="FF434343"/>
      </left>
      <right style="medium">
        <color rgb="FFD4D4E6"/>
      </right>
      <top style="medium">
        <color rgb="FFD4D4E6"/>
      </top>
      <bottom style="medium">
        <color rgb="FFD4D4E6"/>
      </bottom>
    </border>
    <border>
      <left style="medium">
        <color rgb="FFD4D4E6"/>
      </left>
      <right style="medium">
        <color rgb="FFD4D4E6"/>
      </right>
      <top style="medium">
        <color rgb="FFD4D4E6"/>
      </top>
      <bottom style="medium">
        <color rgb="FFD4D4E6"/>
      </bottom>
    </border>
    <border>
      <left style="medium">
        <color rgb="FFD4D4E6"/>
      </left>
      <right style="thick">
        <color rgb="FF434343"/>
      </right>
      <top style="medium">
        <color rgb="FFD4D4E6"/>
      </top>
      <bottom style="medium">
        <color rgb="FFD4D4E6"/>
      </bottom>
    </border>
    <border>
      <left style="medium">
        <color rgb="FFD4D4E6"/>
      </left>
      <top style="medium">
        <color rgb="FFD4D4E6"/>
      </top>
      <bottom style="medium">
        <color rgb="FFD4D4E6"/>
      </bottom>
    </border>
    <border>
      <right style="medium">
        <color rgb="FFD4D4E6"/>
      </right>
      <top style="medium">
        <color rgb="FFD4D4E6"/>
      </top>
      <bottom style="medium">
        <color rgb="FFD4D4E6"/>
      </bottom>
    </border>
    <border>
      <left style="thick">
        <color rgb="FF434343"/>
      </left>
      <right style="medium">
        <color rgb="FFD4D4E6"/>
      </right>
      <top style="medium">
        <color rgb="FFD4D4E6"/>
      </top>
    </border>
    <border>
      <left style="medium">
        <color rgb="FFD4D4E6"/>
      </left>
      <right style="medium">
        <color rgb="FFD4D4E6"/>
      </right>
      <top style="medium">
        <color rgb="FFD4D4E6"/>
      </top>
    </border>
    <border>
      <left style="medium">
        <color rgb="FFD4D4E6"/>
      </left>
      <right style="thick">
        <color rgb="FF434343"/>
      </right>
      <top style="medium">
        <color rgb="FFD4D4E6"/>
      </top>
    </border>
    <border>
      <left style="thin">
        <color rgb="FFD4D4E6"/>
      </left>
      <right style="thin">
        <color rgb="FFD4D4E6"/>
      </right>
      <top style="thin">
        <color rgb="FFD4D4E6"/>
      </top>
      <bottom style="thin">
        <color rgb="FFD4D4E6"/>
      </bottom>
    </border>
    <border>
      <left style="thin">
        <color rgb="FFD4D4E6"/>
      </left>
      <right style="thin">
        <color rgb="FFD4D4E6"/>
      </right>
      <bottom style="thin">
        <color rgb="FFD4D4E6"/>
      </bottom>
    </border>
    <border>
      <left style="thick">
        <color rgb="FF434343"/>
      </left>
      <top style="medium">
        <color rgb="FF434343"/>
      </top>
      <bottom style="thin">
        <color rgb="FFD4D4E6"/>
      </bottom>
    </border>
    <border>
      <top style="medium">
        <color rgb="FF434343"/>
      </top>
      <bottom style="thin">
        <color rgb="FFD4D4E6"/>
      </bottom>
    </border>
    <border>
      <right style="thick">
        <color rgb="FF434343"/>
      </right>
      <top style="medium">
        <color rgb="FF434343"/>
      </top>
      <bottom style="thin">
        <color rgb="FFD4D4E6"/>
      </bottom>
    </border>
    <border>
      <left style="thin">
        <color rgb="FFD4D4E6"/>
      </left>
      <right style="thin">
        <color rgb="FFD4D4E6"/>
      </right>
      <top style="thin">
        <color rgb="FFD4D4E6"/>
      </top>
    </border>
    <border>
      <left style="thick">
        <color rgb="FF434343"/>
      </left>
      <top style="thin">
        <color rgb="FFD4D4E6"/>
      </top>
      <bottom style="thin">
        <color rgb="FFD4D4E6"/>
      </bottom>
    </border>
    <border>
      <right style="thick">
        <color rgb="FF434343"/>
      </right>
      <top style="thin">
        <color rgb="FFD4D4E6"/>
      </top>
      <bottom style="thin">
        <color rgb="FFD4D4E6"/>
      </bottom>
    </border>
    <border>
      <left style="thick">
        <color rgb="FF434343"/>
      </left>
      <top style="thin">
        <color rgb="FFD4D4E6"/>
      </top>
    </border>
    <border>
      <left style="thin">
        <color rgb="FFD4D4E6"/>
      </left>
      <right style="thick">
        <color rgb="FF434343"/>
      </right>
      <top style="thin">
        <color rgb="FFD4D4E6"/>
      </top>
    </border>
    <border>
      <right style="thin">
        <color rgb="FFD4D4E6"/>
      </right>
      <top style="medium">
        <color rgb="FF434343"/>
      </top>
      <bottom style="thin">
        <color rgb="FFD4D4E6"/>
      </bottom>
    </border>
    <border>
      <left style="thick">
        <color rgb="FF434343"/>
      </left>
      <top style="thin">
        <color rgb="FFD4D4E6"/>
      </top>
      <bottom style="thick">
        <color rgb="FF434343"/>
      </bottom>
    </border>
    <border>
      <top style="thin">
        <color rgb="FFD4D4E6"/>
      </top>
      <bottom style="thick">
        <color rgb="FF434343"/>
      </bottom>
    </border>
    <border>
      <right style="thin">
        <color rgb="FFD4D4E6"/>
      </right>
      <top style="thin">
        <color rgb="FFD4D4E6"/>
      </top>
      <bottom style="thick">
        <color rgb="FF434343"/>
      </bottom>
    </border>
    <border>
      <right style="thick">
        <color rgb="FF434343"/>
      </right>
      <top style="thin">
        <color rgb="FFD4D4E6"/>
      </top>
      <bottom style="thick">
        <color rgb="FF434343"/>
      </bottom>
    </border>
    <border>
      <bottom style="thin">
        <color rgb="FFD4D4E6"/>
      </bottom>
    </border>
    <border>
      <right style="thin">
        <color rgb="FFD4D4E6"/>
      </right>
      <bottom style="thin">
        <color rgb="FFD4D4E6"/>
      </bottom>
    </border>
    <border>
      <left style="thick">
        <color rgb="FF3E3A3A"/>
      </left>
      <right style="thin">
        <color rgb="FF5492A4"/>
      </right>
      <bottom style="thin">
        <color rgb="FF5492A4"/>
      </bottom>
    </border>
    <border>
      <left style="thin">
        <color rgb="FF5492A4"/>
      </left>
      <right style="thin">
        <color rgb="FF5492A4"/>
      </right>
      <bottom style="thin">
        <color rgb="FF5492A4"/>
      </bottom>
    </border>
    <border>
      <left style="thin">
        <color rgb="FF5492A4"/>
      </left>
      <top style="thin">
        <color rgb="FF3E3A3A"/>
      </top>
      <bottom style="thin">
        <color rgb="FF5492A4"/>
      </bottom>
    </border>
    <border>
      <right style="thick">
        <color rgb="FF3E3A3A"/>
      </right>
      <top style="thin">
        <color rgb="FF3E3A3A"/>
      </top>
      <bottom style="thin">
        <color rgb="FF5492A4"/>
      </bottom>
    </border>
    <border>
      <left style="thick">
        <color rgb="FF3E3A3A"/>
      </left>
      <right style="thin">
        <color rgb="FF5492A4"/>
      </right>
      <top style="thin">
        <color rgb="FF5492A4"/>
      </top>
      <bottom style="thin">
        <color rgb="FF5492A4"/>
      </bottom>
    </border>
    <border>
      <left style="thin">
        <color rgb="FF5492A4"/>
      </left>
      <right style="thin">
        <color rgb="FF5492A4"/>
      </right>
      <top style="thin">
        <color rgb="FF5492A4"/>
      </top>
      <bottom style="thin">
        <color rgb="FF5492A4"/>
      </bottom>
    </border>
    <border>
      <left style="thin">
        <color rgb="FF5492A4"/>
      </left>
      <top style="thin">
        <color rgb="FF5492A4"/>
      </top>
      <bottom style="thin">
        <color rgb="FF5492A4"/>
      </bottom>
    </border>
    <border>
      <right style="thick">
        <color rgb="FF3E3A3A"/>
      </right>
      <top style="thin">
        <color rgb="FF5492A4"/>
      </top>
      <bottom style="thin">
        <color rgb="FF5492A4"/>
      </bottom>
    </border>
    <border>
      <left style="thick">
        <color rgb="FF3E3A3A"/>
      </left>
      <right style="thin">
        <color rgb="FF5492A4"/>
      </right>
      <top style="thin">
        <color rgb="FF5492A4"/>
      </top>
    </border>
    <border>
      <left style="thin">
        <color rgb="FF5492A4"/>
      </left>
      <right style="thin">
        <color rgb="FF5492A4"/>
      </right>
      <top style="thin">
        <color rgb="FF5492A4"/>
      </top>
    </border>
    <border>
      <left style="thin">
        <color rgb="FF5492A4"/>
      </left>
      <top style="thin">
        <color rgb="FF5492A4"/>
      </top>
      <bottom style="medium">
        <color rgb="FF3E3A3A"/>
      </bottom>
    </border>
    <border>
      <right style="thick">
        <color rgb="FF3E3A3A"/>
      </right>
      <top style="thin">
        <color rgb="FF5492A4"/>
      </top>
      <bottom style="medium">
        <color rgb="FF3E3A3A"/>
      </bottom>
    </border>
    <border>
      <left style="thin">
        <color rgb="FFFFFFFF"/>
      </left>
      <top style="thin">
        <color rgb="FFD4D4E6"/>
      </top>
      <bottom style="thin">
        <color rgb="FFD4D4E6"/>
      </bottom>
    </border>
    <border>
      <left style="thick">
        <color rgb="FF3E3A3A"/>
      </left>
      <right style="thin">
        <color rgb="FFD4D4E6"/>
      </right>
      <top style="thin">
        <color rgb="FFD4D4E6"/>
      </top>
      <bottom style="thick">
        <color rgb="FF3E3A3A"/>
      </bottom>
    </border>
    <border>
      <left style="thin">
        <color rgb="FFD4D4E6"/>
      </left>
      <right style="thin">
        <color rgb="FFD4D4E6"/>
      </right>
      <top style="thin">
        <color rgb="FFD4D4E6"/>
      </top>
      <bottom style="thick">
        <color rgb="FF3E3A3A"/>
      </bottom>
    </border>
    <border>
      <left style="thin">
        <color rgb="FFD4D4E6"/>
      </left>
      <right style="thin">
        <color rgb="FFD4D4E6"/>
      </right>
      <bottom style="thick">
        <color rgb="FF3E3A3A"/>
      </bottom>
    </border>
    <border>
      <left style="thin">
        <color rgb="FFD4D4E6"/>
      </left>
      <right style="thick">
        <color rgb="FF3E3A3A"/>
      </right>
      <top style="thin">
        <color rgb="FFD4D4E6"/>
      </top>
      <bottom style="thick">
        <color rgb="FF3E3A3A"/>
      </bottom>
    </border>
    <border>
      <left style="thick">
        <color rgb="FF3E3A3A"/>
      </left>
      <right style="thin">
        <color rgb="FFD5CCCC"/>
      </right>
      <bottom style="thin">
        <color rgb="FFD5CCCC"/>
      </bottom>
    </border>
    <border>
      <left style="thin">
        <color rgb="FFD5CCCC"/>
      </left>
      <right style="thin">
        <color rgb="FFD5CCCC"/>
      </right>
    </border>
    <border>
      <left style="thin">
        <color rgb="FFD5CCCC"/>
      </left>
      <right style="thin">
        <color rgb="FFD5CCCC"/>
      </right>
      <bottom style="thin">
        <color rgb="FFD5CCCC"/>
      </bottom>
    </border>
    <border>
      <left style="thin">
        <color rgb="FFD5CCCC"/>
      </left>
      <right style="thick">
        <color rgb="FF3E3A3A"/>
      </right>
      <bottom style="thin">
        <color rgb="FFD5CCCC"/>
      </bottom>
    </border>
    <border>
      <left style="thick">
        <color rgb="FF3E3A3A"/>
      </left>
      <top style="thin">
        <color rgb="FFD5CCCC"/>
      </top>
      <bottom style="thin">
        <color rgb="FFD5CCCC"/>
      </bottom>
    </border>
    <border>
      <top style="thin">
        <color rgb="FFD5CCCC"/>
      </top>
      <bottom style="thin">
        <color rgb="FFD5CCCC"/>
      </bottom>
    </border>
    <border>
      <right style="thin">
        <color rgb="FFD5CCCC"/>
      </right>
      <top style="thin">
        <color rgb="FFD5CCCC"/>
      </top>
    </border>
    <border>
      <left style="thin">
        <color rgb="FFD5CCCC"/>
      </left>
      <top style="thin">
        <color rgb="FFD5CCCC"/>
      </top>
      <bottom style="thin">
        <color rgb="FFD5CCCC"/>
      </bottom>
    </border>
    <border>
      <right style="thin">
        <color rgb="FFD5CCCC"/>
      </right>
      <top style="thin">
        <color rgb="FFD5CCCC"/>
      </top>
      <bottom style="thin">
        <color rgb="FFD5CCCC"/>
      </bottom>
    </border>
    <border>
      <left style="thin">
        <color rgb="FFD5CCCC"/>
      </left>
      <right style="thin">
        <color rgb="FFD5CCCC"/>
      </right>
      <top style="thin">
        <color rgb="FFD5CCCC"/>
      </top>
    </border>
    <border>
      <left style="thin">
        <color rgb="FFD5CCCC"/>
      </left>
      <right style="thick">
        <color rgb="FF3E3A3A"/>
      </right>
      <top style="thin">
        <color rgb="FFD5CCCC"/>
      </top>
      <bottom style="thin">
        <color rgb="FFD5CCCC"/>
      </bottom>
    </border>
    <border>
      <left style="thick">
        <color rgb="FF434343"/>
      </left>
      <bottom style="medium">
        <color rgb="FFD5CCCC"/>
      </bottom>
    </border>
    <border>
      <bottom style="medium">
        <color rgb="FFD5CCCC"/>
      </bottom>
    </border>
    <border>
      <right style="thick">
        <color rgb="FF434343"/>
      </right>
      <bottom style="medium">
        <color rgb="FFD5CCCC"/>
      </bottom>
    </border>
    <border>
      <right style="thin">
        <color rgb="FFD5CCCC"/>
      </right>
    </border>
    <border>
      <left style="thick">
        <color rgb="FF434343"/>
      </left>
      <top style="medium">
        <color rgb="FFD5CCCC"/>
      </top>
      <bottom style="medium">
        <color rgb="FFD5CCCC"/>
      </bottom>
    </border>
    <border>
      <top style="medium">
        <color rgb="FFD5CCCC"/>
      </top>
      <bottom style="medium">
        <color rgb="FFD5CCCC"/>
      </bottom>
    </border>
    <border>
      <right style="thick">
        <color rgb="FF434343"/>
      </right>
      <top style="medium">
        <color rgb="FFD5CCCC"/>
      </top>
      <bottom style="medium">
        <color rgb="FFD5CCCC"/>
      </bottom>
    </border>
    <border>
      <left style="thick">
        <color rgb="FF3E3A3A"/>
      </left>
      <right style="thin">
        <color rgb="FFD5CCCC"/>
      </right>
      <top style="thin">
        <color rgb="FFD5CCCC"/>
      </top>
      <bottom style="thin">
        <color rgb="FFD5CCCC"/>
      </bottom>
    </border>
    <border>
      <left style="thick">
        <color rgb="FF434343"/>
      </left>
      <right style="medium">
        <color rgb="FFD5CCCC"/>
      </right>
      <top style="medium">
        <color rgb="FFD5CCCC"/>
      </top>
      <bottom style="medium">
        <color rgb="FFD5CCCC"/>
      </bottom>
    </border>
    <border>
      <left style="medium">
        <color rgb="FFD5CCCC"/>
      </left>
      <top style="medium">
        <color rgb="FFD5CCCC"/>
      </top>
      <bottom style="medium">
        <color rgb="FFD5CCCC"/>
      </bottom>
    </border>
    <border>
      <right style="medium">
        <color rgb="FFD5CCCC"/>
      </right>
      <top style="medium">
        <color rgb="FFD5CCCC"/>
      </top>
      <bottom style="medium">
        <color rgb="FFD5CCCC"/>
      </bottom>
    </border>
    <border>
      <left style="medium">
        <color rgb="FFD5CCCC"/>
      </left>
      <right style="thick">
        <color rgb="FF434343"/>
      </right>
      <top style="medium">
        <color rgb="FFD5CCCC"/>
      </top>
      <bottom style="medium">
        <color rgb="FFD5CCCC"/>
      </bottom>
    </border>
    <border>
      <left style="medium">
        <color rgb="FFD5CCCC"/>
      </left>
      <right style="medium">
        <color rgb="FFD5CCCC"/>
      </right>
      <top style="medium">
        <color rgb="FFD5CCCC"/>
      </top>
      <bottom style="medium">
        <color rgb="FFD5CCCC"/>
      </bottom>
    </border>
    <border>
      <left style="thick">
        <color rgb="FF434343"/>
      </left>
      <right style="medium">
        <color rgb="FFD5CCCC"/>
      </right>
      <top style="medium">
        <color rgb="FFD5CCCC"/>
      </top>
    </border>
    <border>
      <left style="medium">
        <color rgb="FFD5CCCC"/>
      </left>
      <right style="medium">
        <color rgb="FFD5CCCC"/>
      </right>
      <top style="medium">
        <color rgb="FFD5CCCC"/>
      </top>
    </border>
    <border>
      <left style="medium">
        <color rgb="FFD5CCCC"/>
      </left>
      <right style="thick">
        <color rgb="FF434343"/>
      </right>
      <top style="medium">
        <color rgb="FFD5CCCC"/>
      </top>
    </border>
    <border>
      <left style="thin">
        <color rgb="FFD5CCCC"/>
      </left>
      <right style="thin">
        <color rgb="FFD5CCCC"/>
      </right>
      <top style="thin">
        <color rgb="FFD5CCCC"/>
      </top>
      <bottom style="thin">
        <color rgb="FFD5CCCC"/>
      </bottom>
    </border>
    <border>
      <left style="thick">
        <color rgb="FF434343"/>
      </left>
      <top style="medium">
        <color rgb="FF434343"/>
      </top>
      <bottom style="thin">
        <color rgb="FFD5CCCC"/>
      </bottom>
    </border>
    <border>
      <top style="medium">
        <color rgb="FF434343"/>
      </top>
      <bottom style="thin">
        <color rgb="FFD5CCCC"/>
      </bottom>
    </border>
    <border>
      <right style="thick">
        <color rgb="FF434343"/>
      </right>
      <top style="medium">
        <color rgb="FF434343"/>
      </top>
      <bottom style="thin">
        <color rgb="FFD5CCCC"/>
      </bottom>
    </border>
    <border>
      <left style="thick">
        <color rgb="FF434343"/>
      </left>
      <top style="thin">
        <color rgb="FFD5CCCC"/>
      </top>
      <bottom style="thin">
        <color rgb="FFD5CCCC"/>
      </bottom>
    </border>
    <border>
      <right style="thick">
        <color rgb="FF434343"/>
      </right>
      <top style="thin">
        <color rgb="FFD5CCCC"/>
      </top>
      <bottom style="thin">
        <color rgb="FFD5CCCC"/>
      </bottom>
    </border>
    <border>
      <left style="thick">
        <color rgb="FF434343"/>
      </left>
      <top style="thin">
        <color rgb="FFD5CCCC"/>
      </top>
    </border>
    <border>
      <top style="thin">
        <color rgb="FFD5CCCC"/>
      </top>
    </border>
    <border>
      <left style="thin">
        <color rgb="FFD5CCCC"/>
      </left>
      <right style="thick">
        <color rgb="FF434343"/>
      </right>
      <top style="thin">
        <color rgb="FFD5CCCC"/>
      </top>
    </border>
    <border>
      <right style="thin">
        <color rgb="FFD5CCCC"/>
      </right>
      <top style="medium">
        <color rgb="FF434343"/>
      </top>
      <bottom style="thin">
        <color rgb="FFD5CCCC"/>
      </bottom>
    </border>
    <border>
      <left style="thick">
        <color rgb="FF434343"/>
      </left>
      <top style="thin">
        <color rgb="FFD5CCCC"/>
      </top>
      <bottom style="thick">
        <color rgb="FF434343"/>
      </bottom>
    </border>
    <border>
      <top style="thin">
        <color rgb="FFD5CCCC"/>
      </top>
      <bottom style="thick">
        <color rgb="FF434343"/>
      </bottom>
    </border>
    <border>
      <right style="thin">
        <color rgb="FFD5CCCC"/>
      </right>
      <top style="thin">
        <color rgb="FFD5CCCC"/>
      </top>
      <bottom style="thick">
        <color rgb="FF434343"/>
      </bottom>
    </border>
    <border>
      <right style="thick">
        <color rgb="FF434343"/>
      </right>
      <top style="thin">
        <color rgb="FFD5CCCC"/>
      </top>
      <bottom style="thick">
        <color rgb="FF434343"/>
      </bottom>
    </border>
    <border>
      <right style="thin">
        <color rgb="FFD5CCCC"/>
      </right>
      <bottom style="thin">
        <color rgb="FFD5CCCC"/>
      </bottom>
    </border>
    <border>
      <left style="thin">
        <color rgb="FFD5CCCC"/>
      </left>
      <right style="thin">
        <color rgb="FFD5CCCC"/>
      </right>
      <bottom style="thin">
        <color rgb="FFD4D4E6"/>
      </bottom>
    </border>
    <border>
      <left style="thin">
        <color rgb="FFD4D4E6"/>
      </left>
      <right style="thin">
        <color rgb="FFD5CCCC"/>
      </right>
      <top style="thin">
        <color rgb="FFD5CCCC"/>
      </top>
      <bottom style="thin">
        <color rgb="FFD5CCCC"/>
      </bottom>
    </border>
    <border>
      <left style="thick">
        <color rgb="FF3E3A3A"/>
      </left>
      <right style="thin">
        <color rgb="FF4F4F4F"/>
      </right>
      <bottom style="thin">
        <color rgb="FF4F4F4F"/>
      </bottom>
    </border>
    <border>
      <left style="thin">
        <color rgb="FF4F4F4F"/>
      </left>
      <right style="thin">
        <color rgb="FF4F4F4F"/>
      </right>
      <bottom style="thin">
        <color rgb="FF4F4F4F"/>
      </bottom>
    </border>
    <border>
      <left style="thin">
        <color rgb="FF4F4F4F"/>
      </left>
      <top style="thin">
        <color rgb="FF3E3A3A"/>
      </top>
      <bottom style="thin">
        <color rgb="FF4F4F4F"/>
      </bottom>
    </border>
    <border>
      <right style="thick">
        <color rgb="FF3E3A3A"/>
      </right>
      <top style="thin">
        <color rgb="FF3E3A3A"/>
      </top>
      <bottom style="thin">
        <color rgb="FF4F4F4F"/>
      </bottom>
    </border>
    <border>
      <left style="thick">
        <color rgb="FF3E3A3A"/>
      </left>
      <right style="thin">
        <color rgb="FF4F4F4F"/>
      </right>
      <top style="thin">
        <color rgb="FF4F4F4F"/>
      </top>
      <bottom style="thin">
        <color rgb="FF4F4F4F"/>
      </bottom>
    </border>
    <border>
      <left style="thin">
        <color rgb="FF4F4F4F"/>
      </left>
      <right style="thin">
        <color rgb="FF4F4F4F"/>
      </right>
      <top style="thin">
        <color rgb="FF4F4F4F"/>
      </top>
      <bottom style="thin">
        <color rgb="FF4F4F4F"/>
      </bottom>
    </border>
    <border>
      <left style="thin">
        <color rgb="FF4F4F4F"/>
      </left>
      <top style="thin">
        <color rgb="FF4F4F4F"/>
      </top>
      <bottom style="thin">
        <color rgb="FF4F4F4F"/>
      </bottom>
    </border>
    <border>
      <right style="thick">
        <color rgb="FF3E3A3A"/>
      </right>
      <top style="thin">
        <color rgb="FF4F4F4F"/>
      </top>
      <bottom style="thin">
        <color rgb="FF4F4F4F"/>
      </bottom>
    </border>
    <border>
      <left style="thick">
        <color rgb="FF3E3A3A"/>
      </left>
      <right style="thin">
        <color rgb="FF4F4F4F"/>
      </right>
      <top style="thin">
        <color rgb="FF4F4F4F"/>
      </top>
    </border>
    <border>
      <left style="thin">
        <color rgb="FF4F4F4F"/>
      </left>
      <right style="thin">
        <color rgb="FF4F4F4F"/>
      </right>
      <top style="thin">
        <color rgb="FF4F4F4F"/>
      </top>
    </border>
    <border>
      <left style="thin">
        <color rgb="FF4F4F4F"/>
      </left>
      <top style="thin">
        <color rgb="FF4F4F4F"/>
      </top>
      <bottom style="medium">
        <color rgb="FF3E3A3A"/>
      </bottom>
    </border>
    <border>
      <right style="thick">
        <color rgb="FF3E3A3A"/>
      </right>
      <top style="thin">
        <color rgb="FF4F4F4F"/>
      </top>
      <bottom style="medium">
        <color rgb="FF3E3A3A"/>
      </bottom>
    </border>
    <border>
      <left style="thick">
        <color rgb="FF3E3A3A"/>
      </left>
      <right style="thin">
        <color rgb="FFD5CCCC"/>
      </right>
      <top style="thin">
        <color rgb="FFD5CCCC"/>
      </top>
      <bottom style="thick">
        <color rgb="FF3E3A3A"/>
      </bottom>
    </border>
    <border>
      <left style="thin">
        <color rgb="FFD5CCCC"/>
      </left>
      <right style="thin">
        <color rgb="FFD5CCCC"/>
      </right>
      <top style="thin">
        <color rgb="FFD5CCCC"/>
      </top>
      <bottom style="thick">
        <color rgb="FF3E3A3A"/>
      </bottom>
    </border>
    <border>
      <left style="thin">
        <color rgb="FFD5CCCC"/>
      </left>
      <right style="thin">
        <color rgb="FFD5CCCC"/>
      </right>
      <bottom style="thick">
        <color rgb="FF3E3A3A"/>
      </bottom>
    </border>
    <border>
      <left style="thin">
        <color rgb="FFD5CCCC"/>
      </left>
      <right style="thick">
        <color rgb="FF3E3A3A"/>
      </right>
      <top style="thin">
        <color rgb="FFD5CCCC"/>
      </top>
      <bottom style="thick">
        <color rgb="FF3E3A3A"/>
      </bottom>
    </border>
    <border>
      <left style="thick">
        <color rgb="FF3E3A3A"/>
      </left>
      <bottom style="thin">
        <color rgb="FFD5CCCC"/>
      </bottom>
    </border>
    <border>
      <left style="thin">
        <color rgb="FFD5CCCC"/>
      </left>
      <top style="thin">
        <color rgb="FFD5CCCC"/>
      </top>
    </border>
    <border>
      <left style="thick">
        <color rgb="FF434343"/>
      </left>
      <bottom style="thin">
        <color rgb="FFD5CCCC"/>
      </bottom>
    </border>
    <border>
      <bottom style="thin">
        <color rgb="FFD5CCCC"/>
      </bottom>
    </border>
    <border>
      <right style="thick">
        <color rgb="FF434343"/>
      </right>
      <bottom style="thin">
        <color rgb="FFD5CCCC"/>
      </bottom>
    </border>
    <border>
      <right style="thin">
        <color rgb="FFD5CCCC"/>
      </right>
      <bottom style="thick">
        <color rgb="FF434343"/>
      </bottom>
    </border>
    <border>
      <left style="thin">
        <color rgb="FFD5CCCC"/>
      </left>
      <right style="thick">
        <color rgb="FF434343"/>
      </right>
      <top style="thin">
        <color rgb="FFD5CCCC"/>
      </top>
      <bottom style="thin">
        <color rgb="FFD5CCCC"/>
      </bottom>
    </border>
    <border>
      <left style="thin">
        <color rgb="FFD5CCCC"/>
      </left>
      <right style="thick">
        <color rgb="FF434343"/>
      </right>
      <bottom style="thin">
        <color rgb="FFD5CCCC"/>
      </bottom>
    </border>
    <border>
      <left style="thick">
        <color rgb="FF3E3A3A"/>
      </left>
      <right style="thin">
        <color rgb="FFD5CCCC"/>
      </right>
      <top style="thin">
        <color rgb="FFD5CCCC"/>
      </top>
    </border>
    <border>
      <left style="thin">
        <color rgb="FFD5CCCC"/>
      </left>
      <right style="thick">
        <color rgb="FF3E3A3A"/>
      </right>
      <top style="thin">
        <color rgb="FFD5CCCC"/>
      </top>
    </border>
    <border>
      <left style="thick">
        <color rgb="FF3E3A3A"/>
      </left>
      <right style="thin">
        <color rgb="FFDAC7C3"/>
      </right>
      <top style="thick">
        <color rgb="FF3E3A3A"/>
      </top>
      <bottom style="thin">
        <color rgb="FFDAC7C3"/>
      </bottom>
    </border>
    <border>
      <left style="thin">
        <color rgb="FFDAC7C3"/>
      </left>
      <right style="thin">
        <color rgb="FFDAC7C3"/>
      </right>
      <top style="thick">
        <color rgb="FF3E3A3A"/>
      </top>
    </border>
    <border>
      <left style="thin">
        <color rgb="FFDAC7C3"/>
      </left>
      <right style="thin">
        <color rgb="FFDAC7C3"/>
      </right>
      <top style="thick">
        <color rgb="FF3E3A3A"/>
      </top>
      <bottom style="thin">
        <color rgb="FFDAC7C3"/>
      </bottom>
    </border>
    <border>
      <left style="thin">
        <color rgb="FFDAC7C3"/>
      </left>
      <right style="thick">
        <color rgb="FF3E3A3A"/>
      </right>
      <top style="thick">
        <color rgb="FF3E3A3A"/>
      </top>
      <bottom style="thin">
        <color rgb="FFDAC7C3"/>
      </bottom>
    </border>
    <border>
      <left style="thick">
        <color rgb="FF3E3A3A"/>
      </left>
      <top style="thin">
        <color rgb="FFDAC7C3"/>
      </top>
      <bottom style="thin">
        <color rgb="FFDAC7C3"/>
      </bottom>
    </border>
    <border>
      <top style="thin">
        <color rgb="FFDAC7C3"/>
      </top>
      <bottom style="thin">
        <color rgb="FFDAC7C3"/>
      </bottom>
    </border>
    <border>
      <right style="thick">
        <color rgb="FF3E3A3A"/>
      </right>
      <top style="thin">
        <color rgb="FFDAC7C3"/>
      </top>
      <bottom style="thin">
        <color rgb="FFDAC7C3"/>
      </bottom>
    </border>
    <border>
      <left style="thick">
        <color rgb="FF434343"/>
      </left>
      <bottom style="medium">
        <color rgb="FFDAC7C3"/>
      </bottom>
    </border>
    <border>
      <bottom style="medium">
        <color rgb="FFDAC7C3"/>
      </bottom>
    </border>
    <border>
      <right style="thick">
        <color rgb="FF434343"/>
      </right>
      <bottom style="medium">
        <color rgb="FFDAC7C3"/>
      </bottom>
    </border>
    <border>
      <left style="thick">
        <color rgb="FF434343"/>
      </left>
      <top style="medium">
        <color rgb="FFDAC7C3"/>
      </top>
      <bottom style="medium">
        <color rgb="FFDAC7C3"/>
      </bottom>
    </border>
    <border>
      <top style="medium">
        <color rgb="FFDAC7C3"/>
      </top>
      <bottom style="medium">
        <color rgb="FFDAC7C3"/>
      </bottom>
    </border>
    <border>
      <right style="thick">
        <color rgb="FF434343"/>
      </right>
      <top style="medium">
        <color rgb="FFDAC7C3"/>
      </top>
      <bottom style="medium">
        <color rgb="FFDAC7C3"/>
      </bottom>
    </border>
    <border>
      <left style="thick">
        <color rgb="FF3E3A3A"/>
      </left>
      <right style="thin">
        <color rgb="FFDAC7C3"/>
      </right>
      <top style="thin">
        <color rgb="FFDAC7C3"/>
      </top>
      <bottom style="thin">
        <color rgb="FFDAC7C3"/>
      </bottom>
    </border>
    <border>
      <left style="thin">
        <color rgb="FFDAC7C3"/>
      </left>
      <right style="thin">
        <color rgb="FFDAC7C3"/>
      </right>
    </border>
    <border>
      <left style="thin">
        <color rgb="FFDAC7C3"/>
      </left>
      <top style="thin">
        <color rgb="FFDAC7C3"/>
      </top>
      <bottom style="thin">
        <color rgb="FFDAC7C3"/>
      </bottom>
    </border>
    <border>
      <left style="thick">
        <color rgb="FF434343"/>
      </left>
      <right style="medium">
        <color rgb="FFDAC7C3"/>
      </right>
      <top style="medium">
        <color rgb="FFDAC7C3"/>
      </top>
      <bottom style="medium">
        <color rgb="FFDAC7C3"/>
      </bottom>
    </border>
    <border>
      <left style="medium">
        <color rgb="FFDAC7C3"/>
      </left>
      <right style="medium">
        <color rgb="FFDAC7C3"/>
      </right>
      <top style="medium">
        <color rgb="FFDAC7C3"/>
      </top>
      <bottom style="medium">
        <color rgb="FFDAC7C3"/>
      </bottom>
    </border>
    <border>
      <left style="medium">
        <color rgb="FFDAC7C3"/>
      </left>
      <right style="thick">
        <color rgb="FF434343"/>
      </right>
      <top style="medium">
        <color rgb="FFDAC7C3"/>
      </top>
      <bottom style="medium">
        <color rgb="FFDAC7C3"/>
      </bottom>
    </border>
    <border>
      <left style="medium">
        <color rgb="FFDAC7C3"/>
      </left>
      <top style="medium">
        <color rgb="FFDAC7C3"/>
      </top>
      <bottom style="medium">
        <color rgb="FFDAC7C3"/>
      </bottom>
    </border>
    <border>
      <right style="medium">
        <color rgb="FFDAC7C3"/>
      </right>
      <top style="medium">
        <color rgb="FFDAC7C3"/>
      </top>
      <bottom style="medium">
        <color rgb="FFDAC7C3"/>
      </bottom>
    </border>
    <border>
      <left style="thick">
        <color rgb="FF434343"/>
      </left>
      <right style="medium">
        <color rgb="FFDAC7C3"/>
      </right>
      <top style="medium">
        <color rgb="FFDAC7C3"/>
      </top>
    </border>
    <border>
      <left style="medium">
        <color rgb="FFDAC7C3"/>
      </left>
      <right style="medium">
        <color rgb="FFDAC7C3"/>
      </right>
      <top style="medium">
        <color rgb="FFDAC7C3"/>
      </top>
    </border>
    <border>
      <left style="medium">
        <color rgb="FFDAC7C3"/>
      </left>
      <right style="thick">
        <color rgb="FF434343"/>
      </right>
      <top style="medium">
        <color rgb="FFDAC7C3"/>
      </top>
    </border>
    <border>
      <left style="thin">
        <color rgb="FFDAC7C3"/>
      </left>
      <right style="thin">
        <color rgb="FFDAC7C3"/>
      </right>
      <bottom style="thin">
        <color rgb="FFDAC7C3"/>
      </bottom>
    </border>
    <border>
      <left style="thick">
        <color rgb="FF434343"/>
      </left>
      <top style="medium">
        <color rgb="FF434343"/>
      </top>
      <bottom style="thin">
        <color rgb="FFDAC7C3"/>
      </bottom>
    </border>
    <border>
      <top style="medium">
        <color rgb="FF434343"/>
      </top>
      <bottom style="thin">
        <color rgb="FFDAC7C3"/>
      </bottom>
    </border>
    <border>
      <right style="thick">
        <color rgb="FF434343"/>
      </right>
      <top style="medium">
        <color rgb="FF434343"/>
      </top>
      <bottom style="thin">
        <color rgb="FFDAC7C3"/>
      </bottom>
    </border>
    <border>
      <left style="thin">
        <color rgb="FFDAC7C3"/>
      </left>
      <right style="thin">
        <color rgb="FFDAC7C3"/>
      </right>
      <top style="thin">
        <color rgb="FFDAC7C3"/>
      </top>
    </border>
    <border>
      <left style="thick">
        <color rgb="FF434343"/>
      </left>
      <top style="thin">
        <color rgb="FFDAC7C3"/>
      </top>
      <bottom style="thin">
        <color rgb="FFDAC7C3"/>
      </bottom>
    </border>
    <border>
      <right style="thick">
        <color rgb="FF434343"/>
      </right>
      <top style="thin">
        <color rgb="FFDAC7C3"/>
      </top>
      <bottom style="thin">
        <color rgb="FFDAC7C3"/>
      </bottom>
    </border>
    <border>
      <left style="thick">
        <color rgb="FF434343"/>
      </left>
      <top style="thin">
        <color rgb="FFDAC7C3"/>
      </top>
    </border>
    <border>
      <top style="thin">
        <color rgb="FFDAC7C3"/>
      </top>
    </border>
    <border>
      <right style="thin">
        <color rgb="FFDAC7C3"/>
      </right>
      <top style="thin">
        <color rgb="FFDAC7C3"/>
      </top>
    </border>
    <border>
      <left style="thin">
        <color rgb="FFDAC7C3"/>
      </left>
      <right style="thick">
        <color rgb="FF434343"/>
      </right>
      <top style="thin">
        <color rgb="FFDAC7C3"/>
      </top>
    </border>
    <border>
      <right style="thin">
        <color rgb="FFDAC7C3"/>
      </right>
      <top style="medium">
        <color rgb="FF434343"/>
      </top>
      <bottom style="thin">
        <color rgb="FFDAC7C3"/>
      </bottom>
    </border>
    <border>
      <left style="thin">
        <color rgb="FFDAC7C3"/>
      </left>
      <right style="thick">
        <color rgb="FF434343"/>
      </right>
      <top style="medium">
        <color rgb="FF434343"/>
      </top>
      <bottom style="thin">
        <color rgb="FFDAC7C3"/>
      </bottom>
    </border>
    <border>
      <left style="thin">
        <color rgb="FFDAC7C3"/>
      </left>
      <right style="thin">
        <color rgb="FFDAC7C3"/>
      </right>
      <top style="thin">
        <color rgb="FFDAC7C3"/>
      </top>
      <bottom style="thin">
        <color rgb="FFDAC7C3"/>
      </bottom>
    </border>
    <border>
      <right style="thin">
        <color rgb="FFDAC7C3"/>
      </right>
      <top style="thin">
        <color rgb="FFDAC7C3"/>
      </top>
      <bottom style="thin">
        <color rgb="FFDAC7C3"/>
      </bottom>
    </border>
    <border>
      <left style="thin">
        <color rgb="FFDAC7C3"/>
      </left>
      <right style="thick">
        <color rgb="FF434343"/>
      </right>
      <top style="thin">
        <color rgb="FFDAC7C3"/>
      </top>
      <bottom style="thin">
        <color rgb="FFDAC7C3"/>
      </bottom>
    </border>
    <border>
      <left style="thick">
        <color rgb="FF434343"/>
      </left>
      <top style="thin">
        <color rgb="FFDAC7C3"/>
      </top>
      <bottom style="thick">
        <color rgb="FF434343"/>
      </bottom>
    </border>
    <border>
      <top style="thin">
        <color rgb="FFDAC7C3"/>
      </top>
      <bottom style="thick">
        <color rgb="FF434343"/>
      </bottom>
    </border>
    <border>
      <right style="thin">
        <color rgb="FFDAC7C3"/>
      </right>
      <top style="thin">
        <color rgb="FFDAC7C3"/>
      </top>
      <bottom style="thick">
        <color rgb="FF434343"/>
      </bottom>
    </border>
    <border>
      <left style="thin">
        <color rgb="FFDAC7C3"/>
      </left>
      <right style="thick">
        <color rgb="FF434343"/>
      </right>
      <top style="thin">
        <color rgb="FFDAC7C3"/>
      </top>
      <bottom style="thick">
        <color rgb="FF434343"/>
      </bottom>
    </border>
    <border>
      <left style="thin">
        <color rgb="FFDAC7C3"/>
      </left>
      <right style="thin">
        <color rgb="FFDAC7C3"/>
      </right>
      <bottom style="thin">
        <color rgb="FFD4D4E6"/>
      </bottom>
    </border>
    <border>
      <left style="thin">
        <color rgb="FFDAC7C3"/>
      </left>
      <right style="thin">
        <color rgb="FFDAC7C3"/>
      </right>
      <top style="thin">
        <color rgb="FFD5CCCC"/>
      </top>
      <bottom style="thin">
        <color rgb="FFD5CCCC"/>
      </bottom>
    </border>
    <border>
      <left style="thin">
        <color rgb="FFDAC7C3"/>
      </left>
      <right style="thick">
        <color rgb="FF3E3A3A"/>
      </right>
      <top style="thin">
        <color rgb="FFDAC7C3"/>
      </top>
      <bottom style="thin">
        <color rgb="FFDAC7C3"/>
      </bottom>
    </border>
    <border>
      <left style="thin">
        <color rgb="FFD5CCCC"/>
      </left>
      <right style="thick">
        <color rgb="FF3E3A3A"/>
      </right>
      <top style="thin">
        <color rgb="FFDAC7C3"/>
      </top>
      <bottom style="thin">
        <color rgb="FFDAC7C3"/>
      </bottom>
    </border>
    <border>
      <left style="thick">
        <color rgb="FF3E3A3A"/>
      </left>
      <right style="thin">
        <color rgb="FF826D6D"/>
      </right>
      <bottom style="thin">
        <color rgb="FF826D6D"/>
      </bottom>
    </border>
    <border>
      <left style="thin">
        <color rgb="FF826D6D"/>
      </left>
      <right style="thin">
        <color rgb="FF826D6D"/>
      </right>
      <bottom style="thin">
        <color rgb="FF826D6D"/>
      </bottom>
    </border>
    <border>
      <left style="thin">
        <color rgb="FF826D6D"/>
      </left>
      <top style="thin">
        <color rgb="FF3E3A3A"/>
      </top>
      <bottom style="thin">
        <color rgb="FF826D6D"/>
      </bottom>
    </border>
    <border>
      <right style="thick">
        <color rgb="FF3E3A3A"/>
      </right>
      <top style="thin">
        <color rgb="FF3E3A3A"/>
      </top>
      <bottom style="thin">
        <color rgb="FF826D6D"/>
      </bottom>
    </border>
    <border>
      <left style="thick">
        <color rgb="FF3E3A3A"/>
      </left>
      <right style="thin">
        <color rgb="FF826D6D"/>
      </right>
      <top style="thin">
        <color rgb="FF826D6D"/>
      </top>
      <bottom style="thin">
        <color rgb="FF826D6D"/>
      </bottom>
    </border>
    <border>
      <left style="thin">
        <color rgb="FF826D6D"/>
      </left>
      <right style="thin">
        <color rgb="FF826D6D"/>
      </right>
      <top style="thin">
        <color rgb="FF826D6D"/>
      </top>
      <bottom style="thin">
        <color rgb="FF826D6D"/>
      </bottom>
    </border>
    <border>
      <left style="thin">
        <color rgb="FF826D6D"/>
      </left>
      <top style="thin">
        <color rgb="FF826D6D"/>
      </top>
      <bottom style="thin">
        <color rgb="FF826D6D"/>
      </bottom>
    </border>
    <border>
      <right style="thick">
        <color rgb="FF3E3A3A"/>
      </right>
      <top style="thin">
        <color rgb="FF826D6D"/>
      </top>
      <bottom style="thin">
        <color rgb="FF826D6D"/>
      </bottom>
    </border>
    <border>
      <left style="thick">
        <color rgb="FF3E3A3A"/>
      </left>
      <right style="thin">
        <color rgb="FF826D6D"/>
      </right>
      <top style="thin">
        <color rgb="FF826D6D"/>
      </top>
    </border>
    <border>
      <left style="thin">
        <color rgb="FF826D6D"/>
      </left>
      <right style="thin">
        <color rgb="FF826D6D"/>
      </right>
      <top style="thin">
        <color rgb="FF826D6D"/>
      </top>
    </border>
    <border>
      <left style="thin">
        <color rgb="FF826D6D"/>
      </left>
      <top style="thin">
        <color rgb="FF826D6D"/>
      </top>
      <bottom style="medium">
        <color rgb="FF3E3A3A"/>
      </bottom>
    </border>
    <border>
      <right style="thick">
        <color rgb="FF3E3A3A"/>
      </right>
      <top style="thin">
        <color rgb="FF826D6D"/>
      </top>
      <bottom style="medium">
        <color rgb="FF3E3A3A"/>
      </bottom>
    </border>
    <border>
      <left style="thick">
        <color rgb="FF3E3A3A"/>
      </left>
      <right style="thin">
        <color rgb="FFDAC7C3"/>
      </right>
      <top style="thin">
        <color rgb="FFDAC7C3"/>
      </top>
      <bottom style="thick">
        <color rgb="FF3E3A3A"/>
      </bottom>
    </border>
    <border>
      <left style="thin">
        <color rgb="FFDAC7C3"/>
      </left>
      <right style="thin">
        <color rgb="FFDAC7C3"/>
      </right>
      <top style="thin">
        <color rgb="FFDAC7C3"/>
      </top>
      <bottom style="thick">
        <color rgb="FF3E3A3A"/>
      </bottom>
    </border>
    <border>
      <left style="thin">
        <color rgb="FFDAC7C3"/>
      </left>
      <right style="thin">
        <color rgb="FFDAC7C3"/>
      </right>
      <bottom style="thick">
        <color rgb="FF3E3A3A"/>
      </bottom>
    </border>
    <border>
      <left style="thin">
        <color rgb="FFDAC7C3"/>
      </left>
      <right style="thick">
        <color rgb="FF3E3A3A"/>
      </right>
      <top style="thin">
        <color rgb="FFDAC7C3"/>
      </top>
      <bottom style="thick">
        <color rgb="FF3E3A3A"/>
      </bottom>
    </border>
    <border>
      <left style="thick">
        <color rgb="FF3E3A3A"/>
      </left>
      <right style="thin">
        <color rgb="FFF5EFF9"/>
      </right>
      <bottom style="thin">
        <color rgb="FFF5EFF9"/>
      </bottom>
    </border>
    <border>
      <left style="thin">
        <color rgb="FFF5EFF9"/>
      </left>
      <right style="thin">
        <color rgb="FFF5EFF9"/>
      </right>
      <bottom style="thin">
        <color rgb="FFF5EFF9"/>
      </bottom>
    </border>
    <border>
      <left style="thin">
        <color rgb="FFF5EFF9"/>
      </left>
      <right style="thick">
        <color rgb="FF3E3A3A"/>
      </right>
      <bottom style="thin">
        <color rgb="FFF5EFF9"/>
      </bottom>
    </border>
    <border>
      <left style="thick">
        <color rgb="FF3E3A3A"/>
      </left>
      <right style="thin">
        <color rgb="FFF5EFF9"/>
      </right>
      <top style="thin">
        <color rgb="FFF5EFF9"/>
      </top>
      <bottom style="thin">
        <color rgb="FFF5EFF9"/>
      </bottom>
    </border>
    <border>
      <left style="thin">
        <color rgb="FFF5EFF9"/>
      </left>
      <right style="thin">
        <color rgb="FFF5EFF9"/>
      </right>
      <top style="thin">
        <color rgb="FFF5EFF9"/>
      </top>
      <bottom style="thin">
        <color rgb="FFF5EFF9"/>
      </bottom>
    </border>
    <border>
      <left style="thin">
        <color rgb="FFF5EFF9"/>
      </left>
      <top style="thin">
        <color rgb="FFF5EFF9"/>
      </top>
    </border>
    <border>
      <top style="thin">
        <color rgb="FFF5EFF9"/>
      </top>
    </border>
    <border>
      <right style="thin">
        <color rgb="FFF5EFF9"/>
      </right>
      <top style="thin">
        <color rgb="FFF5EFF9"/>
      </top>
    </border>
    <border>
      <left style="thin">
        <color rgb="FFF5EFF9"/>
      </left>
      <right style="thin">
        <color rgb="FFF5EFF9"/>
      </right>
      <top style="thin">
        <color rgb="FFF5EFF9"/>
      </top>
    </border>
    <border>
      <left style="thin">
        <color rgb="FFF5EFF9"/>
      </left>
      <right style="thick">
        <color rgb="FF3E3A3A"/>
      </right>
      <top style="thin">
        <color rgb="FFF5EFF9"/>
      </top>
      <bottom style="thin">
        <color rgb="FFF5EFF9"/>
      </bottom>
    </border>
    <border>
      <left style="thick">
        <color rgb="FF3E3A3A"/>
      </left>
      <right style="thin">
        <color rgb="FFEFEAE9"/>
      </right>
      <top style="thin">
        <color rgb="FFF5EFF9"/>
      </top>
      <bottom style="thin">
        <color rgb="FFF5EFF9"/>
      </bottom>
    </border>
    <border>
      <left style="thin">
        <color rgb="FFEFEAE9"/>
      </left>
      <top style="thin">
        <color rgb="FFF5EFF9"/>
      </top>
      <bottom style="thin">
        <color rgb="FFF5EFF9"/>
      </bottom>
    </border>
    <border>
      <right style="thick">
        <color rgb="FF3E3A3A"/>
      </right>
      <top style="thin">
        <color rgb="FFF5EFF9"/>
      </top>
      <bottom style="thin">
        <color rgb="FFF5EFF9"/>
      </bottom>
    </border>
    <border>
      <left style="thick">
        <color rgb="FF3E3A3A"/>
      </left>
      <top style="thin">
        <color rgb="FFF5EFF9"/>
      </top>
      <bottom style="thin">
        <color rgb="FFF5EFF9"/>
      </bottom>
    </border>
    <border>
      <left style="thick">
        <color rgb="FF3E3A3A"/>
      </left>
      <right style="thick">
        <color rgb="FF3E3A3A"/>
      </right>
      <top style="thick">
        <color rgb="FF3E3A3A"/>
      </top>
    </border>
    <border>
      <top style="thin">
        <color rgb="FFF5EFF9"/>
      </top>
      <bottom style="thin">
        <color rgb="FFF5EFF9"/>
      </bottom>
    </border>
    <border>
      <left style="thick">
        <color rgb="FF434343"/>
      </left>
      <bottom style="medium">
        <color rgb="FFCDB0B4"/>
      </bottom>
    </border>
    <border>
      <bottom style="medium">
        <color rgb="FFCDB0B4"/>
      </bottom>
    </border>
    <border>
      <right style="thick">
        <color rgb="FF434343"/>
      </right>
      <bottom style="medium">
        <color rgb="FFCDB0B4"/>
      </bottom>
    </border>
    <border>
      <left style="thick">
        <color rgb="FF3E3A3A"/>
      </left>
      <right style="thick">
        <color rgb="FF3E3A3A"/>
      </right>
    </border>
    <border>
      <left style="thick">
        <color rgb="FF434343"/>
      </left>
      <top style="medium">
        <color rgb="FFCDB0B4"/>
      </top>
      <bottom style="medium">
        <color rgb="FFCDB0B4"/>
      </bottom>
    </border>
    <border>
      <top style="medium">
        <color rgb="FFCDB0B4"/>
      </top>
      <bottom style="medium">
        <color rgb="FFCDB0B4"/>
      </bottom>
    </border>
    <border>
      <right style="thick">
        <color rgb="FF434343"/>
      </right>
      <top style="medium">
        <color rgb="FFCDB0B4"/>
      </top>
      <bottom style="medium">
        <color rgb="FFCDB0B4"/>
      </bottom>
    </border>
    <border>
      <right style="thin">
        <color rgb="FFEFEAE9"/>
      </right>
      <top style="thin">
        <color rgb="FFF5EFF9"/>
      </top>
      <bottom style="thin">
        <color rgb="FFF5EFF9"/>
      </bottom>
    </border>
    <border>
      <left style="thick">
        <color rgb="FF434343"/>
      </left>
      <right style="medium">
        <color rgb="FFCDB0B4"/>
      </right>
      <top style="medium">
        <color rgb="FFCDB0B4"/>
      </top>
      <bottom style="medium">
        <color rgb="FFCDB0B4"/>
      </bottom>
    </border>
    <border>
      <left style="medium">
        <color rgb="FFCDB0B4"/>
      </left>
      <right style="medium">
        <color rgb="FFCDB0B4"/>
      </right>
      <top style="medium">
        <color rgb="FFCDB0B4"/>
      </top>
      <bottom style="medium">
        <color rgb="FFCDB0B4"/>
      </bottom>
    </border>
    <border>
      <left style="medium">
        <color rgb="FFCDB0B4"/>
      </left>
      <right style="thick">
        <color rgb="FF434343"/>
      </right>
      <top style="medium">
        <color rgb="FFCDB0B4"/>
      </top>
      <bottom style="medium">
        <color rgb="FFCDB0B4"/>
      </bottom>
    </border>
    <border>
      <left style="thin">
        <color rgb="FFEFEAE9"/>
      </left>
      <right style="thick">
        <color rgb="FF3E3A3A"/>
      </right>
      <top style="thin">
        <color rgb="FFF5EFF9"/>
      </top>
      <bottom style="thin">
        <color rgb="FFF5EFF9"/>
      </bottom>
    </border>
    <border>
      <left style="thick">
        <color rgb="FF434343"/>
      </left>
      <right style="medium">
        <color rgb="FFCDB0B4"/>
      </right>
      <top style="medium">
        <color rgb="FFCDB0B4"/>
      </top>
    </border>
    <border>
      <left style="medium">
        <color rgb="FFCDB0B4"/>
      </left>
      <right style="medium">
        <color rgb="FFCDB0B4"/>
      </right>
      <top style="medium">
        <color rgb="FFCDB0B4"/>
      </top>
    </border>
    <border>
      <left style="medium">
        <color rgb="FFCDB0B4"/>
      </left>
      <right style="thick">
        <color rgb="FF434343"/>
      </right>
      <top style="medium">
        <color rgb="FFCDB0B4"/>
      </top>
    </border>
    <border>
      <left style="thick">
        <color rgb="FF3E3A3A"/>
      </left>
      <right style="thick">
        <color rgb="FF3E3A3A"/>
      </right>
      <bottom style="thick">
        <color rgb="FF3E3A3A"/>
      </bottom>
    </border>
    <border>
      <left style="thick">
        <color rgb="FF434343"/>
      </left>
      <top style="medium">
        <color rgb="FF434343"/>
      </top>
      <bottom style="thin">
        <color rgb="FFCDB0B4"/>
      </bottom>
    </border>
    <border>
      <top style="medium">
        <color rgb="FF434343"/>
      </top>
      <bottom style="thin">
        <color rgb="FFCDB0B4"/>
      </bottom>
    </border>
    <border>
      <right style="thick">
        <color rgb="FF434343"/>
      </right>
      <top style="medium">
        <color rgb="FF434343"/>
      </top>
      <bottom style="thin">
        <color rgb="FFCDB0B4"/>
      </bottom>
    </border>
    <border>
      <left style="thick">
        <color rgb="FF434343"/>
      </left>
      <top style="thin">
        <color rgb="FFCDB0B4"/>
      </top>
      <bottom style="thin">
        <color rgb="FFCDB0B4"/>
      </bottom>
    </border>
    <border>
      <top style="thin">
        <color rgb="FFCDB0B4"/>
      </top>
      <bottom style="thin">
        <color rgb="FFCDB0B4"/>
      </bottom>
    </border>
    <border>
      <right style="thick">
        <color rgb="FF434343"/>
      </right>
      <top style="thin">
        <color rgb="FFCDB0B4"/>
      </top>
      <bottom style="thin">
        <color rgb="FFCDB0B4"/>
      </bottom>
    </border>
    <border>
      <left style="thick">
        <color rgb="FF434343"/>
      </left>
      <top style="thin">
        <color rgb="FFCDB0B4"/>
      </top>
    </border>
    <border>
      <top style="thin">
        <color rgb="FFCDB0B4"/>
      </top>
    </border>
    <border>
      <right style="thin">
        <color rgb="FFCDB0B4"/>
      </right>
      <top style="thin">
        <color rgb="FFCDB0B4"/>
      </top>
    </border>
    <border>
      <left style="thin">
        <color rgb="FFCDB0B4"/>
      </left>
      <right style="thick">
        <color rgb="FF434343"/>
      </right>
      <top style="thin">
        <color rgb="FFCDB0B4"/>
      </top>
    </border>
    <border>
      <right style="thin">
        <color rgb="FFCDB0B4"/>
      </right>
      <top style="medium">
        <color rgb="FF434343"/>
      </top>
      <bottom style="thin">
        <color rgb="FFCDB0B4"/>
      </bottom>
    </border>
    <border>
      <right style="thin">
        <color rgb="FFCDB0B4"/>
      </right>
      <top style="thin">
        <color rgb="FFCDB0B4"/>
      </top>
      <bottom style="thin">
        <color rgb="FFCDB0B4"/>
      </bottom>
    </border>
    <border>
      <left style="thin">
        <color rgb="FFF5EFF9"/>
      </left>
      <top style="thin">
        <color rgb="FFF5EFF9"/>
      </top>
      <bottom style="thin">
        <color rgb="FFF5EFF9"/>
      </bottom>
    </border>
    <border>
      <left style="thick">
        <color rgb="FF434343"/>
      </left>
      <top style="thin">
        <color rgb="FFCDB0B4"/>
      </top>
      <bottom style="thick">
        <color rgb="FF434343"/>
      </bottom>
    </border>
    <border>
      <top style="thin">
        <color rgb="FFCDB0B4"/>
      </top>
      <bottom style="thick">
        <color rgb="FF434343"/>
      </bottom>
    </border>
    <border>
      <right style="thin">
        <color rgb="FFCDB0B4"/>
      </right>
      <top style="thin">
        <color rgb="FFCDB0B4"/>
      </top>
      <bottom style="thick">
        <color rgb="FF434343"/>
      </bottom>
    </border>
    <border>
      <right style="thick">
        <color rgb="FF434343"/>
      </right>
      <top style="thin">
        <color rgb="FFCDB0B4"/>
      </top>
      <bottom style="thick">
        <color rgb="FF434343"/>
      </bottom>
    </border>
    <border>
      <bottom style="thin">
        <color rgb="FFF5EFF9"/>
      </bottom>
    </border>
    <border>
      <left style="thin">
        <color rgb="FFF5EFF9"/>
      </left>
      <right style="thin">
        <color rgb="FFF5EFF9"/>
      </right>
    </border>
    <border>
      <left style="thin">
        <color rgb="FFF5EFF9"/>
      </left>
      <right style="thin">
        <color rgb="FFF5EFF9"/>
      </right>
      <bottom style="thin">
        <color rgb="FFD4D4E6"/>
      </bottom>
    </border>
    <border>
      <left style="thin">
        <color rgb="FFF5EFF9"/>
      </left>
      <right style="thin">
        <color rgb="FFF5EFF9"/>
      </right>
      <top style="thin">
        <color rgb="FFD5CCCC"/>
      </top>
      <bottom style="thin">
        <color rgb="FFD5CCCC"/>
      </bottom>
    </border>
    <border>
      <left style="thin">
        <color rgb="FFD5CCCC"/>
      </left>
      <top style="thin">
        <color rgb="FFF5EFF9"/>
      </top>
      <bottom style="thin">
        <color rgb="FFF5EFF9"/>
      </bottom>
    </border>
    <border>
      <left style="thin">
        <color rgb="FFD4D4E6"/>
      </left>
      <top style="thin">
        <color rgb="FFF5EFF9"/>
      </top>
      <bottom style="thin">
        <color rgb="FFF5EFF9"/>
      </bottom>
    </border>
    <border>
      <left style="thin">
        <color rgb="FFD5CCCC"/>
      </left>
      <right style="thick">
        <color rgb="FF3E3A3A"/>
      </right>
      <top style="thin">
        <color rgb="FFF5EFF9"/>
      </top>
      <bottom style="thin">
        <color rgb="FFF5EFF9"/>
      </bottom>
    </border>
    <border>
      <left style="thick">
        <color rgb="FF3E3A3A"/>
      </left>
      <right style="thin">
        <color rgb="FFBE5252"/>
      </right>
      <bottom style="thin">
        <color rgb="FFBE5252"/>
      </bottom>
    </border>
    <border>
      <left style="thin">
        <color rgb="FFBE5252"/>
      </left>
      <right style="thin">
        <color rgb="FFBE5252"/>
      </right>
      <bottom style="thin">
        <color rgb="FFBE5252"/>
      </bottom>
    </border>
    <border>
      <left style="thin">
        <color rgb="FFBE5252"/>
      </left>
      <bottom style="thin">
        <color rgb="FFBE5252"/>
      </bottom>
    </border>
    <border>
      <right style="thick">
        <color rgb="FF3E3A3A"/>
      </right>
      <bottom style="thin">
        <color rgb="FFBE5252"/>
      </bottom>
    </border>
    <border>
      <left style="thin">
        <color rgb="FFD4D4E6"/>
      </left>
      <right style="thin">
        <color rgb="FFD5CCCC"/>
      </right>
      <top style="thin">
        <color rgb="FFF5EFF9"/>
      </top>
      <bottom style="thin">
        <color rgb="FFF5EFF9"/>
      </bottom>
    </border>
    <border>
      <left style="thin">
        <color rgb="FFD5CCCC"/>
      </left>
      <right style="thin">
        <color rgb="FFD5CCCC"/>
      </right>
      <top style="thin">
        <color rgb="FFF5EFF9"/>
      </top>
      <bottom style="thin">
        <color rgb="FFF5EFF9"/>
      </bottom>
    </border>
    <border>
      <left style="thick">
        <color rgb="FF3E3A3A"/>
      </left>
      <right style="thin">
        <color rgb="FFBE5252"/>
      </right>
      <top style="thin">
        <color rgb="FFBE5252"/>
      </top>
      <bottom style="thin">
        <color rgb="FFBE5252"/>
      </bottom>
    </border>
    <border>
      <left style="thin">
        <color rgb="FFBE5252"/>
      </left>
      <right style="thin">
        <color rgb="FFBE5252"/>
      </right>
      <top style="thin">
        <color rgb="FFBE5252"/>
      </top>
      <bottom style="thin">
        <color rgb="FFBE5252"/>
      </bottom>
    </border>
    <border>
      <left style="thin">
        <color rgb="FFBE5252"/>
      </left>
      <top style="thin">
        <color rgb="FFBE5252"/>
      </top>
      <bottom style="thin">
        <color rgb="FFBE5252"/>
      </bottom>
    </border>
    <border>
      <right style="thick">
        <color rgb="FF3E3A3A"/>
      </right>
      <top style="thin">
        <color rgb="FFBE5252"/>
      </top>
      <bottom style="thin">
        <color rgb="FFBE5252"/>
      </bottom>
    </border>
    <border>
      <left style="thick">
        <color rgb="FF3E3A3A"/>
      </left>
      <right style="thin">
        <color rgb="FFBE5252"/>
      </right>
      <top style="thin">
        <color rgb="FFBE5252"/>
      </top>
    </border>
    <border>
      <left style="thin">
        <color rgb="FFBE5252"/>
      </left>
      <right style="thin">
        <color rgb="FFBE5252"/>
      </right>
      <top style="thin">
        <color rgb="FFBE5252"/>
      </top>
    </border>
    <border>
      <left style="thin">
        <color rgb="FFBE5252"/>
      </left>
      <top style="thin">
        <color rgb="FFBE5252"/>
      </top>
      <bottom style="medium">
        <color rgb="FF3E3A3A"/>
      </bottom>
    </border>
    <border>
      <right style="thick">
        <color rgb="FF3E3A3A"/>
      </right>
      <top style="thin">
        <color rgb="FFBE5252"/>
      </top>
      <bottom style="medium">
        <color rgb="FF3E3A3A"/>
      </bottom>
    </border>
    <border>
      <left style="thin">
        <color rgb="FFF5EFF9"/>
      </left>
      <right style="thin">
        <color rgb="FFF5EFF9"/>
      </right>
      <top style="thin">
        <color rgb="FFF5EFF9"/>
      </top>
      <bottom style="thick">
        <color rgb="FFEFEFEF"/>
      </bottom>
    </border>
    <border>
      <right style="thin">
        <color rgb="FFF5EFF9"/>
      </right>
      <top style="thin">
        <color rgb="FFF5EFF9"/>
      </top>
      <bottom style="thin">
        <color rgb="FFF5EFF9"/>
      </bottom>
    </border>
    <border>
      <left style="thin">
        <color rgb="FFD6E1D5"/>
      </left>
      <right style="thin">
        <color rgb="FFF5EFF9"/>
      </right>
      <top style="thin">
        <color rgb="FFF5EFF9"/>
      </top>
      <bottom style="thin">
        <color rgb="FFF5EFF9"/>
      </bottom>
    </border>
    <border>
      <right style="thin">
        <color rgb="FFD6E1D5"/>
      </right>
      <top style="medium">
        <color rgb="FF434343"/>
      </top>
      <bottom style="thin">
        <color rgb="FFD6E1D5"/>
      </bottom>
    </border>
    <border>
      <right style="thin">
        <color rgb="FFD6E1D5"/>
      </right>
      <top style="thin">
        <color rgb="FFD6E1D5"/>
      </top>
      <bottom style="thick">
        <color rgb="FF434343"/>
      </bottom>
    </border>
    <border>
      <right style="thick">
        <color rgb="FF434343"/>
      </right>
      <top style="thin">
        <color rgb="FFD6E1D5"/>
      </top>
      <bottom style="thick">
        <color rgb="FF434343"/>
      </bottom>
    </border>
    <border>
      <left style="thin">
        <color rgb="FFF5EFF9"/>
      </left>
      <right style="thin">
        <color rgb="FFF5EFF9"/>
      </right>
      <top style="thin">
        <color rgb="FFD6E1D5"/>
      </top>
    </border>
    <border>
      <left style="thick">
        <color rgb="FF3E3A3A"/>
      </left>
      <right style="thin">
        <color rgb="FFF5EFF9"/>
      </right>
      <top style="thin">
        <color rgb="FFF5EFF9"/>
      </top>
      <bottom style="thick">
        <color rgb="FF3E3A3A"/>
      </bottom>
    </border>
    <border>
      <left style="thin">
        <color rgb="FFF5EFF9"/>
      </left>
      <right style="thin">
        <color rgb="FFF5EFF9"/>
      </right>
      <top style="thin">
        <color rgb="FFF5EFF9"/>
      </top>
      <bottom style="thick">
        <color rgb="FF3E3A3A"/>
      </bottom>
    </border>
    <border>
      <left style="thin">
        <color rgb="FFF5EFF9"/>
      </left>
      <right style="thin">
        <color rgb="FFF5EFF9"/>
      </right>
      <bottom style="thick">
        <color rgb="FF3E3A3A"/>
      </bottom>
    </border>
    <border>
      <left style="thin">
        <color rgb="FFF5EFF9"/>
      </left>
      <right style="thin">
        <color rgb="FFF5EFF9"/>
      </right>
      <top style="thin">
        <color rgb="FFD6E1D5"/>
      </top>
      <bottom style="thick">
        <color rgb="FF3E3A3A"/>
      </bottom>
    </border>
    <border>
      <left style="thin">
        <color rgb="FFF5EFF9"/>
      </left>
      <right style="thick">
        <color rgb="FF3E3A3A"/>
      </right>
      <top style="thin">
        <color rgb="FFF5EFF9"/>
      </top>
      <bottom style="thick">
        <color rgb="FF3E3A3A"/>
      </bottom>
    </border>
    <border>
      <left style="thick">
        <color rgb="FF3E3A3A"/>
      </left>
      <right style="thin">
        <color rgb="FFDAC7C3"/>
      </right>
      <top style="thin">
        <color rgb="FFFFFFFF"/>
      </top>
      <bottom style="thin">
        <color rgb="FFDAC7C3"/>
      </bottom>
    </border>
    <border>
      <left style="thin">
        <color rgb="FFDAC7C3"/>
      </left>
      <right style="thick">
        <color rgb="FF3E3A3A"/>
      </right>
      <top style="thin">
        <color rgb="FFFFFFFF"/>
      </top>
      <bottom style="thin">
        <color rgb="FFDAC7C3"/>
      </bottom>
    </border>
    <border>
      <right style="thick">
        <color rgb="FF3E3A3A"/>
      </right>
      <bottom style="thin">
        <color rgb="FFDAC7C3"/>
      </bottom>
    </border>
    <border>
      <left style="thin">
        <color rgb="FFBF9E97"/>
      </left>
      <top style="thin">
        <color rgb="FFDAC7C3"/>
      </top>
      <bottom style="thin">
        <color rgb="FFDAC7C3"/>
      </bottom>
    </border>
    <border>
      <left style="thin">
        <color rgb="FFDAC7C3"/>
      </left>
      <right style="thin">
        <color rgb="FFDAC7C3"/>
      </right>
      <top style="thin">
        <color rgb="FFBF9E97"/>
      </top>
      <bottom style="thin">
        <color rgb="FFDAC7C3"/>
      </bottom>
    </border>
    <border>
      <right style="thick">
        <color rgb="FF3E3A3A"/>
      </right>
      <top style="thin">
        <color rgb="FFD5CCCC"/>
      </top>
      <bottom style="thin">
        <color rgb="FFD5CCCC"/>
      </bottom>
    </border>
    <border>
      <left style="thin">
        <color rgb="FFD4D4E6"/>
      </left>
      <top style="thin">
        <color rgb="FFD5CCCC"/>
      </top>
      <bottom style="thin">
        <color rgb="FFD5CCCC"/>
      </bottom>
    </border>
    <border>
      <left style="thin">
        <color rgb="FFD4D4E6"/>
      </left>
      <top style="thin">
        <color rgb="FFD4D4E6"/>
      </top>
    </border>
    <border>
      <top style="thick">
        <color rgb="FF3E3A3A"/>
      </top>
    </border>
    <border>
      <right style="thick">
        <color rgb="FF3E3A3A"/>
      </right>
      <top style="thick">
        <color rgb="FF3E3A3A"/>
      </top>
    </border>
    <border>
      <left style="thick">
        <color rgb="FF3E3A3A"/>
      </left>
      <right style="thin">
        <color rgb="FFCDB0B4"/>
      </right>
      <top style="thin">
        <color rgb="FFCDB0B4"/>
      </top>
      <bottom style="thin">
        <color rgb="FFCDB0B4"/>
      </bottom>
    </border>
    <border>
      <left style="thin">
        <color rgb="FFCDB0B4"/>
      </left>
      <right style="thin">
        <color rgb="FFCDB0B4"/>
      </right>
      <top style="thin">
        <color rgb="FFCDB0B4"/>
      </top>
      <bottom style="thin">
        <color rgb="FFCDB0B4"/>
      </bottom>
    </border>
    <border>
      <bottom style="thick">
        <color rgb="FF3E3A3A"/>
      </bottom>
    </border>
    <border>
      <right style="thick">
        <color rgb="FF3E3A3A"/>
      </right>
      <bottom style="thick">
        <color rgb="FF3E3A3A"/>
      </bottom>
    </border>
    <border>
      <left style="thin">
        <color rgb="FFCDB0B4"/>
      </left>
      <right style="thick">
        <color rgb="FF3E3A3A"/>
      </right>
      <top style="thin">
        <color rgb="FFCDB0B4"/>
      </top>
      <bottom style="thin">
        <color rgb="FFCDB0B4"/>
      </bottom>
    </border>
    <border>
      <left style="thin">
        <color rgb="FFCDB0B4"/>
      </left>
      <right style="thin">
        <color rgb="FFCDB0B4"/>
      </right>
      <top style="thick">
        <color rgb="FF3E3A3A"/>
      </top>
    </border>
    <border>
      <left style="thin">
        <color rgb="FFCDB0B4"/>
      </left>
      <right style="thin">
        <color rgb="FFCDB0B4"/>
      </right>
      <top style="thick">
        <color rgb="FF3E3A3A"/>
      </top>
      <bottom style="thin">
        <color rgb="FFCDB0B4"/>
      </bottom>
    </border>
    <border>
      <left style="thin">
        <color rgb="FFCDB0B4"/>
      </left>
      <top style="thin">
        <color rgb="FFCDB0B4"/>
      </top>
      <bottom style="thin">
        <color rgb="FFCDB0B4"/>
      </bottom>
    </border>
    <border>
      <left style="thin">
        <color rgb="FFCDB0B4"/>
      </left>
      <right style="thin">
        <color rgb="FFCDB0B4"/>
      </right>
      <top style="thin">
        <color rgb="FFCDB0B4"/>
      </top>
    </border>
    <border>
      <right style="thin">
        <color rgb="FFCDB0B4"/>
      </right>
    </border>
    <border>
      <left style="thin">
        <color rgb="FFCDB0B4"/>
      </left>
      <right style="thin">
        <color rgb="FFCDB0B4"/>
      </right>
    </border>
    <border>
      <left style="medium">
        <color rgb="FFCDB0B4"/>
      </left>
      <top style="medium">
        <color rgb="FFCDB0B4"/>
      </top>
      <bottom style="medium">
        <color rgb="FFCDB0B4"/>
      </bottom>
    </border>
    <border>
      <right style="medium">
        <color rgb="FFCDB0B4"/>
      </right>
      <top style="medium">
        <color rgb="FFCDB0B4"/>
      </top>
      <bottom style="medium">
        <color rgb="FFCDB0B4"/>
      </bottom>
    </border>
    <border>
      <left style="thin">
        <color rgb="FFCDB0B4"/>
      </left>
      <right style="thin">
        <color rgb="FFCDB0B4"/>
      </right>
      <bottom style="thin">
        <color rgb="FFCDB0B4"/>
      </bottom>
    </border>
    <border>
      <right style="thin">
        <color rgb="FFCDB0B4"/>
      </right>
      <bottom style="thin">
        <color rgb="FFCDB0B4"/>
      </bottom>
    </border>
    <border>
      <left style="thin">
        <color rgb="FFD4D4E6"/>
      </left>
      <right style="thin">
        <color rgb="FFCDB0B4"/>
      </right>
      <top style="thin">
        <color rgb="FFCDB0B4"/>
      </top>
      <bottom style="thin">
        <color rgb="FFCDB0B4"/>
      </bottom>
    </border>
    <border>
      <left style="thin">
        <color rgb="FFBE5252"/>
      </left>
      <top style="thin">
        <color rgb="FF3E3A3A"/>
      </top>
      <bottom style="thin">
        <color rgb="FFBE5252"/>
      </bottom>
    </border>
    <border>
      <right style="thick">
        <color rgb="FF3E3A3A"/>
      </right>
      <top style="thin">
        <color rgb="FF3E3A3A"/>
      </top>
      <bottom style="thin">
        <color rgb="FFBE5252"/>
      </bottom>
    </border>
    <border>
      <left style="thick">
        <color rgb="FF3E3A3A"/>
      </left>
      <top style="medium">
        <color rgb="FF3E3A3A"/>
      </top>
      <bottom style="thin">
        <color rgb="FF000000"/>
      </bottom>
    </border>
    <border>
      <top style="medium">
        <color rgb="FF3E3A3A"/>
      </top>
      <bottom style="thin">
        <color rgb="FF000000"/>
      </bottom>
    </border>
    <border>
      <right style="medium">
        <color rgb="FF3E3A3A"/>
      </right>
      <top style="medium">
        <color rgb="FF3E3A3A"/>
      </top>
      <bottom style="thin">
        <color rgb="FF000000"/>
      </bottom>
    </border>
    <border>
      <left style="thick">
        <color rgb="FF3E3A3A"/>
      </left>
      <right style="thin">
        <color rgb="FFCDB0B4"/>
      </right>
      <top style="thin">
        <color rgb="FFCDB0B4"/>
      </top>
    </border>
    <border>
      <left style="thin">
        <color rgb="FFCDB0B4"/>
      </left>
      <top style="thin">
        <color rgb="FFCDB0B4"/>
      </top>
    </border>
    <border>
      <left style="thick">
        <color rgb="FF3E3A3A"/>
      </left>
      <top style="thin">
        <color rgb="FF000000"/>
      </top>
      <bottom style="thick">
        <color rgb="FF3E3A3A"/>
      </bottom>
    </border>
    <border>
      <top style="thin">
        <color rgb="FF000000"/>
      </top>
      <bottom style="thick">
        <color rgb="FF3E3A3A"/>
      </bottom>
    </border>
    <border>
      <right style="medium">
        <color rgb="FF3E3A3A"/>
      </right>
      <top style="thin">
        <color rgb="FF000000"/>
      </top>
      <bottom style="thick">
        <color rgb="FF3E3A3A"/>
      </bottom>
    </border>
    <border>
      <left style="thin">
        <color rgb="FFCDB0B4"/>
      </left>
      <right style="thick">
        <color rgb="FF3E3A3A"/>
      </right>
      <top style="thin">
        <color rgb="FFCDB0B4"/>
      </top>
    </border>
    <border>
      <left style="thick">
        <color rgb="FF3E3A3A"/>
      </left>
      <right style="thin">
        <color rgb="FFCDB0B4"/>
      </right>
      <top style="thin">
        <color rgb="FFCDB0B4"/>
      </top>
      <bottom style="thick">
        <color rgb="FF3E3A3A"/>
      </bottom>
    </border>
    <border>
      <left style="thin">
        <color rgb="FFCDB0B4"/>
      </left>
      <right style="thin">
        <color rgb="FFCDB0B4"/>
      </right>
      <top style="thin">
        <color rgb="FFCDB0B4"/>
      </top>
      <bottom style="thick">
        <color rgb="FF3E3A3A"/>
      </bottom>
    </border>
    <border>
      <left style="thin">
        <color rgb="FFCDB0B4"/>
      </left>
      <right style="thin">
        <color rgb="FFCDB0B4"/>
      </right>
      <bottom style="thick">
        <color rgb="FF3E3A3A"/>
      </bottom>
    </border>
    <border>
      <left style="thin">
        <color rgb="FFCDB0B4"/>
      </left>
      <right style="thin">
        <color rgb="FFCDB0B4"/>
      </right>
      <top style="thin">
        <color rgb="FFD4D4E6"/>
      </top>
      <bottom style="thick">
        <color rgb="FF3E3A3A"/>
      </bottom>
    </border>
    <border>
      <left style="thin">
        <color rgb="FFCDB0B4"/>
      </left>
      <right style="thick">
        <color rgb="FF3E3A3A"/>
      </right>
      <top style="thin">
        <color rgb="FFCDB0B4"/>
      </top>
      <bottom style="thick">
        <color rgb="FF3E3A3A"/>
      </bottom>
    </border>
    <border>
      <left style="thick">
        <color rgb="FF3E3A3A"/>
      </left>
      <right style="thin">
        <color rgb="FFD8DCE3"/>
      </right>
      <bottom style="thin">
        <color rgb="FFD8DCE3"/>
      </bottom>
    </border>
    <border>
      <left style="thin">
        <color rgb="FFD8DCE3"/>
      </left>
      <right style="thin">
        <color rgb="FFD8DCE3"/>
      </right>
      <bottom style="thin">
        <color rgb="FFD8DCE3"/>
      </bottom>
    </border>
    <border>
      <left style="thin">
        <color rgb="FFD8DCE3"/>
      </left>
      <right style="thick">
        <color rgb="FF3E3A3A"/>
      </right>
      <bottom style="thin">
        <color rgb="FFD8DCE3"/>
      </bottom>
    </border>
    <border>
      <left style="thick">
        <color rgb="FF3E3A3A"/>
      </left>
      <right style="thin">
        <color rgb="FFD8DCE3"/>
      </right>
      <top style="thin">
        <color rgb="FFD8DCE3"/>
      </top>
      <bottom style="thin">
        <color rgb="FFD8DCE3"/>
      </bottom>
    </border>
    <border>
      <left style="thin">
        <color rgb="FFD8DCE3"/>
      </left>
      <right style="thin">
        <color rgb="FFD8DCE3"/>
      </right>
      <top style="thin">
        <color rgb="FFD8DCE3"/>
      </top>
      <bottom style="thin">
        <color rgb="FFD8DCE3"/>
      </bottom>
    </border>
    <border>
      <left style="thin">
        <color rgb="FFD8DCE3"/>
      </left>
      <top style="thin">
        <color rgb="FFD8DCE3"/>
      </top>
    </border>
    <border>
      <top style="thin">
        <color rgb="FFD8DCE3"/>
      </top>
    </border>
    <border>
      <right style="thin">
        <color rgb="FFD8DCE3"/>
      </right>
      <top style="thin">
        <color rgb="FFD8DCE3"/>
      </top>
    </border>
    <border>
      <left style="thin">
        <color rgb="FFD8DCE3"/>
      </left>
      <right style="thick">
        <color rgb="FF3E3A3A"/>
      </right>
      <top style="thin">
        <color rgb="FFD8DCE3"/>
      </top>
      <bottom style="thin">
        <color rgb="FFD8DCE3"/>
      </bottom>
    </border>
    <border>
      <left style="thick">
        <color rgb="FF3E3A3A"/>
      </left>
      <top style="thin">
        <color rgb="FFD8DCE3"/>
      </top>
      <bottom style="thin">
        <color rgb="FFD8DCE3"/>
      </bottom>
    </border>
    <border>
      <top style="thin">
        <color rgb="FFD8DCE3"/>
      </top>
      <bottom style="thin">
        <color rgb="FFD8DCE3"/>
      </bottom>
    </border>
    <border>
      <right style="thick">
        <color rgb="FF3E3A3A"/>
      </right>
      <top style="thin">
        <color rgb="FFD8DCE3"/>
      </top>
      <bottom style="thin">
        <color rgb="FFD8DCE3"/>
      </bottom>
    </border>
    <border>
      <left style="thin">
        <color rgb="FFD8DCE3"/>
      </left>
      <right style="thin">
        <color rgb="FFD8DCE3"/>
      </right>
    </border>
    <border>
      <left style="thin">
        <color rgb="FFD8DCE3"/>
      </left>
      <top style="thin">
        <color rgb="FFD8DCE3"/>
      </top>
      <bottom style="thin">
        <color rgb="FFD8DCE3"/>
      </bottom>
    </border>
    <border>
      <left style="thin">
        <color rgb="FFD8DCE3"/>
      </left>
      <right style="thin">
        <color rgb="FFD8DCE3"/>
      </right>
      <top style="thin">
        <color rgb="FFD8DCE3"/>
      </top>
    </border>
    <border>
      <left style="thin">
        <color rgb="FFD8DCE3"/>
      </left>
      <right style="thin">
        <color rgb="FFD8DCE3"/>
      </right>
      <bottom style="thin">
        <color rgb="FFD4D4E6"/>
      </bottom>
    </border>
    <border>
      <left style="thin">
        <color rgb="FFD8DCE3"/>
      </left>
      <right style="thin">
        <color rgb="FFD8DCE3"/>
      </right>
      <top style="thin">
        <color rgb="FFD5CCCC"/>
      </top>
      <bottom style="thin">
        <color rgb="FFD5CCCC"/>
      </bottom>
    </border>
    <border>
      <left style="thin">
        <color rgb="FFD5CCCC"/>
      </left>
      <right style="thick">
        <color rgb="FF3E3A3A"/>
      </right>
      <top style="thin">
        <color rgb="FFD8DCE3"/>
      </top>
      <bottom style="thin">
        <color rgb="FFD8DCE3"/>
      </bottom>
    </border>
    <border>
      <left style="thin">
        <color rgb="FFD8DCE3"/>
      </left>
      <right style="thin">
        <color rgb="FFD8DCE3"/>
      </right>
      <top style="thin">
        <color rgb="FFD8DCE3"/>
      </top>
      <bottom style="medium">
        <color rgb="FFEFEFEF"/>
      </bottom>
    </border>
    <border>
      <left style="thick">
        <color rgb="FF3E3A3A"/>
      </left>
      <right style="thin">
        <color rgb="FFEFEAE9"/>
      </right>
      <top style="thin">
        <color rgb="FFD8DCE3"/>
      </top>
      <bottom style="thin">
        <color rgb="FFD8DCE3"/>
      </bottom>
    </border>
    <border>
      <right style="thin">
        <color rgb="FFD8DCE3"/>
      </right>
      <top style="thin">
        <color rgb="FFD8DCE3"/>
      </top>
      <bottom style="thin">
        <color rgb="FFD8DCE3"/>
      </bottom>
    </border>
    <border>
      <left style="thick">
        <color rgb="FF434343"/>
      </left>
      <bottom style="medium">
        <color rgb="FFD2E7FB"/>
      </bottom>
    </border>
    <border>
      <bottom style="medium">
        <color rgb="FFD2E7FB"/>
      </bottom>
    </border>
    <border>
      <right style="thick">
        <color rgb="FF434343"/>
      </right>
      <bottom style="medium">
        <color rgb="FFD2E7FB"/>
      </bottom>
    </border>
    <border>
      <right style="thin">
        <color rgb="FFD8DCE3"/>
      </right>
    </border>
    <border>
      <left style="thick">
        <color rgb="FF434343"/>
      </left>
      <top style="medium">
        <color rgb="FFD2E7FB"/>
      </top>
      <bottom style="medium">
        <color rgb="FFD2E7FB"/>
      </bottom>
    </border>
    <border>
      <top style="medium">
        <color rgb="FFD2E7FB"/>
      </top>
      <bottom style="medium">
        <color rgb="FFD2E7FB"/>
      </bottom>
    </border>
    <border>
      <right style="thick">
        <color rgb="FF434343"/>
      </right>
      <top style="medium">
        <color rgb="FFD2E7FB"/>
      </top>
      <bottom style="medium">
        <color rgb="FFD2E7FB"/>
      </bottom>
    </border>
    <border>
      <left style="thick">
        <color rgb="FF434343"/>
      </left>
      <right style="medium">
        <color rgb="FFD2E7FB"/>
      </right>
      <top style="medium">
        <color rgb="FFD2E7FB"/>
      </top>
      <bottom style="medium">
        <color rgb="FFD2E7FB"/>
      </bottom>
    </border>
    <border>
      <left style="medium">
        <color rgb="FFD2E7FB"/>
      </left>
      <right style="medium">
        <color rgb="FFD2E7FB"/>
      </right>
      <top style="medium">
        <color rgb="FFD2E7FB"/>
      </top>
      <bottom style="medium">
        <color rgb="FFD2E7FB"/>
      </bottom>
    </border>
    <border>
      <left style="medium">
        <color rgb="FFD2E7FB"/>
      </left>
      <right style="thick">
        <color rgb="FF434343"/>
      </right>
      <top style="medium">
        <color rgb="FFD2E7FB"/>
      </top>
      <bottom style="medium">
        <color rgb="FFD2E7FB"/>
      </bottom>
    </border>
    <border>
      <left style="thick">
        <color rgb="FF434343"/>
      </left>
      <right style="medium">
        <color rgb="FFD2E7FB"/>
      </right>
      <top style="medium">
        <color rgb="FFD2E7FB"/>
      </top>
    </border>
    <border>
      <left style="medium">
        <color rgb="FFD2E7FB"/>
      </left>
      <right style="medium">
        <color rgb="FFD2E7FB"/>
      </right>
      <top style="medium">
        <color rgb="FFD2E7FB"/>
      </top>
    </border>
    <border>
      <left style="medium">
        <color rgb="FFD2E7FB"/>
      </left>
      <right style="thick">
        <color rgb="FF434343"/>
      </right>
      <top style="medium">
        <color rgb="FFD2E7FB"/>
      </top>
    </border>
    <border>
      <left style="thick">
        <color rgb="FF434343"/>
      </left>
      <top style="medium">
        <color rgb="FF434343"/>
      </top>
      <bottom style="thin">
        <color rgb="FFD2E7FB"/>
      </bottom>
    </border>
    <border>
      <top style="medium">
        <color rgb="FF434343"/>
      </top>
      <bottom style="thin">
        <color rgb="FFD2E7FB"/>
      </bottom>
    </border>
    <border>
      <right style="thick">
        <color rgb="FF434343"/>
      </right>
      <top style="medium">
        <color rgb="FF434343"/>
      </top>
      <bottom style="thin">
        <color rgb="FFD2E7FB"/>
      </bottom>
    </border>
    <border>
      <left style="thick">
        <color rgb="FF434343"/>
      </left>
      <top style="thin">
        <color rgb="FFD2E7FB"/>
      </top>
      <bottom style="thin">
        <color rgb="FFD2E7FB"/>
      </bottom>
    </border>
    <border>
      <top style="thin">
        <color rgb="FFD2E7FB"/>
      </top>
      <bottom style="thin">
        <color rgb="FFD2E7FB"/>
      </bottom>
    </border>
    <border>
      <right style="thick">
        <color rgb="FF434343"/>
      </right>
      <top style="thin">
        <color rgb="FFD2E7FB"/>
      </top>
      <bottom style="thin">
        <color rgb="FFD2E7FB"/>
      </bottom>
    </border>
    <border>
      <left style="thick">
        <color rgb="FF434343"/>
      </left>
      <top style="thin">
        <color rgb="FFD2E7FB"/>
      </top>
    </border>
    <border>
      <top style="thin">
        <color rgb="FFD2E7FB"/>
      </top>
    </border>
    <border>
      <right style="thin">
        <color rgb="FFD2E7FB"/>
      </right>
      <top style="thin">
        <color rgb="FFD2E7FB"/>
      </top>
    </border>
    <border>
      <left style="thin">
        <color rgb="FFD2E7FB"/>
      </left>
      <right style="thick">
        <color rgb="FF434343"/>
      </right>
      <top style="thin">
        <color rgb="FFD2E7FB"/>
      </top>
    </border>
    <border>
      <right style="thin">
        <color rgb="FFD2E7FB"/>
      </right>
      <top style="medium">
        <color rgb="FF434343"/>
      </top>
      <bottom style="thin">
        <color rgb="FFD2E7FB"/>
      </bottom>
    </border>
    <border>
      <right style="thin">
        <color rgb="FFD2E7FB"/>
      </right>
      <top style="thin">
        <color rgb="FFD2E7FB"/>
      </top>
      <bottom style="thin">
        <color rgb="FFD2E7FB"/>
      </bottom>
    </border>
    <border>
      <left style="thick">
        <color rgb="FF434343"/>
      </left>
      <top style="thin">
        <color rgb="FFD2E7FB"/>
      </top>
      <bottom style="thick">
        <color rgb="FF3E3A3A"/>
      </bottom>
    </border>
    <border>
      <top style="thin">
        <color rgb="FFD2E7FB"/>
      </top>
      <bottom style="thick">
        <color rgb="FF3E3A3A"/>
      </bottom>
    </border>
    <border>
      <right style="thin">
        <color rgb="FFD2E7FB"/>
      </right>
      <top style="thin">
        <color rgb="FFD2E7FB"/>
      </top>
      <bottom style="thick">
        <color rgb="FF3E3A3A"/>
      </bottom>
    </border>
    <border>
      <right style="thick">
        <color rgb="FF434343"/>
      </right>
      <top style="thin">
        <color rgb="FFD2E7FB"/>
      </top>
      <bottom style="thick">
        <color rgb="FF3E3A3A"/>
      </bottom>
    </border>
    <border>
      <bottom style="thin">
        <color rgb="FFD8DCE3"/>
      </bottom>
    </border>
    <border>
      <right style="thin">
        <color rgb="FFD8DCE3"/>
      </right>
      <bottom style="thin">
        <color rgb="FFD8DCE3"/>
      </bottom>
    </border>
    <border>
      <left style="thin">
        <color rgb="FFBF9E97"/>
      </left>
      <top style="thin">
        <color rgb="FFD8DCE3"/>
      </top>
      <bottom style="thin">
        <color rgb="FFD8DCE3"/>
      </bottom>
    </border>
    <border>
      <left style="thin">
        <color rgb="FFBF9E97"/>
      </left>
      <right style="thin">
        <color rgb="FFD8DCE3"/>
      </right>
      <top style="thin">
        <color rgb="FFD8DCE3"/>
      </top>
      <bottom style="thin">
        <color rgb="FFD8DCE3"/>
      </bottom>
    </border>
    <border>
      <left style="thick">
        <color rgb="FF3E3A3A"/>
      </left>
      <right style="thin">
        <color rgb="FF3D82C3"/>
      </right>
      <bottom style="thin">
        <color rgb="FF3D82C3"/>
      </bottom>
    </border>
    <border>
      <left style="thin">
        <color rgb="FF3D82C3"/>
      </left>
      <right style="thin">
        <color rgb="FF3D82C3"/>
      </right>
      <bottom style="thin">
        <color rgb="FF3D82C3"/>
      </bottom>
    </border>
    <border>
      <left style="thin">
        <color rgb="FF3D82C3"/>
      </left>
      <top style="thin">
        <color rgb="FF3E3A3A"/>
      </top>
      <bottom style="thin">
        <color rgb="FF3D82C3"/>
      </bottom>
    </border>
    <border>
      <right style="thick">
        <color rgb="FF3E3A3A"/>
      </right>
      <top style="thin">
        <color rgb="FF3E3A3A"/>
      </top>
      <bottom style="thin">
        <color rgb="FF3D82C3"/>
      </bottom>
    </border>
    <border>
      <left style="thick">
        <color rgb="FF3E3A3A"/>
      </left>
      <right style="thin">
        <color rgb="FF3D82C3"/>
      </right>
      <top style="thin">
        <color rgb="FF3D82C3"/>
      </top>
      <bottom style="thin">
        <color rgb="FF3D82C3"/>
      </bottom>
    </border>
    <border>
      <left style="thin">
        <color rgb="FF3D82C3"/>
      </left>
      <right style="thin">
        <color rgb="FF3D82C3"/>
      </right>
      <top style="thin">
        <color rgb="FF3D82C3"/>
      </top>
      <bottom style="thin">
        <color rgb="FF3D82C3"/>
      </bottom>
    </border>
    <border>
      <left style="thin">
        <color rgb="FF3D82C3"/>
      </left>
      <top style="thin">
        <color rgb="FF3D82C3"/>
      </top>
      <bottom style="thin">
        <color rgb="FF3D82C3"/>
      </bottom>
    </border>
    <border>
      <right style="thick">
        <color rgb="FF3E3A3A"/>
      </right>
      <top style="thin">
        <color rgb="FF3D82C3"/>
      </top>
      <bottom style="thin">
        <color rgb="FF3D82C3"/>
      </bottom>
    </border>
    <border>
      <left style="thick">
        <color rgb="FF3E3A3A"/>
      </left>
      <right style="thin">
        <color rgb="FF3D82C3"/>
      </right>
      <top style="thin">
        <color rgb="FF3D82C3"/>
      </top>
    </border>
    <border>
      <left style="thin">
        <color rgb="FF3D82C3"/>
      </left>
      <right style="thin">
        <color rgb="FF3D82C3"/>
      </right>
      <top style="thin">
        <color rgb="FF3D82C3"/>
      </top>
    </border>
    <border>
      <left style="thin">
        <color rgb="FF3D82C3"/>
      </left>
      <top style="thin">
        <color rgb="FF3D82C3"/>
      </top>
      <bottom style="medium">
        <color rgb="FF3E3A3A"/>
      </bottom>
    </border>
    <border>
      <right style="thick">
        <color rgb="FF3E3A3A"/>
      </right>
      <top style="thin">
        <color rgb="FF3D82C3"/>
      </top>
      <bottom style="medium">
        <color rgb="FF3E3A3A"/>
      </bottom>
    </border>
    <border>
      <left style="thick">
        <color rgb="FF3E3A3A"/>
      </left>
      <right style="thin">
        <color rgb="FFD8DCE3"/>
      </right>
      <top style="thin">
        <color rgb="FFD8DCE3"/>
      </top>
      <bottom style="thick">
        <color rgb="FF3E3A3A"/>
      </bottom>
    </border>
    <border>
      <left style="thin">
        <color rgb="FFD8DCE3"/>
      </left>
      <right style="thin">
        <color rgb="FFD8DCE3"/>
      </right>
      <top style="thin">
        <color rgb="FFD8DCE3"/>
      </top>
      <bottom style="thick">
        <color rgb="FF3E3A3A"/>
      </bottom>
    </border>
    <border>
      <left style="thin">
        <color rgb="FFD8DCE3"/>
      </left>
      <right style="thin">
        <color rgb="FFD8DCE3"/>
      </right>
      <top style="thin">
        <color rgb="FFEFEAE9"/>
      </top>
      <bottom style="thick">
        <color rgb="FF3E3A3A"/>
      </bottom>
    </border>
    <border>
      <left style="thin">
        <color rgb="FFD8DCE3"/>
      </left>
      <right style="thin">
        <color rgb="FFD8DCE3"/>
      </right>
      <bottom style="thick">
        <color rgb="FF3E3A3A"/>
      </bottom>
    </border>
    <border>
      <left style="thin">
        <color rgb="FFD8DCE3"/>
      </left>
      <right style="thick">
        <color rgb="FF3E3A3A"/>
      </right>
      <top style="thin">
        <color rgb="FFD8DCE3"/>
      </top>
      <bottom style="thick">
        <color rgb="FF3E3A3A"/>
      </bottom>
    </border>
    <border>
      <left style="thin">
        <color rgb="FF7C58E5"/>
      </left>
      <right style="thin">
        <color rgb="FF7C58E5"/>
      </right>
      <top style="thin">
        <color rgb="FF7C58E5"/>
      </top>
      <bottom style="thin">
        <color rgb="FF7C58E5"/>
      </bottom>
    </border>
    <border>
      <left style="thin">
        <color rgb="FF7C58E5"/>
      </left>
      <right style="thin">
        <color rgb="FF7C58E5"/>
      </right>
      <top style="thin">
        <color rgb="FF7C58E5"/>
      </top>
    </border>
    <border>
      <left style="thin">
        <color rgb="FF7C58E5"/>
      </left>
      <top style="thin">
        <color rgb="FF7C58E5"/>
      </top>
      <bottom style="thin">
        <color rgb="FF7C58E5"/>
      </bottom>
    </border>
    <border>
      <left style="thick">
        <color rgb="FF3E3A3A"/>
      </left>
      <right style="thin">
        <color rgb="FFFFF4F3"/>
      </right>
      <top style="thick">
        <color rgb="FF3E3A3A"/>
      </top>
      <bottom style="thin">
        <color rgb="FFFFF4F3"/>
      </bottom>
    </border>
    <border>
      <left style="thin">
        <color rgb="FFFFF4F3"/>
      </left>
      <right style="thin">
        <color rgb="FFFFF4F3"/>
      </right>
      <top style="thick">
        <color rgb="FF3E3A3A"/>
      </top>
      <bottom style="thin">
        <color rgb="FFFFF4F3"/>
      </bottom>
    </border>
    <border>
      <left style="thin">
        <color rgb="FFFFF4F3"/>
      </left>
      <right style="thin">
        <color rgb="FFFFF4F3"/>
      </right>
      <top style="thick">
        <color rgb="FF3E3A3A"/>
      </top>
    </border>
    <border>
      <left style="thin">
        <color rgb="FFFFF4F3"/>
      </left>
      <right style="thick">
        <color rgb="FF3E3A3A"/>
      </right>
      <top style="thick">
        <color rgb="FF3E3A3A"/>
      </top>
      <bottom style="thin">
        <color rgb="FFFFF4F3"/>
      </bottom>
    </border>
    <border>
      <right style="thin">
        <color rgb="FF7C58E5"/>
      </right>
      <top style="thin">
        <color rgb="FF7C58E5"/>
      </top>
      <bottom style="thin">
        <color rgb="FF7C58E5"/>
      </bottom>
    </border>
    <border>
      <left style="thick">
        <color rgb="FF3E3A3A"/>
      </left>
      <right style="thin">
        <color rgb="FFFFF4F3"/>
      </right>
      <top style="thin">
        <color rgb="FFFFF4F3"/>
      </top>
      <bottom style="thin">
        <color rgb="FFFFF4F3"/>
      </bottom>
    </border>
    <border>
      <left style="thin">
        <color rgb="FFFFF4F3"/>
      </left>
      <top style="thin">
        <color rgb="FFFFF4F3"/>
      </top>
      <bottom style="thin">
        <color rgb="FFFFF4F3"/>
      </bottom>
    </border>
    <border>
      <top style="thin">
        <color rgb="FFFFF4F3"/>
      </top>
    </border>
    <border>
      <right style="thin">
        <color rgb="FFFFF4F3"/>
      </right>
      <top style="thin">
        <color rgb="FFFFF4F3"/>
      </top>
    </border>
    <border>
      <top style="thin">
        <color rgb="FFFFF4F3"/>
      </top>
      <bottom style="thin">
        <color rgb="FFFFF4F3"/>
      </bottom>
    </border>
    <border>
      <right style="thin">
        <color rgb="FFFFF4F3"/>
      </right>
      <top style="thin">
        <color rgb="FFFFF4F3"/>
      </top>
      <bottom style="thin">
        <color rgb="FFFFF4F3"/>
      </bottom>
    </border>
    <border>
      <left style="thin">
        <color rgb="FFFFF4F3"/>
      </left>
      <right style="thin">
        <color rgb="FFFFF4F3"/>
      </right>
      <top style="thin">
        <color rgb="FFFFF4F3"/>
      </top>
    </border>
    <border>
      <left style="thin">
        <color rgb="FFFFF4F3"/>
      </left>
      <right style="thick">
        <color rgb="FF3E3A3A"/>
      </right>
      <top style="thin">
        <color rgb="FFFFF4F3"/>
      </top>
      <bottom style="thin">
        <color rgb="FFFFF4F3"/>
      </bottom>
    </border>
    <border>
      <left style="thick">
        <color rgb="FF3E3A3A"/>
      </left>
      <bottom style="medium">
        <color rgb="FFFFF4F3"/>
      </bottom>
    </border>
    <border>
      <bottom style="medium">
        <color rgb="FFFFF4F3"/>
      </bottom>
    </border>
    <border>
      <right style="thick">
        <color rgb="FF3E3A3A"/>
      </right>
      <bottom style="medium">
        <color rgb="FFFFF4F3"/>
      </bottom>
    </border>
    <border>
      <right style="thin">
        <color rgb="FFFFF4F3"/>
      </right>
    </border>
    <border>
      <left style="thin">
        <color rgb="FFFFF4F3"/>
      </left>
      <right style="thin">
        <color rgb="FFFFF4F3"/>
      </right>
    </border>
    <border>
      <left style="thick">
        <color rgb="FF3E3A3A"/>
      </left>
      <top style="medium">
        <color rgb="FFFFF4F3"/>
      </top>
      <bottom style="medium">
        <color rgb="FFFFF4F3"/>
      </bottom>
    </border>
    <border>
      <top style="medium">
        <color rgb="FFFFF4F3"/>
      </top>
      <bottom style="medium">
        <color rgb="FFFFF4F3"/>
      </bottom>
    </border>
    <border>
      <right style="thick">
        <color rgb="FF3E3A3A"/>
      </right>
      <top style="medium">
        <color rgb="FFFFF4F3"/>
      </top>
      <bottom style="medium">
        <color rgb="FFFFF4F3"/>
      </bottom>
    </border>
    <border>
      <left style="thick">
        <color rgb="FF3E3A3A"/>
      </left>
      <right style="medium">
        <color rgb="FFFFF4F3"/>
      </right>
      <top style="medium">
        <color rgb="FFFFF4F3"/>
      </top>
      <bottom style="medium">
        <color rgb="FFFFF4F3"/>
      </bottom>
    </border>
    <border>
      <left style="medium">
        <color rgb="FFFFF4F3"/>
      </left>
      <right style="medium">
        <color rgb="FFFFF4F3"/>
      </right>
      <top style="medium">
        <color rgb="FFFFF4F3"/>
      </top>
      <bottom style="medium">
        <color rgb="FFFFF4F3"/>
      </bottom>
    </border>
    <border>
      <left style="medium">
        <color rgb="FFFFF4F3"/>
      </left>
      <right style="thick">
        <color rgb="FF3E3A3A"/>
      </right>
      <top style="medium">
        <color rgb="FFFFF4F3"/>
      </top>
      <bottom style="medium">
        <color rgb="FFFFF4F3"/>
      </bottom>
    </border>
    <border>
      <left style="medium">
        <color rgb="FFFFF4F3"/>
      </left>
      <top style="medium">
        <color rgb="FFFFF4F3"/>
      </top>
      <bottom style="medium">
        <color rgb="FFFFF4F3"/>
      </bottom>
    </border>
    <border>
      <right style="medium">
        <color rgb="FFFFF4F3"/>
      </right>
      <top style="medium">
        <color rgb="FFFFF4F3"/>
      </top>
      <bottom style="medium">
        <color rgb="FFFFF4F3"/>
      </bottom>
    </border>
    <border>
      <left style="thin">
        <color rgb="FFFFF4F3"/>
      </left>
      <right style="thin">
        <color rgb="FFFFF4F3"/>
      </right>
      <bottom style="thin">
        <color rgb="FFFFF4F3"/>
      </bottom>
    </border>
    <border>
      <left style="thin">
        <color rgb="FFFFF4F3"/>
      </left>
      <right style="thin">
        <color rgb="FFFFF4F3"/>
      </right>
      <top style="thin">
        <color rgb="FFFFF4F3"/>
      </top>
      <bottom style="thin">
        <color rgb="FFFFF4F3"/>
      </bottom>
    </border>
    <border>
      <left style="thick">
        <color rgb="FF3E3A3A"/>
      </left>
      <right style="medium">
        <color rgb="FFFFF4F3"/>
      </right>
      <top style="medium">
        <color rgb="FFFFF4F3"/>
      </top>
    </border>
    <border>
      <left style="medium">
        <color rgb="FFFFF4F3"/>
      </left>
      <right style="medium">
        <color rgb="FFFFF4F3"/>
      </right>
      <top style="medium">
        <color rgb="FFFFF4F3"/>
      </top>
    </border>
    <border>
      <left style="medium">
        <color rgb="FFFFF4F3"/>
      </left>
      <right style="thick">
        <color rgb="FF3E3A3A"/>
      </right>
      <top style="medium">
        <color rgb="FFFFF4F3"/>
      </top>
    </border>
    <border>
      <left style="thick">
        <color rgb="FF3E3A3A"/>
      </left>
      <top style="medium">
        <color rgb="FF3E3A3A"/>
      </top>
      <bottom style="thin">
        <color rgb="FFFFF4F3"/>
      </bottom>
    </border>
    <border>
      <top style="medium">
        <color rgb="FF3E3A3A"/>
      </top>
      <bottom style="thin">
        <color rgb="FFFFF4F3"/>
      </bottom>
    </border>
    <border>
      <right style="thick">
        <color rgb="FF3E3A3A"/>
      </right>
      <top style="medium">
        <color rgb="FF3E3A3A"/>
      </top>
      <bottom style="thin">
        <color rgb="FFFFF4F3"/>
      </bottom>
    </border>
    <border>
      <left style="thick">
        <color rgb="FF3E3A3A"/>
      </left>
      <top style="thin">
        <color rgb="FFFFF4F3"/>
      </top>
      <bottom style="thin">
        <color rgb="FFFFF4F3"/>
      </bottom>
    </border>
    <border>
      <right style="thick">
        <color rgb="FF3E3A3A"/>
      </right>
      <top style="thin">
        <color rgb="FFFFF4F3"/>
      </top>
      <bottom style="thin">
        <color rgb="FFFFF4F3"/>
      </bottom>
    </border>
    <border>
      <left style="thick">
        <color rgb="FF3E3A3A"/>
      </left>
      <top style="thin">
        <color rgb="FFFFF4F3"/>
      </top>
    </border>
    <border>
      <left style="thin">
        <color rgb="FFFFF4F3"/>
      </left>
      <right style="thick">
        <color rgb="FF3E3A3A"/>
      </right>
      <top style="thin">
        <color rgb="FFFFF4F3"/>
      </top>
    </border>
    <border>
      <right style="thin">
        <color rgb="FFFFF4F3"/>
      </right>
      <top style="medium">
        <color rgb="FF3E3A3A"/>
      </top>
      <bottom style="thin">
        <color rgb="FFFFF4F3"/>
      </bottom>
    </border>
    <border>
      <left style="thin">
        <color rgb="FFFFF4F3"/>
      </left>
      <right style="thick">
        <color rgb="FF3E3A3A"/>
      </right>
      <top style="medium">
        <color rgb="FF3E3A3A"/>
      </top>
      <bottom style="thin">
        <color rgb="FFFFF4F3"/>
      </bottom>
    </border>
    <border>
      <left style="thick">
        <color rgb="FF3E3A3A"/>
      </left>
      <top style="thin">
        <color rgb="FFFFF4F3"/>
      </top>
      <bottom style="thick">
        <color rgb="FF3E3A3A"/>
      </bottom>
    </border>
    <border>
      <top style="thin">
        <color rgb="FFFFF4F3"/>
      </top>
      <bottom style="thick">
        <color rgb="FF3E3A3A"/>
      </bottom>
    </border>
    <border>
      <right style="thick">
        <color rgb="FF3E3A3A"/>
      </right>
      <top style="thin">
        <color rgb="FFFFF4F3"/>
      </top>
      <bottom style="thick">
        <color rgb="FF3E3A3A"/>
      </bottom>
    </border>
    <border>
      <bottom style="thin">
        <color rgb="FFFFF4F3"/>
      </bottom>
    </border>
    <border>
      <right style="thin">
        <color rgb="FFFFF4F3"/>
      </right>
      <top style="thin">
        <color rgb="FFFFF4F3"/>
      </top>
      <bottom style="thick">
        <color rgb="FF3E3A3A"/>
      </bottom>
    </border>
    <border>
      <left style="thin">
        <color rgb="FFFFF4F3"/>
      </left>
      <right style="thick">
        <color rgb="FF3E3A3A"/>
      </right>
      <top style="thin">
        <color rgb="FFFFF4F3"/>
      </top>
      <bottom style="thick">
        <color rgb="FF3E3A3A"/>
      </bottom>
    </border>
    <border>
      <right style="thin">
        <color rgb="FFFFF4F3"/>
      </right>
      <bottom style="thin">
        <color rgb="FFFFF4F3"/>
      </bottom>
    </border>
    <border>
      <left style="thick">
        <color rgb="FF3E3A3A"/>
      </left>
      <right style="thin">
        <color rgb="FFD9B6B5"/>
      </right>
      <bottom style="thin">
        <color rgb="FFD9B6B5"/>
      </bottom>
    </border>
    <border>
      <left style="thin">
        <color rgb="FFD9B6B5"/>
      </left>
      <right style="thin">
        <color rgb="FFD9B6B5"/>
      </right>
      <bottom style="thin">
        <color rgb="FFD9B6B5"/>
      </bottom>
    </border>
    <border>
      <left style="thin">
        <color rgb="FFD9B6B5"/>
      </left>
      <top style="thin">
        <color rgb="FF3E3A3A"/>
      </top>
      <bottom style="thin">
        <color rgb="FFD9B6B5"/>
      </bottom>
    </border>
    <border>
      <right style="thick">
        <color rgb="FF3E3A3A"/>
      </right>
      <top style="thin">
        <color rgb="FF3E3A3A"/>
      </top>
      <bottom style="thin">
        <color rgb="FFD9B6B5"/>
      </bottom>
    </border>
    <border>
      <left style="thick">
        <color rgb="FF3E3A3A"/>
      </left>
      <right style="thin">
        <color rgb="FFD9B6B5"/>
      </right>
      <top style="thin">
        <color rgb="FFD9B6B5"/>
      </top>
      <bottom style="thin">
        <color rgb="FFD9B6B5"/>
      </bottom>
    </border>
    <border>
      <left style="thin">
        <color rgb="FFD9B6B5"/>
      </left>
      <right style="thin">
        <color rgb="FFD9B6B5"/>
      </right>
      <top style="thin">
        <color rgb="FFD9B6B5"/>
      </top>
      <bottom style="thin">
        <color rgb="FFD9B6B5"/>
      </bottom>
    </border>
    <border>
      <left style="thin">
        <color rgb="FFD9B6B5"/>
      </left>
      <top style="thin">
        <color rgb="FFD9B6B5"/>
      </top>
      <bottom style="thin">
        <color rgb="FFD9B6B5"/>
      </bottom>
    </border>
    <border>
      <right style="thick">
        <color rgb="FF3E3A3A"/>
      </right>
      <top style="thin">
        <color rgb="FFD9B6B5"/>
      </top>
      <bottom style="thin">
        <color rgb="FFD9B6B5"/>
      </bottom>
    </border>
    <border>
      <left style="thick">
        <color rgb="FF3E3A3A"/>
      </left>
      <right style="thin">
        <color rgb="FFD9B6B5"/>
      </right>
      <top style="thin">
        <color rgb="FFD9B6B5"/>
      </top>
    </border>
    <border>
      <left style="thin">
        <color rgb="FFD9B6B5"/>
      </left>
      <right style="thin">
        <color rgb="FFD9B6B5"/>
      </right>
      <top style="thin">
        <color rgb="FFD9B6B5"/>
      </top>
    </border>
    <border>
      <left style="thin">
        <color rgb="FFD9B6B5"/>
      </left>
      <top style="thin">
        <color rgb="FFD9B6B5"/>
      </top>
      <bottom style="medium">
        <color rgb="FF3E3A3A"/>
      </bottom>
    </border>
    <border>
      <right style="thick">
        <color rgb="FF3E3A3A"/>
      </right>
      <top style="thin">
        <color rgb="FFD9B6B5"/>
      </top>
      <bottom style="medium">
        <color rgb="FF3E3A3A"/>
      </bottom>
    </border>
    <border>
      <left style="thick">
        <color rgb="FF3E3A3A"/>
      </left>
      <right style="thin">
        <color rgb="FFFFF4F3"/>
      </right>
      <top style="thin">
        <color rgb="FFFFF4F3"/>
      </top>
      <bottom style="thick">
        <color rgb="FF3E3A3A"/>
      </bottom>
    </border>
    <border>
      <left style="thin">
        <color rgb="FFFFF4F3"/>
      </left>
      <right style="thin">
        <color rgb="FFFFF4F3"/>
      </right>
      <top style="thin">
        <color rgb="FFFFF4F3"/>
      </top>
      <bottom style="thick">
        <color rgb="FF3E3A3A"/>
      </bottom>
    </border>
    <border>
      <left style="thin">
        <color rgb="FFFFF4F3"/>
      </left>
      <right style="thin">
        <color rgb="FFFFF4F3"/>
      </right>
      <bottom style="thick">
        <color rgb="FF3E3A3A"/>
      </bottom>
    </border>
    <border>
      <left style="thick">
        <color rgb="FF3E3A3A"/>
      </left>
      <right style="thin">
        <color rgb="FFF7EEFF"/>
      </right>
      <bottom style="thin">
        <color rgb="FFF7EEFF"/>
      </bottom>
    </border>
    <border>
      <left style="thin">
        <color rgb="FFF7EEFF"/>
      </left>
      <right style="thin">
        <color rgb="FFF7EEFF"/>
      </right>
      <bottom style="thin">
        <color rgb="FFF7EEFF"/>
      </bottom>
    </border>
    <border>
      <left style="thin">
        <color rgb="FFF7EEFF"/>
      </left>
      <right style="thin">
        <color rgb="FFF7EEFF"/>
      </right>
    </border>
    <border>
      <left style="thin">
        <color rgb="FFF7EEFF"/>
      </left>
      <right style="thick">
        <color rgb="FF3E3A3A"/>
      </right>
      <bottom style="thin">
        <color rgb="FFF7EEFF"/>
      </bottom>
    </border>
    <border>
      <left style="thick">
        <color rgb="FF3E3A3A"/>
      </left>
      <right style="thin">
        <color rgb="FFF7EEFF"/>
      </right>
      <top style="thin">
        <color rgb="FFF7EEFF"/>
      </top>
      <bottom style="thin">
        <color rgb="FFF7EEFF"/>
      </bottom>
    </border>
    <border>
      <left style="thin">
        <color rgb="FFF7EEFF"/>
      </left>
      <top style="thin">
        <color rgb="FFF7EEFF"/>
      </top>
      <bottom style="thin">
        <color rgb="FFF7EEFF"/>
      </bottom>
    </border>
    <border>
      <top style="thin">
        <color rgb="FFF7EEFF"/>
      </top>
    </border>
    <border>
      <right style="thin">
        <color rgb="FFF7EEFF"/>
      </right>
      <top style="thin">
        <color rgb="FFF7EEFF"/>
      </top>
    </border>
    <border>
      <top style="thin">
        <color rgb="FFF7EEFF"/>
      </top>
      <bottom style="thin">
        <color rgb="FFF7EEFF"/>
      </bottom>
    </border>
    <border>
      <right style="thin">
        <color rgb="FFF7EEFF"/>
      </right>
      <top style="thin">
        <color rgb="FFF7EEFF"/>
      </top>
      <bottom style="thin">
        <color rgb="FFF7EEFF"/>
      </bottom>
    </border>
    <border>
      <left style="thin">
        <color rgb="FFF7EEFF"/>
      </left>
      <right style="thin">
        <color rgb="FFF7EEFF"/>
      </right>
      <top style="thin">
        <color rgb="FFF7EEFF"/>
      </top>
    </border>
    <border>
      <left style="thin">
        <color rgb="FFF7EEFF"/>
      </left>
      <right style="thick">
        <color rgb="FF3E3A3A"/>
      </right>
      <top style="thin">
        <color rgb="FFF7EEFF"/>
      </top>
      <bottom style="thin">
        <color rgb="FFF7EEFF"/>
      </bottom>
    </border>
    <border>
      <left style="thick">
        <color rgb="FF434343"/>
      </left>
      <bottom style="medium">
        <color rgb="FFF7EEFF"/>
      </bottom>
    </border>
    <border>
      <bottom style="medium">
        <color rgb="FFF7EEFF"/>
      </bottom>
    </border>
    <border>
      <right style="thick">
        <color rgb="FF434343"/>
      </right>
      <bottom style="medium">
        <color rgb="FFF7EEFF"/>
      </bottom>
    </border>
    <border>
      <right style="thin">
        <color rgb="FFF7EEFF"/>
      </right>
    </border>
    <border>
      <left style="thick">
        <color rgb="FF434343"/>
      </left>
      <top style="medium">
        <color rgb="FFF7EEFF"/>
      </top>
      <bottom style="medium">
        <color rgb="FFF7EEFF"/>
      </bottom>
    </border>
    <border>
      <top style="medium">
        <color rgb="FFF7EEFF"/>
      </top>
      <bottom style="medium">
        <color rgb="FFF7EEFF"/>
      </bottom>
    </border>
    <border>
      <right style="thick">
        <color rgb="FF434343"/>
      </right>
      <top style="medium">
        <color rgb="FFF7EEFF"/>
      </top>
      <bottom style="medium">
        <color rgb="FFF7EEFF"/>
      </bottom>
    </border>
    <border>
      <left style="thick">
        <color rgb="FF434343"/>
      </left>
      <right style="medium">
        <color rgb="FFF7EEFF"/>
      </right>
      <top style="medium">
        <color rgb="FFF7EEFF"/>
      </top>
      <bottom style="medium">
        <color rgb="FFF7EEFF"/>
      </bottom>
    </border>
    <border>
      <left style="medium">
        <color rgb="FFF7EEFF"/>
      </left>
      <top style="medium">
        <color rgb="FFF7EEFF"/>
      </top>
      <bottom style="medium">
        <color rgb="FFF7EEFF"/>
      </bottom>
    </border>
    <border>
      <right style="medium">
        <color rgb="FFF7EEFF"/>
      </right>
      <top style="medium">
        <color rgb="FFF7EEFF"/>
      </top>
      <bottom style="medium">
        <color rgb="FFF7EEFF"/>
      </bottom>
    </border>
    <border>
      <left style="medium">
        <color rgb="FFF7EEFF"/>
      </left>
      <right style="thick">
        <color rgb="FF434343"/>
      </right>
      <top style="medium">
        <color rgb="FFF7EEFF"/>
      </top>
      <bottom style="medium">
        <color rgb="FFF7EEFF"/>
      </bottom>
    </border>
    <border>
      <left style="thin">
        <color rgb="FFF7EEFF"/>
      </left>
      <right style="thin">
        <color rgb="FFF7EEFF"/>
      </right>
      <top style="thin">
        <color rgb="FFF7EEFF"/>
      </top>
      <bottom style="thin">
        <color rgb="FFF7EEFF"/>
      </bottom>
    </border>
    <border>
      <left style="thick">
        <color rgb="FF434343"/>
      </left>
      <right style="medium">
        <color rgb="FFF7EEFF"/>
      </right>
      <top style="medium">
        <color rgb="FFF7EEFF"/>
      </top>
    </border>
    <border>
      <left style="medium">
        <color rgb="FFF7EEFF"/>
      </left>
      <right style="medium">
        <color rgb="FFF7EEFF"/>
      </right>
      <top style="medium">
        <color rgb="FFF7EEFF"/>
      </top>
    </border>
    <border>
      <left style="medium">
        <color rgb="FFF7EEFF"/>
      </left>
      <right style="thick">
        <color rgb="FF434343"/>
      </right>
      <top style="medium">
        <color rgb="FFF7EEFF"/>
      </top>
    </border>
    <border>
      <left style="thick">
        <color rgb="FF3E3A3A"/>
      </left>
      <top style="medium">
        <color rgb="FF3E3A3A"/>
      </top>
      <bottom style="thin">
        <color rgb="FFF7EEFF"/>
      </bottom>
    </border>
    <border>
      <top style="medium">
        <color rgb="FF3E3A3A"/>
      </top>
      <bottom style="thin">
        <color rgb="FFF7EEFF"/>
      </bottom>
    </border>
    <border>
      <right style="thick">
        <color rgb="FF3E3A3A"/>
      </right>
      <top style="medium">
        <color rgb="FF3E3A3A"/>
      </top>
      <bottom style="thin">
        <color rgb="FFF7EEFF"/>
      </bottom>
    </border>
    <border>
      <left style="thick">
        <color rgb="FF3E3A3A"/>
      </left>
      <top style="thin">
        <color rgb="FFF7EEFF"/>
      </top>
      <bottom style="thin">
        <color rgb="FFF7EEFF"/>
      </bottom>
    </border>
    <border>
      <right style="thick">
        <color rgb="FF3E3A3A"/>
      </right>
      <top style="thin">
        <color rgb="FFF7EEFF"/>
      </top>
      <bottom style="thin">
        <color rgb="FFF7EEFF"/>
      </bottom>
    </border>
    <border>
      <left style="thick">
        <color rgb="FF3E3A3A"/>
      </left>
      <top style="thin">
        <color rgb="FFF7EEFF"/>
      </top>
    </border>
    <border>
      <left style="thin">
        <color rgb="FFF7EEFF"/>
      </left>
      <right style="thick">
        <color rgb="FF3E3A3A"/>
      </right>
      <top style="thin">
        <color rgb="FFF7EEFF"/>
      </top>
    </border>
    <border>
      <right style="thin">
        <color rgb="FFF7EEFF"/>
      </right>
      <top style="medium">
        <color rgb="FF3E3A3A"/>
      </top>
      <bottom style="thin">
        <color rgb="FFF7EEFF"/>
      </bottom>
    </border>
    <border>
      <left style="thin">
        <color rgb="FFF7EEFF"/>
      </left>
      <right style="thick">
        <color rgb="FF3E3A3A"/>
      </right>
      <top style="medium">
        <color rgb="FF3E3A3A"/>
      </top>
      <bottom style="thin">
        <color rgb="FFF7EEFF"/>
      </bottom>
    </border>
    <border>
      <left style="thick">
        <color rgb="FF3E3A3A"/>
      </left>
      <top style="thin">
        <color rgb="FFF7EEFF"/>
      </top>
      <bottom style="thick">
        <color rgb="FF3E3A3A"/>
      </bottom>
    </border>
    <border>
      <top style="thin">
        <color rgb="FFF7EEFF"/>
      </top>
      <bottom style="thick">
        <color rgb="FF3E3A3A"/>
      </bottom>
    </border>
    <border>
      <right style="thin">
        <color rgb="FFF7EEFF"/>
      </right>
      <top style="thin">
        <color rgb="FFF7EEFF"/>
      </top>
      <bottom style="thick">
        <color rgb="FF3E3A3A"/>
      </bottom>
    </border>
    <border>
      <left style="thin">
        <color rgb="FFF7EEFF"/>
      </left>
      <right style="thick">
        <color rgb="FF3E3A3A"/>
      </right>
      <top style="thin">
        <color rgb="FFF7EEFF"/>
      </top>
      <bottom style="thick">
        <color rgb="FF3E3A3A"/>
      </bottom>
    </border>
    <border>
      <bottom style="thin">
        <color rgb="FFF7EEFF"/>
      </bottom>
    </border>
    <border>
      <right style="thin">
        <color rgb="FFF7EEFF"/>
      </right>
      <bottom style="thin">
        <color rgb="FFF7EEFF"/>
      </bottom>
    </border>
    <border>
      <left style="thick">
        <color rgb="FF3E3A3A"/>
      </left>
      <right style="thin">
        <color rgb="FFF9516C"/>
      </right>
      <bottom style="thin">
        <color rgb="FFF9516C"/>
      </bottom>
    </border>
    <border>
      <left style="thin">
        <color rgb="FFF9516C"/>
      </left>
      <right style="thin">
        <color rgb="FFF9516C"/>
      </right>
      <bottom style="thin">
        <color rgb="FFF9516C"/>
      </bottom>
    </border>
    <border>
      <left style="thin">
        <color rgb="FFF9516C"/>
      </left>
      <top style="thin">
        <color rgb="FF3E3A3A"/>
      </top>
      <bottom style="thin">
        <color rgb="FFF9516C"/>
      </bottom>
    </border>
    <border>
      <right style="thick">
        <color rgb="FF3E3A3A"/>
      </right>
      <top style="thin">
        <color rgb="FF3E3A3A"/>
      </top>
      <bottom style="thin">
        <color rgb="FFF9516C"/>
      </bottom>
    </border>
    <border>
      <left style="thick">
        <color rgb="FF3E3A3A"/>
      </left>
      <right style="thin">
        <color rgb="FFF9516C"/>
      </right>
      <top style="thin">
        <color rgb="FFF9516C"/>
      </top>
      <bottom style="thin">
        <color rgb="FFF9516C"/>
      </bottom>
    </border>
    <border>
      <left style="thin">
        <color rgb="FFF9516C"/>
      </left>
      <right style="thin">
        <color rgb="FFF9516C"/>
      </right>
      <top style="thin">
        <color rgb="FFF9516C"/>
      </top>
      <bottom style="thin">
        <color rgb="FFF9516C"/>
      </bottom>
    </border>
    <border>
      <left style="thin">
        <color rgb="FFF9516C"/>
      </left>
      <top style="thin">
        <color rgb="FFF9516C"/>
      </top>
      <bottom style="thin">
        <color rgb="FFF9516C"/>
      </bottom>
    </border>
    <border>
      <right style="thick">
        <color rgb="FF3E3A3A"/>
      </right>
      <top style="thin">
        <color rgb="FFF9516C"/>
      </top>
      <bottom style="thin">
        <color rgb="FFF9516C"/>
      </bottom>
    </border>
    <border>
      <left style="thick">
        <color rgb="FF3E3A3A"/>
      </left>
      <right style="thin">
        <color rgb="FFF9516C"/>
      </right>
      <top style="thin">
        <color rgb="FFF9516C"/>
      </top>
    </border>
    <border>
      <left style="thin">
        <color rgb="FFF9516C"/>
      </left>
      <right style="thin">
        <color rgb="FFF9516C"/>
      </right>
      <top style="thin">
        <color rgb="FFF9516C"/>
      </top>
    </border>
    <border>
      <left style="thin">
        <color rgb="FFF9516C"/>
      </left>
      <top style="thin">
        <color rgb="FFF9516C"/>
      </top>
      <bottom style="thin">
        <color rgb="FF9F6178"/>
      </bottom>
    </border>
    <border>
      <right style="thick">
        <color rgb="FF3E3A3A"/>
      </right>
      <top style="thin">
        <color rgb="FFF9516C"/>
      </top>
      <bottom style="thin">
        <color rgb="FF9F6178"/>
      </bottom>
    </border>
    <border>
      <left style="thick">
        <color rgb="FF3E3A3A"/>
      </left>
      <right style="thin">
        <color rgb="FFF7EEFF"/>
      </right>
      <top style="thin">
        <color rgb="FFF7EEFF"/>
      </top>
      <bottom style="thick">
        <color rgb="FF3E3A3A"/>
      </bottom>
    </border>
    <border>
      <left style="thin">
        <color rgb="FFF7EEFF"/>
      </left>
      <right style="thin">
        <color rgb="FFF7EEFF"/>
      </right>
      <top style="thin">
        <color rgb="FFF7EEFF"/>
      </top>
      <bottom style="thick">
        <color rgb="FF3E3A3A"/>
      </bottom>
    </border>
    <border>
      <left style="thin">
        <color rgb="FFF7EEFF"/>
      </left>
      <right style="thin">
        <color rgb="FFF7EEFF"/>
      </right>
      <bottom style="thick">
        <color rgb="FF3E3A3A"/>
      </bottom>
    </border>
    <border>
      <left style="thick">
        <color rgb="FF3E3A3A"/>
      </left>
      <right style="thin">
        <color rgb="FFD7E3BF"/>
      </right>
      <bottom style="thin">
        <color rgb="FFD7E3BF"/>
      </bottom>
    </border>
    <border>
      <left style="thin">
        <color rgb="FFD7E3BF"/>
      </left>
      <right style="thin">
        <color rgb="FFD7E3BF"/>
      </right>
      <bottom style="thin">
        <color rgb="FFD7E3BF"/>
      </bottom>
    </border>
    <border>
      <left style="thin">
        <color rgb="FFD7E3BF"/>
      </left>
      <right style="thick">
        <color rgb="FF3E3A3A"/>
      </right>
      <bottom style="thin">
        <color rgb="FFD7E3BF"/>
      </bottom>
    </border>
    <border>
      <left style="thick">
        <color rgb="FF3E3A3A"/>
      </left>
      <right style="thin">
        <color rgb="FFD7E3BF"/>
      </right>
      <top style="thin">
        <color rgb="FFD7E3BF"/>
      </top>
      <bottom style="thin">
        <color rgb="FFD7E3BF"/>
      </bottom>
    </border>
    <border>
      <left style="thin">
        <color rgb="FFD7E3BF"/>
      </left>
      <top style="thin">
        <color rgb="FFD7E3BF"/>
      </top>
      <bottom style="thin">
        <color rgb="FFD7E3BF"/>
      </bottom>
    </border>
    <border>
      <top style="thin">
        <color rgb="FFD7E3BF"/>
      </top>
    </border>
    <border>
      <right style="thin">
        <color rgb="FFD7E3BF"/>
      </right>
      <top style="thin">
        <color rgb="FFD7E3BF"/>
      </top>
    </border>
    <border>
      <top style="thin">
        <color rgb="FFD7E3BF"/>
      </top>
      <bottom style="thin">
        <color rgb="FFD7E3BF"/>
      </bottom>
    </border>
    <border>
      <right style="thin">
        <color rgb="FFD7E3BF"/>
      </right>
      <top style="thin">
        <color rgb="FFD7E3BF"/>
      </top>
      <bottom style="thin">
        <color rgb="FFD7E3BF"/>
      </bottom>
    </border>
    <border>
      <left style="thin">
        <color rgb="FFD7E3BF"/>
      </left>
      <right style="thin">
        <color rgb="FFD7E3BF"/>
      </right>
      <top style="thin">
        <color rgb="FFD7E3BF"/>
      </top>
    </border>
    <border>
      <left style="thin">
        <color rgb="FFD7E3BF"/>
      </left>
      <right style="thick">
        <color rgb="FF3E3A3A"/>
      </right>
      <top style="thin">
        <color rgb="FFD7E3BF"/>
      </top>
      <bottom style="thin">
        <color rgb="FFD7E3BF"/>
      </bottom>
    </border>
    <border>
      <left style="thick">
        <color rgb="FF434343"/>
      </left>
      <bottom style="medium">
        <color rgb="FFD7E3BF"/>
      </bottom>
    </border>
    <border>
      <bottom style="medium">
        <color rgb="FFD7E3BF"/>
      </bottom>
    </border>
    <border>
      <right style="thick">
        <color rgb="FF434343"/>
      </right>
      <bottom style="medium">
        <color rgb="FFD7E3BF"/>
      </bottom>
    </border>
    <border>
      <right style="thin">
        <color rgb="FFD7E3BF"/>
      </right>
    </border>
    <border>
      <left style="thin">
        <color rgb="FFD7E3BF"/>
      </left>
      <right style="thin">
        <color rgb="FFD7E3BF"/>
      </right>
    </border>
    <border>
      <left style="thick">
        <color rgb="FF434343"/>
      </left>
      <top style="medium">
        <color rgb="FFD7E3BF"/>
      </top>
      <bottom style="medium">
        <color rgb="FFD7E3BF"/>
      </bottom>
    </border>
    <border>
      <top style="medium">
        <color rgb="FFD7E3BF"/>
      </top>
      <bottom style="medium">
        <color rgb="FFD7E3BF"/>
      </bottom>
    </border>
    <border>
      <right style="thick">
        <color rgb="FF434343"/>
      </right>
      <top style="medium">
        <color rgb="FFD7E3BF"/>
      </top>
      <bottom style="medium">
        <color rgb="FFD7E3BF"/>
      </bottom>
    </border>
    <border>
      <left style="thin">
        <color rgb="FFD7E3BF"/>
      </left>
      <right style="thin">
        <color rgb="FFD7E3BF"/>
      </right>
      <top style="thin">
        <color rgb="FFD7E3BF"/>
      </top>
      <bottom style="thin">
        <color rgb="FFD7E3BF"/>
      </bottom>
    </border>
    <border>
      <left style="thick">
        <color rgb="FF434343"/>
      </left>
      <right style="medium">
        <color rgb="FFD7E3BF"/>
      </right>
      <top style="medium">
        <color rgb="FFD7E3BF"/>
      </top>
      <bottom style="medium">
        <color rgb="FFD7E3BF"/>
      </bottom>
    </border>
    <border>
      <left style="medium">
        <color rgb="FFD7E3BF"/>
      </left>
      <top style="medium">
        <color rgb="FFD7E3BF"/>
      </top>
      <bottom style="medium">
        <color rgb="FFD7E3BF"/>
      </bottom>
    </border>
    <border>
      <right style="medium">
        <color rgb="FFD7E3BF"/>
      </right>
      <top style="medium">
        <color rgb="FFD7E3BF"/>
      </top>
      <bottom style="medium">
        <color rgb="FFD7E3BF"/>
      </bottom>
    </border>
    <border>
      <left style="medium">
        <color rgb="FFD7E3BF"/>
      </left>
      <right style="thick">
        <color rgb="FF434343"/>
      </right>
      <top style="medium">
        <color rgb="FFD7E3BF"/>
      </top>
      <bottom style="medium">
        <color rgb="FFD7E3BF"/>
      </bottom>
    </border>
    <border>
      <left style="medium">
        <color rgb="FFD7E3BF"/>
      </left>
      <right style="medium">
        <color rgb="FFD7E3BF"/>
      </right>
      <top style="medium">
        <color rgb="FFD7E3BF"/>
      </top>
      <bottom style="medium">
        <color rgb="FFD7E3BF"/>
      </bottom>
    </border>
    <border>
      <left style="thick">
        <color rgb="FF434343"/>
      </left>
      <right style="medium">
        <color rgb="FFD7E3BF"/>
      </right>
      <top style="medium">
        <color rgb="FFD7E3BF"/>
      </top>
    </border>
    <border>
      <left style="medium">
        <color rgb="FFD7E3BF"/>
      </left>
      <right style="medium">
        <color rgb="FFD7E3BF"/>
      </right>
      <top style="medium">
        <color rgb="FFD7E3BF"/>
      </top>
    </border>
    <border>
      <left style="medium">
        <color rgb="FFD7E3BF"/>
      </left>
      <right style="thick">
        <color rgb="FF434343"/>
      </right>
      <top style="medium">
        <color rgb="FFD7E3BF"/>
      </top>
    </border>
    <border>
      <left style="thick">
        <color rgb="FF434343"/>
      </left>
      <top style="medium">
        <color rgb="FF434343"/>
      </top>
      <bottom style="thin">
        <color rgb="FFD7E3BF"/>
      </bottom>
    </border>
    <border>
      <top style="medium">
        <color rgb="FF434343"/>
      </top>
      <bottom style="thin">
        <color rgb="FFD7E3BF"/>
      </bottom>
    </border>
    <border>
      <right style="thick">
        <color rgb="FF434343"/>
      </right>
      <top style="medium">
        <color rgb="FF434343"/>
      </top>
      <bottom style="thin">
        <color rgb="FFD7E3BF"/>
      </bottom>
    </border>
    <border>
      <left style="thick">
        <color rgb="FF434343"/>
      </left>
      <top style="thin">
        <color rgb="FFD7E3BF"/>
      </top>
      <bottom style="thin">
        <color rgb="FFD7E3BF"/>
      </bottom>
    </border>
    <border>
      <right style="thick">
        <color rgb="FF434343"/>
      </right>
      <top style="thin">
        <color rgb="FFD7E3BF"/>
      </top>
      <bottom style="thin">
        <color rgb="FFD7E3BF"/>
      </bottom>
    </border>
    <border>
      <left style="thick">
        <color rgb="FF434343"/>
      </left>
      <top style="thin">
        <color rgb="FFD7E3BF"/>
      </top>
    </border>
    <border>
      <left style="thin">
        <color rgb="FFD7E3BF"/>
      </left>
      <right style="thick">
        <color rgb="FF434343"/>
      </right>
      <top style="thin">
        <color rgb="FFD7E3BF"/>
      </top>
    </border>
    <border>
      <right style="thin">
        <color rgb="FFD7E3BF"/>
      </right>
      <top style="medium">
        <color rgb="FF434343"/>
      </top>
      <bottom style="thin">
        <color rgb="FFD7E3BF"/>
      </bottom>
    </border>
    <border>
      <left style="thick">
        <color rgb="FF434343"/>
      </left>
      <top style="thin">
        <color rgb="FFD7E3BF"/>
      </top>
      <bottom style="thick">
        <color rgb="FF434343"/>
      </bottom>
    </border>
    <border>
      <top style="thin">
        <color rgb="FFD7E3BF"/>
      </top>
      <bottom style="thick">
        <color rgb="FF434343"/>
      </bottom>
    </border>
    <border>
      <right style="thin">
        <color rgb="FFD7E3BF"/>
      </right>
      <top style="thin">
        <color rgb="FFD7E3BF"/>
      </top>
      <bottom style="thick">
        <color rgb="FF434343"/>
      </bottom>
    </border>
    <border>
      <right style="thick">
        <color rgb="FF434343"/>
      </right>
      <top style="thin">
        <color rgb="FFD7E3BF"/>
      </top>
      <bottom style="thick">
        <color rgb="FF434343"/>
      </bottom>
    </border>
    <border>
      <bottom style="thin">
        <color rgb="FFD7E3BF"/>
      </bottom>
    </border>
    <border>
      <right style="thin">
        <color rgb="FFD7E3BF"/>
      </right>
      <bottom style="thin">
        <color rgb="FFD7E3BF"/>
      </bottom>
    </border>
    <border>
      <left style="thin">
        <color rgb="FF90C12C"/>
      </left>
      <top style="thin">
        <color rgb="FF90C12C"/>
      </top>
      <bottom style="thin">
        <color rgb="FF81935D"/>
      </bottom>
    </border>
    <border>
      <right style="thick">
        <color rgb="FF3E3A3A"/>
      </right>
      <top style="thin">
        <color rgb="FF90C12C"/>
      </top>
      <bottom style="thin">
        <color rgb="FF81935D"/>
      </bottom>
    </border>
    <border>
      <left style="thick">
        <color rgb="FF3E3A3A"/>
      </left>
      <right style="thin">
        <color rgb="FFD7E3BF"/>
      </right>
      <top style="thin">
        <color rgb="FFD7E3BF"/>
      </top>
      <bottom style="thick">
        <color rgb="FF3E3A3A"/>
      </bottom>
    </border>
    <border>
      <left style="thin">
        <color rgb="FFD7E3BF"/>
      </left>
      <right style="thin">
        <color rgb="FFD7E3BF"/>
      </right>
      <top style="thin">
        <color rgb="FFD7E3BF"/>
      </top>
      <bottom style="thick">
        <color rgb="FF3E3A3A"/>
      </bottom>
    </border>
    <border>
      <left style="thin">
        <color rgb="FFD7E3BF"/>
      </left>
      <right style="thin">
        <color rgb="FFD7E3BF"/>
      </right>
      <bottom style="thick">
        <color rgb="FF3E3A3A"/>
      </bottom>
    </border>
    <border>
      <left style="thin">
        <color rgb="FFD7E3BF"/>
      </left>
      <right style="thick">
        <color rgb="FF3E3A3A"/>
      </right>
      <top style="thin">
        <color rgb="FFD7E3BF"/>
      </top>
      <bottom style="thick">
        <color rgb="FF3E3A3A"/>
      </bottom>
    </border>
    <border>
      <left style="thick">
        <color rgb="FF3E3A3A"/>
      </left>
      <right style="thin">
        <color rgb="FFE7E9F6"/>
      </right>
      <bottom style="thin">
        <color rgb="FFE7E9F6"/>
      </bottom>
    </border>
    <border>
      <left style="thin">
        <color rgb="FFE7E9F6"/>
      </left>
      <right style="thin">
        <color rgb="FFE7E9F6"/>
      </right>
      <bottom style="thin">
        <color rgb="FFE7E9F6"/>
      </bottom>
    </border>
    <border>
      <left style="thin">
        <color rgb="FFE7E9F6"/>
      </left>
      <right style="thick">
        <color rgb="FF3E3A3A"/>
      </right>
      <bottom style="thin">
        <color rgb="FFE7E9F6"/>
      </bottom>
    </border>
    <border>
      <left style="thick">
        <color rgb="FF3E3A3A"/>
      </left>
      <right style="thin">
        <color rgb="FFE7E9F6"/>
      </right>
      <top style="thin">
        <color rgb="FFE7E9F6"/>
      </top>
      <bottom style="thin">
        <color rgb="FFE7E9F6"/>
      </bottom>
    </border>
    <border>
      <left style="thin">
        <color rgb="FFE7E9F6"/>
      </left>
      <right style="thin">
        <color rgb="FFE7E9F6"/>
      </right>
      <top style="thin">
        <color rgb="FFE7E9F6"/>
      </top>
      <bottom style="thin">
        <color rgb="FFE7E9F6"/>
      </bottom>
    </border>
    <border>
      <left style="thin">
        <color rgb="FFE7E9F6"/>
      </left>
      <top style="thin">
        <color rgb="FFE7E9F6"/>
      </top>
    </border>
    <border>
      <top style="thin">
        <color rgb="FFE7E9F6"/>
      </top>
    </border>
    <border>
      <right style="thin">
        <color rgb="FFE7E9F6"/>
      </right>
      <top style="thin">
        <color rgb="FFE7E9F6"/>
      </top>
    </border>
    <border>
      <left style="thin">
        <color rgb="FFE7E9F6"/>
      </left>
      <right style="thick">
        <color rgb="FF3E3A3A"/>
      </right>
      <top style="thin">
        <color rgb="FFE7E9F6"/>
      </top>
      <bottom style="thin">
        <color rgb="FFE7E9F6"/>
      </bottom>
    </border>
    <border>
      <left style="thin">
        <color rgb="FFE7E9F6"/>
      </left>
      <top style="thin">
        <color rgb="FFE7E9F6"/>
      </top>
      <bottom style="thin">
        <color rgb="FFE7E9F6"/>
      </bottom>
    </border>
    <border>
      <top style="thin">
        <color rgb="FFE7E9F6"/>
      </top>
      <bottom style="thin">
        <color rgb="FFE7E9F6"/>
      </bottom>
    </border>
    <border>
      <right style="thin">
        <color rgb="FFE7E9F6"/>
      </right>
      <top style="thin">
        <color rgb="FFE7E9F6"/>
      </top>
      <bottom style="thin">
        <color rgb="FFE7E9F6"/>
      </bottom>
    </border>
    <border>
      <left style="thick">
        <color rgb="FF3E3A3A"/>
      </left>
      <bottom style="medium">
        <color rgb="FFE7E9F6"/>
      </bottom>
    </border>
    <border>
      <bottom style="medium">
        <color rgb="FFE7E9F6"/>
      </bottom>
    </border>
    <border>
      <right style="thick">
        <color rgb="FF3E3A3A"/>
      </right>
      <bottom style="medium">
        <color rgb="FFE7E9F6"/>
      </bottom>
    </border>
    <border>
      <right style="thin">
        <color rgb="FFE7E9F6"/>
      </right>
    </border>
    <border>
      <left style="thick">
        <color rgb="FF3E3A3A"/>
      </left>
      <top style="medium">
        <color rgb="FFE7E9F6"/>
      </top>
      <bottom style="medium">
        <color rgb="FFE7E9F6"/>
      </bottom>
    </border>
    <border>
      <top style="medium">
        <color rgb="FFE7E9F6"/>
      </top>
      <bottom style="medium">
        <color rgb="FFE7E9F6"/>
      </bottom>
    </border>
    <border>
      <right style="thick">
        <color rgb="FF3E3A3A"/>
      </right>
      <top style="medium">
        <color rgb="FFE7E9F6"/>
      </top>
      <bottom style="medium">
        <color rgb="FFE7E9F6"/>
      </bottom>
    </border>
    <border>
      <left style="thick">
        <color rgb="FF3E3A3A"/>
      </left>
      <right style="medium">
        <color rgb="FFE7E9F6"/>
      </right>
      <top style="medium">
        <color rgb="FFE7E9F6"/>
      </top>
      <bottom style="medium">
        <color rgb="FFE7E9F6"/>
      </bottom>
    </border>
    <border>
      <left style="medium">
        <color rgb="FFE7E9F6"/>
      </left>
      <top style="medium">
        <color rgb="FFE7E9F6"/>
      </top>
      <bottom style="medium">
        <color rgb="FFE7E9F6"/>
      </bottom>
    </border>
    <border>
      <right style="medium">
        <color rgb="FFE7E9F6"/>
      </right>
      <top style="medium">
        <color rgb="FFE7E9F6"/>
      </top>
      <bottom style="medium">
        <color rgb="FFE7E9F6"/>
      </bottom>
    </border>
    <border>
      <left style="medium">
        <color rgb="FFE7E9F6"/>
      </left>
      <right style="thick">
        <color rgb="FF3E3A3A"/>
      </right>
      <top style="medium">
        <color rgb="FFE7E9F6"/>
      </top>
      <bottom style="medium">
        <color rgb="FFE7E9F6"/>
      </bottom>
    </border>
    <border>
      <left style="medium">
        <color rgb="FFE7E9F6"/>
      </left>
      <right style="medium">
        <color rgb="FFE7E9F6"/>
      </right>
      <top style="medium">
        <color rgb="FFE7E9F6"/>
      </top>
      <bottom style="medium">
        <color rgb="FFE7E9F6"/>
      </bottom>
    </border>
    <border>
      <left style="thick">
        <color rgb="FF3E3A3A"/>
      </left>
      <right style="medium">
        <color rgb="FFE7E9F6"/>
      </right>
      <top style="medium">
        <color rgb="FFE7E9F6"/>
      </top>
    </border>
    <border>
      <left style="medium">
        <color rgb="FFE7E9F6"/>
      </left>
      <right style="medium">
        <color rgb="FFE7E9F6"/>
      </right>
      <top style="medium">
        <color rgb="FFE7E9F6"/>
      </top>
    </border>
    <border>
      <left style="medium">
        <color rgb="FFE7E9F6"/>
      </left>
      <right style="thick">
        <color rgb="FF3E3A3A"/>
      </right>
      <top style="medium">
        <color rgb="FFE7E9F6"/>
      </top>
    </border>
    <border>
      <left style="thick">
        <color rgb="FF3E3A3A"/>
      </left>
      <top style="medium">
        <color rgb="FF434343"/>
      </top>
      <bottom style="thin">
        <color rgb="FFE7E9F6"/>
      </bottom>
    </border>
    <border>
      <top style="medium">
        <color rgb="FF434343"/>
      </top>
      <bottom style="thin">
        <color rgb="FFE7E9F6"/>
      </bottom>
    </border>
    <border>
      <right style="thick">
        <color rgb="FF3E3A3A"/>
      </right>
      <top style="medium">
        <color rgb="FF434343"/>
      </top>
      <bottom style="thin">
        <color rgb="FFE7E9F6"/>
      </bottom>
    </border>
    <border>
      <left style="thin">
        <color rgb="FFE7E9F6"/>
      </left>
      <right style="thin">
        <color rgb="FFE7E9F6"/>
      </right>
      <top style="thin">
        <color rgb="FFE7E9F6"/>
      </top>
    </border>
    <border>
      <left style="thick">
        <color rgb="FF3E3A3A"/>
      </left>
      <top style="thin">
        <color rgb="FFE7E9F6"/>
      </top>
      <bottom style="thin">
        <color rgb="FFE7E9F6"/>
      </bottom>
    </border>
    <border>
      <right style="thick">
        <color rgb="FF3E3A3A"/>
      </right>
      <top style="thin">
        <color rgb="FFE7E9F6"/>
      </top>
      <bottom style="thin">
        <color rgb="FFE7E9F6"/>
      </bottom>
    </border>
    <border>
      <left style="thin">
        <color rgb="FFE7E9F6"/>
      </left>
      <right style="thin">
        <color rgb="FFE7E9F6"/>
      </right>
    </border>
    <border>
      <left style="thick">
        <color rgb="FF3E3A3A"/>
      </left>
      <top style="thin">
        <color rgb="FFE7E9F6"/>
      </top>
    </border>
    <border>
      <left style="thin">
        <color rgb="FFE7E9F6"/>
      </left>
      <right style="thick">
        <color rgb="FF3E3A3A"/>
      </right>
      <top style="thin">
        <color rgb="FFE7E9F6"/>
      </top>
    </border>
    <border>
      <right style="thin">
        <color rgb="FFE7E9F6"/>
      </right>
      <top style="medium">
        <color rgb="FF434343"/>
      </top>
      <bottom style="thin">
        <color rgb="FFE7E9F6"/>
      </bottom>
    </border>
    <border>
      <left style="thin">
        <color rgb="FFE7E9F6"/>
      </left>
      <right style="thick">
        <color rgb="FF3E3A3A"/>
      </right>
      <top style="medium">
        <color rgb="FF434343"/>
      </top>
      <bottom style="thin">
        <color rgb="FFE7E9F6"/>
      </bottom>
    </border>
    <border>
      <left style="thick">
        <color rgb="FF3E3A3A"/>
      </left>
      <top style="thin">
        <color rgb="FFE7E9F6"/>
      </top>
      <bottom style="thick">
        <color rgb="FF3E3A3A"/>
      </bottom>
    </border>
    <border>
      <top style="thin">
        <color rgb="FFE7E9F6"/>
      </top>
      <bottom style="thick">
        <color rgb="FF3E3A3A"/>
      </bottom>
    </border>
    <border>
      <right style="thin">
        <color rgb="FFE7E9F6"/>
      </right>
      <top style="thin">
        <color rgb="FFE7E9F6"/>
      </top>
      <bottom style="thick">
        <color rgb="FF3E3A3A"/>
      </bottom>
    </border>
    <border>
      <left style="thin">
        <color rgb="FFE7E9F6"/>
      </left>
      <right style="thick">
        <color rgb="FF3E3A3A"/>
      </right>
      <top style="thin">
        <color rgb="FFE7E9F6"/>
      </top>
      <bottom style="thick">
        <color rgb="FF3E3A3A"/>
      </bottom>
    </border>
    <border>
      <bottom style="thin">
        <color rgb="FFE7E9F6"/>
      </bottom>
    </border>
    <border>
      <right style="thin">
        <color rgb="FFE7E9F6"/>
      </right>
      <bottom style="thin">
        <color rgb="FFE7E9F6"/>
      </bottom>
    </border>
    <border>
      <left style="thick">
        <color rgb="FF3E3A3A"/>
      </left>
      <right style="thin">
        <color rgb="FF5C6380"/>
      </right>
      <bottom style="thin">
        <color rgb="FF5C6380"/>
      </bottom>
    </border>
    <border>
      <left style="thin">
        <color rgb="FF5C6380"/>
      </left>
      <right style="thin">
        <color rgb="FF5C6380"/>
      </right>
      <bottom style="thin">
        <color rgb="FF5C6380"/>
      </bottom>
    </border>
    <border>
      <left style="thin">
        <color rgb="FF5C6380"/>
      </left>
      <top style="thin">
        <color rgb="FF3E3A3A"/>
      </top>
      <bottom style="thin">
        <color rgb="FF5C6380"/>
      </bottom>
    </border>
    <border>
      <right style="thick">
        <color rgb="FF3E3A3A"/>
      </right>
      <top style="thin">
        <color rgb="FF3E3A3A"/>
      </top>
      <bottom style="thin">
        <color rgb="FF5C6380"/>
      </bottom>
    </border>
    <border>
      <left style="thick">
        <color rgb="FF3E3A3A"/>
      </left>
      <right style="thin">
        <color rgb="FF5C6380"/>
      </right>
      <top style="thin">
        <color rgb="FF5C6380"/>
      </top>
      <bottom style="thin">
        <color rgb="FF5C6380"/>
      </bottom>
    </border>
    <border>
      <left style="thin">
        <color rgb="FF5C6380"/>
      </left>
      <right style="thin">
        <color rgb="FF5C6380"/>
      </right>
      <top style="thin">
        <color rgb="FF5C6380"/>
      </top>
      <bottom style="thin">
        <color rgb="FF5C6380"/>
      </bottom>
    </border>
    <border>
      <left style="thin">
        <color rgb="FF5C6380"/>
      </left>
      <top style="thin">
        <color rgb="FF5C6380"/>
      </top>
      <bottom style="thin">
        <color rgb="FF5C6380"/>
      </bottom>
    </border>
    <border>
      <right style="thick">
        <color rgb="FF3E3A3A"/>
      </right>
      <top style="thin">
        <color rgb="FF5C6380"/>
      </top>
      <bottom style="thin">
        <color rgb="FF5C6380"/>
      </bottom>
    </border>
    <border>
      <left style="thick">
        <color rgb="FF3E3A3A"/>
      </left>
      <right style="thin">
        <color rgb="FF5C6380"/>
      </right>
      <top style="thin">
        <color rgb="FF5C6380"/>
      </top>
    </border>
    <border>
      <left style="thin">
        <color rgb="FF5C6380"/>
      </left>
      <right style="thin">
        <color rgb="FF5C6380"/>
      </right>
      <top style="thin">
        <color rgb="FF5C6380"/>
      </top>
    </border>
    <border>
      <left style="thick">
        <color rgb="FF3E3A3A"/>
      </left>
      <right style="thin">
        <color rgb="FFE7E9F6"/>
      </right>
      <top style="thin">
        <color rgb="FFE7E9F6"/>
      </top>
      <bottom style="thick">
        <color rgb="FF3E3A3A"/>
      </bottom>
    </border>
    <border>
      <left style="thin">
        <color rgb="FFE7E9F6"/>
      </left>
      <right style="thin">
        <color rgb="FFE7E9F6"/>
      </right>
      <top style="thin">
        <color rgb="FFE7E9F6"/>
      </top>
      <bottom style="thick">
        <color rgb="FF3E3A3A"/>
      </bottom>
    </border>
    <border>
      <left style="thin">
        <color rgb="FFE7E9F6"/>
      </left>
      <right style="thin">
        <color rgb="FFE7E9F6"/>
      </right>
      <bottom style="thick">
        <color rgb="FF3E3A3A"/>
      </bottom>
    </border>
    <border>
      <left style="thick">
        <color rgb="FF3E3A3A"/>
      </left>
      <right style="thin">
        <color rgb="FFFFF4F3"/>
      </right>
      <top style="thick">
        <color rgb="FF7C58E5"/>
      </top>
      <bottom style="thin">
        <color rgb="FFFFF4F3"/>
      </bottom>
    </border>
    <border>
      <left style="thin">
        <color rgb="FFFFF4F3"/>
      </left>
      <right style="thin">
        <color rgb="FFFFF4F3"/>
      </right>
      <top style="thick">
        <color rgb="FF7C58E5"/>
      </top>
      <bottom style="thin">
        <color rgb="FFFFF4F3"/>
      </bottom>
    </border>
    <border>
      <left style="thin">
        <color rgb="FFFFF4F3"/>
      </left>
      <right style="thick">
        <color rgb="FF3E3A3A"/>
      </right>
      <top style="thick">
        <color rgb="FF7C58E5"/>
      </top>
      <bottom style="thin">
        <color rgb="FFFFF4F3"/>
      </bottom>
    </border>
    <border>
      <left style="thin">
        <color rgb="FFFFF4F3"/>
      </left>
      <right style="thin">
        <color rgb="FFFFF4F3"/>
      </right>
      <top style="thin">
        <color rgb="FFFFF4F3"/>
      </top>
      <bottom style="thin">
        <color rgb="FFD7E3BF"/>
      </bottom>
    </border>
    <border>
      <left style="thin">
        <color rgb="FFFFF4F3"/>
      </left>
      <top style="thin">
        <color rgb="FFFFF4F3"/>
      </top>
    </border>
    <border>
      <left style="thick">
        <color rgb="FF3E3A3A"/>
      </left>
      <right style="thin">
        <color rgb="FFFFE4D1"/>
      </right>
      <top style="thin">
        <color rgb="FFFFFFFF"/>
      </top>
      <bottom style="thin">
        <color rgb="FFFFE4D1"/>
      </bottom>
    </border>
    <border>
      <left style="thin">
        <color rgb="FFFFE4D1"/>
      </left>
      <right style="thin">
        <color rgb="FFFFE4D1"/>
      </right>
      <bottom style="thin">
        <color rgb="FFFFE4D1"/>
      </bottom>
    </border>
    <border>
      <left style="thin">
        <color rgb="FFFFE4D1"/>
      </left>
      <right style="thick">
        <color rgb="FF3E3A3A"/>
      </right>
      <top style="thin">
        <color rgb="FFFFFFFF"/>
      </top>
      <bottom style="thin">
        <color rgb="FFFFE4D1"/>
      </bottom>
    </border>
    <border>
      <left style="thick">
        <color rgb="FF3E3A3A"/>
      </left>
      <right style="thin">
        <color rgb="FFFFE4D1"/>
      </right>
      <top style="thin">
        <color rgb="FFFFE4D1"/>
      </top>
      <bottom style="thin">
        <color rgb="FFFFE4D1"/>
      </bottom>
    </border>
    <border>
      <left style="thin">
        <color rgb="FFFFE4D1"/>
      </left>
      <right style="thin">
        <color rgb="FFFFE4D1"/>
      </right>
      <top style="thin">
        <color rgb="FFFFE4D1"/>
      </top>
      <bottom style="thin">
        <color rgb="FFFFE4D1"/>
      </bottom>
    </border>
    <border>
      <left style="thin">
        <color rgb="FFFFE4D1"/>
      </left>
      <top style="thin">
        <color rgb="FFFFE4D1"/>
      </top>
      <bottom style="thin">
        <color rgb="FFFFE4D1"/>
      </bottom>
    </border>
    <border>
      <top style="thin">
        <color rgb="FFFFE4D1"/>
      </top>
      <bottom style="thin">
        <color rgb="FFFFE4D1"/>
      </bottom>
    </border>
    <border>
      <right style="thin">
        <color rgb="FFFFE4D1"/>
      </right>
      <top style="thin">
        <color rgb="FFFFE4D1"/>
      </top>
      <bottom style="thin">
        <color rgb="FFFFE4D1"/>
      </bottom>
    </border>
    <border>
      <left style="thin">
        <color rgb="FFFFE4D1"/>
      </left>
      <right style="thick">
        <color rgb="FF3E3A3A"/>
      </right>
      <top style="thin">
        <color rgb="FFFFE4D1"/>
      </top>
      <bottom style="thin">
        <color rgb="FFFFE4D1"/>
      </bottom>
    </border>
    <border>
      <left style="thin">
        <color rgb="FFFFE4D1"/>
      </left>
      <right style="thin">
        <color rgb="FFFFE4D1"/>
      </right>
      <top style="thin">
        <color rgb="FFFFE4D1"/>
      </top>
    </border>
    <border>
      <left style="thick">
        <color rgb="FF434343"/>
      </left>
      <bottom style="medium">
        <color rgb="FFFFE4D1"/>
      </bottom>
    </border>
    <border>
      <bottom style="medium">
        <color rgb="FFFFE4D1"/>
      </bottom>
    </border>
    <border>
      <right style="thick">
        <color rgb="FF434343"/>
      </right>
      <bottom style="medium">
        <color rgb="FFFFE4D1"/>
      </bottom>
    </border>
    <border>
      <left style="thin">
        <color rgb="FFFFE4D1"/>
      </left>
      <right style="thin">
        <color rgb="FFFFE4D1"/>
      </right>
    </border>
    <border>
      <left style="thick">
        <color rgb="FF434343"/>
      </left>
      <top style="medium">
        <color rgb="FFFFE4D1"/>
      </top>
      <bottom style="medium">
        <color rgb="FFFFE4D1"/>
      </bottom>
    </border>
    <border>
      <top style="medium">
        <color rgb="FFFFE4D1"/>
      </top>
      <bottom style="medium">
        <color rgb="FFFFE4D1"/>
      </bottom>
    </border>
    <border>
      <right style="thick">
        <color rgb="FF434343"/>
      </right>
      <top style="medium">
        <color rgb="FFFFE4D1"/>
      </top>
      <bottom style="medium">
        <color rgb="FFFFE4D1"/>
      </bottom>
    </border>
    <border>
      <left style="thick">
        <color rgb="FF434343"/>
      </left>
      <right style="medium">
        <color rgb="FFFFE4D1"/>
      </right>
      <top style="medium">
        <color rgb="FFFFE4D1"/>
      </top>
      <bottom style="medium">
        <color rgb="FFFFE4D1"/>
      </bottom>
    </border>
    <border>
      <left style="medium">
        <color rgb="FFFFE4D1"/>
      </left>
      <top style="medium">
        <color rgb="FFFFE4D1"/>
      </top>
      <bottom style="medium">
        <color rgb="FFFFE4D1"/>
      </bottom>
    </border>
    <border>
      <right style="medium">
        <color rgb="FFFFE4D1"/>
      </right>
      <top style="medium">
        <color rgb="FFFFE4D1"/>
      </top>
      <bottom style="medium">
        <color rgb="FFFFE4D1"/>
      </bottom>
    </border>
    <border>
      <left style="medium">
        <color rgb="FFFFE4D1"/>
      </left>
      <right style="thick">
        <color rgb="FF434343"/>
      </right>
      <top style="medium">
        <color rgb="FFFFE4D1"/>
      </top>
      <bottom style="medium">
        <color rgb="FFFFE4D1"/>
      </bottom>
    </border>
    <border>
      <left style="medium">
        <color rgb="FFFFE4D1"/>
      </left>
      <right style="medium">
        <color rgb="FFFFE4D1"/>
      </right>
      <top style="medium">
        <color rgb="FFFFE4D1"/>
      </top>
      <bottom style="medium">
        <color rgb="FFFFE4D1"/>
      </bottom>
    </border>
    <border>
      <left style="thick">
        <color rgb="FF434343"/>
      </left>
      <right style="medium">
        <color rgb="FFFFE4D1"/>
      </right>
      <top style="medium">
        <color rgb="FFFFE4D1"/>
      </top>
    </border>
    <border>
      <left style="medium">
        <color rgb="FFFFE4D1"/>
      </left>
      <right style="medium">
        <color rgb="FFFFE4D1"/>
      </right>
      <top style="medium">
        <color rgb="FFFFE4D1"/>
      </top>
    </border>
    <border>
      <left style="medium">
        <color rgb="FFFFE4D1"/>
      </left>
      <right style="thick">
        <color rgb="FF434343"/>
      </right>
      <top style="medium">
        <color rgb="FFFFE4D1"/>
      </top>
    </border>
    <border>
      <left style="thick">
        <color rgb="FF434343"/>
      </left>
      <top style="medium">
        <color rgb="FF434343"/>
      </top>
      <bottom style="thin">
        <color rgb="FFFFE4D1"/>
      </bottom>
    </border>
    <border>
      <top style="medium">
        <color rgb="FF434343"/>
      </top>
      <bottom style="thin">
        <color rgb="FFFFE4D1"/>
      </bottom>
    </border>
    <border>
      <right style="thick">
        <color rgb="FF434343"/>
      </right>
      <top style="medium">
        <color rgb="FF434343"/>
      </top>
      <bottom style="thin">
        <color rgb="FFFFE4D1"/>
      </bottom>
    </border>
    <border>
      <left style="thick">
        <color rgb="FF434343"/>
      </left>
      <top style="thin">
        <color rgb="FFFFE4D1"/>
      </top>
      <bottom style="thin">
        <color rgb="FFFFE4D1"/>
      </bottom>
    </border>
    <border>
      <right style="thick">
        <color rgb="FF434343"/>
      </right>
      <top style="thin">
        <color rgb="FFFFE4D1"/>
      </top>
      <bottom style="thin">
        <color rgb="FFFFE4D1"/>
      </bottom>
    </border>
    <border>
      <left style="thick">
        <color rgb="FF434343"/>
      </left>
      <top style="thin">
        <color rgb="FFFFE4D1"/>
      </top>
    </border>
    <border>
      <top style="thin">
        <color rgb="FFFFE4D1"/>
      </top>
    </border>
    <border>
      <right style="thin">
        <color rgb="FFFFE4D1"/>
      </right>
      <top style="thin">
        <color rgb="FFFFE4D1"/>
      </top>
    </border>
    <border>
      <left style="thin">
        <color rgb="FFFFE4D1"/>
      </left>
      <right style="thick">
        <color rgb="FF434343"/>
      </right>
      <top style="thin">
        <color rgb="FFFFE4D1"/>
      </top>
    </border>
    <border>
      <right style="thin">
        <color rgb="FFFFE4D1"/>
      </right>
      <top style="medium">
        <color rgb="FF434343"/>
      </top>
      <bottom style="thin">
        <color rgb="FFFFE4D1"/>
      </bottom>
    </border>
    <border>
      <left style="thin">
        <color rgb="FFFFE4D1"/>
      </left>
      <right style="thick">
        <color rgb="FF434343"/>
      </right>
      <top style="medium">
        <color rgb="FF434343"/>
      </top>
      <bottom style="thin">
        <color rgb="FFFFE4D1"/>
      </bottom>
    </border>
    <border>
      <left style="thin">
        <color rgb="FFFFE4D1"/>
      </left>
      <right style="thick">
        <color rgb="FF434343"/>
      </right>
      <top style="thin">
        <color rgb="FFFFE4D1"/>
      </top>
      <bottom style="thin">
        <color rgb="FFFFE4D1"/>
      </bottom>
    </border>
    <border>
      <left style="thick">
        <color rgb="FF434343"/>
      </left>
      <top style="thin">
        <color rgb="FFFFE4D1"/>
      </top>
      <bottom style="thick">
        <color rgb="FF434343"/>
      </bottom>
    </border>
    <border>
      <top style="thin">
        <color rgb="FFFFE4D1"/>
      </top>
      <bottom style="thick">
        <color rgb="FF434343"/>
      </bottom>
    </border>
    <border>
      <right style="thin">
        <color rgb="FFFFE4D1"/>
      </right>
      <top style="thin">
        <color rgb="FFFFE4D1"/>
      </top>
      <bottom style="thick">
        <color rgb="FF434343"/>
      </bottom>
    </border>
    <border>
      <left style="thin">
        <color rgb="FFFFE4D1"/>
      </left>
      <right style="thick">
        <color rgb="FF434343"/>
      </right>
      <top style="thin">
        <color rgb="FFFFE4D1"/>
      </top>
      <bottom style="thick">
        <color rgb="FF434343"/>
      </bottom>
    </border>
    <border>
      <left style="thick">
        <color rgb="FF3E3A3A"/>
      </left>
      <right style="thin">
        <color rgb="FFE3BA20"/>
      </right>
      <bottom style="thin">
        <color rgb="FFE3BA20"/>
      </bottom>
    </border>
    <border>
      <left style="thin">
        <color rgb="FFE3BA20"/>
      </left>
      <right style="thin">
        <color rgb="FFE3BA20"/>
      </right>
      <bottom style="thin">
        <color rgb="FFE3BA20"/>
      </bottom>
    </border>
    <border>
      <left style="thin">
        <color rgb="FFE3BA20"/>
      </left>
      <top style="thin">
        <color rgb="FF3E3A3A"/>
      </top>
      <bottom style="thin">
        <color rgb="FFE3BA20"/>
      </bottom>
    </border>
    <border>
      <right style="thick">
        <color rgb="FF3E3A3A"/>
      </right>
      <top style="thin">
        <color rgb="FF3E3A3A"/>
      </top>
      <bottom style="thin">
        <color rgb="FFE3BA20"/>
      </bottom>
    </border>
    <border>
      <left style="thick">
        <color rgb="FF3E3A3A"/>
      </left>
      <right style="thin">
        <color rgb="FFE3BA20"/>
      </right>
      <top style="thin">
        <color rgb="FFE3BA20"/>
      </top>
      <bottom style="thin">
        <color rgb="FFE3BA20"/>
      </bottom>
    </border>
    <border>
      <left style="thin">
        <color rgb="FFE3BA20"/>
      </left>
      <right style="thin">
        <color rgb="FFE3BA20"/>
      </right>
      <top style="thin">
        <color rgb="FFE3BA20"/>
      </top>
      <bottom style="thin">
        <color rgb="FFE3BA20"/>
      </bottom>
    </border>
    <border>
      <left style="thin">
        <color rgb="FFE3BA20"/>
      </left>
      <top style="thin">
        <color rgb="FFE3BA20"/>
      </top>
      <bottom style="thin">
        <color rgb="FFE3BA20"/>
      </bottom>
    </border>
    <border>
      <right style="thick">
        <color rgb="FF3E3A3A"/>
      </right>
      <top style="thin">
        <color rgb="FFE3BA20"/>
      </top>
      <bottom style="thin">
        <color rgb="FFE3BA20"/>
      </bottom>
    </border>
    <border>
      <left style="thick">
        <color rgb="FF3E3A3A"/>
      </left>
      <right style="thin">
        <color rgb="FFE3BA20"/>
      </right>
      <top style="thin">
        <color rgb="FFE3BA20"/>
      </top>
    </border>
    <border>
      <left style="thin">
        <color rgb="FFE3BA20"/>
      </left>
      <right style="thin">
        <color rgb="FFE3BA20"/>
      </right>
      <top style="thin">
        <color rgb="FFE3BA20"/>
      </top>
    </border>
    <border>
      <left style="thin">
        <color rgb="FFE3BA20"/>
      </left>
      <top style="thin">
        <color rgb="FFE3BA20"/>
      </top>
      <bottom style="medium">
        <color rgb="FF3E3A3A"/>
      </bottom>
    </border>
    <border>
      <right style="thick">
        <color rgb="FF3E3A3A"/>
      </right>
      <top style="thin">
        <color rgb="FFE3BA20"/>
      </top>
      <bottom style="medium">
        <color rgb="FF3E3A3A"/>
      </bottom>
    </border>
    <border>
      <left style="thick">
        <color rgb="FF3E3A3A"/>
      </left>
      <right style="thin">
        <color rgb="FFFFE4D1"/>
      </right>
      <top style="thin">
        <color rgb="FFFFE4D1"/>
      </top>
      <bottom style="thick">
        <color rgb="FF3E3A3A"/>
      </bottom>
    </border>
    <border>
      <left style="thin">
        <color rgb="FFFFE4D1"/>
      </left>
      <right style="thin">
        <color rgb="FFFFE4D1"/>
      </right>
      <top style="thin">
        <color rgb="FFFFE4D1"/>
      </top>
      <bottom style="thick">
        <color rgb="FF3E3A3A"/>
      </bottom>
    </border>
    <border>
      <left style="thin">
        <color rgb="FFFFE4D1"/>
      </left>
      <right style="thin">
        <color rgb="FFFFE4D1"/>
      </right>
      <bottom style="thick">
        <color rgb="FF3E3A3A"/>
      </bottom>
    </border>
    <border>
      <left style="thin">
        <color rgb="FFFFE4D1"/>
      </left>
      <right style="thick">
        <color rgb="FF3E3A3A"/>
      </right>
      <top style="thin">
        <color rgb="FFFFE4D1"/>
      </top>
      <bottom style="thick">
        <color rgb="FF3E3A3A"/>
      </bottom>
    </border>
    <border>
      <left style="thick">
        <color rgb="FF3E3A3A"/>
      </left>
      <right style="thin">
        <color rgb="FFDCEBE8"/>
      </right>
      <top style="thin">
        <color rgb="FFFFFFFF"/>
      </top>
      <bottom style="thin">
        <color rgb="FFDCEBE8"/>
      </bottom>
    </border>
    <border>
      <left style="thin">
        <color rgb="FFDCEBE8"/>
      </left>
      <right style="thin">
        <color rgb="FFDCEBE8"/>
      </right>
      <bottom style="thin">
        <color rgb="FFDCEBE8"/>
      </bottom>
    </border>
    <border>
      <left style="thin">
        <color rgb="FFDCEBE8"/>
      </left>
      <right style="thick">
        <color rgb="FF3E3A3A"/>
      </right>
      <top style="thin">
        <color rgb="FFFFFFFF"/>
      </top>
      <bottom style="thin">
        <color rgb="FFDCEBE8"/>
      </bottom>
    </border>
    <border>
      <left style="thick">
        <color rgb="FF3E3A3A"/>
      </left>
      <right style="thin">
        <color rgb="FFDCEBE8"/>
      </right>
      <top style="thin">
        <color rgb="FFDCEBE8"/>
      </top>
      <bottom style="thin">
        <color rgb="FFDCEBE8"/>
      </bottom>
    </border>
    <border>
      <left style="thin">
        <color rgb="FFDCEBE8"/>
      </left>
      <right style="thin">
        <color rgb="FFDCEBE8"/>
      </right>
      <top style="thin">
        <color rgb="FFDCEBE8"/>
      </top>
      <bottom style="thin">
        <color rgb="FFDCEBE8"/>
      </bottom>
    </border>
    <border>
      <left style="thin">
        <color rgb="FFDCEBE8"/>
      </left>
      <right style="thin">
        <color rgb="FFDCEBE8"/>
      </right>
      <top style="thin">
        <color rgb="FFDCEBE8"/>
      </top>
    </border>
    <border>
      <left style="thin">
        <color rgb="FFDCEBE8"/>
      </left>
      <top style="thin">
        <color rgb="FFDCEBE8"/>
      </top>
      <bottom style="thin">
        <color rgb="FFDCEBE8"/>
      </bottom>
    </border>
    <border>
      <top style="thin">
        <color rgb="FFDCEBE8"/>
      </top>
      <bottom style="thin">
        <color rgb="FFDCEBE8"/>
      </bottom>
    </border>
    <border>
      <right style="thin">
        <color rgb="FFDCEBE8"/>
      </right>
      <top style="thin">
        <color rgb="FFDCEBE8"/>
      </top>
      <bottom style="thin">
        <color rgb="FFDCEBE8"/>
      </bottom>
    </border>
    <border>
      <left style="thin">
        <color rgb="FFDCEBE8"/>
      </left>
      <right style="thick">
        <color rgb="FF3E3A3A"/>
      </right>
      <top style="thin">
        <color rgb="FFDCEBE8"/>
      </top>
      <bottom style="thin">
        <color rgb="FFDCEBE8"/>
      </bottom>
    </border>
    <border>
      <left style="thick">
        <color rgb="FF434343"/>
      </left>
      <bottom style="medium">
        <color rgb="FFDCEBE8"/>
      </bottom>
    </border>
    <border>
      <bottom style="medium">
        <color rgb="FFDCEBE8"/>
      </bottom>
    </border>
    <border>
      <right style="thick">
        <color rgb="FF434343"/>
      </right>
      <bottom style="medium">
        <color rgb="FFDCEBE8"/>
      </bottom>
    </border>
    <border>
      <left style="thin">
        <color rgb="FFDCEBE8"/>
      </left>
      <right style="thin">
        <color rgb="FFDCEBE8"/>
      </right>
    </border>
    <border>
      <left style="thick">
        <color rgb="FF434343"/>
      </left>
      <top style="medium">
        <color rgb="FFDCEBE8"/>
      </top>
      <bottom style="medium">
        <color rgb="FFDCEBE8"/>
      </bottom>
    </border>
    <border>
      <top style="medium">
        <color rgb="FFDCEBE8"/>
      </top>
      <bottom style="medium">
        <color rgb="FFDCEBE8"/>
      </bottom>
    </border>
    <border>
      <right style="thick">
        <color rgb="FF434343"/>
      </right>
      <top style="medium">
        <color rgb="FFDCEBE8"/>
      </top>
      <bottom style="medium">
        <color rgb="FFDCEBE8"/>
      </bottom>
    </border>
    <border>
      <left style="thick">
        <color rgb="FF434343"/>
      </left>
      <right style="medium">
        <color rgb="FFDCEBE8"/>
      </right>
      <top style="medium">
        <color rgb="FFDCEBE8"/>
      </top>
      <bottom style="medium">
        <color rgb="FFDCEBE8"/>
      </bottom>
    </border>
    <border>
      <left style="medium">
        <color rgb="FFDCEBE8"/>
      </left>
      <top style="medium">
        <color rgb="FFDCEBE8"/>
      </top>
      <bottom style="medium">
        <color rgb="FFDCEBE8"/>
      </bottom>
    </border>
    <border>
      <right style="medium">
        <color rgb="FFDCEBE8"/>
      </right>
      <top style="medium">
        <color rgb="FFDCEBE8"/>
      </top>
      <bottom style="medium">
        <color rgb="FFDCEBE8"/>
      </bottom>
    </border>
    <border>
      <left style="medium">
        <color rgb="FFDCEBE8"/>
      </left>
      <right style="thick">
        <color rgb="FF434343"/>
      </right>
      <top style="medium">
        <color rgb="FFDCEBE8"/>
      </top>
      <bottom style="medium">
        <color rgb="FFDCEBE8"/>
      </bottom>
    </border>
    <border>
      <left style="medium">
        <color rgb="FFDCEBE8"/>
      </left>
      <right style="medium">
        <color rgb="FFDCEBE8"/>
      </right>
      <top style="medium">
        <color rgb="FFDCEBE8"/>
      </top>
      <bottom style="medium">
        <color rgb="FFDCEBE8"/>
      </bottom>
    </border>
    <border>
      <left style="thick">
        <color rgb="FF434343"/>
      </left>
      <right style="medium">
        <color rgb="FFDCEBE8"/>
      </right>
      <top style="medium">
        <color rgb="FFDCEBE8"/>
      </top>
    </border>
    <border>
      <left style="medium">
        <color rgb="FFDCEBE8"/>
      </left>
      <right style="medium">
        <color rgb="FFDCEBE8"/>
      </right>
      <top style="medium">
        <color rgb="FFDCEBE8"/>
      </top>
    </border>
    <border>
      <left style="medium">
        <color rgb="FFDCEBE8"/>
      </left>
      <right style="thick">
        <color rgb="FF434343"/>
      </right>
      <top style="medium">
        <color rgb="FFDCEBE8"/>
      </top>
    </border>
    <border>
      <left style="thick">
        <color rgb="FF434343"/>
      </left>
      <top style="medium">
        <color rgb="FF434343"/>
      </top>
      <bottom style="thin">
        <color rgb="FFDCEBE8"/>
      </bottom>
    </border>
    <border>
      <top style="medium">
        <color rgb="FF434343"/>
      </top>
      <bottom style="thin">
        <color rgb="FFDCEBE8"/>
      </bottom>
    </border>
    <border>
      <right style="thick">
        <color rgb="FF434343"/>
      </right>
      <top style="medium">
        <color rgb="FF434343"/>
      </top>
      <bottom style="thin">
        <color rgb="FFDCEBE8"/>
      </bottom>
    </border>
    <border>
      <left style="thick">
        <color rgb="FF434343"/>
      </left>
      <top style="thin">
        <color rgb="FFDCEBE8"/>
      </top>
      <bottom style="thin">
        <color rgb="FFDCEBE8"/>
      </bottom>
    </border>
    <border>
      <right style="thick">
        <color rgb="FF434343"/>
      </right>
      <top style="thin">
        <color rgb="FFDCEBE8"/>
      </top>
      <bottom style="thin">
        <color rgb="FFDCEBE8"/>
      </bottom>
    </border>
    <border>
      <left style="thick">
        <color rgb="FF434343"/>
      </left>
      <top style="thin">
        <color rgb="FFDCEBE8"/>
      </top>
    </border>
    <border>
      <top style="thin">
        <color rgb="FFDCEBE8"/>
      </top>
    </border>
    <border>
      <right style="thin">
        <color rgb="FFDCEBE8"/>
      </right>
      <top style="thin">
        <color rgb="FFDCEBE8"/>
      </top>
    </border>
    <border>
      <left style="thin">
        <color rgb="FFDCEBE8"/>
      </left>
      <right style="thick">
        <color rgb="FF434343"/>
      </right>
      <top style="thin">
        <color rgb="FFDCEBE8"/>
      </top>
    </border>
    <border>
      <right style="thin">
        <color rgb="FFDCEBE8"/>
      </right>
      <top style="medium">
        <color rgb="FF434343"/>
      </top>
      <bottom style="thin">
        <color rgb="FFDCEBE8"/>
      </bottom>
    </border>
    <border>
      <left style="thin">
        <color rgb="FFDCEBE8"/>
      </left>
      <right style="thick">
        <color rgb="FF434343"/>
      </right>
      <top style="medium">
        <color rgb="FF434343"/>
      </top>
      <bottom style="thin">
        <color rgb="FFDCEBE8"/>
      </bottom>
    </border>
    <border>
      <left style="thin">
        <color rgb="FFDCEBE8"/>
      </left>
      <right style="thick">
        <color rgb="FF434343"/>
      </right>
      <top style="thin">
        <color rgb="FFDCEBE8"/>
      </top>
      <bottom style="thin">
        <color rgb="FFDCEBE8"/>
      </bottom>
    </border>
    <border>
      <left style="thick">
        <color rgb="FF434343"/>
      </left>
      <top style="thin">
        <color rgb="FFDCEBE8"/>
      </top>
      <bottom style="thick">
        <color rgb="FF434343"/>
      </bottom>
    </border>
    <border>
      <top style="thin">
        <color rgb="FFDCEBE8"/>
      </top>
      <bottom style="thick">
        <color rgb="FF434343"/>
      </bottom>
    </border>
    <border>
      <right style="thin">
        <color rgb="FFDCEBE8"/>
      </right>
      <top style="thin">
        <color rgb="FFDCEBE8"/>
      </top>
      <bottom style="thick">
        <color rgb="FF434343"/>
      </bottom>
    </border>
    <border>
      <left style="thin">
        <color rgb="FFDCEBE8"/>
      </left>
      <right style="thick">
        <color rgb="FF434343"/>
      </right>
      <top style="thin">
        <color rgb="FFDCEBE8"/>
      </top>
      <bottom style="thick">
        <color rgb="FF434343"/>
      </bottom>
    </border>
    <border>
      <left style="thick">
        <color rgb="FF3E3A3A"/>
      </left>
      <right style="thin">
        <color rgb="FF52A494"/>
      </right>
      <bottom style="thin">
        <color rgb="FF52A494"/>
      </bottom>
    </border>
    <border>
      <left style="thin">
        <color rgb="FF52A494"/>
      </left>
      <right style="thin">
        <color rgb="FF52A494"/>
      </right>
      <bottom style="thin">
        <color rgb="FF52A494"/>
      </bottom>
    </border>
    <border>
      <left style="thin">
        <color rgb="FF52A494"/>
      </left>
      <top style="thin">
        <color rgb="FF3E3A3A"/>
      </top>
      <bottom style="thin">
        <color rgb="FF52A494"/>
      </bottom>
    </border>
    <border>
      <right style="thick">
        <color rgb="FF3E3A3A"/>
      </right>
      <top style="thin">
        <color rgb="FF3E3A3A"/>
      </top>
      <bottom style="thin">
        <color rgb="FF52A494"/>
      </bottom>
    </border>
    <border>
      <left style="thick">
        <color rgb="FF3E3A3A"/>
      </left>
      <right style="thin">
        <color rgb="FF52A494"/>
      </right>
      <top style="thin">
        <color rgb="FF52A494"/>
      </top>
      <bottom style="thin">
        <color rgb="FF52A494"/>
      </bottom>
    </border>
    <border>
      <left style="thin">
        <color rgb="FF52A494"/>
      </left>
      <right style="thin">
        <color rgb="FF52A494"/>
      </right>
      <top style="thin">
        <color rgb="FF52A494"/>
      </top>
      <bottom style="thin">
        <color rgb="FF52A494"/>
      </bottom>
    </border>
    <border>
      <left style="thin">
        <color rgb="FF52A494"/>
      </left>
      <top style="thin">
        <color rgb="FF52A494"/>
      </top>
      <bottom style="thin">
        <color rgb="FF52A494"/>
      </bottom>
    </border>
    <border>
      <right style="thick">
        <color rgb="FF3E3A3A"/>
      </right>
      <top style="thin">
        <color rgb="FF52A494"/>
      </top>
      <bottom style="thin">
        <color rgb="FF52A494"/>
      </bottom>
    </border>
    <border>
      <left style="thick">
        <color rgb="FF3E3A3A"/>
      </left>
      <right style="thin">
        <color rgb="FF52A494"/>
      </right>
      <top style="thin">
        <color rgb="FF52A494"/>
      </top>
    </border>
    <border>
      <left style="thin">
        <color rgb="FF52A494"/>
      </left>
      <right style="thin">
        <color rgb="FF52A494"/>
      </right>
      <top style="thin">
        <color rgb="FF52A494"/>
      </top>
    </border>
    <border>
      <left style="thin">
        <color rgb="FF52A494"/>
      </left>
      <top style="thin">
        <color rgb="FF52A494"/>
      </top>
      <bottom style="thin">
        <color rgb="FF6A8B84"/>
      </bottom>
    </border>
    <border>
      <right style="thick">
        <color rgb="FF3E3A3A"/>
      </right>
      <top style="thin">
        <color rgb="FF52A494"/>
      </top>
      <bottom style="thin">
        <color rgb="FF6A8B84"/>
      </bottom>
    </border>
    <border>
      <left style="thick">
        <color rgb="FF3E3A3A"/>
      </left>
      <right style="thin">
        <color rgb="FFDCEBE8"/>
      </right>
      <top style="thin">
        <color rgb="FFDCEBE8"/>
      </top>
    </border>
    <border>
      <left style="thin">
        <color rgb="FFDCEBE8"/>
      </left>
      <top style="thin">
        <color rgb="FFDCEBE8"/>
      </top>
    </border>
    <border>
      <left style="thin">
        <color rgb="FFDCEBE8"/>
      </left>
      <right style="thick">
        <color rgb="FF3E3A3A"/>
      </right>
      <top style="thin">
        <color rgb="FFDCEBE8"/>
      </top>
    </border>
    <border>
      <left style="thick">
        <color rgb="FF3E3A3A"/>
      </left>
      <right style="thin">
        <color rgb="FFDCEBE8"/>
      </right>
      <top style="thin">
        <color rgb="FFDCEBE8"/>
      </top>
      <bottom style="thick">
        <color rgb="FF3E3A3A"/>
      </bottom>
    </border>
    <border>
      <left style="thin">
        <color rgb="FFDCEBE8"/>
      </left>
      <right style="thin">
        <color rgb="FFDCEBE8"/>
      </right>
      <top style="thin">
        <color rgb="FFDCEBE8"/>
      </top>
      <bottom style="thick">
        <color rgb="FF3E3A3A"/>
      </bottom>
    </border>
    <border>
      <left style="thin">
        <color rgb="FFDCEBE8"/>
      </left>
      <right style="thick">
        <color rgb="FF3E3A3A"/>
      </right>
      <top style="thin">
        <color rgb="FFDCEBE8"/>
      </top>
      <bottom style="thick">
        <color rgb="FF3E3A3A"/>
      </bottom>
    </border>
    <border>
      <left style="thin">
        <color rgb="FFDCEBE8"/>
      </left>
      <right style="thick">
        <color rgb="FF3E3A3A"/>
      </right>
      <bottom style="thin">
        <color rgb="FFDCEBE8"/>
      </bottom>
    </border>
    <border>
      <right style="thin">
        <color rgb="FFDCEBE8"/>
      </right>
    </border>
    <border>
      <bottom style="thin">
        <color rgb="FFDCEBE8"/>
      </bottom>
    </border>
    <border>
      <right style="thin">
        <color rgb="FFDCEBE8"/>
      </right>
      <bottom style="thin">
        <color rgb="FFDCEBE8"/>
      </bottom>
    </border>
    <border>
      <left style="thin">
        <color rgb="FFDCEBE8"/>
      </left>
      <right style="thin">
        <color rgb="FFDCEBE8"/>
      </right>
      <bottom style="thick">
        <color rgb="FF3E3A3A"/>
      </bottom>
    </border>
    <border>
      <left style="thick">
        <color rgb="FF3E3A3A"/>
      </left>
      <right style="thin">
        <color rgb="FFFFEFE8"/>
      </right>
      <bottom style="thin">
        <color rgb="FFFFEFE8"/>
      </bottom>
    </border>
    <border>
      <left style="thin">
        <color rgb="FFFFEFE8"/>
      </left>
      <right style="thin">
        <color rgb="FFFFEFE8"/>
      </right>
      <bottom style="thin">
        <color rgb="FFFFEFE8"/>
      </bottom>
    </border>
    <border>
      <left style="thin">
        <color rgb="FFFFEFE8"/>
      </left>
      <right style="thick">
        <color rgb="FF3E3A3A"/>
      </right>
      <bottom style="thin">
        <color rgb="FFFFEFE8"/>
      </bottom>
    </border>
    <border>
      <left style="thick">
        <color rgb="FF3E3A3A"/>
      </left>
      <right style="thin">
        <color rgb="FFFFEFE8"/>
      </right>
      <top style="thin">
        <color rgb="FFFFEFE8"/>
      </top>
      <bottom style="thin">
        <color rgb="FFFFEFE8"/>
      </bottom>
    </border>
    <border>
      <left style="thin">
        <color rgb="FFFFEFE8"/>
      </left>
      <right style="thin">
        <color rgb="FFFFEFE8"/>
      </right>
      <top style="thin">
        <color rgb="FFFFEFE8"/>
      </top>
      <bottom style="thin">
        <color rgb="FFFFEFE8"/>
      </bottom>
    </border>
    <border>
      <left style="thin">
        <color rgb="FFFFEFE8"/>
      </left>
      <top style="thin">
        <color rgb="FFFFEFE8"/>
      </top>
    </border>
    <border>
      <top style="thin">
        <color rgb="FFFFEFE8"/>
      </top>
    </border>
    <border>
      <right style="thin">
        <color rgb="FFFFEFE8"/>
      </right>
      <top style="thin">
        <color rgb="FFFFEFE8"/>
      </top>
    </border>
    <border>
      <left style="thin">
        <color rgb="FFFFEFE8"/>
      </left>
      <right style="thick">
        <color rgb="FF3E3A3A"/>
      </right>
      <top style="thin">
        <color rgb="FFFFEFE8"/>
      </top>
      <bottom style="thin">
        <color rgb="FFFFEFE8"/>
      </bottom>
    </border>
    <border>
      <left style="thin">
        <color rgb="FFFFEFE8"/>
      </left>
      <top style="thin">
        <color rgb="FFFFEFE8"/>
      </top>
      <bottom style="thin">
        <color rgb="FFFFEFE8"/>
      </bottom>
    </border>
    <border>
      <top style="thin">
        <color rgb="FFFFEFE8"/>
      </top>
      <bottom style="thin">
        <color rgb="FFFFEFE8"/>
      </bottom>
    </border>
    <border>
      <right style="thin">
        <color rgb="FFFFEFE8"/>
      </right>
      <top style="thin">
        <color rgb="FFFFEFE8"/>
      </top>
      <bottom style="thin">
        <color rgb="FFFFEFE8"/>
      </bottom>
    </border>
    <border>
      <left style="thick">
        <color rgb="FF434343"/>
      </left>
      <bottom style="medium">
        <color rgb="FFD7D3CF"/>
      </bottom>
    </border>
    <border>
      <bottom style="medium">
        <color rgb="FFD7D3CF"/>
      </bottom>
    </border>
    <border>
      <right style="thick">
        <color rgb="FF434343"/>
      </right>
      <bottom style="medium">
        <color rgb="FFD7D3CF"/>
      </bottom>
    </border>
    <border>
      <right style="thin">
        <color rgb="FFFFEFE8"/>
      </right>
    </border>
    <border>
      <left style="thick">
        <color rgb="FF434343"/>
      </left>
      <top style="medium">
        <color rgb="FFD7D3CF"/>
      </top>
      <bottom style="medium">
        <color rgb="FFD7D3CF"/>
      </bottom>
    </border>
    <border>
      <top style="medium">
        <color rgb="FFD7D3CF"/>
      </top>
      <bottom style="medium">
        <color rgb="FFD7D3CF"/>
      </bottom>
    </border>
    <border>
      <right style="thick">
        <color rgb="FF434343"/>
      </right>
      <top style="medium">
        <color rgb="FFD7D3CF"/>
      </top>
      <bottom style="medium">
        <color rgb="FFD7D3CF"/>
      </bottom>
    </border>
    <border>
      <left style="thick">
        <color rgb="FF434343"/>
      </left>
      <right style="medium">
        <color rgb="FFD7D3CF"/>
      </right>
      <top style="medium">
        <color rgb="FFD7D3CF"/>
      </top>
      <bottom style="medium">
        <color rgb="FFD7D3CF"/>
      </bottom>
    </border>
    <border>
      <left style="medium">
        <color rgb="FFD7D3CF"/>
      </left>
      <right style="medium">
        <color rgb="FFD7D3CF"/>
      </right>
      <top style="medium">
        <color rgb="FFD7D3CF"/>
      </top>
      <bottom style="medium">
        <color rgb="FFD7D3CF"/>
      </bottom>
    </border>
    <border>
      <left style="medium">
        <color rgb="FFD7D3CF"/>
      </left>
      <right style="thick">
        <color rgb="FF434343"/>
      </right>
      <top style="medium">
        <color rgb="FFD7D3CF"/>
      </top>
      <bottom style="medium">
        <color rgb="FFD7D3CF"/>
      </bottom>
    </border>
    <border>
      <left style="medium">
        <color rgb="FFD7D3CF"/>
      </left>
      <top style="medium">
        <color rgb="FFD7D3CF"/>
      </top>
      <bottom style="medium">
        <color rgb="FFD7D3CF"/>
      </bottom>
    </border>
    <border>
      <right style="medium">
        <color rgb="FFD7D3CF"/>
      </right>
      <top style="medium">
        <color rgb="FFD7D3CF"/>
      </top>
      <bottom style="medium">
        <color rgb="FFD7D3CF"/>
      </bottom>
    </border>
    <border>
      <left style="thick">
        <color rgb="FF434343"/>
      </left>
      <right style="medium">
        <color rgb="FFD7D3CF"/>
      </right>
      <top style="medium">
        <color rgb="FFD7D3CF"/>
      </top>
    </border>
    <border>
      <left style="medium">
        <color rgb="FFD7D3CF"/>
      </left>
      <right style="medium">
        <color rgb="FFD7D3CF"/>
      </right>
      <top style="medium">
        <color rgb="FFD7D3CF"/>
      </top>
    </border>
    <border>
      <left style="medium">
        <color rgb="FFD7D3CF"/>
      </left>
      <right style="thick">
        <color rgb="FF434343"/>
      </right>
      <top style="medium">
        <color rgb="FFD7D3CF"/>
      </top>
    </border>
    <border>
      <left style="thick">
        <color rgb="FF434343"/>
      </left>
      <top style="medium">
        <color rgb="FF434343"/>
      </top>
      <bottom style="thin">
        <color rgb="FFD7D3CF"/>
      </bottom>
    </border>
    <border>
      <top style="medium">
        <color rgb="FF434343"/>
      </top>
      <bottom style="thin">
        <color rgb="FFD7D3CF"/>
      </bottom>
    </border>
    <border>
      <right style="thick">
        <color rgb="FF434343"/>
      </right>
      <top style="medium">
        <color rgb="FF434343"/>
      </top>
      <bottom style="thin">
        <color rgb="FFD7D3CF"/>
      </bottom>
    </border>
    <border>
      <left style="thick">
        <color rgb="FF434343"/>
      </left>
      <top style="thin">
        <color rgb="FFD7D3CF"/>
      </top>
      <bottom style="thin">
        <color rgb="FFD7D3CF"/>
      </bottom>
    </border>
    <border>
      <top style="thin">
        <color rgb="FFD7D3CF"/>
      </top>
      <bottom style="thin">
        <color rgb="FFD7D3CF"/>
      </bottom>
    </border>
    <border>
      <right style="thick">
        <color rgb="FF434343"/>
      </right>
      <top style="thin">
        <color rgb="FFD7D3CF"/>
      </top>
      <bottom style="thin">
        <color rgb="FFD7D3CF"/>
      </bottom>
    </border>
    <border>
      <left style="thick">
        <color rgb="FF434343"/>
      </left>
      <top style="thin">
        <color rgb="FFD7D3CF"/>
      </top>
    </border>
    <border>
      <top style="thin">
        <color rgb="FFD7D3CF"/>
      </top>
    </border>
    <border>
      <right style="thin">
        <color rgb="FFD7D3CF"/>
      </right>
      <top style="thin">
        <color rgb="FFD7D3CF"/>
      </top>
    </border>
    <border>
      <left style="thin">
        <color rgb="FFD7D3CF"/>
      </left>
      <right style="thick">
        <color rgb="FF434343"/>
      </right>
      <top style="thin">
        <color rgb="FFD7D3CF"/>
      </top>
    </border>
    <border>
      <right style="thin">
        <color rgb="FFD7D3CF"/>
      </right>
      <top style="medium">
        <color rgb="FF434343"/>
      </top>
      <bottom style="thin">
        <color rgb="FFD7D3CF"/>
      </bottom>
    </border>
    <border>
      <right style="thin">
        <color rgb="FFD7D3CF"/>
      </right>
      <top style="thin">
        <color rgb="FFD7D3CF"/>
      </top>
      <bottom style="thin">
        <color rgb="FFD7D3CF"/>
      </bottom>
    </border>
    <border>
      <bottom style="thin">
        <color rgb="FFFFEFE8"/>
      </bottom>
    </border>
    <border>
      <left style="thick">
        <color rgb="FF434343"/>
      </left>
      <top style="thin">
        <color rgb="FFD7D3CF"/>
      </top>
      <bottom style="thick">
        <color rgb="FF434343"/>
      </bottom>
    </border>
    <border>
      <top style="thin">
        <color rgb="FFD7D3CF"/>
      </top>
      <bottom style="thick">
        <color rgb="FF434343"/>
      </bottom>
    </border>
    <border>
      <right style="thin">
        <color rgb="FFD7D3CF"/>
      </right>
      <top style="thin">
        <color rgb="FFD7D3CF"/>
      </top>
      <bottom style="thick">
        <color rgb="FF434343"/>
      </bottom>
    </border>
    <border>
      <right style="thick">
        <color rgb="FF434343"/>
      </right>
      <top style="thin">
        <color rgb="FFD7D3CF"/>
      </top>
      <bottom style="thick">
        <color rgb="FF434343"/>
      </bottom>
    </border>
    <border>
      <right style="thin">
        <color rgb="FFFFEFE8"/>
      </right>
      <bottom style="thin">
        <color rgb="FFFFEFE8"/>
      </bottom>
    </border>
    <border>
      <left style="thin">
        <color rgb="FFFFEFE8"/>
      </left>
      <right style="thin">
        <color rgb="FFFFEFE8"/>
      </right>
    </border>
    <border>
      <left style="thin">
        <color rgb="FFFFEFE8"/>
      </left>
      <right style="thin">
        <color rgb="FFFFEFE8"/>
      </right>
      <top style="thin">
        <color rgb="FFFFEFE8"/>
      </top>
    </border>
    <border>
      <left style="thick">
        <color rgb="FF3E3A3A"/>
      </left>
      <right style="thin">
        <color rgb="FF7A3209"/>
      </right>
      <bottom style="thin">
        <color rgb="FF7A3209"/>
      </bottom>
    </border>
    <border>
      <left style="thin">
        <color rgb="FF7A3209"/>
      </left>
      <right style="thin">
        <color rgb="FF7A3209"/>
      </right>
      <bottom style="thin">
        <color rgb="FF7A3209"/>
      </bottom>
    </border>
    <border>
      <left style="thin">
        <color rgb="FF7A3209"/>
      </left>
      <top style="thin">
        <color rgb="FF3E3A3A"/>
      </top>
      <bottom style="thin">
        <color rgb="FF7A3209"/>
      </bottom>
    </border>
    <border>
      <right style="thick">
        <color rgb="FF3E3A3A"/>
      </right>
      <top style="thin">
        <color rgb="FF3E3A3A"/>
      </top>
      <bottom style="thin">
        <color rgb="FF7A3209"/>
      </bottom>
    </border>
    <border>
      <left style="thick">
        <color rgb="FF3E3A3A"/>
      </left>
      <right style="thin">
        <color rgb="FF7A3209"/>
      </right>
      <top style="thin">
        <color rgb="FF7A3209"/>
      </top>
      <bottom style="thin">
        <color rgb="FF7A3209"/>
      </bottom>
    </border>
    <border>
      <left style="thin">
        <color rgb="FF7A3209"/>
      </left>
      <right style="thin">
        <color rgb="FF7A3209"/>
      </right>
      <top style="thin">
        <color rgb="FF7A3209"/>
      </top>
      <bottom style="thin">
        <color rgb="FF7A3209"/>
      </bottom>
    </border>
    <border>
      <left style="thin">
        <color rgb="FF7A3209"/>
      </left>
      <top style="thin">
        <color rgb="FF7A3209"/>
      </top>
      <bottom style="thin">
        <color rgb="FF7A3209"/>
      </bottom>
    </border>
    <border>
      <right style="thick">
        <color rgb="FF3E3A3A"/>
      </right>
      <top style="thin">
        <color rgb="FF7A3209"/>
      </top>
      <bottom style="thin">
        <color rgb="FF7A3209"/>
      </bottom>
    </border>
    <border>
      <left style="thick">
        <color rgb="FF3E3A3A"/>
      </left>
      <right style="thin">
        <color rgb="FF7A3209"/>
      </right>
      <top style="thin">
        <color rgb="FF7A3209"/>
      </top>
    </border>
    <border>
      <left style="thin">
        <color rgb="FF7A3209"/>
      </left>
      <right style="thin">
        <color rgb="FF7A3209"/>
      </right>
      <top style="thin">
        <color rgb="FF7A3209"/>
      </top>
    </border>
    <border>
      <left style="thin">
        <color rgb="FF7A3209"/>
      </left>
      <top style="thin">
        <color rgb="FF7A3209"/>
      </top>
      <bottom style="medium">
        <color rgb="FF3E3A3A"/>
      </bottom>
    </border>
    <border>
      <right style="thick">
        <color rgb="FF3E3A3A"/>
      </right>
      <top style="thin">
        <color rgb="FF7A3209"/>
      </top>
      <bottom style="medium">
        <color rgb="FF3E3A3A"/>
      </bottom>
    </border>
    <border>
      <left style="thick">
        <color rgb="FF3E3A3A"/>
      </left>
      <right style="thin">
        <color rgb="FFFFEFE8"/>
      </right>
      <top style="thin">
        <color rgb="FFFFEFE8"/>
      </top>
    </border>
    <border>
      <left style="thin">
        <color rgb="FFFFEFE8"/>
      </left>
      <right style="thick">
        <color rgb="FF3E3A3A"/>
      </right>
      <top style="thin">
        <color rgb="FFFFEFE8"/>
      </top>
    </border>
    <border>
      <left style="thick">
        <color rgb="FF3E3A3A"/>
      </left>
      <right style="thin">
        <color rgb="FFFFEFE8"/>
      </right>
      <top style="thin">
        <color rgb="FFFFEFE8"/>
      </top>
      <bottom style="thick">
        <color rgb="FF3E3A3A"/>
      </bottom>
    </border>
    <border>
      <left style="thin">
        <color rgb="FFFFEFE8"/>
      </left>
      <right style="thin">
        <color rgb="FFFFEFE8"/>
      </right>
      <top style="thin">
        <color rgb="FFFFEFE8"/>
      </top>
      <bottom style="thick">
        <color rgb="FF3E3A3A"/>
      </bottom>
    </border>
    <border>
      <left style="thin">
        <color rgb="FFFFEFE8"/>
      </left>
      <right style="thin">
        <color rgb="FFFFEFE8"/>
      </right>
      <bottom style="thick">
        <color rgb="FF3E3A3A"/>
      </bottom>
    </border>
    <border>
      <left style="thin">
        <color rgb="FFFFEFE8"/>
      </left>
      <right style="thick">
        <color rgb="FF3E3A3A"/>
      </right>
      <top style="thin">
        <color rgb="FFFFEFE8"/>
      </top>
      <bottom style="thick">
        <color rgb="FF3E3A3A"/>
      </bottom>
    </border>
    <border>
      <left style="thick">
        <color rgb="FF3E3A3A"/>
      </left>
      <right style="thin">
        <color rgb="FFF0F2F7"/>
      </right>
      <bottom style="thin">
        <color rgb="FFF0F2F7"/>
      </bottom>
    </border>
    <border>
      <left style="thin">
        <color rgb="FFF0F2F7"/>
      </left>
      <right style="thin">
        <color rgb="FFF0F2F7"/>
      </right>
      <bottom style="thin">
        <color rgb="FFF0F2F7"/>
      </bottom>
    </border>
    <border>
      <left style="thin">
        <color rgb="FFF0F2F7"/>
      </left>
      <right style="thick">
        <color rgb="FF3E3A3A"/>
      </right>
      <bottom style="thin">
        <color rgb="FFF0F2F7"/>
      </bottom>
    </border>
    <border>
      <left style="thick">
        <color rgb="FF3E3A3A"/>
      </left>
      <right style="thin">
        <color rgb="FFF0F2F7"/>
      </right>
      <top style="thin">
        <color rgb="FFF0F2F7"/>
      </top>
      <bottom style="thin">
        <color rgb="FFF0F2F7"/>
      </bottom>
    </border>
    <border>
      <left style="thin">
        <color rgb="FFF0F2F7"/>
      </left>
      <right style="thin">
        <color rgb="FFF0F2F7"/>
      </right>
      <top style="thin">
        <color rgb="FFF0F2F7"/>
      </top>
      <bottom style="thin">
        <color rgb="FFF0F2F7"/>
      </bottom>
    </border>
    <border>
      <left style="thin">
        <color rgb="FFF0F2F7"/>
      </left>
      <top style="thin">
        <color rgb="FFF0F2F7"/>
      </top>
    </border>
    <border>
      <top style="thin">
        <color rgb="FFF0F2F7"/>
      </top>
    </border>
    <border>
      <right style="thin">
        <color rgb="FFF0F2F7"/>
      </right>
      <top style="thin">
        <color rgb="FFF0F2F7"/>
      </top>
    </border>
    <border>
      <left style="thin">
        <color rgb="FFF0F2F7"/>
      </left>
      <right style="thick">
        <color rgb="FF3E3A3A"/>
      </right>
      <top style="thin">
        <color rgb="FFF0F2F7"/>
      </top>
      <bottom style="thin">
        <color rgb="FFF0F2F7"/>
      </bottom>
    </border>
    <border>
      <left style="thin">
        <color rgb="FFF0F2F7"/>
      </left>
      <top style="thin">
        <color rgb="FFF0F2F7"/>
      </top>
      <bottom style="thin">
        <color rgb="FFF0F2F7"/>
      </bottom>
    </border>
    <border>
      <right style="thick">
        <color rgb="FF3E3A3A"/>
      </right>
      <top style="thin">
        <color rgb="FFF0F2F7"/>
      </top>
      <bottom style="thin">
        <color rgb="FFF0F2F7"/>
      </bottom>
    </border>
    <border>
      <left style="thick">
        <color rgb="FF434343"/>
      </left>
      <bottom style="medium">
        <color rgb="FFE4ECFF"/>
      </bottom>
    </border>
    <border>
      <bottom style="medium">
        <color rgb="FFE4ECFF"/>
      </bottom>
    </border>
    <border>
      <right style="thick">
        <color rgb="FF434343"/>
      </right>
      <bottom style="medium">
        <color rgb="FFE4ECFF"/>
      </bottom>
    </border>
    <border>
      <left style="thick">
        <color rgb="FF434343"/>
      </left>
      <bottom style="medium">
        <color rgb="FFF0F2F7"/>
      </bottom>
    </border>
    <border>
      <bottom style="medium">
        <color rgb="FFF0F2F7"/>
      </bottom>
    </border>
    <border>
      <right style="thick">
        <color rgb="FF434343"/>
      </right>
      <bottom style="medium">
        <color rgb="FFF0F2F7"/>
      </bottom>
    </border>
    <border>
      <left style="thick">
        <color rgb="FF434343"/>
      </left>
      <top style="medium">
        <color rgb="FFE4ECFF"/>
      </top>
      <bottom style="medium">
        <color rgb="FFE4ECFF"/>
      </bottom>
    </border>
    <border>
      <top style="medium">
        <color rgb="FFE4ECFF"/>
      </top>
      <bottom style="medium">
        <color rgb="FFE4ECFF"/>
      </bottom>
    </border>
    <border>
      <right style="thick">
        <color rgb="FF434343"/>
      </right>
      <top style="medium">
        <color rgb="FFE4ECFF"/>
      </top>
      <bottom style="medium">
        <color rgb="FFE4ECFF"/>
      </bottom>
    </border>
    <border>
      <left style="thick">
        <color rgb="FF434343"/>
      </left>
      <top style="medium">
        <color rgb="FFF0F2F7"/>
      </top>
      <bottom style="medium">
        <color rgb="FFF0F2F7"/>
      </bottom>
    </border>
    <border>
      <top style="medium">
        <color rgb="FFF0F2F7"/>
      </top>
      <bottom style="medium">
        <color rgb="FFF0F2F7"/>
      </bottom>
    </border>
    <border>
      <right style="thick">
        <color rgb="FF434343"/>
      </right>
      <top style="medium">
        <color rgb="FFF0F2F7"/>
      </top>
      <bottom style="medium">
        <color rgb="FFF0F2F7"/>
      </bottom>
    </border>
    <border>
      <left style="thick">
        <color rgb="FF434343"/>
      </left>
      <right style="medium">
        <color rgb="FFE4ECFF"/>
      </right>
      <top style="medium">
        <color rgb="FFE4ECFF"/>
      </top>
      <bottom style="medium">
        <color rgb="FFE4ECFF"/>
      </bottom>
    </border>
    <border>
      <left style="medium">
        <color rgb="FFE4ECFF"/>
      </left>
      <right style="medium">
        <color rgb="FFE4ECFF"/>
      </right>
      <top style="medium">
        <color rgb="FFE4ECFF"/>
      </top>
      <bottom style="medium">
        <color rgb="FFE4ECFF"/>
      </bottom>
    </border>
    <border>
      <left style="medium">
        <color rgb="FFE4ECFF"/>
      </left>
      <right style="thick">
        <color rgb="FF434343"/>
      </right>
      <top style="medium">
        <color rgb="FFE4ECFF"/>
      </top>
      <bottom style="medium">
        <color rgb="FFE4ECFF"/>
      </bottom>
    </border>
    <border>
      <left style="medium">
        <color rgb="FFE4ECFF"/>
      </left>
      <top style="medium">
        <color rgb="FFE4ECFF"/>
      </top>
      <bottom style="medium">
        <color rgb="FFE4ECFF"/>
      </bottom>
    </border>
    <border>
      <right style="medium">
        <color rgb="FFE4ECFF"/>
      </right>
      <top style="medium">
        <color rgb="FFE4ECFF"/>
      </top>
      <bottom style="medium">
        <color rgb="FFE4ECFF"/>
      </bottom>
    </border>
    <border>
      <left style="thick">
        <color rgb="FF434343"/>
      </left>
      <right style="medium">
        <color rgb="FFF0F2F7"/>
      </right>
      <top style="medium">
        <color rgb="FFF0F2F7"/>
      </top>
      <bottom style="medium">
        <color rgb="FFF0F2F7"/>
      </bottom>
    </border>
    <border>
      <left style="medium">
        <color rgb="FFF0F2F7"/>
      </left>
      <right style="medium">
        <color rgb="FFF0F2F7"/>
      </right>
      <top style="medium">
        <color rgb="FFF0F2F7"/>
      </top>
      <bottom style="medium">
        <color rgb="FFF0F2F7"/>
      </bottom>
    </border>
    <border>
      <left style="medium">
        <color rgb="FFF0F2F7"/>
      </left>
      <right style="thick">
        <color rgb="FF434343"/>
      </right>
      <top style="medium">
        <color rgb="FFF0F2F7"/>
      </top>
      <bottom style="medium">
        <color rgb="FFF0F2F7"/>
      </bottom>
    </border>
    <border>
      <left style="thick">
        <color rgb="FF434343"/>
      </left>
      <right style="medium">
        <color rgb="FFE4ECFF"/>
      </right>
      <top style="medium">
        <color rgb="FFE4ECFF"/>
      </top>
    </border>
    <border>
      <left style="medium">
        <color rgb="FFE4ECFF"/>
      </left>
      <right style="medium">
        <color rgb="FFE4ECFF"/>
      </right>
      <top style="medium">
        <color rgb="FFE4ECFF"/>
      </top>
    </border>
    <border>
      <left style="medium">
        <color rgb="FFE4ECFF"/>
      </left>
      <right style="thick">
        <color rgb="FF434343"/>
      </right>
      <top style="medium">
        <color rgb="FFE4ECFF"/>
      </top>
    </border>
    <border>
      <left style="thick">
        <color rgb="FF434343"/>
      </left>
      <right style="medium">
        <color rgb="FFF0F2F7"/>
      </right>
      <top style="medium">
        <color rgb="FFF0F2F7"/>
      </top>
    </border>
    <border>
      <left style="medium">
        <color rgb="FFF0F2F7"/>
      </left>
      <right style="medium">
        <color rgb="FFF0F2F7"/>
      </right>
      <top style="medium">
        <color rgb="FFF0F2F7"/>
      </top>
    </border>
    <border>
      <left style="medium">
        <color rgb="FFF0F2F7"/>
      </left>
      <right style="thick">
        <color rgb="FF434343"/>
      </right>
      <top style="medium">
        <color rgb="FFF0F2F7"/>
      </top>
    </border>
    <border>
      <left style="thick">
        <color rgb="FF434343"/>
      </left>
      <top style="medium">
        <color rgb="FF434343"/>
      </top>
      <bottom style="thin">
        <color rgb="FFE4ECFF"/>
      </bottom>
    </border>
    <border>
      <top style="medium">
        <color rgb="FF434343"/>
      </top>
      <bottom style="thin">
        <color rgb="FFE4ECFF"/>
      </bottom>
    </border>
    <border>
      <right style="thick">
        <color rgb="FF434343"/>
      </right>
      <top style="medium">
        <color rgb="FF434343"/>
      </top>
      <bottom style="thin">
        <color rgb="FFE4ECFF"/>
      </bottom>
    </border>
    <border>
      <left style="thick">
        <color rgb="FF434343"/>
      </left>
      <top style="medium">
        <color rgb="FF434343"/>
      </top>
      <bottom style="thin">
        <color rgb="FFF0F2F7"/>
      </bottom>
    </border>
    <border>
      <top style="medium">
        <color rgb="FF434343"/>
      </top>
      <bottom style="thin">
        <color rgb="FFF0F2F7"/>
      </bottom>
    </border>
    <border>
      <right style="thick">
        <color rgb="FF434343"/>
      </right>
      <top style="medium">
        <color rgb="FF434343"/>
      </top>
      <bottom style="thin">
        <color rgb="FFF0F2F7"/>
      </bottom>
    </border>
    <border>
      <left style="thick">
        <color rgb="FF434343"/>
      </left>
      <top style="thin">
        <color rgb="FFE4ECFF"/>
      </top>
      <bottom style="thin">
        <color rgb="FFE4ECFF"/>
      </bottom>
    </border>
    <border>
      <top style="thin">
        <color rgb="FFE4ECFF"/>
      </top>
      <bottom style="thin">
        <color rgb="FFE4ECFF"/>
      </bottom>
    </border>
    <border>
      <right style="thick">
        <color rgb="FF434343"/>
      </right>
      <top style="thin">
        <color rgb="FFE4ECFF"/>
      </top>
      <bottom style="thin">
        <color rgb="FFE4ECFF"/>
      </bottom>
    </border>
    <border>
      <left style="thick">
        <color rgb="FF434343"/>
      </left>
      <top style="thin">
        <color rgb="FFF0F2F7"/>
      </top>
      <bottom style="thin">
        <color rgb="FFF0F2F7"/>
      </bottom>
    </border>
    <border>
      <top style="thin">
        <color rgb="FFF0F2F7"/>
      </top>
      <bottom style="thin">
        <color rgb="FFF0F2F7"/>
      </bottom>
    </border>
    <border>
      <right style="thick">
        <color rgb="FF434343"/>
      </right>
      <top style="thin">
        <color rgb="FFF0F2F7"/>
      </top>
      <bottom style="thin">
        <color rgb="FFF0F2F7"/>
      </bottom>
    </border>
    <border>
      <left style="thick">
        <color rgb="FF434343"/>
      </left>
      <top style="thin">
        <color rgb="FFE4ECFF"/>
      </top>
    </border>
    <border>
      <top style="thin">
        <color rgb="FFE4ECFF"/>
      </top>
    </border>
    <border>
      <right style="thin">
        <color rgb="FFE4ECFF"/>
      </right>
      <top style="thin">
        <color rgb="FFE4ECFF"/>
      </top>
    </border>
    <border>
      <left style="thin">
        <color rgb="FFE4ECFF"/>
      </left>
      <right style="thick">
        <color rgb="FF434343"/>
      </right>
      <top style="thin">
        <color rgb="FFE4ECFF"/>
      </top>
    </border>
    <border>
      <left style="thick">
        <color rgb="FF434343"/>
      </left>
      <top style="thin">
        <color rgb="FFF0F2F7"/>
      </top>
    </border>
    <border>
      <left style="thin">
        <color rgb="FFF0F2F7"/>
      </left>
      <right style="thick">
        <color rgb="FF434343"/>
      </right>
      <top style="thin">
        <color rgb="FFF0F2F7"/>
      </top>
    </border>
    <border>
      <right style="thin">
        <color rgb="FFE4ECFF"/>
      </right>
      <top style="medium">
        <color rgb="FF434343"/>
      </top>
      <bottom style="thin">
        <color rgb="FFE4ECFF"/>
      </bottom>
    </border>
    <border>
      <right style="thin">
        <color rgb="FFF0F2F7"/>
      </right>
      <top style="medium">
        <color rgb="FF434343"/>
      </top>
      <bottom style="thin">
        <color rgb="FFF0F2F7"/>
      </bottom>
    </border>
    <border>
      <right style="thin">
        <color rgb="FFE4ECFF"/>
      </right>
      <top style="thin">
        <color rgb="FFE4ECFF"/>
      </top>
      <bottom style="thin">
        <color rgb="FFE4ECFF"/>
      </bottom>
    </border>
    <border>
      <right style="thin">
        <color rgb="FFF0F2F7"/>
      </right>
      <top style="thin">
        <color rgb="FFF0F2F7"/>
      </top>
      <bottom style="thin">
        <color rgb="FFF0F2F7"/>
      </bottom>
    </border>
    <border>
      <left style="thick">
        <color rgb="FF434343"/>
      </left>
      <top style="thin">
        <color rgb="FFE4ECFF"/>
      </top>
      <bottom style="thick">
        <color rgb="FF434343"/>
      </bottom>
    </border>
    <border>
      <top style="thin">
        <color rgb="FFE4ECFF"/>
      </top>
      <bottom style="thick">
        <color rgb="FF434343"/>
      </bottom>
    </border>
    <border>
      <right style="thin">
        <color rgb="FFE4ECFF"/>
      </right>
      <top style="thin">
        <color rgb="FFE4ECFF"/>
      </top>
      <bottom style="thick">
        <color rgb="FF434343"/>
      </bottom>
    </border>
    <border>
      <right style="thick">
        <color rgb="FF434343"/>
      </right>
      <top style="thin">
        <color rgb="FFE4ECFF"/>
      </top>
      <bottom style="thick">
        <color rgb="FF434343"/>
      </bottom>
    </border>
    <border>
      <bottom style="thin">
        <color rgb="FFF0F2F7"/>
      </bottom>
    </border>
    <border>
      <left style="thick">
        <color rgb="FF434343"/>
      </left>
      <top style="thin">
        <color rgb="FFF0F2F7"/>
      </top>
      <bottom style="thick">
        <color rgb="FF434343"/>
      </bottom>
    </border>
    <border>
      <top style="thin">
        <color rgb="FFF0F2F7"/>
      </top>
      <bottom style="thick">
        <color rgb="FF434343"/>
      </bottom>
    </border>
    <border>
      <right style="thin">
        <color rgb="FFF0F2F7"/>
      </right>
      <top style="thin">
        <color rgb="FFF0F2F7"/>
      </top>
      <bottom style="thick">
        <color rgb="FF434343"/>
      </bottom>
    </border>
    <border>
      <right style="thick">
        <color rgb="FF434343"/>
      </right>
      <top style="thin">
        <color rgb="FFF0F2F7"/>
      </top>
      <bottom style="thick">
        <color rgb="FF434343"/>
      </bottom>
    </border>
    <border>
      <left style="thin">
        <color rgb="FFF0F2F7"/>
      </left>
      <right style="thin">
        <color rgb="FFF0F2F7"/>
      </right>
    </border>
    <border>
      <left style="thin">
        <color rgb="FFF0F2F7"/>
      </left>
      <right style="thin">
        <color rgb="FFF0F2F7"/>
      </right>
      <top style="thin">
        <color rgb="FFF0F2F7"/>
      </top>
    </border>
    <border>
      <left style="thick">
        <color rgb="FF3E3A3A"/>
      </left>
      <right style="thin">
        <color rgb="FF4461B0"/>
      </right>
      <bottom style="thin">
        <color rgb="FF4461B0"/>
      </bottom>
    </border>
    <border>
      <left style="thin">
        <color rgb="FF4461B0"/>
      </left>
      <right style="thin">
        <color rgb="FF4461B0"/>
      </right>
      <bottom style="thin">
        <color rgb="FF4461B0"/>
      </bottom>
    </border>
    <border>
      <left style="thin">
        <color rgb="FF4461B0"/>
      </left>
      <top style="thin">
        <color rgb="FF3E3A3A"/>
      </top>
      <bottom style="thin">
        <color rgb="FF4461B0"/>
      </bottom>
    </border>
    <border>
      <right style="thick">
        <color rgb="FF3E3A3A"/>
      </right>
      <top style="thin">
        <color rgb="FF3E3A3A"/>
      </top>
      <bottom style="thin">
        <color rgb="FF4461B0"/>
      </bottom>
    </border>
    <border>
      <left style="thick">
        <color rgb="FF3E3A3A"/>
      </left>
      <right style="thin">
        <color rgb="FF6A7BAC"/>
      </right>
      <bottom style="thin">
        <color rgb="FF6A7BAC"/>
      </bottom>
    </border>
    <border>
      <left style="thin">
        <color rgb="FF6A7BAC"/>
      </left>
      <right style="thin">
        <color rgb="FF6A7BAC"/>
      </right>
      <bottom style="thin">
        <color rgb="FF6A7BAC"/>
      </bottom>
    </border>
    <border>
      <left style="thin">
        <color rgb="FF6A7BAC"/>
      </left>
      <top style="thin">
        <color rgb="FF3E3A3A"/>
      </top>
      <bottom style="thin">
        <color rgb="FF6A7BAC"/>
      </bottom>
    </border>
    <border>
      <right style="thick">
        <color rgb="FF3E3A3A"/>
      </right>
      <top style="thin">
        <color rgb="FF3E3A3A"/>
      </top>
      <bottom style="thin">
        <color rgb="FF6A7BAC"/>
      </bottom>
    </border>
    <border>
      <left style="thick">
        <color rgb="FF3E3A3A"/>
      </left>
      <right style="thin">
        <color rgb="FF4461B0"/>
      </right>
      <top style="thin">
        <color rgb="FF4461B0"/>
      </top>
      <bottom style="thin">
        <color rgb="FF4461B0"/>
      </bottom>
    </border>
    <border>
      <left style="thin">
        <color rgb="FF4461B0"/>
      </left>
      <right style="thin">
        <color rgb="FF4461B0"/>
      </right>
      <top style="thin">
        <color rgb="FF4461B0"/>
      </top>
      <bottom style="thin">
        <color rgb="FF4461B0"/>
      </bottom>
    </border>
    <border>
      <left style="thin">
        <color rgb="FF4461B0"/>
      </left>
      <top style="thin">
        <color rgb="FF4461B0"/>
      </top>
      <bottom style="thin">
        <color rgb="FF4461B0"/>
      </bottom>
    </border>
    <border>
      <right style="thick">
        <color rgb="FF3E3A3A"/>
      </right>
      <top style="thin">
        <color rgb="FF4461B0"/>
      </top>
      <bottom style="thin">
        <color rgb="FF4461B0"/>
      </bottom>
    </border>
    <border>
      <left style="thick">
        <color rgb="FF3E3A3A"/>
      </left>
      <right style="thin">
        <color rgb="FF6A7BAC"/>
      </right>
      <top style="thin">
        <color rgb="FF6A7BAC"/>
      </top>
      <bottom style="thin">
        <color rgb="FF6A7BAC"/>
      </bottom>
    </border>
    <border>
      <left style="thin">
        <color rgb="FF6A7BAC"/>
      </left>
      <right style="thin">
        <color rgb="FF6A7BAC"/>
      </right>
      <top style="thin">
        <color rgb="FF6A7BAC"/>
      </top>
      <bottom style="thin">
        <color rgb="FF6A7BAC"/>
      </bottom>
    </border>
    <border>
      <left style="thin">
        <color rgb="FF6A7BAC"/>
      </left>
      <top style="thin">
        <color rgb="FF6A7BAC"/>
      </top>
      <bottom style="thin">
        <color rgb="FF6A7BAC"/>
      </bottom>
    </border>
    <border>
      <right style="thick">
        <color rgb="FF3E3A3A"/>
      </right>
      <top style="thin">
        <color rgb="FF6A7BAC"/>
      </top>
      <bottom style="thin">
        <color rgb="FF6A7BAC"/>
      </bottom>
    </border>
    <border>
      <left style="thick">
        <color rgb="FF3E3A3A"/>
      </left>
      <right style="thin">
        <color rgb="FF4461B0"/>
      </right>
      <top style="thin">
        <color rgb="FF4461B0"/>
      </top>
    </border>
    <border>
      <left style="thin">
        <color rgb="FF4461B0"/>
      </left>
      <right style="thin">
        <color rgb="FF4461B0"/>
      </right>
      <top style="thin">
        <color rgb="FF4461B0"/>
      </top>
    </border>
    <border>
      <left style="thin">
        <color rgb="FF4461B0"/>
      </left>
      <top style="thin">
        <color rgb="FF4461B0"/>
      </top>
      <bottom style="thin">
        <color rgb="FF6C7BA2"/>
      </bottom>
    </border>
    <border>
      <right style="thick">
        <color rgb="FF3E3A3A"/>
      </right>
      <top style="thin">
        <color rgb="FF4461B0"/>
      </top>
      <bottom style="thin">
        <color rgb="FF6C7BA2"/>
      </bottom>
    </border>
    <border>
      <left style="thick">
        <color rgb="FF3E3A3A"/>
      </left>
      <right style="thin">
        <color rgb="FF6A7BAC"/>
      </right>
      <top style="thin">
        <color rgb="FF6A7BAC"/>
      </top>
    </border>
    <border>
      <left style="thin">
        <color rgb="FF6A7BAC"/>
      </left>
      <right style="thin">
        <color rgb="FF6A7BAC"/>
      </right>
      <top style="thin">
        <color rgb="FF6A7BAC"/>
      </top>
    </border>
    <border>
      <left style="thin">
        <color rgb="FF6A7BAC"/>
      </left>
      <top style="thin">
        <color rgb="FF6A7BAC"/>
      </top>
      <bottom style="thin">
        <color rgb="FF6C7BA2"/>
      </bottom>
    </border>
    <border>
      <right style="thick">
        <color rgb="FF3E3A3A"/>
      </right>
      <top style="thin">
        <color rgb="FF6A7BAC"/>
      </top>
      <bottom style="thin">
        <color rgb="FF6C7BA2"/>
      </bottom>
    </border>
    <border>
      <left style="thick">
        <color rgb="FF3E3A3A"/>
      </left>
      <right style="thin">
        <color rgb="FFF0F2F7"/>
      </right>
      <top style="thin">
        <color rgb="FFF0F2F7"/>
      </top>
      <bottom style="thick">
        <color rgb="FF3E3A3A"/>
      </bottom>
    </border>
    <border>
      <left style="thin">
        <color rgb="FFF0F2F7"/>
      </left>
      <right style="thin">
        <color rgb="FFF0F2F7"/>
      </right>
      <top style="thin">
        <color rgb="FFF0F2F7"/>
      </top>
      <bottom style="thick">
        <color rgb="FF3E3A3A"/>
      </bottom>
    </border>
    <border>
      <left style="thin">
        <color rgb="FFF0F2F7"/>
      </left>
      <right style="thin">
        <color rgb="FFF0F2F7"/>
      </right>
      <bottom style="thick">
        <color rgb="FF3E3A3A"/>
      </bottom>
    </border>
    <border>
      <left style="thin">
        <color rgb="FFF0F2F7"/>
      </left>
      <right style="thick">
        <color rgb="FF3E3A3A"/>
      </right>
      <top style="thin">
        <color rgb="FFF0F2F7"/>
      </top>
      <bottom style="thick">
        <color rgb="FF3E3A3A"/>
      </bottom>
    </border>
    <border>
      <left style="thick">
        <color rgb="FF3E3A3A"/>
      </left>
      <right style="thin">
        <color rgb="FFD7D3CF"/>
      </right>
      <top style="thin">
        <color rgb="FFFFFFFF"/>
      </top>
      <bottom style="thin">
        <color rgb="FFD7D3CF"/>
      </bottom>
    </border>
    <border>
      <left style="thin">
        <color rgb="FFD7D3CF"/>
      </left>
      <right style="thin">
        <color rgb="FFD7D3CF"/>
      </right>
      <bottom style="thin">
        <color rgb="FFDCEBE8"/>
      </bottom>
    </border>
    <border>
      <left style="thin">
        <color rgb="FFD7D3CF"/>
      </left>
      <right style="thin">
        <color rgb="FFD7D3CF"/>
      </right>
      <bottom style="thin">
        <color rgb="FFD7D3CF"/>
      </bottom>
    </border>
    <border>
      <left style="thin">
        <color rgb="FFD7D3CF"/>
      </left>
      <right style="thin">
        <color rgb="FFD7D3CF"/>
      </right>
    </border>
    <border>
      <left style="thin">
        <color rgb="FFD7D3CF"/>
      </left>
      <right style="thick">
        <color rgb="FF3E3A3A"/>
      </right>
      <top style="thin">
        <color rgb="FFFFFFFF"/>
      </top>
      <bottom style="thin">
        <color rgb="FFD7D3CF"/>
      </bottom>
    </border>
    <border>
      <left style="thick">
        <color rgb="FF3E3A3A"/>
      </left>
      <right style="thin">
        <color rgb="FFDCEBE8"/>
      </right>
      <top style="thin">
        <color rgb="FFD7D3CF"/>
      </top>
      <bottom style="thin">
        <color rgb="FFD7D3CF"/>
      </bottom>
    </border>
    <border>
      <left style="thin">
        <color rgb="FFDCEBE8"/>
      </left>
      <top style="thin">
        <color rgb="FFD7D3CF"/>
      </top>
      <bottom style="thin">
        <color rgb="FFD7D3CF"/>
      </bottom>
    </border>
    <border>
      <left style="thin">
        <color rgb="FFD7D3CF"/>
      </left>
      <top style="thin">
        <color rgb="FFD7D3CF"/>
      </top>
      <bottom style="thin">
        <color rgb="FFD7D3CF"/>
      </bottom>
    </border>
    <border>
      <left style="thin">
        <color rgb="FFD7D3CF"/>
      </left>
      <right style="thick">
        <color rgb="FF3E3A3A"/>
      </right>
      <top style="thin">
        <color rgb="FFD7D3CF"/>
      </top>
      <bottom style="thin">
        <color rgb="FFD7D3CF"/>
      </bottom>
    </border>
    <border>
      <right style="thin">
        <color rgb="FFD7D3CF"/>
      </right>
    </border>
    <border>
      <left style="thin">
        <color rgb="FFDCEBE8"/>
      </left>
      <right style="thin">
        <color rgb="FFDCEBE8"/>
      </right>
      <top style="thin">
        <color rgb="FFD7D3CF"/>
      </top>
      <bottom style="thin">
        <color rgb="FFD7D3CF"/>
      </bottom>
    </border>
    <border>
      <left style="thick">
        <color rgb="FF3E3A3A"/>
      </left>
      <right style="thin">
        <color rgb="FFD7D3CF"/>
      </right>
      <top style="thin">
        <color rgb="FFD7D3CF"/>
      </top>
      <bottom style="thin">
        <color rgb="FFD7D3CF"/>
      </bottom>
    </border>
    <border>
      <left style="thin">
        <color rgb="FFD7D3CF"/>
      </left>
      <right style="thin">
        <color rgb="FFD7D3CF"/>
      </right>
      <top style="thin">
        <color rgb="FFDCEBE8"/>
      </top>
      <bottom style="thin">
        <color rgb="FFD7D3CF"/>
      </bottom>
    </border>
    <border>
      <left style="thin">
        <color rgb="FFD7D3CF"/>
      </left>
      <right style="thin">
        <color rgb="FFDCEBE8"/>
      </right>
      <top style="thin">
        <color rgb="FFD7D3CF"/>
      </top>
      <bottom style="thin">
        <color rgb="FFD7D3CF"/>
      </bottom>
    </border>
    <border>
      <left style="thin">
        <color rgb="FFD7D3CF"/>
      </left>
      <right style="thin">
        <color rgb="FFD7D3CF"/>
      </right>
      <top style="thin">
        <color rgb="FFD7D3CF"/>
      </top>
      <bottom style="thin">
        <color rgb="FFD7D3CF"/>
      </bottom>
    </border>
    <border>
      <left style="thin">
        <color rgb="FFD7D3CF"/>
      </left>
      <right style="thin">
        <color rgb="FFD7D3CF"/>
      </right>
      <top style="thin">
        <color rgb="FFD7D3CF"/>
      </top>
    </border>
    <border>
      <bottom style="thin">
        <color rgb="FFD7D3CF"/>
      </bottom>
    </border>
    <border>
      <right style="thin">
        <color rgb="FFD7D3CF"/>
      </right>
      <bottom style="thin">
        <color rgb="FFD7D3CF"/>
      </bottom>
    </border>
    <border>
      <left style="thin">
        <color rgb="FFD7D3CF"/>
      </left>
      <right style="thin">
        <color rgb="FFD7D3CF"/>
      </right>
      <top style="thin">
        <color rgb="FFDCEBE8"/>
      </top>
      <bottom style="thin">
        <color rgb="FFDCEBE8"/>
      </bottom>
    </border>
    <border>
      <left style="thin">
        <color rgb="FFDCEBE8"/>
      </left>
      <right style="thin">
        <color rgb="FFD7D3CF"/>
      </right>
      <top style="thin">
        <color rgb="FFD7D3CF"/>
      </top>
      <bottom style="thin">
        <color rgb="FFD7D3CF"/>
      </bottom>
    </border>
    <border>
      <left style="thick">
        <color rgb="FF3E3A3A"/>
      </left>
      <top style="thin">
        <color rgb="FFD7D3CF"/>
      </top>
    </border>
    <border>
      <left style="thin">
        <color rgb="FFD7D3CF"/>
      </left>
      <right style="thick">
        <color rgb="FF3E3A3A"/>
      </right>
      <top style="thin">
        <color rgb="FFD7D3CF"/>
      </top>
    </border>
    <border>
      <left style="thick">
        <color rgb="FF3E3A3A"/>
      </left>
      <right style="thin">
        <color rgb="FFD7D3CF"/>
      </right>
      <top style="thin">
        <color rgb="FFD7D3CF"/>
      </top>
      <bottom style="thick">
        <color rgb="FF3E3A3A"/>
      </bottom>
    </border>
    <border>
      <left style="thin">
        <color rgb="FFD7D3CF"/>
      </left>
      <right style="thin">
        <color rgb="FFD7D3CF"/>
      </right>
      <top style="thin">
        <color rgb="FFDCEBE8"/>
      </top>
      <bottom style="thick">
        <color rgb="FF3E3A3A"/>
      </bottom>
    </border>
    <border>
      <left style="thin">
        <color rgb="FFD7D3CF"/>
      </left>
      <right style="thin">
        <color rgb="FFD7D3CF"/>
      </right>
      <top style="thin">
        <color rgb="FFD7D3CF"/>
      </top>
      <bottom style="thick">
        <color rgb="FF3E3A3A"/>
      </bottom>
    </border>
    <border>
      <left style="thin">
        <color rgb="FFD7D3CF"/>
      </left>
      <right style="thick">
        <color rgb="FF3E3A3A"/>
      </right>
      <top style="thin">
        <color rgb="FFD7D3CF"/>
      </top>
      <bottom style="thick">
        <color rgb="FF3E3A3A"/>
      </bottom>
    </border>
    <border>
      <left style="thick">
        <color rgb="FF434343"/>
      </left>
      <top style="thick">
        <color rgb="FF3E3A3A"/>
      </top>
      <bottom style="medium">
        <color rgb="FF3E3A3A"/>
      </bottom>
    </border>
    <border>
      <right style="thick">
        <color rgb="FF434343"/>
      </right>
      <top style="thick">
        <color rgb="FF3E3A3A"/>
      </top>
      <bottom style="medium">
        <color rgb="FF3E3A3A"/>
      </bottom>
    </border>
    <border>
      <right style="thick">
        <color rgb="FF434343"/>
      </right>
      <top style="thin">
        <color rgb="FFDCEBE8"/>
      </top>
      <bottom style="thick">
        <color rgb="FF434343"/>
      </bottom>
    </border>
    <border>
      <left style="thin">
        <color rgb="FF52A494"/>
      </left>
      <top style="thin">
        <color rgb="FF52A494"/>
      </top>
    </border>
    <border>
      <right style="thick">
        <color rgb="FF3E3A3A"/>
      </right>
      <top style="thin">
        <color rgb="FF52A494"/>
      </top>
    </border>
    <border>
      <left style="thick">
        <color rgb="FF3E3A3A"/>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ck">
        <color rgb="FF3E3A3A"/>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ck">
        <color rgb="FF3E3A3A"/>
      </left>
      <right style="thin">
        <color rgb="FFDCEBE8"/>
      </right>
      <top style="thin">
        <color rgb="FFFFFFFF"/>
      </top>
      <bottom style="thin">
        <color rgb="FFFFFFFF"/>
      </bottom>
    </border>
    <border>
      <left style="thin">
        <color rgb="FFDCEBE8"/>
      </left>
      <top style="thin">
        <color rgb="FFFFFFFF"/>
      </top>
      <bottom style="thin">
        <color rgb="FFFFFFFF"/>
      </bottom>
    </border>
    <border>
      <right style="thin">
        <color rgb="FFFFFFFF"/>
      </right>
      <top style="thin">
        <color rgb="FFFFFFFF"/>
      </top>
    </border>
    <border>
      <left style="thick">
        <color rgb="FF434343"/>
      </left>
      <bottom style="medium">
        <color rgb="FFFFFFFF"/>
      </bottom>
    </border>
    <border>
      <bottom style="medium">
        <color rgb="FFFFFFFF"/>
      </bottom>
    </border>
    <border>
      <right style="thick">
        <color rgb="FF434343"/>
      </right>
      <bottom style="medium">
        <color rgb="FFFFFFFF"/>
      </bottom>
    </border>
    <border>
      <left style="thick">
        <color rgb="FF434343"/>
      </left>
      <top style="medium">
        <color rgb="FFFFFFFF"/>
      </top>
      <bottom style="medium">
        <color rgb="FFFFFFFF"/>
      </bottom>
    </border>
    <border>
      <top style="medium">
        <color rgb="FFFFFFFF"/>
      </top>
      <bottom style="medium">
        <color rgb="FFFFFFFF"/>
      </bottom>
    </border>
    <border>
      <right style="thick">
        <color rgb="FF434343"/>
      </right>
      <top style="medium">
        <color rgb="FFFFFFFF"/>
      </top>
      <bottom style="medium">
        <color rgb="FFFFFFFF"/>
      </bottom>
    </border>
    <border>
      <left style="thin">
        <color rgb="FFDCEBE8"/>
      </left>
      <right style="thin">
        <color rgb="FFDCEBE8"/>
      </right>
      <top style="thin">
        <color rgb="FFFFFFFF"/>
      </top>
      <bottom style="thin">
        <color rgb="FFFFFFFF"/>
      </bottom>
    </border>
    <border>
      <left style="thick">
        <color rgb="FF434343"/>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thick">
        <color rgb="FF434343"/>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thin">
        <color rgb="FFFFFFFF"/>
      </left>
      <right style="thin">
        <color rgb="FFFFFFFF"/>
      </right>
      <top style="thin">
        <color rgb="FFDCEBE8"/>
      </top>
      <bottom style="thin">
        <color rgb="FFFFFFFF"/>
      </bottom>
    </border>
    <border>
      <left style="thin">
        <color rgb="FFFFFFFF"/>
      </left>
      <right style="thin">
        <color rgb="FFDCEBE8"/>
      </right>
      <top style="thin">
        <color rgb="FFFFFFFF"/>
      </top>
      <bottom style="thin">
        <color rgb="FFFFFFFF"/>
      </bottom>
    </border>
    <border>
      <left style="thick">
        <color rgb="FF434343"/>
      </left>
      <right style="medium">
        <color rgb="FFFFFFFF"/>
      </right>
      <top style="medium">
        <color rgb="FFFFFFFF"/>
      </top>
    </border>
    <border>
      <left style="medium">
        <color rgb="FFFFFFFF"/>
      </left>
      <right style="medium">
        <color rgb="FFFFFFFF"/>
      </right>
      <top style="medium">
        <color rgb="FFFFFFFF"/>
      </top>
    </border>
    <border>
      <left style="medium">
        <color rgb="FFFFFFFF"/>
      </left>
      <right style="thick">
        <color rgb="FF434343"/>
      </right>
      <top style="medium">
        <color rgb="FFFFFFFF"/>
      </top>
    </border>
    <border>
      <left style="thick">
        <color rgb="FF434343"/>
      </left>
      <top style="medium">
        <color rgb="FF434343"/>
      </top>
      <bottom style="thin">
        <color rgb="FFFFFFFF"/>
      </bottom>
    </border>
    <border>
      <top style="medium">
        <color rgb="FF434343"/>
      </top>
      <bottom style="thin">
        <color rgb="FFFFFFFF"/>
      </bottom>
    </border>
    <border>
      <right style="thick">
        <color rgb="FF434343"/>
      </right>
      <top style="medium">
        <color rgb="FF434343"/>
      </top>
      <bottom style="thin">
        <color rgb="FFFFFFFF"/>
      </bottom>
    </border>
    <border>
      <left style="thick">
        <color rgb="FF434343"/>
      </left>
      <top style="thin">
        <color rgb="FFFFFFFF"/>
      </top>
      <bottom style="thin">
        <color rgb="FFFFFFFF"/>
      </bottom>
    </border>
    <border>
      <right style="thick">
        <color rgb="FF434343"/>
      </right>
      <top style="thin">
        <color rgb="FFFFFFFF"/>
      </top>
      <bottom style="thin">
        <color rgb="FFFFFFFF"/>
      </bottom>
    </border>
    <border>
      <left style="thick">
        <color rgb="FF434343"/>
      </left>
      <top style="thin">
        <color rgb="FFFFFFFF"/>
      </top>
    </border>
    <border>
      <top style="thin">
        <color rgb="FFFFFFFF"/>
      </top>
    </border>
    <border>
      <left style="thin">
        <color rgb="FFFFFFFF"/>
      </left>
      <right style="thick">
        <color rgb="FF434343"/>
      </right>
      <top style="thin">
        <color rgb="FFFFFFFF"/>
      </top>
    </border>
    <border>
      <right style="thin">
        <color rgb="FFFFFFFF"/>
      </right>
      <top style="medium">
        <color rgb="FF434343"/>
      </top>
      <bottom style="thin">
        <color rgb="FFFFFFFF"/>
      </bottom>
    </border>
    <border>
      <left style="thin">
        <color rgb="FFFFFFFF"/>
      </left>
      <right style="thick">
        <color rgb="FF434343"/>
      </right>
      <top style="medium">
        <color rgb="FF434343"/>
      </top>
      <bottom style="thin">
        <color rgb="FFFFFFFF"/>
      </bottom>
    </border>
    <border>
      <left style="thin">
        <color rgb="FFFFFFFF"/>
      </left>
      <right style="thick">
        <color rgb="FF434343"/>
      </right>
      <top style="thin">
        <color rgb="FFFFFFFF"/>
      </top>
      <bottom style="thin">
        <color rgb="FFFFFFFF"/>
      </bottom>
    </border>
    <border>
      <left style="thick">
        <color rgb="FF434343"/>
      </left>
      <top style="thin">
        <color rgb="FFFFFFFF"/>
      </top>
      <bottom style="thick">
        <color rgb="FF434343"/>
      </bottom>
    </border>
    <border>
      <top style="thin">
        <color rgb="FFFFFFFF"/>
      </top>
      <bottom style="thick">
        <color rgb="FF434343"/>
      </bottom>
    </border>
    <border>
      <right style="thin">
        <color rgb="FFFFFFFF"/>
      </right>
      <top style="thin">
        <color rgb="FFFFFFFF"/>
      </top>
      <bottom style="thick">
        <color rgb="FF434343"/>
      </bottom>
    </border>
    <border>
      <left style="thin">
        <color rgb="FFFFFFFF"/>
      </left>
      <right style="thick">
        <color rgb="FF434343"/>
      </right>
      <top style="thin">
        <color rgb="FFFFFFFF"/>
      </top>
      <bottom style="thick">
        <color rgb="FF434343"/>
      </bottom>
    </border>
    <border>
      <right style="thin">
        <color rgb="FFFFFFFF"/>
      </right>
      <bottom style="thin">
        <color rgb="FFFFFFFF"/>
      </bottom>
    </border>
    <border>
      <left style="thin">
        <color rgb="FFFFFFFF"/>
      </left>
      <right style="thin">
        <color rgb="FFFFFFFF"/>
      </right>
      <top style="thin">
        <color rgb="FFDCEBE8"/>
      </top>
      <bottom style="thin">
        <color rgb="FFDCEBE8"/>
      </bottom>
    </border>
    <border>
      <left style="thin">
        <color rgb="FFFFFFFF"/>
      </left>
      <right style="thin">
        <color rgb="FFFFFFFF"/>
      </right>
      <bottom style="thin">
        <color rgb="FFDCEBE8"/>
      </bottom>
    </border>
    <border>
      <left style="thick">
        <color rgb="FF3E3A3A"/>
      </left>
      <right style="thin">
        <color rgb="FFE08C59"/>
      </right>
      <bottom style="thin">
        <color rgb="FFE08C59"/>
      </bottom>
    </border>
    <border>
      <left style="thin">
        <color rgb="FFE08C59"/>
      </left>
      <right style="thin">
        <color rgb="FFE08C59"/>
      </right>
      <bottom style="thin">
        <color rgb="FFE08C59"/>
      </bottom>
    </border>
    <border>
      <left style="thin">
        <color rgb="FFE08C59"/>
      </left>
      <top style="thin">
        <color rgb="FF3E3A3A"/>
      </top>
      <bottom style="thin">
        <color rgb="FFE08C59"/>
      </bottom>
    </border>
    <border>
      <right style="thick">
        <color rgb="FF3E3A3A"/>
      </right>
      <top style="thin">
        <color rgb="FF3E3A3A"/>
      </top>
      <bottom style="thin">
        <color rgb="FFE08C59"/>
      </bottom>
    </border>
    <border>
      <left style="thick">
        <color rgb="FF3E3A3A"/>
      </left>
      <right style="thin">
        <color rgb="FFE08C59"/>
      </right>
      <top style="thin">
        <color rgb="FFE08C59"/>
      </top>
      <bottom style="thin">
        <color rgb="FFE08C59"/>
      </bottom>
    </border>
    <border>
      <left style="thin">
        <color rgb="FFE08C59"/>
      </left>
      <right style="thin">
        <color rgb="FFE08C59"/>
      </right>
      <top style="thin">
        <color rgb="FFE08C59"/>
      </top>
      <bottom style="thin">
        <color rgb="FFE08C59"/>
      </bottom>
    </border>
    <border>
      <left style="thin">
        <color rgb="FFE08C59"/>
      </left>
      <top style="thin">
        <color rgb="FFE08C59"/>
      </top>
      <bottom style="thin">
        <color rgb="FFE08C59"/>
      </bottom>
    </border>
    <border>
      <right style="thick">
        <color rgb="FF3E3A3A"/>
      </right>
      <top style="thin">
        <color rgb="FFE08C59"/>
      </top>
      <bottom style="thin">
        <color rgb="FFE08C59"/>
      </bottom>
    </border>
    <border>
      <left style="thick">
        <color rgb="FF3E3A3A"/>
      </left>
      <right style="thin">
        <color rgb="FFE08C59"/>
      </right>
      <top style="thin">
        <color rgb="FFE08C59"/>
      </top>
    </border>
    <border>
      <left style="thin">
        <color rgb="FFE08C59"/>
      </left>
      <right style="thin">
        <color rgb="FFE08C59"/>
      </right>
      <top style="thin">
        <color rgb="FFE08C59"/>
      </top>
    </border>
    <border>
      <left style="thin">
        <color rgb="FFE08C59"/>
      </left>
      <top style="thin">
        <color rgb="FFE08C59"/>
      </top>
    </border>
    <border>
      <right style="thick">
        <color rgb="FF3E3A3A"/>
      </right>
      <top style="thin">
        <color rgb="FFE08C59"/>
      </top>
    </border>
    <border>
      <left style="thin">
        <color rgb="FFDCEBE8"/>
      </left>
      <right style="thin">
        <color rgb="FFFFFFFF"/>
      </right>
      <top style="thin">
        <color rgb="FFFFFFFF"/>
      </top>
      <bottom style="thin">
        <color rgb="FFFFFFFF"/>
      </bottom>
    </border>
    <border>
      <left style="thick">
        <color rgb="FF3E3A3A"/>
      </left>
      <right style="thin">
        <color rgb="FFFFFFFF"/>
      </right>
      <top style="thin">
        <color rgb="FFFFFFFF"/>
      </top>
      <bottom style="thick">
        <color rgb="FF3E3A3A"/>
      </bottom>
    </border>
    <border>
      <left style="thin">
        <color rgb="FFFFFFFF"/>
      </left>
      <right style="thin">
        <color rgb="FFFFFFFF"/>
      </right>
      <top style="thin">
        <color rgb="FFFFFFFF"/>
      </top>
      <bottom style="thick">
        <color rgb="FF3E3A3A"/>
      </bottom>
    </border>
    <border>
      <left style="thin">
        <color rgb="FFFFFFFF"/>
      </left>
      <right style="thin">
        <color rgb="FFFFFFFF"/>
      </right>
      <top style="thin">
        <color rgb="FFDCEBE8"/>
      </top>
      <bottom style="thick">
        <color rgb="FF3E3A3A"/>
      </bottom>
    </border>
    <border>
      <left style="thin">
        <color rgb="FFFFFFFF"/>
      </left>
      <right style="thick">
        <color rgb="FF3E3A3A"/>
      </right>
      <top style="thin">
        <color rgb="FFFFFFFF"/>
      </top>
      <bottom style="thick">
        <color rgb="FF3E3A3A"/>
      </bottom>
    </border>
    <border>
      <left style="thin">
        <color rgb="FF5C6380"/>
      </left>
      <top style="thin">
        <color rgb="FF5C6380"/>
      </top>
    </border>
    <border>
      <right style="thick">
        <color rgb="FF3E3A3A"/>
      </right>
      <top style="thin">
        <color rgb="FF5C6380"/>
      </top>
    </border>
    <border>
      <left style="thick">
        <color rgb="FF3E3A3A"/>
      </left>
      <right style="thin">
        <color rgb="FFE7E9F6"/>
      </right>
      <top style="thin">
        <color rgb="FFE7E9F6"/>
      </top>
    </border>
    <border>
      <left style="thick">
        <color rgb="FF3E3A3A"/>
      </left>
      <right style="thin">
        <color rgb="FFF7EEFF"/>
      </right>
      <top style="thin">
        <color rgb="FFF7EEFF"/>
      </top>
    </border>
    <border>
      <left style="thin">
        <color rgb="FFF7EEFF"/>
      </left>
      <right style="thin">
        <color rgb="FFF7EEFF"/>
      </right>
      <top style="thin">
        <color rgb="FFF7EEFF"/>
      </top>
      <bottom style="thin">
        <color rgb="FFFFFFFF"/>
      </bottom>
    </border>
    <border>
      <left style="thin">
        <color rgb="FFF7EEFF"/>
      </left>
      <top style="thin">
        <color rgb="FFF7EEFF"/>
      </top>
    </border>
    <border>
      <left style="thick">
        <color rgb="FF3E3A3A"/>
      </left>
      <top style="medium">
        <color rgb="FFF7EEFF"/>
      </top>
      <bottom style="medium">
        <color rgb="FFF7EEFF"/>
      </bottom>
    </border>
    <border>
      <right style="thick">
        <color rgb="FF3E3A3A"/>
      </right>
      <top style="medium">
        <color rgb="FFF7EEFF"/>
      </top>
      <bottom style="medium">
        <color rgb="FFF7EEFF"/>
      </bottom>
    </border>
    <border>
      <left style="medium">
        <color rgb="FFF7EEFF"/>
      </left>
      <right style="medium">
        <color rgb="FFF7EEFF"/>
      </right>
      <top style="medium">
        <color rgb="FFF7EEFF"/>
      </top>
      <bottom style="medium">
        <color rgb="FFF7EEFF"/>
      </bottom>
    </border>
    <border>
      <left style="thick">
        <color rgb="FF3E3A3A"/>
      </left>
      <right style="thin">
        <color rgb="FFE4EAE7"/>
      </right>
      <bottom style="thin">
        <color rgb="FFE4EAE7"/>
      </bottom>
    </border>
    <border>
      <left style="thin">
        <color rgb="FFE4EAE7"/>
      </left>
      <right style="thin">
        <color rgb="FFE4EAE7"/>
      </right>
      <bottom style="thin">
        <color rgb="FFE4EAE7"/>
      </bottom>
    </border>
    <border>
      <left style="thin">
        <color rgb="FFE4EAE7"/>
      </left>
      <right style="thick">
        <color rgb="FF3E3A3A"/>
      </right>
      <bottom style="thin">
        <color rgb="FFE4EAE7"/>
      </bottom>
    </border>
    <border>
      <left style="thick">
        <color rgb="FF3E3A3A"/>
      </left>
      <right style="thin">
        <color rgb="FFE4EAE7"/>
      </right>
      <top style="thin">
        <color rgb="FFE4EAE7"/>
      </top>
      <bottom style="thin">
        <color rgb="FFE4EAE7"/>
      </bottom>
    </border>
    <border>
      <left style="thin">
        <color rgb="FFE4EAE7"/>
      </left>
      <right style="thin">
        <color rgb="FFE4EAE7"/>
      </right>
      <top style="thin">
        <color rgb="FFE4EAE7"/>
      </top>
      <bottom style="thin">
        <color rgb="FFE4EAE7"/>
      </bottom>
    </border>
    <border>
      <left style="thin">
        <color rgb="FFE4EAE7"/>
      </left>
      <top style="thin">
        <color rgb="FFE4EAE7"/>
      </top>
    </border>
    <border>
      <top style="thin">
        <color rgb="FFE4EAE7"/>
      </top>
    </border>
    <border>
      <right style="thin">
        <color rgb="FFE4EAE7"/>
      </right>
      <top style="thin">
        <color rgb="FFE4EAE7"/>
      </top>
    </border>
    <border>
      <left style="thin">
        <color rgb="FFE4EAE7"/>
      </left>
      <top style="thin">
        <color rgb="FFE4EAE7"/>
      </top>
      <bottom style="thin">
        <color rgb="FFE4EAE7"/>
      </bottom>
    </border>
    <border>
      <top style="thin">
        <color rgb="FFE4EAE7"/>
      </top>
      <bottom style="thin">
        <color rgb="FFE4EAE7"/>
      </bottom>
    </border>
    <border>
      <right style="thin">
        <color rgb="FFE4EAE7"/>
      </right>
      <top style="thin">
        <color rgb="FFE4EAE7"/>
      </top>
      <bottom style="thin">
        <color rgb="FFE4EAE7"/>
      </bottom>
    </border>
    <border>
      <left style="thin">
        <color rgb="FFE4EAE7"/>
      </left>
      <right style="thick">
        <color rgb="FF3E3A3A"/>
      </right>
      <top style="thin">
        <color rgb="FFE4EAE7"/>
      </top>
      <bottom style="thin">
        <color rgb="FFE4EAE7"/>
      </bottom>
    </border>
    <border>
      <left style="thick">
        <color rgb="FF434343"/>
      </left>
      <bottom style="medium">
        <color rgb="FFE4EAE7"/>
      </bottom>
    </border>
    <border>
      <bottom style="medium">
        <color rgb="FFE4EAE7"/>
      </bottom>
    </border>
    <border>
      <right style="thick">
        <color rgb="FF434343"/>
      </right>
      <bottom style="medium">
        <color rgb="FFE4EAE7"/>
      </bottom>
    </border>
    <border>
      <right style="thick">
        <color rgb="FF3E3A3A"/>
      </right>
      <top style="thin">
        <color rgb="FFE4EAE7"/>
      </top>
      <bottom style="thin">
        <color rgb="FFE4EAE7"/>
      </bottom>
    </border>
    <border>
      <left style="thick">
        <color rgb="FF434343"/>
      </left>
      <top style="medium">
        <color rgb="FFE4EAE7"/>
      </top>
      <bottom style="medium">
        <color rgb="FFE4EAE7"/>
      </bottom>
    </border>
    <border>
      <top style="medium">
        <color rgb="FFE4EAE7"/>
      </top>
      <bottom style="medium">
        <color rgb="FFE4EAE7"/>
      </bottom>
    </border>
    <border>
      <right style="thick">
        <color rgb="FF434343"/>
      </right>
      <top style="medium">
        <color rgb="FFE4EAE7"/>
      </top>
      <bottom style="medium">
        <color rgb="FFE4EAE7"/>
      </bottom>
    </border>
    <border>
      <left style="thick">
        <color rgb="FF434343"/>
      </left>
      <right style="medium">
        <color rgb="FFE4EAE7"/>
      </right>
      <top style="medium">
        <color rgb="FFE4EAE7"/>
      </top>
      <bottom style="medium">
        <color rgb="FFE4EAE7"/>
      </bottom>
    </border>
    <border>
      <left style="medium">
        <color rgb="FFE4EAE7"/>
      </left>
      <right style="medium">
        <color rgb="FFE4EAE7"/>
      </right>
      <top style="medium">
        <color rgb="FFE4EAE7"/>
      </top>
      <bottom style="medium">
        <color rgb="FFE4EAE7"/>
      </bottom>
    </border>
    <border>
      <left style="medium">
        <color rgb="FFE4EAE7"/>
      </left>
      <right style="thick">
        <color rgb="FF434343"/>
      </right>
      <top style="medium">
        <color rgb="FFE4EAE7"/>
      </top>
      <bottom style="medium">
        <color rgb="FFE4EAE7"/>
      </bottom>
    </border>
    <border>
      <left style="medium">
        <color rgb="FFE4EAE7"/>
      </left>
      <top style="medium">
        <color rgb="FFE4EAE7"/>
      </top>
      <bottom style="medium">
        <color rgb="FFE4EAE7"/>
      </bottom>
    </border>
    <border>
      <right style="medium">
        <color rgb="FFE4EAE7"/>
      </right>
      <top style="medium">
        <color rgb="FFE4EAE7"/>
      </top>
      <bottom style="medium">
        <color rgb="FFE4EAE7"/>
      </bottom>
    </border>
    <border>
      <left style="thin">
        <color rgb="FFE4EAE7"/>
      </left>
      <right style="thin">
        <color rgb="FFE4EAE7"/>
      </right>
      <top style="thin">
        <color rgb="FFE4EAE7"/>
      </top>
    </border>
    <border>
      <left style="thick">
        <color rgb="FF434343"/>
      </left>
      <right style="medium">
        <color rgb="FFE4EAE7"/>
      </right>
      <top style="medium">
        <color rgb="FFE4EAE7"/>
      </top>
    </border>
    <border>
      <left style="medium">
        <color rgb="FFE4EAE7"/>
      </left>
      <right style="medium">
        <color rgb="FFE4EAE7"/>
      </right>
      <top style="medium">
        <color rgb="FFE4EAE7"/>
      </top>
    </border>
    <border>
      <left style="medium">
        <color rgb="FFE4EAE7"/>
      </left>
      <right style="thick">
        <color rgb="FF434343"/>
      </right>
      <top style="medium">
        <color rgb="FFE4EAE7"/>
      </top>
    </border>
    <border>
      <left style="thin">
        <color rgb="FFE4EAE7"/>
      </left>
      <right style="thin">
        <color rgb="FFE4EAE7"/>
      </right>
    </border>
    <border>
      <left style="thick">
        <color rgb="FF434343"/>
      </left>
      <top style="medium">
        <color rgb="FF434343"/>
      </top>
      <bottom style="thin">
        <color rgb="FFE4EAE7"/>
      </bottom>
    </border>
    <border>
      <top style="medium">
        <color rgb="FF434343"/>
      </top>
      <bottom style="thin">
        <color rgb="FFE4EAE7"/>
      </bottom>
    </border>
    <border>
      <right style="thick">
        <color rgb="FF434343"/>
      </right>
      <top style="medium">
        <color rgb="FF434343"/>
      </top>
      <bottom style="thin">
        <color rgb="FFE4EAE7"/>
      </bottom>
    </border>
    <border>
      <left style="thick">
        <color rgb="FF434343"/>
      </left>
      <top style="thin">
        <color rgb="FFE4EAE7"/>
      </top>
      <bottom style="thin">
        <color rgb="FFE4EAE7"/>
      </bottom>
    </border>
    <border>
      <right style="thick">
        <color rgb="FF434343"/>
      </right>
      <top style="thin">
        <color rgb="FFE4EAE7"/>
      </top>
      <bottom style="thin">
        <color rgb="FFE4EAE7"/>
      </bottom>
    </border>
    <border>
      <left style="thick">
        <color rgb="FF434343"/>
      </left>
      <top style="thin">
        <color rgb="FFE4EAE7"/>
      </top>
    </border>
    <border>
      <left style="thin">
        <color rgb="FFE4EAE7"/>
      </left>
      <right style="thick">
        <color rgb="FF434343"/>
      </right>
      <top style="thin">
        <color rgb="FFE4EAE7"/>
      </top>
    </border>
    <border>
      <right style="thin">
        <color rgb="FFE4EAE7"/>
      </right>
      <top style="medium">
        <color rgb="FF434343"/>
      </top>
      <bottom style="thin">
        <color rgb="FFE4EAE7"/>
      </bottom>
    </border>
    <border>
      <left style="thick">
        <color rgb="FF434343"/>
      </left>
      <top style="thin">
        <color rgb="FFE4EAE7"/>
      </top>
      <bottom style="thick">
        <color rgb="FF434343"/>
      </bottom>
    </border>
    <border>
      <top style="thin">
        <color rgb="FFE4EAE7"/>
      </top>
      <bottom style="thick">
        <color rgb="FF434343"/>
      </bottom>
    </border>
    <border>
      <right style="thin">
        <color rgb="FFE4EAE7"/>
      </right>
      <top style="thin">
        <color rgb="FFE4EAE7"/>
      </top>
      <bottom style="thick">
        <color rgb="FF434343"/>
      </bottom>
    </border>
    <border>
      <right style="thick">
        <color rgb="FF434343"/>
      </right>
      <top style="thin">
        <color rgb="FFE4EAE7"/>
      </top>
      <bottom style="thick">
        <color rgb="FF434343"/>
      </bottom>
    </border>
    <border>
      <left style="thick">
        <color rgb="FF3E3A3A"/>
      </left>
      <right style="thin">
        <color rgb="FF506A5E"/>
      </right>
      <bottom style="thin">
        <color rgb="FF506A5E"/>
      </bottom>
    </border>
    <border>
      <left style="thin">
        <color rgb="FF506A5E"/>
      </left>
      <right style="thin">
        <color rgb="FF506A5E"/>
      </right>
      <bottom style="thin">
        <color rgb="FF506A5E"/>
      </bottom>
    </border>
    <border>
      <left style="thin">
        <color rgb="FF506A5E"/>
      </left>
      <top style="thin">
        <color rgb="FF3E3A3A"/>
      </top>
      <bottom style="thin">
        <color rgb="FF506A5E"/>
      </bottom>
    </border>
    <border>
      <right style="thick">
        <color rgb="FF3E3A3A"/>
      </right>
      <top style="thin">
        <color rgb="FF3E3A3A"/>
      </top>
      <bottom style="thin">
        <color rgb="FF506A5E"/>
      </bottom>
    </border>
    <border>
      <left style="thick">
        <color rgb="FF3E3A3A"/>
      </left>
      <right style="thin">
        <color rgb="FF506A5E"/>
      </right>
      <top style="thin">
        <color rgb="FF506A5E"/>
      </top>
      <bottom style="thin">
        <color rgb="FF506A5E"/>
      </bottom>
    </border>
    <border>
      <left style="thin">
        <color rgb="FF506A5E"/>
      </left>
      <right style="thin">
        <color rgb="FF506A5E"/>
      </right>
      <top style="thin">
        <color rgb="FF506A5E"/>
      </top>
      <bottom style="thin">
        <color rgb="FF506A5E"/>
      </bottom>
    </border>
    <border>
      <left style="thin">
        <color rgb="FF506A5E"/>
      </left>
      <top style="thin">
        <color rgb="FF506A5E"/>
      </top>
      <bottom style="thin">
        <color rgb="FF506A5E"/>
      </bottom>
    </border>
    <border>
      <right style="thick">
        <color rgb="FF3E3A3A"/>
      </right>
      <top style="thin">
        <color rgb="FF506A5E"/>
      </top>
      <bottom style="thin">
        <color rgb="FF506A5E"/>
      </bottom>
    </border>
    <border>
      <left style="thick">
        <color rgb="FF3E3A3A"/>
      </left>
      <right style="thin">
        <color rgb="FF506A5E"/>
      </right>
      <top style="thin">
        <color rgb="FF506A5E"/>
      </top>
    </border>
    <border>
      <left style="thin">
        <color rgb="FF506A5E"/>
      </left>
      <right style="thin">
        <color rgb="FF506A5E"/>
      </right>
      <top style="thin">
        <color rgb="FF506A5E"/>
      </top>
    </border>
    <border>
      <left style="thick">
        <color rgb="FF3E3A3A"/>
      </left>
      <right style="thin">
        <color rgb="FFE4EAE7"/>
      </right>
      <top style="thin">
        <color rgb="FFE4EAE7"/>
      </top>
      <bottom style="thick">
        <color rgb="FF3E3A3A"/>
      </bottom>
    </border>
    <border>
      <left style="thin">
        <color rgb="FFE4EAE7"/>
      </left>
      <right style="thin">
        <color rgb="FFE4EAE7"/>
      </right>
      <top style="thin">
        <color rgb="FFE4EAE7"/>
      </top>
      <bottom style="thick">
        <color rgb="FF3E3A3A"/>
      </bottom>
    </border>
    <border>
      <left style="thin">
        <color rgb="FFE4EAE7"/>
      </left>
      <right style="thick">
        <color rgb="FF3E3A3A"/>
      </right>
      <top style="thin">
        <color rgb="FFE4EAE7"/>
      </top>
      <bottom style="thick">
        <color rgb="FF3E3A3A"/>
      </bottom>
    </border>
    <border>
      <left style="thick">
        <color rgb="FF3E3A3A"/>
      </left>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ck">
        <color rgb="FF3E3A3A"/>
      </right>
      <bottom style="thin">
        <color rgb="FFD9D9D9"/>
      </bottom>
    </border>
    <border>
      <left style="thick">
        <color rgb="FF3E3A3A"/>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ck">
        <color rgb="FF3E3A3A"/>
      </right>
      <top style="thin">
        <color rgb="FFD9D9D9"/>
      </top>
      <bottom style="thin">
        <color rgb="FFD9D9D9"/>
      </bottom>
    </border>
    <border>
      <left style="thin">
        <color rgb="FFD9D9D9"/>
      </left>
      <right style="thin">
        <color rgb="FFD9D9D9"/>
      </right>
      <top style="thin">
        <color rgb="FFD9D9D9"/>
      </top>
    </border>
    <border>
      <left style="thick">
        <color rgb="FF434343"/>
      </left>
      <bottom style="thin">
        <color rgb="FFD9D9D9"/>
      </bottom>
    </border>
    <border>
      <bottom style="thin">
        <color rgb="FFD9D9D9"/>
      </bottom>
    </border>
    <border>
      <right style="thick">
        <color rgb="FF434343"/>
      </right>
      <bottom style="thin">
        <color rgb="FFD9D9D9"/>
      </bottom>
    </border>
    <border>
      <left style="thin">
        <color rgb="FFD9D9D9"/>
      </left>
      <right style="thin">
        <color rgb="FFD9D9D9"/>
      </right>
    </border>
    <border>
      <left style="thick">
        <color rgb="FF434343"/>
      </left>
      <top style="thin">
        <color rgb="FFD9D9D9"/>
      </top>
      <bottom style="thin">
        <color rgb="FFD9D9D9"/>
      </bottom>
    </border>
    <border>
      <right style="thick">
        <color rgb="FF434343"/>
      </right>
      <top style="thin">
        <color rgb="FFD9D9D9"/>
      </top>
      <bottom style="thin">
        <color rgb="FFD9D9D9"/>
      </bottom>
    </border>
    <border>
      <left style="thick">
        <color rgb="FF434343"/>
      </left>
      <right style="thin">
        <color rgb="FFD9D9D9"/>
      </right>
      <top style="thin">
        <color rgb="FFD9D9D9"/>
      </top>
      <bottom style="thin">
        <color rgb="FFD9D9D9"/>
      </bottom>
    </border>
    <border>
      <left style="thin">
        <color rgb="FFD9D9D9"/>
      </left>
      <right style="thick">
        <color rgb="FF434343"/>
      </right>
      <top style="thin">
        <color rgb="FFD9D9D9"/>
      </top>
      <bottom style="thin">
        <color rgb="FFD9D9D9"/>
      </bottom>
    </border>
    <border>
      <left style="thick">
        <color rgb="FF434343"/>
      </left>
      <right style="medium">
        <color rgb="FFD9D9D9"/>
      </right>
    </border>
    <border>
      <left style="medium">
        <color rgb="FFD9D9D9"/>
      </left>
      <right style="medium">
        <color rgb="FFD9D9D9"/>
      </right>
    </border>
    <border>
      <left style="medium">
        <color rgb="FFD9D9D9"/>
      </left>
      <right style="thick">
        <color rgb="FF434343"/>
      </right>
    </border>
    <border>
      <left style="thick">
        <color rgb="FF434343"/>
      </left>
      <top style="medium">
        <color rgb="FF434343"/>
      </top>
      <bottom style="thin">
        <color rgb="FFD9D9D9"/>
      </bottom>
    </border>
    <border>
      <top style="medium">
        <color rgb="FF434343"/>
      </top>
      <bottom style="thin">
        <color rgb="FFD9D9D9"/>
      </bottom>
    </border>
    <border>
      <right style="thick">
        <color rgb="FF434343"/>
      </right>
      <top style="medium">
        <color rgb="FF434343"/>
      </top>
      <bottom style="thin">
        <color rgb="FFD9D9D9"/>
      </bottom>
    </border>
    <border>
      <left style="thick">
        <color rgb="FF434343"/>
      </left>
      <top style="thin">
        <color rgb="FFD9D9D9"/>
      </top>
    </border>
    <border>
      <top style="thin">
        <color rgb="FFD9D9D9"/>
      </top>
    </border>
    <border>
      <right style="thin">
        <color rgb="FFD9D9D9"/>
      </right>
      <top style="thin">
        <color rgb="FFD9D9D9"/>
      </top>
    </border>
    <border>
      <left style="thin">
        <color rgb="FFD9D9D9"/>
      </left>
      <right style="thick">
        <color rgb="FF434343"/>
      </right>
      <top style="thin">
        <color rgb="FFD9D9D9"/>
      </top>
    </border>
    <border>
      <right style="thin">
        <color rgb="FFD9D9D9"/>
      </right>
      <top style="medium">
        <color rgb="FF434343"/>
      </top>
      <bottom style="thin">
        <color rgb="FFD9D9D9"/>
      </bottom>
    </border>
    <border>
      <left style="thick">
        <color rgb="FF434343"/>
      </left>
      <top style="thin">
        <color rgb="FFD9D9D9"/>
      </top>
      <bottom style="thick">
        <color rgb="FF434343"/>
      </bottom>
    </border>
    <border>
      <top style="thin">
        <color rgb="FFD9D9D9"/>
      </top>
      <bottom style="thick">
        <color rgb="FF434343"/>
      </bottom>
    </border>
    <border>
      <right style="thin">
        <color rgb="FFD9D9D9"/>
      </right>
      <top style="thin">
        <color rgb="FFD9D9D9"/>
      </top>
      <bottom style="thick">
        <color rgb="FF434343"/>
      </bottom>
    </border>
    <border>
      <right style="thick">
        <color rgb="FF434343"/>
      </right>
      <top style="thin">
        <color rgb="FFD9D9D9"/>
      </top>
      <bottom style="thick">
        <color rgb="FF434343"/>
      </bottom>
    </border>
    <border>
      <left style="thick">
        <color rgb="FF3E3A3A"/>
      </left>
      <right style="thin">
        <color rgb="FF434343"/>
      </right>
      <bottom style="thin">
        <color rgb="FF434343"/>
      </bottom>
    </border>
    <border>
      <left style="thin">
        <color rgb="FF434343"/>
      </left>
      <right style="thin">
        <color rgb="FF434343"/>
      </right>
      <bottom style="thin">
        <color rgb="FF434343"/>
      </bottom>
    </border>
    <border>
      <left style="thin">
        <color rgb="FF434343"/>
      </left>
      <top style="thin">
        <color rgb="FF3E3A3A"/>
      </top>
      <bottom style="thin">
        <color rgb="FF434343"/>
      </bottom>
    </border>
    <border>
      <right style="thick">
        <color rgb="FF3E3A3A"/>
      </right>
      <top style="thin">
        <color rgb="FF3E3A3A"/>
      </top>
      <bottom style="thin">
        <color rgb="FF434343"/>
      </bottom>
    </border>
    <border>
      <left style="thick">
        <color rgb="FF3E3A3A"/>
      </left>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right style="thick">
        <color rgb="FF3E3A3A"/>
      </right>
      <top style="thin">
        <color rgb="FF434343"/>
      </top>
      <bottom style="thin">
        <color rgb="FF434343"/>
      </bottom>
    </border>
    <border>
      <left style="thick">
        <color rgb="FF3E3A3A"/>
      </left>
      <right style="thin">
        <color rgb="FF434343"/>
      </right>
      <top style="thin">
        <color rgb="FF434343"/>
      </top>
    </border>
    <border>
      <left style="thin">
        <color rgb="FF434343"/>
      </left>
      <right style="thin">
        <color rgb="FF434343"/>
      </right>
      <top style="thin">
        <color rgb="FF434343"/>
      </top>
    </border>
    <border>
      <left style="thick">
        <color rgb="FF3E3A3A"/>
      </left>
      <right style="thin">
        <color rgb="FFD9D9D9"/>
      </right>
      <top style="thin">
        <color rgb="FFD9D9D9"/>
      </top>
    </border>
    <border>
      <left style="thin">
        <color rgb="FFD9D9D9"/>
      </left>
      <right style="thick">
        <color rgb="FF3E3A3A"/>
      </right>
      <top style="thin">
        <color rgb="FFD9D9D9"/>
      </top>
    </border>
    <border>
      <left style="thick">
        <color rgb="FF3E3A3A"/>
      </left>
      <right style="thin">
        <color rgb="FFD9D9D9"/>
      </right>
      <top style="thin">
        <color rgb="FFD9D9D9"/>
      </top>
      <bottom style="thick">
        <color rgb="FF3E3A3A"/>
      </bottom>
    </border>
    <border>
      <left style="thin">
        <color rgb="FFD9D9D9"/>
      </left>
      <right style="thin">
        <color rgb="FFD9D9D9"/>
      </right>
      <top style="thin">
        <color rgb="FFD9D9D9"/>
      </top>
      <bottom style="thick">
        <color rgb="FF3E3A3A"/>
      </bottom>
    </border>
    <border>
      <left style="thin">
        <color rgb="FFD9D9D9"/>
      </left>
      <right style="thin">
        <color rgb="FFD9D9D9"/>
      </right>
      <bottom style="thick">
        <color rgb="FF3E3A3A"/>
      </bottom>
    </border>
    <border>
      <left style="thin">
        <color rgb="FFD9D9D9"/>
      </left>
      <right style="thick">
        <color rgb="FF3E3A3A"/>
      </right>
      <top style="thin">
        <color rgb="FFD9D9D9"/>
      </top>
      <bottom style="thick">
        <color rgb="FF3E3A3A"/>
      </bottom>
    </border>
    <border>
      <left style="thick">
        <color rgb="FF3E3A3A"/>
      </left>
      <right style="thin">
        <color rgb="FFFFFDCD"/>
      </right>
      <bottom style="thin">
        <color rgb="FFFFFDCD"/>
      </bottom>
    </border>
    <border>
      <left style="thin">
        <color rgb="FFFFFDCD"/>
      </left>
      <right style="thin">
        <color rgb="FFFFFDCD"/>
      </right>
      <bottom style="thin">
        <color rgb="FFFFFDCD"/>
      </bottom>
    </border>
    <border>
      <left style="thin">
        <color rgb="FFFFFDCD"/>
      </left>
      <right style="thick">
        <color rgb="FF3E3A3A"/>
      </right>
      <bottom style="thin">
        <color rgb="FFFFFDCD"/>
      </bottom>
    </border>
    <border>
      <left style="thick">
        <color rgb="FF3E3A3A"/>
      </left>
      <right style="thin">
        <color rgb="FFFFFDCD"/>
      </right>
      <top style="thin">
        <color rgb="FFFFFDCD"/>
      </top>
      <bottom style="thin">
        <color rgb="FFFFFDCD"/>
      </bottom>
    </border>
    <border>
      <left style="thin">
        <color rgb="FFFFFDCD"/>
      </left>
      <right style="thin">
        <color rgb="FFFFFDCD"/>
      </right>
      <top style="thin">
        <color rgb="FFFFFDCD"/>
      </top>
      <bottom style="thin">
        <color rgb="FFFFFDCD"/>
      </bottom>
    </border>
    <border>
      <left style="thin">
        <color rgb="FFFFFDCD"/>
      </left>
      <top style="thin">
        <color rgb="FFFFFDCD"/>
      </top>
    </border>
    <border>
      <top style="thin">
        <color rgb="FFFFFDCD"/>
      </top>
    </border>
    <border>
      <right style="thin">
        <color rgb="FFFFFDCD"/>
      </right>
      <top style="thin">
        <color rgb="FFFFFDCD"/>
      </top>
    </border>
    <border>
      <left style="thin">
        <color rgb="FFFFFDCD"/>
      </left>
      <right style="thick">
        <color rgb="FF3E3A3A"/>
      </right>
      <top style="thin">
        <color rgb="FFFFFDCD"/>
      </top>
      <bottom style="thin">
        <color rgb="FFFFFDCD"/>
      </bottom>
    </border>
    <border>
      <left style="thin">
        <color rgb="FFFFFDCD"/>
      </left>
      <top style="thin">
        <color rgb="FFFFFDCD"/>
      </top>
      <bottom style="thin">
        <color rgb="FFFFFDCD"/>
      </bottom>
    </border>
    <border>
      <right style="thick">
        <color rgb="FF3E3A3A"/>
      </right>
      <top style="thin">
        <color rgb="FFFFFDCD"/>
      </top>
      <bottom style="thin">
        <color rgb="FFFFFDCD"/>
      </bottom>
    </border>
    <border>
      <left style="thick">
        <color rgb="FF434343"/>
      </left>
      <bottom style="medium">
        <color rgb="FFFFFDCD"/>
      </bottom>
    </border>
    <border>
      <bottom style="medium">
        <color rgb="FFFFFDCD"/>
      </bottom>
    </border>
    <border>
      <right style="thick">
        <color rgb="FF434343"/>
      </right>
      <bottom style="medium">
        <color rgb="FFFFFDCD"/>
      </bottom>
    </border>
    <border>
      <left style="thick">
        <color rgb="FF434343"/>
      </left>
      <top style="medium">
        <color rgb="FFFFFDCD"/>
      </top>
      <bottom style="medium">
        <color rgb="FFFFFDCD"/>
      </bottom>
    </border>
    <border>
      <top style="medium">
        <color rgb="FFFFFDCD"/>
      </top>
      <bottom style="medium">
        <color rgb="FFFFFDCD"/>
      </bottom>
    </border>
    <border>
      <right style="thick">
        <color rgb="FF434343"/>
      </right>
      <top style="medium">
        <color rgb="FFFFFDCD"/>
      </top>
      <bottom style="medium">
        <color rgb="FFFFFDCD"/>
      </bottom>
    </border>
    <border>
      <left style="thick">
        <color rgb="FF434343"/>
      </left>
      <right style="medium">
        <color rgb="FFFFFDCD"/>
      </right>
      <top style="medium">
        <color rgb="FFFFFDCD"/>
      </top>
      <bottom style="medium">
        <color rgb="FFFFFDCD"/>
      </bottom>
    </border>
    <border>
      <left style="medium">
        <color rgb="FFFFFDCD"/>
      </left>
      <right style="medium">
        <color rgb="FFFFFDCD"/>
      </right>
      <top style="medium">
        <color rgb="FFFFFDCD"/>
      </top>
      <bottom style="medium">
        <color rgb="FFFFFDCD"/>
      </bottom>
    </border>
    <border>
      <left style="medium">
        <color rgb="FFFFFDCD"/>
      </left>
      <right style="thick">
        <color rgb="FF434343"/>
      </right>
      <top style="medium">
        <color rgb="FFFFFDCD"/>
      </top>
      <bottom style="medium">
        <color rgb="FFFFFDCD"/>
      </bottom>
    </border>
    <border>
      <left style="medium">
        <color rgb="FFFFFDCD"/>
      </left>
      <top style="medium">
        <color rgb="FFFFFDCD"/>
      </top>
      <bottom style="medium">
        <color rgb="FFFFFDCD"/>
      </bottom>
    </border>
    <border>
      <right style="medium">
        <color rgb="FFFFFDCD"/>
      </right>
      <top style="medium">
        <color rgb="FFFFFDCD"/>
      </top>
      <bottom style="medium">
        <color rgb="FFFFFDCD"/>
      </bottom>
    </border>
    <border>
      <left style="thick">
        <color rgb="FF434343"/>
      </left>
      <right style="medium">
        <color rgb="FFFFFDCD"/>
      </right>
      <top style="medium">
        <color rgb="FFFFFDCD"/>
      </top>
    </border>
    <border>
      <left style="medium">
        <color rgb="FFFFFDCD"/>
      </left>
      <right style="medium">
        <color rgb="FFFFFDCD"/>
      </right>
      <top style="medium">
        <color rgb="FFFFFDCD"/>
      </top>
    </border>
    <border>
      <left style="medium">
        <color rgb="FFFFFDCD"/>
      </left>
      <right style="thick">
        <color rgb="FF434343"/>
      </right>
      <top style="medium">
        <color rgb="FFFFFDCD"/>
      </top>
    </border>
    <border>
      <left style="thick">
        <color rgb="FF434343"/>
      </left>
      <top style="medium">
        <color rgb="FF434343"/>
      </top>
      <bottom style="thin">
        <color rgb="FFFFFDCD"/>
      </bottom>
    </border>
    <border>
      <top style="medium">
        <color rgb="FF434343"/>
      </top>
      <bottom style="thin">
        <color rgb="FFFFFDCD"/>
      </bottom>
    </border>
    <border>
      <right style="thick">
        <color rgb="FF434343"/>
      </right>
      <top style="medium">
        <color rgb="FF434343"/>
      </top>
      <bottom style="thin">
        <color rgb="FFFFFDCD"/>
      </bottom>
    </border>
    <border>
      <left style="thick">
        <color rgb="FF434343"/>
      </left>
      <top style="thin">
        <color rgb="FFFFFDCD"/>
      </top>
      <bottom style="thin">
        <color rgb="FFFFFDCD"/>
      </bottom>
    </border>
    <border>
      <top style="thin">
        <color rgb="FFFFFDCD"/>
      </top>
      <bottom style="thin">
        <color rgb="FFFFFDCD"/>
      </bottom>
    </border>
    <border>
      <right style="thick">
        <color rgb="FF434343"/>
      </right>
      <top style="thin">
        <color rgb="FFFFFDCD"/>
      </top>
      <bottom style="thin">
        <color rgb="FFFFFDCD"/>
      </bottom>
    </border>
    <border>
      <left style="thick">
        <color rgb="FF434343"/>
      </left>
      <top style="thin">
        <color rgb="FFFFFDCD"/>
      </top>
    </border>
    <border>
      <left style="thin">
        <color rgb="FFFFFDCD"/>
      </left>
      <right style="thick">
        <color rgb="FF434343"/>
      </right>
      <top style="thin">
        <color rgb="FFFFFDCD"/>
      </top>
    </border>
    <border>
      <right style="thin">
        <color rgb="FFFFFDCD"/>
      </right>
      <top style="medium">
        <color rgb="FF434343"/>
      </top>
      <bottom style="thin">
        <color rgb="FFFFFDCD"/>
      </bottom>
    </border>
    <border>
      <left style="thin">
        <color rgb="FFFFFDCD"/>
      </left>
      <right style="thick">
        <color rgb="FF434343"/>
      </right>
      <top style="medium">
        <color rgb="FF434343"/>
      </top>
      <bottom style="thin">
        <color rgb="FFFFFDCD"/>
      </bottom>
    </border>
    <border>
      <right style="thin">
        <color rgb="FFFFFDCD"/>
      </right>
      <top style="thin">
        <color rgb="FFFFFDCD"/>
      </top>
      <bottom style="thin">
        <color rgb="FFFFFDCD"/>
      </bottom>
    </border>
    <border>
      <left style="thin">
        <color rgb="FFFFFDCD"/>
      </left>
      <right style="thick">
        <color rgb="FF434343"/>
      </right>
      <top style="thin">
        <color rgb="FFFFFDCD"/>
      </top>
      <bottom style="thin">
        <color rgb="FFFFFDCD"/>
      </bottom>
    </border>
    <border>
      <left style="thick">
        <color rgb="FF434343"/>
      </left>
      <top style="thin">
        <color rgb="FFFFFDCD"/>
      </top>
      <bottom style="thick">
        <color rgb="FF434343"/>
      </bottom>
    </border>
    <border>
      <top style="thin">
        <color rgb="FFFFFDCD"/>
      </top>
      <bottom style="thick">
        <color rgb="FF434343"/>
      </bottom>
    </border>
    <border>
      <right style="thin">
        <color rgb="FFFFFDCD"/>
      </right>
      <top style="thin">
        <color rgb="FFFFFDCD"/>
      </top>
      <bottom style="thick">
        <color rgb="FF434343"/>
      </bottom>
    </border>
    <border>
      <left style="thin">
        <color rgb="FFFFFDCD"/>
      </left>
      <right style="thick">
        <color rgb="FF434343"/>
      </right>
      <top style="thin">
        <color rgb="FFFFFDCD"/>
      </top>
      <bottom style="thick">
        <color rgb="FF434343"/>
      </bottom>
    </border>
    <border>
      <bottom style="thin">
        <color rgb="FFFFFDCD"/>
      </bottom>
    </border>
    <border>
      <left style="thin">
        <color rgb="FFFFFDCD"/>
      </left>
      <right style="thin">
        <color rgb="FFFFFDCD"/>
      </right>
    </border>
    <border>
      <left style="thick">
        <color rgb="FF3E3A3A"/>
      </left>
      <right style="thin">
        <color rgb="FF859BA6"/>
      </right>
      <bottom style="thin">
        <color rgb="FF859BA6"/>
      </bottom>
    </border>
    <border>
      <left style="thin">
        <color rgb="FF859BA6"/>
      </left>
      <right style="thin">
        <color rgb="FF859BA6"/>
      </right>
      <bottom style="thin">
        <color rgb="FF859BA6"/>
      </bottom>
    </border>
    <border>
      <left style="thin">
        <color rgb="FF859BA6"/>
      </left>
      <top style="thin">
        <color rgb="FF3E3A3A"/>
      </top>
      <bottom style="thin">
        <color rgb="FF859BA6"/>
      </bottom>
    </border>
    <border>
      <right style="thick">
        <color rgb="FF3E3A3A"/>
      </right>
      <top style="thin">
        <color rgb="FF3E3A3A"/>
      </top>
      <bottom style="thin">
        <color rgb="FF859BA6"/>
      </bottom>
    </border>
    <border>
      <left style="thick">
        <color rgb="FF3E3A3A"/>
      </left>
      <right style="thin">
        <color rgb="FF859BA6"/>
      </right>
      <top style="thin">
        <color rgb="FF859BA6"/>
      </top>
      <bottom style="thin">
        <color rgb="FF859BA6"/>
      </bottom>
    </border>
    <border>
      <left style="thin">
        <color rgb="FF859BA6"/>
      </left>
      <right style="thin">
        <color rgb="FF859BA6"/>
      </right>
      <top style="thin">
        <color rgb="FF859BA6"/>
      </top>
      <bottom style="thin">
        <color rgb="FF859BA6"/>
      </bottom>
    </border>
    <border>
      <left style="thin">
        <color rgb="FF859BA6"/>
      </left>
      <top style="thin">
        <color rgb="FF859BA6"/>
      </top>
      <bottom style="thin">
        <color rgb="FF859BA6"/>
      </bottom>
    </border>
    <border>
      <right style="thick">
        <color rgb="FF3E3A3A"/>
      </right>
      <top style="thin">
        <color rgb="FF859BA6"/>
      </top>
      <bottom style="thin">
        <color rgb="FF859BA6"/>
      </bottom>
    </border>
    <border>
      <left style="thick">
        <color rgb="FF3E3A3A"/>
      </left>
      <right style="thin">
        <color rgb="FF859BA6"/>
      </right>
      <top style="thin">
        <color rgb="FF859BA6"/>
      </top>
    </border>
    <border>
      <left style="thin">
        <color rgb="FF859BA6"/>
      </left>
      <right style="thin">
        <color rgb="FF859BA6"/>
      </right>
      <top style="thin">
        <color rgb="FF859BA6"/>
      </top>
    </border>
    <border>
      <left style="thick">
        <color rgb="FF3E3A3A"/>
      </left>
      <right style="thin">
        <color rgb="FFFFFDCD"/>
      </right>
      <top style="thin">
        <color rgb="FFFFFDCD"/>
      </top>
      <bottom style="thick">
        <color rgb="FF3E3A3A"/>
      </bottom>
    </border>
    <border>
      <left style="thin">
        <color rgb="FFFFFDCD"/>
      </left>
      <right style="thin">
        <color rgb="FFFFFDCD"/>
      </right>
      <top style="thin">
        <color rgb="FFFFFDCD"/>
      </top>
      <bottom style="thick">
        <color rgb="FF3E3A3A"/>
      </bottom>
    </border>
    <border>
      <left style="thin">
        <color rgb="FFFFFDCD"/>
      </left>
      <right style="thin">
        <color rgb="FFFFFDCD"/>
      </right>
      <bottom style="thick">
        <color rgb="FF3E3A3A"/>
      </bottom>
    </border>
    <border>
      <left style="thin">
        <color rgb="FFFFFDCD"/>
      </left>
      <right style="thick">
        <color rgb="FF3E3A3A"/>
      </right>
      <top style="thin">
        <color rgb="FFFFFDCD"/>
      </top>
      <bottom style="thick">
        <color rgb="FF3E3A3A"/>
      </bottom>
    </border>
    <border>
      <left style="thick">
        <color rgb="FF3E3A3A"/>
      </left>
      <right style="thin">
        <color rgb="FFDCEBE8"/>
      </right>
      <top style="thin">
        <color rgb="FFDCEBE8"/>
      </top>
      <bottom style="thin">
        <color rgb="FFFFF8EE"/>
      </bottom>
    </border>
    <border>
      <left style="thin">
        <color rgb="FFDCEBE8"/>
      </left>
      <right style="thin">
        <color rgb="FFDCEBE8"/>
      </right>
      <top style="thin">
        <color rgb="FFDCEBE8"/>
      </top>
      <bottom style="thin">
        <color rgb="FFFFF8EE"/>
      </bottom>
    </border>
    <border>
      <left style="thin">
        <color rgb="FFDCEBE8"/>
      </left>
      <top style="thin">
        <color rgb="FFDCEBE8"/>
      </top>
      <bottom style="thin">
        <color rgb="FFFFF8EE"/>
      </bottom>
    </border>
    <border>
      <right style="thin">
        <color rgb="FFDCEBE8"/>
      </right>
      <top style="thin">
        <color rgb="FFDCEBE8"/>
      </top>
      <bottom style="thin">
        <color rgb="FFFFF8EE"/>
      </bottom>
    </border>
    <border>
      <left style="thin">
        <color rgb="FFDCEBE8"/>
      </left>
      <right style="thick">
        <color rgb="FF3E3A3A"/>
      </right>
      <top style="thin">
        <color rgb="FFDCEBE8"/>
      </top>
      <bottom style="thin">
        <color rgb="FFFFF8EE"/>
      </bottom>
    </border>
    <border>
      <left style="thick">
        <color rgb="FF3E3A3A"/>
      </left>
      <right style="thin">
        <color rgb="FFFFF8EE"/>
      </right>
      <top style="thin">
        <color rgb="FFFFF8EE"/>
      </top>
      <bottom style="thin">
        <color rgb="FFFFF8EE"/>
      </bottom>
    </border>
    <border>
      <left style="thin">
        <color rgb="FFFFF8EE"/>
      </left>
      <right style="thin">
        <color rgb="FFFFF8EE"/>
      </right>
      <top style="thin">
        <color rgb="FFFFF8EE"/>
      </top>
      <bottom style="thin">
        <color rgb="FFFFF8EE"/>
      </bottom>
    </border>
    <border>
      <left style="thin">
        <color rgb="FFFFF8EE"/>
      </left>
      <top style="thin">
        <color rgb="FFFFF8EE"/>
      </top>
      <bottom style="thin">
        <color rgb="FFFFF8EE"/>
      </bottom>
    </border>
    <border>
      <right style="thin">
        <color rgb="FFFFF8EE"/>
      </right>
      <top style="thin">
        <color rgb="FFFFF8EE"/>
      </top>
      <bottom style="thin">
        <color rgb="FFFFF8EE"/>
      </bottom>
    </border>
    <border>
      <left style="thin">
        <color rgb="FFFFF8EE"/>
      </left>
      <right style="thick">
        <color rgb="FF3E3A3A"/>
      </right>
      <top style="thin">
        <color rgb="FFFFF8EE"/>
      </top>
      <bottom style="thin">
        <color rgb="FFFFF8EE"/>
      </bottom>
    </border>
    <border>
      <left style="thin">
        <color rgb="FFFFF8EE"/>
      </left>
      <right style="thin">
        <color rgb="FFFFF8EE"/>
      </right>
      <bottom style="thin">
        <color rgb="FFFFF8EE"/>
      </bottom>
    </border>
    <border>
      <left style="thick">
        <color rgb="FF3E3A3A"/>
      </left>
      <right style="thin">
        <color rgb="FFFFF8EE"/>
      </right>
      <top style="thin">
        <color rgb="FFFFF8EE"/>
      </top>
      <bottom style="thin">
        <color rgb="FFEDE4DA"/>
      </bottom>
    </border>
    <border>
      <left style="thin">
        <color rgb="FFFFF8EE"/>
      </left>
      <right style="thin">
        <color rgb="FFFFF8EE"/>
      </right>
      <top style="thin">
        <color rgb="FFFFF8EE"/>
      </top>
      <bottom style="thin">
        <color rgb="FFEDE4DA"/>
      </bottom>
    </border>
    <border>
      <left style="thin">
        <color rgb="FFFFF8EE"/>
      </left>
      <top style="thin">
        <color rgb="FFFFF8EE"/>
      </top>
    </border>
    <border>
      <top style="thin">
        <color rgb="FFFFF8EE"/>
      </top>
    </border>
    <border>
      <right style="thin">
        <color rgb="FFFFF8EE"/>
      </right>
      <top style="thin">
        <color rgb="FFFFF8EE"/>
      </top>
    </border>
    <border>
      <left style="thin">
        <color rgb="FFFFF8EE"/>
      </left>
      <right style="thick">
        <color rgb="FF3E3A3A"/>
      </right>
      <top style="thin">
        <color rgb="FFFFF8EE"/>
      </top>
    </border>
    <border>
      <left style="thick">
        <color rgb="FF3E3A3A"/>
      </left>
      <right style="thin">
        <color rgb="FFEDE4DA"/>
      </right>
      <top style="thin">
        <color rgb="FFEDE4DA"/>
      </top>
      <bottom style="thin">
        <color rgb="FFEDE4DA"/>
      </bottom>
    </border>
    <border>
      <left style="thin">
        <color rgb="FFEDE4DA"/>
      </left>
      <top style="thin">
        <color rgb="FFEDE4DA"/>
      </top>
      <bottom style="thin">
        <color rgb="FFFFF8EE"/>
      </bottom>
    </border>
    <border>
      <top style="thin">
        <color rgb="FFFFF8EE"/>
      </top>
      <bottom style="thin">
        <color rgb="FFFFF8EE"/>
      </bottom>
    </border>
    <border>
      <left style="thin">
        <color rgb="FFFFF8EE"/>
      </left>
      <right style="thin">
        <color rgb="FFFFF8EE"/>
      </right>
      <top style="thin">
        <color rgb="FFFFF8EE"/>
      </top>
    </border>
    <border>
      <left style="thin">
        <color rgb="FFEDE4DA"/>
      </left>
      <top style="thin">
        <color rgb="FFFFF8EE"/>
      </top>
      <bottom style="thin">
        <color rgb="FFFFF8EE"/>
      </bottom>
    </border>
    <border>
      <left style="thick">
        <color rgb="FF434343"/>
      </left>
      <bottom style="medium">
        <color rgb="FFFFF8EE"/>
      </bottom>
    </border>
    <border>
      <bottom style="medium">
        <color rgb="FFFFF8EE"/>
      </bottom>
    </border>
    <border>
      <right style="thick">
        <color rgb="FF434343"/>
      </right>
      <bottom style="medium">
        <color rgb="FFFFF8EE"/>
      </bottom>
    </border>
    <border>
      <right style="thin">
        <color rgb="FFFFF8EE"/>
      </right>
    </border>
    <border>
      <left style="thin">
        <color rgb="FFFFF8EE"/>
      </left>
      <right style="thin">
        <color rgb="FFFFF8EE"/>
      </right>
    </border>
    <border>
      <left style="thick">
        <color rgb="FF434343"/>
      </left>
      <top style="medium">
        <color rgb="FFFFF8EE"/>
      </top>
      <bottom style="medium">
        <color rgb="FFFFF8EE"/>
      </bottom>
    </border>
    <border>
      <top style="medium">
        <color rgb="FFFFF8EE"/>
      </top>
      <bottom style="medium">
        <color rgb="FFFFF8EE"/>
      </bottom>
    </border>
    <border>
      <right style="thick">
        <color rgb="FF434343"/>
      </right>
      <top style="medium">
        <color rgb="FFFFF8EE"/>
      </top>
      <bottom style="medium">
        <color rgb="FFFFF8EE"/>
      </bottom>
    </border>
    <border>
      <left style="thin">
        <color rgb="FFEDE4DA"/>
      </left>
      <right style="thin">
        <color rgb="FFEDE4DA"/>
      </right>
      <top style="thin">
        <color rgb="FFFFF8EE"/>
      </top>
      <bottom style="thin">
        <color rgb="FFFFF8EE"/>
      </bottom>
    </border>
    <border>
      <left style="thick">
        <color rgb="FF434343"/>
      </left>
      <right style="medium">
        <color rgb="FFFFF8EE"/>
      </right>
      <top style="medium">
        <color rgb="FFFFF8EE"/>
      </top>
      <bottom style="medium">
        <color rgb="FFFFF8EE"/>
      </bottom>
    </border>
    <border>
      <left style="medium">
        <color rgb="FFFFF8EE"/>
      </left>
      <right style="medium">
        <color rgb="FFFFF8EE"/>
      </right>
      <top style="medium">
        <color rgb="FFFFF8EE"/>
      </top>
      <bottom style="medium">
        <color rgb="FFFFF8EE"/>
      </bottom>
    </border>
    <border>
      <left style="medium">
        <color rgb="FFFFF8EE"/>
      </left>
      <right style="thick">
        <color rgb="FF434343"/>
      </right>
      <top style="medium">
        <color rgb="FFFFF8EE"/>
      </top>
      <bottom style="medium">
        <color rgb="FFFFF8EE"/>
      </bottom>
    </border>
    <border>
      <left style="thick">
        <color rgb="FF3E3A3A"/>
      </left>
      <right style="thin">
        <color rgb="FFFFF8EE"/>
      </right>
      <top style="thin">
        <color rgb="FFEDE4DA"/>
      </top>
      <bottom style="thin">
        <color rgb="FFFFF8EE"/>
      </bottom>
    </border>
    <border>
      <left style="thin">
        <color rgb="FFFFF8EE"/>
      </left>
      <right style="thin">
        <color rgb="FFFFF8EE"/>
      </right>
      <top style="thin">
        <color rgb="FFDCEBE8"/>
      </top>
      <bottom style="thin">
        <color rgb="FFFFF8EE"/>
      </bottom>
    </border>
    <border>
      <left style="thin">
        <color rgb="FFFFF8EE"/>
      </left>
      <right style="thin">
        <color rgb="FFEDE4DA"/>
      </right>
      <top style="thin">
        <color rgb="FFFFF8EE"/>
      </top>
      <bottom style="thin">
        <color rgb="FFFFF8EE"/>
      </bottom>
    </border>
    <border>
      <left style="thick">
        <color rgb="FF434343"/>
      </left>
      <right style="medium">
        <color rgb="FFFFF8EE"/>
      </right>
      <top style="medium">
        <color rgb="FFFFF8EE"/>
      </top>
    </border>
    <border>
      <left style="medium">
        <color rgb="FFFFF8EE"/>
      </left>
      <right style="medium">
        <color rgb="FFFFF8EE"/>
      </right>
      <top style="medium">
        <color rgb="FFFFF8EE"/>
      </top>
    </border>
    <border>
      <left style="medium">
        <color rgb="FFFFF8EE"/>
      </left>
      <right style="thick">
        <color rgb="FF434343"/>
      </right>
      <top style="medium">
        <color rgb="FFFFF8EE"/>
      </top>
    </border>
    <border>
      <left style="thick">
        <color rgb="FF434343"/>
      </left>
      <top style="medium">
        <color rgb="FF434343"/>
      </top>
      <bottom style="thin">
        <color rgb="FFFFF8EE"/>
      </bottom>
    </border>
    <border>
      <top style="medium">
        <color rgb="FF434343"/>
      </top>
      <bottom style="thin">
        <color rgb="FFFFF8EE"/>
      </bottom>
    </border>
    <border>
      <right style="thick">
        <color rgb="FF434343"/>
      </right>
      <top style="medium">
        <color rgb="FF434343"/>
      </top>
      <bottom style="thin">
        <color rgb="FFFFF8EE"/>
      </bottom>
    </border>
    <border>
      <left style="thick">
        <color rgb="FF434343"/>
      </left>
      <top style="thin">
        <color rgb="FFFFF8EE"/>
      </top>
      <bottom style="thin">
        <color rgb="FFFFF8EE"/>
      </bottom>
    </border>
    <border>
      <right style="thick">
        <color rgb="FF434343"/>
      </right>
      <top style="thin">
        <color rgb="FFFFF8EE"/>
      </top>
      <bottom style="thin">
        <color rgb="FFFFF8EE"/>
      </bottom>
    </border>
    <border>
      <left style="thick">
        <color rgb="FF434343"/>
      </left>
      <top style="thin">
        <color rgb="FFFFF8EE"/>
      </top>
    </border>
    <border>
      <left style="thin">
        <color rgb="FFFFF8EE"/>
      </left>
      <right style="thick">
        <color rgb="FF434343"/>
      </right>
      <top style="thin">
        <color rgb="FFFFF8EE"/>
      </top>
    </border>
    <border>
      <right style="thin">
        <color rgb="FFFFF8EE"/>
      </right>
      <top style="medium">
        <color rgb="FF434343"/>
      </top>
      <bottom style="thin">
        <color rgb="FFFFF8EE"/>
      </bottom>
    </border>
    <border>
      <left style="thin">
        <color rgb="FFFFF8EE"/>
      </left>
      <right style="thick">
        <color rgb="FF434343"/>
      </right>
      <top style="medium">
        <color rgb="FF434343"/>
      </top>
      <bottom style="thin">
        <color rgb="FFFFF8EE"/>
      </bottom>
    </border>
    <border>
      <left style="thin">
        <color rgb="FFFFF8EE"/>
      </left>
      <right style="thick">
        <color rgb="FF434343"/>
      </right>
      <top style="thin">
        <color rgb="FFFFF8EE"/>
      </top>
      <bottom style="thin">
        <color rgb="FFFFF8EE"/>
      </bottom>
    </border>
    <border>
      <left style="thick">
        <color rgb="FF434343"/>
      </left>
      <top style="thin">
        <color rgb="FFFFF8EE"/>
      </top>
      <bottom style="thick">
        <color rgb="FF3E3A3A"/>
      </bottom>
    </border>
    <border>
      <top style="thin">
        <color rgb="FFFFF8EE"/>
      </top>
      <bottom style="thick">
        <color rgb="FF3E3A3A"/>
      </bottom>
    </border>
    <border>
      <right style="thin">
        <color rgb="FFFFF8EE"/>
      </right>
      <top style="thin">
        <color rgb="FFFFF8EE"/>
      </top>
      <bottom style="thick">
        <color rgb="FF3E3A3A"/>
      </bottom>
    </border>
    <border>
      <left style="thin">
        <color rgb="FFFFF8EE"/>
      </left>
      <right style="thick">
        <color rgb="FF434343"/>
      </right>
      <top style="thin">
        <color rgb="FFFFF8EE"/>
      </top>
      <bottom style="thick">
        <color rgb="FF3E3A3A"/>
      </bottom>
    </border>
    <border>
      <bottom style="thin">
        <color rgb="FFFFF8EE"/>
      </bottom>
    </border>
    <border>
      <right style="thin">
        <color rgb="FFFFF8EE"/>
      </right>
      <bottom style="thin">
        <color rgb="FFFFF8EE"/>
      </bottom>
    </border>
    <border>
      <left style="thin">
        <color rgb="FFFFF8EE"/>
      </left>
      <right style="thin">
        <color rgb="FFFFF8EE"/>
      </right>
      <bottom style="thin">
        <color rgb="FFDCEBE8"/>
      </bottom>
    </border>
    <border>
      <left style="thin">
        <color rgb="FFFFF8EE"/>
      </left>
      <right style="thin">
        <color rgb="FFFFF8EE"/>
      </right>
      <top style="thin">
        <color rgb="FFDCEBE8"/>
      </top>
      <bottom style="thin">
        <color rgb="FFDCEBE8"/>
      </bottom>
    </border>
    <border>
      <left style="thin">
        <color rgb="FFFFF8EE"/>
      </left>
      <right style="thin">
        <color rgb="FFDCEBE8"/>
      </right>
      <top style="thin">
        <color rgb="FFFFF8EE"/>
      </top>
      <bottom style="thin">
        <color rgb="FFFFF8EE"/>
      </bottom>
    </border>
    <border>
      <left style="thin">
        <color rgb="FFDCEBE8"/>
      </left>
      <top style="thin">
        <color rgb="FFFFF8EE"/>
      </top>
      <bottom style="thin">
        <color rgb="FFFFF8EE"/>
      </bottom>
    </border>
    <border>
      <left style="thick">
        <color rgb="FF3E3A3A"/>
      </left>
      <right style="thin">
        <color rgb="FF1781B2"/>
      </right>
      <bottom style="thin">
        <color rgb="FF1781B2"/>
      </bottom>
    </border>
    <border>
      <left style="thin">
        <color rgb="FF1781B2"/>
      </left>
      <right style="thin">
        <color rgb="FF1781B2"/>
      </right>
      <bottom style="thin">
        <color rgb="FF1781B2"/>
      </bottom>
    </border>
    <border>
      <left style="thin">
        <color rgb="FF1781B2"/>
      </left>
      <top style="thin">
        <color rgb="FF3E3A3A"/>
      </top>
      <bottom style="thin">
        <color rgb="FF1781B2"/>
      </bottom>
    </border>
    <border>
      <right style="thick">
        <color rgb="FF3E3A3A"/>
      </right>
      <top style="thin">
        <color rgb="FF3E3A3A"/>
      </top>
      <bottom style="thin">
        <color rgb="FF1781B2"/>
      </bottom>
    </border>
    <border>
      <left style="thin">
        <color rgb="FFDCEBE8"/>
      </left>
      <right style="thin">
        <color rgb="FFDCEBE8"/>
      </right>
      <top style="thin">
        <color rgb="FFFFF8EE"/>
      </top>
      <bottom style="thin">
        <color rgb="FFFFF8EE"/>
      </bottom>
    </border>
    <border>
      <left style="thin">
        <color rgb="FFDCEBE8"/>
      </left>
      <right style="thin">
        <color rgb="FFFFF8EE"/>
      </right>
      <top style="thin">
        <color rgb="FFFFF8EE"/>
      </top>
      <bottom style="thin">
        <color rgb="FFFFF8EE"/>
      </bottom>
    </border>
    <border>
      <left style="thick">
        <color rgb="FF3E3A3A"/>
      </left>
      <right style="thin">
        <color rgb="FF1781B2"/>
      </right>
      <top style="thin">
        <color rgb="FF1781B2"/>
      </top>
      <bottom style="thin">
        <color rgb="FF1781B2"/>
      </bottom>
    </border>
    <border>
      <left style="thin">
        <color rgb="FF1781B2"/>
      </left>
      <right style="thin">
        <color rgb="FF1781B2"/>
      </right>
      <top style="thin">
        <color rgb="FF1781B2"/>
      </top>
      <bottom style="thin">
        <color rgb="FF1781B2"/>
      </bottom>
    </border>
    <border>
      <left style="thin">
        <color rgb="FF1781B2"/>
      </left>
      <top style="thin">
        <color rgb="FF1781B2"/>
      </top>
      <bottom style="thin">
        <color rgb="FF1781B2"/>
      </bottom>
    </border>
    <border>
      <right style="thick">
        <color rgb="FF3E3A3A"/>
      </right>
      <top style="thin">
        <color rgb="FF1781B2"/>
      </top>
      <bottom style="thin">
        <color rgb="FF1781B2"/>
      </bottom>
    </border>
    <border>
      <left style="thick">
        <color rgb="FF3E3A3A"/>
      </left>
      <right style="thin">
        <color rgb="FF1781B2"/>
      </right>
      <top style="thin">
        <color rgb="FF1781B2"/>
      </top>
    </border>
    <border>
      <left style="thin">
        <color rgb="FF1781B2"/>
      </left>
      <right style="thin">
        <color rgb="FF1781B2"/>
      </right>
      <top style="thin">
        <color rgb="FF1781B2"/>
      </top>
    </border>
    <border>
      <left style="thick">
        <color rgb="FF3E3A3A"/>
      </left>
      <right style="thin">
        <color rgb="FFFFF8EE"/>
      </right>
      <top style="thin">
        <color rgb="FFFFF8EE"/>
      </top>
      <bottom style="thick">
        <color rgb="FF3E3A3A"/>
      </bottom>
    </border>
    <border>
      <left style="thin">
        <color rgb="FFFFF8EE"/>
      </left>
      <right style="thin">
        <color rgb="FFFFF8EE"/>
      </right>
      <top style="thin">
        <color rgb="FFFFF8EE"/>
      </top>
      <bottom style="thick">
        <color rgb="FF3E3A3A"/>
      </bottom>
    </border>
    <border>
      <left style="thin">
        <color rgb="FFFFF8EE"/>
      </left>
      <right style="thick">
        <color rgb="FF3E3A3A"/>
      </right>
      <top style="thin">
        <color rgb="FFFFF8EE"/>
      </top>
      <bottom style="thick">
        <color rgb="FF3E3A3A"/>
      </bottom>
    </border>
    <border>
      <left style="thick">
        <color rgb="FF3E3A3A"/>
      </left>
      <right style="thin">
        <color rgb="FFFFEFE2"/>
      </right>
      <bottom style="thin">
        <color rgb="FFFFEFE2"/>
      </bottom>
    </border>
    <border>
      <left style="thin">
        <color rgb="FFFFEFE2"/>
      </left>
      <right style="thin">
        <color rgb="FFFFEFE2"/>
      </right>
      <bottom style="thin">
        <color rgb="FFFFEFE2"/>
      </bottom>
    </border>
    <border>
      <left style="thin">
        <color rgb="FFFFEFE2"/>
      </left>
      <right style="thick">
        <color rgb="FF3E3A3A"/>
      </right>
      <bottom style="thin">
        <color rgb="FFFFEFE2"/>
      </bottom>
    </border>
    <border>
      <left style="thick">
        <color rgb="FF3E3A3A"/>
      </left>
      <right style="thin">
        <color rgb="FFFFEFE2"/>
      </right>
      <top style="thin">
        <color rgb="FFFFEFE2"/>
      </top>
      <bottom style="thin">
        <color rgb="FFFFEFE2"/>
      </bottom>
    </border>
    <border>
      <left style="thin">
        <color rgb="FFFFEFE2"/>
      </left>
      <right style="thin">
        <color rgb="FFFFEFE2"/>
      </right>
      <top style="thin">
        <color rgb="FFFFEFE2"/>
      </top>
      <bottom style="thin">
        <color rgb="FFEDE4DA"/>
      </bottom>
    </border>
    <border>
      <left style="thin">
        <color rgb="FFFFEFE2"/>
      </left>
      <right style="thin">
        <color rgb="FFFFEFE2"/>
      </right>
      <top style="thin">
        <color rgb="FFFFEFE2"/>
      </top>
    </border>
    <border>
      <left style="thin">
        <color rgb="FFFFEFE2"/>
      </left>
      <top style="thin">
        <color rgb="FFFFEFE2"/>
      </top>
    </border>
    <border>
      <top style="thin">
        <color rgb="FFFFEFE2"/>
      </top>
    </border>
    <border>
      <right style="thin">
        <color rgb="FFFFEFE2"/>
      </right>
      <top style="thin">
        <color rgb="FFFFEFE2"/>
      </top>
    </border>
    <border>
      <left style="thin">
        <color rgb="FFFFEFE2"/>
      </left>
      <right style="thick">
        <color rgb="FF3E3A3A"/>
      </right>
      <top style="thin">
        <color rgb="FFFFEFE2"/>
      </top>
    </border>
    <border>
      <left style="thick">
        <color rgb="FF3E3A3A"/>
      </left>
      <right style="thin">
        <color rgb="FFFFFFFF"/>
      </right>
      <top style="thin">
        <color rgb="FFFFEFE2"/>
      </top>
      <bottom style="thin">
        <color rgb="FFFFEFE2"/>
      </bottom>
    </border>
    <border>
      <left style="thin">
        <color rgb="FFFFFFFF"/>
      </left>
      <top style="thin">
        <color rgb="FFFFEFE2"/>
      </top>
      <bottom style="thin">
        <color rgb="FFFFEFE2"/>
      </bottom>
    </border>
    <border>
      <left style="thin">
        <color rgb="FFFFEFE2"/>
      </left>
      <top style="thin">
        <color rgb="FFFFEFE2"/>
      </top>
      <bottom style="thin">
        <color rgb="FFFFEFE2"/>
      </bottom>
    </border>
    <border>
      <top style="thin">
        <color rgb="FFFFEFE2"/>
      </top>
      <bottom style="thin">
        <color rgb="FFFFEFE2"/>
      </bottom>
    </border>
    <border>
      <right style="thin">
        <color rgb="FFFFEFE2"/>
      </right>
      <top style="thin">
        <color rgb="FFFFEFE2"/>
      </top>
      <bottom style="thin">
        <color rgb="FFFFEFE2"/>
      </bottom>
    </border>
    <border>
      <left style="thin">
        <color rgb="FFFFEFE2"/>
      </left>
      <right style="thick">
        <color rgb="FF3E3A3A"/>
      </right>
      <top style="thin">
        <color rgb="FFFFEFE2"/>
      </top>
      <bottom style="thin">
        <color rgb="FFFFEFE2"/>
      </bottom>
    </border>
    <border>
      <left style="thick">
        <color rgb="FF434343"/>
      </left>
      <bottom style="medium">
        <color rgb="FFFFEFE2"/>
      </bottom>
    </border>
    <border>
      <bottom style="medium">
        <color rgb="FFFFEFE2"/>
      </bottom>
    </border>
    <border>
      <right style="thick">
        <color rgb="FF434343"/>
      </right>
      <bottom style="medium">
        <color rgb="FFFFEFE2"/>
      </bottom>
    </border>
    <border>
      <right style="thin">
        <color rgb="FFFFEFE2"/>
      </right>
    </border>
    <border>
      <left style="thick">
        <color rgb="FF434343"/>
      </left>
      <top style="medium">
        <color rgb="FFFFEFE2"/>
      </top>
      <bottom style="medium">
        <color rgb="FFFFEFE2"/>
      </bottom>
    </border>
    <border>
      <top style="medium">
        <color rgb="FFFFEFE2"/>
      </top>
      <bottom style="medium">
        <color rgb="FFFFEFE2"/>
      </bottom>
    </border>
    <border>
      <right style="thick">
        <color rgb="FF434343"/>
      </right>
      <top style="medium">
        <color rgb="FFFFEFE2"/>
      </top>
      <bottom style="medium">
        <color rgb="FFFFEFE2"/>
      </bottom>
    </border>
    <border>
      <left style="thin">
        <color rgb="FFFFFFFF"/>
      </left>
      <right style="thin">
        <color rgb="FFFFFFFF"/>
      </right>
      <top style="thin">
        <color rgb="FFFFEFE2"/>
      </top>
      <bottom style="thin">
        <color rgb="FFFFEFE2"/>
      </bottom>
    </border>
    <border>
      <left style="thick">
        <color rgb="FF434343"/>
      </left>
      <right style="medium">
        <color rgb="FFFFEFE2"/>
      </right>
      <top style="medium">
        <color rgb="FFFFEFE2"/>
      </top>
      <bottom style="medium">
        <color rgb="FFFFEFE2"/>
      </bottom>
    </border>
    <border>
      <left style="medium">
        <color rgb="FFFFEFE2"/>
      </left>
      <right style="medium">
        <color rgb="FFFFEFE2"/>
      </right>
      <top style="medium">
        <color rgb="FFFFEFE2"/>
      </top>
      <bottom style="medium">
        <color rgb="FFFFEFE2"/>
      </bottom>
    </border>
    <border>
      <left style="medium">
        <color rgb="FFFFEFE2"/>
      </left>
      <right style="thick">
        <color rgb="FF434343"/>
      </right>
      <top style="medium">
        <color rgb="FFFFEFE2"/>
      </top>
      <bottom style="medium">
        <color rgb="FFFFEFE2"/>
      </bottom>
    </border>
    <border>
      <left style="thin">
        <color rgb="FFFFEFE2"/>
      </left>
      <right style="thin">
        <color rgb="FFFFEFE2"/>
      </right>
      <top style="thin">
        <color rgb="FFDCEBE8"/>
      </top>
      <bottom style="thin">
        <color rgb="FFFFEFE2"/>
      </bottom>
    </border>
    <border>
      <left style="thin">
        <color rgb="FFFFEFE2"/>
      </left>
      <right style="thin">
        <color rgb="FFFFFFFF"/>
      </right>
      <top style="thin">
        <color rgb="FFFFEFE2"/>
      </top>
      <bottom style="thin">
        <color rgb="FFFFEFE2"/>
      </bottom>
    </border>
    <border>
      <left style="thick">
        <color rgb="FF434343"/>
      </left>
      <right style="medium">
        <color rgb="FFFFEFE2"/>
      </right>
      <top style="medium">
        <color rgb="FFFFEFE2"/>
      </top>
    </border>
    <border>
      <left style="medium">
        <color rgb="FFFFEFE2"/>
      </left>
      <right style="medium">
        <color rgb="FFFFEFE2"/>
      </right>
      <top style="medium">
        <color rgb="FFFFEFE2"/>
      </top>
    </border>
    <border>
      <left style="medium">
        <color rgb="FFFFEFE2"/>
      </left>
      <right style="thick">
        <color rgb="FF434343"/>
      </right>
      <top style="medium">
        <color rgb="FFFFEFE2"/>
      </top>
    </border>
    <border>
      <left style="thin">
        <color rgb="FFFFEFE2"/>
      </left>
      <right style="thin">
        <color rgb="FFFFEFE2"/>
      </right>
      <top style="thin">
        <color rgb="FFFFEFE2"/>
      </top>
      <bottom style="thin">
        <color rgb="FFFFEFE2"/>
      </bottom>
    </border>
    <border>
      <left style="thick">
        <color rgb="FF434343"/>
      </left>
      <top style="medium">
        <color rgb="FF434343"/>
      </top>
      <bottom style="thin">
        <color rgb="FFFFEFE2"/>
      </bottom>
    </border>
    <border>
      <top style="medium">
        <color rgb="FF434343"/>
      </top>
      <bottom style="thin">
        <color rgb="FFFFEFE2"/>
      </bottom>
    </border>
    <border>
      <right style="thick">
        <color rgb="FF434343"/>
      </right>
      <top style="medium">
        <color rgb="FF434343"/>
      </top>
      <bottom style="thin">
        <color rgb="FFFFEFE2"/>
      </bottom>
    </border>
    <border>
      <left style="thick">
        <color rgb="FF434343"/>
      </left>
      <top style="thin">
        <color rgb="FFFFEFE2"/>
      </top>
      <bottom style="thin">
        <color rgb="FFFFEFE2"/>
      </bottom>
    </border>
    <border>
      <right style="thick">
        <color rgb="FF434343"/>
      </right>
      <top style="thin">
        <color rgb="FFFFEFE2"/>
      </top>
      <bottom style="thin">
        <color rgb="FFFFEFE2"/>
      </bottom>
    </border>
    <border>
      <left style="thick">
        <color rgb="FF434343"/>
      </left>
      <top style="thin">
        <color rgb="FFFFEFE2"/>
      </top>
    </border>
    <border>
      <left style="thin">
        <color rgb="FFFFEFE2"/>
      </left>
      <right style="thick">
        <color rgb="FF434343"/>
      </right>
      <top style="thin">
        <color rgb="FFFFEFE2"/>
      </top>
    </border>
    <border>
      <right style="thin">
        <color rgb="FFFFEFE2"/>
      </right>
      <top style="medium">
        <color rgb="FF434343"/>
      </top>
      <bottom style="thin">
        <color rgb="FFFFEFE2"/>
      </bottom>
    </border>
    <border>
      <left style="thin">
        <color rgb="FFFFEFE2"/>
      </left>
      <right style="thick">
        <color rgb="FF434343"/>
      </right>
      <top style="medium">
        <color rgb="FF434343"/>
      </top>
      <bottom style="thin">
        <color rgb="FFFFEFE2"/>
      </bottom>
    </border>
    <border>
      <left style="thin">
        <color rgb="FFFFEFE2"/>
      </left>
      <right style="thick">
        <color rgb="FF434343"/>
      </right>
      <top style="thin">
        <color rgb="FFFFEFE2"/>
      </top>
      <bottom style="thin">
        <color rgb="FFFFEFE2"/>
      </bottom>
    </border>
    <border>
      <left style="thick">
        <color rgb="FF434343"/>
      </left>
      <top style="thin">
        <color rgb="FFFFEFE2"/>
      </top>
      <bottom style="thick">
        <color rgb="FF434343"/>
      </bottom>
    </border>
    <border>
      <top style="thin">
        <color rgb="FFFFEFE2"/>
      </top>
      <bottom style="thick">
        <color rgb="FF434343"/>
      </bottom>
    </border>
    <border>
      <right style="thin">
        <color rgb="FFFFEFE2"/>
      </right>
      <top style="thin">
        <color rgb="FFFFEFE2"/>
      </top>
      <bottom style="thick">
        <color rgb="FF434343"/>
      </bottom>
    </border>
    <border>
      <left style="thin">
        <color rgb="FFFFEFE2"/>
      </left>
      <right style="thick">
        <color rgb="FF434343"/>
      </right>
      <top style="thin">
        <color rgb="FFFFEFE2"/>
      </top>
      <bottom style="thick">
        <color rgb="FF434343"/>
      </bottom>
    </border>
    <border>
      <bottom style="thin">
        <color rgb="FFFFEFE2"/>
      </bottom>
    </border>
    <border>
      <right style="thin">
        <color rgb="FFFFEFE2"/>
      </right>
      <bottom style="thin">
        <color rgb="FFFFEFE2"/>
      </bottom>
    </border>
    <border>
      <left style="thin">
        <color rgb="FFFFEFE2"/>
      </left>
      <right style="thin">
        <color rgb="FFFFEFE2"/>
      </right>
      <bottom style="thin">
        <color rgb="FFDCEBE8"/>
      </bottom>
    </border>
    <border>
      <left style="thin">
        <color rgb="FFFFEFE2"/>
      </left>
      <right style="thin">
        <color rgb="FFFFEFE2"/>
      </right>
      <top style="thin">
        <color rgb="FFDCEBE8"/>
      </top>
      <bottom style="thin">
        <color rgb="FFDCEBE8"/>
      </bottom>
    </border>
    <border>
      <left style="thin">
        <color rgb="FFFFEFE2"/>
      </left>
      <right style="thin">
        <color rgb="FFFFEFE2"/>
      </right>
    </border>
    <border>
      <left style="thin">
        <color rgb="FFFFEFE2"/>
      </left>
      <right style="thin">
        <color rgb="FFFFEFE2"/>
      </right>
      <top style="thin">
        <color rgb="FFFFF8EE"/>
      </top>
      <bottom style="thin">
        <color rgb="FFFFF8EE"/>
      </bottom>
    </border>
    <border>
      <left style="thin">
        <color rgb="FFFFEFE2"/>
      </left>
      <right style="thin">
        <color rgb="FFDCEBE8"/>
      </right>
      <top style="thin">
        <color rgb="FFFFEFE2"/>
      </top>
      <bottom style="thin">
        <color rgb="FFFFEFE2"/>
      </bottom>
    </border>
    <border>
      <right style="medium">
        <color rgb="FF3E3A3A"/>
      </right>
      <top style="thick">
        <color rgb="FF3E3A3A"/>
      </top>
      <bottom style="medium">
        <color rgb="FF3E3A3A"/>
      </bottom>
    </border>
    <border>
      <left style="thin">
        <color rgb="FFDCEBE8"/>
      </left>
      <top style="thin">
        <color rgb="FFFFEFE2"/>
      </top>
      <bottom style="thin">
        <color rgb="FFFFEFE2"/>
      </bottom>
    </border>
    <border>
      <left style="thin">
        <color rgb="FFFFF8EE"/>
      </left>
      <top style="thin">
        <color rgb="FFFFEFE2"/>
      </top>
      <bottom style="thin">
        <color rgb="FFFFEFE2"/>
      </bottom>
    </border>
    <border>
      <left style="thick">
        <color rgb="FF3E3A3A"/>
      </left>
      <right style="thin">
        <color rgb="FF438FDF"/>
      </right>
      <bottom style="thin">
        <color rgb="FF438FDF"/>
      </bottom>
    </border>
    <border>
      <left style="thin">
        <color rgb="FF438FDF"/>
      </left>
      <right style="thin">
        <color rgb="FF438FDF"/>
      </right>
      <bottom style="thin">
        <color rgb="FF438FDF"/>
      </bottom>
    </border>
    <border>
      <left style="thin">
        <color rgb="FF438FDF"/>
      </left>
      <top style="thin">
        <color rgb="FF3E3A3A"/>
      </top>
      <bottom style="thin">
        <color rgb="FF438FDF"/>
      </bottom>
    </border>
    <border>
      <right style="thick">
        <color rgb="FF3E3A3A"/>
      </right>
      <top style="thin">
        <color rgb="FF3E3A3A"/>
      </top>
      <bottom style="thin">
        <color rgb="FF438FDF"/>
      </bottom>
    </border>
    <border>
      <left style="thin">
        <color rgb="FFDCEBE8"/>
      </left>
      <right style="thin">
        <color rgb="FFDCEBE8"/>
      </right>
      <top style="thin">
        <color rgb="FFFFEFE2"/>
      </top>
      <bottom style="thin">
        <color rgb="FFFFEFE2"/>
      </bottom>
    </border>
    <border>
      <left style="thin">
        <color rgb="FFDCEBE8"/>
      </left>
      <right style="thin">
        <color rgb="FFFFF8EE"/>
      </right>
      <top style="thin">
        <color rgb="FFFFEFE2"/>
      </top>
      <bottom style="thin">
        <color rgb="FFFFEFE2"/>
      </bottom>
    </border>
    <border>
      <left style="thin">
        <color rgb="FFFFF8EE"/>
      </left>
      <right style="thin">
        <color rgb="FFFFF8EE"/>
      </right>
      <top style="thin">
        <color rgb="FFFFEFE2"/>
      </top>
      <bottom style="thin">
        <color rgb="FFFFEFE2"/>
      </bottom>
    </border>
    <border>
      <left style="thin">
        <color rgb="FFFFF8EE"/>
      </left>
      <right style="thin">
        <color rgb="FFFFEFE2"/>
      </right>
      <top style="thin">
        <color rgb="FFFFEFE2"/>
      </top>
      <bottom style="thin">
        <color rgb="FFFFEFE2"/>
      </bottom>
    </border>
    <border>
      <left style="thick">
        <color rgb="FF3E3A3A"/>
      </left>
      <right style="thin">
        <color rgb="FF438FDF"/>
      </right>
      <top style="thin">
        <color rgb="FF438FDF"/>
      </top>
      <bottom style="thin">
        <color rgb="FF438FDF"/>
      </bottom>
    </border>
    <border>
      <left style="thin">
        <color rgb="FF438FDF"/>
      </left>
      <right style="thin">
        <color rgb="FF438FDF"/>
      </right>
      <top style="thin">
        <color rgb="FF438FDF"/>
      </top>
      <bottom style="thin">
        <color rgb="FF438FDF"/>
      </bottom>
    </border>
    <border>
      <left style="thin">
        <color rgb="FF438FDF"/>
      </left>
      <top style="thin">
        <color rgb="FF438FDF"/>
      </top>
      <bottom style="thin">
        <color rgb="FF438FDF"/>
      </bottom>
    </border>
    <border>
      <right style="thick">
        <color rgb="FF3E3A3A"/>
      </right>
      <top style="thin">
        <color rgb="FF438FDF"/>
      </top>
      <bottom style="thin">
        <color rgb="FF438FDF"/>
      </bottom>
    </border>
    <border>
      <left style="thick">
        <color rgb="FF3E3A3A"/>
      </left>
      <right style="thin">
        <color rgb="FF438FDF"/>
      </right>
      <top style="thin">
        <color rgb="FF438FDF"/>
      </top>
    </border>
    <border>
      <left style="thin">
        <color rgb="FF438FDF"/>
      </left>
      <right style="thin">
        <color rgb="FF438FDF"/>
      </right>
      <top style="thin">
        <color rgb="FF438FDF"/>
      </top>
    </border>
    <border>
      <left style="thin">
        <color rgb="FF438FDF"/>
      </left>
      <top style="thin">
        <color rgb="FF438FDF"/>
      </top>
    </border>
    <border>
      <right style="thick">
        <color rgb="FF3E3A3A"/>
      </right>
      <top style="thin">
        <color rgb="FF438FDF"/>
      </top>
    </border>
    <border>
      <left style="thin">
        <color rgb="FFFFEFE2"/>
      </left>
      <right style="thin">
        <color rgb="FFFFEFE2"/>
      </right>
      <top style="thin">
        <color rgb="FFFFF8EE"/>
      </top>
      <bottom style="thin">
        <color rgb="FFFFEFE2"/>
      </bottom>
    </border>
    <border>
      <left style="thick">
        <color rgb="FF3E3A3A"/>
      </left>
      <right style="thin">
        <color rgb="FFFFEFE2"/>
      </right>
      <top style="thin">
        <color rgb="FFFFEFE2"/>
      </top>
      <bottom style="thick">
        <color rgb="FF3E3A3A"/>
      </bottom>
    </border>
    <border>
      <left style="thin">
        <color rgb="FFFFEFE2"/>
      </left>
      <right style="thin">
        <color rgb="FFFFEFE2"/>
      </right>
      <top style="thin">
        <color rgb="FFFFEFE2"/>
      </top>
      <bottom style="thick">
        <color rgb="FF3E3A3A"/>
      </bottom>
    </border>
    <border>
      <left style="thin">
        <color rgb="FFFFEFE2"/>
      </left>
      <right style="thin">
        <color rgb="FFFFEFE2"/>
      </right>
      <bottom style="thick">
        <color rgb="FF3E3A3A"/>
      </bottom>
    </border>
    <border>
      <left style="thin">
        <color rgb="FFFFEFE2"/>
      </left>
      <right style="thick">
        <color rgb="FF3E3A3A"/>
      </right>
      <top style="thin">
        <color rgb="FFFFEFE2"/>
      </top>
      <bottom style="thick">
        <color rgb="FF3E3A3A"/>
      </bottom>
    </border>
    <border>
      <left style="thick">
        <color rgb="FF3E3A3A"/>
      </left>
      <right style="thin">
        <color rgb="FFFFFAE9"/>
      </right>
      <bottom style="thin">
        <color rgb="FFFFFAE9"/>
      </bottom>
    </border>
    <border>
      <left style="thin">
        <color rgb="FFFFFAE9"/>
      </left>
      <right style="thin">
        <color rgb="FFFFFAE9"/>
      </right>
      <bottom style="thin">
        <color rgb="FFFFFAE9"/>
      </bottom>
    </border>
    <border>
      <left style="thin">
        <color rgb="FFFFFAE9"/>
      </left>
      <right style="thick">
        <color rgb="FF3E3A3A"/>
      </right>
      <bottom style="thin">
        <color rgb="FFFFFAE9"/>
      </bottom>
    </border>
    <border>
      <left style="thick">
        <color rgb="FF3E3A3A"/>
      </left>
      <right style="thin">
        <color rgb="FFFFFAE9"/>
      </right>
      <top style="thin">
        <color rgb="FFFFFAE9"/>
      </top>
      <bottom style="thin">
        <color rgb="FFFFFAE9"/>
      </bottom>
    </border>
    <border>
      <left style="thin">
        <color rgb="FFFFFAE9"/>
      </left>
      <right style="thin">
        <color rgb="FFFFFAE9"/>
      </right>
      <top style="thin">
        <color rgb="FFFFFAE9"/>
      </top>
      <bottom style="thin">
        <color rgb="FFFFFFFF"/>
      </bottom>
    </border>
    <border>
      <left style="thin">
        <color rgb="FFFFFAE9"/>
      </left>
      <right style="thin">
        <color rgb="FFFFFAE9"/>
      </right>
      <top style="thin">
        <color rgb="FFFFFAE9"/>
      </top>
      <bottom style="thin">
        <color rgb="FFFFFAE9"/>
      </bottom>
    </border>
    <border>
      <left style="thin">
        <color rgb="FFFFFAE9"/>
      </left>
      <top style="thin">
        <color rgb="FFFFFAE9"/>
      </top>
    </border>
    <border>
      <top style="thin">
        <color rgb="FFFFFAE9"/>
      </top>
    </border>
    <border>
      <right style="thin">
        <color rgb="FFFFFAE9"/>
      </right>
      <top style="thin">
        <color rgb="FFFFFAE9"/>
      </top>
    </border>
    <border>
      <left style="thin">
        <color rgb="FFFFFAE9"/>
      </left>
      <right style="thick">
        <color rgb="FF3E3A3A"/>
      </right>
      <top style="thin">
        <color rgb="FFFFFAE9"/>
      </top>
    </border>
    <border>
      <left style="thick">
        <color rgb="FF3E3A3A"/>
      </left>
      <top style="thin">
        <color rgb="FFFFFAE9"/>
      </top>
      <bottom style="thin">
        <color rgb="FFFFFAE9"/>
      </bottom>
    </border>
    <border>
      <top style="thin">
        <color rgb="FFFFFAE9"/>
      </top>
      <bottom style="thin">
        <color rgb="FFFFFAE9"/>
      </bottom>
    </border>
    <border>
      <right style="thick">
        <color rgb="FF3E3A3A"/>
      </right>
      <top style="thin">
        <color rgb="FFFFFAE9"/>
      </top>
      <bottom style="thin">
        <color rgb="FFFFFAE9"/>
      </bottom>
    </border>
    <border>
      <left style="thick">
        <color rgb="FF434343"/>
      </left>
      <bottom style="medium">
        <color rgb="FFFFFAE9"/>
      </bottom>
    </border>
    <border>
      <bottom style="medium">
        <color rgb="FFFFFAE9"/>
      </bottom>
    </border>
    <border>
      <right style="thick">
        <color rgb="FF434343"/>
      </right>
      <bottom style="medium">
        <color rgb="FFFFFAE9"/>
      </bottom>
    </border>
    <border>
      <left style="thick">
        <color rgb="FF434343"/>
      </left>
      <bottom style="thin">
        <color rgb="FFFFF4CD"/>
      </bottom>
    </border>
    <border>
      <bottom style="thin">
        <color rgb="FFFFF4CD"/>
      </bottom>
    </border>
    <border>
      <right style="thick">
        <color rgb="FF434343"/>
      </right>
      <bottom style="thin">
        <color rgb="FFFFF4CD"/>
      </bottom>
    </border>
    <border>
      <left style="thick">
        <color rgb="FF434343"/>
      </left>
      <top style="medium">
        <color rgb="FFFFFAE9"/>
      </top>
      <bottom style="medium">
        <color rgb="FFFFFAE9"/>
      </bottom>
    </border>
    <border>
      <top style="medium">
        <color rgb="FFFFFAE9"/>
      </top>
      <bottom style="medium">
        <color rgb="FFFFFAE9"/>
      </bottom>
    </border>
    <border>
      <right style="thick">
        <color rgb="FF434343"/>
      </right>
      <top style="medium">
        <color rgb="FFFFFAE9"/>
      </top>
      <bottom style="medium">
        <color rgb="FFFFFAE9"/>
      </bottom>
    </border>
    <border>
      <left style="thick">
        <color rgb="FF434343"/>
      </left>
      <top style="thin">
        <color rgb="FFFFF4CD"/>
      </top>
      <bottom style="thin">
        <color rgb="FFFFF4CD"/>
      </bottom>
    </border>
    <border>
      <top style="thin">
        <color rgb="FFFFF4CD"/>
      </top>
      <bottom style="thin">
        <color rgb="FFFFF4CD"/>
      </bottom>
    </border>
    <border>
      <right style="thick">
        <color rgb="FF434343"/>
      </right>
      <top style="thin">
        <color rgb="FFFFF4CD"/>
      </top>
      <bottom style="thin">
        <color rgb="FFFFF4CD"/>
      </bottom>
    </border>
    <border>
      <left style="thick">
        <color rgb="FF434343"/>
      </left>
      <right style="medium">
        <color rgb="FFFFFAE9"/>
      </right>
      <top style="medium">
        <color rgb="FFFFFAE9"/>
      </top>
      <bottom style="medium">
        <color rgb="FFFFFAE9"/>
      </bottom>
    </border>
    <border>
      <left style="medium">
        <color rgb="FFFFFAE9"/>
      </left>
      <top style="medium">
        <color rgb="FFFFFAE9"/>
      </top>
      <bottom style="medium">
        <color rgb="FFFFFAE9"/>
      </bottom>
    </border>
    <border>
      <right style="medium">
        <color rgb="FFFFFAE9"/>
      </right>
      <top style="medium">
        <color rgb="FFFFFAE9"/>
      </top>
      <bottom style="medium">
        <color rgb="FFFFFAE9"/>
      </bottom>
    </border>
    <border>
      <left style="medium">
        <color rgb="FFFFFAE9"/>
      </left>
      <right style="thick">
        <color rgb="FF434343"/>
      </right>
      <top style="medium">
        <color rgb="FFFFFAE9"/>
      </top>
      <bottom style="medium">
        <color rgb="FFFFFAE9"/>
      </bottom>
    </border>
    <border>
      <left style="medium">
        <color rgb="FFFFFAE9"/>
      </left>
      <right style="medium">
        <color rgb="FFFFFAE9"/>
      </right>
      <top style="medium">
        <color rgb="FFFFFAE9"/>
      </top>
      <bottom style="medium">
        <color rgb="FFFFFAE9"/>
      </bottom>
    </border>
    <border>
      <left style="thick">
        <color rgb="FF434343"/>
      </left>
      <right style="thin">
        <color rgb="FFFFF4CD"/>
      </right>
      <top style="thin">
        <color rgb="FFFFF4CD"/>
      </top>
      <bottom style="medium">
        <color rgb="FFFFF4CD"/>
      </bottom>
    </border>
    <border>
      <left style="thin">
        <color rgb="FFFFF4CD"/>
      </left>
      <top style="thin">
        <color rgb="FFFFF4CD"/>
      </top>
      <bottom style="medium">
        <color rgb="FFFFF4CD"/>
      </bottom>
    </border>
    <border>
      <right style="thin">
        <color rgb="FFFFF4CD"/>
      </right>
      <top style="thin">
        <color rgb="FFFFF4CD"/>
      </top>
      <bottom style="medium">
        <color rgb="FFFFF4CD"/>
      </bottom>
    </border>
    <border>
      <left style="thin">
        <color rgb="FFFFF4CD"/>
      </left>
      <right style="thick">
        <color rgb="FF434343"/>
      </right>
      <top style="thin">
        <color rgb="FFFFF4CD"/>
      </top>
      <bottom style="medium">
        <color rgb="FFFFF4CD"/>
      </bottom>
    </border>
    <border>
      <left style="thin">
        <color rgb="FFFFFAE9"/>
      </left>
      <right style="thick">
        <color rgb="FF3E3A3A"/>
      </right>
      <top style="thin">
        <color rgb="FFFFFAE9"/>
      </top>
      <bottom style="thin">
        <color rgb="FFFFFAE9"/>
      </bottom>
    </border>
    <border>
      <left style="thick">
        <color rgb="FF434343"/>
      </left>
      <right style="medium">
        <color rgb="FFFFFAE9"/>
      </right>
      <top style="medium">
        <color rgb="FFFFFAE9"/>
      </top>
    </border>
    <border>
      <left style="medium">
        <color rgb="FFFFFAE9"/>
      </left>
      <right style="medium">
        <color rgb="FFFFFAE9"/>
      </right>
      <top style="medium">
        <color rgb="FFFFFAE9"/>
      </top>
    </border>
    <border>
      <left style="medium">
        <color rgb="FFFFFAE9"/>
      </left>
      <right style="thick">
        <color rgb="FF434343"/>
      </right>
      <top style="medium">
        <color rgb="FFFFFAE9"/>
      </top>
    </border>
    <border>
      <left style="thick">
        <color rgb="FF434343"/>
      </left>
      <right style="medium">
        <color rgb="FFFFF4CD"/>
      </right>
      <top style="medium">
        <color rgb="FFFFF4CD"/>
      </top>
    </border>
    <border>
      <left style="medium">
        <color rgb="FFFFF4CD"/>
      </left>
      <right style="medium">
        <color rgb="FFFFF4CD"/>
      </right>
      <top style="medium">
        <color rgb="FFFFF4CD"/>
      </top>
    </border>
    <border>
      <left style="medium">
        <color rgb="FFFFF4CD"/>
      </left>
      <right style="thick">
        <color rgb="FF434343"/>
      </right>
      <top style="medium">
        <color rgb="FFFFF4CD"/>
      </top>
    </border>
    <border>
      <left style="thick">
        <color rgb="FF434343"/>
      </left>
      <top style="medium">
        <color rgb="FF434343"/>
      </top>
      <bottom style="thin">
        <color rgb="FFFFFAE9"/>
      </bottom>
    </border>
    <border>
      <top style="medium">
        <color rgb="FF434343"/>
      </top>
      <bottom style="thin">
        <color rgb="FFFFFAE9"/>
      </bottom>
    </border>
    <border>
      <right style="thick">
        <color rgb="FF434343"/>
      </right>
      <top style="medium">
        <color rgb="FF434343"/>
      </top>
      <bottom style="thin">
        <color rgb="FFFFFAE9"/>
      </bottom>
    </border>
    <border>
      <left style="thick">
        <color rgb="FF434343"/>
      </left>
      <top style="medium">
        <color rgb="FF434343"/>
      </top>
      <bottom style="thin">
        <color rgb="FFFFF4CD"/>
      </bottom>
    </border>
    <border>
      <top style="medium">
        <color rgb="FF434343"/>
      </top>
      <bottom style="thin">
        <color rgb="FFFFF4CD"/>
      </bottom>
    </border>
    <border>
      <right style="thick">
        <color rgb="FF434343"/>
      </right>
      <top style="medium">
        <color rgb="FF434343"/>
      </top>
      <bottom style="thin">
        <color rgb="FFFFF4CD"/>
      </bottom>
    </border>
    <border>
      <left style="thick">
        <color rgb="FF434343"/>
      </left>
      <top style="thin">
        <color rgb="FFFFFAE9"/>
      </top>
      <bottom style="thin">
        <color rgb="FFFFFAE9"/>
      </bottom>
    </border>
    <border>
      <right style="thick">
        <color rgb="FF434343"/>
      </right>
      <top style="thin">
        <color rgb="FFFFFAE9"/>
      </top>
      <bottom style="thin">
        <color rgb="FFFFFAE9"/>
      </bottom>
    </border>
    <border>
      <left style="thin">
        <color rgb="FFFFFAE9"/>
      </left>
      <right style="thin">
        <color rgb="FFFFFAE9"/>
      </right>
      <top style="thin">
        <color rgb="FFF0F2F7"/>
      </top>
      <bottom style="thin">
        <color rgb="FFFFFAE9"/>
      </bottom>
    </border>
    <border>
      <left style="thin">
        <color rgb="FFFFFAE9"/>
      </left>
      <top style="thin">
        <color rgb="FFFFFAE9"/>
      </top>
      <bottom style="thin">
        <color rgb="FFFFFAE9"/>
      </bottom>
    </border>
    <border>
      <left style="thick">
        <color rgb="FF434343"/>
      </left>
      <top style="thin">
        <color rgb="FFFFFAE9"/>
      </top>
    </border>
    <border>
      <left style="thin">
        <color rgb="FFFFFAE9"/>
      </left>
      <right style="thick">
        <color rgb="FF434343"/>
      </right>
      <top style="thin">
        <color rgb="FFFFFAE9"/>
      </top>
    </border>
    <border>
      <left style="thick">
        <color rgb="FF434343"/>
      </left>
      <top style="thin">
        <color rgb="FFFFF4CD"/>
      </top>
    </border>
    <border>
      <top style="thin">
        <color rgb="FFFFF4CD"/>
      </top>
    </border>
    <border>
      <right style="thin">
        <color rgb="FFFFF4CD"/>
      </right>
      <top style="thin">
        <color rgb="FFFFF4CD"/>
      </top>
    </border>
    <border>
      <left style="thin">
        <color rgb="FFFFF4CD"/>
      </left>
      <right style="thick">
        <color rgb="FF434343"/>
      </right>
      <top style="thin">
        <color rgb="FFFFF4CD"/>
      </top>
    </border>
    <border>
      <right style="thin">
        <color rgb="FFFFFAE9"/>
      </right>
      <top style="medium">
        <color rgb="FF434343"/>
      </top>
      <bottom style="thin">
        <color rgb="FFFFFAE9"/>
      </bottom>
    </border>
    <border>
      <right style="thin">
        <color rgb="FFFFF4CD"/>
      </right>
      <top style="medium">
        <color rgb="FF434343"/>
      </top>
      <bottom style="thin">
        <color rgb="FFFFF4CD"/>
      </bottom>
    </border>
    <border>
      <right style="thin">
        <color rgb="FFFFFAE9"/>
      </right>
      <top style="thin">
        <color rgb="FFFFFAE9"/>
      </top>
      <bottom style="thin">
        <color rgb="FFFFFAE9"/>
      </bottom>
    </border>
    <border>
      <right style="thin">
        <color rgb="FFFFF4CD"/>
      </right>
      <top style="thin">
        <color rgb="FFFFF4CD"/>
      </top>
      <bottom style="thin">
        <color rgb="FFFFF4CD"/>
      </bottom>
    </border>
    <border>
      <left style="thick">
        <color rgb="FF434343"/>
      </left>
      <top style="thin">
        <color rgb="FFFFFAE9"/>
      </top>
      <bottom style="thick">
        <color rgb="FF434343"/>
      </bottom>
    </border>
    <border>
      <top style="thin">
        <color rgb="FFFFFAE9"/>
      </top>
      <bottom style="thick">
        <color rgb="FF434343"/>
      </bottom>
    </border>
    <border>
      <right style="thin">
        <color rgb="FFFFFAE9"/>
      </right>
      <top style="thin">
        <color rgb="FFFFFAE9"/>
      </top>
      <bottom style="thick">
        <color rgb="FF434343"/>
      </bottom>
    </border>
    <border>
      <right style="thick">
        <color rgb="FF434343"/>
      </right>
      <top style="thin">
        <color rgb="FFFFFAE9"/>
      </top>
      <bottom style="thick">
        <color rgb="FF434343"/>
      </bottom>
    </border>
    <border>
      <left style="thick">
        <color rgb="FF434343"/>
      </left>
      <top style="thin">
        <color rgb="FFFFF4CD"/>
      </top>
      <bottom style="thick">
        <color rgb="FF434343"/>
      </bottom>
    </border>
    <border>
      <top style="thin">
        <color rgb="FFFFF4CD"/>
      </top>
      <bottom style="thick">
        <color rgb="FF434343"/>
      </bottom>
    </border>
    <border>
      <right style="thin">
        <color rgb="FFFFF4CD"/>
      </right>
      <top style="thin">
        <color rgb="FFFFF4CD"/>
      </top>
      <bottom style="thick">
        <color rgb="FF434343"/>
      </bottom>
    </border>
    <border>
      <right style="thick">
        <color rgb="FF434343"/>
      </right>
      <top style="thin">
        <color rgb="FFFFF4CD"/>
      </top>
      <bottom style="thick">
        <color rgb="FF434343"/>
      </bottom>
    </border>
    <border>
      <bottom style="thin">
        <color rgb="FFFFFAE9"/>
      </bottom>
    </border>
    <border>
      <left style="thin">
        <color rgb="FFFFFAE9"/>
      </left>
      <right style="thin">
        <color rgb="FFFFFAE9"/>
      </right>
      <bottom style="thin">
        <color rgb="FFDCEBE8"/>
      </bottom>
    </border>
    <border>
      <left style="thin">
        <color rgb="FFFFFAE9"/>
      </left>
      <right style="thin">
        <color rgb="FFFFFAE9"/>
      </right>
      <top style="thin">
        <color rgb="FFDCEBE8"/>
      </top>
      <bottom style="thin">
        <color rgb="FFDCEBE8"/>
      </bottom>
    </border>
    <border>
      <left style="thin">
        <color rgb="FFFFFAE9"/>
      </left>
      <right style="thin">
        <color rgb="FFFFFAE9"/>
      </right>
    </border>
    <border>
      <left style="thin">
        <color rgb="FFFFFAE9"/>
      </left>
      <right style="thin">
        <color rgb="FFFFFAE9"/>
      </right>
      <top style="thin">
        <color rgb="FFDCEBE8"/>
      </top>
    </border>
    <border>
      <left style="thin">
        <color rgb="FFFFFAE9"/>
      </left>
      <right style="thin">
        <color rgb="FFDCEBE8"/>
      </right>
      <top style="thin">
        <color rgb="FFFFFAE9"/>
      </top>
      <bottom style="thin">
        <color rgb="FFFFFAE9"/>
      </bottom>
    </border>
    <border>
      <left style="thick">
        <color rgb="FF3E3A3A"/>
      </left>
      <right style="thin">
        <color rgb="FFC4B783"/>
      </right>
      <bottom style="thin">
        <color rgb="FFC4B783"/>
      </bottom>
    </border>
    <border>
      <left style="thin">
        <color rgb="FFC4B783"/>
      </left>
      <right style="thin">
        <color rgb="FFC4B783"/>
      </right>
      <bottom style="thin">
        <color rgb="FFC4B783"/>
      </bottom>
    </border>
    <border>
      <left style="thin">
        <color rgb="FFC4B783"/>
      </left>
      <top style="thin">
        <color rgb="FF3E3A3A"/>
      </top>
      <bottom style="thin">
        <color rgb="FFC4B783"/>
      </bottom>
    </border>
    <border>
      <right style="thick">
        <color rgb="FF3E3A3A"/>
      </right>
      <top style="thin">
        <color rgb="FF3E3A3A"/>
      </top>
      <bottom style="thin">
        <color rgb="FFC4B783"/>
      </bottom>
    </border>
    <border>
      <right style="thin">
        <color rgb="FFDCEBE8"/>
      </right>
      <top style="thin">
        <color rgb="FFFFFAE9"/>
      </top>
      <bottom style="thin">
        <color rgb="FFFFFAE9"/>
      </bottom>
    </border>
    <border>
      <left style="thick">
        <color rgb="FF3E3A3A"/>
      </left>
      <right style="thin">
        <color rgb="FFD5BB57"/>
      </right>
      <bottom style="thin">
        <color rgb="FFD5BB57"/>
      </bottom>
    </border>
    <border>
      <left style="thin">
        <color rgb="FFD5BB57"/>
      </left>
      <right style="thin">
        <color rgb="FFD5BB57"/>
      </right>
      <bottom style="thin">
        <color rgb="FFD5BB57"/>
      </bottom>
    </border>
    <border>
      <left style="thin">
        <color rgb="FFD5BB57"/>
      </left>
      <top style="thin">
        <color rgb="FF3E3A3A"/>
      </top>
      <bottom style="thin">
        <color rgb="FFD5BB57"/>
      </bottom>
    </border>
    <border>
      <right style="thick">
        <color rgb="FF3E3A3A"/>
      </right>
      <top style="thin">
        <color rgb="FF3E3A3A"/>
      </top>
      <bottom style="thin">
        <color rgb="FFD5BB57"/>
      </bottom>
    </border>
    <border>
      <left style="thick">
        <color rgb="FF3E3A3A"/>
      </left>
      <right style="thin">
        <color rgb="FFC4B783"/>
      </right>
      <top style="thin">
        <color rgb="FFC4B783"/>
      </top>
      <bottom style="thin">
        <color rgb="FFC4B783"/>
      </bottom>
    </border>
    <border>
      <left style="thin">
        <color rgb="FFC4B783"/>
      </left>
      <right style="thin">
        <color rgb="FFC4B783"/>
      </right>
      <top style="thin">
        <color rgb="FFC4B783"/>
      </top>
      <bottom style="thin">
        <color rgb="FFC4B783"/>
      </bottom>
    </border>
    <border>
      <left style="thin">
        <color rgb="FFC4B783"/>
      </left>
      <top style="thin">
        <color rgb="FFC4B783"/>
      </top>
      <bottom style="thin">
        <color rgb="FFC4B783"/>
      </bottom>
    </border>
    <border>
      <right style="thick">
        <color rgb="FF3E3A3A"/>
      </right>
      <top style="thin">
        <color rgb="FFC4B783"/>
      </top>
      <bottom style="thin">
        <color rgb="FFC4B783"/>
      </bottom>
    </border>
    <border>
      <left style="thick">
        <color rgb="FF3E3A3A"/>
      </left>
      <right style="thin">
        <color rgb="FFD5BB57"/>
      </right>
      <top style="thin">
        <color rgb="FFD5BB57"/>
      </top>
      <bottom style="thin">
        <color rgb="FFD5BB57"/>
      </bottom>
    </border>
    <border>
      <left style="thin">
        <color rgb="FFD5BB57"/>
      </left>
      <right style="thin">
        <color rgb="FFD5BB57"/>
      </right>
      <top style="thin">
        <color rgb="FFD5BB57"/>
      </top>
      <bottom style="thin">
        <color rgb="FFD5BB57"/>
      </bottom>
    </border>
    <border>
      <left style="thin">
        <color rgb="FFD5BB57"/>
      </left>
      <top style="thin">
        <color rgb="FFD5BB57"/>
      </top>
      <bottom style="thin">
        <color rgb="FFD5BB57"/>
      </bottom>
    </border>
    <border>
      <right style="thick">
        <color rgb="FF3E3A3A"/>
      </right>
      <top style="thin">
        <color rgb="FFD5BB57"/>
      </top>
      <bottom style="thin">
        <color rgb="FFD5BB57"/>
      </bottom>
    </border>
    <border>
      <left style="thick">
        <color rgb="FF3E3A3A"/>
      </left>
      <right style="thin">
        <color rgb="FFC4B783"/>
      </right>
      <top style="thin">
        <color rgb="FFC4B783"/>
      </top>
    </border>
    <border>
      <left style="thin">
        <color rgb="FFC4B783"/>
      </left>
      <right style="thin">
        <color rgb="FFC4B783"/>
      </right>
      <top style="thin">
        <color rgb="FFC4B783"/>
      </top>
    </border>
    <border>
      <left style="thin">
        <color rgb="FFC4B783"/>
      </left>
      <top style="thin">
        <color rgb="FFC4B783"/>
      </top>
      <bottom style="thin">
        <color rgb="FFD9C888"/>
      </bottom>
    </border>
    <border>
      <right style="thick">
        <color rgb="FF3E3A3A"/>
      </right>
      <top style="thin">
        <color rgb="FFC4B783"/>
      </top>
      <bottom style="thin">
        <color rgb="FFD9C888"/>
      </bottom>
    </border>
    <border>
      <left style="thick">
        <color rgb="FF3E3A3A"/>
      </left>
      <right style="thin">
        <color rgb="FFD5BB57"/>
      </right>
      <top style="thin">
        <color rgb="FFD5BB57"/>
      </top>
    </border>
    <border>
      <left style="thin">
        <color rgb="FFD5BB57"/>
      </left>
      <right style="thin">
        <color rgb="FFD5BB57"/>
      </right>
      <top style="thin">
        <color rgb="FFD5BB57"/>
      </top>
    </border>
    <border>
      <left style="thin">
        <color rgb="FFD5BB57"/>
      </left>
      <top style="thin">
        <color rgb="FFD5BB57"/>
      </top>
      <bottom style="thin">
        <color rgb="FFD9C888"/>
      </bottom>
    </border>
    <border>
      <right style="thick">
        <color rgb="FF3E3A3A"/>
      </right>
      <top style="thin">
        <color rgb="FFD5BB57"/>
      </top>
      <bottom style="thin">
        <color rgb="FFD9C888"/>
      </bottom>
    </border>
    <border>
      <left style="thin">
        <color rgb="FFDCEBE8"/>
      </left>
      <top style="thin">
        <color rgb="FFFFFAE9"/>
      </top>
      <bottom style="thin">
        <color rgb="FFFFFAE9"/>
      </bottom>
    </border>
    <border>
      <left style="thick">
        <color rgb="FF3E3A3A"/>
      </left>
      <right style="thin">
        <color rgb="FFFFFAE9"/>
      </right>
      <top style="thin">
        <color rgb="FFFFFAE9"/>
      </top>
      <bottom style="thick">
        <color rgb="FF3E3A3A"/>
      </bottom>
    </border>
    <border>
      <left style="thin">
        <color rgb="FFFFFAE9"/>
      </left>
      <right style="thin">
        <color rgb="FFFFFAE9"/>
      </right>
      <top style="thin">
        <color rgb="FFFFFAE9"/>
      </top>
      <bottom style="thick">
        <color rgb="FF3E3A3A"/>
      </bottom>
    </border>
    <border>
      <left style="thin">
        <color rgb="FFFFFAE9"/>
      </left>
      <right style="thin">
        <color rgb="FFFFFAE9"/>
      </right>
      <bottom style="thick">
        <color rgb="FF3E3A3A"/>
      </bottom>
    </border>
    <border>
      <left style="thin">
        <color rgb="FFFFFAE9"/>
      </left>
      <top style="thin">
        <color rgb="FFFFFAE9"/>
      </top>
      <bottom style="thick">
        <color rgb="FF3E3A3A"/>
      </bottom>
    </border>
    <border>
      <left style="thin">
        <color rgb="FFFFFAE9"/>
      </left>
      <right style="thick">
        <color rgb="FF3E3A3A"/>
      </right>
      <top style="thin">
        <color rgb="FFFFFAE9"/>
      </top>
      <bottom style="thick">
        <color rgb="FF3E3A3A"/>
      </bottom>
    </border>
    <border>
      <left style="medium">
        <color rgb="FFFFEFE2"/>
      </left>
      <top style="medium">
        <color rgb="FFFFEFE2"/>
      </top>
      <bottom style="medium">
        <color rgb="FFFFEFE2"/>
      </bottom>
    </border>
    <border>
      <right style="medium">
        <color rgb="FFFFEFE2"/>
      </right>
      <top style="medium">
        <color rgb="FFFFEFE2"/>
      </top>
      <bottom style="medium">
        <color rgb="FFFFEFE2"/>
      </bottom>
    </border>
    <border>
      <left style="thick">
        <color rgb="FF3E3A3A"/>
      </left>
      <right style="thin">
        <color rgb="FFEFEFEF"/>
      </right>
      <top style="thin">
        <color rgb="FFFFFFFF"/>
      </top>
      <bottom style="thin">
        <color rgb="FFEFEFEF"/>
      </bottom>
    </border>
    <border>
      <left style="thin">
        <color rgb="FFEFEFEF"/>
      </left>
      <right style="thin">
        <color rgb="FFEFEFEF"/>
      </right>
      <top style="thin">
        <color rgb="FFFFFFFF"/>
      </top>
      <bottom style="thin">
        <color rgb="FFEFEFEF"/>
      </bottom>
    </border>
    <border>
      <left style="thin">
        <color rgb="FFEFEFEF"/>
      </left>
      <right style="thick">
        <color rgb="FF3E3A3A"/>
      </right>
      <top style="thin">
        <color rgb="FFFFFFFF"/>
      </top>
      <bottom style="thin">
        <color rgb="FFEFEFEF"/>
      </bottom>
    </border>
    <border>
      <left style="thin">
        <color rgb="FFEFEFEF"/>
      </left>
      <right style="thin">
        <color rgb="FFEFEFEF"/>
      </right>
      <top style="thin">
        <color rgb="FFEFEFEF"/>
      </top>
      <bottom style="thin">
        <color rgb="FFEDE4DA"/>
      </bottom>
    </border>
    <border>
      <left style="thin">
        <color rgb="FFEFEFEF"/>
      </left>
      <right style="thin">
        <color rgb="FFEFEFEF"/>
      </right>
      <top style="thin">
        <color rgb="FFFFEFE2"/>
      </top>
      <bottom style="thin">
        <color rgb="FFEFEFEF"/>
      </bottom>
    </border>
    <border>
      <left style="thin">
        <color rgb="FFEFEFEF"/>
      </left>
      <right style="thick">
        <color rgb="FF434343"/>
      </right>
      <top style="thin">
        <color rgb="FFEFEFEF"/>
      </top>
    </border>
    <border>
      <right style="thick">
        <color rgb="FF434343"/>
      </right>
      <top style="thin">
        <color rgb="FFEFEFEF"/>
      </top>
      <bottom style="thick">
        <color rgb="FF434343"/>
      </bottom>
    </border>
    <border>
      <left style="thin">
        <color rgb="FFEFEFEF"/>
      </left>
      <right style="thin">
        <color rgb="FFEFEFEF"/>
      </right>
      <bottom style="thin">
        <color rgb="FFDCEBE8"/>
      </bottom>
    </border>
    <border>
      <left style="thin">
        <color rgb="FFEFEFEF"/>
      </left>
      <right style="thin">
        <color rgb="FFEFEFEF"/>
      </right>
      <top style="thin">
        <color rgb="FFDCEBE8"/>
      </top>
      <bottom style="thin">
        <color rgb="FFDCEBE8"/>
      </bottom>
    </border>
    <border>
      <left style="thin">
        <color rgb="FFEFEFEF"/>
      </left>
      <right style="thin">
        <color rgb="FFEFEFEF"/>
      </right>
      <top style="thin">
        <color rgb="FFFFF8EE"/>
      </top>
      <bottom style="thin">
        <color rgb="FFFFF8EE"/>
      </bottom>
    </border>
    <border>
      <left style="thin">
        <color rgb="FFDCEBE8"/>
      </left>
      <top style="thin">
        <color rgb="FFEFEFEF"/>
      </top>
      <bottom style="thin">
        <color rgb="FFEFEFEF"/>
      </bottom>
    </border>
    <border>
      <left style="thin">
        <color rgb="FFFFF8EE"/>
      </left>
      <top style="thin">
        <color rgb="FFEFEFEF"/>
      </top>
      <bottom style="thin">
        <color rgb="FFEFEFEF"/>
      </bottom>
    </border>
    <border>
      <left style="thin">
        <color rgb="FFDCEBE8"/>
      </left>
      <right style="thin">
        <color rgb="FFDCEBE8"/>
      </right>
      <top style="thin">
        <color rgb="FFEFEFEF"/>
      </top>
      <bottom style="thin">
        <color rgb="FFEFEFEF"/>
      </bottom>
    </border>
    <border>
      <left style="thick">
        <color rgb="FF3E3A3A"/>
      </left>
      <right style="thin">
        <color rgb="FF8C4F4A"/>
      </right>
      <bottom style="thin">
        <color rgb="FF8C4F4A"/>
      </bottom>
    </border>
    <border>
      <left style="thin">
        <color rgb="FF8C4F4A"/>
      </left>
      <right style="thin">
        <color rgb="FF8C4F4A"/>
      </right>
      <bottom style="thin">
        <color rgb="FF8C4F4A"/>
      </bottom>
    </border>
    <border>
      <left style="thin">
        <color rgb="FF8C4F4A"/>
      </left>
      <top style="thin">
        <color rgb="FF3E3A3A"/>
      </top>
      <bottom style="thin">
        <color rgb="FF8C4F4A"/>
      </bottom>
    </border>
    <border>
      <right style="thick">
        <color rgb="FF3E3A3A"/>
      </right>
      <top style="thin">
        <color rgb="FF3E3A3A"/>
      </top>
      <bottom style="thin">
        <color rgb="FF8C4F4A"/>
      </bottom>
    </border>
    <border>
      <left style="thin">
        <color rgb="FFFFF8EE"/>
      </left>
      <right style="thin">
        <color rgb="FFEFEFEF"/>
      </right>
      <top style="thin">
        <color rgb="FFEFEFEF"/>
      </top>
      <bottom style="thin">
        <color rgb="FFEFEFEF"/>
      </bottom>
    </border>
    <border>
      <left style="thick">
        <color rgb="FF3E3A3A"/>
      </left>
      <right style="thin">
        <color rgb="FF8C4F4A"/>
      </right>
      <top style="thin">
        <color rgb="FF8C4F4A"/>
      </top>
      <bottom style="thin">
        <color rgb="FF8C4F4A"/>
      </bottom>
    </border>
    <border>
      <left style="thin">
        <color rgb="FF8C4F4A"/>
      </left>
      <right style="thin">
        <color rgb="FF8C4F4A"/>
      </right>
      <top style="thin">
        <color rgb="FF8C4F4A"/>
      </top>
      <bottom style="thin">
        <color rgb="FF8C4F4A"/>
      </bottom>
    </border>
    <border>
      <left style="thin">
        <color rgb="FF8C4F4A"/>
      </left>
      <top style="thin">
        <color rgb="FF8C4F4A"/>
      </top>
      <bottom style="thin">
        <color rgb="FF8C4F4A"/>
      </bottom>
    </border>
    <border>
      <right style="thick">
        <color rgb="FF3E3A3A"/>
      </right>
      <top style="thin">
        <color rgb="FF8C4F4A"/>
      </top>
      <bottom style="thin">
        <color rgb="FF8C4F4A"/>
      </bottom>
    </border>
    <border>
      <left style="thick">
        <color rgb="FF3E3A3A"/>
      </left>
      <right style="thin">
        <color rgb="FF8C4F4A"/>
      </right>
      <top style="thin">
        <color rgb="FF8C4F4A"/>
      </top>
    </border>
    <border>
      <left style="thin">
        <color rgb="FF8C4F4A"/>
      </left>
      <right style="thin">
        <color rgb="FF8C4F4A"/>
      </right>
      <top style="thin">
        <color rgb="FF8C4F4A"/>
      </top>
    </border>
    <border>
      <left style="thick">
        <color rgb="FF3E3A3A"/>
      </left>
      <right style="thin">
        <color rgb="FFFFEFE2"/>
      </right>
      <top style="thin">
        <color rgb="FFFFEFE2"/>
      </top>
    </border>
    <border>
      <left style="thick">
        <color rgb="FF434343"/>
      </left>
      <top style="thin">
        <color rgb="FFEFEFEF"/>
      </top>
      <bottom style="thick">
        <color rgb="FF3E3A3A"/>
      </bottom>
    </border>
    <border>
      <right style="thick">
        <color rgb="FF434343"/>
      </right>
      <top style="thin">
        <color rgb="FFEFEFEF"/>
      </top>
      <bottom style="thick">
        <color rgb="FF3E3A3A"/>
      </bottom>
    </border>
    <border>
      <left style="thin">
        <color rgb="FFEFEFEF"/>
      </left>
      <right style="thin">
        <color rgb="FFEFEFEF"/>
      </right>
      <top style="thin">
        <color rgb="FFDCEBE8"/>
      </top>
    </border>
    <border>
      <right style="thin">
        <color rgb="FFDCEBE8"/>
      </right>
      <top style="thin">
        <color rgb="FFEFEFEF"/>
      </top>
      <bottom style="thin">
        <color rgb="FFEFEFEF"/>
      </bottom>
    </border>
    <border>
      <left style="thin">
        <color rgb="FFEFEFEF"/>
      </left>
      <right style="thin">
        <color rgb="FFEFEFEF"/>
      </right>
      <bottom style="thin">
        <color rgb="FFFFF8EE"/>
      </bottom>
    </border>
    <border>
      <left style="thick">
        <color rgb="FF3E3A3A"/>
      </left>
      <right style="thin">
        <color rgb="FFE9EFFF"/>
      </right>
      <bottom style="thin">
        <color rgb="FFE9EFFF"/>
      </bottom>
    </border>
    <border>
      <left style="thin">
        <color rgb="FFE9EFFF"/>
      </left>
      <right style="thin">
        <color rgb="FFE9EFFF"/>
      </right>
      <bottom style="thin">
        <color rgb="FFE9EFFF"/>
      </bottom>
    </border>
    <border>
      <left style="thin">
        <color rgb="FFE9EFFF"/>
      </left>
      <right style="thick">
        <color rgb="FF3E3A3A"/>
      </right>
      <bottom style="thin">
        <color rgb="FFE9EFFF"/>
      </bottom>
    </border>
    <border>
      <left style="thick">
        <color rgb="FF3E3A3A"/>
      </left>
      <right style="thin">
        <color rgb="FFE9EFFF"/>
      </right>
      <top style="thin">
        <color rgb="FFE9EFFF"/>
      </top>
      <bottom style="thin">
        <color rgb="FFE9EFFF"/>
      </bottom>
    </border>
    <border>
      <left style="thin">
        <color rgb="FFE9EFFF"/>
      </left>
      <right style="thin">
        <color rgb="FFE9EFFF"/>
      </right>
      <top style="thin">
        <color rgb="FFE9EFFF"/>
      </top>
      <bottom style="thin">
        <color rgb="FFFFFFFF"/>
      </bottom>
    </border>
    <border>
      <left style="thin">
        <color rgb="FFE9EFFF"/>
      </left>
      <top style="thin">
        <color rgb="FFE9EFFF"/>
      </top>
    </border>
    <border>
      <top style="thin">
        <color rgb="FFE9EFFF"/>
      </top>
    </border>
    <border>
      <right style="thin">
        <color rgb="FFE9EFFF"/>
      </right>
      <top style="thin">
        <color rgb="FFE9EFFF"/>
      </top>
    </border>
    <border>
      <left style="thin">
        <color rgb="FFE9EFFF"/>
      </left>
      <right style="thick">
        <color rgb="FF3E3A3A"/>
      </right>
      <top style="thin">
        <color rgb="FFE9EFFF"/>
      </top>
    </border>
    <border>
      <left style="thick">
        <color rgb="FF3E3A3A"/>
      </left>
      <top style="thin">
        <color rgb="FFE9EFFF"/>
      </top>
      <bottom style="thin">
        <color rgb="FFE9EFFF"/>
      </bottom>
    </border>
    <border>
      <top style="thin">
        <color rgb="FFFFFFFF"/>
      </top>
      <bottom style="thin">
        <color rgb="FFE9EFFF"/>
      </bottom>
    </border>
    <border>
      <left style="thin">
        <color rgb="FFE9EFFF"/>
      </left>
      <top style="thin">
        <color rgb="FFE9EFFF"/>
      </top>
      <bottom style="thin">
        <color rgb="FFE9EFFF"/>
      </bottom>
    </border>
    <border>
      <top style="thin">
        <color rgb="FFE9EFFF"/>
      </top>
      <bottom style="thin">
        <color rgb="FFE9EFFF"/>
      </bottom>
    </border>
    <border>
      <right style="thin">
        <color rgb="FFE9EFFF"/>
      </right>
      <top style="thin">
        <color rgb="FFE9EFFF"/>
      </top>
      <bottom style="thin">
        <color rgb="FFE9EFFF"/>
      </bottom>
    </border>
    <border>
      <left style="thin">
        <color rgb="FFE9EFFF"/>
      </left>
      <right style="thick">
        <color rgb="FF3E3A3A"/>
      </right>
      <top style="thin">
        <color rgb="FFE9EFFF"/>
      </top>
      <bottom style="thin">
        <color rgb="FFE9EFFF"/>
      </bottom>
    </border>
    <border>
      <left style="thick">
        <color rgb="FF434343"/>
      </left>
      <bottom style="medium">
        <color rgb="FFE9EFFF"/>
      </bottom>
    </border>
    <border>
      <bottom style="medium">
        <color rgb="FFE9EFFF"/>
      </bottom>
    </border>
    <border>
      <right style="thick">
        <color rgb="FF434343"/>
      </right>
      <bottom style="medium">
        <color rgb="FFE9EFFF"/>
      </bottom>
    </border>
    <border>
      <right style="thin">
        <color rgb="FFE9EFFF"/>
      </right>
    </border>
    <border>
      <left style="thick">
        <color rgb="FF434343"/>
      </left>
      <top style="medium">
        <color rgb="FFE9EFFF"/>
      </top>
      <bottom style="medium">
        <color rgb="FFE9EFFF"/>
      </bottom>
    </border>
    <border>
      <top style="medium">
        <color rgb="FFE9EFFF"/>
      </top>
      <bottom style="medium">
        <color rgb="FFE9EFFF"/>
      </bottom>
    </border>
    <border>
      <right style="thick">
        <color rgb="FF434343"/>
      </right>
      <top style="medium">
        <color rgb="FFE9EFFF"/>
      </top>
      <bottom style="medium">
        <color rgb="FFE9EFFF"/>
      </bottom>
    </border>
    <border>
      <left style="thick">
        <color rgb="FF434343"/>
      </left>
      <right style="medium">
        <color rgb="FFE9EFFF"/>
      </right>
      <top style="medium">
        <color rgb="FFE9EFFF"/>
      </top>
      <bottom style="medium">
        <color rgb="FFE9EFFF"/>
      </bottom>
    </border>
    <border>
      <left style="medium">
        <color rgb="FFE9EFFF"/>
      </left>
      <top style="medium">
        <color rgb="FFE9EFFF"/>
      </top>
      <bottom style="medium">
        <color rgb="FFE9EFFF"/>
      </bottom>
    </border>
    <border>
      <right style="medium">
        <color rgb="FFE9EFFF"/>
      </right>
      <top style="medium">
        <color rgb="FFE9EFFF"/>
      </top>
      <bottom style="medium">
        <color rgb="FFE9EFFF"/>
      </bottom>
    </border>
    <border>
      <left style="medium">
        <color rgb="FFE9EFFF"/>
      </left>
      <right style="thick">
        <color rgb="FF434343"/>
      </right>
      <top style="medium">
        <color rgb="FFE9EFFF"/>
      </top>
      <bottom style="medium">
        <color rgb="FFE9EFFF"/>
      </bottom>
    </border>
    <border>
      <left style="medium">
        <color rgb="FFE9EFFF"/>
      </left>
      <right style="medium">
        <color rgb="FFE9EFFF"/>
      </right>
      <top style="medium">
        <color rgb="FFE9EFFF"/>
      </top>
      <bottom style="medium">
        <color rgb="FFE9EFFF"/>
      </bottom>
    </border>
    <border>
      <left style="thin">
        <color rgb="FFE9EFFF"/>
      </left>
      <right style="thin">
        <color rgb="FFE9EFFF"/>
      </right>
      <top style="thin">
        <color rgb="FFDCEBE8"/>
      </top>
      <bottom style="thin">
        <color rgb="FFE9EFFF"/>
      </bottom>
    </border>
    <border>
      <left style="thick">
        <color rgb="FF434343"/>
      </left>
      <right style="medium">
        <color rgb="FFE9EFFF"/>
      </right>
      <top style="medium">
        <color rgb="FFE9EFFF"/>
      </top>
    </border>
    <border>
      <left style="medium">
        <color rgb="FFE9EFFF"/>
      </left>
      <right style="medium">
        <color rgb="FFE9EFFF"/>
      </right>
      <top style="medium">
        <color rgb="FFE9EFFF"/>
      </top>
    </border>
    <border>
      <left style="medium">
        <color rgb="FFE9EFFF"/>
      </left>
      <right style="thick">
        <color rgb="FF434343"/>
      </right>
      <top style="medium">
        <color rgb="FFE9EFFF"/>
      </top>
    </border>
    <border>
      <left style="thin">
        <color rgb="FFE9EFFF"/>
      </left>
      <right style="thin">
        <color rgb="FFE9EFFF"/>
      </right>
      <top style="thin">
        <color rgb="FFE9EFFF"/>
      </top>
      <bottom style="thin">
        <color rgb="FFE9EFFF"/>
      </bottom>
    </border>
    <border>
      <left style="thick">
        <color rgb="FF434343"/>
      </left>
      <top style="medium">
        <color rgb="FF434343"/>
      </top>
      <bottom style="thin">
        <color rgb="FFE9EFFF"/>
      </bottom>
    </border>
    <border>
      <top style="medium">
        <color rgb="FF434343"/>
      </top>
      <bottom style="thin">
        <color rgb="FFE9EFFF"/>
      </bottom>
    </border>
    <border>
      <right style="thick">
        <color rgb="FF434343"/>
      </right>
      <top style="medium">
        <color rgb="FF434343"/>
      </top>
      <bottom style="thin">
        <color rgb="FFE9EFFF"/>
      </bottom>
    </border>
    <border>
      <left style="thick">
        <color rgb="FF434343"/>
      </left>
      <top style="thin">
        <color rgb="FFE9EFFF"/>
      </top>
      <bottom style="thin">
        <color rgb="FFE9EFFF"/>
      </bottom>
    </border>
    <border>
      <right style="thick">
        <color rgb="FF434343"/>
      </right>
      <top style="thin">
        <color rgb="FFE9EFFF"/>
      </top>
      <bottom style="thin">
        <color rgb="FFE9EFFF"/>
      </bottom>
    </border>
    <border>
      <left style="thick">
        <color rgb="FF434343"/>
      </left>
      <top style="thin">
        <color rgb="FFE9EFFF"/>
      </top>
    </border>
    <border>
      <left style="thin">
        <color rgb="FFE9EFFF"/>
      </left>
      <right style="thick">
        <color rgb="FF434343"/>
      </right>
      <top style="thin">
        <color rgb="FFE9EFFF"/>
      </top>
    </border>
    <border>
      <right style="thin">
        <color rgb="FFE9EFFF"/>
      </right>
      <top style="medium">
        <color rgb="FF434343"/>
      </top>
      <bottom style="thin">
        <color rgb="FFE9EFFF"/>
      </bottom>
    </border>
    <border>
      <left style="thin">
        <color rgb="FFE9EFFF"/>
      </left>
      <right style="thick">
        <color rgb="FF434343"/>
      </right>
      <top style="medium">
        <color rgb="FF434343"/>
      </top>
      <bottom style="thin">
        <color rgb="FFE9EFFF"/>
      </bottom>
    </border>
    <border>
      <left style="thin">
        <color rgb="FFE9EFFF"/>
      </left>
      <right style="thick">
        <color rgb="FF434343"/>
      </right>
      <top style="thin">
        <color rgb="FFE9EFFF"/>
      </top>
      <bottom style="thin">
        <color rgb="FFE9EFFF"/>
      </bottom>
    </border>
    <border>
      <left style="thick">
        <color rgb="FF434343"/>
      </left>
      <top style="thin">
        <color rgb="FFE9EFFF"/>
      </top>
      <bottom style="thick">
        <color rgb="FF3E3A3A"/>
      </bottom>
    </border>
    <border>
      <top style="thin">
        <color rgb="FFE9EFFF"/>
      </top>
      <bottom style="thick">
        <color rgb="FF3E3A3A"/>
      </bottom>
    </border>
    <border>
      <right style="thin">
        <color rgb="FFE9EFFF"/>
      </right>
      <top style="thin">
        <color rgb="FFE9EFFF"/>
      </top>
      <bottom style="thick">
        <color rgb="FF3E3A3A"/>
      </bottom>
    </border>
    <border>
      <left style="thin">
        <color rgb="FFE9EFFF"/>
      </left>
      <right style="thick">
        <color rgb="FF434343"/>
      </right>
      <top style="thin">
        <color rgb="FFE9EFFF"/>
      </top>
      <bottom style="thick">
        <color rgb="FF3E3A3A"/>
      </bottom>
    </border>
    <border>
      <bottom style="thin">
        <color rgb="FFE9EFFF"/>
      </bottom>
    </border>
    <border>
      <right style="thin">
        <color rgb="FFE9EFFF"/>
      </right>
      <bottom style="thin">
        <color rgb="FFE9EFFF"/>
      </bottom>
    </border>
    <border>
      <left style="thin">
        <color rgb="FFE9EFFF"/>
      </left>
      <right style="thin">
        <color rgb="FFE9EFFF"/>
      </right>
      <bottom style="thin">
        <color rgb="FFDCEBE8"/>
      </bottom>
    </border>
    <border>
      <left style="thin">
        <color rgb="FFE9EFFF"/>
      </left>
      <right style="thin">
        <color rgb="FFE9EFFF"/>
      </right>
      <top style="thin">
        <color rgb="FFDCEBE8"/>
      </top>
      <bottom style="thin">
        <color rgb="FFDCEBE8"/>
      </bottom>
    </border>
    <border>
      <left style="thin">
        <color rgb="FFE9EFFF"/>
      </left>
      <right style="thin">
        <color rgb="FFE9EFFF"/>
      </right>
    </border>
    <border>
      <left style="thin">
        <color rgb="FFE9EFFF"/>
      </left>
      <right style="thin">
        <color rgb="FFE9EFFF"/>
      </right>
      <top style="thin">
        <color rgb="FFFFF8EE"/>
      </top>
      <bottom style="thin">
        <color rgb="FFFFF8EE"/>
      </bottom>
    </border>
    <border>
      <left style="thin">
        <color rgb="FFE9EFFF"/>
      </left>
      <right style="thin">
        <color rgb="FFDCEBE8"/>
      </right>
      <top style="thin">
        <color rgb="FFE9EFFF"/>
      </top>
      <bottom style="thin">
        <color rgb="FFE9EFFF"/>
      </bottom>
    </border>
    <border>
      <left style="thin">
        <color rgb="FFFFF8EE"/>
      </left>
      <top style="thin">
        <color rgb="FFE9EFFF"/>
      </top>
      <bottom style="thin">
        <color rgb="FFE9EFFF"/>
      </bottom>
    </border>
    <border>
      <left style="thick">
        <color rgb="FF3E3A3A"/>
      </left>
      <right style="thin">
        <color rgb="FF954DDF"/>
      </right>
      <bottom style="thin">
        <color rgb="FF954DDF"/>
      </bottom>
    </border>
    <border>
      <left style="thin">
        <color rgb="FF954DDF"/>
      </left>
      <right style="thin">
        <color rgb="FF954DDF"/>
      </right>
      <bottom style="thin">
        <color rgb="FF954DDF"/>
      </bottom>
    </border>
    <border>
      <left style="thin">
        <color rgb="FF954DDF"/>
      </left>
      <top style="thin">
        <color rgb="FF3E3A3A"/>
      </top>
      <bottom style="thin">
        <color rgb="FF954DDF"/>
      </bottom>
    </border>
    <border>
      <right style="thick">
        <color rgb="FF3E3A3A"/>
      </right>
      <top style="thin">
        <color rgb="FF3E3A3A"/>
      </top>
      <bottom style="thin">
        <color rgb="FF954DDF"/>
      </bottom>
    </border>
    <border>
      <left style="thin">
        <color rgb="FFFFF8EE"/>
      </left>
      <right style="thin">
        <color rgb="FFE9EFFF"/>
      </right>
      <top style="thin">
        <color rgb="FFE9EFFF"/>
      </top>
      <bottom style="thin">
        <color rgb="FFE9EFFF"/>
      </bottom>
    </border>
    <border>
      <left style="thick">
        <color rgb="FF3E3A3A"/>
      </left>
      <right style="thin">
        <color rgb="FF954DDF"/>
      </right>
      <top style="thin">
        <color rgb="FF954DDF"/>
      </top>
      <bottom style="thin">
        <color rgb="FF954DDF"/>
      </bottom>
    </border>
    <border>
      <left style="thin">
        <color rgb="FF954DDF"/>
      </left>
      <right style="thin">
        <color rgb="FF954DDF"/>
      </right>
      <top style="thin">
        <color rgb="FF954DDF"/>
      </top>
      <bottom style="thin">
        <color rgb="FF954DDF"/>
      </bottom>
    </border>
    <border>
      <left style="thin">
        <color rgb="FF954DDF"/>
      </left>
      <top style="thin">
        <color rgb="FF954DDF"/>
      </top>
      <bottom style="thin">
        <color rgb="FF954DDF"/>
      </bottom>
    </border>
    <border>
      <right style="thick">
        <color rgb="FF3E3A3A"/>
      </right>
      <top style="thin">
        <color rgb="FF954DDF"/>
      </top>
      <bottom style="thin">
        <color rgb="FF954DDF"/>
      </bottom>
    </border>
    <border>
      <left style="thick">
        <color rgb="FF3E3A3A"/>
      </left>
      <right style="thin">
        <color rgb="FF954DDF"/>
      </right>
      <top style="thin">
        <color rgb="FF954DDF"/>
      </top>
    </border>
    <border>
      <left style="thin">
        <color rgb="FF954DDF"/>
      </left>
      <right style="thin">
        <color rgb="FF954DDF"/>
      </right>
      <top style="thin">
        <color rgb="FF954DDF"/>
      </top>
    </border>
    <border>
      <left style="thin">
        <color rgb="FF954DDF"/>
      </left>
      <top style="thin">
        <color rgb="FF954DDF"/>
      </top>
      <bottom style="thin">
        <color rgb="FF898498"/>
      </bottom>
    </border>
    <border>
      <right style="thick">
        <color rgb="FF3E3A3A"/>
      </right>
      <top style="thin">
        <color rgb="FF954DDF"/>
      </top>
      <bottom style="thin">
        <color rgb="FF898498"/>
      </bottom>
    </border>
    <border>
      <left style="thick">
        <color rgb="FF3E3A3A"/>
      </left>
      <right style="thin">
        <color rgb="FFE9EFFF"/>
      </right>
      <top style="thin">
        <color rgb="FFE9EFFF"/>
      </top>
      <bottom style="thick">
        <color rgb="FF3E3A3A"/>
      </bottom>
    </border>
    <border>
      <left style="thin">
        <color rgb="FFE9EFFF"/>
      </left>
      <right style="thin">
        <color rgb="FFE9EFFF"/>
      </right>
      <top style="thin">
        <color rgb="FFE9EFFF"/>
      </top>
      <bottom style="thick">
        <color rgb="FF3E3A3A"/>
      </bottom>
    </border>
    <border>
      <left style="thin">
        <color rgb="FFE9EFFF"/>
      </left>
      <right style="thin">
        <color rgb="FFE9EFFF"/>
      </right>
      <top style="thin">
        <color rgb="FFFFEFE2"/>
      </top>
      <bottom style="thick">
        <color rgb="FF3E3A3A"/>
      </bottom>
    </border>
    <border>
      <left style="thin">
        <color rgb="FFE9EFFF"/>
      </left>
      <right style="thin">
        <color rgb="FFE9EFFF"/>
      </right>
      <bottom style="thick">
        <color rgb="FF3E3A3A"/>
      </bottom>
    </border>
    <border>
      <left style="thin">
        <color rgb="FFE9EFFF"/>
      </left>
      <right style="thick">
        <color rgb="FF3E3A3A"/>
      </right>
      <top style="thin">
        <color rgb="FFE9EFFF"/>
      </top>
      <bottom style="thick">
        <color rgb="FF3E3A3A"/>
      </bottom>
    </border>
    <border>
      <left style="thin">
        <color rgb="FFF9516C"/>
      </left>
      <top style="thin">
        <color rgb="FFF9516C"/>
      </top>
    </border>
    <border>
      <right style="thick">
        <color rgb="FF3E3A3A"/>
      </right>
      <top style="thin">
        <color rgb="FFF9516C"/>
      </top>
    </border>
    <border>
      <left style="thick">
        <color rgb="FF3E3A3A"/>
      </left>
      <right style="thin">
        <color rgb="FFFFF4F3"/>
      </right>
      <bottom style="thin">
        <color rgb="FFFFF4F3"/>
      </bottom>
    </border>
    <border>
      <left style="thin">
        <color rgb="FFFFF4F3"/>
      </left>
      <right style="thin">
        <color rgb="FFFFF4F3"/>
      </right>
      <bottom style="thin">
        <color rgb="FFF7EEFF"/>
      </bottom>
    </border>
    <border>
      <left style="thin">
        <color rgb="FFFFF4F3"/>
      </left>
      <right style="thick">
        <color rgb="FF3E3A3A"/>
      </right>
      <bottom style="thin">
        <color rgb="FFFFF4F3"/>
      </bottom>
    </border>
    <border>
      <left style="thick">
        <color rgb="FF3E3A3A"/>
      </left>
      <right style="thin">
        <color rgb="FFF7EEFF"/>
      </right>
      <top style="thin">
        <color rgb="FFFFF4F3"/>
      </top>
      <bottom style="thin">
        <color rgb="FFFFF4F3"/>
      </bottom>
    </border>
    <border>
      <left style="thin">
        <color rgb="FFF7EEFF"/>
      </left>
      <top style="thin">
        <color rgb="FFFFF4F3"/>
      </top>
      <bottom style="thin">
        <color rgb="FFFFF4F3"/>
      </bottom>
    </border>
    <border>
      <left style="thick">
        <color rgb="FF434343"/>
      </left>
      <bottom style="medium">
        <color rgb="FFFFF4F3"/>
      </bottom>
    </border>
    <border>
      <right style="thick">
        <color rgb="FF434343"/>
      </right>
      <bottom style="medium">
        <color rgb="FFFFF4F3"/>
      </bottom>
    </border>
    <border>
      <left style="thick">
        <color rgb="FF434343"/>
      </left>
      <top style="medium">
        <color rgb="FFFFF4F3"/>
      </top>
      <bottom style="medium">
        <color rgb="FFFFF4F3"/>
      </bottom>
    </border>
    <border>
      <right style="thick">
        <color rgb="FF434343"/>
      </right>
      <top style="medium">
        <color rgb="FFFFF4F3"/>
      </top>
      <bottom style="medium">
        <color rgb="FFFFF4F3"/>
      </bottom>
    </border>
    <border>
      <left style="thick">
        <color rgb="FF434343"/>
      </left>
      <right style="medium">
        <color rgb="FFFFF4F3"/>
      </right>
      <top style="medium">
        <color rgb="FFFFF4F3"/>
      </top>
      <bottom style="medium">
        <color rgb="FFFFF4F3"/>
      </bottom>
    </border>
    <border>
      <left style="medium">
        <color rgb="FFFFF4F3"/>
      </left>
      <right style="thick">
        <color rgb="FF434343"/>
      </right>
      <top style="medium">
        <color rgb="FFFFF4F3"/>
      </top>
      <bottom style="medium">
        <color rgb="FFFFF4F3"/>
      </bottom>
    </border>
    <border>
      <left style="thin">
        <color rgb="FFF7EEFF"/>
      </left>
      <right style="thick">
        <color rgb="FF3E3A3A"/>
      </right>
      <top style="thin">
        <color rgb="FFFFF4F3"/>
      </top>
      <bottom style="thin">
        <color rgb="FFFFF4F3"/>
      </bottom>
    </border>
    <border>
      <left style="thin">
        <color rgb="FFFFF4F3"/>
      </left>
      <right style="thin">
        <color rgb="FFFFF4F3"/>
      </right>
      <top style="thin">
        <color rgb="FFF7EEFF"/>
      </top>
      <bottom style="thin">
        <color rgb="FFFFF4F3"/>
      </bottom>
    </border>
    <border>
      <left style="thick">
        <color rgb="FF434343"/>
      </left>
      <right style="medium">
        <color rgb="FFFFF4F3"/>
      </right>
      <top style="medium">
        <color rgb="FFFFF4F3"/>
      </top>
    </border>
    <border>
      <left style="medium">
        <color rgb="FFFFF4F3"/>
      </left>
      <right style="thick">
        <color rgb="FF434343"/>
      </right>
      <top style="medium">
        <color rgb="FFFFF4F3"/>
      </top>
    </border>
    <border>
      <left style="thin">
        <color rgb="FFFFF4F3"/>
      </left>
      <right style="thin">
        <color rgb="FFF7EEFF"/>
      </right>
      <top style="thin">
        <color rgb="FFFFF4F3"/>
      </top>
      <bottom style="thin">
        <color rgb="FFFFF4F3"/>
      </bottom>
    </border>
    <border>
      <left style="thick">
        <color rgb="FF3E3A3A"/>
      </left>
      <right style="thin">
        <color rgb="FFC14444"/>
      </right>
      <bottom style="thin">
        <color rgb="FFC14444"/>
      </bottom>
    </border>
    <border>
      <left style="thin">
        <color rgb="FFC14444"/>
      </left>
      <right style="thin">
        <color rgb="FFC14444"/>
      </right>
      <bottom style="thin">
        <color rgb="FFC14444"/>
      </bottom>
    </border>
    <border>
      <left style="thin">
        <color rgb="FFC14444"/>
      </left>
      <top style="thin">
        <color rgb="FF3E3A3A"/>
      </top>
      <bottom style="thin">
        <color rgb="FFC14444"/>
      </bottom>
    </border>
    <border>
      <right style="thick">
        <color rgb="FF3E3A3A"/>
      </right>
      <top style="thin">
        <color rgb="FF3E3A3A"/>
      </top>
      <bottom style="thin">
        <color rgb="FFC14444"/>
      </bottom>
    </border>
    <border>
      <left style="thick">
        <color rgb="FF3E3A3A"/>
      </left>
      <right style="thin">
        <color rgb="FFC14444"/>
      </right>
      <top style="thin">
        <color rgb="FFC14444"/>
      </top>
      <bottom style="thin">
        <color rgb="FFC14444"/>
      </bottom>
    </border>
    <border>
      <left style="thin">
        <color rgb="FFC14444"/>
      </left>
      <right style="thin">
        <color rgb="FFC14444"/>
      </right>
      <top style="thin">
        <color rgb="FFC14444"/>
      </top>
      <bottom style="thin">
        <color rgb="FFC14444"/>
      </bottom>
    </border>
    <border>
      <left style="thin">
        <color rgb="FFC14444"/>
      </left>
      <top style="thin">
        <color rgb="FFC14444"/>
      </top>
      <bottom style="thin">
        <color rgb="FFC14444"/>
      </bottom>
    </border>
    <border>
      <right style="thick">
        <color rgb="FF3E3A3A"/>
      </right>
      <top style="thin">
        <color rgb="FFC14444"/>
      </top>
      <bottom style="thin">
        <color rgb="FFC14444"/>
      </bottom>
    </border>
    <border>
      <left style="thin">
        <color rgb="FFFFF4F3"/>
      </left>
      <right style="thin">
        <color rgb="FFFFF4F3"/>
      </right>
      <top style="thin">
        <color rgb="FFFFF4F3"/>
      </top>
      <bottom style="thin">
        <color rgb="FFF7EEFF"/>
      </bottom>
    </border>
    <border>
      <left style="thin">
        <color rgb="FFF7EEFF"/>
      </left>
      <right style="thin">
        <color rgb="FFF7EEFF"/>
      </right>
      <top style="thin">
        <color rgb="FFFFF4F3"/>
      </top>
      <bottom style="thin">
        <color rgb="FFFFF4F3"/>
      </bottom>
    </border>
    <border>
      <left style="thick">
        <color rgb="FF3E3A3A"/>
      </left>
      <right style="thin">
        <color rgb="FFC14444"/>
      </right>
      <top style="thin">
        <color rgb="FFC14444"/>
      </top>
    </border>
    <border>
      <left style="thin">
        <color rgb="FFC14444"/>
      </left>
      <right style="thin">
        <color rgb="FFC14444"/>
      </right>
      <top style="thin">
        <color rgb="FFC14444"/>
      </top>
    </border>
    <border>
      <left style="thin">
        <color rgb="FFC14444"/>
      </left>
      <top style="thin">
        <color rgb="FFC14444"/>
      </top>
      <bottom style="thin">
        <color rgb="FF9F6178"/>
      </bottom>
    </border>
    <border>
      <right style="thick">
        <color rgb="FF3E3A3A"/>
      </right>
      <top style="thin">
        <color rgb="FFC14444"/>
      </top>
      <bottom style="thin">
        <color rgb="FF9F6178"/>
      </bottom>
    </border>
    <border>
      <left style="thick">
        <color rgb="FF3E3A3A"/>
      </left>
      <right style="thin">
        <color rgb="FFEFEFFF"/>
      </right>
      <bottom style="thin">
        <color rgb="FFEFEFFF"/>
      </bottom>
    </border>
    <border>
      <left style="thin">
        <color rgb="FFEFEFFF"/>
      </left>
      <right style="thin">
        <color rgb="FFEFEFFF"/>
      </right>
      <bottom style="thin">
        <color rgb="FFF7EEFF"/>
      </bottom>
    </border>
    <border>
      <left style="thin">
        <color rgb="FFEFEFFF"/>
      </left>
      <right style="thin">
        <color rgb="FFEFEFFF"/>
      </right>
      <bottom style="thin">
        <color rgb="FFEFEFFF"/>
      </bottom>
    </border>
    <border>
      <left style="thin">
        <color rgb="FFEFEFFF"/>
      </left>
      <right style="thin">
        <color rgb="FFEFEFFF"/>
      </right>
    </border>
    <border>
      <left style="thin">
        <color rgb="FFEFEFFF"/>
      </left>
      <right style="thick">
        <color rgb="FF3E3A3A"/>
      </right>
      <bottom style="thin">
        <color rgb="FFEFEFFF"/>
      </bottom>
    </border>
    <border>
      <left style="thick">
        <color rgb="FF3E3A3A"/>
      </left>
      <right style="thin">
        <color rgb="FFF7EEFF"/>
      </right>
      <top style="thin">
        <color rgb="FFEFEFFF"/>
      </top>
      <bottom style="thin">
        <color rgb="FFEFEFFF"/>
      </bottom>
    </border>
    <border>
      <left style="thin">
        <color rgb="FFF7EEFF"/>
      </left>
      <top style="thin">
        <color rgb="FFEFEFFF"/>
      </top>
      <bottom style="thin">
        <color rgb="FFEFEFFF"/>
      </bottom>
    </border>
    <border>
      <right style="thick">
        <color rgb="FF3E3A3A"/>
      </right>
      <top style="thin">
        <color rgb="FFEFEFFF"/>
      </top>
      <bottom style="thin">
        <color rgb="FFEFEFFF"/>
      </bottom>
    </border>
    <border>
      <left style="thick">
        <color rgb="FF434343"/>
      </left>
      <bottom style="medium">
        <color rgb="FFEFEFFF"/>
      </bottom>
    </border>
    <border>
      <bottom style="medium">
        <color rgb="FFEFEFFF"/>
      </bottom>
    </border>
    <border>
      <right style="thick">
        <color rgb="FF434343"/>
      </right>
      <bottom style="medium">
        <color rgb="FFEFEFFF"/>
      </bottom>
    </border>
    <border>
      <left style="thick">
        <color rgb="FF434343"/>
      </left>
      <top style="medium">
        <color rgb="FFEFEFFF"/>
      </top>
      <bottom style="medium">
        <color rgb="FFEFEFFF"/>
      </bottom>
    </border>
    <border>
      <top style="medium">
        <color rgb="FFEFEFFF"/>
      </top>
      <bottom style="medium">
        <color rgb="FFEFEFFF"/>
      </bottom>
    </border>
    <border>
      <right style="thick">
        <color rgb="FF434343"/>
      </right>
      <top style="medium">
        <color rgb="FFEFEFFF"/>
      </top>
      <bottom style="medium">
        <color rgb="FFEFEFFF"/>
      </bottom>
    </border>
    <border>
      <left style="thick">
        <color rgb="FF434343"/>
      </left>
      <right style="medium">
        <color rgb="FFEFEFFF"/>
      </right>
      <top style="medium">
        <color rgb="FFEFEFFF"/>
      </top>
      <bottom style="medium">
        <color rgb="FFEFEFFF"/>
      </bottom>
    </border>
    <border>
      <left style="medium">
        <color rgb="FFEFEFFF"/>
      </left>
      <right style="medium">
        <color rgb="FFEFEFFF"/>
      </right>
      <top style="medium">
        <color rgb="FFEFEFFF"/>
      </top>
      <bottom style="medium">
        <color rgb="FFEFEFFF"/>
      </bottom>
    </border>
    <border>
      <left style="medium">
        <color rgb="FFEFEFFF"/>
      </left>
      <right style="thick">
        <color rgb="FF434343"/>
      </right>
      <top style="medium">
        <color rgb="FFEFEFFF"/>
      </top>
      <bottom style="medium">
        <color rgb="FFEFEFFF"/>
      </bottom>
    </border>
    <border>
      <left style="medium">
        <color rgb="FFEFEFFF"/>
      </left>
      <top style="medium">
        <color rgb="FFEFEFFF"/>
      </top>
      <bottom style="medium">
        <color rgb="FFEFEFFF"/>
      </bottom>
    </border>
    <border>
      <right style="medium">
        <color rgb="FFEFEFFF"/>
      </right>
      <top style="medium">
        <color rgb="FFEFEFFF"/>
      </top>
      <bottom style="medium">
        <color rgb="FFEFEFFF"/>
      </bottom>
    </border>
    <border>
      <left style="thin">
        <color rgb="FFF7EEFF"/>
      </left>
      <right style="thick">
        <color rgb="FF3E3A3A"/>
      </right>
      <top style="thin">
        <color rgb="FFEFEFFF"/>
      </top>
      <bottom style="thin">
        <color rgb="FFEFEFFF"/>
      </bottom>
    </border>
    <border>
      <left style="thick">
        <color rgb="FF3E3A3A"/>
      </left>
      <right style="thin">
        <color rgb="FFEFEFFF"/>
      </right>
      <top style="thin">
        <color rgb="FFEFEFFF"/>
      </top>
      <bottom style="thin">
        <color rgb="FFEFEFFF"/>
      </bottom>
    </border>
    <border>
      <left style="thin">
        <color rgb="FFEFEFFF"/>
      </left>
      <right style="thin">
        <color rgb="FFEFEFFF"/>
      </right>
      <top style="thin">
        <color rgb="FFF7EEFF"/>
      </top>
      <bottom style="thin">
        <color rgb="FFEFEFFF"/>
      </bottom>
    </border>
    <border>
      <left style="thin">
        <color rgb="FFEFEFFF"/>
      </left>
      <top style="thin">
        <color rgb="FFEFEFFF"/>
      </top>
      <bottom style="thin">
        <color rgb="FFEFEFFF"/>
      </bottom>
    </border>
    <border>
      <left style="thick">
        <color rgb="FF434343"/>
      </left>
      <right style="medium">
        <color rgb="FFEFEFFF"/>
      </right>
      <top style="medium">
        <color rgb="FFEFEFFF"/>
      </top>
    </border>
    <border>
      <left style="medium">
        <color rgb="FFEFEFFF"/>
      </left>
      <right style="medium">
        <color rgb="FFEFEFFF"/>
      </right>
      <top style="medium">
        <color rgb="FFEFEFFF"/>
      </top>
    </border>
    <border>
      <left style="medium">
        <color rgb="FFEFEFFF"/>
      </left>
      <right style="thick">
        <color rgb="FF434343"/>
      </right>
      <top style="medium">
        <color rgb="FFEFEFFF"/>
      </top>
    </border>
    <border>
      <left style="thin">
        <color rgb="FFEFEFFF"/>
      </left>
      <right style="thin">
        <color rgb="FFEFEFFF"/>
      </right>
      <top style="thin">
        <color rgb="FFEFEFFF"/>
      </top>
      <bottom style="thin">
        <color rgb="FFEFEFFF"/>
      </bottom>
    </border>
    <border>
      <left style="thick">
        <color rgb="FF3E3A3A"/>
      </left>
      <top style="medium">
        <color rgb="FF3E3A3A"/>
      </top>
      <bottom style="thin">
        <color rgb="FFEFEFFF"/>
      </bottom>
    </border>
    <border>
      <top style="medium">
        <color rgb="FF3E3A3A"/>
      </top>
      <bottom style="thin">
        <color rgb="FFEFEFFF"/>
      </bottom>
    </border>
    <border>
      <right style="thick">
        <color rgb="FF3E3A3A"/>
      </right>
      <top style="medium">
        <color rgb="FF3E3A3A"/>
      </top>
      <bottom style="thin">
        <color rgb="FFEFEFFF"/>
      </bottom>
    </border>
    <border>
      <left style="thin">
        <color rgb="FFEFEFFF"/>
      </left>
      <right style="thin">
        <color rgb="FFEFEFFF"/>
      </right>
      <top style="thin">
        <color rgb="FFEFEFFF"/>
      </top>
    </border>
    <border>
      <left style="thick">
        <color rgb="FF3E3A3A"/>
      </left>
      <top style="thin">
        <color rgb="FFEFEFFF"/>
      </top>
      <bottom style="thin">
        <color rgb="FFEFEFFF"/>
      </bottom>
    </border>
    <border>
      <top style="thin">
        <color rgb="FFEFEFFF"/>
      </top>
      <bottom style="thin">
        <color rgb="FFEFEFFF"/>
      </bottom>
    </border>
    <border>
      <left style="thick">
        <color rgb="FF3E3A3A"/>
      </left>
      <top style="thin">
        <color rgb="FFEFEFFF"/>
      </top>
    </border>
    <border>
      <top style="thin">
        <color rgb="FFEFEFFF"/>
      </top>
    </border>
    <border>
      <right style="thin">
        <color rgb="FFEFEFFF"/>
      </right>
      <top style="thin">
        <color rgb="FFEFEFFF"/>
      </top>
    </border>
    <border>
      <left style="thin">
        <color rgb="FFEFEFFF"/>
      </left>
      <right style="thick">
        <color rgb="FF3E3A3A"/>
      </right>
      <top style="thin">
        <color rgb="FFEFEFFF"/>
      </top>
    </border>
    <border>
      <right style="thin">
        <color rgb="FFEFEFFF"/>
      </right>
      <top style="medium">
        <color rgb="FF3E3A3A"/>
      </top>
      <bottom style="thin">
        <color rgb="FFEFEFFF"/>
      </bottom>
    </border>
    <border>
      <left style="thin">
        <color rgb="FFEFEFFF"/>
      </left>
      <right style="thick">
        <color rgb="FF3E3A3A"/>
      </right>
      <top style="medium">
        <color rgb="FF3E3A3A"/>
      </top>
      <bottom style="thin">
        <color rgb="FFEFEFFF"/>
      </bottom>
    </border>
    <border>
      <right style="thin">
        <color rgb="FFEFEFFF"/>
      </right>
      <top style="thin">
        <color rgb="FFEFEFFF"/>
      </top>
      <bottom style="thin">
        <color rgb="FFEFEFFF"/>
      </bottom>
    </border>
    <border>
      <left style="thin">
        <color rgb="FFEFEFFF"/>
      </left>
      <right style="thick">
        <color rgb="FF3E3A3A"/>
      </right>
      <top style="thin">
        <color rgb="FFEFEFFF"/>
      </top>
      <bottom style="thin">
        <color rgb="FFEFEFFF"/>
      </bottom>
    </border>
    <border>
      <left style="thick">
        <color rgb="FF3E3A3A"/>
      </left>
      <top style="thin">
        <color rgb="FFEFEFFF"/>
      </top>
      <bottom style="thick">
        <color rgb="FF3E3A3A"/>
      </bottom>
    </border>
    <border>
      <top style="thin">
        <color rgb="FFEFEFFF"/>
      </top>
      <bottom style="thick">
        <color rgb="FF3E3A3A"/>
      </bottom>
    </border>
    <border>
      <right style="thin">
        <color rgb="FFEFEFFF"/>
      </right>
      <top style="thin">
        <color rgb="FFEFEFFF"/>
      </top>
      <bottom style="thick">
        <color rgb="FF3E3A3A"/>
      </bottom>
    </border>
    <border>
      <left style="thin">
        <color rgb="FFEFEFFF"/>
      </left>
      <right style="thick">
        <color rgb="FF3E3A3A"/>
      </right>
      <top style="thin">
        <color rgb="FFEFEFFF"/>
      </top>
      <bottom style="thick">
        <color rgb="FF3E3A3A"/>
      </bottom>
    </border>
    <border>
      <left style="thin">
        <color rgb="FFEFEFFF"/>
      </left>
      <right style="thin">
        <color rgb="FFF7EEFF"/>
      </right>
      <top style="thin">
        <color rgb="FFEFEFFF"/>
      </top>
      <bottom style="thin">
        <color rgb="FFEFEFFF"/>
      </bottom>
    </border>
    <border>
      <left style="thick">
        <color rgb="FF3E3A3A"/>
      </left>
      <right style="thin">
        <color rgb="FF0FA553"/>
      </right>
      <bottom style="thin">
        <color rgb="FF0FA553"/>
      </bottom>
    </border>
    <border>
      <left style="thin">
        <color rgb="FF0FA553"/>
      </left>
      <right style="thin">
        <color rgb="FF0FA553"/>
      </right>
      <bottom style="thin">
        <color rgb="FF0FA553"/>
      </bottom>
    </border>
    <border>
      <left style="thin">
        <color rgb="FF0FA553"/>
      </left>
      <top style="thin">
        <color rgb="FF3E3A3A"/>
      </top>
      <bottom style="thin">
        <color rgb="FF0FA553"/>
      </bottom>
    </border>
    <border>
      <right style="thick">
        <color rgb="FF3E3A3A"/>
      </right>
      <top style="thin">
        <color rgb="FF3E3A3A"/>
      </top>
      <bottom style="thin">
        <color rgb="FF0FA553"/>
      </bottom>
    </border>
    <border>
      <left style="thick">
        <color rgb="FF3E3A3A"/>
      </left>
      <right style="thin">
        <color rgb="FF0FA553"/>
      </right>
      <top style="thin">
        <color rgb="FF0FA553"/>
      </top>
      <bottom style="thin">
        <color rgb="FF0FA553"/>
      </bottom>
    </border>
    <border>
      <left style="thin">
        <color rgb="FF0FA553"/>
      </left>
      <right style="thin">
        <color rgb="FF0FA553"/>
      </right>
      <top style="thin">
        <color rgb="FF0FA553"/>
      </top>
      <bottom style="thin">
        <color rgb="FF0FA553"/>
      </bottom>
    </border>
    <border>
      <left style="thin">
        <color rgb="FF0FA553"/>
      </left>
      <top style="thin">
        <color rgb="FF0FA553"/>
      </top>
      <bottom style="thin">
        <color rgb="FF0FA553"/>
      </bottom>
    </border>
    <border>
      <right style="thick">
        <color rgb="FF3E3A3A"/>
      </right>
      <top style="thin">
        <color rgb="FF0FA553"/>
      </top>
      <bottom style="thin">
        <color rgb="FF0FA553"/>
      </bottom>
    </border>
    <border>
      <left style="thin">
        <color rgb="FFEFEFFF"/>
      </left>
      <right style="thin">
        <color rgb="FFEFEFFF"/>
      </right>
      <top style="thin">
        <color rgb="FFEFEFFF"/>
      </top>
      <bottom style="thin">
        <color rgb="FFF7EEFF"/>
      </bottom>
    </border>
    <border>
      <left style="thin">
        <color rgb="FFF7EEFF"/>
      </left>
      <right style="thin">
        <color rgb="FFF7EEFF"/>
      </right>
      <top style="thin">
        <color rgb="FFEFEFFF"/>
      </top>
      <bottom style="thin">
        <color rgb="FFEFEFFF"/>
      </bottom>
    </border>
    <border>
      <left style="thick">
        <color rgb="FF3E3A3A"/>
      </left>
      <right style="thin">
        <color rgb="FF0FA553"/>
      </right>
      <top style="thin">
        <color rgb="FF0FA553"/>
      </top>
    </border>
    <border>
      <left style="thin">
        <color rgb="FF0FA553"/>
      </left>
      <right style="thin">
        <color rgb="FF0FA553"/>
      </right>
      <top style="thin">
        <color rgb="FF0FA553"/>
      </top>
    </border>
    <border>
      <left style="thin">
        <color rgb="FF0FA553"/>
      </left>
      <top style="thin">
        <color rgb="FF0FA553"/>
      </top>
      <bottom style="thin">
        <color rgb="FF9F6178"/>
      </bottom>
    </border>
    <border>
      <right style="thick">
        <color rgb="FF3E3A3A"/>
      </right>
      <top style="thin">
        <color rgb="FF0FA553"/>
      </top>
      <bottom style="thin">
        <color rgb="FF9F6178"/>
      </bottom>
    </border>
    <border>
      <left style="thin">
        <color rgb="FF0FA553"/>
      </left>
      <top style="thin">
        <color rgb="FF0FA553"/>
      </top>
    </border>
    <border>
      <right style="thick">
        <color rgb="FF3E3A3A"/>
      </right>
      <top style="thin">
        <color rgb="FF0FA553"/>
      </top>
    </border>
    <border>
      <left style="thin">
        <color rgb="FFEFEFFF"/>
      </left>
      <right style="thin">
        <color rgb="FFEFEFFF"/>
      </right>
      <top style="thin">
        <color rgb="FFFFF4F3"/>
      </top>
      <bottom style="thin">
        <color rgb="FFEFEFFF"/>
      </bottom>
    </border>
    <border>
      <left style="thick">
        <color rgb="FF3E3A3A"/>
      </left>
      <right style="thin">
        <color rgb="FFEFEFFF"/>
      </right>
      <top style="thin">
        <color rgb="FFEFEFFF"/>
      </top>
      <bottom style="thick">
        <color rgb="FF3E3A3A"/>
      </bottom>
    </border>
    <border>
      <left style="thin">
        <color rgb="FFEFEFFF"/>
      </left>
      <right style="thin">
        <color rgb="FFEFEFFF"/>
      </right>
      <top style="thin">
        <color rgb="FFEFEFFF"/>
      </top>
      <bottom style="thick">
        <color rgb="FF3E3A3A"/>
      </bottom>
    </border>
    <border>
      <left style="thin">
        <color rgb="FFEFEFFF"/>
      </left>
      <right style="thin">
        <color rgb="FFEFEFFF"/>
      </right>
      <bottom style="thick">
        <color rgb="FF3E3A3A"/>
      </bottom>
    </border>
    <border>
      <left style="thin">
        <color rgb="FFEFEFFF"/>
      </left>
      <right style="thin">
        <color rgb="FFEFEFFF"/>
      </right>
      <top style="thin">
        <color rgb="FFFFF4F3"/>
      </top>
      <bottom style="thick">
        <color rgb="FF3E3A3A"/>
      </bottom>
    </border>
    <border>
      <left style="thick">
        <color rgb="FF3E3A3A"/>
      </left>
      <right style="thin">
        <color rgb="FFD1D9E1"/>
      </right>
      <bottom style="thin">
        <color rgb="FFD1D9E1"/>
      </bottom>
    </border>
    <border>
      <left style="thin">
        <color rgb="FFD1D9E1"/>
      </left>
      <right style="thin">
        <color rgb="FFD1D9E1"/>
      </right>
      <bottom style="thin">
        <color rgb="FFFFFFFF"/>
      </bottom>
    </border>
    <border>
      <left style="thin">
        <color rgb="FFD1D9E1"/>
      </left>
      <right style="thin">
        <color rgb="FFD1D9E1"/>
      </right>
      <bottom style="thin">
        <color rgb="FFD1D9E1"/>
      </bottom>
    </border>
    <border>
      <left style="thin">
        <color rgb="FFD1D9E1"/>
      </left>
      <right style="thin">
        <color rgb="FFD1D9E1"/>
      </right>
    </border>
    <border>
      <left style="thin">
        <color rgb="FFD1D9E1"/>
      </left>
      <right style="thick">
        <color rgb="FF3E3A3A"/>
      </right>
      <bottom style="thin">
        <color rgb="FFD1D9E1"/>
      </bottom>
    </border>
    <border>
      <left style="thin">
        <color rgb="FFD1D9E1"/>
      </left>
      <right style="thin">
        <color rgb="FFD1D9E1"/>
      </right>
      <top style="thin">
        <color rgb="FFD1D9E1"/>
      </top>
      <bottom style="thin">
        <color rgb="FFD1D9E1"/>
      </bottom>
    </border>
    <border>
      <left style="thin">
        <color rgb="FFD1D9E1"/>
      </left>
      <top style="thin">
        <color rgb="FFD1D9E1"/>
      </top>
      <bottom style="thin">
        <color rgb="FFD1D9E1"/>
      </bottom>
    </border>
    <border>
      <top style="thin">
        <color rgb="FFD1D9E1"/>
      </top>
      <bottom style="thin">
        <color rgb="FFD1D9E1"/>
      </bottom>
    </border>
    <border>
      <right style="thin">
        <color rgb="FFD1D9E1"/>
      </right>
      <top style="thin">
        <color rgb="FFD1D9E1"/>
      </top>
      <bottom style="thin">
        <color rgb="FFD1D9E1"/>
      </bottom>
    </border>
    <border>
      <left style="thick">
        <color rgb="FF3E3A3A"/>
      </left>
      <top style="thin">
        <color rgb="FFD1D9E1"/>
      </top>
      <bottom style="thin">
        <color rgb="FFD1D9E1"/>
      </bottom>
    </border>
    <border>
      <top style="thin">
        <color rgb="FFD1D9E1"/>
      </top>
    </border>
    <border>
      <right style="thick">
        <color rgb="FF3E3A3A"/>
      </right>
      <top style="thin">
        <color rgb="FFD1D9E1"/>
      </top>
      <bottom style="thin">
        <color rgb="FFD1D9E1"/>
      </bottom>
    </border>
    <border>
      <left style="thick">
        <color rgb="FF434343"/>
      </left>
      <bottom style="medium">
        <color rgb="FFD1D9E1"/>
      </bottom>
    </border>
    <border>
      <bottom style="medium">
        <color rgb="FFD1D9E1"/>
      </bottom>
    </border>
    <border>
      <right style="thick">
        <color rgb="FF434343"/>
      </right>
      <bottom style="medium">
        <color rgb="FFD1D9E1"/>
      </bottom>
    </border>
    <border>
      <left style="thick">
        <color rgb="FF434343"/>
      </left>
      <top style="medium">
        <color rgb="FFD1D9E1"/>
      </top>
      <bottom style="medium">
        <color rgb="FFD1D9E1"/>
      </bottom>
    </border>
    <border>
      <top style="medium">
        <color rgb="FFD1D9E1"/>
      </top>
      <bottom style="medium">
        <color rgb="FFD1D9E1"/>
      </bottom>
    </border>
    <border>
      <right style="thick">
        <color rgb="FF434343"/>
      </right>
      <top style="medium">
        <color rgb="FFD1D9E1"/>
      </top>
      <bottom style="medium">
        <color rgb="FFD1D9E1"/>
      </bottom>
    </border>
    <border>
      <left style="thick">
        <color rgb="FF434343"/>
      </left>
      <right style="medium">
        <color rgb="FFD1D9E1"/>
      </right>
      <top style="medium">
        <color rgb="FFD1D9E1"/>
      </top>
      <bottom style="medium">
        <color rgb="FFD1D9E1"/>
      </bottom>
    </border>
    <border>
      <left style="medium">
        <color rgb="FFD1D9E1"/>
      </left>
      <top style="medium">
        <color rgb="FFD1D9E1"/>
      </top>
      <bottom style="medium">
        <color rgb="FFD1D9E1"/>
      </bottom>
    </border>
    <border>
      <right style="medium">
        <color rgb="FFD1D9E1"/>
      </right>
      <top style="medium">
        <color rgb="FFD1D9E1"/>
      </top>
      <bottom style="medium">
        <color rgb="FFD1D9E1"/>
      </bottom>
    </border>
    <border>
      <left style="medium">
        <color rgb="FFD1D9E1"/>
      </left>
      <right style="thick">
        <color rgb="FF434343"/>
      </right>
      <top style="medium">
        <color rgb="FFD1D9E1"/>
      </top>
      <bottom style="medium">
        <color rgb="FFD1D9E1"/>
      </bottom>
    </border>
    <border>
      <left style="medium">
        <color rgb="FFD1D9E1"/>
      </left>
      <right style="medium">
        <color rgb="FFD1D9E1"/>
      </right>
      <top style="medium">
        <color rgb="FFD1D9E1"/>
      </top>
      <bottom style="medium">
        <color rgb="FFD1D9E1"/>
      </bottom>
    </border>
    <border>
      <left style="thin">
        <color rgb="FFD1D9E1"/>
      </left>
      <right style="thick">
        <color rgb="FF3E3A3A"/>
      </right>
      <top style="thin">
        <color rgb="FFD1D9E1"/>
      </top>
      <bottom style="thin">
        <color rgb="FFD1D9E1"/>
      </bottom>
    </border>
    <border>
      <left style="thick">
        <color rgb="FF3E3A3A"/>
      </left>
      <right style="thin">
        <color rgb="FFD1D9E1"/>
      </right>
      <top style="thin">
        <color rgb="FFD1D9E1"/>
      </top>
      <bottom style="thin">
        <color rgb="FFD1D9E1"/>
      </bottom>
    </border>
    <border>
      <left style="thin">
        <color rgb="FFD1D9E1"/>
      </left>
      <right style="thin">
        <color rgb="FFD1D9E1"/>
      </right>
      <top style="thin">
        <color rgb="FFFFE6E6"/>
      </top>
      <bottom style="thin">
        <color rgb="FFD1D9E1"/>
      </bottom>
    </border>
    <border>
      <left style="thick">
        <color rgb="FF434343"/>
      </left>
      <right style="medium">
        <color rgb="FFD1D9E1"/>
      </right>
      <top style="medium">
        <color rgb="FFD1D9E1"/>
      </top>
    </border>
    <border>
      <left style="medium">
        <color rgb="FFD1D9E1"/>
      </left>
      <right style="medium">
        <color rgb="FFD1D9E1"/>
      </right>
      <top style="medium">
        <color rgb="FFD1D9E1"/>
      </top>
    </border>
    <border>
      <left style="medium">
        <color rgb="FFD1D9E1"/>
      </left>
      <right style="thick">
        <color rgb="FF434343"/>
      </right>
      <top style="medium">
        <color rgb="FFD1D9E1"/>
      </top>
    </border>
    <border>
      <left style="thick">
        <color rgb="FF434343"/>
      </left>
      <top style="medium">
        <color rgb="FF434343"/>
      </top>
      <bottom style="thin">
        <color rgb="FFD1D9E1"/>
      </bottom>
    </border>
    <border>
      <top style="medium">
        <color rgb="FF434343"/>
      </top>
      <bottom style="thin">
        <color rgb="FFD1D9E1"/>
      </bottom>
    </border>
    <border>
      <right style="thick">
        <color rgb="FF434343"/>
      </right>
      <top style="medium">
        <color rgb="FF434343"/>
      </top>
      <bottom style="thin">
        <color rgb="FFD1D9E1"/>
      </bottom>
    </border>
    <border>
      <left style="thin">
        <color rgb="FFD1D9E1"/>
      </left>
      <right style="thin">
        <color rgb="FFD1D9E1"/>
      </right>
      <top style="thin">
        <color rgb="FFD1D9E1"/>
      </top>
    </border>
    <border>
      <left style="thick">
        <color rgb="FF434343"/>
      </left>
      <top style="thin">
        <color rgb="FFD1D9E1"/>
      </top>
      <bottom style="thin">
        <color rgb="FFD1D9E1"/>
      </bottom>
    </border>
    <border>
      <right style="thick">
        <color rgb="FF434343"/>
      </right>
      <top style="thin">
        <color rgb="FFD1D9E1"/>
      </top>
      <bottom style="thin">
        <color rgb="FFD1D9E1"/>
      </bottom>
    </border>
    <border>
      <left style="thick">
        <color rgb="FF434343"/>
      </left>
      <top style="thin">
        <color rgb="FFD1D9E1"/>
      </top>
    </border>
    <border>
      <right style="thin">
        <color rgb="FFD1D9E1"/>
      </right>
      <top style="thin">
        <color rgb="FFD1D9E1"/>
      </top>
    </border>
    <border>
      <left style="thin">
        <color rgb="FFD1D9E1"/>
      </left>
      <right style="thick">
        <color rgb="FF434343"/>
      </right>
      <top style="thin">
        <color rgb="FFD1D9E1"/>
      </top>
    </border>
    <border>
      <right style="thin">
        <color rgb="FFD1D9E1"/>
      </right>
      <top style="medium">
        <color rgb="FF434343"/>
      </top>
      <bottom style="thin">
        <color rgb="FFD1D9E1"/>
      </bottom>
    </border>
    <border>
      <left style="thin">
        <color rgb="FFD1D9E1"/>
      </left>
      <right style="thick">
        <color rgb="FF434343"/>
      </right>
      <top style="medium">
        <color rgb="FF434343"/>
      </top>
      <bottom style="thin">
        <color rgb="FFD1D9E1"/>
      </bottom>
    </border>
    <border>
      <left style="thin">
        <color rgb="FFD1D9E1"/>
      </left>
      <right style="thick">
        <color rgb="FF434343"/>
      </right>
      <top style="thin">
        <color rgb="FFD1D9E1"/>
      </top>
      <bottom style="thin">
        <color rgb="FFD1D9E1"/>
      </bottom>
    </border>
    <border>
      <left style="thick">
        <color rgb="FF434343"/>
      </left>
      <top style="thin">
        <color rgb="FFD1D9E1"/>
      </top>
      <bottom style="thick">
        <color rgb="FF434343"/>
      </bottom>
    </border>
    <border>
      <top style="thin">
        <color rgb="FFD1D9E1"/>
      </top>
      <bottom style="thick">
        <color rgb="FF434343"/>
      </bottom>
    </border>
    <border>
      <right style="thin">
        <color rgb="FFD1D9E1"/>
      </right>
      <top style="thin">
        <color rgb="FFD1D9E1"/>
      </top>
      <bottom style="thick">
        <color rgb="FF434343"/>
      </bottom>
    </border>
    <border>
      <left style="thin">
        <color rgb="FFD1D9E1"/>
      </left>
      <right style="thick">
        <color rgb="FF434343"/>
      </right>
      <top style="thin">
        <color rgb="FFD1D9E1"/>
      </top>
      <bottom style="thick">
        <color rgb="FF434343"/>
      </bottom>
    </border>
    <border>
      <bottom style="thin">
        <color rgb="FFD1D9E1"/>
      </bottom>
    </border>
    <border>
      <left style="thin">
        <color rgb="FFD1D9E1"/>
      </left>
      <right style="thin">
        <color rgb="FFD1D9E1"/>
      </right>
      <bottom style="thin">
        <color rgb="FFFFE6E6"/>
      </bottom>
    </border>
    <border>
      <left style="thin">
        <color rgb="FFD1D9E1"/>
      </left>
      <right style="thin">
        <color rgb="FFD1D9E1"/>
      </right>
      <top style="thin">
        <color rgb="FFFFE6E6"/>
      </top>
      <bottom style="thin">
        <color rgb="FFFFE6E6"/>
      </bottom>
    </border>
    <border>
      <left style="thin">
        <color rgb="FFD1D9E1"/>
      </left>
      <right style="thin">
        <color rgb="FFFFE6E6"/>
      </right>
      <top style="thin">
        <color rgb="FFD1D9E1"/>
      </top>
      <bottom style="thin">
        <color rgb="FFD1D9E1"/>
      </bottom>
    </border>
    <border>
      <left style="thin">
        <color rgb="FFFFE6E6"/>
      </left>
      <top style="thin">
        <color rgb="FFD1D9E1"/>
      </top>
      <bottom style="thin">
        <color rgb="FFD1D9E1"/>
      </bottom>
    </border>
    <border>
      <left style="thick">
        <color rgb="FF3E3A3A"/>
      </left>
      <right style="thin">
        <color rgb="FF5E6C7A"/>
      </right>
      <bottom style="thin">
        <color rgb="FF5E6C7A"/>
      </bottom>
    </border>
    <border>
      <left style="thin">
        <color rgb="FF5E6C7A"/>
      </left>
      <right style="thin">
        <color rgb="FF5E6C7A"/>
      </right>
      <bottom style="thin">
        <color rgb="FF5E6C7A"/>
      </bottom>
    </border>
    <border>
      <left style="thin">
        <color rgb="FF5E6C7A"/>
      </left>
      <top style="thin">
        <color rgb="FF3E3A3A"/>
      </top>
      <bottom style="thin">
        <color rgb="FF5E6C7A"/>
      </bottom>
    </border>
    <border>
      <right style="thick">
        <color rgb="FF3E3A3A"/>
      </right>
      <top style="thin">
        <color rgb="FF3E3A3A"/>
      </top>
      <bottom style="thin">
        <color rgb="FF5E6C7A"/>
      </bottom>
    </border>
    <border>
      <left style="thin">
        <color rgb="FFFFE6E6"/>
      </left>
      <right style="thin">
        <color rgb="FFD1D9E1"/>
      </right>
      <top style="thin">
        <color rgb="FFD1D9E1"/>
      </top>
      <bottom style="thin">
        <color rgb="FFD1D9E1"/>
      </bottom>
    </border>
    <border>
      <left style="thick">
        <color rgb="FF3E3A3A"/>
      </left>
      <right style="thin">
        <color rgb="FF5E6C7A"/>
      </right>
      <top style="thin">
        <color rgb="FF5E6C7A"/>
      </top>
      <bottom style="thin">
        <color rgb="FF5E6C7A"/>
      </bottom>
    </border>
    <border>
      <left style="thin">
        <color rgb="FF5E6C7A"/>
      </left>
      <right style="thin">
        <color rgb="FF5E6C7A"/>
      </right>
      <top style="thin">
        <color rgb="FF5E6C7A"/>
      </top>
      <bottom style="thin">
        <color rgb="FF5E6C7A"/>
      </bottom>
    </border>
    <border>
      <left style="thin">
        <color rgb="FF5E6C7A"/>
      </left>
      <top style="thin">
        <color rgb="FF5E6C7A"/>
      </top>
      <bottom style="thin">
        <color rgb="FF5E6C7A"/>
      </bottom>
    </border>
    <border>
      <right style="thick">
        <color rgb="FF3E3A3A"/>
      </right>
      <top style="thin">
        <color rgb="FF5E6C7A"/>
      </top>
      <bottom style="thin">
        <color rgb="FF5E6C7A"/>
      </bottom>
    </border>
    <border>
      <left style="thin">
        <color rgb="FFD1D9E1"/>
      </left>
      <right style="thin">
        <color rgb="FFD1D9E1"/>
      </right>
      <top style="thin">
        <color rgb="FFD1D9E1"/>
      </top>
      <bottom style="thin">
        <color rgb="FFFFE6E6"/>
      </bottom>
    </border>
    <border>
      <left style="thick">
        <color rgb="FF3E3A3A"/>
      </left>
      <right style="thin">
        <color rgb="FFFFE6E6"/>
      </right>
      <top style="thin">
        <color rgb="FFD1D9E1"/>
      </top>
      <bottom style="thin">
        <color rgb="FFD1D9E1"/>
      </bottom>
    </border>
    <border>
      <left style="thin">
        <color rgb="FFFFE6E6"/>
      </left>
      <right style="thin">
        <color rgb="FFFFE6E6"/>
      </right>
      <top style="thin">
        <color rgb="FFD1D9E1"/>
      </top>
      <bottom style="thin">
        <color rgb="FFD1D9E1"/>
      </bottom>
    </border>
    <border>
      <left style="thick">
        <color rgb="FF3E3A3A"/>
      </left>
      <right style="thin">
        <color rgb="FF5E6C7A"/>
      </right>
      <top style="thin">
        <color rgb="FF5E6C7A"/>
      </top>
    </border>
    <border>
      <left style="thin">
        <color rgb="FF5E6C7A"/>
      </left>
      <right style="thin">
        <color rgb="FF5E6C7A"/>
      </right>
      <top style="thin">
        <color rgb="FF5E6C7A"/>
      </top>
    </border>
    <border>
      <left style="thick">
        <color rgb="FF3E3A3A"/>
      </left>
      <right style="thin">
        <color rgb="FFD1D9E1"/>
      </right>
      <top style="thin">
        <color rgb="FFD1D9E1"/>
      </top>
      <bottom style="thick">
        <color rgb="FF3E3A3A"/>
      </bottom>
    </border>
    <border>
      <left style="thin">
        <color rgb="FFD1D9E1"/>
      </left>
      <right style="thin">
        <color rgb="FFD1D9E1"/>
      </right>
      <top style="thin">
        <color rgb="FFEDE8E8"/>
      </top>
      <bottom style="thick">
        <color rgb="FF3E3A3A"/>
      </bottom>
    </border>
    <border>
      <left style="thin">
        <color rgb="FFD1D9E1"/>
      </left>
      <right style="thin">
        <color rgb="FFD1D9E1"/>
      </right>
      <top style="thin">
        <color rgb="FFD1D9E1"/>
      </top>
      <bottom style="thick">
        <color rgb="FF3E3A3A"/>
      </bottom>
    </border>
    <border>
      <left style="thin">
        <color rgb="FFD1D9E1"/>
      </left>
      <right style="thin">
        <color rgb="FFD1D9E1"/>
      </right>
      <bottom style="thick">
        <color rgb="FF3E3A3A"/>
      </bottom>
    </border>
    <border>
      <left style="thin">
        <color rgb="FFD1D9E1"/>
      </left>
      <right style="thick">
        <color rgb="FF3E3A3A"/>
      </right>
      <top style="thin">
        <color rgb="FFD1D9E1"/>
      </top>
      <bottom style="thick">
        <color rgb="FF3E3A3A"/>
      </bottom>
    </border>
    <border>
      <left style="thick">
        <color rgb="FF3E3A3A"/>
      </left>
      <bottom style="medium">
        <color rgb="FFF7EEFF"/>
      </bottom>
    </border>
    <border>
      <right style="thick">
        <color rgb="FF3E3A3A"/>
      </right>
      <bottom style="medium">
        <color rgb="FFF7EEFF"/>
      </bottom>
    </border>
    <border>
      <left style="thick">
        <color rgb="FF3E3A3A"/>
      </left>
      <right style="medium">
        <color rgb="FFF7EEFF"/>
      </right>
      <top style="medium">
        <color rgb="FFF7EEFF"/>
      </top>
      <bottom style="medium">
        <color rgb="FFF7EEFF"/>
      </bottom>
    </border>
    <border>
      <left style="medium">
        <color rgb="FFF7EEFF"/>
      </left>
      <right style="thick">
        <color rgb="FF3E3A3A"/>
      </right>
      <top style="medium">
        <color rgb="FFF7EEFF"/>
      </top>
      <bottom style="medium">
        <color rgb="FFF7EEFF"/>
      </bottom>
    </border>
    <border>
      <left style="thick">
        <color rgb="FF3E3A3A"/>
      </left>
      <right style="medium">
        <color rgb="FFF7EEFF"/>
      </right>
      <top style="medium">
        <color rgb="FFF7EEFF"/>
      </top>
    </border>
    <border>
      <left style="medium">
        <color rgb="FFF7EEFF"/>
      </left>
      <right style="thick">
        <color rgb="FF3E3A3A"/>
      </right>
      <top style="medium">
        <color rgb="FFF7EEFF"/>
      </top>
    </border>
    <border>
      <left style="thick">
        <color rgb="FF434343"/>
      </left>
      <right style="thick">
        <color rgb="FF434343"/>
      </right>
      <top style="thick">
        <color rgb="FF434343"/>
      </top>
      <bottom style="medium">
        <color rgb="FF3E3A3A"/>
      </bottom>
    </border>
    <border>
      <left style="thick">
        <color rgb="FF434343"/>
      </left>
      <bottom style="medium">
        <color rgb="FFE7DEEF"/>
      </bottom>
    </border>
    <border>
      <bottom style="medium">
        <color rgb="FFE7DEEF"/>
      </bottom>
    </border>
    <border>
      <right style="thick">
        <color rgb="FF434343"/>
      </right>
      <bottom style="medium">
        <color rgb="FFE7DEEF"/>
      </bottom>
    </border>
    <border>
      <left style="thick">
        <color rgb="FF3E3A3A"/>
      </left>
      <top style="medium">
        <color rgb="FFE7DEEF"/>
      </top>
      <bottom style="medium">
        <color rgb="FFE7DEEF"/>
      </bottom>
    </border>
    <border>
      <top style="medium">
        <color rgb="FFE7DEEF"/>
      </top>
      <bottom style="medium">
        <color rgb="FFE7DEEF"/>
      </bottom>
    </border>
    <border>
      <right style="thick">
        <color rgb="FF3E3A3A"/>
      </right>
      <top style="medium">
        <color rgb="FFE7DEEF"/>
      </top>
      <bottom style="medium">
        <color rgb="FFE7DEEF"/>
      </bottom>
    </border>
    <border>
      <left style="thick">
        <color rgb="FF434343"/>
      </left>
      <right style="medium">
        <color rgb="FFE7DEEF"/>
      </right>
      <top style="medium">
        <color rgb="FFE7DEEF"/>
      </top>
      <bottom style="medium">
        <color rgb="FFE7DEEF"/>
      </bottom>
    </border>
    <border>
      <left style="medium">
        <color rgb="FFE7DEEF"/>
      </left>
      <right style="medium">
        <color rgb="FFE7DEEF"/>
      </right>
      <top style="medium">
        <color rgb="FFE7DEEF"/>
      </top>
      <bottom style="medium">
        <color rgb="FFE7DEEF"/>
      </bottom>
    </border>
    <border>
      <left style="medium">
        <color rgb="FFE7DEEF"/>
      </left>
      <right style="thick">
        <color rgb="FF434343"/>
      </right>
      <top style="medium">
        <color rgb="FFE7DEEF"/>
      </top>
      <bottom style="medium">
        <color rgb="FFE7DEEF"/>
      </bottom>
    </border>
    <border>
      <left style="thick">
        <color rgb="FF434343"/>
      </left>
      <right style="medium">
        <color rgb="FFE7DEEF"/>
      </right>
      <top style="medium">
        <color rgb="FFE7DEEF"/>
      </top>
    </border>
    <border>
      <left style="medium">
        <color rgb="FFE7DEEF"/>
      </left>
      <right style="medium">
        <color rgb="FFE7DEEF"/>
      </right>
      <top style="medium">
        <color rgb="FFE7DEEF"/>
      </top>
    </border>
    <border>
      <left style="medium">
        <color rgb="FFE7DEEF"/>
      </left>
      <right style="thick">
        <color rgb="FF434343"/>
      </right>
      <top style="medium">
        <color rgb="FFE7DEEF"/>
      </top>
    </border>
    <border>
      <left style="thick">
        <color rgb="FF3E3A3A"/>
      </left>
      <top style="medium">
        <color rgb="FF3E3A3A"/>
      </top>
      <bottom style="thin">
        <color rgb="FFE7DEEF"/>
      </bottom>
    </border>
    <border>
      <top style="medium">
        <color rgb="FF3E3A3A"/>
      </top>
      <bottom style="thin">
        <color rgb="FFE7DEEF"/>
      </bottom>
    </border>
    <border>
      <right style="thick">
        <color rgb="FF3E3A3A"/>
      </right>
      <top style="medium">
        <color rgb="FF3E3A3A"/>
      </top>
      <bottom style="thin">
        <color rgb="FFE7DEEF"/>
      </bottom>
    </border>
    <border>
      <left style="thick">
        <color rgb="FF3E3A3A"/>
      </left>
      <top style="thin">
        <color rgb="FFE7DEEF"/>
      </top>
      <bottom style="thin">
        <color rgb="FFE7DEEF"/>
      </bottom>
    </border>
    <border>
      <top style="thin">
        <color rgb="FFE7DEEF"/>
      </top>
      <bottom style="thin">
        <color rgb="FFE7DEEF"/>
      </bottom>
    </border>
    <border>
      <right style="thick">
        <color rgb="FF3E3A3A"/>
      </right>
      <top style="thin">
        <color rgb="FFE7DEEF"/>
      </top>
      <bottom style="thin">
        <color rgb="FFE7DEEF"/>
      </bottom>
    </border>
    <border>
      <left style="thick">
        <color rgb="FF3E3A3A"/>
      </left>
      <top style="thin">
        <color rgb="FFE7DEEF"/>
      </top>
    </border>
    <border>
      <top style="thin">
        <color rgb="FFE7DEEF"/>
      </top>
    </border>
    <border>
      <right style="thin">
        <color rgb="FFE7DEEF"/>
      </right>
      <top style="thin">
        <color rgb="FFE7DEEF"/>
      </top>
    </border>
    <border>
      <left style="thin">
        <color rgb="FFE7DEEF"/>
      </left>
      <right style="thick">
        <color rgb="FF3E3A3A"/>
      </right>
      <top style="thin">
        <color rgb="FFE7DEEF"/>
      </top>
    </border>
    <border>
      <right style="thin">
        <color rgb="FFE7DEEF"/>
      </right>
      <top style="medium">
        <color rgb="FF3E3A3A"/>
      </top>
      <bottom style="thin">
        <color rgb="FFE7DEEF"/>
      </bottom>
    </border>
    <border>
      <left style="thin">
        <color rgb="FFE7DEEF"/>
      </left>
      <right style="thick">
        <color rgb="FF3E3A3A"/>
      </right>
      <top style="medium">
        <color rgb="FF3E3A3A"/>
      </top>
      <bottom style="thin">
        <color rgb="FFE7DEEF"/>
      </bottom>
    </border>
    <border>
      <right style="thin">
        <color rgb="FFE7DEEF"/>
      </right>
      <top style="thin">
        <color rgb="FFE7DEEF"/>
      </top>
      <bottom style="thin">
        <color rgb="FFE7DEEF"/>
      </bottom>
    </border>
    <border>
      <left style="thin">
        <color rgb="FFE7DEEF"/>
      </left>
      <right style="thick">
        <color rgb="FF3E3A3A"/>
      </right>
      <top style="thin">
        <color rgb="FFE7DEEF"/>
      </top>
      <bottom style="thin">
        <color rgb="FFE7DEEF"/>
      </bottom>
    </border>
    <border>
      <left style="thick">
        <color rgb="FF3E3A3A"/>
      </left>
      <top style="thin">
        <color rgb="FFE7DEEF"/>
      </top>
      <bottom style="thick">
        <color rgb="FF3E3A3A"/>
      </bottom>
    </border>
    <border>
      <top style="thin">
        <color rgb="FFE7DEEF"/>
      </top>
      <bottom style="thick">
        <color rgb="FF3E3A3A"/>
      </bottom>
    </border>
    <border>
      <right style="thin">
        <color rgb="FFE7DEEF"/>
      </right>
      <top style="thin">
        <color rgb="FFE7DEEF"/>
      </top>
      <bottom style="thick">
        <color rgb="FF3E3A3A"/>
      </bottom>
    </border>
    <border>
      <left style="thin">
        <color rgb="FFE7DEEF"/>
      </left>
      <right style="thick">
        <color rgb="FF3E3A3A"/>
      </right>
      <top style="thin">
        <color rgb="FFE7DEEF"/>
      </top>
      <bottom style="thick">
        <color rgb="FF3E3A3A"/>
      </bottom>
    </border>
    <border>
      <left style="thick">
        <color rgb="FF3E3A3A"/>
      </left>
      <right style="thin">
        <color rgb="FFDA455D"/>
      </right>
      <bottom style="thin">
        <color rgb="FFDA455D"/>
      </bottom>
    </border>
    <border>
      <left style="thin">
        <color rgb="FFDA455D"/>
      </left>
      <right style="thin">
        <color rgb="FFDA455D"/>
      </right>
      <bottom style="thin">
        <color rgb="FFDA455D"/>
      </bottom>
    </border>
    <border>
      <left style="thin">
        <color rgb="FFDA455D"/>
      </left>
      <top style="thin">
        <color rgb="FF3E3A3A"/>
      </top>
      <bottom style="thin">
        <color rgb="FFDA455D"/>
      </bottom>
    </border>
    <border>
      <right style="thick">
        <color rgb="FF3E3A3A"/>
      </right>
      <top style="thin">
        <color rgb="FF3E3A3A"/>
      </top>
      <bottom style="thin">
        <color rgb="FFDA455D"/>
      </bottom>
    </border>
    <border>
      <left style="thick">
        <color rgb="FF3E3A3A"/>
      </left>
      <right style="thin">
        <color rgb="FFDA455D"/>
      </right>
      <top style="thin">
        <color rgb="FFDA455D"/>
      </top>
      <bottom style="thin">
        <color rgb="FFDA455D"/>
      </bottom>
    </border>
    <border>
      <left style="thin">
        <color rgb="FFDA455D"/>
      </left>
      <right style="thin">
        <color rgb="FFDA455D"/>
      </right>
      <top style="thin">
        <color rgb="FFDA455D"/>
      </top>
      <bottom style="thin">
        <color rgb="FFDA455D"/>
      </bottom>
    </border>
    <border>
      <left style="thin">
        <color rgb="FFDA455D"/>
      </left>
      <top style="thin">
        <color rgb="FFDA455D"/>
      </top>
      <bottom style="thin">
        <color rgb="FFDA455D"/>
      </bottom>
    </border>
    <border>
      <right style="thick">
        <color rgb="FF3E3A3A"/>
      </right>
      <top style="thin">
        <color rgb="FFDA455D"/>
      </top>
      <bottom style="thin">
        <color rgb="FFDA455D"/>
      </bottom>
    </border>
    <border>
      <left style="thick">
        <color rgb="FF3E3A3A"/>
      </left>
      <right style="thin">
        <color rgb="FFDA455D"/>
      </right>
      <top style="thin">
        <color rgb="FFDA455D"/>
      </top>
    </border>
    <border>
      <left style="thin">
        <color rgb="FFDA455D"/>
      </left>
      <right style="thin">
        <color rgb="FFDA455D"/>
      </right>
      <top style="thin">
        <color rgb="FFDA455D"/>
      </top>
    </border>
    <border>
      <left style="thin">
        <color rgb="FFDA455D"/>
      </left>
      <top style="thin">
        <color rgb="FFDA455D"/>
      </top>
      <bottom style="thin">
        <color rgb="FF9F6178"/>
      </bottom>
    </border>
    <border>
      <right style="thick">
        <color rgb="FF3E3A3A"/>
      </right>
      <top style="thin">
        <color rgb="FFDA455D"/>
      </top>
      <bottom style="thin">
        <color rgb="FF9F6178"/>
      </bottom>
    </border>
    <border>
      <left style="thin">
        <color rgb="FFE9EFFF"/>
      </left>
      <right style="thin">
        <color rgb="FFE9EFFF"/>
      </right>
      <top style="thin">
        <color rgb="FFE9EFFF"/>
      </top>
    </border>
    <border>
      <right style="thick">
        <color rgb="FF434343"/>
      </right>
      <top style="thin">
        <color rgb="FFE9EFFF"/>
      </top>
      <bottom style="thick">
        <color rgb="FF3E3A3A"/>
      </bottom>
    </border>
    <border>
      <left style="thin">
        <color rgb="FF7C58E5"/>
      </left>
      <right style="thin">
        <color rgb="FF7C58E5"/>
      </right>
      <bottom style="thin">
        <color rgb="FF7C58E5"/>
      </bottom>
    </border>
    <border>
      <left style="thick">
        <color rgb="FF3E3A3A"/>
      </left>
      <right style="thin">
        <color rgb="FFF7EEFF"/>
      </right>
      <top style="thick">
        <color rgb="FF3E3A3A"/>
      </top>
      <bottom style="thin">
        <color rgb="FFF7EEFF"/>
      </bottom>
    </border>
    <border>
      <left style="thin">
        <color rgb="FFF7EEFF"/>
      </left>
      <right style="thin">
        <color rgb="FFF7EEFF"/>
      </right>
      <top style="thick">
        <color rgb="FF3E3A3A"/>
      </top>
      <bottom style="thin">
        <color rgb="FFF7EEFF"/>
      </bottom>
    </border>
    <border>
      <left style="thin">
        <color rgb="FFF7EEFF"/>
      </left>
      <right style="thin">
        <color rgb="FFF7EEFF"/>
      </right>
      <top style="thick">
        <color rgb="FF3E3A3A"/>
      </top>
    </border>
    <border>
      <left style="thin">
        <color rgb="FFF7EEFF"/>
      </left>
      <right style="thick">
        <color rgb="FF3E3A3A"/>
      </right>
      <top style="thick">
        <color rgb="FF3E3A3A"/>
      </top>
      <bottom style="thin">
        <color rgb="FFF7EEFF"/>
      </bottom>
    </border>
    <border>
      <left style="thick">
        <color rgb="FF3E3A3A"/>
      </left>
      <right style="thin">
        <color rgb="FFFDFFEB"/>
      </right>
      <top style="thin">
        <color rgb="FFFFFFFF"/>
      </top>
      <bottom style="thin">
        <color rgb="FFFDFFEB"/>
      </bottom>
    </border>
    <border>
      <left style="thin">
        <color rgb="FFFDFFEB"/>
      </left>
      <right style="thin">
        <color rgb="FFFDFFEB"/>
      </right>
      <bottom style="thin">
        <color rgb="FFFDFFEB"/>
      </bottom>
    </border>
    <border>
      <left style="thin">
        <color rgb="FFFDFFEB"/>
      </left>
      <right style="thick">
        <color rgb="FF3E3A3A"/>
      </right>
      <top style="thin">
        <color rgb="FFFFFFFF"/>
      </top>
      <bottom style="thin">
        <color rgb="FFFDFFEB"/>
      </bottom>
    </border>
    <border>
      <left style="thick">
        <color rgb="FF3E3A3A"/>
      </left>
      <right style="thin">
        <color rgb="FFFDFFEB"/>
      </right>
      <top style="thin">
        <color rgb="FFFDFFEB"/>
      </top>
      <bottom style="thin">
        <color rgb="FFFDFFEB"/>
      </bottom>
    </border>
    <border>
      <left style="thin">
        <color rgb="FFFDFFEB"/>
      </left>
      <right style="thin">
        <color rgb="FFFDFFEB"/>
      </right>
      <top style="thin">
        <color rgb="FFFDFFEB"/>
      </top>
      <bottom style="thin">
        <color rgb="FFFDFFEB"/>
      </bottom>
    </border>
    <border>
      <left style="thin">
        <color rgb="FFFDFFEB"/>
      </left>
      <top style="thin">
        <color rgb="FFFDFFEB"/>
      </top>
    </border>
    <border>
      <top style="thin">
        <color rgb="FFFDFFEB"/>
      </top>
    </border>
    <border>
      <right style="thin">
        <color rgb="FFFDFFEB"/>
      </right>
      <top style="thin">
        <color rgb="FFFDFFEB"/>
      </top>
    </border>
    <border>
      <left style="thin">
        <color rgb="FFFDFFEB"/>
      </left>
      <right style="thick">
        <color rgb="FF3E3A3A"/>
      </right>
      <bottom style="thin">
        <color rgb="FFFDFFEB"/>
      </bottom>
    </border>
    <border>
      <left style="thin">
        <color rgb="FFFDFFEB"/>
      </left>
      <top style="thin">
        <color rgb="FFFDFFEB"/>
      </top>
      <bottom style="thin">
        <color rgb="FFFDFFEB"/>
      </bottom>
    </border>
    <border>
      <right style="thick">
        <color rgb="FF3E3A3A"/>
      </right>
      <top style="thin">
        <color rgb="FFFDFFEB"/>
      </top>
      <bottom style="thin">
        <color rgb="FFFDFFEB"/>
      </bottom>
    </border>
    <border>
      <left style="thick">
        <color rgb="FF434343"/>
      </left>
      <bottom style="medium">
        <color rgb="FFFDFFEB"/>
      </bottom>
    </border>
    <border>
      <bottom style="medium">
        <color rgb="FFFDFFEB"/>
      </bottom>
    </border>
    <border>
      <right style="thick">
        <color rgb="FF434343"/>
      </right>
      <bottom style="medium">
        <color rgb="FFFDFFEB"/>
      </bottom>
    </border>
    <border>
      <left style="thick">
        <color rgb="FF434343"/>
      </left>
      <top style="medium">
        <color rgb="FFFDFFEB"/>
      </top>
      <bottom style="medium">
        <color rgb="FFFDFFEB"/>
      </bottom>
    </border>
    <border>
      <top style="medium">
        <color rgb="FFFDFFEB"/>
      </top>
      <bottom style="medium">
        <color rgb="FFFDFFEB"/>
      </bottom>
    </border>
    <border>
      <right style="thick">
        <color rgb="FF434343"/>
      </right>
      <top style="medium">
        <color rgb="FFFDFFEB"/>
      </top>
      <bottom style="medium">
        <color rgb="FFFDFFEB"/>
      </bottom>
    </border>
    <border>
      <left style="thick">
        <color rgb="FF434343"/>
      </left>
      <right style="medium">
        <color rgb="FFFDFFEB"/>
      </right>
      <top style="medium">
        <color rgb="FFFDFFEB"/>
      </top>
      <bottom style="medium">
        <color rgb="FFFDFFEB"/>
      </bottom>
    </border>
    <border>
      <left style="medium">
        <color rgb="FFFDFFEB"/>
      </left>
      <right style="medium">
        <color rgb="FFFDFFEB"/>
      </right>
      <top style="medium">
        <color rgb="FFFDFFEB"/>
      </top>
      <bottom style="medium">
        <color rgb="FFFDFFEB"/>
      </bottom>
    </border>
    <border>
      <left style="medium">
        <color rgb="FFFDFFEB"/>
      </left>
      <right style="thick">
        <color rgb="FF434343"/>
      </right>
      <top style="medium">
        <color rgb="FFFDFFEB"/>
      </top>
      <bottom style="medium">
        <color rgb="FFFDFFEB"/>
      </bottom>
    </border>
    <border>
      <left style="medium">
        <color rgb="FFFDFFEB"/>
      </left>
      <top style="medium">
        <color rgb="FFFDFFEB"/>
      </top>
      <bottom style="medium">
        <color rgb="FFFDFFEB"/>
      </bottom>
    </border>
    <border>
      <right style="medium">
        <color rgb="FFFDFFEB"/>
      </right>
      <top style="medium">
        <color rgb="FFFDFFEB"/>
      </top>
      <bottom style="medium">
        <color rgb="FFFDFFEB"/>
      </bottom>
    </border>
    <border>
      <left style="thin">
        <color rgb="FFFDFFEB"/>
      </left>
      <right style="thick">
        <color rgb="FF3E3A3A"/>
      </right>
      <top style="thin">
        <color rgb="FFFDFFEB"/>
      </top>
      <bottom style="thin">
        <color rgb="FFFDFFEB"/>
      </bottom>
    </border>
    <border>
      <left style="thick">
        <color rgb="FF434343"/>
      </left>
      <right style="medium">
        <color rgb="FFFDFFEB"/>
      </right>
      <top style="medium">
        <color rgb="FFFDFFEB"/>
      </top>
    </border>
    <border>
      <left style="medium">
        <color rgb="FFFDFFEB"/>
      </left>
      <right style="medium">
        <color rgb="FFFDFFEB"/>
      </right>
      <top style="medium">
        <color rgb="FFFDFFEB"/>
      </top>
    </border>
    <border>
      <left style="medium">
        <color rgb="FFFDFFEB"/>
      </left>
      <right style="thick">
        <color rgb="FF434343"/>
      </right>
      <top style="medium">
        <color rgb="FFFDFFEB"/>
      </top>
    </border>
    <border>
      <left style="thick">
        <color rgb="FF434343"/>
      </left>
      <top style="medium">
        <color rgb="FF434343"/>
      </top>
      <bottom style="thin">
        <color rgb="FFFDFFEB"/>
      </bottom>
    </border>
    <border>
      <top style="medium">
        <color rgb="FF434343"/>
      </top>
      <bottom style="thin">
        <color rgb="FFFDFFEB"/>
      </bottom>
    </border>
    <border>
      <right style="thick">
        <color rgb="FF434343"/>
      </right>
      <top style="medium">
        <color rgb="FF434343"/>
      </top>
      <bottom style="thin">
        <color rgb="FFFDFFEB"/>
      </bottom>
    </border>
    <border>
      <left style="thin">
        <color rgb="FFFDFFEB"/>
      </left>
      <right style="thin">
        <color rgb="FFFDFFEB"/>
      </right>
      <top style="thin">
        <color rgb="FFFDFFEB"/>
      </top>
    </border>
    <border>
      <left style="thick">
        <color rgb="FF434343"/>
      </left>
      <top style="thin">
        <color rgb="FFFDFFEB"/>
      </top>
      <bottom style="thin">
        <color rgb="FFFDFFEB"/>
      </bottom>
    </border>
    <border>
      <top style="thin">
        <color rgb="FFFDFFEB"/>
      </top>
      <bottom style="thin">
        <color rgb="FFFDFFEB"/>
      </bottom>
    </border>
    <border>
      <right style="thick">
        <color rgb="FF434343"/>
      </right>
      <top style="thin">
        <color rgb="FFFDFFEB"/>
      </top>
      <bottom style="thin">
        <color rgb="FFFDFFEB"/>
      </bottom>
    </border>
    <border>
      <left style="thin">
        <color rgb="FFFDFFEB"/>
      </left>
      <right style="thin">
        <color rgb="FFFDFFEB"/>
      </right>
    </border>
    <border>
      <left style="thick">
        <color rgb="FF434343"/>
      </left>
      <top style="thin">
        <color rgb="FFFDFFEB"/>
      </top>
    </border>
    <border>
      <left style="thin">
        <color rgb="FFFDFFEB"/>
      </left>
      <right style="thick">
        <color rgb="FF434343"/>
      </right>
      <top style="thin">
        <color rgb="FFFDFFEB"/>
      </top>
    </border>
    <border>
      <right style="thin">
        <color rgb="FFFDFFEB"/>
      </right>
      <top style="medium">
        <color rgb="FF434343"/>
      </top>
      <bottom style="thin">
        <color rgb="FFFDFFEB"/>
      </bottom>
    </border>
    <border>
      <right style="thin">
        <color rgb="FFFDFFEB"/>
      </right>
      <top style="thin">
        <color rgb="FFFDFFEB"/>
      </top>
      <bottom style="thin">
        <color rgb="FFFDFFEB"/>
      </bottom>
    </border>
    <border>
      <left style="thick">
        <color rgb="FF434343"/>
      </left>
      <top style="thin">
        <color rgb="FFFDFFEB"/>
      </top>
      <bottom style="thick">
        <color rgb="FF434343"/>
      </bottom>
    </border>
    <border>
      <top style="thin">
        <color rgb="FFFDFFEB"/>
      </top>
      <bottom style="thick">
        <color rgb="FF434343"/>
      </bottom>
    </border>
    <border>
      <right style="thin">
        <color rgb="FFFDFFEB"/>
      </right>
      <top style="thin">
        <color rgb="FFFDFFEB"/>
      </top>
      <bottom style="thick">
        <color rgb="FF434343"/>
      </bottom>
    </border>
    <border>
      <right style="thick">
        <color rgb="FF434343"/>
      </right>
      <top style="thin">
        <color rgb="FFFDFFEB"/>
      </top>
      <bottom style="thick">
        <color rgb="FF434343"/>
      </bottom>
    </border>
    <border>
      <bottom style="thin">
        <color rgb="FFFDFFEB"/>
      </bottom>
    </border>
    <border>
      <left style="thick">
        <color rgb="FF3E3A3A"/>
      </left>
      <right style="thin">
        <color rgb="FF79949C"/>
      </right>
      <bottom style="thin">
        <color rgb="FF79949C"/>
      </bottom>
    </border>
    <border>
      <left style="thin">
        <color rgb="FF79949C"/>
      </left>
      <right style="thin">
        <color rgb="FF79949C"/>
      </right>
      <bottom style="thin">
        <color rgb="FF79949C"/>
      </bottom>
    </border>
    <border>
      <left style="thin">
        <color rgb="FF79949C"/>
      </left>
      <top style="thin">
        <color rgb="FF3E3A3A"/>
      </top>
      <bottom style="thin">
        <color rgb="FF79949C"/>
      </bottom>
    </border>
    <border>
      <right style="thick">
        <color rgb="FF3E3A3A"/>
      </right>
      <top style="thin">
        <color rgb="FF3E3A3A"/>
      </top>
      <bottom style="thin">
        <color rgb="FF79949C"/>
      </bottom>
    </border>
    <border>
      <left style="thick">
        <color rgb="FF3E3A3A"/>
      </left>
      <right style="thin">
        <color rgb="FF79949C"/>
      </right>
      <top style="thin">
        <color rgb="FF79949C"/>
      </top>
      <bottom style="thin">
        <color rgb="FF79949C"/>
      </bottom>
    </border>
    <border>
      <left style="thin">
        <color rgb="FF79949C"/>
      </left>
      <right style="thin">
        <color rgb="FF79949C"/>
      </right>
      <top style="thin">
        <color rgb="FF79949C"/>
      </top>
      <bottom style="thin">
        <color rgb="FF79949C"/>
      </bottom>
    </border>
    <border>
      <left style="thin">
        <color rgb="FF79949C"/>
      </left>
      <top style="thin">
        <color rgb="FF79949C"/>
      </top>
      <bottom style="thin">
        <color rgb="FF79949C"/>
      </bottom>
    </border>
    <border>
      <right style="thick">
        <color rgb="FF3E3A3A"/>
      </right>
      <top style="thin">
        <color rgb="FF79949C"/>
      </top>
      <bottom style="thin">
        <color rgb="FF79949C"/>
      </bottom>
    </border>
    <border>
      <left style="thick">
        <color rgb="FF3E3A3A"/>
      </left>
      <right style="thin">
        <color rgb="FF79949C"/>
      </right>
      <top style="thin">
        <color rgb="FF79949C"/>
      </top>
    </border>
    <border>
      <left style="thin">
        <color rgb="FF79949C"/>
      </left>
      <right style="thin">
        <color rgb="FF79949C"/>
      </right>
      <top style="thin">
        <color rgb="FF79949C"/>
      </top>
    </border>
    <border>
      <left style="thin">
        <color rgb="FF79949C"/>
      </left>
      <top style="thin">
        <color rgb="FF79949C"/>
      </top>
    </border>
    <border>
      <right style="thick">
        <color rgb="FF3E3A3A"/>
      </right>
      <top style="thin">
        <color rgb="FF79949C"/>
      </top>
    </border>
    <border>
      <left style="thick">
        <color rgb="FF3E3A3A"/>
      </left>
      <right style="thin">
        <color rgb="FFFDFFEB"/>
      </right>
      <top style="thin">
        <color rgb="FFFDFFEB"/>
      </top>
    </border>
    <border>
      <left style="thin">
        <color rgb="FFFDFFEB"/>
      </left>
      <right style="thick">
        <color rgb="FF3E3A3A"/>
      </right>
      <top style="thin">
        <color rgb="FFFDFFEB"/>
      </top>
    </border>
    <border>
      <left style="thick">
        <color rgb="FF3E3A3A"/>
      </left>
      <right style="thin">
        <color rgb="FFFDFFEB"/>
      </right>
      <top style="thin">
        <color rgb="FFFDFFEB"/>
      </top>
      <bottom style="thick">
        <color rgb="FF3E3A3A"/>
      </bottom>
    </border>
    <border>
      <left style="thin">
        <color rgb="FFFDFFEB"/>
      </left>
      <right style="thin">
        <color rgb="FFFDFFEB"/>
      </right>
      <top style="thin">
        <color rgb="FFFDFFEB"/>
      </top>
      <bottom style="thick">
        <color rgb="FF3E3A3A"/>
      </bottom>
    </border>
    <border>
      <left style="thin">
        <color rgb="FFFDFFEB"/>
      </left>
      <right style="thin">
        <color rgb="FFFDFFEB"/>
      </right>
      <bottom style="thick">
        <color rgb="FF3E3A3A"/>
      </bottom>
    </border>
    <border>
      <left style="thin">
        <color rgb="FFFDFFEB"/>
      </left>
      <right style="thick">
        <color rgb="FF3E3A3A"/>
      </right>
      <top style="thin">
        <color rgb="FFFDFFEB"/>
      </top>
      <bottom style="thick">
        <color rgb="FF3E3A3A"/>
      </bottom>
    </border>
    <border>
      <right style="thin">
        <color rgb="FFFFFAE9"/>
      </right>
    </border>
    <border>
      <right style="thin">
        <color rgb="FFFFFAE9"/>
      </right>
      <bottom style="thin">
        <color rgb="FFFFFAE9"/>
      </bottom>
    </border>
    <border>
      <left style="thin">
        <color rgb="FFC4B783"/>
      </left>
      <top style="thin">
        <color rgb="FFC4B783"/>
      </top>
    </border>
    <border>
      <right style="thick">
        <color rgb="FF3E3A3A"/>
      </right>
      <top style="thin">
        <color rgb="FFC4B783"/>
      </top>
    </border>
    <border>
      <left style="thick">
        <color rgb="FF3E3A3A"/>
      </left>
      <right style="thin">
        <color rgb="FFFFFAE9"/>
      </right>
      <top style="thin">
        <color rgb="FFFFFAE9"/>
      </top>
    </border>
    <border>
      <left style="thin">
        <color rgb="FFFFFAE9"/>
      </left>
      <right style="thin">
        <color rgb="FFFFFAE9"/>
      </right>
      <top style="thin">
        <color rgb="FFFFFAE9"/>
      </top>
    </border>
    <border>
      <left style="thick">
        <color rgb="FF3E3A3A"/>
      </left>
      <right style="thin">
        <color rgb="FFFFE6E6"/>
      </right>
      <bottom style="thin">
        <color rgb="FFFFE6E6"/>
      </bottom>
    </border>
    <border>
      <left style="thin">
        <color rgb="FFFFE6E6"/>
      </left>
      <right style="thin">
        <color rgb="FFFFE6E6"/>
      </right>
      <bottom style="thin">
        <color rgb="FFFFE6E6"/>
      </bottom>
    </border>
    <border>
      <left style="thin">
        <color rgb="FFFFE6E6"/>
      </left>
      <right style="thin">
        <color rgb="FFFFE6E6"/>
      </right>
    </border>
    <border>
      <left style="thin">
        <color rgb="FFFFE6E6"/>
      </left>
      <right style="thick">
        <color rgb="FF3E3A3A"/>
      </right>
      <bottom style="thin">
        <color rgb="FFFFE6E6"/>
      </bottom>
    </border>
    <border>
      <left style="thick">
        <color rgb="FF3E3A3A"/>
      </left>
      <right style="thin">
        <color rgb="FFFFE6E6"/>
      </right>
      <top style="thin">
        <color rgb="FFFFE6E6"/>
      </top>
      <bottom style="thin">
        <color rgb="FFFFE6E6"/>
      </bottom>
    </border>
    <border>
      <left style="thin">
        <color rgb="FFFFE6E6"/>
      </left>
      <top style="thin">
        <color rgb="FFFFE6E6"/>
      </top>
      <bottom style="thin">
        <color rgb="FFFFE6E6"/>
      </bottom>
    </border>
    <border>
      <top style="thin">
        <color rgb="FFFFE6E6"/>
      </top>
    </border>
    <border>
      <right style="thick">
        <color rgb="FF3E3A3A"/>
      </right>
      <top style="thin">
        <color rgb="FFFFE6E6"/>
      </top>
      <bottom style="thin">
        <color rgb="FFFFE6E6"/>
      </bottom>
    </border>
    <border>
      <left style="thick">
        <color rgb="FF434343"/>
      </left>
      <bottom style="medium">
        <color rgb="FFFFE6E6"/>
      </bottom>
    </border>
    <border>
      <bottom style="medium">
        <color rgb="FFFFE6E6"/>
      </bottom>
    </border>
    <border>
      <right style="thick">
        <color rgb="FF434343"/>
      </right>
      <bottom style="medium">
        <color rgb="FFFFE6E6"/>
      </bottom>
    </border>
    <border>
      <left style="thick">
        <color rgb="FF434343"/>
      </left>
      <top style="medium">
        <color rgb="FFFFE6E6"/>
      </top>
      <bottom style="medium">
        <color rgb="FFFFE6E6"/>
      </bottom>
    </border>
    <border>
      <top style="medium">
        <color rgb="FFFFE6E6"/>
      </top>
      <bottom style="medium">
        <color rgb="FFFFE6E6"/>
      </bottom>
    </border>
    <border>
      <right style="thick">
        <color rgb="FF434343"/>
      </right>
      <top style="medium">
        <color rgb="FFFFE6E6"/>
      </top>
      <bottom style="medium">
        <color rgb="FFFFE6E6"/>
      </bottom>
    </border>
    <border>
      <left style="thin">
        <color rgb="FFFFE6E6"/>
      </left>
      <right style="thin">
        <color rgb="FFFFE6E6"/>
      </right>
      <top style="thin">
        <color rgb="FFFFE6E6"/>
      </top>
      <bottom style="thin">
        <color rgb="FFFFE6E6"/>
      </bottom>
    </border>
    <border>
      <left style="thick">
        <color rgb="FF434343"/>
      </left>
      <right style="medium">
        <color rgb="FFFFE6E6"/>
      </right>
      <top style="medium">
        <color rgb="FFFFE6E6"/>
      </top>
      <bottom style="medium">
        <color rgb="FFFFE6E6"/>
      </bottom>
    </border>
    <border>
      <left style="medium">
        <color rgb="FFFFE6E6"/>
      </left>
      <right style="medium">
        <color rgb="FFFFE6E6"/>
      </right>
      <top style="medium">
        <color rgb="FFFFE6E6"/>
      </top>
      <bottom style="medium">
        <color rgb="FFFFE6E6"/>
      </bottom>
    </border>
    <border>
      <left style="medium">
        <color rgb="FFFFE6E6"/>
      </left>
      <right style="thick">
        <color rgb="FF434343"/>
      </right>
      <top style="medium">
        <color rgb="FFFFE6E6"/>
      </top>
      <bottom style="medium">
        <color rgb="FFFFE6E6"/>
      </bottom>
    </border>
    <border>
      <left style="medium">
        <color rgb="FFFFE6E6"/>
      </left>
      <top style="medium">
        <color rgb="FFFFE6E6"/>
      </top>
      <bottom style="medium">
        <color rgb="FFFFE6E6"/>
      </bottom>
    </border>
    <border>
      <right style="medium">
        <color rgb="FFFFE6E6"/>
      </right>
      <top style="medium">
        <color rgb="FFFFE6E6"/>
      </top>
      <bottom style="medium">
        <color rgb="FFFFE6E6"/>
      </bottom>
    </border>
    <border>
      <left style="thin">
        <color rgb="FFFFE6E6"/>
      </left>
      <right style="thick">
        <color rgb="FF3E3A3A"/>
      </right>
      <top style="thin">
        <color rgb="FFFFE6E6"/>
      </top>
      <bottom style="thin">
        <color rgb="FFFFE6E6"/>
      </bottom>
    </border>
    <border>
      <left style="thick">
        <color rgb="FF434343"/>
      </left>
      <right style="medium">
        <color rgb="FFFFE6E6"/>
      </right>
      <top style="medium">
        <color rgb="FFFFE6E6"/>
      </top>
    </border>
    <border>
      <left style="medium">
        <color rgb="FFFFE6E6"/>
      </left>
      <right style="medium">
        <color rgb="FFFFE6E6"/>
      </right>
      <top style="medium">
        <color rgb="FFFFE6E6"/>
      </top>
    </border>
    <border>
      <left style="medium">
        <color rgb="FFFFE6E6"/>
      </left>
      <right style="thick">
        <color rgb="FF434343"/>
      </right>
      <top style="medium">
        <color rgb="FFFFE6E6"/>
      </top>
    </border>
    <border>
      <left style="thick">
        <color rgb="FF434343"/>
      </left>
      <top style="medium">
        <color rgb="FF434343"/>
      </top>
      <bottom style="thin">
        <color rgb="FFFFE6E6"/>
      </bottom>
    </border>
    <border>
      <top style="medium">
        <color rgb="FF434343"/>
      </top>
      <bottom style="thin">
        <color rgb="FFFFE6E6"/>
      </bottom>
    </border>
    <border>
      <right style="thick">
        <color rgb="FF434343"/>
      </right>
      <top style="medium">
        <color rgb="FF434343"/>
      </top>
      <bottom style="thin">
        <color rgb="FFFFE6E6"/>
      </bottom>
    </border>
    <border>
      <left style="thin">
        <color rgb="FFFFE6E6"/>
      </left>
      <right style="thin">
        <color rgb="FFFFE6E6"/>
      </right>
      <top style="thin">
        <color rgb="FFFFE6E6"/>
      </top>
    </border>
    <border>
      <left style="thick">
        <color rgb="FF434343"/>
      </left>
      <top style="thin">
        <color rgb="FFFFE6E6"/>
      </top>
      <bottom style="thin">
        <color rgb="FFFFE6E6"/>
      </bottom>
    </border>
    <border>
      <top style="thin">
        <color rgb="FFFFE6E6"/>
      </top>
      <bottom style="thin">
        <color rgb="FFFFE6E6"/>
      </bottom>
    </border>
    <border>
      <right style="thick">
        <color rgb="FF434343"/>
      </right>
      <top style="thin">
        <color rgb="FFFFE6E6"/>
      </top>
      <bottom style="thin">
        <color rgb="FFFFE6E6"/>
      </bottom>
    </border>
    <border>
      <left style="thick">
        <color rgb="FF3E3A3A"/>
      </left>
      <top style="thin">
        <color rgb="FFFFE6E6"/>
      </top>
    </border>
    <border>
      <right style="thin">
        <color rgb="FFFFE6E6"/>
      </right>
      <top style="thin">
        <color rgb="FFFFE6E6"/>
      </top>
    </border>
    <border>
      <left style="thin">
        <color rgb="FFFFE6E6"/>
      </left>
      <right style="thick">
        <color rgb="FF3E3A3A"/>
      </right>
      <top style="thin">
        <color rgb="FFFFE6E6"/>
      </top>
    </border>
    <border>
      <left style="thick">
        <color rgb="FF3E3A3A"/>
      </left>
      <top style="medium">
        <color rgb="FF3E3A3A"/>
      </top>
      <bottom style="thin">
        <color rgb="FFFFE6E6"/>
      </bottom>
    </border>
    <border>
      <top style="medium">
        <color rgb="FF3E3A3A"/>
      </top>
      <bottom style="thin">
        <color rgb="FFFFE6E6"/>
      </bottom>
    </border>
    <border>
      <right style="thin">
        <color rgb="FFFFE6E6"/>
      </right>
      <top style="medium">
        <color rgb="FF3E3A3A"/>
      </top>
      <bottom style="thin">
        <color rgb="FFFFE6E6"/>
      </bottom>
    </border>
    <border>
      <left style="thin">
        <color rgb="FFFFE6E6"/>
      </left>
      <right style="thick">
        <color rgb="FF3E3A3A"/>
      </right>
      <top style="medium">
        <color rgb="FF3E3A3A"/>
      </top>
      <bottom style="thin">
        <color rgb="FFFFE6E6"/>
      </bottom>
    </border>
    <border>
      <right style="thin">
        <color rgb="FFFFE6E6"/>
      </right>
      <top style="thin">
        <color rgb="FFFFE6E6"/>
      </top>
      <bottom style="thin">
        <color rgb="FFFFE6E6"/>
      </bottom>
    </border>
    <border>
      <left style="thin">
        <color rgb="FFFFE6E6"/>
      </left>
      <right style="thick">
        <color rgb="FF434343"/>
      </right>
      <top style="thin">
        <color rgb="FFFFE6E6"/>
      </top>
      <bottom style="thin">
        <color rgb="FFFFE6E6"/>
      </bottom>
    </border>
    <border>
      <left style="thick">
        <color rgb="FF434343"/>
      </left>
      <top style="thin">
        <color rgb="FFFFE6E6"/>
      </top>
      <bottom style="thick">
        <color rgb="FF434343"/>
      </bottom>
    </border>
    <border>
      <top style="thin">
        <color rgb="FFFFE6E6"/>
      </top>
      <bottom style="thick">
        <color rgb="FF434343"/>
      </bottom>
    </border>
    <border>
      <right style="thin">
        <color rgb="FFFFE6E6"/>
      </right>
      <top style="thin">
        <color rgb="FFFFE6E6"/>
      </top>
      <bottom style="thick">
        <color rgb="FF434343"/>
      </bottom>
    </border>
    <border>
      <left style="thin">
        <color rgb="FFFFE6E6"/>
      </left>
      <right style="thick">
        <color rgb="FF434343"/>
      </right>
      <top style="thin">
        <color rgb="FFFFE6E6"/>
      </top>
      <bottom style="thick">
        <color rgb="FF434343"/>
      </bottom>
    </border>
    <border>
      <bottom style="thin">
        <color rgb="FFFFE6E6"/>
      </bottom>
    </border>
    <border>
      <left style="thick">
        <color rgb="FF3E3A3A"/>
      </left>
      <right style="thin">
        <color rgb="FFE6AF5F"/>
      </right>
      <bottom style="thin">
        <color rgb="FFE6AF5F"/>
      </bottom>
    </border>
    <border>
      <left style="thin">
        <color rgb="FFE6AF5F"/>
      </left>
      <right style="thin">
        <color rgb="FFE6AF5F"/>
      </right>
      <bottom style="thin">
        <color rgb="FFE6AF5F"/>
      </bottom>
    </border>
    <border>
      <left style="thin">
        <color rgb="FFE6AF5F"/>
      </left>
      <top style="thin">
        <color rgb="FF3E3A3A"/>
      </top>
      <bottom style="thin">
        <color rgb="FFE6AF5F"/>
      </bottom>
    </border>
    <border>
      <right style="thick">
        <color rgb="FF3E3A3A"/>
      </right>
      <top style="thin">
        <color rgb="FF3E3A3A"/>
      </top>
      <bottom style="thin">
        <color rgb="FFE6AF5F"/>
      </bottom>
    </border>
    <border>
      <left style="thick">
        <color rgb="FF3E3A3A"/>
      </left>
      <right style="thin">
        <color rgb="FFE6AF5F"/>
      </right>
      <top style="thin">
        <color rgb="FFE6AF5F"/>
      </top>
      <bottom style="thin">
        <color rgb="FFE6AF5F"/>
      </bottom>
    </border>
    <border>
      <left style="thin">
        <color rgb="FFE6AF5F"/>
      </left>
      <right style="thin">
        <color rgb="FFE6AF5F"/>
      </right>
      <top style="thin">
        <color rgb="FFE6AF5F"/>
      </top>
      <bottom style="thin">
        <color rgb="FFE6AF5F"/>
      </bottom>
    </border>
    <border>
      <left style="thin">
        <color rgb="FFE6AF5F"/>
      </left>
      <top style="thin">
        <color rgb="FFE6AF5F"/>
      </top>
      <bottom style="thin">
        <color rgb="FFE6AF5F"/>
      </bottom>
    </border>
    <border>
      <right style="thick">
        <color rgb="FF3E3A3A"/>
      </right>
      <top style="thin">
        <color rgb="FFE6AF5F"/>
      </top>
      <bottom style="thin">
        <color rgb="FFE6AF5F"/>
      </bottom>
    </border>
    <border>
      <left style="thick">
        <color rgb="FF3E3A3A"/>
      </left>
      <right style="thin">
        <color rgb="FFE6AF5F"/>
      </right>
      <top style="thin">
        <color rgb="FFE6AF5F"/>
      </top>
    </border>
    <border>
      <left style="thin">
        <color rgb="FFE6AF5F"/>
      </left>
      <right style="thin">
        <color rgb="FFE6AF5F"/>
      </right>
      <top style="thin">
        <color rgb="FFE6AF5F"/>
      </top>
    </border>
    <border>
      <left style="thin">
        <color rgb="FFE6AF5F"/>
      </left>
      <top style="thin">
        <color rgb="FFE6AF5F"/>
      </top>
      <bottom style="thin">
        <color rgb="FFB58E6C"/>
      </bottom>
    </border>
    <border>
      <right style="thick">
        <color rgb="FF3E3A3A"/>
      </right>
      <top style="thin">
        <color rgb="FFE6AF5F"/>
      </top>
      <bottom style="thin">
        <color rgb="FFB58E6C"/>
      </bottom>
    </border>
    <border>
      <left style="thick">
        <color rgb="FF3E3A3A"/>
      </left>
      <right style="thin">
        <color rgb="FFFFE6E6"/>
      </right>
      <top style="thin">
        <color rgb="FFFFE6E6"/>
      </top>
    </border>
    <border>
      <left style="thin">
        <color rgb="FFFFE6E6"/>
      </left>
      <top style="thin">
        <color rgb="FFFFE6E6"/>
      </top>
    </border>
    <border>
      <left style="thick">
        <color rgb="FF3E3A3A"/>
      </left>
      <right style="thin">
        <color rgb="FFFFE6E6"/>
      </right>
      <top style="thin">
        <color rgb="FFFFE6E6"/>
      </top>
      <bottom style="thick">
        <color rgb="FF3E3A3A"/>
      </bottom>
    </border>
    <border>
      <left style="thin">
        <color rgb="FFFFE6E6"/>
      </left>
      <right style="thin">
        <color rgb="FFFFE6E6"/>
      </right>
      <top style="thin">
        <color rgb="FFFFE6E6"/>
      </top>
      <bottom style="thick">
        <color rgb="FF3E3A3A"/>
      </bottom>
    </border>
    <border>
      <left style="thin">
        <color rgb="FFFFE6E6"/>
      </left>
      <right style="thin">
        <color rgb="FFFFE6E6"/>
      </right>
      <bottom style="thick">
        <color rgb="FF3E3A3A"/>
      </bottom>
    </border>
    <border>
      <left style="thin">
        <color rgb="FFFFE6E6"/>
      </left>
      <right style="thick">
        <color rgb="FF3E3A3A"/>
      </right>
      <top style="thin">
        <color rgb="FFFFE6E6"/>
      </top>
      <bottom style="thick">
        <color rgb="FF3E3A3A"/>
      </bottom>
    </border>
    <border>
      <left style="thick">
        <color rgb="FF3E3A3A"/>
      </left>
      <right style="thin">
        <color rgb="FFEDE8E8"/>
      </right>
      <bottom style="thin">
        <color rgb="FFEDE8E8"/>
      </bottom>
    </border>
    <border>
      <left style="thin">
        <color rgb="FFEDE8E8"/>
      </left>
      <right style="thin">
        <color rgb="FFEDE8E8"/>
      </right>
      <bottom style="thin">
        <color rgb="FFEDE8E8"/>
      </bottom>
    </border>
    <border>
      <left style="thin">
        <color rgb="FFEDE8E8"/>
      </left>
      <right style="thick">
        <color rgb="FF3E3A3A"/>
      </right>
      <bottom style="thin">
        <color rgb="FFEDE8E8"/>
      </bottom>
    </border>
    <border>
      <left style="thick">
        <color rgb="FF3E3A3A"/>
      </left>
      <right style="thin">
        <color rgb="FFEDE8E8"/>
      </right>
      <top style="thin">
        <color rgb="FFEDE8E8"/>
      </top>
      <bottom style="thin">
        <color rgb="FFEDE8E8"/>
      </bottom>
    </border>
    <border>
      <left style="thin">
        <color rgb="FFEDE8E8"/>
      </left>
      <right style="thin">
        <color rgb="FFEDE8E8"/>
      </right>
      <top style="thin">
        <color rgb="FFEDE8E8"/>
      </top>
      <bottom style="thin">
        <color rgb="FFEDE8E8"/>
      </bottom>
    </border>
    <border>
      <left style="thin">
        <color rgb="FFEDE8E8"/>
      </left>
      <right style="thick">
        <color rgb="FF3E3A3A"/>
      </right>
      <top style="thin">
        <color rgb="FFEDE8E8"/>
      </top>
      <bottom style="thin">
        <color rgb="FFEDE8E8"/>
      </bottom>
    </border>
    <border>
      <left style="thin">
        <color rgb="FFEDE8E8"/>
      </left>
      <right style="thin">
        <color rgb="FFEDE8E8"/>
      </right>
      <top style="thin">
        <color rgb="FFEDE8E8"/>
      </top>
      <bottom style="thin">
        <color rgb="FFEDE4DA"/>
      </bottom>
    </border>
    <border>
      <left style="thin">
        <color rgb="FFEDE8E8"/>
      </left>
      <top style="thin">
        <color rgb="FFEDE8E8"/>
      </top>
    </border>
    <border>
      <top style="thin">
        <color rgb="FFEDE8E8"/>
      </top>
    </border>
    <border>
      <right style="thin">
        <color rgb="FFEDE8E8"/>
      </right>
      <top style="thin">
        <color rgb="FFEDE8E8"/>
      </top>
    </border>
    <border>
      <right style="thick">
        <color rgb="FF3E3A3A"/>
      </right>
      <top style="thin">
        <color rgb="FFEDE8E8"/>
      </top>
      <bottom style="thin">
        <color rgb="FFEDE8E8"/>
      </bottom>
    </border>
    <border>
      <left style="thick">
        <color rgb="FF3E3A3A"/>
      </left>
      <right style="thin">
        <color rgb="FFEDE4DA"/>
      </right>
      <top style="thin">
        <color rgb="FFEDE8E8"/>
      </top>
      <bottom style="thin">
        <color rgb="FFEDE8E8"/>
      </bottom>
    </border>
    <border>
      <left style="thin">
        <color rgb="FFEDE4DA"/>
      </left>
      <top style="thin">
        <color rgb="FFEDE8E8"/>
      </top>
      <bottom style="thin">
        <color rgb="FFEDE8E8"/>
      </bottom>
    </border>
    <border>
      <left style="thick">
        <color rgb="FF434343"/>
      </left>
      <bottom style="medium">
        <color rgb="FFEDE8E8"/>
      </bottom>
    </border>
    <border>
      <bottom style="medium">
        <color rgb="FFEDE8E8"/>
      </bottom>
    </border>
    <border>
      <right style="thick">
        <color rgb="FF434343"/>
      </right>
      <bottom style="medium">
        <color rgb="FFEDE8E8"/>
      </bottom>
    </border>
    <border>
      <left style="thick">
        <color rgb="FF434343"/>
      </left>
      <top style="medium">
        <color rgb="FFEDE8E8"/>
      </top>
      <bottom style="medium">
        <color rgb="FFEDE8E8"/>
      </bottom>
    </border>
    <border>
      <top style="medium">
        <color rgb="FFEDE8E8"/>
      </top>
      <bottom style="medium">
        <color rgb="FFEDE8E8"/>
      </bottom>
    </border>
    <border>
      <right style="thick">
        <color rgb="FF434343"/>
      </right>
      <top style="medium">
        <color rgb="FFEDE8E8"/>
      </top>
      <bottom style="medium">
        <color rgb="FFEDE8E8"/>
      </bottom>
    </border>
    <border>
      <left style="thin">
        <color rgb="FFEDE4DA"/>
      </left>
      <right style="thin">
        <color rgb="FFEDE4DA"/>
      </right>
      <top style="thin">
        <color rgb="FFEDE8E8"/>
      </top>
      <bottom style="thin">
        <color rgb="FFEDE8E8"/>
      </bottom>
    </border>
    <border>
      <left style="thick">
        <color rgb="FF434343"/>
      </left>
      <right style="medium">
        <color rgb="FFEDE8E8"/>
      </right>
      <top style="medium">
        <color rgb="FFEDE8E8"/>
      </top>
      <bottom style="medium">
        <color rgb="FFEDE8E8"/>
      </bottom>
    </border>
    <border>
      <left style="medium">
        <color rgb="FFEDE8E8"/>
      </left>
      <right style="medium">
        <color rgb="FFEDE8E8"/>
      </right>
      <top style="medium">
        <color rgb="FFEDE8E8"/>
      </top>
      <bottom style="medium">
        <color rgb="FFEDE8E8"/>
      </bottom>
    </border>
    <border>
      <left style="medium">
        <color rgb="FFEDE8E8"/>
      </left>
      <right style="thick">
        <color rgb="FF434343"/>
      </right>
      <top style="medium">
        <color rgb="FFEDE8E8"/>
      </top>
      <bottom style="medium">
        <color rgb="FFEDE8E8"/>
      </bottom>
    </border>
    <border>
      <left style="thin">
        <color rgb="FFEDE4DA"/>
      </left>
      <right style="thick">
        <color rgb="FF3E3A3A"/>
      </right>
      <top style="thin">
        <color rgb="FFEDE8E8"/>
      </top>
      <bottom style="thin">
        <color rgb="FFEDE8E8"/>
      </bottom>
    </border>
    <border>
      <left style="thin">
        <color rgb="FFEDE8E8"/>
      </left>
      <right style="thin">
        <color rgb="FFEDE8E8"/>
      </right>
      <top style="thin">
        <color rgb="FFFFE6E6"/>
      </top>
      <bottom style="thin">
        <color rgb="FFEDE8E8"/>
      </bottom>
    </border>
    <border>
      <left style="thin">
        <color rgb="FFEDE8E8"/>
      </left>
      <right style="thin">
        <color rgb="FFEDE4DA"/>
      </right>
      <top style="thin">
        <color rgb="FFEDE8E8"/>
      </top>
      <bottom style="thin">
        <color rgb="FFEDE8E8"/>
      </bottom>
    </border>
    <border>
      <left style="thick">
        <color rgb="FF434343"/>
      </left>
      <right style="medium">
        <color rgb="FFEDE8E8"/>
      </right>
      <top style="medium">
        <color rgb="FFEDE8E8"/>
      </top>
    </border>
    <border>
      <left style="medium">
        <color rgb="FFEDE8E8"/>
      </left>
      <right style="medium">
        <color rgb="FFEDE8E8"/>
      </right>
      <top style="medium">
        <color rgb="FFEDE8E8"/>
      </top>
    </border>
    <border>
      <left style="medium">
        <color rgb="FFEDE8E8"/>
      </left>
      <right style="thick">
        <color rgb="FF434343"/>
      </right>
      <top style="medium">
        <color rgb="FFEDE8E8"/>
      </top>
    </border>
    <border>
      <left style="thin">
        <color rgb="FFEDE8E8"/>
      </left>
      <top style="thin">
        <color rgb="FFEDE8E8"/>
      </top>
      <bottom style="thin">
        <color rgb="FFEDE8E8"/>
      </bottom>
    </border>
    <border>
      <left style="thick">
        <color rgb="FF434343"/>
      </left>
      <top style="medium">
        <color rgb="FF434343"/>
      </top>
      <bottom style="thin">
        <color rgb="FFEDE8E8"/>
      </bottom>
    </border>
    <border>
      <top style="medium">
        <color rgb="FF434343"/>
      </top>
      <bottom style="thin">
        <color rgb="FFEDE8E8"/>
      </bottom>
    </border>
    <border>
      <right style="thick">
        <color rgb="FF434343"/>
      </right>
      <top style="medium">
        <color rgb="FF434343"/>
      </top>
      <bottom style="thin">
        <color rgb="FFEDE8E8"/>
      </bottom>
    </border>
    <border>
      <left style="thin">
        <color rgb="FFEDE8E8"/>
      </left>
      <right style="thin">
        <color rgb="FFEDE8E8"/>
      </right>
      <top style="thin">
        <color rgb="FFEDE8E8"/>
      </top>
    </border>
    <border>
      <left style="thick">
        <color rgb="FF434343"/>
      </left>
      <top style="thin">
        <color rgb="FFEDE8E8"/>
      </top>
      <bottom style="thin">
        <color rgb="FFEDE8E8"/>
      </bottom>
    </border>
    <border>
      <top style="thin">
        <color rgb="FFEDE8E8"/>
      </top>
      <bottom style="thin">
        <color rgb="FFEDE8E8"/>
      </bottom>
    </border>
    <border>
      <right style="thick">
        <color rgb="FF434343"/>
      </right>
      <top style="thin">
        <color rgb="FFEDE8E8"/>
      </top>
      <bottom style="thin">
        <color rgb="FFEDE8E8"/>
      </bottom>
    </border>
    <border>
      <left style="thin">
        <color rgb="FFEDE8E8"/>
      </left>
      <right style="thin">
        <color rgb="FFEDE8E8"/>
      </right>
    </border>
    <border>
      <left style="thick">
        <color rgb="FF434343"/>
      </left>
      <top style="thin">
        <color rgb="FFEDE8E8"/>
      </top>
    </border>
    <border>
      <left style="thin">
        <color rgb="FFEDE8E8"/>
      </left>
      <right style="thick">
        <color rgb="FF434343"/>
      </right>
      <top style="thin">
        <color rgb="FFEDE8E8"/>
      </top>
    </border>
    <border>
      <right style="thin">
        <color rgb="FFEDE8E8"/>
      </right>
      <top style="medium">
        <color rgb="FF434343"/>
      </top>
      <bottom style="thin">
        <color rgb="FFEDE8E8"/>
      </bottom>
    </border>
    <border>
      <right style="thin">
        <color rgb="FFEDE8E8"/>
      </right>
      <top style="thin">
        <color rgb="FFEDE8E8"/>
      </top>
      <bottom style="thin">
        <color rgb="FFEDE8E8"/>
      </bottom>
    </border>
    <border>
      <left style="thick">
        <color rgb="FF434343"/>
      </left>
      <top style="thin">
        <color rgb="FFEDE8E8"/>
      </top>
      <bottom style="thick">
        <color rgb="FF000000"/>
      </bottom>
    </border>
    <border>
      <top style="thin">
        <color rgb="FFEDE8E8"/>
      </top>
      <bottom style="thick">
        <color rgb="FF000000"/>
      </bottom>
    </border>
    <border>
      <right style="thin">
        <color rgb="FFEDE8E8"/>
      </right>
      <top style="thin">
        <color rgb="FFEDE8E8"/>
      </top>
      <bottom style="thick">
        <color rgb="FF000000"/>
      </bottom>
    </border>
    <border>
      <right style="thick">
        <color rgb="FF434343"/>
      </right>
      <top style="thin">
        <color rgb="FFEDE8E8"/>
      </top>
      <bottom style="thick">
        <color rgb="FF000000"/>
      </bottom>
    </border>
    <border>
      <bottom style="thin">
        <color rgb="FFEDE8E8"/>
      </bottom>
    </border>
    <border>
      <left style="thin">
        <color rgb="FFEDE8E8"/>
      </left>
      <right style="thin">
        <color rgb="FFEDE8E8"/>
      </right>
      <bottom style="thin">
        <color rgb="FFFFE6E6"/>
      </bottom>
    </border>
    <border>
      <left style="thin">
        <color rgb="FFEDE8E8"/>
      </left>
      <right style="thin">
        <color rgb="FFEDE8E8"/>
      </right>
      <top style="thin">
        <color rgb="FFFFE6E6"/>
      </top>
      <bottom style="thin">
        <color rgb="FFFFE6E6"/>
      </bottom>
    </border>
    <border>
      <left style="thin">
        <color rgb="FFEDE8E8"/>
      </left>
      <right style="thin">
        <color rgb="FFFFE6E6"/>
      </right>
      <top style="thin">
        <color rgb="FFEDE8E8"/>
      </top>
      <bottom style="thin">
        <color rgb="FFEDE8E8"/>
      </bottom>
    </border>
    <border>
      <left style="thin">
        <color rgb="FFFFE6E6"/>
      </left>
      <top style="thin">
        <color rgb="FFEDE8E8"/>
      </top>
      <bottom style="thin">
        <color rgb="FFEDE8E8"/>
      </bottom>
    </border>
    <border>
      <left style="thin">
        <color rgb="FFFFE6E6"/>
      </left>
      <right style="thick">
        <color rgb="FF3E3A3A"/>
      </right>
      <top style="thin">
        <color rgb="FFEDE8E8"/>
      </top>
      <bottom style="thin">
        <color rgb="FFEDE8E8"/>
      </bottom>
    </border>
    <border>
      <left style="thick">
        <color rgb="FF3E3A3A"/>
      </left>
      <right style="thin">
        <color rgb="FFFC675F"/>
      </right>
      <bottom style="thin">
        <color rgb="FFFC675F"/>
      </bottom>
    </border>
    <border>
      <left style="thin">
        <color rgb="FFFC675F"/>
      </left>
      <right style="thin">
        <color rgb="FFFC675F"/>
      </right>
      <bottom style="thin">
        <color rgb="FFFC675F"/>
      </bottom>
    </border>
    <border>
      <left style="thin">
        <color rgb="FFFC675F"/>
      </left>
      <top style="thin">
        <color rgb="FF3E3A3A"/>
      </top>
      <bottom style="thin">
        <color rgb="FFFC675F"/>
      </bottom>
    </border>
    <border>
      <right style="thick">
        <color rgb="FF3E3A3A"/>
      </right>
      <top style="thin">
        <color rgb="FF3E3A3A"/>
      </top>
      <bottom style="thin">
        <color rgb="FFFC675F"/>
      </bottom>
    </border>
    <border>
      <left style="thin">
        <color rgb="FFFFE6E6"/>
      </left>
      <right style="thin">
        <color rgb="FFFFE6E6"/>
      </right>
      <top style="thin">
        <color rgb="FFEDE8E8"/>
      </top>
      <bottom style="thin">
        <color rgb="FFEDE8E8"/>
      </bottom>
    </border>
    <border>
      <left style="thick">
        <color rgb="FF3E3A3A"/>
      </left>
      <right style="thin">
        <color rgb="FFFC675F"/>
      </right>
      <top style="thin">
        <color rgb="FFFC675F"/>
      </top>
      <bottom style="thin">
        <color rgb="FFFC675F"/>
      </bottom>
    </border>
    <border>
      <left style="thin">
        <color rgb="FFFC675F"/>
      </left>
      <right style="thin">
        <color rgb="FFFC675F"/>
      </right>
      <top style="thin">
        <color rgb="FFFC675F"/>
      </top>
      <bottom style="thin">
        <color rgb="FFFC675F"/>
      </bottom>
    </border>
    <border>
      <left style="thin">
        <color rgb="FFFC675F"/>
      </left>
      <top style="thin">
        <color rgb="FFFC675F"/>
      </top>
      <bottom style="thin">
        <color rgb="FFFC675F"/>
      </bottom>
    </border>
    <border>
      <right style="thick">
        <color rgb="FF3E3A3A"/>
      </right>
      <top style="thin">
        <color rgb="FFFC675F"/>
      </top>
      <bottom style="thin">
        <color rgb="FFFC675F"/>
      </bottom>
    </border>
    <border>
      <left style="thin">
        <color rgb="FFEDE8E8"/>
      </left>
      <right style="thin">
        <color rgb="FFEDE8E8"/>
      </right>
      <top style="thin">
        <color rgb="FFEDE8E8"/>
      </top>
      <bottom style="thin">
        <color rgb="FFFFE6E6"/>
      </bottom>
    </border>
    <border>
      <left style="thick">
        <color rgb="FF3E3A3A"/>
      </left>
      <right style="thin">
        <color rgb="FFFC675F"/>
      </right>
      <top style="thin">
        <color rgb="FFFC675F"/>
      </top>
    </border>
    <border>
      <left style="thin">
        <color rgb="FFFC675F"/>
      </left>
      <right style="thin">
        <color rgb="FFFC675F"/>
      </right>
      <top style="thin">
        <color rgb="FFFC675F"/>
      </top>
    </border>
    <border>
      <left style="thin">
        <color rgb="FFFC675F"/>
      </left>
      <top style="thin">
        <color rgb="FFFC675F"/>
      </top>
      <bottom style="thin">
        <color rgb="FFA1534F"/>
      </bottom>
    </border>
    <border>
      <right style="thick">
        <color rgb="FF3E3A3A"/>
      </right>
      <top style="thin">
        <color rgb="FFFC675F"/>
      </top>
      <bottom style="thin">
        <color rgb="FFA1534F"/>
      </bottom>
    </border>
    <border>
      <left style="thin">
        <color rgb="FFFC675F"/>
      </left>
      <top style="thin">
        <color rgb="FFFC675F"/>
      </top>
    </border>
    <border>
      <right style="thick">
        <color rgb="FF3E3A3A"/>
      </right>
      <top style="thin">
        <color rgb="FFFC675F"/>
      </top>
    </border>
    <border>
      <left style="thin">
        <color rgb="FFEDE8E8"/>
      </left>
      <bottom style="thin">
        <color rgb="FFEDE8E8"/>
      </bottom>
    </border>
    <border>
      <left style="medium">
        <color rgb="FFEDE8E8"/>
      </left>
      <top style="medium">
        <color rgb="FFEDE8E8"/>
      </top>
      <bottom style="medium">
        <color rgb="FFEDE8E8"/>
      </bottom>
    </border>
    <border>
      <right style="medium">
        <color rgb="FFEDE8E8"/>
      </right>
      <top style="medium">
        <color rgb="FFEDE8E8"/>
      </top>
      <bottom style="medium">
        <color rgb="FFEDE8E8"/>
      </bottom>
    </border>
    <border>
      <left style="thick">
        <color rgb="FF3E3A3A"/>
      </left>
      <right style="thin">
        <color rgb="FFFFE6E6"/>
      </right>
      <top style="thin">
        <color rgb="FFEDE8E8"/>
      </top>
      <bottom style="thin">
        <color rgb="FFEDE8E8"/>
      </bottom>
    </border>
    <border>
      <left style="thick">
        <color rgb="FF3E3A3A"/>
      </left>
      <right style="thin">
        <color rgb="FFEDE8E8"/>
      </right>
      <top style="thin">
        <color rgb="FFEDE8E8"/>
      </top>
      <bottom style="thick">
        <color rgb="FF3E3A3A"/>
      </bottom>
    </border>
    <border>
      <left style="thin">
        <color rgb="FFEDE8E8"/>
      </left>
      <right style="thin">
        <color rgb="FFEDE8E8"/>
      </right>
      <bottom style="thick">
        <color rgb="FF3E3A3A"/>
      </bottom>
    </border>
    <border>
      <left style="thin">
        <color rgb="FFEDE8E8"/>
      </left>
      <right style="thin">
        <color rgb="FFEDE8E8"/>
      </right>
      <top style="thin">
        <color rgb="FFEDE8E8"/>
      </top>
      <bottom style="thick">
        <color rgb="FF3E3A3A"/>
      </bottom>
    </border>
    <border>
      <left style="thin">
        <color rgb="FFEDE8E8"/>
      </left>
      <right style="thick">
        <color rgb="FF3E3A3A"/>
      </right>
      <top style="thin">
        <color rgb="FFEDE8E8"/>
      </top>
      <bottom style="thick">
        <color rgb="FF3E3A3A"/>
      </bottom>
    </border>
    <border>
      <right style="thin">
        <color rgb="FFD1D9E1"/>
      </right>
    </border>
    <border>
      <right style="thin">
        <color rgb="FFD1D9E1"/>
      </right>
      <bottom style="thin">
        <color rgb="FFD1D9E1"/>
      </bottom>
    </border>
    <border>
      <left style="thick">
        <color rgb="FF3E3A3A"/>
      </left>
      <top style="medium">
        <color rgb="FF3E3A3A"/>
      </top>
    </border>
    <border>
      <top style="medium">
        <color rgb="FF3E3A3A"/>
      </top>
    </border>
    <border>
      <right style="medium">
        <color rgb="FF3E3A3A"/>
      </right>
      <top style="medium">
        <color rgb="FF3E3A3A"/>
      </top>
    </border>
    <border>
      <left style="thick">
        <color rgb="FF3E3A3A"/>
      </left>
      <top style="thin">
        <color rgb="FFD1D9E1"/>
      </top>
    </border>
    <border>
      <left style="thin">
        <color rgb="FFD1D9E1"/>
      </left>
      <right style="thick">
        <color rgb="FF3E3A3A"/>
      </right>
      <top style="thin">
        <color rgb="FFD1D9E1"/>
      </top>
    </border>
    <border>
      <left style="thin">
        <color rgb="FF326EDC"/>
      </left>
      <right style="thin">
        <color rgb="FF326EDC"/>
      </right>
      <top style="thin">
        <color rgb="FF326EDC"/>
      </top>
      <bottom style="thin">
        <color rgb="FF326EDC"/>
      </bottom>
    </border>
    <border>
      <left style="thin">
        <color rgb="FF326EDC"/>
      </left>
      <right style="thin">
        <color rgb="FF326EDC"/>
      </right>
      <top style="thin">
        <color rgb="FF326EDC"/>
      </top>
    </border>
    <border>
      <left style="thin">
        <color rgb="FF326EDC"/>
      </left>
      <top style="thin">
        <color rgb="FF326EDC"/>
      </top>
      <bottom style="thin">
        <color rgb="FF326EDC"/>
      </bottom>
    </border>
    <border>
      <left style="thick">
        <color rgb="FF3E3A3A"/>
      </left>
      <right style="thin">
        <color rgb="FFF2F6FF"/>
      </right>
      <top style="thick">
        <color rgb="FF3E3A3A"/>
      </top>
      <bottom style="thin">
        <color rgb="FFF2F6FF"/>
      </bottom>
    </border>
    <border>
      <left style="thin">
        <color rgb="FFF2F6FF"/>
      </left>
      <right style="thin">
        <color rgb="FFF2F6FF"/>
      </right>
      <top style="thick">
        <color rgb="FF3E3A3A"/>
      </top>
      <bottom style="thin">
        <color rgb="FFF2F6FF"/>
      </bottom>
    </border>
    <border>
      <left style="thin">
        <color rgb="FFF2F6FF"/>
      </left>
      <right style="thick">
        <color rgb="FF3E3A3A"/>
      </right>
      <top style="thick">
        <color rgb="FF3E3A3A"/>
      </top>
      <bottom style="thin">
        <color rgb="FFF2F6FF"/>
      </bottom>
    </border>
    <border>
      <right style="thin">
        <color rgb="FF326EDC"/>
      </right>
      <top style="thin">
        <color rgb="FF326EDC"/>
      </top>
      <bottom style="thin">
        <color rgb="FF326EDC"/>
      </bottom>
    </border>
    <border>
      <left style="thick">
        <color rgb="FF3E3A3A"/>
      </left>
      <right style="thin">
        <color rgb="FFF2F6FF"/>
      </right>
      <top style="thin">
        <color rgb="FFF2F6FF"/>
      </top>
      <bottom style="thin">
        <color rgb="FFF2F6FF"/>
      </bottom>
    </border>
    <border>
      <left style="thin">
        <color rgb="FFF2F6FF"/>
      </left>
      <right style="thick">
        <color rgb="FF3E3A3A"/>
      </right>
      <top style="thin">
        <color rgb="FFF2F6FF"/>
      </top>
      <bottom style="thin">
        <color rgb="FFF2F6FF"/>
      </bottom>
    </border>
    <border>
      <left style="thin">
        <color rgb="FFF2F6FF"/>
      </left>
      <right style="thin">
        <color rgb="FFF2F6FF"/>
      </right>
      <top style="thin">
        <color rgb="FFF2F6FF"/>
      </top>
      <bottom style="thin">
        <color rgb="FFF2F6FF"/>
      </bottom>
    </border>
    <border>
      <left style="thin">
        <color rgb="FFF2F6FF"/>
      </left>
      <top style="thin">
        <color rgb="FFF2F6FF"/>
      </top>
    </border>
    <border>
      <top style="thin">
        <color rgb="FFF2F6FF"/>
      </top>
    </border>
    <border>
      <right style="thin">
        <color rgb="FFF2F6FF"/>
      </right>
      <top style="thin">
        <color rgb="FFF2F6FF"/>
      </top>
    </border>
    <border>
      <left style="thin">
        <color rgb="FFF2F6FF"/>
      </left>
      <top style="thin">
        <color rgb="FFF2F6FF"/>
      </top>
      <bottom style="thin">
        <color rgb="FFF2F6FF"/>
      </bottom>
    </border>
    <border>
      <right style="thick">
        <color rgb="FF3E3A3A"/>
      </right>
      <top style="thin">
        <color rgb="FFF2F6FF"/>
      </top>
      <bottom style="thin">
        <color rgb="FFF2F6FF"/>
      </bottom>
    </border>
    <border>
      <left style="thick">
        <color rgb="FF434343"/>
      </left>
      <bottom style="medium">
        <color rgb="FFF2F6FF"/>
      </bottom>
    </border>
    <border>
      <bottom style="medium">
        <color rgb="FFF2F6FF"/>
      </bottom>
    </border>
    <border>
      <right style="thick">
        <color rgb="FF434343"/>
      </right>
      <bottom style="medium">
        <color rgb="FFF2F6FF"/>
      </bottom>
    </border>
    <border>
      <left style="thick">
        <color rgb="FF434343"/>
      </left>
      <top style="medium">
        <color rgb="FFF2F6FF"/>
      </top>
      <bottom style="medium">
        <color rgb="FFF2F6FF"/>
      </bottom>
    </border>
    <border>
      <top style="medium">
        <color rgb="FFF2F6FF"/>
      </top>
      <bottom style="medium">
        <color rgb="FFF2F6FF"/>
      </bottom>
    </border>
    <border>
      <right style="thick">
        <color rgb="FF434343"/>
      </right>
      <top style="medium">
        <color rgb="FFF2F6FF"/>
      </top>
      <bottom style="medium">
        <color rgb="FFF2F6FF"/>
      </bottom>
    </border>
    <border>
      <left style="thin">
        <color rgb="FFF2F6FF"/>
      </left>
      <right style="thin">
        <color rgb="FFF2F6FF"/>
      </right>
      <top style="thin">
        <color rgb="FFF2F6FF"/>
      </top>
    </border>
    <border>
      <left style="thick">
        <color rgb="FF434343"/>
      </left>
      <right style="medium">
        <color rgb="FFF2F6FF"/>
      </right>
      <top style="medium">
        <color rgb="FFF2F6FF"/>
      </top>
      <bottom style="medium">
        <color rgb="FFF2F6FF"/>
      </bottom>
    </border>
    <border>
      <left style="medium">
        <color rgb="FFF2F6FF"/>
      </left>
      <right style="medium">
        <color rgb="FFF2F6FF"/>
      </right>
      <top style="medium">
        <color rgb="FFF2F6FF"/>
      </top>
      <bottom style="medium">
        <color rgb="FFF2F6FF"/>
      </bottom>
    </border>
    <border>
      <left style="medium">
        <color rgb="FFF2F6FF"/>
      </left>
      <right style="thick">
        <color rgb="FF434343"/>
      </right>
      <top style="medium">
        <color rgb="FFF2F6FF"/>
      </top>
      <bottom style="medium">
        <color rgb="FFF2F6FF"/>
      </bottom>
    </border>
    <border>
      <left style="thin">
        <color rgb="FFF2F6FF"/>
      </left>
      <right style="thin">
        <color rgb="FFF2F6FF"/>
      </right>
    </border>
    <border>
      <left style="thick">
        <color rgb="FF434343"/>
      </left>
      <right style="medium">
        <color rgb="FFF2F6FF"/>
      </right>
      <top style="medium">
        <color rgb="FFF2F6FF"/>
      </top>
    </border>
    <border>
      <left style="medium">
        <color rgb="FFF2F6FF"/>
      </left>
      <right style="medium">
        <color rgb="FFF2F6FF"/>
      </right>
      <top style="medium">
        <color rgb="FFF2F6FF"/>
      </top>
    </border>
    <border>
      <left style="medium">
        <color rgb="FFF2F6FF"/>
      </left>
      <right style="thick">
        <color rgb="FF434343"/>
      </right>
      <top style="medium">
        <color rgb="FFF2F6FF"/>
      </top>
    </border>
    <border>
      <left style="thin">
        <color rgb="FFF2F6FF"/>
      </left>
      <right style="thin">
        <color rgb="FFF2F6FF"/>
      </right>
      <bottom style="thin">
        <color rgb="FFF2F6FF"/>
      </bottom>
    </border>
    <border>
      <left style="thick">
        <color rgb="FF434343"/>
      </left>
      <top style="medium">
        <color rgb="FF434343"/>
      </top>
      <bottom style="thin">
        <color rgb="FFF2F6FF"/>
      </bottom>
    </border>
    <border>
      <top style="medium">
        <color rgb="FF434343"/>
      </top>
      <bottom style="thin">
        <color rgb="FFF2F6FF"/>
      </bottom>
    </border>
    <border>
      <right style="thick">
        <color rgb="FF434343"/>
      </right>
      <top style="medium">
        <color rgb="FF434343"/>
      </top>
      <bottom style="thin">
        <color rgb="FFF2F6FF"/>
      </bottom>
    </border>
    <border>
      <left style="thick">
        <color rgb="FF434343"/>
      </left>
      <top style="thin">
        <color rgb="FFF2F6FF"/>
      </top>
      <bottom style="thin">
        <color rgb="FFF2F6FF"/>
      </bottom>
    </border>
    <border>
      <top style="thin">
        <color rgb="FFF2F6FF"/>
      </top>
      <bottom style="thin">
        <color rgb="FFF2F6FF"/>
      </bottom>
    </border>
    <border>
      <right style="thick">
        <color rgb="FF434343"/>
      </right>
      <top style="thin">
        <color rgb="FFF2F6FF"/>
      </top>
      <bottom style="thin">
        <color rgb="FFF2F6FF"/>
      </bottom>
    </border>
    <border>
      <left style="thick">
        <color rgb="FF434343"/>
      </left>
      <top style="thin">
        <color rgb="FFF2F6FF"/>
      </top>
    </border>
    <border>
      <left style="thin">
        <color rgb="FFF2F6FF"/>
      </left>
      <right style="thick">
        <color rgb="FF434343"/>
      </right>
      <top style="thin">
        <color rgb="FFF2F6FF"/>
      </top>
    </border>
    <border>
      <right style="thin">
        <color rgb="FFF2F6FF"/>
      </right>
      <top style="medium">
        <color rgb="FF434343"/>
      </top>
      <bottom style="thin">
        <color rgb="FFF2F6FF"/>
      </bottom>
    </border>
    <border>
      <left style="thin">
        <color rgb="FFF2F6FF"/>
      </left>
      <right style="thick">
        <color rgb="FF434343"/>
      </right>
      <top style="medium">
        <color rgb="FF434343"/>
      </top>
      <bottom style="thin">
        <color rgb="FFF2F6FF"/>
      </bottom>
    </border>
    <border>
      <right style="thin">
        <color rgb="FFF2F6FF"/>
      </right>
      <top style="thin">
        <color rgb="FFF2F6FF"/>
      </top>
      <bottom style="thin">
        <color rgb="FFF2F6FF"/>
      </bottom>
    </border>
    <border>
      <left style="thin">
        <color rgb="FFF2F6FF"/>
      </left>
      <right style="thick">
        <color rgb="FF434343"/>
      </right>
      <top style="thin">
        <color rgb="FFF2F6FF"/>
      </top>
      <bottom style="thin">
        <color rgb="FFF2F6FF"/>
      </bottom>
    </border>
    <border>
      <left style="thick">
        <color rgb="FF434343"/>
      </left>
      <top style="thin">
        <color rgb="FFF2F6FF"/>
      </top>
      <bottom style="thick">
        <color rgb="FF434343"/>
      </bottom>
    </border>
    <border>
      <top style="thin">
        <color rgb="FFF2F6FF"/>
      </top>
      <bottom style="thick">
        <color rgb="FF434343"/>
      </bottom>
    </border>
    <border>
      <right style="thin">
        <color rgb="FFF2F6FF"/>
      </right>
      <top style="thin">
        <color rgb="FFF2F6FF"/>
      </top>
      <bottom style="thick">
        <color rgb="FF434343"/>
      </bottom>
    </border>
    <border>
      <left style="thin">
        <color rgb="FFF2F6FF"/>
      </left>
      <right style="thick">
        <color rgb="FF434343"/>
      </right>
      <top style="thin">
        <color rgb="FFF2F6FF"/>
      </top>
      <bottom style="thick">
        <color rgb="FF434343"/>
      </bottom>
    </border>
    <border>
      <bottom style="thin">
        <color rgb="FFF2F6FF"/>
      </bottom>
    </border>
    <border>
      <left style="thick">
        <color rgb="FF3E3A3A"/>
      </left>
      <right style="thin">
        <color rgb="FF3C78D8"/>
      </right>
      <bottom style="thin">
        <color rgb="FF3C78D8"/>
      </bottom>
    </border>
    <border>
      <left style="thin">
        <color rgb="FF3C78D8"/>
      </left>
      <right style="thin">
        <color rgb="FF3C78D8"/>
      </right>
      <bottom style="thin">
        <color rgb="FF3C78D8"/>
      </bottom>
    </border>
    <border>
      <left style="thin">
        <color rgb="FF3C78D8"/>
      </left>
      <top style="thin">
        <color rgb="FF3E3A3A"/>
      </top>
      <bottom style="thin">
        <color rgb="FF3C78D8"/>
      </bottom>
    </border>
    <border>
      <right style="thick">
        <color rgb="FF3E3A3A"/>
      </right>
      <top style="thin">
        <color rgb="FF3E3A3A"/>
      </top>
      <bottom style="thin">
        <color rgb="FF3C78D8"/>
      </bottom>
    </border>
    <border>
      <left style="thick">
        <color rgb="FF3E3A3A"/>
      </left>
      <right style="thin">
        <color rgb="FF3C78D8"/>
      </right>
      <top style="thin">
        <color rgb="FF3C78D8"/>
      </top>
      <bottom style="thin">
        <color rgb="FF3C78D8"/>
      </bottom>
    </border>
    <border>
      <left style="thin">
        <color rgb="FF3C78D8"/>
      </left>
      <right style="thin">
        <color rgb="FF3C78D8"/>
      </right>
      <top style="thin">
        <color rgb="FF3C78D8"/>
      </top>
      <bottom style="thin">
        <color rgb="FF3C78D8"/>
      </bottom>
    </border>
    <border>
      <left style="thin">
        <color rgb="FF3C78D8"/>
      </left>
      <top style="thin">
        <color rgb="FF3C78D8"/>
      </top>
      <bottom style="thin">
        <color rgb="FF3C78D8"/>
      </bottom>
    </border>
    <border>
      <right style="thick">
        <color rgb="FF3E3A3A"/>
      </right>
      <top style="thin">
        <color rgb="FF3C78D8"/>
      </top>
      <bottom style="thin">
        <color rgb="FF3C78D8"/>
      </bottom>
    </border>
    <border>
      <left style="thick">
        <color rgb="FF3E3A3A"/>
      </left>
      <right style="thin">
        <color rgb="FF3C78D8"/>
      </right>
      <top style="thin">
        <color rgb="FF3C78D8"/>
      </top>
    </border>
    <border>
      <left style="thin">
        <color rgb="FF3C78D8"/>
      </left>
      <right style="thin">
        <color rgb="FF3C78D8"/>
      </right>
      <top style="thin">
        <color rgb="FF3C78D8"/>
      </top>
    </border>
    <border>
      <left style="thin">
        <color rgb="FF3C78D8"/>
      </left>
      <top style="thin">
        <color rgb="FF3C78D8"/>
      </top>
    </border>
    <border>
      <right style="thick">
        <color rgb="FF3E3A3A"/>
      </right>
      <top style="thin">
        <color rgb="FF3C78D8"/>
      </top>
    </border>
    <border>
      <left style="thin">
        <color rgb="FF3C78D8"/>
      </left>
      <top style="thin">
        <color rgb="FF3C78D8"/>
      </top>
      <bottom style="thin">
        <color rgb="FF476EAD"/>
      </bottom>
    </border>
    <border>
      <right style="thick">
        <color rgb="FF3E3A3A"/>
      </right>
      <top style="thin">
        <color rgb="FF3C78D8"/>
      </top>
      <bottom style="thin">
        <color rgb="FF476EAD"/>
      </bottom>
    </border>
    <border>
      <left style="thick">
        <color rgb="FF3E3A3A"/>
      </left>
      <right style="thin">
        <color rgb="FFF2F6FF"/>
      </right>
      <top style="thin">
        <color rgb="FFF2F6FF"/>
      </top>
    </border>
    <border>
      <left style="thin">
        <color rgb="FFF2F6FF"/>
      </left>
      <right style="thick">
        <color rgb="FF3E3A3A"/>
      </right>
      <top style="thin">
        <color rgb="FFF2F6FF"/>
      </top>
    </border>
    <border>
      <left style="thick">
        <color rgb="FF3E3A3A"/>
      </left>
      <right style="thin">
        <color rgb="FFEAFAFF"/>
      </right>
      <top style="thin">
        <color rgb="FFEAFAFF"/>
      </top>
      <bottom style="thin">
        <color rgb="FFEAFAFF"/>
      </bottom>
    </border>
    <border>
      <left style="thin">
        <color rgb="FFEAFAFF"/>
      </left>
      <right style="thin">
        <color rgb="FFEAFAFF"/>
      </right>
      <top style="thin">
        <color rgb="FFEAFAFF"/>
      </top>
      <bottom style="thin">
        <color rgb="FFEAFAFF"/>
      </bottom>
    </border>
    <border>
      <left style="thin">
        <color rgb="FFEAFAFF"/>
      </left>
      <right style="thick">
        <color rgb="FF3E3A3A"/>
      </right>
      <top style="thin">
        <color rgb="FFEAFAFF"/>
      </top>
      <bottom style="thin">
        <color rgb="FFEAFAFF"/>
      </bottom>
    </border>
    <border>
      <left style="thin">
        <color rgb="FFEAFAFF"/>
      </left>
      <top style="thin">
        <color rgb="FFEAFAFF"/>
      </top>
    </border>
    <border>
      <top style="thin">
        <color rgb="FFEAFAFF"/>
      </top>
    </border>
    <border>
      <right style="thin">
        <color rgb="FFEAFAFF"/>
      </right>
      <top style="thin">
        <color rgb="FFEAFAFF"/>
      </top>
    </border>
    <border>
      <left style="thin">
        <color rgb="FFEAFAFF"/>
      </left>
      <top style="thin">
        <color rgb="FFEAFAFF"/>
      </top>
      <bottom style="thin">
        <color rgb="FFEAFAFF"/>
      </bottom>
    </border>
    <border>
      <right style="thick">
        <color rgb="FF3E3A3A"/>
      </right>
      <top style="thin">
        <color rgb="FFEAFAFF"/>
      </top>
      <bottom style="thin">
        <color rgb="FFEAFAFF"/>
      </bottom>
    </border>
    <border>
      <left style="thick">
        <color rgb="FF434343"/>
      </left>
      <bottom style="medium">
        <color rgb="FFEAFAFF"/>
      </bottom>
    </border>
    <border>
      <bottom style="medium">
        <color rgb="FFEAFAFF"/>
      </bottom>
    </border>
    <border>
      <right style="thick">
        <color rgb="FF434343"/>
      </right>
      <bottom style="medium">
        <color rgb="FFEAFAFF"/>
      </bottom>
    </border>
    <border>
      <left style="thick">
        <color rgb="FF434343"/>
      </left>
      <top style="medium">
        <color rgb="FFEAFAFF"/>
      </top>
      <bottom style="medium">
        <color rgb="FFEAFAFF"/>
      </bottom>
    </border>
    <border>
      <top style="medium">
        <color rgb="FFEAFAFF"/>
      </top>
      <bottom style="medium">
        <color rgb="FFEAFAFF"/>
      </bottom>
    </border>
    <border>
      <right style="thick">
        <color rgb="FF434343"/>
      </right>
      <top style="medium">
        <color rgb="FFEAFAFF"/>
      </top>
      <bottom style="medium">
        <color rgb="FFEAFAFF"/>
      </bottom>
    </border>
    <border>
      <left style="thin">
        <color rgb="FFEAFAFF"/>
      </left>
      <right style="thin">
        <color rgb="FFEAFAFF"/>
      </right>
      <top style="thin">
        <color rgb="FFEAFAFF"/>
      </top>
    </border>
    <border>
      <left style="thick">
        <color rgb="FF434343"/>
      </left>
      <right style="medium">
        <color rgb="FFEAFAFF"/>
      </right>
      <top style="medium">
        <color rgb="FFEAFAFF"/>
      </top>
      <bottom style="medium">
        <color rgb="FFEAFAFF"/>
      </bottom>
    </border>
    <border>
      <left style="medium">
        <color rgb="FFEAFAFF"/>
      </left>
      <top style="medium">
        <color rgb="FFEAFAFF"/>
      </top>
      <bottom style="medium">
        <color rgb="FFEAFAFF"/>
      </bottom>
    </border>
    <border>
      <right style="medium">
        <color rgb="FFEAFAFF"/>
      </right>
      <top style="medium">
        <color rgb="FFEAFAFF"/>
      </top>
      <bottom style="medium">
        <color rgb="FFEAFAFF"/>
      </bottom>
    </border>
    <border>
      <left style="medium">
        <color rgb="FFEAFAFF"/>
      </left>
      <right style="thick">
        <color rgb="FF434343"/>
      </right>
      <top style="medium">
        <color rgb="FFEAFAFF"/>
      </top>
      <bottom style="medium">
        <color rgb="FFEAFAFF"/>
      </bottom>
    </border>
    <border>
      <left style="medium">
        <color rgb="FFEAFAFF"/>
      </left>
      <right style="medium">
        <color rgb="FFEAFAFF"/>
      </right>
      <top style="medium">
        <color rgb="FFEAFAFF"/>
      </top>
      <bottom style="medium">
        <color rgb="FFEAFAFF"/>
      </bottom>
    </border>
    <border>
      <left style="thin">
        <color rgb="FFEAFAFF"/>
      </left>
      <right style="thin">
        <color rgb="FFEAFAFF"/>
      </right>
    </border>
    <border>
      <left style="thick">
        <color rgb="FF434343"/>
      </left>
      <right style="medium">
        <color rgb="FFEAFAFF"/>
      </right>
      <top style="medium">
        <color rgb="FFEAFAFF"/>
      </top>
    </border>
    <border>
      <left style="medium">
        <color rgb="FFEAFAFF"/>
      </left>
      <right style="medium">
        <color rgb="FFEAFAFF"/>
      </right>
      <top style="medium">
        <color rgb="FFEAFAFF"/>
      </top>
    </border>
    <border>
      <left style="medium">
        <color rgb="FFEAFAFF"/>
      </left>
      <right style="thick">
        <color rgb="FF434343"/>
      </right>
      <top style="medium">
        <color rgb="FFEAFAFF"/>
      </top>
    </border>
    <border>
      <left style="thick">
        <color rgb="FF434343"/>
      </left>
      <top style="medium">
        <color rgb="FF434343"/>
      </top>
      <bottom style="thin">
        <color rgb="FFEAFAFF"/>
      </bottom>
    </border>
    <border>
      <top style="medium">
        <color rgb="FF434343"/>
      </top>
      <bottom style="thin">
        <color rgb="FFEAFAFF"/>
      </bottom>
    </border>
    <border>
      <right style="thick">
        <color rgb="FF434343"/>
      </right>
      <top style="medium">
        <color rgb="FF434343"/>
      </top>
      <bottom style="thin">
        <color rgb="FFEAFAFF"/>
      </bottom>
    </border>
    <border>
      <left style="thick">
        <color rgb="FF434343"/>
      </left>
      <top style="thin">
        <color rgb="FFEAFAFF"/>
      </top>
      <bottom style="thin">
        <color rgb="FFEAFAFF"/>
      </bottom>
    </border>
    <border>
      <top style="thin">
        <color rgb="FFEAFAFF"/>
      </top>
      <bottom style="thin">
        <color rgb="FFEAFAFF"/>
      </bottom>
    </border>
    <border>
      <right style="thick">
        <color rgb="FF434343"/>
      </right>
      <top style="thin">
        <color rgb="FFEAFAFF"/>
      </top>
      <bottom style="thin">
        <color rgb="FFEAFAFF"/>
      </bottom>
    </border>
    <border>
      <left style="thin">
        <color rgb="FFEAFAFF"/>
      </left>
      <right style="thin">
        <color rgb="FFEAFAFF"/>
      </right>
      <bottom style="thin">
        <color rgb="FFEAFAFF"/>
      </bottom>
    </border>
    <border>
      <left style="thick">
        <color rgb="FF434343"/>
      </left>
      <top style="thin">
        <color rgb="FFEAFAFF"/>
      </top>
    </border>
    <border>
      <left style="thin">
        <color rgb="FFEAFAFF"/>
      </left>
      <right style="thick">
        <color rgb="FF434343"/>
      </right>
      <top style="thin">
        <color rgb="FFEAFAFF"/>
      </top>
    </border>
    <border>
      <right style="thin">
        <color rgb="FFEAFAFF"/>
      </right>
      <top style="medium">
        <color rgb="FF434343"/>
      </top>
      <bottom style="thin">
        <color rgb="FFEAFAFF"/>
      </bottom>
    </border>
    <border>
      <left style="thin">
        <color rgb="FFEAFAFF"/>
      </left>
      <right style="thick">
        <color rgb="FF434343"/>
      </right>
      <top style="medium">
        <color rgb="FF434343"/>
      </top>
      <bottom style="thin">
        <color rgb="FFEAFAFF"/>
      </bottom>
    </border>
    <border>
      <right style="thin">
        <color rgb="FFEAFAFF"/>
      </right>
      <top style="thin">
        <color rgb="FFEAFAFF"/>
      </top>
      <bottom style="thin">
        <color rgb="FFEAFAFF"/>
      </bottom>
    </border>
    <border>
      <left style="thin">
        <color rgb="FFEAFAFF"/>
      </left>
      <right style="thick">
        <color rgb="FF434343"/>
      </right>
      <top style="thin">
        <color rgb="FFEAFAFF"/>
      </top>
      <bottom style="thin">
        <color rgb="FFEAFAFF"/>
      </bottom>
    </border>
    <border>
      <left style="thick">
        <color rgb="FF434343"/>
      </left>
      <top style="thin">
        <color rgb="FFEAFAFF"/>
      </top>
      <bottom style="thick">
        <color rgb="FF434343"/>
      </bottom>
    </border>
    <border>
      <top style="thin">
        <color rgb="FFEAFAFF"/>
      </top>
      <bottom style="thick">
        <color rgb="FF434343"/>
      </bottom>
    </border>
    <border>
      <right style="thin">
        <color rgb="FFEAFAFF"/>
      </right>
      <top style="thin">
        <color rgb="FFEAFAFF"/>
      </top>
      <bottom style="thick">
        <color rgb="FF434343"/>
      </bottom>
    </border>
    <border>
      <left style="thin">
        <color rgb="FFEAFAFF"/>
      </left>
      <right style="thick">
        <color rgb="FF434343"/>
      </right>
      <top style="thin">
        <color rgb="FFEAFAFF"/>
      </top>
      <bottom style="thick">
        <color rgb="FF434343"/>
      </bottom>
    </border>
    <border>
      <bottom style="thin">
        <color rgb="FFEAFAFF"/>
      </bottom>
    </border>
    <border>
      <left style="thick">
        <color rgb="FF3E3A3A"/>
      </left>
      <right style="thin">
        <color rgb="FF69C2DA"/>
      </right>
      <bottom style="thin">
        <color rgb="FF69C2DA"/>
      </bottom>
    </border>
    <border>
      <left style="thin">
        <color rgb="FF69C2DA"/>
      </left>
      <right style="thin">
        <color rgb="FF69C2DA"/>
      </right>
      <bottom style="thin">
        <color rgb="FF69C2DA"/>
      </bottom>
    </border>
    <border>
      <left style="thin">
        <color rgb="FF69C2DA"/>
      </left>
      <bottom style="thin">
        <color rgb="FF69C2DA"/>
      </bottom>
    </border>
    <border>
      <right style="thick">
        <color rgb="FF3E3A3A"/>
      </right>
      <bottom style="thin">
        <color rgb="FF69C2DA"/>
      </bottom>
    </border>
    <border>
      <left style="thick">
        <color rgb="FF3E3A3A"/>
      </left>
      <right style="thin">
        <color rgb="FF69C2DA"/>
      </right>
      <top style="thin">
        <color rgb="FF69C2DA"/>
      </top>
      <bottom style="thin">
        <color rgb="FF69C2DA"/>
      </bottom>
    </border>
    <border>
      <left style="thin">
        <color rgb="FF69C2DA"/>
      </left>
      <right style="thin">
        <color rgb="FF69C2DA"/>
      </right>
      <top style="thin">
        <color rgb="FF69C2DA"/>
      </top>
      <bottom style="thin">
        <color rgb="FF69C2DA"/>
      </bottom>
    </border>
    <border>
      <left style="thin">
        <color rgb="FF69C2DA"/>
      </left>
      <top style="thin">
        <color rgb="FF69C2DA"/>
      </top>
      <bottom style="thin">
        <color rgb="FF69C2DA"/>
      </bottom>
    </border>
    <border>
      <right style="thick">
        <color rgb="FF3E3A3A"/>
      </right>
      <top style="thin">
        <color rgb="FF69C2DA"/>
      </top>
      <bottom style="thin">
        <color rgb="FF69C2DA"/>
      </bottom>
    </border>
    <border>
      <left style="thick">
        <color rgb="FF3E3A3A"/>
      </left>
      <right style="thin">
        <color rgb="FF69C2DA"/>
      </right>
      <top style="thin">
        <color rgb="FF69C2DA"/>
      </top>
    </border>
    <border>
      <left style="thin">
        <color rgb="FF69C2DA"/>
      </left>
      <right style="thin">
        <color rgb="FF69C2DA"/>
      </right>
      <top style="thin">
        <color rgb="FF69C2DA"/>
      </top>
    </border>
    <border>
      <left style="thin">
        <color rgb="FF69C2DA"/>
      </left>
      <top style="thin">
        <color rgb="FF69C2DA"/>
      </top>
    </border>
    <border>
      <right style="thick">
        <color rgb="FF3E3A3A"/>
      </right>
      <top style="thin">
        <color rgb="FF69C2DA"/>
      </top>
    </border>
    <border>
      <left style="thin">
        <color rgb="FF69C2DA"/>
      </left>
      <top style="thin">
        <color rgb="FF69C2DA"/>
      </top>
      <bottom style="thin">
        <color rgb="FF549894"/>
      </bottom>
    </border>
    <border>
      <right style="thick">
        <color rgb="FF3E3A3A"/>
      </right>
      <top style="thin">
        <color rgb="FF69C2DA"/>
      </top>
      <bottom style="thin">
        <color rgb="FF549894"/>
      </bottom>
    </border>
    <border>
      <left style="thick">
        <color rgb="FF3E3A3A"/>
      </left>
      <right style="thin">
        <color rgb="FFEAFAFF"/>
      </right>
      <top style="thin">
        <color rgb="FFEAFAFF"/>
      </top>
      <bottom style="thick">
        <color rgb="FF3E3A3A"/>
      </bottom>
    </border>
    <border>
      <left style="thin">
        <color rgb="FFEAFAFF"/>
      </left>
      <right style="thin">
        <color rgb="FFEAFAFF"/>
      </right>
      <top style="thin">
        <color rgb="FFEAFAFF"/>
      </top>
      <bottom style="thick">
        <color rgb="FF3E3A3A"/>
      </bottom>
    </border>
    <border>
      <left style="thin">
        <color rgb="FFEAFAFF"/>
      </left>
      <right style="thin">
        <color rgb="FFEAFAFF"/>
      </right>
      <bottom style="thick">
        <color rgb="FF3E3A3A"/>
      </bottom>
    </border>
    <border>
      <left style="thin">
        <color rgb="FFEAFAFF"/>
      </left>
      <right style="thick">
        <color rgb="FF3E3A3A"/>
      </right>
      <top style="thin">
        <color rgb="FFEAFAFF"/>
      </top>
      <bottom style="thick">
        <color rgb="FF3E3A3A"/>
      </bottom>
    </border>
    <border>
      <left style="thick">
        <color rgb="FF3E3A3A"/>
      </left>
      <right style="thin">
        <color rgb="FFFCE5CD"/>
      </right>
      <bottom style="thin">
        <color rgb="FFFCE5CD"/>
      </bottom>
    </border>
    <border>
      <left style="thin">
        <color rgb="FFFCE5CD"/>
      </left>
      <right style="thin">
        <color rgb="FFFCE5CD"/>
      </right>
      <bottom style="thin">
        <color rgb="FFFCE5CD"/>
      </bottom>
    </border>
    <border>
      <left style="thin">
        <color rgb="FFFCE5CD"/>
      </left>
      <right style="thick">
        <color rgb="FF3E3A3A"/>
      </right>
      <bottom style="thin">
        <color rgb="FFFCE5CD"/>
      </bottom>
    </border>
    <border>
      <left style="thick">
        <color rgb="FF3E3A3A"/>
      </left>
      <right style="thin">
        <color rgb="FFFCE5CD"/>
      </right>
      <top style="thin">
        <color rgb="FFFCE5CD"/>
      </top>
      <bottom style="thin">
        <color rgb="FFFCE5CD"/>
      </bottom>
    </border>
    <border>
      <left style="thin">
        <color rgb="FFFCE5CD"/>
      </left>
      <right style="thin">
        <color rgb="FFFCE5CD"/>
      </right>
      <top style="thin">
        <color rgb="FFFCE5CD"/>
      </top>
      <bottom style="thin">
        <color rgb="FFFCE5CD"/>
      </bottom>
    </border>
    <border>
      <left style="thin">
        <color rgb="FFFCE5CD"/>
      </left>
      <right style="thick">
        <color rgb="FF3E3A3A"/>
      </right>
      <top style="thin">
        <color rgb="FFFCE5CD"/>
      </top>
      <bottom style="thin">
        <color rgb="FFFCE5CD"/>
      </bottom>
    </border>
    <border>
      <left style="thin">
        <color rgb="FFFCE5CD"/>
      </left>
      <top style="thin">
        <color rgb="FFFCE5CD"/>
      </top>
    </border>
    <border>
      <top style="thin">
        <color rgb="FFFCE5CD"/>
      </top>
    </border>
    <border>
      <right style="thin">
        <color rgb="FFFCE5CD"/>
      </right>
      <top style="thin">
        <color rgb="FFFCE5CD"/>
      </top>
    </border>
    <border>
      <left style="thin">
        <color rgb="FFFCE5CD"/>
      </left>
      <top style="thin">
        <color rgb="FFFCE5CD"/>
      </top>
      <bottom style="thin">
        <color rgb="FFFCE5CD"/>
      </bottom>
    </border>
    <border>
      <right style="thick">
        <color rgb="FF3E3A3A"/>
      </right>
      <top style="thin">
        <color rgb="FFFCE5CD"/>
      </top>
      <bottom style="thin">
        <color rgb="FFFCE5CD"/>
      </bottom>
    </border>
    <border>
      <left style="thick">
        <color rgb="FF434343"/>
      </left>
      <bottom style="medium">
        <color rgb="FFFCE5CD"/>
      </bottom>
    </border>
    <border>
      <bottom style="medium">
        <color rgb="FFFCE5CD"/>
      </bottom>
    </border>
    <border>
      <right style="thick">
        <color rgb="FF434343"/>
      </right>
      <bottom style="medium">
        <color rgb="FFFCE5CD"/>
      </bottom>
    </border>
    <border>
      <left style="thick">
        <color rgb="FF434343"/>
      </left>
      <top style="medium">
        <color rgb="FFFCE5CD"/>
      </top>
      <bottom style="medium">
        <color rgb="FFFCE5CD"/>
      </bottom>
    </border>
    <border>
      <top style="medium">
        <color rgb="FFFCE5CD"/>
      </top>
      <bottom style="medium">
        <color rgb="FFFCE5CD"/>
      </bottom>
    </border>
    <border>
      <right style="thick">
        <color rgb="FF434343"/>
      </right>
      <top style="medium">
        <color rgb="FFFCE5CD"/>
      </top>
      <bottom style="medium">
        <color rgb="FFFCE5CD"/>
      </bottom>
    </border>
    <border>
      <left style="thin">
        <color rgb="FFFCE5CD"/>
      </left>
      <right style="thin">
        <color rgb="FFFCE5CD"/>
      </right>
      <top style="thin">
        <color rgb="FFFCE5CD"/>
      </top>
    </border>
    <border>
      <left style="thick">
        <color rgb="FF434343"/>
      </left>
      <right style="medium">
        <color rgb="FFFCE5CD"/>
      </right>
      <top style="medium">
        <color rgb="FFFCE5CD"/>
      </top>
      <bottom style="medium">
        <color rgb="FFFCE5CD"/>
      </bottom>
    </border>
    <border>
      <left style="medium">
        <color rgb="FFFCE5CD"/>
      </left>
      <right style="medium">
        <color rgb="FFFCE5CD"/>
      </right>
      <top style="medium">
        <color rgb="FFFCE5CD"/>
      </top>
      <bottom style="medium">
        <color rgb="FFFCE5CD"/>
      </bottom>
    </border>
    <border>
      <left style="medium">
        <color rgb="FFFCE5CD"/>
      </left>
      <right style="thick">
        <color rgb="FF434343"/>
      </right>
      <top style="medium">
        <color rgb="FFFCE5CD"/>
      </top>
      <bottom style="medium">
        <color rgb="FFFCE5CD"/>
      </bottom>
    </border>
    <border>
      <left style="medium">
        <color rgb="FFFCE5CD"/>
      </left>
      <top style="medium">
        <color rgb="FFFCE5CD"/>
      </top>
      <bottom style="medium">
        <color rgb="FFFCE5CD"/>
      </bottom>
    </border>
    <border>
      <right style="medium">
        <color rgb="FFFCE5CD"/>
      </right>
      <top style="medium">
        <color rgb="FFFCE5CD"/>
      </top>
      <bottom style="medium">
        <color rgb="FFFCE5CD"/>
      </bottom>
    </border>
    <border>
      <left style="thin">
        <color rgb="FFFCE5CD"/>
      </left>
      <right style="thin">
        <color rgb="FFFCE5CD"/>
      </right>
    </border>
    <border>
      <left style="thick">
        <color rgb="FF434343"/>
      </left>
      <right style="medium">
        <color rgb="FFFCE5CD"/>
      </right>
      <top style="medium">
        <color rgb="FFFCE5CD"/>
      </top>
    </border>
    <border>
      <left style="medium">
        <color rgb="FFFCE5CD"/>
      </left>
      <right style="medium">
        <color rgb="FFFCE5CD"/>
      </right>
      <top style="medium">
        <color rgb="FFFCE5CD"/>
      </top>
    </border>
    <border>
      <left style="medium">
        <color rgb="FFFCE5CD"/>
      </left>
      <right style="thick">
        <color rgb="FF434343"/>
      </right>
      <top style="medium">
        <color rgb="FFFCE5CD"/>
      </top>
    </border>
    <border>
      <left style="thick">
        <color rgb="FF434343"/>
      </left>
      <top style="medium">
        <color rgb="FF434343"/>
      </top>
      <bottom style="thin">
        <color rgb="FFFCE5CD"/>
      </bottom>
    </border>
    <border>
      <top style="medium">
        <color rgb="FF434343"/>
      </top>
      <bottom style="thin">
        <color rgb="FFFCE5CD"/>
      </bottom>
    </border>
    <border>
      <right style="thick">
        <color rgb="FF434343"/>
      </right>
      <top style="medium">
        <color rgb="FF434343"/>
      </top>
      <bottom style="thin">
        <color rgb="FFFCE5CD"/>
      </bottom>
    </border>
    <border>
      <left style="thick">
        <color rgb="FF434343"/>
      </left>
      <top style="thin">
        <color rgb="FFFCE5CD"/>
      </top>
      <bottom style="thin">
        <color rgb="FFFCE5CD"/>
      </bottom>
    </border>
    <border>
      <top style="thin">
        <color rgb="FFFCE5CD"/>
      </top>
      <bottom style="thin">
        <color rgb="FFFCE5CD"/>
      </bottom>
    </border>
    <border>
      <right style="thick">
        <color rgb="FF434343"/>
      </right>
      <top style="thin">
        <color rgb="FFFCE5CD"/>
      </top>
      <bottom style="thin">
        <color rgb="FFFCE5CD"/>
      </bottom>
    </border>
    <border>
      <left style="thick">
        <color rgb="FF434343"/>
      </left>
      <top style="thin">
        <color rgb="FFFCE5CD"/>
      </top>
    </border>
    <border>
      <left style="thin">
        <color rgb="FFFCE5CD"/>
      </left>
      <right style="thick">
        <color rgb="FF434343"/>
      </right>
      <top style="thin">
        <color rgb="FFFCE5CD"/>
      </top>
    </border>
    <border>
      <right style="thin">
        <color rgb="FFFCE5CD"/>
      </right>
      <top style="medium">
        <color rgb="FF434343"/>
      </top>
      <bottom style="thin">
        <color rgb="FFFCE5CD"/>
      </bottom>
    </border>
    <border>
      <right style="thin">
        <color rgb="FFFCE5CD"/>
      </right>
      <top style="thin">
        <color rgb="FFFCE5CD"/>
      </top>
      <bottom style="thin">
        <color rgb="FFFCE5CD"/>
      </bottom>
    </border>
    <border>
      <left style="thick">
        <color rgb="FF434343"/>
      </left>
      <top style="thin">
        <color rgb="FFFCE5CD"/>
      </top>
      <bottom style="thick">
        <color rgb="FF434343"/>
      </bottom>
    </border>
    <border>
      <top style="thin">
        <color rgb="FFFCE5CD"/>
      </top>
      <bottom style="thick">
        <color rgb="FF434343"/>
      </bottom>
    </border>
    <border>
      <right style="thin">
        <color rgb="FFFCE5CD"/>
      </right>
      <top style="thin">
        <color rgb="FFFCE5CD"/>
      </top>
      <bottom style="thick">
        <color rgb="FF434343"/>
      </bottom>
    </border>
    <border>
      <right style="thick">
        <color rgb="FF434343"/>
      </right>
      <top style="thin">
        <color rgb="FFFCE5CD"/>
      </top>
      <bottom style="thick">
        <color rgb="FF434343"/>
      </bottom>
    </border>
    <border>
      <bottom style="thin">
        <color rgb="FFFCE5CD"/>
      </bottom>
    </border>
    <border>
      <left style="thick">
        <color rgb="FF3E3A3A"/>
      </left>
      <right style="thin">
        <color rgb="FFB87A55"/>
      </right>
      <bottom style="thin">
        <color rgb="FFB87A55"/>
      </bottom>
    </border>
    <border>
      <left style="thin">
        <color rgb="FFB87A55"/>
      </left>
      <right style="thin">
        <color rgb="FFB87A55"/>
      </right>
      <bottom style="thin">
        <color rgb="FFB87A55"/>
      </bottom>
    </border>
    <border>
      <left style="thin">
        <color rgb="FFB87A55"/>
      </left>
      <top style="thin">
        <color rgb="FF3E3A3A"/>
      </top>
      <bottom style="thin">
        <color rgb="FFB87A55"/>
      </bottom>
    </border>
    <border>
      <right style="thick">
        <color rgb="FF3E3A3A"/>
      </right>
      <top style="thin">
        <color rgb="FF3E3A3A"/>
      </top>
      <bottom style="thin">
        <color rgb="FFB87A55"/>
      </bottom>
    </border>
    <border>
      <left style="thick">
        <color rgb="FF3E3A3A"/>
      </left>
      <right style="thin">
        <color rgb="FFB87A55"/>
      </right>
      <top style="thin">
        <color rgb="FFB87A55"/>
      </top>
      <bottom style="thin">
        <color rgb="FFB87A55"/>
      </bottom>
    </border>
    <border>
      <left style="thin">
        <color rgb="FFB87A55"/>
      </left>
      <right style="thin">
        <color rgb="FFB87A55"/>
      </right>
      <top style="thin">
        <color rgb="FFB87A55"/>
      </top>
      <bottom style="thin">
        <color rgb="FFB87A55"/>
      </bottom>
    </border>
    <border>
      <left style="thin">
        <color rgb="FFB87A55"/>
      </left>
      <top style="thin">
        <color rgb="FFB87A55"/>
      </top>
      <bottom style="thin">
        <color rgb="FFB87A55"/>
      </bottom>
    </border>
    <border>
      <right style="thick">
        <color rgb="FF3E3A3A"/>
      </right>
      <top style="thin">
        <color rgb="FFB87A55"/>
      </top>
      <bottom style="thin">
        <color rgb="FFB87A55"/>
      </bottom>
    </border>
    <border>
      <left style="thick">
        <color rgb="FF3E3A3A"/>
      </left>
      <right style="thin">
        <color rgb="FFB87A55"/>
      </right>
      <top style="thin">
        <color rgb="FFB87A55"/>
      </top>
    </border>
    <border>
      <left style="thin">
        <color rgb="FFB87A55"/>
      </left>
      <right style="thin">
        <color rgb="FFB87A55"/>
      </right>
      <top style="thin">
        <color rgb="FFB87A55"/>
      </top>
    </border>
    <border>
      <left style="thin">
        <color rgb="FFB87A55"/>
      </left>
      <top style="thin">
        <color rgb="FFB87A55"/>
      </top>
    </border>
    <border>
      <right style="thick">
        <color rgb="FF3E3A3A"/>
      </right>
      <top style="thin">
        <color rgb="FFB87A55"/>
      </top>
    </border>
    <border>
      <left style="thick">
        <color rgb="FF3E3A3A"/>
      </left>
      <right style="thin">
        <color rgb="FFFCE5CD"/>
      </right>
      <bottom style="thick">
        <color rgb="FF3E3A3A"/>
      </bottom>
    </border>
    <border>
      <left style="thin">
        <color rgb="FFFCE5CD"/>
      </left>
      <right style="thin">
        <color rgb="FFFCE5CD"/>
      </right>
      <bottom style="thick">
        <color rgb="FF3E3A3A"/>
      </bottom>
    </border>
    <border>
      <left style="thin">
        <color rgb="FFFCE5CD"/>
      </left>
      <right style="thick">
        <color rgb="FF3E3A3A"/>
      </right>
      <bottom style="thick">
        <color rgb="FF3E3A3A"/>
      </bottom>
    </border>
    <border>
      <left style="thick">
        <color rgb="FF3E3A3A"/>
      </left>
      <right style="thin">
        <color rgb="FFC1B6D5"/>
      </right>
      <bottom style="thin">
        <color rgb="FFC1B6D5"/>
      </bottom>
    </border>
    <border>
      <left style="thin">
        <color rgb="FFC1B6D5"/>
      </left>
      <bottom style="thin">
        <color rgb="FFC1B6D5"/>
      </bottom>
    </border>
    <border>
      <bottom style="thin">
        <color rgb="FFC1B6D5"/>
      </bottom>
    </border>
    <border>
      <right style="thin">
        <color rgb="FFC1B6D5"/>
      </right>
      <bottom style="thin">
        <color rgb="FFC1B6D5"/>
      </bottom>
    </border>
    <border>
      <left style="thin">
        <color rgb="FFC1B6D5"/>
      </left>
      <right style="thick">
        <color rgb="FF3E3A3A"/>
      </right>
      <bottom style="thin">
        <color rgb="FFC1B6D5"/>
      </bottom>
    </border>
    <border>
      <left style="thick">
        <color rgb="FF3E3A3A"/>
      </left>
      <right style="thin">
        <color rgb="FFC1B6D5"/>
      </right>
      <top style="thin">
        <color rgb="FFC1B6D5"/>
      </top>
      <bottom style="thin">
        <color rgb="FFC1B6D5"/>
      </bottom>
    </border>
    <border>
      <left style="thin">
        <color rgb="FFC1B6D5"/>
      </left>
      <right style="thin">
        <color rgb="FFC1B6D5"/>
      </right>
      <top style="thin">
        <color rgb="FFC1B6D5"/>
      </top>
      <bottom style="thin">
        <color rgb="FFC1B6D5"/>
      </bottom>
    </border>
    <border>
      <left style="thin">
        <color rgb="FFC1B6D5"/>
      </left>
      <right style="thick">
        <color rgb="FF3E3A3A"/>
      </right>
      <top style="thin">
        <color rgb="FFC1B6D5"/>
      </top>
      <bottom style="thin">
        <color rgb="FFC1B6D5"/>
      </bottom>
    </border>
    <border>
      <left style="thin">
        <color rgb="FFC1B6D5"/>
      </left>
      <top style="thin">
        <color rgb="FFC1B6D5"/>
      </top>
    </border>
    <border>
      <top style="thin">
        <color rgb="FFC1B6D5"/>
      </top>
    </border>
    <border>
      <right style="thin">
        <color rgb="FFC1B6D5"/>
      </right>
      <top style="thin">
        <color rgb="FFC1B6D5"/>
      </top>
    </border>
    <border>
      <left style="thin">
        <color rgb="FFC1B6D5"/>
      </left>
      <top style="thin">
        <color rgb="FFC1B6D5"/>
      </top>
      <bottom style="thin">
        <color rgb="FFC1B6D5"/>
      </bottom>
    </border>
    <border>
      <right style="thick">
        <color rgb="FF3E3A3A"/>
      </right>
      <top style="thin">
        <color rgb="FFC1B6D5"/>
      </top>
      <bottom style="thin">
        <color rgb="FFC1B6D5"/>
      </bottom>
    </border>
    <border>
      <left style="thick">
        <color rgb="FF434343"/>
      </left>
      <bottom style="medium">
        <color rgb="FFC1B6D5"/>
      </bottom>
    </border>
    <border>
      <bottom style="medium">
        <color rgb="FFC1B6D5"/>
      </bottom>
    </border>
    <border>
      <right style="thick">
        <color rgb="FF434343"/>
      </right>
      <bottom style="medium">
        <color rgb="FFC1B6D5"/>
      </bottom>
    </border>
    <border>
      <left style="thick">
        <color rgb="FF434343"/>
      </left>
      <top style="medium">
        <color rgb="FFC1B6D5"/>
      </top>
      <bottom style="medium">
        <color rgb="FFC1B6D5"/>
      </bottom>
    </border>
    <border>
      <top style="medium">
        <color rgb="FFC1B6D5"/>
      </top>
      <bottom style="medium">
        <color rgb="FFC1B6D5"/>
      </bottom>
    </border>
    <border>
      <right style="thick">
        <color rgb="FF434343"/>
      </right>
      <top style="medium">
        <color rgb="FFC1B6D5"/>
      </top>
      <bottom style="medium">
        <color rgb="FFC1B6D5"/>
      </bottom>
    </border>
    <border>
      <left style="thin">
        <color rgb="FFC1B6D5"/>
      </left>
      <right style="thin">
        <color rgb="FFC1B6D5"/>
      </right>
      <top style="thin">
        <color rgb="FFC1B6D5"/>
      </top>
    </border>
    <border>
      <left style="thick">
        <color rgb="FF434343"/>
      </left>
      <right style="medium">
        <color rgb="FFC1B6D5"/>
      </right>
      <top style="medium">
        <color rgb="FFC1B6D5"/>
      </top>
      <bottom style="medium">
        <color rgb="FFC1B6D5"/>
      </bottom>
    </border>
    <border>
      <left style="medium">
        <color rgb="FFC1B6D5"/>
      </left>
      <right style="medium">
        <color rgb="FFC1B6D5"/>
      </right>
      <top style="medium">
        <color rgb="FFC1B6D5"/>
      </top>
      <bottom style="medium">
        <color rgb="FFC1B6D5"/>
      </bottom>
    </border>
    <border>
      <left style="medium">
        <color rgb="FFC1B6D5"/>
      </left>
      <right style="thick">
        <color rgb="FF434343"/>
      </right>
      <top style="medium">
        <color rgb="FFC1B6D5"/>
      </top>
      <bottom style="medium">
        <color rgb="FFC1B6D5"/>
      </bottom>
    </border>
    <border>
      <left style="thin">
        <color rgb="FFC1B6D5"/>
      </left>
      <right style="thin">
        <color rgb="FFC1B6D5"/>
      </right>
    </border>
    <border>
      <left style="thick">
        <color rgb="FF434343"/>
      </left>
      <right style="medium">
        <color rgb="FFC1B6D5"/>
      </right>
      <top style="medium">
        <color rgb="FFC1B6D5"/>
      </top>
    </border>
    <border>
      <left style="medium">
        <color rgb="FFC1B6D5"/>
      </left>
      <right style="medium">
        <color rgb="FFC1B6D5"/>
      </right>
      <top style="medium">
        <color rgb="FFC1B6D5"/>
      </top>
    </border>
    <border>
      <left style="medium">
        <color rgb="FFC1B6D5"/>
      </left>
      <right style="thick">
        <color rgb="FF434343"/>
      </right>
      <top style="medium">
        <color rgb="FFC1B6D5"/>
      </top>
    </border>
    <border>
      <left style="thick">
        <color rgb="FF434343"/>
      </left>
      <top style="medium">
        <color rgb="FF434343"/>
      </top>
      <bottom style="thin">
        <color rgb="FFC1B6D5"/>
      </bottom>
    </border>
    <border>
      <top style="medium">
        <color rgb="FF434343"/>
      </top>
      <bottom style="thin">
        <color rgb="FFC1B6D5"/>
      </bottom>
    </border>
    <border>
      <right style="thick">
        <color rgb="FF434343"/>
      </right>
      <top style="medium">
        <color rgb="FF434343"/>
      </top>
      <bottom style="thin">
        <color rgb="FFC1B6D5"/>
      </bottom>
    </border>
    <border>
      <left style="thick">
        <color rgb="FF434343"/>
      </left>
      <top style="thin">
        <color rgb="FFC1B6D5"/>
      </top>
      <bottom style="thin">
        <color rgb="FFC1B6D5"/>
      </bottom>
    </border>
    <border>
      <top style="thin">
        <color rgb="FFC1B6D5"/>
      </top>
      <bottom style="thin">
        <color rgb="FFC1B6D5"/>
      </bottom>
    </border>
    <border>
      <right style="thick">
        <color rgb="FF434343"/>
      </right>
      <top style="thin">
        <color rgb="FFC1B6D5"/>
      </top>
      <bottom style="thin">
        <color rgb="FFC1B6D5"/>
      </bottom>
    </border>
    <border>
      <left style="thin">
        <color rgb="FFC1B6D5"/>
      </left>
      <right style="thin">
        <color rgb="FFC1B6D5"/>
      </right>
      <bottom style="thin">
        <color rgb="FFC1B6D5"/>
      </bottom>
    </border>
    <border>
      <left style="thick">
        <color rgb="FF434343"/>
      </left>
      <top style="thin">
        <color rgb="FFC1B6D5"/>
      </top>
    </border>
    <border>
      <left style="thin">
        <color rgb="FFC1B6D5"/>
      </left>
      <right style="thick">
        <color rgb="FF434343"/>
      </right>
      <top style="thin">
        <color rgb="FFC1B6D5"/>
      </top>
    </border>
    <border>
      <right style="thin">
        <color rgb="FFC1B6D5"/>
      </right>
      <top style="medium">
        <color rgb="FF434343"/>
      </top>
      <bottom style="thin">
        <color rgb="FFC1B6D5"/>
      </bottom>
    </border>
    <border>
      <left style="thin">
        <color rgb="FFC1B6D5"/>
      </left>
      <right style="thick">
        <color rgb="FF434343"/>
      </right>
      <top style="medium">
        <color rgb="FF434343"/>
      </top>
      <bottom style="thin">
        <color rgb="FFC1B6D5"/>
      </bottom>
    </border>
    <border>
      <right style="thin">
        <color rgb="FFC1B6D5"/>
      </right>
      <top style="thin">
        <color rgb="FFC1B6D5"/>
      </top>
      <bottom style="thin">
        <color rgb="FFC1B6D5"/>
      </bottom>
    </border>
    <border>
      <left style="thin">
        <color rgb="FFC1B6D5"/>
      </left>
      <right style="thick">
        <color rgb="FF434343"/>
      </right>
      <top style="thin">
        <color rgb="FFC1B6D5"/>
      </top>
      <bottom style="thin">
        <color rgb="FFC1B6D5"/>
      </bottom>
    </border>
    <border>
      <left style="thick">
        <color rgb="FF434343"/>
      </left>
      <top style="thin">
        <color rgb="FFC1B6D5"/>
      </top>
      <bottom style="thick">
        <color rgb="FF434343"/>
      </bottom>
    </border>
    <border>
      <top style="thin">
        <color rgb="FFC1B6D5"/>
      </top>
      <bottom style="thick">
        <color rgb="FF434343"/>
      </bottom>
    </border>
    <border>
      <right style="thin">
        <color rgb="FFC1B6D5"/>
      </right>
      <top style="thin">
        <color rgb="FFC1B6D5"/>
      </top>
      <bottom style="thick">
        <color rgb="FF434343"/>
      </bottom>
    </border>
    <border>
      <left style="thin">
        <color rgb="FFC1B6D5"/>
      </left>
      <right style="thick">
        <color rgb="FF434343"/>
      </right>
      <top style="thin">
        <color rgb="FFC1B6D5"/>
      </top>
      <bottom style="thick">
        <color rgb="FF434343"/>
      </bottom>
    </border>
    <border>
      <left style="thick">
        <color rgb="FF3E3A3A"/>
      </left>
      <right style="thin">
        <color rgb="FF5C519C"/>
      </right>
      <bottom style="thin">
        <color rgb="FF5C519C"/>
      </bottom>
    </border>
    <border>
      <left style="thin">
        <color rgb="FF5C519C"/>
      </left>
      <right style="thin">
        <color rgb="FF5C519C"/>
      </right>
      <bottom style="thin">
        <color rgb="FF5C519C"/>
      </bottom>
    </border>
    <border>
      <left style="thin">
        <color rgb="FF5C519C"/>
      </left>
      <top style="thin">
        <color rgb="FF3E3A3A"/>
      </top>
      <bottom style="thin">
        <color rgb="FF5C519C"/>
      </bottom>
    </border>
    <border>
      <right style="thick">
        <color rgb="FF3E3A3A"/>
      </right>
      <top style="thin">
        <color rgb="FF3E3A3A"/>
      </top>
      <bottom style="thin">
        <color rgb="FF5C519C"/>
      </bottom>
    </border>
    <border>
      <left style="thick">
        <color rgb="FF3E3A3A"/>
      </left>
      <right style="thin">
        <color rgb="FF5C519C"/>
      </right>
      <top style="thin">
        <color rgb="FF5C519C"/>
      </top>
      <bottom style="thin">
        <color rgb="FF5C519C"/>
      </bottom>
    </border>
    <border>
      <left style="thin">
        <color rgb="FF5C519C"/>
      </left>
      <right style="thin">
        <color rgb="FF5C519C"/>
      </right>
      <top style="thin">
        <color rgb="FF5C519C"/>
      </top>
      <bottom style="thin">
        <color rgb="FF5C519C"/>
      </bottom>
    </border>
    <border>
      <left style="thin">
        <color rgb="FF5C519C"/>
      </left>
      <top style="thin">
        <color rgb="FF5C519C"/>
      </top>
      <bottom style="thin">
        <color rgb="FF5C519C"/>
      </bottom>
    </border>
    <border>
      <right style="thick">
        <color rgb="FF3E3A3A"/>
      </right>
      <top style="thin">
        <color rgb="FF5C519C"/>
      </top>
      <bottom style="thin">
        <color rgb="FF5C519C"/>
      </bottom>
    </border>
    <border>
      <left style="thick">
        <color rgb="FF3E3A3A"/>
      </left>
      <right style="thin">
        <color rgb="FF5C519C"/>
      </right>
      <top style="thin">
        <color rgb="FF5C519C"/>
      </top>
    </border>
    <border>
      <left style="thin">
        <color rgb="FF5C519C"/>
      </left>
      <right style="thin">
        <color rgb="FF5C519C"/>
      </right>
      <top style="thin">
        <color rgb="FF5C519C"/>
      </top>
    </border>
    <border>
      <left style="thin">
        <color rgb="FF5C519C"/>
      </left>
      <top style="thin">
        <color rgb="FF5C519C"/>
      </top>
    </border>
    <border>
      <right style="thick">
        <color rgb="FF3E3A3A"/>
      </right>
      <top style="thin">
        <color rgb="FF5C519C"/>
      </top>
    </border>
    <border>
      <left style="thick">
        <color rgb="FF3E3A3A"/>
      </left>
      <right style="thin">
        <color rgb="FFC1B6D5"/>
      </right>
      <top style="thin">
        <color rgb="FFC1B6D5"/>
      </top>
    </border>
    <border>
      <left style="thin">
        <color rgb="FFC1B6D5"/>
      </left>
      <right style="thick">
        <color rgb="FF3E3A3A"/>
      </right>
      <top style="thin">
        <color rgb="FFC1B6D5"/>
      </top>
    </border>
    <border>
      <left style="thick">
        <color rgb="FF3E3A3A"/>
      </left>
      <right style="thin">
        <color rgb="FFC1B6D5"/>
      </right>
      <top style="thin">
        <color rgb="FFC1B6D5"/>
      </top>
      <bottom style="thin">
        <color rgb="FFFCE5CD"/>
      </bottom>
    </border>
    <border>
      <left style="thin">
        <color rgb="FFC1B6D5"/>
      </left>
      <right style="thin">
        <color rgb="FFC1B6D5"/>
      </right>
      <top style="thin">
        <color rgb="FFC1B6D5"/>
      </top>
      <bottom style="thin">
        <color rgb="FFFCE5CD"/>
      </bottom>
    </border>
    <border>
      <left style="thin">
        <color rgb="FFC1B6D5"/>
      </left>
      <right style="thin">
        <color rgb="FFC1B6D5"/>
      </right>
      <bottom style="thin">
        <color rgb="FFFCE5CD"/>
      </bottom>
    </border>
    <border>
      <left style="thin">
        <color rgb="FFC1B6D5"/>
      </left>
      <right style="thick">
        <color rgb="FF3E3A3A"/>
      </right>
      <top style="thin">
        <color rgb="FFC1B6D5"/>
      </top>
      <bottom style="thin">
        <color rgb="FFFCE5CD"/>
      </bottom>
    </border>
    <border>
      <left style="thick">
        <color rgb="FF3E3A3A"/>
      </left>
      <right style="thin">
        <color rgb="FFC1B6D5"/>
      </right>
      <top style="thin">
        <color rgb="FFC1B6D5"/>
      </top>
      <bottom style="thick">
        <color rgb="FF3E3A3A"/>
      </bottom>
    </border>
    <border>
      <left style="thin">
        <color rgb="FFC1B6D5"/>
      </left>
      <right style="thin">
        <color rgb="FFC1B6D5"/>
      </right>
      <top style="thin">
        <color rgb="FFC1B6D5"/>
      </top>
      <bottom style="thick">
        <color rgb="FF3E3A3A"/>
      </bottom>
    </border>
    <border>
      <left style="thin">
        <color rgb="FFC1B6D5"/>
      </left>
      <right style="thick">
        <color rgb="FF3E3A3A"/>
      </right>
      <top style="thin">
        <color rgb="FFC1B6D5"/>
      </top>
      <bottom style="thick">
        <color rgb="FF3E3A3A"/>
      </bottom>
    </border>
    <border>
      <left style="thin">
        <color rgb="FFD8DCE3"/>
      </left>
      <bottom style="thin">
        <color rgb="FFD8DCE3"/>
      </bottom>
    </border>
    <border>
      <left style="thick">
        <color rgb="FF3E3A3A"/>
      </left>
      <right style="thin">
        <color rgb="FFD8DCE3"/>
      </right>
      <top style="thin">
        <color rgb="FFD8DCE3"/>
      </top>
      <bottom style="thin">
        <color rgb="FFDCE4ED"/>
      </bottom>
    </border>
    <border>
      <left style="thin">
        <color rgb="FFD8DCE3"/>
      </left>
      <right style="thin">
        <color rgb="FFD8DCE3"/>
      </right>
      <top style="thin">
        <color rgb="FFD8DCE3"/>
      </top>
      <bottom style="thin">
        <color rgb="FFDCE4ED"/>
      </bottom>
    </border>
    <border>
      <left style="thin">
        <color rgb="FFD8DCE3"/>
      </left>
      <right style="thick">
        <color rgb="FF3E3A3A"/>
      </right>
      <top style="thin">
        <color rgb="FFD8DCE3"/>
      </top>
      <bottom style="thin">
        <color rgb="FFDCE4ED"/>
      </bottom>
    </border>
    <border>
      <right style="thick">
        <color rgb="FF3E3A3A"/>
      </right>
      <top style="thin">
        <color rgb="FFD8DCE3"/>
      </top>
    </border>
    <border>
      <left style="medium">
        <color rgb="FFD2E7FB"/>
      </left>
      <top style="medium">
        <color rgb="FFD2E7FB"/>
      </top>
      <bottom style="medium">
        <color rgb="FFD2E7FB"/>
      </bottom>
    </border>
    <border>
      <right style="medium">
        <color rgb="FFD2E7FB"/>
      </right>
      <top style="medium">
        <color rgb="FFD2E7FB"/>
      </top>
      <bottom style="medium">
        <color rgb="FFD2E7FB"/>
      </bottom>
    </border>
    <border>
      <right style="medium">
        <color rgb="FF3E3A3A"/>
      </right>
      <bottom style="thick">
        <color rgb="FF3E3A3A"/>
      </bottom>
    </border>
    <border>
      <left style="thick">
        <color rgb="FF3E3A3A"/>
      </left>
      <right style="thin">
        <color rgb="FFEFEFEF"/>
      </right>
      <top style="thin">
        <color rgb="FFEFEFEF"/>
      </top>
    </border>
    <border>
      <left style="thin">
        <color rgb="FF326EDC"/>
      </left>
      <right style="thin">
        <color rgb="FF326EDC"/>
      </right>
      <bottom style="thin">
        <color rgb="FF326EDC"/>
      </bottom>
    </border>
    <border>
      <left style="thin">
        <color rgb="FFFF00FF"/>
      </left>
      <right style="thin">
        <color rgb="FFFF00FF"/>
      </right>
      <top style="thin">
        <color rgb="FFFF00FF"/>
      </top>
      <bottom style="thin">
        <color rgb="FFFF00FF"/>
      </bottom>
    </border>
    <border>
      <left style="thin">
        <color rgb="FFFF00FF"/>
      </left>
      <right style="thin">
        <color rgb="FFFF00FF"/>
      </right>
      <top style="thin">
        <color rgb="FFFF00FF"/>
      </top>
    </border>
    <border>
      <left style="thin">
        <color rgb="FFFF00FF"/>
      </left>
      <top style="thin">
        <color rgb="FFFF00FF"/>
      </top>
      <bottom style="thin">
        <color rgb="FFFF00FF"/>
      </bottom>
    </border>
    <border>
      <left style="thick">
        <color rgb="FF3E3A3A"/>
      </left>
      <right style="thin">
        <color rgb="FFD6CDDA"/>
      </right>
      <top style="thick">
        <color rgb="FF3E3A3A"/>
      </top>
      <bottom style="thin">
        <color rgb="FFD6CDDA"/>
      </bottom>
    </border>
    <border>
      <left style="thin">
        <color rgb="FFD6CDDA"/>
      </left>
      <right style="thin">
        <color rgb="FFD6CDDA"/>
      </right>
      <top style="thick">
        <color rgb="FF3E3A3A"/>
      </top>
    </border>
    <border>
      <left style="thin">
        <color rgb="FFD6CDDA"/>
      </left>
      <right style="thick">
        <color rgb="FF3E3A3A"/>
      </right>
      <top style="thick">
        <color rgb="FF3E3A3A"/>
      </top>
      <bottom style="thin">
        <color rgb="FFD6CDDA"/>
      </bottom>
    </border>
    <border>
      <right style="thin">
        <color rgb="FFFF00FF"/>
      </right>
      <top style="thin">
        <color rgb="FFFF00FF"/>
      </top>
      <bottom style="thin">
        <color rgb="FFFF00FF"/>
      </bottom>
    </border>
    <border>
      <left style="thick">
        <color rgb="FF3E3A3A"/>
      </left>
      <top style="thin">
        <color rgb="FFD6CDDA"/>
      </top>
      <bottom style="thin">
        <color rgb="FFD6CDDA"/>
      </bottom>
    </border>
    <border>
      <right style="thick">
        <color rgb="FF3E3A3A"/>
      </right>
      <top style="thin">
        <color rgb="FFD6CDDA"/>
      </top>
      <bottom style="thin">
        <color rgb="FFD6CDDA"/>
      </bottom>
    </border>
    <border>
      <left style="thick">
        <color rgb="FF3E3A3A"/>
      </left>
      <right style="thin">
        <color rgb="FFD6CDDA"/>
      </right>
      <top style="thin">
        <color rgb="FFD6CDDA"/>
      </top>
      <bottom style="thin">
        <color rgb="FFD6CDDA"/>
      </bottom>
    </border>
    <border>
      <left style="thin">
        <color rgb="FFD6CDDA"/>
      </left>
      <right style="thin">
        <color rgb="FFD6CDDA"/>
      </right>
      <bottom style="thin">
        <color rgb="FFD6CDDA"/>
      </bottom>
    </border>
    <border>
      <left style="thin">
        <color rgb="FFD6CDDA"/>
      </left>
      <right style="thin">
        <color rgb="FFD6CDDA"/>
      </right>
    </border>
    <border>
      <left style="thin">
        <color rgb="FFD6CDDA"/>
      </left>
      <right style="thick">
        <color rgb="FF3E3A3A"/>
      </right>
      <top style="thin">
        <color rgb="FFD6CDDA"/>
      </top>
      <bottom style="thin">
        <color rgb="FFD6CDDA"/>
      </bottom>
    </border>
    <border>
      <left style="thin">
        <color rgb="FFD6CDDA"/>
      </left>
      <top style="thin">
        <color rgb="FFD6CDDA"/>
      </top>
      <bottom style="thin">
        <color rgb="FFD6CDDA"/>
      </bottom>
    </border>
    <border>
      <top style="thin">
        <color rgb="FFD6CDDA"/>
      </top>
    </border>
    <border>
      <left style="thick">
        <color rgb="FF434343"/>
      </left>
      <bottom style="medium">
        <color rgb="FFD6CDDA"/>
      </bottom>
    </border>
    <border>
      <bottom style="medium">
        <color rgb="FFD6CDDA"/>
      </bottom>
    </border>
    <border>
      <right style="thick">
        <color rgb="FF434343"/>
      </right>
      <bottom style="medium">
        <color rgb="FFD6CDDA"/>
      </bottom>
    </border>
    <border>
      <left style="thick">
        <color rgb="FF434343"/>
      </left>
      <top style="medium">
        <color rgb="FFD6CDDA"/>
      </top>
      <bottom style="medium">
        <color rgb="FFD6CDDA"/>
      </bottom>
    </border>
    <border>
      <top style="medium">
        <color rgb="FFD6CDDA"/>
      </top>
      <bottom style="medium">
        <color rgb="FFD6CDDA"/>
      </bottom>
    </border>
    <border>
      <right style="thick">
        <color rgb="FF434343"/>
      </right>
      <top style="medium">
        <color rgb="FFD6CDDA"/>
      </top>
      <bottom style="medium">
        <color rgb="FFD6CDDA"/>
      </bottom>
    </border>
    <border>
      <left style="thin">
        <color rgb="FFD6CDDA"/>
      </left>
      <right style="thin">
        <color rgb="FFD6CDDA"/>
      </right>
      <top style="thin">
        <color rgb="FFD6CDDA"/>
      </top>
      <bottom style="thin">
        <color rgb="FFD6CDDA"/>
      </bottom>
    </border>
    <border>
      <left style="thick">
        <color rgb="FF434343"/>
      </left>
      <right style="medium">
        <color rgb="FFD6CDDA"/>
      </right>
      <top style="medium">
        <color rgb="FFD6CDDA"/>
      </top>
      <bottom style="medium">
        <color rgb="FFD6CDDA"/>
      </bottom>
    </border>
    <border>
      <left style="medium">
        <color rgb="FFD6CDDA"/>
      </left>
      <top style="medium">
        <color rgb="FFD6CDDA"/>
      </top>
      <bottom style="medium">
        <color rgb="FFD6CDDA"/>
      </bottom>
    </border>
    <border>
      <right style="medium">
        <color rgb="FFD6CDDA"/>
      </right>
      <top style="medium">
        <color rgb="FFD6CDDA"/>
      </top>
      <bottom style="medium">
        <color rgb="FFD6CDDA"/>
      </bottom>
    </border>
    <border>
      <left style="medium">
        <color rgb="FFD6CDDA"/>
      </left>
      <right style="thick">
        <color rgb="FF434343"/>
      </right>
      <top style="medium">
        <color rgb="FFD6CDDA"/>
      </top>
      <bottom style="medium">
        <color rgb="FFD6CDDA"/>
      </bottom>
    </border>
    <border>
      <left style="medium">
        <color rgb="FFD6CDDA"/>
      </left>
      <right style="medium">
        <color rgb="FFD6CDDA"/>
      </right>
      <top style="medium">
        <color rgb="FFD6CDDA"/>
      </top>
      <bottom style="medium">
        <color rgb="FFD6CDDA"/>
      </bottom>
    </border>
    <border>
      <left style="thin">
        <color rgb="FFD6CDDA"/>
      </left>
      <right style="thin">
        <color rgb="FFD6CDDA"/>
      </right>
      <top style="thin">
        <color rgb="FFD6CDDA"/>
      </top>
    </border>
    <border>
      <left style="thick">
        <color rgb="FF434343"/>
      </left>
      <right style="medium">
        <color rgb="FFD6CDDA"/>
      </right>
      <top style="medium">
        <color rgb="FFD6CDDA"/>
      </top>
    </border>
    <border>
      <left style="medium">
        <color rgb="FFD6CDDA"/>
      </left>
      <right style="medium">
        <color rgb="FFD6CDDA"/>
      </right>
      <top style="medium">
        <color rgb="FFD6CDDA"/>
      </top>
    </border>
    <border>
      <left style="medium">
        <color rgb="FFD6CDDA"/>
      </left>
      <right style="thick">
        <color rgb="FF434343"/>
      </right>
      <top style="medium">
        <color rgb="FFD6CDDA"/>
      </top>
    </border>
    <border>
      <left style="thick">
        <color rgb="FF434343"/>
      </left>
      <top style="medium">
        <color rgb="FF434343"/>
      </top>
      <bottom style="thin">
        <color rgb="FFD6CDDA"/>
      </bottom>
    </border>
    <border>
      <top style="medium">
        <color rgb="FF434343"/>
      </top>
      <bottom style="thin">
        <color rgb="FFD6CDDA"/>
      </bottom>
    </border>
    <border>
      <right style="thick">
        <color rgb="FF434343"/>
      </right>
      <top style="medium">
        <color rgb="FF434343"/>
      </top>
      <bottom style="thin">
        <color rgb="FFD6CDDA"/>
      </bottom>
    </border>
    <border>
      <left style="thick">
        <color rgb="FF434343"/>
      </left>
      <top style="thin">
        <color rgb="FFD6CDDA"/>
      </top>
      <bottom style="thin">
        <color rgb="FFD6CDDA"/>
      </bottom>
    </border>
    <border>
      <top style="thin">
        <color rgb="FFD6CDDA"/>
      </top>
      <bottom style="thin">
        <color rgb="FFD6CDDA"/>
      </bottom>
    </border>
    <border>
      <right style="thick">
        <color rgb="FF434343"/>
      </right>
      <top style="thin">
        <color rgb="FFD6CDDA"/>
      </top>
      <bottom style="thin">
        <color rgb="FFD6CDDA"/>
      </bottom>
    </border>
    <border>
      <left style="thick">
        <color rgb="FF434343"/>
      </left>
      <top style="thin">
        <color rgb="FFD6CDDA"/>
      </top>
    </border>
    <border>
      <right style="thin">
        <color rgb="FFD6CDDA"/>
      </right>
      <top style="thin">
        <color rgb="FFD6CDDA"/>
      </top>
    </border>
    <border>
      <left style="thin">
        <color rgb="FFD6CDDA"/>
      </left>
      <right style="thick">
        <color rgb="FF434343"/>
      </right>
      <top style="thin">
        <color rgb="FFD6CDDA"/>
      </top>
    </border>
    <border>
      <right style="thin">
        <color rgb="FFD6CDDA"/>
      </right>
      <top style="medium">
        <color rgb="FF434343"/>
      </top>
      <bottom style="thin">
        <color rgb="FFD6CDDA"/>
      </bottom>
    </border>
    <border>
      <right style="thin">
        <color rgb="FFD6CDDA"/>
      </right>
      <top style="thin">
        <color rgb="FFD6CDDA"/>
      </top>
      <bottom style="thin">
        <color rgb="FFD6CDDA"/>
      </bottom>
    </border>
    <border>
      <left style="thick">
        <color rgb="FF434343"/>
      </left>
      <top style="thin">
        <color rgb="FFD6CDDA"/>
      </top>
      <bottom style="thick">
        <color rgb="FF434343"/>
      </bottom>
    </border>
    <border>
      <top style="thin">
        <color rgb="FFD6CDDA"/>
      </top>
      <bottom style="thick">
        <color rgb="FF434343"/>
      </bottom>
    </border>
    <border>
      <right style="thin">
        <color rgb="FFD6CDDA"/>
      </right>
      <top style="thin">
        <color rgb="FFD6CDDA"/>
      </top>
      <bottom style="thick">
        <color rgb="FF434343"/>
      </bottom>
    </border>
    <border>
      <right style="thick">
        <color rgb="FF434343"/>
      </right>
      <top style="thin">
        <color rgb="FFD6CDDA"/>
      </top>
      <bottom style="thick">
        <color rgb="FF434343"/>
      </bottom>
    </border>
    <border>
      <bottom style="thin">
        <color rgb="FFD6CDDA"/>
      </bottom>
    </border>
    <border>
      <left style="thick">
        <color rgb="FF3E3A3A"/>
      </left>
      <right style="thin">
        <color rgb="FFA787B8"/>
      </right>
      <bottom style="thin">
        <color rgb="FFA787B8"/>
      </bottom>
    </border>
    <border>
      <left style="thin">
        <color rgb="FFA787B8"/>
      </left>
      <right style="thin">
        <color rgb="FFA787B8"/>
      </right>
      <bottom style="thin">
        <color rgb="FFA787B8"/>
      </bottom>
    </border>
    <border>
      <left style="thin">
        <color rgb="FFA787B8"/>
      </left>
      <top style="thin">
        <color rgb="FF3E3A3A"/>
      </top>
      <bottom style="thin">
        <color rgb="FFA787B8"/>
      </bottom>
    </border>
    <border>
      <right style="thick">
        <color rgb="FF3E3A3A"/>
      </right>
      <top style="thin">
        <color rgb="FF3E3A3A"/>
      </top>
      <bottom style="thin">
        <color rgb="FFA787B8"/>
      </bottom>
    </border>
    <border>
      <left style="thick">
        <color rgb="FF3E3A3A"/>
      </left>
      <right style="thin">
        <color rgb="FFA787B8"/>
      </right>
      <top style="thin">
        <color rgb="FFA787B8"/>
      </top>
      <bottom style="thin">
        <color rgb="FFA787B8"/>
      </bottom>
    </border>
    <border>
      <left style="thin">
        <color rgb="FFA787B8"/>
      </left>
      <right style="thin">
        <color rgb="FFA787B8"/>
      </right>
      <top style="thin">
        <color rgb="FFA787B8"/>
      </top>
      <bottom style="thin">
        <color rgb="FFA787B8"/>
      </bottom>
    </border>
    <border>
      <left style="thin">
        <color rgb="FFA787B8"/>
      </left>
      <top style="thin">
        <color rgb="FFA787B8"/>
      </top>
      <bottom style="thin">
        <color rgb="FFA787B8"/>
      </bottom>
    </border>
    <border>
      <right style="thick">
        <color rgb="FF3E3A3A"/>
      </right>
      <top style="thin">
        <color rgb="FFA787B8"/>
      </top>
      <bottom style="thin">
        <color rgb="FFA787B8"/>
      </bottom>
    </border>
    <border>
      <left style="thick">
        <color rgb="FF3E3A3A"/>
      </left>
      <right style="thin">
        <color rgb="FFA787B8"/>
      </right>
      <top style="thin">
        <color rgb="FFA787B8"/>
      </top>
    </border>
    <border>
      <left style="thin">
        <color rgb="FFA787B8"/>
      </left>
      <right style="thin">
        <color rgb="FFA787B8"/>
      </right>
      <top style="thin">
        <color rgb="FFA787B8"/>
      </top>
    </border>
    <border>
      <left style="thin">
        <color rgb="FFA787B8"/>
      </left>
      <top style="thin">
        <color rgb="FFA787B8"/>
      </top>
      <bottom style="thin">
        <color rgb="FF75667D"/>
      </bottom>
    </border>
    <border>
      <right style="thick">
        <color rgb="FF3E3A3A"/>
      </right>
      <top style="thin">
        <color rgb="FFA787B8"/>
      </top>
      <bottom style="thin">
        <color rgb="FF75667D"/>
      </bottom>
    </border>
    <border>
      <left style="thick">
        <color rgb="FF3E3A3A"/>
      </left>
      <right style="thin">
        <color rgb="FFD6CDDA"/>
      </right>
      <top style="thin">
        <color rgb="FFD6CDDA"/>
      </top>
    </border>
    <border>
      <left style="thin">
        <color rgb="FFD6CDDA"/>
      </left>
      <right style="thick">
        <color rgb="FF3E3A3A"/>
      </right>
      <top style="thin">
        <color rgb="FFD6CDDA"/>
      </top>
    </border>
    <border>
      <left style="thin">
        <color rgb="FFA787B8"/>
      </left>
      <top style="thin">
        <color rgb="FFA787B8"/>
      </top>
    </border>
    <border>
      <right style="thick">
        <color rgb="FF3E3A3A"/>
      </right>
      <top style="thin">
        <color rgb="FFA787B8"/>
      </top>
    </border>
    <border>
      <left style="thin">
        <color rgb="FFD6CDDA"/>
      </left>
      <top style="thin">
        <color rgb="FFD6CDDA"/>
      </top>
    </border>
    <border>
      <left style="thick">
        <color rgb="FF3E3A3A"/>
      </left>
      <right style="thin">
        <color rgb="FFD6CDDA"/>
      </right>
      <bottom style="thick">
        <color rgb="FF3E3A3A"/>
      </bottom>
    </border>
    <border>
      <left style="thin">
        <color rgb="FFD6CDDA"/>
      </left>
      <right style="thin">
        <color rgb="FFD6CDDA"/>
      </right>
      <top style="thin">
        <color rgb="FFEDE4DA"/>
      </top>
      <bottom style="thick">
        <color rgb="FF3E3A3A"/>
      </bottom>
    </border>
    <border>
      <left style="thin">
        <color rgb="FFD6CDDA"/>
      </left>
      <right style="thin">
        <color rgb="FFD6CDDA"/>
      </right>
      <bottom style="thick">
        <color rgb="FF3E3A3A"/>
      </bottom>
    </border>
    <border>
      <left style="thin">
        <color rgb="FFD6CDDA"/>
      </left>
      <right style="thick">
        <color rgb="FF3E3A3A"/>
      </right>
      <bottom style="thick">
        <color rgb="FF3E3A3A"/>
      </bottom>
    </border>
    <border>
      <left style="thin">
        <color rgb="FFEBECFC"/>
      </left>
      <top style="thin">
        <color rgb="FFEBECFC"/>
      </top>
    </border>
    <border>
      <left style="thin">
        <color rgb="FFFF00FF"/>
      </left>
      <right style="thick">
        <color rgb="FF3E3A3A"/>
      </right>
      <top style="thin">
        <color rgb="FFFF00FF"/>
      </top>
      <bottom style="thin">
        <color rgb="FFFF00FF"/>
      </bottom>
    </border>
    <border>
      <left style="thick">
        <color rgb="FF434343"/>
      </left>
      <right style="thin">
        <color rgb="FFEBF4FC"/>
      </right>
      <top style="medium">
        <color rgb="FFEBF4FC"/>
      </top>
      <bottom style="medium">
        <color rgb="FFEBF4FC"/>
      </bottom>
    </border>
    <border>
      <left style="thin">
        <color rgb="FFEBF4FC"/>
      </left>
      <right style="thick">
        <color rgb="FF434343"/>
      </right>
      <top style="medium">
        <color rgb="FFEBF4FC"/>
      </top>
      <bottom style="medium">
        <color rgb="FFEBF4FC"/>
      </bottom>
    </border>
    <border>
      <left style="thick">
        <color rgb="FF434343"/>
      </left>
      <right style="thin">
        <color rgb="FFEBF4FC"/>
      </right>
      <top style="thin">
        <color rgb="FFEBF4FC"/>
      </top>
    </border>
    <border>
      <right style="thick">
        <color rgb="FF3E3A3A"/>
      </right>
      <bottom style="thin">
        <color rgb="FFEBFCFC"/>
      </bottom>
    </border>
    <border>
      <right style="thick">
        <color rgb="FF3E3A3A"/>
      </right>
      <top style="thin">
        <color rgb="FFEBFCFC"/>
      </top>
      <bottom style="thin">
        <color rgb="FFEBFCFC"/>
      </bottom>
    </border>
    <border>
      <left style="thick">
        <color rgb="FF3E3A3A"/>
      </left>
      <right style="thick">
        <color rgb="FF3E3A3A"/>
      </right>
      <top style="medium">
        <color rgb="FF3E3A3A"/>
      </top>
    </border>
    <border>
      <top style="thin">
        <color rgb="FFEBFCFC"/>
      </top>
      <bottom style="thin">
        <color rgb="FFEBFCFB"/>
      </bottom>
    </border>
    <border>
      <left style="thin">
        <color rgb="FFEBFCFC"/>
      </left>
      <right style="thin">
        <color rgb="FFEBFCFB"/>
      </right>
      <bottom style="thin">
        <color rgb="FFEBFCFB"/>
      </bottom>
    </border>
    <border>
      <left style="thin">
        <color rgb="FFEBFCFC"/>
      </left>
      <right style="thin">
        <color rgb="FFEBFCFB"/>
      </right>
      <top style="thin">
        <color rgb="FFEBFCFB"/>
      </top>
      <bottom style="thin">
        <color rgb="FFEBFCFB"/>
      </bottom>
    </border>
    <border>
      <left style="thin">
        <color rgb="FFEBFCFC"/>
      </left>
      <right style="thin">
        <color rgb="FFEBFCFB"/>
      </right>
      <top style="thin">
        <color rgb="FFEBFCFB"/>
      </top>
    </border>
    <border>
      <left style="thin">
        <color rgb="FFEBFCFC"/>
      </left>
      <right style="thin">
        <color rgb="FFEBFCFB"/>
      </right>
    </border>
    <border>
      <left style="thin">
        <color rgb="FFEBFCFC"/>
      </left>
      <right style="thin">
        <color rgb="FFEBFCFB"/>
      </right>
      <bottom style="thin">
        <color rgb="FFEBFCFC"/>
      </bottom>
    </border>
    <border>
      <left style="thin">
        <color rgb="FFEBFCFB"/>
      </left>
      <top style="thin">
        <color rgb="FFEBFCFB"/>
      </top>
      <bottom style="thin">
        <color rgb="FFEBFCFC"/>
      </bottom>
    </border>
    <border>
      <left style="thin">
        <color rgb="FFFDFFEB"/>
      </left>
    </border>
    <border>
      <right style="thin">
        <color rgb="FFFDFFEB"/>
      </right>
    </border>
    <border>
      <left style="thick">
        <color rgb="FF434343"/>
      </left>
      <right style="thick">
        <color rgb="FF434343"/>
      </right>
    </border>
    <border>
      <left style="medium">
        <color rgb="FF3E3A3A"/>
      </left>
      <right style="thick">
        <color rgb="FF3E3A3A"/>
      </right>
      <top style="medium">
        <color rgb="FF3E3A3A"/>
      </top>
      <bottom style="thin">
        <color rgb="FF3E3A3A"/>
      </bottom>
    </border>
    <border>
      <left style="thick">
        <color rgb="FF3E3A3A"/>
      </left>
      <right style="thin">
        <color rgb="FFFBFCFF"/>
      </right>
      <top style="thin">
        <color rgb="FFFFFFFF"/>
      </top>
      <bottom style="thin">
        <color rgb="FFFBFCFF"/>
      </bottom>
    </border>
    <border>
      <left style="thin">
        <color rgb="FFFBFCFF"/>
      </left>
      <right style="thin">
        <color rgb="FFFBFCFF"/>
      </right>
      <bottom style="thin">
        <color rgb="FFFBFCFF"/>
      </bottom>
    </border>
    <border>
      <left style="thin">
        <color rgb="FFFBFCFF"/>
      </left>
      <right style="thin">
        <color rgb="FFFBFCFF"/>
      </right>
    </border>
    <border>
      <left style="thin">
        <color rgb="FFFBFCFF"/>
      </left>
      <right style="thick">
        <color rgb="FF3E3A3A"/>
      </right>
      <top style="thin">
        <color rgb="FFFFFFFF"/>
      </top>
      <bottom style="thin">
        <color rgb="FFFBFCFF"/>
      </bottom>
    </border>
    <border>
      <left style="thick">
        <color rgb="FF3E3A3A"/>
      </left>
      <right style="thin">
        <color rgb="FFFBFCFF"/>
      </right>
      <top style="thin">
        <color rgb="FFFBFCFF"/>
      </top>
      <bottom style="thin">
        <color rgb="FFFBFCFF"/>
      </bottom>
    </border>
    <border>
      <left style="thin">
        <color rgb="FFFBFCFF"/>
      </left>
      <top style="thin">
        <color rgb="FFFBFCFF"/>
      </top>
      <bottom style="thin">
        <color rgb="FFFBFCFF"/>
      </bottom>
    </border>
    <border>
      <top style="thin">
        <color rgb="FFFBFCFF"/>
      </top>
      <bottom style="thin">
        <color rgb="FFFBFCFF"/>
      </bottom>
    </border>
    <border>
      <right style="thin">
        <color rgb="FFFBFCFF"/>
      </right>
      <top style="thin">
        <color rgb="FFFBFCFF"/>
      </top>
      <bottom style="thin">
        <color rgb="FFFBFCFF"/>
      </bottom>
    </border>
    <border>
      <left style="thin">
        <color rgb="FFFBFCFF"/>
      </left>
      <right style="thin">
        <color rgb="FFFBFCFF"/>
      </right>
      <top style="thin">
        <color rgb="FFFBFCFF"/>
      </top>
      <bottom style="thin">
        <color rgb="FFFBFCFF"/>
      </bottom>
    </border>
    <border>
      <left style="thin">
        <color rgb="FFFBFCFF"/>
      </left>
      <right style="thick">
        <color rgb="FF3E3A3A"/>
      </right>
      <top style="thin">
        <color rgb="FFFBFCFF"/>
      </top>
      <bottom style="thin">
        <color rgb="FFFBFCFF"/>
      </bottom>
    </border>
    <border>
      <left style="thick">
        <color rgb="FF434343"/>
      </left>
      <bottom style="medium">
        <color rgb="FFFBFCFF"/>
      </bottom>
    </border>
    <border>
      <bottom style="medium">
        <color rgb="FFFBFCFF"/>
      </bottom>
    </border>
    <border>
      <right style="thick">
        <color rgb="FF434343"/>
      </right>
      <bottom style="medium">
        <color rgb="FFFBFCFF"/>
      </bottom>
    </border>
    <border>
      <left style="thick">
        <color rgb="FF434343"/>
      </left>
      <top style="medium">
        <color rgb="FFFBFCFF"/>
      </top>
      <bottom style="medium">
        <color rgb="FFFBFCFF"/>
      </bottom>
    </border>
    <border>
      <top style="medium">
        <color rgb="FFFBFCFF"/>
      </top>
      <bottom style="medium">
        <color rgb="FFFBFCFF"/>
      </bottom>
    </border>
    <border>
      <right style="thick">
        <color rgb="FF434343"/>
      </right>
      <top style="medium">
        <color rgb="FFFBFCFF"/>
      </top>
      <bottom style="medium">
        <color rgb="FFFBFCFF"/>
      </bottom>
    </border>
    <border>
      <left style="thick">
        <color rgb="FF434343"/>
      </left>
      <right style="medium">
        <color rgb="FFFBFCFF"/>
      </right>
      <top style="medium">
        <color rgb="FFFBFCFF"/>
      </top>
      <bottom style="medium">
        <color rgb="FFFBFCFF"/>
      </bottom>
    </border>
    <border>
      <left style="medium">
        <color rgb="FFFBFCFF"/>
      </left>
      <top style="medium">
        <color rgb="FFFBFCFF"/>
      </top>
      <bottom style="medium">
        <color rgb="FFFBFCFF"/>
      </bottom>
    </border>
    <border>
      <right style="medium">
        <color rgb="FFFBFCFF"/>
      </right>
      <top style="medium">
        <color rgb="FFFBFCFF"/>
      </top>
      <bottom style="medium">
        <color rgb="FFFBFCFF"/>
      </bottom>
    </border>
    <border>
      <left style="medium">
        <color rgb="FFFBFCFF"/>
      </left>
      <right style="thick">
        <color rgb="FF434343"/>
      </right>
      <top style="medium">
        <color rgb="FFFBFCFF"/>
      </top>
      <bottom style="medium">
        <color rgb="FFFBFCFF"/>
      </bottom>
    </border>
    <border>
      <left style="medium">
        <color rgb="FFFBFCFF"/>
      </left>
      <right style="medium">
        <color rgb="FFFBFCFF"/>
      </right>
      <top style="medium">
        <color rgb="FFFBFCFF"/>
      </top>
      <bottom style="medium">
        <color rgb="FFFBFCFF"/>
      </bottom>
    </border>
    <border>
      <left style="thin">
        <color rgb="FFFBFCFF"/>
      </left>
      <right style="thin">
        <color rgb="FFFBFCFF"/>
      </right>
      <top style="thin">
        <color rgb="FFFBFCFF"/>
      </top>
    </border>
    <border>
      <left style="thick">
        <color rgb="FF434343"/>
      </left>
      <right style="medium">
        <color rgb="FFFBFCFF"/>
      </right>
      <top style="medium">
        <color rgb="FFFBFCFF"/>
      </top>
    </border>
    <border>
      <left style="medium">
        <color rgb="FFFBFCFF"/>
      </left>
      <right style="medium">
        <color rgb="FFFBFCFF"/>
      </right>
      <top style="medium">
        <color rgb="FFFBFCFF"/>
      </top>
    </border>
    <border>
      <left style="medium">
        <color rgb="FFFBFCFF"/>
      </left>
      <right style="thick">
        <color rgb="FF434343"/>
      </right>
      <top style="medium">
        <color rgb="FFFBFCFF"/>
      </top>
    </border>
    <border>
      <left style="thick">
        <color rgb="FF434343"/>
      </left>
      <top style="medium">
        <color rgb="FF434343"/>
      </top>
      <bottom style="thin">
        <color rgb="FFFBFCFF"/>
      </bottom>
    </border>
    <border>
      <top style="medium">
        <color rgb="FF434343"/>
      </top>
      <bottom style="thin">
        <color rgb="FFFBFCFF"/>
      </bottom>
    </border>
    <border>
      <right style="thick">
        <color rgb="FF434343"/>
      </right>
      <top style="medium">
        <color rgb="FF434343"/>
      </top>
      <bottom style="thin">
        <color rgb="FFFBFCFF"/>
      </bottom>
    </border>
    <border>
      <left style="thick">
        <color rgb="FF434343"/>
      </left>
      <top style="thin">
        <color rgb="FFFBFCFF"/>
      </top>
      <bottom style="thin">
        <color rgb="FFFBFCFF"/>
      </bottom>
    </border>
    <border>
      <right style="thick">
        <color rgb="FF434343"/>
      </right>
      <top style="thin">
        <color rgb="FFFBFCFF"/>
      </top>
      <bottom style="thin">
        <color rgb="FFFBFCFF"/>
      </bottom>
    </border>
    <border>
      <left style="thick">
        <color rgb="FF434343"/>
      </left>
      <top style="thin">
        <color rgb="FFFBFCFF"/>
      </top>
    </border>
    <border>
      <top style="thin">
        <color rgb="FFFBFCFF"/>
      </top>
    </border>
    <border>
      <right style="thin">
        <color rgb="FFFBFCFF"/>
      </right>
      <top style="thin">
        <color rgb="FFFBFCFF"/>
      </top>
    </border>
    <border>
      <left style="thin">
        <color rgb="FFFBFCFF"/>
      </left>
      <right style="thick">
        <color rgb="FF434343"/>
      </right>
      <top style="thin">
        <color rgb="FFFBFCFF"/>
      </top>
    </border>
    <border>
      <right style="thin">
        <color rgb="FFFBFCFF"/>
      </right>
      <top style="medium">
        <color rgb="FF434343"/>
      </top>
      <bottom style="thin">
        <color rgb="FFFBFCFF"/>
      </bottom>
    </border>
    <border>
      <left style="thick">
        <color rgb="FF434343"/>
      </left>
      <top style="thin">
        <color rgb="FFFBFCFF"/>
      </top>
      <bottom style="thick">
        <color rgb="FF434343"/>
      </bottom>
    </border>
    <border>
      <top style="thin">
        <color rgb="FFFBFCFF"/>
      </top>
      <bottom style="thick">
        <color rgb="FF434343"/>
      </bottom>
    </border>
    <border>
      <right style="thin">
        <color rgb="FFFBFCFF"/>
      </right>
      <top style="thin">
        <color rgb="FFFBFCFF"/>
      </top>
      <bottom style="thick">
        <color rgb="FF434343"/>
      </bottom>
    </border>
    <border>
      <right style="thick">
        <color rgb="FF434343"/>
      </right>
      <top style="thin">
        <color rgb="FFFBFCFF"/>
      </top>
      <bottom style="thick">
        <color rgb="FF434343"/>
      </bottom>
    </border>
    <border>
      <left style="thick">
        <color rgb="FF3E3A3A"/>
      </left>
      <right style="thin">
        <color rgb="FFD86870"/>
      </right>
      <bottom style="thin">
        <color rgb="FFD86870"/>
      </bottom>
    </border>
    <border>
      <left style="thin">
        <color rgb="FFD86870"/>
      </left>
      <right style="thin">
        <color rgb="FFD86870"/>
      </right>
      <bottom style="thin">
        <color rgb="FFD86870"/>
      </bottom>
    </border>
    <border>
      <left style="thin">
        <color rgb="FFD86870"/>
      </left>
      <top style="thin">
        <color rgb="FF3E3A3A"/>
      </top>
      <bottom style="thin">
        <color rgb="FFD86870"/>
      </bottom>
    </border>
    <border>
      <right style="thick">
        <color rgb="FF3E3A3A"/>
      </right>
      <top style="thin">
        <color rgb="FF3E3A3A"/>
      </top>
      <bottom style="thin">
        <color rgb="FFD86870"/>
      </bottom>
    </border>
    <border>
      <left style="thick">
        <color rgb="FF3E3A3A"/>
      </left>
      <right style="thin">
        <color rgb="FFD86870"/>
      </right>
      <top style="thin">
        <color rgb="FFD86870"/>
      </top>
      <bottom style="thin">
        <color rgb="FFD86870"/>
      </bottom>
    </border>
    <border>
      <left style="thin">
        <color rgb="FFD86870"/>
      </left>
      <right style="thin">
        <color rgb="FFD86870"/>
      </right>
      <top style="thin">
        <color rgb="FFD86870"/>
      </top>
      <bottom style="thin">
        <color rgb="FFD86870"/>
      </bottom>
    </border>
    <border>
      <left style="thin">
        <color rgb="FFD86870"/>
      </left>
      <top style="thin">
        <color rgb="FFD86870"/>
      </top>
      <bottom style="thin">
        <color rgb="FFD86870"/>
      </bottom>
    </border>
    <border>
      <right style="thick">
        <color rgb="FF3E3A3A"/>
      </right>
      <top style="thin">
        <color rgb="FFD86870"/>
      </top>
      <bottom style="thin">
        <color rgb="FFD86870"/>
      </bottom>
    </border>
    <border>
      <left style="thick">
        <color rgb="FF3E3A3A"/>
      </left>
      <right style="thin">
        <color rgb="FFD86870"/>
      </right>
      <top style="thin">
        <color rgb="FFD86870"/>
      </top>
    </border>
    <border>
      <left style="thin">
        <color rgb="FFD86870"/>
      </left>
      <right style="thin">
        <color rgb="FFD86870"/>
      </right>
      <top style="thin">
        <color rgb="FFD86870"/>
      </top>
    </border>
    <border>
      <left style="thin">
        <color rgb="FFD86870"/>
      </left>
      <top style="thin">
        <color rgb="FFD86870"/>
      </top>
      <bottom style="thin">
        <color rgb="FFA65E63"/>
      </bottom>
    </border>
    <border>
      <right style="thick">
        <color rgb="FF3E3A3A"/>
      </right>
      <top style="thin">
        <color rgb="FFD86870"/>
      </top>
      <bottom style="thin">
        <color rgb="FFA65E63"/>
      </bottom>
    </border>
    <border>
      <left style="thick">
        <color rgb="FF3E3A3A"/>
      </left>
      <right style="thin">
        <color rgb="FFFBFCFF"/>
      </right>
      <top style="thin">
        <color rgb="FFFBFCFF"/>
      </top>
      <bottom style="thick">
        <color rgb="FF3E3A3A"/>
      </bottom>
    </border>
    <border>
      <left style="thin">
        <color rgb="FFFBFCFF"/>
      </left>
      <right style="thin">
        <color rgb="FFFBFCFF"/>
      </right>
      <top style="thin">
        <color rgb="FFFBFCFF"/>
      </top>
      <bottom style="thick">
        <color rgb="FF3E3A3A"/>
      </bottom>
    </border>
    <border>
      <left style="thin">
        <color rgb="FFFBFCFF"/>
      </left>
      <right style="thin">
        <color rgb="FFFBFCFF"/>
      </right>
      <bottom style="thick">
        <color rgb="FF3E3A3A"/>
      </bottom>
    </border>
    <border>
      <left style="thin">
        <color rgb="FFFBFCFF"/>
      </left>
      <top style="thin">
        <color rgb="FFFBFCFF"/>
      </top>
      <bottom style="thick">
        <color rgb="FF3E3A3A"/>
      </bottom>
    </border>
    <border>
      <top style="thin">
        <color rgb="FFFBFCFF"/>
      </top>
      <bottom style="thick">
        <color rgb="FF3E3A3A"/>
      </bottom>
    </border>
    <border>
      <right style="thin">
        <color rgb="FFFBFCFF"/>
      </right>
      <top style="thin">
        <color rgb="FFFBFCFF"/>
      </top>
      <bottom style="thick">
        <color rgb="FF3E3A3A"/>
      </bottom>
    </border>
    <border>
      <left style="thin">
        <color rgb="FFFBFCFF"/>
      </left>
      <right style="thick">
        <color rgb="FF3E3A3A"/>
      </right>
      <top style="thin">
        <color rgb="FFFBFCFF"/>
      </top>
      <bottom style="thick">
        <color rgb="FF3E3A3A"/>
      </bottom>
    </border>
    <border>
      <left style="thick">
        <color rgb="FF3E3A3A"/>
      </left>
      <right style="thin">
        <color rgb="FFFBFCFF"/>
      </right>
      <top style="thin">
        <color rgb="FFFBFCFF"/>
      </top>
    </border>
    <border>
      <left style="thin">
        <color rgb="FFFBFCFF"/>
      </left>
      <right style="thick">
        <color rgb="FF3E3A3A"/>
      </right>
      <top style="thin">
        <color rgb="FFFBFCFF"/>
      </top>
    </border>
    <border>
      <left style="thick">
        <color rgb="FF3E3A3A"/>
      </left>
      <right style="thin">
        <color rgb="FFF9D1CF"/>
      </right>
      <top style="thin">
        <color rgb="FFFFFFFF"/>
      </top>
      <bottom style="thin">
        <color rgb="FFF9D1CF"/>
      </bottom>
    </border>
    <border>
      <left style="thin">
        <color rgb="FFF9D1CF"/>
      </left>
      <right style="thin">
        <color rgb="FFF9D1CF"/>
      </right>
      <bottom style="thin">
        <color rgb="FFF9D1CF"/>
      </bottom>
    </border>
    <border>
      <left style="thin">
        <color rgb="FFF9D1CF"/>
      </left>
      <right style="thin">
        <color rgb="FFF9D1CF"/>
      </right>
    </border>
    <border>
      <left style="thin">
        <color rgb="FFF9D1CF"/>
      </left>
      <right style="thick">
        <color rgb="FF3E3A3A"/>
      </right>
      <top style="thin">
        <color rgb="FFFFFFFF"/>
      </top>
      <bottom style="thin">
        <color rgb="FFF9D1CF"/>
      </bottom>
    </border>
    <border>
      <left style="thick">
        <color rgb="FF3E3A3A"/>
      </left>
      <right style="thin">
        <color rgb="FFF9D1CF"/>
      </right>
      <top style="thin">
        <color rgb="FFF9D1CF"/>
      </top>
      <bottom style="thin">
        <color rgb="FFF9D1CF"/>
      </bottom>
    </border>
    <border>
      <left style="thin">
        <color rgb="FFF9D1CF"/>
      </left>
      <top style="thin">
        <color rgb="FFF9D1CF"/>
      </top>
      <bottom style="thin">
        <color rgb="FFF9D1CF"/>
      </bottom>
    </border>
    <border>
      <top style="thin">
        <color rgb="FFF9D1CF"/>
      </top>
      <bottom style="thin">
        <color rgb="FFF9D1CF"/>
      </bottom>
    </border>
    <border>
      <right style="thick">
        <color rgb="FF3E3A3A"/>
      </right>
      <top style="thin">
        <color rgb="FFF9D1CF"/>
      </top>
      <bottom style="thin">
        <color rgb="FFF9D1CF"/>
      </bottom>
    </border>
    <border>
      <left style="thick">
        <color rgb="FF434343"/>
      </left>
      <bottom style="medium">
        <color rgb="FFF9D1CF"/>
      </bottom>
    </border>
    <border>
      <bottom style="medium">
        <color rgb="FFF9D1CF"/>
      </bottom>
    </border>
    <border>
      <right style="thick">
        <color rgb="FF434343"/>
      </right>
      <bottom style="medium">
        <color rgb="FFF9D1CF"/>
      </bottom>
    </border>
    <border>
      <left style="thick">
        <color rgb="FF434343"/>
      </left>
      <top style="medium">
        <color rgb="FFF9D1CF"/>
      </top>
      <bottom style="medium">
        <color rgb="FFF9D1CF"/>
      </bottom>
    </border>
    <border>
      <top style="medium">
        <color rgb="FFF9D1CF"/>
      </top>
      <bottom style="medium">
        <color rgb="FFF9D1CF"/>
      </bottom>
    </border>
    <border>
      <right style="thick">
        <color rgb="FF434343"/>
      </right>
      <top style="medium">
        <color rgb="FFF9D1CF"/>
      </top>
      <bottom style="medium">
        <color rgb="FFF9D1CF"/>
      </bottom>
    </border>
    <border>
      <left style="thin">
        <color rgb="FFF9D1CF"/>
      </left>
      <right style="thin">
        <color rgb="FFF9D1CF"/>
      </right>
      <top style="thin">
        <color rgb="FFF9D1CF"/>
      </top>
    </border>
    <border>
      <left style="thin">
        <color rgb="FFF9D1CF"/>
      </left>
      <right style="thin">
        <color rgb="FFF9D1CF"/>
      </right>
      <top style="thin">
        <color rgb="FFF9D1CF"/>
      </top>
      <bottom style="thin">
        <color rgb="FFF9D1CF"/>
      </bottom>
    </border>
    <border>
      <left style="thick">
        <color rgb="FF434343"/>
      </left>
      <right style="medium">
        <color rgb="FFF9D1CF"/>
      </right>
      <top style="medium">
        <color rgb="FFF9D1CF"/>
      </top>
      <bottom style="medium">
        <color rgb="FFF9D1CF"/>
      </bottom>
    </border>
    <border>
      <left style="medium">
        <color rgb="FFF9D1CF"/>
      </left>
      <right style="medium">
        <color rgb="FFF9D1CF"/>
      </right>
      <top style="medium">
        <color rgb="FFF9D1CF"/>
      </top>
      <bottom style="medium">
        <color rgb="FFF9D1CF"/>
      </bottom>
    </border>
    <border>
      <left style="medium">
        <color rgb="FFF9D1CF"/>
      </left>
      <right style="thick">
        <color rgb="FF434343"/>
      </right>
      <top style="medium">
        <color rgb="FFF9D1CF"/>
      </top>
      <bottom style="medium">
        <color rgb="FFF9D1CF"/>
      </bottom>
    </border>
    <border>
      <left style="medium">
        <color rgb="FFF9D1CF"/>
      </left>
      <top style="medium">
        <color rgb="FFF9D1CF"/>
      </top>
      <bottom style="medium">
        <color rgb="FFF9D1CF"/>
      </bottom>
    </border>
    <border>
      <right style="medium">
        <color rgb="FFF9D1CF"/>
      </right>
      <top style="medium">
        <color rgb="FFF9D1CF"/>
      </top>
      <bottom style="medium">
        <color rgb="FFF9D1CF"/>
      </bottom>
    </border>
    <border>
      <left style="thin">
        <color rgb="FFF9D1CF"/>
      </left>
      <right style="thick">
        <color rgb="FF3E3A3A"/>
      </right>
      <top style="thin">
        <color rgb="FFF9D1CF"/>
      </top>
      <bottom style="thin">
        <color rgb="FFF9D1CF"/>
      </bottom>
    </border>
    <border>
      <left style="thick">
        <color rgb="FF434343"/>
      </left>
      <right style="medium">
        <color rgb="FFF9D1CF"/>
      </right>
      <top style="medium">
        <color rgb="FFF9D1CF"/>
      </top>
    </border>
    <border>
      <left style="medium">
        <color rgb="FFF9D1CF"/>
      </left>
      <right style="medium">
        <color rgb="FFF9D1CF"/>
      </right>
      <top style="medium">
        <color rgb="FFF9D1CF"/>
      </top>
    </border>
    <border>
      <left style="medium">
        <color rgb="FFF9D1CF"/>
      </left>
      <right style="thick">
        <color rgb="FF434343"/>
      </right>
      <top style="medium">
        <color rgb="FFF9D1CF"/>
      </top>
    </border>
    <border>
      <left style="thick">
        <color rgb="FF434343"/>
      </left>
      <top style="medium">
        <color rgb="FF434343"/>
      </top>
      <bottom style="thin">
        <color rgb="FFF9D1CF"/>
      </bottom>
    </border>
    <border>
      <top style="medium">
        <color rgb="FF434343"/>
      </top>
      <bottom style="thin">
        <color rgb="FFF9D1CF"/>
      </bottom>
    </border>
    <border>
      <right style="thick">
        <color rgb="FF434343"/>
      </right>
      <top style="medium">
        <color rgb="FF434343"/>
      </top>
      <bottom style="thin">
        <color rgb="FFF9D1CF"/>
      </bottom>
    </border>
    <border>
      <left style="thick">
        <color rgb="FF434343"/>
      </left>
      <top style="thin">
        <color rgb="FFF9D1CF"/>
      </top>
      <bottom style="thin">
        <color rgb="FFF9D1CF"/>
      </bottom>
    </border>
    <border>
      <right style="thick">
        <color rgb="FF434343"/>
      </right>
      <top style="thin">
        <color rgb="FFF9D1CF"/>
      </top>
      <bottom style="thin">
        <color rgb="FFF9D1CF"/>
      </bottom>
    </border>
    <border>
      <left style="thick">
        <color rgb="FF434343"/>
      </left>
      <top style="thin">
        <color rgb="FFF9D1CF"/>
      </top>
    </border>
    <border>
      <top style="thin">
        <color rgb="FFF9D1CF"/>
      </top>
    </border>
    <border>
      <right style="thin">
        <color rgb="FFF9D1CF"/>
      </right>
      <top style="thin">
        <color rgb="FFF9D1CF"/>
      </top>
    </border>
    <border>
      <left style="thin">
        <color rgb="FFF9D1CF"/>
      </left>
      <right style="thick">
        <color rgb="FF434343"/>
      </right>
      <top style="thin">
        <color rgb="FFF9D1CF"/>
      </top>
    </border>
    <border>
      <right style="thin">
        <color rgb="FFF9D1CF"/>
      </right>
      <top style="medium">
        <color rgb="FF434343"/>
      </top>
      <bottom style="thin">
        <color rgb="FFF9D1CF"/>
      </bottom>
    </border>
    <border>
      <left style="thin">
        <color rgb="FFF9D1CF"/>
      </left>
      <right style="thick">
        <color rgb="FF434343"/>
      </right>
      <top style="medium">
        <color rgb="FF434343"/>
      </top>
      <bottom style="thin">
        <color rgb="FFF9D1CF"/>
      </bottom>
    </border>
    <border>
      <right style="thin">
        <color rgb="FFF9D1CF"/>
      </right>
      <top style="thin">
        <color rgb="FFF9D1CF"/>
      </top>
      <bottom style="thin">
        <color rgb="FFF9D1CF"/>
      </bottom>
    </border>
    <border>
      <left style="thin">
        <color rgb="FFF9D1CF"/>
      </left>
      <right style="thick">
        <color rgb="FF434343"/>
      </right>
      <top style="thin">
        <color rgb="FFF9D1CF"/>
      </top>
      <bottom style="thin">
        <color rgb="FFF9D1CF"/>
      </bottom>
    </border>
    <border>
      <left style="thick">
        <color rgb="FF434343"/>
      </left>
      <top style="thin">
        <color rgb="FFF9D1CF"/>
      </top>
      <bottom style="thick">
        <color rgb="FF434343"/>
      </bottom>
    </border>
    <border>
      <top style="thin">
        <color rgb="FFF9D1CF"/>
      </top>
      <bottom style="thick">
        <color rgb="FF434343"/>
      </bottom>
    </border>
    <border>
      <right style="thin">
        <color rgb="FFF9D1CF"/>
      </right>
      <top style="thin">
        <color rgb="FFF9D1CF"/>
      </top>
      <bottom style="thick">
        <color rgb="FF434343"/>
      </bottom>
    </border>
    <border>
      <left style="thin">
        <color rgb="FFF9D1CF"/>
      </left>
      <right style="thick">
        <color rgb="FF434343"/>
      </right>
      <top style="thin">
        <color rgb="FFF9D1CF"/>
      </top>
      <bottom style="thick">
        <color rgb="FF434343"/>
      </bottom>
    </border>
    <border>
      <left style="thick">
        <color rgb="FF3E3A3A"/>
      </left>
      <right style="thin">
        <color rgb="FFCB443D"/>
      </right>
      <bottom style="thin">
        <color rgb="FFCB443D"/>
      </bottom>
    </border>
    <border>
      <left style="thin">
        <color rgb="FFCB443D"/>
      </left>
      <right style="thin">
        <color rgb="FFCB443D"/>
      </right>
      <bottom style="thin">
        <color rgb="FFCB443D"/>
      </bottom>
    </border>
    <border>
      <left style="thin">
        <color rgb="FFCB443D"/>
      </left>
      <top style="thin">
        <color rgb="FF3E3A3A"/>
      </top>
      <bottom style="thin">
        <color rgb="FFCB443D"/>
      </bottom>
    </border>
    <border>
      <right style="thick">
        <color rgb="FF3E3A3A"/>
      </right>
      <top style="thin">
        <color rgb="FF3E3A3A"/>
      </top>
      <bottom style="thin">
        <color rgb="FFCB443D"/>
      </bottom>
    </border>
    <border>
      <left style="thick">
        <color rgb="FF3E3A3A"/>
      </left>
      <right style="thin">
        <color rgb="FFCB443D"/>
      </right>
      <top style="thin">
        <color rgb="FFCB443D"/>
      </top>
      <bottom style="thin">
        <color rgb="FFCB443D"/>
      </bottom>
    </border>
    <border>
      <left style="thin">
        <color rgb="FFCB443D"/>
      </left>
      <right style="thin">
        <color rgb="FFCB443D"/>
      </right>
      <top style="thin">
        <color rgb="FFCB443D"/>
      </top>
      <bottom style="thin">
        <color rgb="FFCB443D"/>
      </bottom>
    </border>
    <border>
      <left style="thin">
        <color rgb="FFCB443D"/>
      </left>
      <top style="thin">
        <color rgb="FFCB443D"/>
      </top>
      <bottom style="thin">
        <color rgb="FFCB443D"/>
      </bottom>
    </border>
    <border>
      <right style="thick">
        <color rgb="FF3E3A3A"/>
      </right>
      <top style="thin">
        <color rgb="FFCB443D"/>
      </top>
      <bottom style="thin">
        <color rgb="FFCB443D"/>
      </bottom>
    </border>
    <border>
      <left style="thick">
        <color rgb="FF3E3A3A"/>
      </left>
      <right style="thin">
        <color rgb="FFCB443D"/>
      </right>
      <top style="thin">
        <color rgb="FFCB443D"/>
      </top>
    </border>
    <border>
      <left style="thin">
        <color rgb="FFCB443D"/>
      </left>
      <right style="thin">
        <color rgb="FFCB443D"/>
      </right>
      <top style="thin">
        <color rgb="FFCB443D"/>
      </top>
    </border>
    <border>
      <left style="thin">
        <color rgb="FFCB443D"/>
      </left>
      <top style="thin">
        <color rgb="FFCB443D"/>
      </top>
      <bottom style="thin">
        <color rgb="FFAE3B35"/>
      </bottom>
    </border>
    <border>
      <right style="thick">
        <color rgb="FF3E3A3A"/>
      </right>
      <top style="thin">
        <color rgb="FFCB443D"/>
      </top>
      <bottom style="thin">
        <color rgb="FFAE3B35"/>
      </bottom>
    </border>
    <border>
      <left style="thick">
        <color rgb="FF3E3A3A"/>
      </left>
      <right style="thin">
        <color rgb="FFF9D1CF"/>
      </right>
      <top style="thin">
        <color rgb="FFF9D1CF"/>
      </top>
      <bottom style="thick">
        <color rgb="FF3E3A3A"/>
      </bottom>
    </border>
    <border>
      <left style="thin">
        <color rgb="FFF9D1CF"/>
      </left>
      <right style="thin">
        <color rgb="FFF9D1CF"/>
      </right>
      <top style="thin">
        <color rgb="FFF9D1CF"/>
      </top>
      <bottom style="thick">
        <color rgb="FF3E3A3A"/>
      </bottom>
    </border>
    <border>
      <left style="thin">
        <color rgb="FFF9D1CF"/>
      </left>
      <right style="thin">
        <color rgb="FFF9D1CF"/>
      </right>
      <bottom style="thick">
        <color rgb="FF3E3A3A"/>
      </bottom>
    </border>
    <border>
      <left style="thin">
        <color rgb="FFF9D1CF"/>
      </left>
      <right style="thick">
        <color rgb="FF3E3A3A"/>
      </right>
      <top style="thin">
        <color rgb="FFF9D1CF"/>
      </top>
      <bottom style="thick">
        <color rgb="FF3E3A3A"/>
      </bottom>
    </border>
    <border>
      <left style="thin">
        <color rgb="FFEDE4DA"/>
      </left>
      <top style="thin">
        <color rgb="FFEDE8E8"/>
      </top>
    </border>
    <border>
      <left style="thin">
        <color rgb="FFEDE4DA"/>
      </left>
    </border>
    <border>
      <left style="thin">
        <color rgb="FFEDE4DA"/>
      </left>
      <bottom style="thin">
        <color rgb="FFEDE8E8"/>
      </bottom>
    </border>
    <border>
      <left style="thick">
        <color rgb="FF3E3A3A"/>
      </left>
      <right style="thin">
        <color rgb="FFFC805F"/>
      </right>
      <bottom style="thin">
        <color rgb="FFFC805F"/>
      </bottom>
    </border>
    <border>
      <left style="thin">
        <color rgb="FFFC805F"/>
      </left>
      <right style="thin">
        <color rgb="FFFC805F"/>
      </right>
      <bottom style="thin">
        <color rgb="FFFC805F"/>
      </bottom>
    </border>
    <border>
      <left style="thin">
        <color rgb="FFFC805F"/>
      </left>
      <top style="thin">
        <color rgb="FF3E3A3A"/>
      </top>
      <bottom style="thin">
        <color rgb="FFFC805F"/>
      </bottom>
    </border>
    <border>
      <right style="thick">
        <color rgb="FF3E3A3A"/>
      </right>
      <top style="thin">
        <color rgb="FF3E3A3A"/>
      </top>
      <bottom style="thin">
        <color rgb="FFFC805F"/>
      </bottom>
    </border>
    <border>
      <left style="thick">
        <color rgb="FF3E3A3A"/>
      </left>
      <right style="thin">
        <color rgb="FFFC805F"/>
      </right>
      <top style="thin">
        <color rgb="FFFC805F"/>
      </top>
      <bottom style="thin">
        <color rgb="FFFC805F"/>
      </bottom>
    </border>
    <border>
      <left style="thin">
        <color rgb="FFFC805F"/>
      </left>
      <right style="thin">
        <color rgb="FFFC805F"/>
      </right>
      <top style="thin">
        <color rgb="FFFC805F"/>
      </top>
      <bottom style="thin">
        <color rgb="FFFC805F"/>
      </bottom>
    </border>
    <border>
      <left style="thin">
        <color rgb="FFFC805F"/>
      </left>
      <top style="thin">
        <color rgb="FFFC805F"/>
      </top>
      <bottom style="thin">
        <color rgb="FFFC805F"/>
      </bottom>
    </border>
    <border>
      <right style="thick">
        <color rgb="FF3E3A3A"/>
      </right>
      <top style="thin">
        <color rgb="FFFC805F"/>
      </top>
      <bottom style="thin">
        <color rgb="FFFC805F"/>
      </bottom>
    </border>
    <border>
      <left style="thick">
        <color rgb="FF3E3A3A"/>
      </left>
      <right style="thin">
        <color rgb="FFFC805F"/>
      </right>
      <top style="thin">
        <color rgb="FFFC805F"/>
      </top>
    </border>
    <border>
      <left style="thin">
        <color rgb="FFFC805F"/>
      </left>
      <right style="thin">
        <color rgb="FFFC805F"/>
      </right>
      <top style="thin">
        <color rgb="FFFC805F"/>
      </top>
    </border>
    <border>
      <left style="thin">
        <color rgb="FFFFE6E6"/>
      </left>
      <right style="thick">
        <color rgb="FF3E3A3A"/>
      </right>
      <top style="thin">
        <color rgb="FFEDE8E8"/>
      </top>
      <bottom style="thick">
        <color rgb="FF3E3A3A"/>
      </bottom>
    </border>
    <border>
      <left style="thin">
        <color rgb="FFFBFCFF"/>
      </left>
      <top style="thin">
        <color rgb="FFFBFCFF"/>
      </top>
    </border>
    <border>
      <left style="thin">
        <color rgb="FFFBFCFF"/>
      </left>
      <bottom style="thick">
        <color rgb="FF3E3A3A"/>
      </bottom>
    </border>
    <border>
      <right style="thin">
        <color rgb="FFFBFCFF"/>
      </right>
      <bottom style="thick">
        <color rgb="FF3E3A3A"/>
      </bottom>
    </border>
    <border>
      <left style="thick">
        <color rgb="FF3E3A3A"/>
      </left>
      <right style="thin">
        <color rgb="FFFF6D46"/>
      </right>
      <bottom style="thin">
        <color rgb="FFFF6D46"/>
      </bottom>
    </border>
    <border>
      <left style="thin">
        <color rgb="FFFF6D46"/>
      </left>
      <right style="thin">
        <color rgb="FFFF6D46"/>
      </right>
      <bottom style="thin">
        <color rgb="FFFF6D46"/>
      </bottom>
    </border>
    <border>
      <left style="thin">
        <color rgb="FFFF6D46"/>
      </left>
      <top style="thin">
        <color rgb="FF3E3A3A"/>
      </top>
      <bottom style="thin">
        <color rgb="FFFF6D46"/>
      </bottom>
    </border>
    <border>
      <right style="thick">
        <color rgb="FF3E3A3A"/>
      </right>
      <top style="thin">
        <color rgb="FF3E3A3A"/>
      </top>
      <bottom style="thin">
        <color rgb="FFFF6D46"/>
      </bottom>
    </border>
    <border>
      <left style="thick">
        <color rgb="FF3E3A3A"/>
      </left>
      <right style="thin">
        <color rgb="FFFF6D46"/>
      </right>
      <top style="thin">
        <color rgb="FFFF6D46"/>
      </top>
      <bottom style="thin">
        <color rgb="FFFF6D46"/>
      </bottom>
    </border>
    <border>
      <left style="thin">
        <color rgb="FFFF6D46"/>
      </left>
      <right style="thin">
        <color rgb="FFFF6D46"/>
      </right>
      <top style="thin">
        <color rgb="FFFF6D46"/>
      </top>
      <bottom style="thin">
        <color rgb="FFFF6D46"/>
      </bottom>
    </border>
    <border>
      <left style="thin">
        <color rgb="FFFF6D46"/>
      </left>
      <top style="thin">
        <color rgb="FFFF6D46"/>
      </top>
      <bottom style="thin">
        <color rgb="FFFF6D46"/>
      </bottom>
    </border>
    <border>
      <right style="thick">
        <color rgb="FF3E3A3A"/>
      </right>
      <top style="thin">
        <color rgb="FFFF6D46"/>
      </top>
      <bottom style="thin">
        <color rgb="FFFF6D46"/>
      </bottom>
    </border>
    <border>
      <left style="thick">
        <color rgb="FF3E3A3A"/>
      </left>
      <right style="thin">
        <color rgb="FFFF6D46"/>
      </right>
      <top style="thin">
        <color rgb="FFFF6D46"/>
      </top>
    </border>
    <border>
      <left style="thin">
        <color rgb="FFFF6D46"/>
      </left>
      <right style="thin">
        <color rgb="FFFF6D46"/>
      </right>
      <top style="thin">
        <color rgb="FFFF6D46"/>
      </top>
    </border>
    <border>
      <left style="thin">
        <color rgb="FFFF6D46"/>
      </left>
      <top style="thin">
        <color rgb="FFFF6D46"/>
      </top>
      <bottom style="thin">
        <color rgb="FFA65E63"/>
      </bottom>
    </border>
    <border>
      <right style="thick">
        <color rgb="FF3E3A3A"/>
      </right>
      <top style="thin">
        <color rgb="FFFF6D46"/>
      </top>
      <bottom style="thin">
        <color rgb="FFA65E63"/>
      </bottom>
    </border>
    <border>
      <left style="thick">
        <color rgb="FF3E3A3A"/>
      </left>
      <top style="thin">
        <color rgb="FF3E3A3A"/>
      </top>
      <bottom style="thin">
        <color rgb="FF3E3A3A"/>
      </bottom>
    </border>
    <border>
      <top style="thin">
        <color rgb="FF3E3A3A"/>
      </top>
      <bottom style="thin">
        <color rgb="FF3E3A3A"/>
      </bottom>
    </border>
    <border>
      <right style="medium">
        <color rgb="FF3E3A3A"/>
      </right>
      <top style="thin">
        <color rgb="FF3E3A3A"/>
      </top>
      <bottom style="thin">
        <color rgb="FF3E3A3A"/>
      </bottom>
    </border>
    <border>
      <left style="thin">
        <color rgb="FFFFF8EE"/>
      </left>
      <right style="thin">
        <color rgb="FFFFF8EE"/>
      </right>
      <bottom style="thick">
        <color rgb="FF3E3A3A"/>
      </bottom>
    </border>
    <border>
      <left style="thick">
        <color rgb="FF434343"/>
      </left>
      <right style="medium">
        <color rgb="FFF8FCEB"/>
      </right>
      <top style="thin">
        <color rgb="FFF8FCEB"/>
      </top>
      <bottom style="medium">
        <color rgb="FFF8FCEB"/>
      </bottom>
    </border>
    <border>
      <left style="medium">
        <color rgb="FFF8FCEB"/>
      </left>
      <right style="thick">
        <color rgb="FF434343"/>
      </right>
      <top style="thin">
        <color rgb="FFF8FCEB"/>
      </top>
      <bottom style="medium">
        <color rgb="FFF8FCEB"/>
      </bottom>
    </border>
    <border>
      <left style="thick">
        <color rgb="FF434343"/>
      </left>
      <right style="medium">
        <color rgb="FFF8FCEB"/>
      </right>
      <top style="medium">
        <color rgb="FFF8FCEB"/>
      </top>
    </border>
    <border>
      <left style="medium">
        <color rgb="FFF8FCEB"/>
      </left>
      <right style="medium">
        <color rgb="FFF8FCEB"/>
      </right>
      <top style="medium">
        <color rgb="FFF8FCEB"/>
      </top>
    </border>
    <border>
      <left style="medium">
        <color rgb="FFF8FCEB"/>
      </left>
      <right style="thick">
        <color rgb="FF434343"/>
      </right>
      <top style="medium">
        <color rgb="FFF8FCEB"/>
      </top>
    </border>
    <border>
      <left style="thick">
        <color rgb="FF3E3A3A"/>
      </left>
      <right style="thin">
        <color rgb="FFF8FCEB"/>
      </right>
      <top style="thin">
        <color rgb="FFF8FCEB"/>
      </top>
    </border>
    <border>
      <left style="thick">
        <color rgb="FF3E3A3A"/>
      </left>
      <right style="thin">
        <color rgb="FFDADBE0"/>
      </right>
      <bottom style="thin">
        <color rgb="FFDADBE0"/>
      </bottom>
    </border>
    <border>
      <left style="thin">
        <color rgb="FFDADBE0"/>
      </left>
      <right style="thin">
        <color rgb="FFDADBE0"/>
      </right>
      <bottom style="thin">
        <color rgb="FFDADBE0"/>
      </bottom>
    </border>
    <border>
      <left style="thin">
        <color rgb="FFDADBE0"/>
      </left>
      <right style="thin">
        <color rgb="FFDADBE0"/>
      </right>
    </border>
    <border>
      <left style="thin">
        <color rgb="FFDADBE0"/>
      </left>
      <right style="thick">
        <color rgb="FF3E3A3A"/>
      </right>
      <bottom style="thin">
        <color rgb="FFDADBE0"/>
      </bottom>
    </border>
    <border>
      <left style="thick">
        <color rgb="FF3E3A3A"/>
      </left>
      <right style="thin">
        <color rgb="FFDADBE0"/>
      </right>
      <top style="thin">
        <color rgb="FFDADBE0"/>
      </top>
      <bottom style="thin">
        <color rgb="FFDADBE0"/>
      </bottom>
    </border>
    <border>
      <left style="thin">
        <color rgb="FFDADBE0"/>
      </left>
      <top style="thin">
        <color rgb="FFDADBE0"/>
      </top>
      <bottom style="thin">
        <color rgb="FFDADBE0"/>
      </bottom>
    </border>
    <border>
      <top style="thin">
        <color rgb="FFDADBE0"/>
      </top>
      <bottom style="thin">
        <color rgb="FFDADBE0"/>
      </bottom>
    </border>
    <border>
      <right style="thin">
        <color rgb="FFDADBE0"/>
      </right>
      <top style="thin">
        <color rgb="FFDADBE0"/>
      </top>
      <bottom style="thin">
        <color rgb="FFDADBE0"/>
      </bottom>
    </border>
    <border>
      <left style="thin">
        <color rgb="FFDADBE0"/>
      </left>
      <right style="thin">
        <color rgb="FFDADBE0"/>
      </right>
      <top style="thin">
        <color rgb="FFDADBE0"/>
      </top>
      <bottom style="thin">
        <color rgb="FFDADBE0"/>
      </bottom>
    </border>
    <border>
      <left style="thin">
        <color rgb="FFDADBE0"/>
      </left>
      <right style="thick">
        <color rgb="FF3E3A3A"/>
      </right>
      <top style="thin">
        <color rgb="FFDADBE0"/>
      </top>
      <bottom style="thin">
        <color rgb="FFDADBE0"/>
      </bottom>
    </border>
    <border>
      <left style="thick">
        <color rgb="FF434343"/>
      </left>
      <bottom style="medium">
        <color rgb="FFDADBE0"/>
      </bottom>
    </border>
    <border>
      <bottom style="medium">
        <color rgb="FFDADBE0"/>
      </bottom>
    </border>
    <border>
      <right style="thick">
        <color rgb="FF434343"/>
      </right>
      <bottom style="medium">
        <color rgb="FFDADBE0"/>
      </bottom>
    </border>
    <border>
      <left style="thick">
        <color rgb="FF434343"/>
      </left>
      <top style="medium">
        <color rgb="FFDADBE0"/>
      </top>
      <bottom style="medium">
        <color rgb="FFDADBE0"/>
      </bottom>
    </border>
    <border>
      <top style="medium">
        <color rgb="FFDADBE0"/>
      </top>
      <bottom style="medium">
        <color rgb="FFDADBE0"/>
      </bottom>
    </border>
    <border>
      <right style="thick">
        <color rgb="FF434343"/>
      </right>
      <top style="medium">
        <color rgb="FFDADBE0"/>
      </top>
      <bottom style="medium">
        <color rgb="FFDADBE0"/>
      </bottom>
    </border>
    <border>
      <left style="thick">
        <color rgb="FF434343"/>
      </left>
      <right style="medium">
        <color rgb="FFDADBE0"/>
      </right>
      <top style="medium">
        <color rgb="FFDADBE0"/>
      </top>
      <bottom style="medium">
        <color rgb="FFDADBE0"/>
      </bottom>
    </border>
    <border>
      <left style="medium">
        <color rgb="FFDADBE0"/>
      </left>
      <right style="medium">
        <color rgb="FFDADBE0"/>
      </right>
      <top style="medium">
        <color rgb="FFDADBE0"/>
      </top>
      <bottom style="medium">
        <color rgb="FFDADBE0"/>
      </bottom>
    </border>
    <border>
      <left style="medium">
        <color rgb="FFDADBE0"/>
      </left>
      <right style="thick">
        <color rgb="FF434343"/>
      </right>
      <top style="medium">
        <color rgb="FFDADBE0"/>
      </top>
      <bottom style="medium">
        <color rgb="FFDADBE0"/>
      </bottom>
    </border>
    <border>
      <left style="medium">
        <color rgb="FFDADBE0"/>
      </left>
      <top style="medium">
        <color rgb="FFDADBE0"/>
      </top>
      <bottom style="medium">
        <color rgb="FFDADBE0"/>
      </bottom>
    </border>
    <border>
      <right style="medium">
        <color rgb="FFDADBE0"/>
      </right>
      <top style="medium">
        <color rgb="FFDADBE0"/>
      </top>
      <bottom style="medium">
        <color rgb="FFDADBE0"/>
      </bottom>
    </border>
    <border>
      <left style="thick">
        <color rgb="FF434343"/>
      </left>
      <right style="medium">
        <color rgb="FFDADBE0"/>
      </right>
      <top style="medium">
        <color rgb="FFDADBE0"/>
      </top>
    </border>
    <border>
      <left style="medium">
        <color rgb="FFDADBE0"/>
      </left>
      <right style="medium">
        <color rgb="FFDADBE0"/>
      </right>
      <top style="medium">
        <color rgb="FFDADBE0"/>
      </top>
    </border>
    <border>
      <left style="medium">
        <color rgb="FFDADBE0"/>
      </left>
      <right style="thick">
        <color rgb="FF434343"/>
      </right>
      <top style="medium">
        <color rgb="FFDADBE0"/>
      </top>
    </border>
    <border>
      <left style="thick">
        <color rgb="FF434343"/>
      </left>
      <top style="medium">
        <color rgb="FF434343"/>
      </top>
      <bottom style="thin">
        <color rgb="FFDADBE0"/>
      </bottom>
    </border>
    <border>
      <top style="medium">
        <color rgb="FF434343"/>
      </top>
      <bottom style="thin">
        <color rgb="FFDADBE0"/>
      </bottom>
    </border>
    <border>
      <right style="thick">
        <color rgb="FF434343"/>
      </right>
      <top style="medium">
        <color rgb="FF434343"/>
      </top>
      <bottom style="thin">
        <color rgb="FFDADBE0"/>
      </bottom>
    </border>
    <border>
      <left style="thick">
        <color rgb="FF434343"/>
      </left>
      <top style="thin">
        <color rgb="FFDADBE0"/>
      </top>
      <bottom style="thin">
        <color rgb="FFDADBE0"/>
      </bottom>
    </border>
    <border>
      <right style="thick">
        <color rgb="FF434343"/>
      </right>
      <top style="thin">
        <color rgb="FFDADBE0"/>
      </top>
      <bottom style="thin">
        <color rgb="FFDADBE0"/>
      </bottom>
    </border>
    <border>
      <left style="thick">
        <color rgb="FF434343"/>
      </left>
      <top style="thin">
        <color rgb="FFDADBE0"/>
      </top>
    </border>
    <border>
      <top style="thin">
        <color rgb="FFDADBE0"/>
      </top>
    </border>
    <border>
      <right style="thin">
        <color rgb="FFDADBE0"/>
      </right>
      <top style="thin">
        <color rgb="FFDADBE0"/>
      </top>
    </border>
    <border>
      <left style="thin">
        <color rgb="FFDADBE0"/>
      </left>
      <right style="thick">
        <color rgb="FF434343"/>
      </right>
      <top style="thin">
        <color rgb="FFDADBE0"/>
      </top>
    </border>
    <border>
      <right style="thin">
        <color rgb="FFDADBE0"/>
      </right>
      <top style="medium">
        <color rgb="FF434343"/>
      </top>
      <bottom style="thin">
        <color rgb="FFDADBE0"/>
      </bottom>
    </border>
    <border>
      <left style="thin">
        <color rgb="FFDADBE0"/>
      </left>
      <right style="thick">
        <color rgb="FF434343"/>
      </right>
      <top style="medium">
        <color rgb="FF434343"/>
      </top>
      <bottom style="thin">
        <color rgb="FFDADBE0"/>
      </bottom>
    </border>
    <border>
      <left style="thin">
        <color rgb="FFDADBE0"/>
      </left>
      <right style="thick">
        <color rgb="FF434343"/>
      </right>
      <top style="thin">
        <color rgb="FFDADBE0"/>
      </top>
      <bottom style="thin">
        <color rgb="FFDADBE0"/>
      </bottom>
    </border>
    <border>
      <left style="thick">
        <color rgb="FF434343"/>
      </left>
      <top style="thin">
        <color rgb="FFDADBE0"/>
      </top>
      <bottom style="thick">
        <color rgb="FF434343"/>
      </bottom>
    </border>
    <border>
      <top style="thin">
        <color rgb="FFDADBE0"/>
      </top>
      <bottom style="thick">
        <color rgb="FF434343"/>
      </bottom>
    </border>
    <border>
      <right style="thin">
        <color rgb="FFDADBE0"/>
      </right>
      <top style="thin">
        <color rgb="FFDADBE0"/>
      </top>
      <bottom style="thick">
        <color rgb="FF434343"/>
      </bottom>
    </border>
    <border>
      <left style="thin">
        <color rgb="FFDADBE0"/>
      </left>
      <right style="thick">
        <color rgb="FF434343"/>
      </right>
      <top style="thin">
        <color rgb="FFDADBE0"/>
      </top>
      <bottom style="thick">
        <color rgb="FF434343"/>
      </bottom>
    </border>
    <border>
      <left style="thick">
        <color rgb="FF3E3A3A"/>
      </left>
      <right style="thin">
        <color rgb="FFF09050"/>
      </right>
      <bottom style="thin">
        <color rgb="FFF09050"/>
      </bottom>
    </border>
    <border>
      <left style="thin">
        <color rgb="FFF09050"/>
      </left>
      <right style="thin">
        <color rgb="FFF09050"/>
      </right>
      <bottom style="thin">
        <color rgb="FFF09050"/>
      </bottom>
    </border>
    <border>
      <left style="thin">
        <color rgb="FFF09050"/>
      </left>
      <top style="thin">
        <color rgb="FF3E3A3A"/>
      </top>
      <bottom style="thin">
        <color rgb="FFF09050"/>
      </bottom>
    </border>
    <border>
      <right style="thick">
        <color rgb="FF3E3A3A"/>
      </right>
      <top style="thin">
        <color rgb="FF3E3A3A"/>
      </top>
      <bottom style="thin">
        <color rgb="FFF09050"/>
      </bottom>
    </border>
    <border>
      <left style="thick">
        <color rgb="FF3E3A3A"/>
      </left>
      <right style="thin">
        <color rgb="FFF09050"/>
      </right>
      <top style="thin">
        <color rgb="FFF09050"/>
      </top>
      <bottom style="thin">
        <color rgb="FFF09050"/>
      </bottom>
    </border>
    <border>
      <left style="thin">
        <color rgb="FFF09050"/>
      </left>
      <right style="thin">
        <color rgb="FFF09050"/>
      </right>
      <top style="thin">
        <color rgb="FFF09050"/>
      </top>
      <bottom style="thin">
        <color rgb="FFF09050"/>
      </bottom>
    </border>
    <border>
      <left style="thin">
        <color rgb="FFF09050"/>
      </left>
      <top style="thin">
        <color rgb="FFF09050"/>
      </top>
      <bottom style="thin">
        <color rgb="FFF09050"/>
      </bottom>
    </border>
    <border>
      <right style="thick">
        <color rgb="FF3E3A3A"/>
      </right>
      <top style="thin">
        <color rgb="FFF09050"/>
      </top>
      <bottom style="thin">
        <color rgb="FFF09050"/>
      </bottom>
    </border>
    <border>
      <left style="thick">
        <color rgb="FF3E3A3A"/>
      </left>
      <right style="thin">
        <color rgb="FFF09050"/>
      </right>
      <top style="thin">
        <color rgb="FFF09050"/>
      </top>
    </border>
    <border>
      <left style="thin">
        <color rgb="FFF09050"/>
      </left>
      <right style="thin">
        <color rgb="FFF09050"/>
      </right>
      <top style="thin">
        <color rgb="FFF09050"/>
      </top>
    </border>
    <border>
      <left style="thin">
        <color rgb="FFF09050"/>
      </left>
      <top style="thin">
        <color rgb="FFF09050"/>
      </top>
      <bottom style="thin">
        <color rgb="FF1781B2"/>
      </bottom>
    </border>
    <border>
      <right style="thick">
        <color rgb="FF3E3A3A"/>
      </right>
      <top style="thin">
        <color rgb="FFF09050"/>
      </top>
      <bottom style="thin">
        <color rgb="FF1781B2"/>
      </bottom>
    </border>
    <border>
      <left style="thick">
        <color rgb="FF3E3A3A"/>
      </left>
      <right style="thin">
        <color rgb="FFDADBE0"/>
      </right>
      <top style="thin">
        <color rgb="FFDADBE0"/>
      </top>
      <bottom style="thick">
        <color rgb="FF3E3A3A"/>
      </bottom>
    </border>
    <border>
      <left style="thin">
        <color rgb="FFDADBE0"/>
      </left>
      <right style="thin">
        <color rgb="FFDADBE0"/>
      </right>
      <top style="thin">
        <color rgb="FFDADBE0"/>
      </top>
      <bottom style="thick">
        <color rgb="FF3E3A3A"/>
      </bottom>
    </border>
    <border>
      <left style="thin">
        <color rgb="FFDADBE0"/>
      </left>
      <right style="thin">
        <color rgb="FFDADBE0"/>
      </right>
      <bottom style="thick">
        <color rgb="FF3E3A3A"/>
      </bottom>
    </border>
    <border>
      <left style="thin">
        <color rgb="FFDADBE0"/>
      </left>
      <right style="thick">
        <color rgb="FF3E3A3A"/>
      </right>
      <top style="thin">
        <color rgb="FFDADBE0"/>
      </top>
      <bottom style="thick">
        <color rgb="FF3E3A3A"/>
      </bottom>
    </border>
    <border>
      <right style="thick">
        <color rgb="FF3E3A3A"/>
      </right>
      <top style="thin">
        <color rgb="FFCDB0B4"/>
      </top>
      <bottom style="thin">
        <color rgb="FFCDB0B4"/>
      </bottom>
    </border>
    <border>
      <bottom style="thin">
        <color rgb="FFCDB0B4"/>
      </bottom>
    </border>
    <border>
      <left style="thin">
        <color rgb="FFD4D4E6"/>
      </left>
      <top style="thin">
        <color rgb="FFCDB0B4"/>
      </top>
      <bottom style="thin">
        <color rgb="FFCDB0B4"/>
      </bottom>
    </border>
    <border>
      <left style="medium">
        <color rgb="FF3E3A3A"/>
      </left>
      <right style="thick">
        <color rgb="FF3E3A3A"/>
      </right>
      <top style="medium">
        <color rgb="FF3E3A3A"/>
      </top>
      <bottom style="thin">
        <color rgb="FF000000"/>
      </bottom>
    </border>
    <border>
      <left style="thick">
        <color rgb="FF3E3A3A"/>
      </left>
      <bottom style="thin">
        <color rgb="FFD4D4E6"/>
      </bottom>
    </border>
    <border>
      <left style="thin">
        <color rgb="FFD4D4E6"/>
      </left>
      <right style="thick">
        <color rgb="FF3E3A3A"/>
      </right>
      <bottom style="thin">
        <color rgb="FFD4D4E6"/>
      </bottom>
    </border>
    <border>
      <right style="thick">
        <color rgb="FF3E3A3A"/>
      </right>
      <top style="thin">
        <color rgb="FFD4D4E6"/>
      </top>
      <bottom style="thin">
        <color rgb="FFD4D4E6"/>
      </bottom>
    </border>
    <border>
      <right style="thick">
        <color rgb="FF3E3A3A"/>
      </right>
      <bottom style="thin">
        <color rgb="FFF9F9F9"/>
      </bottom>
    </border>
    <border>
      <right style="thick">
        <color rgb="FF434343"/>
      </right>
      <top style="thin">
        <color rgb="FFF9F9F9"/>
      </top>
      <bottom style="thick">
        <color rgb="FF434343"/>
      </bottom>
    </border>
    <border>
      <left style="thick">
        <color rgb="FF3E3A3A"/>
      </left>
      <right style="thin">
        <color rgb="FFF9F9F9"/>
      </right>
      <top style="thin">
        <color rgb="FFF9F9F9"/>
      </top>
    </border>
    <border>
      <left style="thin">
        <color rgb="FFF9F9F9"/>
      </left>
      <right style="thick">
        <color rgb="FF3E3A3A"/>
      </right>
      <top style="thin">
        <color rgb="FFF9F9F9"/>
      </top>
    </border>
    <border>
      <left style="thin">
        <color rgb="FFE4EAE7"/>
      </left>
      <right style="thin">
        <color rgb="FFE4EAE7"/>
      </right>
      <bottom style="thick">
        <color rgb="FF3E3A3A"/>
      </bottom>
    </border>
    <border>
      <left style="thin">
        <color rgb="FFEFEFEF"/>
      </left>
      <right style="thin">
        <color rgb="FFEFEFEF"/>
      </right>
      <top style="thin">
        <color rgb="FFFFFFFF"/>
      </top>
    </border>
    <border>
      <right style="thin">
        <color rgb="FF3E3A3A"/>
      </right>
      <top style="medium">
        <color rgb="FF3E3A3A"/>
      </top>
      <bottom style="thin">
        <color rgb="FF3E3A3A"/>
      </bottom>
    </border>
    <border>
      <left style="thin">
        <color rgb="FF3E3A3A"/>
      </left>
      <right style="thick">
        <color rgb="FF3E3A3A"/>
      </right>
      <top style="medium">
        <color rgb="FF3E3A3A"/>
      </top>
      <bottom style="thin">
        <color rgb="FF3E3A3A"/>
      </bottom>
    </border>
    <border>
      <right style="thin">
        <color rgb="FF3E3A3A"/>
      </right>
      <top style="thin">
        <color rgb="FF3E3A3A"/>
      </top>
      <bottom style="thick">
        <color rgb="FF3E3A3A"/>
      </bottom>
    </border>
    <border>
      <left style="thick">
        <color rgb="FF3E3A3A"/>
      </left>
      <right style="thin">
        <color rgb="FFF0FBF9"/>
      </right>
      <bottom style="thin">
        <color rgb="FFF0FBF9"/>
      </bottom>
    </border>
    <border>
      <left style="thin">
        <color rgb="FFF0FBF9"/>
      </left>
      <right style="thin">
        <color rgb="FFF0FBF9"/>
      </right>
      <bottom style="thin">
        <color rgb="FFF0FBF9"/>
      </bottom>
    </border>
    <border>
      <left style="thin">
        <color rgb="FFF0FBF9"/>
      </left>
      <right style="thick">
        <color rgb="FF3E3A3A"/>
      </right>
      <bottom style="thin">
        <color rgb="FFF0FBF9"/>
      </bottom>
    </border>
    <border>
      <left style="thick">
        <color rgb="FF3E3A3A"/>
      </left>
      <right style="thin">
        <color rgb="FFF0FBF9"/>
      </right>
      <top style="thin">
        <color rgb="FFF0FBF9"/>
      </top>
      <bottom style="thin">
        <color rgb="FFF0FBF9"/>
      </bottom>
    </border>
    <border>
      <left style="thin">
        <color rgb="FFF0FBF9"/>
      </left>
      <right style="thin">
        <color rgb="FFF0FBF9"/>
      </right>
      <top style="thin">
        <color rgb="FFF0FBF9"/>
      </top>
      <bottom style="thin">
        <color rgb="FFF0FBF9"/>
      </bottom>
    </border>
    <border>
      <left style="thin">
        <color rgb="FFF0FBF9"/>
      </left>
      <top style="thin">
        <color rgb="FFF0FBF9"/>
      </top>
    </border>
    <border>
      <top style="thin">
        <color rgb="FFF0FBF9"/>
      </top>
    </border>
    <border>
      <right style="thin">
        <color rgb="FFF0FBF9"/>
      </right>
      <top style="thin">
        <color rgb="FFF0FBF9"/>
      </top>
    </border>
    <border>
      <left style="thin">
        <color rgb="FFF0FBF9"/>
      </left>
      <right style="thick">
        <color rgb="FF3E3A3A"/>
      </right>
      <top style="thin">
        <color rgb="FFF0FBF9"/>
      </top>
      <bottom style="thin">
        <color rgb="FFF0FBF9"/>
      </bottom>
    </border>
    <border>
      <left style="thin">
        <color rgb="FFF0FBF9"/>
      </left>
      <top style="thin">
        <color rgb="FFF0FBF9"/>
      </top>
      <bottom style="thin">
        <color rgb="FFF0FBF9"/>
      </bottom>
    </border>
    <border>
      <top style="thin">
        <color rgb="FFF0FBF9"/>
      </top>
      <bottom style="thin">
        <color rgb="FFF0FBF9"/>
      </bottom>
    </border>
    <border>
      <right style="thick">
        <color rgb="FF3E3A3A"/>
      </right>
      <top style="thin">
        <color rgb="FFF0FBF9"/>
      </top>
      <bottom style="thin">
        <color rgb="FFF0FBF9"/>
      </bottom>
    </border>
    <border>
      <left style="thick">
        <color rgb="FF434343"/>
      </left>
      <bottom style="medium">
        <color rgb="FFF0FBF9"/>
      </bottom>
    </border>
    <border>
      <bottom style="medium">
        <color rgb="FFF0FBF9"/>
      </bottom>
    </border>
    <border>
      <right style="thick">
        <color rgb="FF434343"/>
      </right>
      <bottom style="medium">
        <color rgb="FFF0FBF9"/>
      </bottom>
    </border>
    <border>
      <left style="thick">
        <color rgb="FF434343"/>
      </left>
      <top style="medium">
        <color rgb="FFF0FBF9"/>
      </top>
      <bottom style="medium">
        <color rgb="FFF0FBF9"/>
      </bottom>
    </border>
    <border>
      <top style="medium">
        <color rgb="FFF0FBF9"/>
      </top>
      <bottom style="medium">
        <color rgb="FFF0FBF9"/>
      </bottom>
    </border>
    <border>
      <right style="thick">
        <color rgb="FF434343"/>
      </right>
      <top style="medium">
        <color rgb="FFF0FBF9"/>
      </top>
      <bottom style="medium">
        <color rgb="FFF0FBF9"/>
      </bottom>
    </border>
    <border>
      <left style="thick">
        <color rgb="FF434343"/>
      </left>
      <right style="medium">
        <color rgb="FFF0FBF9"/>
      </right>
      <top style="medium">
        <color rgb="FFF0FBF9"/>
      </top>
      <bottom style="medium">
        <color rgb="FFF0FBF9"/>
      </bottom>
    </border>
    <border>
      <left style="medium">
        <color rgb="FFF0FBF9"/>
      </left>
      <right style="medium">
        <color rgb="FFF0FBF9"/>
      </right>
      <top style="medium">
        <color rgb="FFF0FBF9"/>
      </top>
      <bottom style="medium">
        <color rgb="FFF0FBF9"/>
      </bottom>
    </border>
    <border>
      <left style="medium">
        <color rgb="FFF0FBF9"/>
      </left>
      <right style="thick">
        <color rgb="FF434343"/>
      </right>
      <top style="medium">
        <color rgb="FFF0FBF9"/>
      </top>
      <bottom style="medium">
        <color rgb="FFF0FBF9"/>
      </bottom>
    </border>
    <border>
      <left style="medium">
        <color rgb="FFF0FBF9"/>
      </left>
      <top style="medium">
        <color rgb="FFF0FBF9"/>
      </top>
      <bottom style="medium">
        <color rgb="FFF0FBF9"/>
      </bottom>
    </border>
    <border>
      <right style="medium">
        <color rgb="FFF0FBF9"/>
      </right>
      <top style="medium">
        <color rgb="FFF0FBF9"/>
      </top>
      <bottom style="medium">
        <color rgb="FFF0FBF9"/>
      </bottom>
    </border>
    <border>
      <left style="thin">
        <color rgb="FFF0FBF9"/>
      </left>
      <right style="thin">
        <color rgb="FFF0FBF9"/>
      </right>
      <top style="thin">
        <color rgb="FFF0FBF9"/>
      </top>
    </border>
    <border>
      <left style="thick">
        <color rgb="FF434343"/>
      </left>
      <right style="medium">
        <color rgb="FFF0FBF9"/>
      </right>
      <top style="medium">
        <color rgb="FFF0FBF9"/>
      </top>
    </border>
    <border>
      <left style="medium">
        <color rgb="FFF0FBF9"/>
      </left>
      <right style="medium">
        <color rgb="FFF0FBF9"/>
      </right>
      <top style="medium">
        <color rgb="FFF0FBF9"/>
      </top>
    </border>
    <border>
      <left style="medium">
        <color rgb="FFF0FBF9"/>
      </left>
      <right style="thick">
        <color rgb="FF434343"/>
      </right>
      <top style="medium">
        <color rgb="FFF0FBF9"/>
      </top>
    </border>
    <border>
      <left style="thin">
        <color rgb="FFF0FBF9"/>
      </left>
      <right style="thin">
        <color rgb="FFF0FBF9"/>
      </right>
    </border>
    <border>
      <left style="thick">
        <color rgb="FF434343"/>
      </left>
      <top style="medium">
        <color rgb="FF434343"/>
      </top>
      <bottom style="thin">
        <color rgb="FFF0FBF9"/>
      </bottom>
    </border>
    <border>
      <top style="medium">
        <color rgb="FF434343"/>
      </top>
      <bottom style="thin">
        <color rgb="FFF0FBF9"/>
      </bottom>
    </border>
    <border>
      <right style="thick">
        <color rgb="FF434343"/>
      </right>
      <top style="medium">
        <color rgb="FF434343"/>
      </top>
      <bottom style="thin">
        <color rgb="FFF0FBF9"/>
      </bottom>
    </border>
    <border>
      <left style="thick">
        <color rgb="FF434343"/>
      </left>
      <top style="thin">
        <color rgb="FFF0FBF9"/>
      </top>
      <bottom style="thin">
        <color rgb="FFF0FBF9"/>
      </bottom>
    </border>
    <border>
      <right style="thick">
        <color rgb="FF434343"/>
      </right>
      <top style="thin">
        <color rgb="FFF0FBF9"/>
      </top>
      <bottom style="thin">
        <color rgb="FFF0FBF9"/>
      </bottom>
    </border>
    <border>
      <left style="thick">
        <color rgb="FF434343"/>
      </left>
      <top style="thin">
        <color rgb="FFF0FBF9"/>
      </top>
    </border>
    <border>
      <left style="thin">
        <color rgb="FFF0FBF9"/>
      </left>
      <right style="thick">
        <color rgb="FF434343"/>
      </right>
      <top style="thin">
        <color rgb="FFF0FBF9"/>
      </top>
    </border>
    <border>
      <right style="thin">
        <color rgb="FFF0FBF9"/>
      </right>
      <top style="medium">
        <color rgb="FF434343"/>
      </top>
      <bottom style="thin">
        <color rgb="FFF0FBF9"/>
      </bottom>
    </border>
    <border>
      <right style="thin">
        <color rgb="FFF0FBF9"/>
      </right>
      <top style="thin">
        <color rgb="FFF0FBF9"/>
      </top>
      <bottom style="thin">
        <color rgb="FFF0FBF9"/>
      </bottom>
    </border>
    <border>
      <left style="thick">
        <color rgb="FF434343"/>
      </left>
      <top style="thin">
        <color rgb="FFF0FBF9"/>
      </top>
      <bottom style="thick">
        <color rgb="FF434343"/>
      </bottom>
    </border>
    <border>
      <top style="thin">
        <color rgb="FFF0FBF9"/>
      </top>
      <bottom style="thick">
        <color rgb="FF434343"/>
      </bottom>
    </border>
    <border>
      <right style="thin">
        <color rgb="FFF0FBF9"/>
      </right>
      <top style="thin">
        <color rgb="FFF0FBF9"/>
      </top>
      <bottom style="thick">
        <color rgb="FF434343"/>
      </bottom>
    </border>
    <border>
      <right style="thick">
        <color rgb="FF434343"/>
      </right>
      <top style="thin">
        <color rgb="FFF0FBF9"/>
      </top>
      <bottom style="thick">
        <color rgb="FF434343"/>
      </bottom>
    </border>
    <border>
      <left style="thick">
        <color rgb="FF3E3A3A"/>
      </left>
      <right style="thin">
        <color rgb="FF5888B8"/>
      </right>
      <bottom style="thin">
        <color rgb="FF5888B8"/>
      </bottom>
    </border>
    <border>
      <left style="thin">
        <color rgb="FF5888B8"/>
      </left>
      <right style="thin">
        <color rgb="FF5888B8"/>
      </right>
      <bottom style="thin">
        <color rgb="FF5888B8"/>
      </bottom>
    </border>
    <border>
      <left style="thin">
        <color rgb="FF5888B8"/>
      </left>
      <top style="thin">
        <color rgb="FF3E3A3A"/>
      </top>
      <bottom style="thin">
        <color rgb="FF5888B8"/>
      </bottom>
    </border>
    <border>
      <right style="thick">
        <color rgb="FF3E3A3A"/>
      </right>
      <top style="thin">
        <color rgb="FF3E3A3A"/>
      </top>
      <bottom style="thin">
        <color rgb="FF5888B8"/>
      </bottom>
    </border>
    <border>
      <left style="thick">
        <color rgb="FF3E3A3A"/>
      </left>
      <right style="thin">
        <color rgb="FF5888B8"/>
      </right>
      <top style="thin">
        <color rgb="FF5888B8"/>
      </top>
      <bottom style="thin">
        <color rgb="FF5888B8"/>
      </bottom>
    </border>
    <border>
      <left style="thin">
        <color rgb="FF5888B8"/>
      </left>
      <right style="thin">
        <color rgb="FF5888B8"/>
      </right>
      <top style="thin">
        <color rgb="FF5888B8"/>
      </top>
      <bottom style="thin">
        <color rgb="FF5888B8"/>
      </bottom>
    </border>
    <border>
      <left style="thin">
        <color rgb="FF5888B8"/>
      </left>
      <top style="thin">
        <color rgb="FF5888B8"/>
      </top>
      <bottom style="thin">
        <color rgb="FF5888B8"/>
      </bottom>
    </border>
    <border>
      <right style="thick">
        <color rgb="FF3E3A3A"/>
      </right>
      <top style="thin">
        <color rgb="FF5888B8"/>
      </top>
      <bottom style="thin">
        <color rgb="FF5888B8"/>
      </bottom>
    </border>
    <border>
      <left style="thick">
        <color rgb="FF3E3A3A"/>
      </left>
      <right style="thin">
        <color rgb="FF5888B8"/>
      </right>
      <top style="thin">
        <color rgb="FF5888B8"/>
      </top>
    </border>
    <border>
      <left style="thin">
        <color rgb="FF5888B8"/>
      </left>
      <right style="thin">
        <color rgb="FF5888B8"/>
      </right>
      <top style="thin">
        <color rgb="FF5888B8"/>
      </top>
    </border>
    <border>
      <left style="thin">
        <color rgb="FF5888B8"/>
      </left>
      <top style="thin">
        <color rgb="FF5888B8"/>
      </top>
      <bottom style="thin">
        <color rgb="FF47617B"/>
      </bottom>
    </border>
    <border>
      <right style="thick">
        <color rgb="FF3E3A3A"/>
      </right>
      <top style="thin">
        <color rgb="FF5888B8"/>
      </top>
      <bottom style="thin">
        <color rgb="FF47617B"/>
      </bottom>
    </border>
    <border>
      <left style="thick">
        <color rgb="FF3E3A3A"/>
      </left>
      <right style="thin">
        <color rgb="FFF0FBF9"/>
      </right>
      <top style="thin">
        <color rgb="FFF0FBF9"/>
      </top>
      <bottom style="thick">
        <color rgb="FF3E3A3A"/>
      </bottom>
    </border>
    <border>
      <left style="thin">
        <color rgb="FFF0FBF9"/>
      </left>
      <right style="thin">
        <color rgb="FFF0FBF9"/>
      </right>
      <top style="thin">
        <color rgb="FFF0FBF9"/>
      </top>
      <bottom style="thick">
        <color rgb="FF3E3A3A"/>
      </bottom>
    </border>
    <border>
      <left style="thin">
        <color rgb="FFF0FBF9"/>
      </left>
      <right style="thin">
        <color rgb="FFF0FBF9"/>
      </right>
      <bottom style="thick">
        <color rgb="FF3E3A3A"/>
      </bottom>
    </border>
    <border>
      <left style="thin">
        <color rgb="FFF0FBF9"/>
      </left>
      <right style="thick">
        <color rgb="FF3E3A3A"/>
      </right>
      <top style="thin">
        <color rgb="FFF0FBF9"/>
      </top>
      <bottom style="thick">
        <color rgb="FF3E3A3A"/>
      </bottom>
    </border>
    <border>
      <left style="thick">
        <color rgb="FF434343"/>
      </left>
      <bottom style="medium">
        <color rgb="FFEBECFC"/>
      </bottom>
    </border>
    <border>
      <bottom style="medium">
        <color rgb="FFEBECFC"/>
      </bottom>
    </border>
    <border>
      <right style="thick">
        <color rgb="FF434343"/>
      </right>
      <bottom style="medium">
        <color rgb="FFEBECFC"/>
      </bottom>
    </border>
    <border>
      <left style="thick">
        <color rgb="FF434343"/>
      </left>
      <top style="medium">
        <color rgb="FFEBECFC"/>
      </top>
      <bottom style="medium">
        <color rgb="FFEBECFC"/>
      </bottom>
    </border>
    <border>
      <top style="medium">
        <color rgb="FFEBECFC"/>
      </top>
      <bottom style="medium">
        <color rgb="FFEBECFC"/>
      </bottom>
    </border>
    <border>
      <right style="thick">
        <color rgb="FF434343"/>
      </right>
      <top style="medium">
        <color rgb="FFEBECFC"/>
      </top>
      <bottom style="medium">
        <color rgb="FFEBECFC"/>
      </bottom>
    </border>
    <border>
      <left style="thick">
        <color rgb="FF434343"/>
      </left>
      <right style="medium">
        <color rgb="FFEBECFC"/>
      </right>
      <top style="medium">
        <color rgb="FFEBECFC"/>
      </top>
      <bottom style="medium">
        <color rgb="FFEBECFC"/>
      </bottom>
    </border>
    <border>
      <left style="medium">
        <color rgb="FFEBECFC"/>
      </left>
      <right style="medium">
        <color rgb="FFEBECFC"/>
      </right>
      <top style="medium">
        <color rgb="FFEBECFC"/>
      </top>
      <bottom style="medium">
        <color rgb="FFEBECFC"/>
      </bottom>
    </border>
    <border>
      <left style="medium">
        <color rgb="FFEBECFC"/>
      </left>
      <right style="thick">
        <color rgb="FF434343"/>
      </right>
      <top style="medium">
        <color rgb="FFEBECFC"/>
      </top>
      <bottom style="medium">
        <color rgb="FFEBECFC"/>
      </bottom>
    </border>
    <border>
      <right style="thin">
        <color rgb="FFEBECFC"/>
      </right>
      <top style="medium">
        <color rgb="FF434343"/>
      </top>
      <bottom style="thin">
        <color rgb="FFEBECFC"/>
      </bottom>
    </border>
    <border>
      <right style="thick">
        <color rgb="FF434343"/>
      </right>
      <top style="thin">
        <color rgb="FFEBECFC"/>
      </top>
      <bottom style="thick">
        <color rgb="FF434343"/>
      </bottom>
    </border>
    <border>
      <right style="thin">
        <color rgb="FFEBECFC"/>
      </right>
      <top style="thin">
        <color rgb="FFEBECFC"/>
      </top>
      <bottom style="thick">
        <color rgb="FF434343"/>
      </bottom>
    </border>
    <border>
      <left style="thick">
        <color rgb="FF3E3A3A"/>
      </left>
      <right style="thin">
        <color rgb="FFC48BC2"/>
      </right>
      <bottom style="thin">
        <color rgb="FFC48BC2"/>
      </bottom>
    </border>
    <border>
      <left style="thin">
        <color rgb="FFC48BC2"/>
      </left>
      <right style="thin">
        <color rgb="FFC48BC2"/>
      </right>
      <bottom style="thin">
        <color rgb="FFC48BC2"/>
      </bottom>
    </border>
    <border>
      <left style="thin">
        <color rgb="FFC48BC2"/>
      </left>
      <top style="thin">
        <color rgb="FF3E3A3A"/>
      </top>
      <bottom style="thin">
        <color rgb="FFC48BC2"/>
      </bottom>
    </border>
    <border>
      <right style="thick">
        <color rgb="FF3E3A3A"/>
      </right>
      <top style="thin">
        <color rgb="FF3E3A3A"/>
      </top>
      <bottom style="thin">
        <color rgb="FFC48BC2"/>
      </bottom>
    </border>
    <border>
      <left style="thick">
        <color rgb="FF3E3A3A"/>
      </left>
      <right style="thin">
        <color rgb="FFC48BC2"/>
      </right>
      <top style="thin">
        <color rgb="FFC48BC2"/>
      </top>
      <bottom style="thin">
        <color rgb="FFC48BC2"/>
      </bottom>
    </border>
    <border>
      <left style="thin">
        <color rgb="FFC48BC2"/>
      </left>
      <right style="thin">
        <color rgb="FFC48BC2"/>
      </right>
      <top style="thin">
        <color rgb="FFC48BC2"/>
      </top>
      <bottom style="thin">
        <color rgb="FFC48BC2"/>
      </bottom>
    </border>
    <border>
      <left style="thin">
        <color rgb="FFC48BC2"/>
      </left>
      <top style="thin">
        <color rgb="FFC48BC2"/>
      </top>
      <bottom style="thin">
        <color rgb="FFC48BC2"/>
      </bottom>
    </border>
    <border>
      <right style="thick">
        <color rgb="FF3E3A3A"/>
      </right>
      <top style="thin">
        <color rgb="FFC48BC2"/>
      </top>
      <bottom style="thin">
        <color rgb="FFC48BC2"/>
      </bottom>
    </border>
    <border>
      <left style="thick">
        <color rgb="FF3E3A3A"/>
      </left>
      <right style="thin">
        <color rgb="FFC48BC2"/>
      </right>
      <top style="thin">
        <color rgb="FFC48BC2"/>
      </top>
    </border>
    <border>
      <left style="thin">
        <color rgb="FFC48BC2"/>
      </left>
      <right style="thin">
        <color rgb="FFC48BC2"/>
      </right>
      <top style="thin">
        <color rgb="FFC48BC2"/>
      </top>
    </border>
    <border>
      <left style="thick">
        <color rgb="FF3E3A3A"/>
      </left>
      <right style="thin">
        <color rgb="FFC6D6DE"/>
      </right>
      <bottom style="thin">
        <color rgb="FFC6D6DE"/>
      </bottom>
    </border>
    <border>
      <left style="thin">
        <color rgb="FFC6D6DE"/>
      </left>
      <right style="thin">
        <color rgb="FFC6D6DE"/>
      </right>
      <bottom style="thin">
        <color rgb="FFC6D6DE"/>
      </bottom>
    </border>
    <border>
      <left style="thin">
        <color rgb="FFC6D6DE"/>
      </left>
      <right style="thin">
        <color rgb="FFC6D6DE"/>
      </right>
    </border>
    <border>
      <left style="thin">
        <color rgb="FFC6D6DE"/>
      </left>
      <right style="thick">
        <color rgb="FF3E3A3A"/>
      </right>
      <bottom style="thin">
        <color rgb="FFC6D6DE"/>
      </bottom>
    </border>
    <border>
      <left style="thick">
        <color rgb="FF3E3A3A"/>
      </left>
      <right style="thin">
        <color rgb="FFC6D6DE"/>
      </right>
      <top style="thin">
        <color rgb="FFC6D6DE"/>
      </top>
      <bottom style="thin">
        <color rgb="FFC6D6DE"/>
      </bottom>
    </border>
    <border>
      <left style="thin">
        <color rgb="FFC6D6DE"/>
      </left>
      <top style="thin">
        <color rgb="FFC6D6DE"/>
      </top>
      <bottom style="thin">
        <color rgb="FFC6D6DE"/>
      </bottom>
    </border>
    <border>
      <top style="thin">
        <color rgb="FFC6D6DE"/>
      </top>
      <bottom style="thin">
        <color rgb="FFC6D6DE"/>
      </bottom>
    </border>
    <border>
      <right style="thin">
        <color rgb="FFC6D6DE"/>
      </right>
      <top style="thin">
        <color rgb="FFC6D6DE"/>
      </top>
      <bottom style="thin">
        <color rgb="FFC6D6DE"/>
      </bottom>
    </border>
    <border>
      <left style="thin">
        <color rgb="FFC6D6DE"/>
      </left>
      <right style="thick">
        <color rgb="FF3E3A3A"/>
      </right>
      <top style="thin">
        <color rgb="FFC6D6DE"/>
      </top>
      <bottom style="thin">
        <color rgb="FFC6D6DE"/>
      </bottom>
    </border>
    <border>
      <left style="thick">
        <color rgb="FF434343"/>
      </left>
      <bottom style="medium">
        <color rgb="FFC6D6DE"/>
      </bottom>
    </border>
    <border>
      <bottom style="medium">
        <color rgb="FFC6D6DE"/>
      </bottom>
    </border>
    <border>
      <right style="thick">
        <color rgb="FF434343"/>
      </right>
      <bottom style="medium">
        <color rgb="FFC6D6DE"/>
      </bottom>
    </border>
    <border>
      <left style="thick">
        <color rgb="FF434343"/>
      </left>
      <top style="medium">
        <color rgb="FFC6D6DE"/>
      </top>
      <bottom style="medium">
        <color rgb="FFC6D6DE"/>
      </bottom>
    </border>
    <border>
      <top style="medium">
        <color rgb="FFC6D6DE"/>
      </top>
      <bottom style="medium">
        <color rgb="FFC6D6DE"/>
      </bottom>
    </border>
    <border>
      <right style="thick">
        <color rgb="FF434343"/>
      </right>
      <top style="medium">
        <color rgb="FFC6D6DE"/>
      </top>
      <bottom style="medium">
        <color rgb="FFC6D6DE"/>
      </bottom>
    </border>
    <border>
      <left style="thin">
        <color rgb="FFC6D6DE"/>
      </left>
      <right style="thin">
        <color rgb="FFC6D6DE"/>
      </right>
      <top style="thin">
        <color rgb="FFC6D6DE"/>
      </top>
      <bottom style="thin">
        <color rgb="FFC6D6DE"/>
      </bottom>
    </border>
    <border>
      <left style="thick">
        <color rgb="FF434343"/>
      </left>
      <right style="medium">
        <color rgb="FFC6D6DE"/>
      </right>
      <top style="medium">
        <color rgb="FFC6D6DE"/>
      </top>
      <bottom style="medium">
        <color rgb="FFC6D6DE"/>
      </bottom>
    </border>
    <border>
      <left style="medium">
        <color rgb="FFC6D6DE"/>
      </left>
      <right style="medium">
        <color rgb="FFC6D6DE"/>
      </right>
      <top style="medium">
        <color rgb="FFC6D6DE"/>
      </top>
      <bottom style="medium">
        <color rgb="FFC6D6DE"/>
      </bottom>
    </border>
    <border>
      <left style="medium">
        <color rgb="FFC6D6DE"/>
      </left>
      <right style="thick">
        <color rgb="FF434343"/>
      </right>
      <top style="medium">
        <color rgb="FFC6D6DE"/>
      </top>
      <bottom style="medium">
        <color rgb="FFC6D6DE"/>
      </bottom>
    </border>
    <border>
      <left style="medium">
        <color rgb="FFC6D6DE"/>
      </left>
      <top style="medium">
        <color rgb="FFC6D6DE"/>
      </top>
      <bottom style="medium">
        <color rgb="FFC6D6DE"/>
      </bottom>
    </border>
    <border>
      <right style="medium">
        <color rgb="FFC6D6DE"/>
      </right>
      <top style="medium">
        <color rgb="FFC6D6DE"/>
      </top>
      <bottom style="medium">
        <color rgb="FFC6D6DE"/>
      </bottom>
    </border>
    <border>
      <left style="thin">
        <color rgb="FFC6D6DE"/>
      </left>
      <right style="thin">
        <color rgb="FFC6D6DE"/>
      </right>
      <top style="thin">
        <color rgb="FFC6D6DE"/>
      </top>
    </border>
    <border>
      <left style="thick">
        <color rgb="FF434343"/>
      </left>
      <right style="medium">
        <color rgb="FFC6D6DE"/>
      </right>
      <top style="medium">
        <color rgb="FFC6D6DE"/>
      </top>
    </border>
    <border>
      <left style="medium">
        <color rgb="FFC6D6DE"/>
      </left>
      <right style="medium">
        <color rgb="FFC6D6DE"/>
      </right>
      <top style="medium">
        <color rgb="FFC6D6DE"/>
      </top>
    </border>
    <border>
      <left style="medium">
        <color rgb="FFC6D6DE"/>
      </left>
      <right style="thick">
        <color rgb="FF434343"/>
      </right>
      <top style="medium">
        <color rgb="FFC6D6DE"/>
      </top>
    </border>
    <border>
      <left style="thick">
        <color rgb="FF434343"/>
      </left>
      <top style="medium">
        <color rgb="FF434343"/>
      </top>
      <bottom style="thin">
        <color rgb="FFC6D6DE"/>
      </bottom>
    </border>
    <border>
      <top style="medium">
        <color rgb="FF434343"/>
      </top>
      <bottom style="thin">
        <color rgb="FFC6D6DE"/>
      </bottom>
    </border>
    <border>
      <right style="thick">
        <color rgb="FF434343"/>
      </right>
      <top style="medium">
        <color rgb="FF434343"/>
      </top>
      <bottom style="thin">
        <color rgb="FFC6D6DE"/>
      </bottom>
    </border>
    <border>
      <left style="thick">
        <color rgb="FF434343"/>
      </left>
      <top style="thin">
        <color rgb="FFC6D6DE"/>
      </top>
      <bottom style="thin">
        <color rgb="FFC6D6DE"/>
      </bottom>
    </border>
    <border>
      <right style="thick">
        <color rgb="FF434343"/>
      </right>
      <top style="thin">
        <color rgb="FFC6D6DE"/>
      </top>
      <bottom style="thin">
        <color rgb="FFC6D6DE"/>
      </bottom>
    </border>
    <border>
      <left style="thick">
        <color rgb="FF434343"/>
      </left>
      <top style="thin">
        <color rgb="FFC6D6DE"/>
      </top>
    </border>
    <border>
      <top style="thin">
        <color rgb="FFC6D6DE"/>
      </top>
    </border>
    <border>
      <right style="thin">
        <color rgb="FFC6D6DE"/>
      </right>
      <top style="thin">
        <color rgb="FFC6D6DE"/>
      </top>
    </border>
    <border>
      <left style="thin">
        <color rgb="FFC6D6DE"/>
      </left>
      <right style="thick">
        <color rgb="FF434343"/>
      </right>
      <top style="thin">
        <color rgb="FFC6D6DE"/>
      </top>
    </border>
    <border>
      <right style="thin">
        <color rgb="FFC6D6DE"/>
      </right>
      <top style="medium">
        <color rgb="FF434343"/>
      </top>
      <bottom style="thin">
        <color rgb="FFC6D6DE"/>
      </bottom>
    </border>
    <border>
      <left style="thin">
        <color rgb="FFC6D6DE"/>
      </left>
      <right style="thick">
        <color rgb="FF434343"/>
      </right>
      <top style="medium">
        <color rgb="FF434343"/>
      </top>
      <bottom style="thin">
        <color rgb="FFC6D6DE"/>
      </bottom>
    </border>
    <border>
      <left style="thin">
        <color rgb="FFC6D6DE"/>
      </left>
      <right style="thick">
        <color rgb="FF434343"/>
      </right>
      <top style="thin">
        <color rgb="FFC6D6DE"/>
      </top>
      <bottom style="thin">
        <color rgb="FFC6D6DE"/>
      </bottom>
    </border>
    <border>
      <left style="thick">
        <color rgb="FF434343"/>
      </left>
      <top style="thin">
        <color rgb="FFC6D6DE"/>
      </top>
      <bottom style="thick">
        <color rgb="FF434343"/>
      </bottom>
    </border>
    <border>
      <top style="thin">
        <color rgb="FFC6D6DE"/>
      </top>
      <bottom style="thick">
        <color rgb="FF434343"/>
      </bottom>
    </border>
    <border>
      <right style="thin">
        <color rgb="FFC6D6DE"/>
      </right>
      <top style="thin">
        <color rgb="FFC6D6DE"/>
      </top>
      <bottom style="thick">
        <color rgb="FF434343"/>
      </bottom>
    </border>
    <border>
      <left style="thin">
        <color rgb="FFC6D6DE"/>
      </left>
      <right style="thick">
        <color rgb="FF434343"/>
      </right>
      <top style="thin">
        <color rgb="FFC6D6DE"/>
      </top>
      <bottom style="thick">
        <color rgb="FF434343"/>
      </bottom>
    </border>
    <border>
      <left style="thick">
        <color rgb="FF3E3A3A"/>
      </left>
      <right style="thin">
        <color rgb="FF68AAC8"/>
      </right>
      <bottom style="thin">
        <color rgb="FF68AAC8"/>
      </bottom>
    </border>
    <border>
      <left style="thin">
        <color rgb="FF68AAC8"/>
      </left>
      <right style="thin">
        <color rgb="FF68AAC8"/>
      </right>
      <bottom style="thin">
        <color rgb="FF68AAC8"/>
      </bottom>
    </border>
    <border>
      <left style="thin">
        <color rgb="FF68AAC8"/>
      </left>
      <top style="thin">
        <color rgb="FF3E3A3A"/>
      </top>
      <bottom style="thin">
        <color rgb="FF68AAC8"/>
      </bottom>
    </border>
    <border>
      <right style="thick">
        <color rgb="FF3E3A3A"/>
      </right>
      <top style="thin">
        <color rgb="FF3E3A3A"/>
      </top>
      <bottom style="thin">
        <color rgb="FF68AAC8"/>
      </bottom>
    </border>
    <border>
      <left style="thick">
        <color rgb="FF3E3A3A"/>
      </left>
      <right style="thin">
        <color rgb="FF68AAC8"/>
      </right>
      <top style="thin">
        <color rgb="FF68AAC8"/>
      </top>
      <bottom style="thin">
        <color rgb="FF68AAC8"/>
      </bottom>
    </border>
    <border>
      <left style="thin">
        <color rgb="FF68AAC8"/>
      </left>
      <right style="thin">
        <color rgb="FF68AAC8"/>
      </right>
      <top style="thin">
        <color rgb="FF68AAC8"/>
      </top>
      <bottom style="thin">
        <color rgb="FF68AAC8"/>
      </bottom>
    </border>
    <border>
      <left style="thin">
        <color rgb="FF68AAC8"/>
      </left>
      <top style="thin">
        <color rgb="FF68AAC8"/>
      </top>
      <bottom style="thin">
        <color rgb="FF68AAC8"/>
      </bottom>
    </border>
    <border>
      <right style="thick">
        <color rgb="FF3E3A3A"/>
      </right>
      <top style="thin">
        <color rgb="FF68AAC8"/>
      </top>
      <bottom style="thin">
        <color rgb="FF68AAC8"/>
      </bottom>
    </border>
    <border>
      <left style="thick">
        <color rgb="FF3E3A3A"/>
      </left>
      <right style="thin">
        <color rgb="FF68AAC8"/>
      </right>
      <top style="thin">
        <color rgb="FF68AAC8"/>
      </top>
    </border>
    <border>
      <left style="thin">
        <color rgb="FF68AAC8"/>
      </left>
      <right style="thin">
        <color rgb="FF68AAC8"/>
      </right>
      <top style="thin">
        <color rgb="FF68AAC8"/>
      </top>
    </border>
    <border>
      <left style="thin">
        <color rgb="FF68AAC8"/>
      </left>
      <top style="thin">
        <color rgb="FF68AAC8"/>
      </top>
      <bottom style="thin">
        <color rgb="FF49768B"/>
      </bottom>
    </border>
    <border>
      <right style="thick">
        <color rgb="FF3E3A3A"/>
      </right>
      <top style="thin">
        <color rgb="FF68AAC8"/>
      </top>
      <bottom style="thin">
        <color rgb="FF49768B"/>
      </bottom>
    </border>
    <border>
      <left style="thick">
        <color rgb="FF3E3A3A"/>
      </left>
      <right style="thin">
        <color rgb="FFC6D6DE"/>
      </right>
      <top style="thin">
        <color rgb="FFC6D6DE"/>
      </top>
    </border>
    <border>
      <left style="thin">
        <color rgb="FFC6D6DE"/>
      </left>
      <top style="thin">
        <color rgb="FFC6D6DE"/>
      </top>
    </border>
    <border>
      <left style="thin">
        <color rgb="FFC6D6DE"/>
      </left>
      <right style="thick">
        <color rgb="FF3E3A3A"/>
      </right>
      <top style="thin">
        <color rgb="FFC6D6DE"/>
      </top>
    </border>
    <border>
      <left style="thick">
        <color rgb="FF3E3A3A"/>
      </left>
      <right style="thin">
        <color rgb="FFC6D6DE"/>
      </right>
      <top style="thin">
        <color rgb="FFC6D6DE"/>
      </top>
      <bottom style="thick">
        <color rgb="FF3E3A3A"/>
      </bottom>
    </border>
    <border>
      <left style="thin">
        <color rgb="FFC6D6DE"/>
      </left>
      <right style="thin">
        <color rgb="FFC6D6DE"/>
      </right>
      <top style="thin">
        <color rgb="FFC6D6DE"/>
      </top>
      <bottom style="thick">
        <color rgb="FF3E3A3A"/>
      </bottom>
    </border>
    <border>
      <left style="thin">
        <color rgb="FFC6D6DE"/>
      </left>
      <right style="thin">
        <color rgb="FFC6D6DE"/>
      </right>
      <bottom style="thick">
        <color rgb="FF3E3A3A"/>
      </bottom>
    </border>
    <border>
      <left style="thin">
        <color rgb="FFC6D6DE"/>
      </left>
      <right style="thick">
        <color rgb="FF3E3A3A"/>
      </right>
      <top style="thin">
        <color rgb="FFC6D6DE"/>
      </top>
      <bottom style="thick">
        <color rgb="FF3E3A3A"/>
      </bottom>
    </border>
    <border>
      <left style="medium">
        <color rgb="FFEBECFC"/>
      </left>
      <top style="medium">
        <color rgb="FFEBECFC"/>
      </top>
      <bottom style="medium">
        <color rgb="FFEBECFC"/>
      </bottom>
    </border>
    <border>
      <right style="medium">
        <color rgb="FFEBECFC"/>
      </right>
      <top style="medium">
        <color rgb="FFEBECFC"/>
      </top>
      <bottom style="medium">
        <color rgb="FFEBECFC"/>
      </bottom>
    </border>
    <border>
      <left style="thin">
        <color rgb="FF434343"/>
      </left>
      <top style="thin">
        <color rgb="FF434343"/>
      </top>
      <bottom style="thick">
        <color rgb="FF3E3A3A"/>
      </bottom>
    </border>
    <border>
      <right style="thick">
        <color rgb="FF3E3A3A"/>
      </right>
      <top style="thin">
        <color rgb="FF434343"/>
      </top>
      <bottom style="thick">
        <color rgb="FF3E3A3A"/>
      </bottom>
    </border>
    <border>
      <left style="medium">
        <color rgb="FF3E3A3A"/>
      </left>
      <bottom style="thick">
        <color rgb="FF3E3A3A"/>
      </bottom>
    </border>
    <border>
      <left style="thick">
        <color rgb="FF3E3A3A"/>
      </left>
      <right style="thin">
        <color rgb="FFFFFFFF"/>
      </right>
    </border>
    <border>
      <left style="thin">
        <color rgb="FFFFFFFF"/>
      </left>
      <right style="thick">
        <color rgb="FF3E3A3A"/>
      </right>
    </border>
    <border>
      <right style="thick">
        <color rgb="FF3E3A3A"/>
      </right>
      <top style="thin">
        <color rgb="FFFFFFFF"/>
      </top>
      <bottom style="thin">
        <color rgb="FFFFFFFF"/>
      </bottom>
    </border>
    <border>
      <left style="thin">
        <color rgb="FFFFFFFF"/>
      </left>
      <right style="thin">
        <color rgb="FFFFFFFF"/>
      </right>
      <bottom style="thin">
        <color rgb="FFD9D9D9"/>
      </bottom>
    </border>
    <border>
      <left style="thin">
        <color rgb="FFFFFFFF"/>
      </left>
      <right style="thin">
        <color rgb="FFFFFFFF"/>
      </right>
      <top style="thin">
        <color rgb="FFD9D9D9"/>
      </top>
      <bottom style="thin">
        <color rgb="FFD9D9D9"/>
      </bottom>
    </border>
    <border>
      <left style="thin">
        <color rgb="FFFFFFFF"/>
      </left>
      <right style="thin">
        <color rgb="FFFFFFFF"/>
      </right>
      <top style="thin">
        <color rgb="FFD9D9D9"/>
      </top>
      <bottom style="thin">
        <color rgb="FFFFFFFF"/>
      </bottom>
    </border>
    <border>
      <left style="thin">
        <color rgb="FFFFFFFF"/>
      </left>
      <right style="thick">
        <color rgb="FF3E3A3A"/>
      </right>
      <top style="thin">
        <color rgb="FFD9D9D9"/>
      </top>
      <bottom style="thin">
        <color rgb="FFFFFFFF"/>
      </bottom>
    </border>
    <border>
      <left style="thin">
        <color rgb="FFFFFFFF"/>
      </left>
      <right style="thin">
        <color rgb="FFD9D9D9"/>
      </right>
      <top style="thin">
        <color rgb="FFFFFFFF"/>
      </top>
      <bottom style="thin">
        <color rgb="FFFFFFFF"/>
      </bottom>
    </border>
    <border>
      <left style="thin">
        <color rgb="FFD9D9D9"/>
      </left>
      <top style="thin">
        <color rgb="FFFFFFFF"/>
      </top>
      <bottom style="thin">
        <color rgb="FFFFFFFF"/>
      </bottom>
    </border>
    <border>
      <left style="thick">
        <color rgb="FF3E3A3A"/>
      </left>
      <right style="thin">
        <color rgb="FF3550B8"/>
      </right>
      <bottom style="thin">
        <color rgb="FF3550B8"/>
      </bottom>
    </border>
    <border>
      <left style="thin">
        <color rgb="FF3550B8"/>
      </left>
      <right style="thin">
        <color rgb="FF3550B8"/>
      </right>
      <bottom style="thin">
        <color rgb="FF3550B8"/>
      </bottom>
    </border>
    <border>
      <left style="thin">
        <color rgb="FF3550B8"/>
      </left>
      <top style="thin">
        <color rgb="FF3E3A3A"/>
      </top>
      <bottom style="thin">
        <color rgb="FF3550B8"/>
      </bottom>
    </border>
    <border>
      <right style="thick">
        <color rgb="FF3E3A3A"/>
      </right>
      <top style="thin">
        <color rgb="FF3E3A3A"/>
      </top>
      <bottom style="thin">
        <color rgb="FF3550B8"/>
      </bottom>
    </border>
    <border>
      <left style="thin">
        <color rgb="FFD9D9D9"/>
      </left>
      <right style="thin">
        <color rgb="FFFFFFFF"/>
      </right>
      <top style="thin">
        <color rgb="FFFFFFFF"/>
      </top>
      <bottom style="thin">
        <color rgb="FFFFFFFF"/>
      </bottom>
    </border>
    <border>
      <left style="thick">
        <color rgb="FF3E3A3A"/>
      </left>
      <right style="thin">
        <color rgb="FF3550B8"/>
      </right>
      <top style="thin">
        <color rgb="FF3550B8"/>
      </top>
      <bottom style="thin">
        <color rgb="FF3550B8"/>
      </bottom>
    </border>
    <border>
      <left style="thin">
        <color rgb="FF3550B8"/>
      </left>
      <right style="thin">
        <color rgb="FF3550B8"/>
      </right>
      <top style="thin">
        <color rgb="FF3550B8"/>
      </top>
      <bottom style="thin">
        <color rgb="FF3550B8"/>
      </bottom>
    </border>
    <border>
      <left style="thin">
        <color rgb="FF3550B8"/>
      </left>
      <top style="thin">
        <color rgb="FF3550B8"/>
      </top>
      <bottom style="thin">
        <color rgb="FF3550B8"/>
      </bottom>
    </border>
    <border>
      <right style="thick">
        <color rgb="FF3E3A3A"/>
      </right>
      <top style="thin">
        <color rgb="FF3550B8"/>
      </top>
      <bottom style="thin">
        <color rgb="FF3550B8"/>
      </bottom>
    </border>
    <border>
      <left style="thick">
        <color rgb="FF3E3A3A"/>
      </left>
      <right style="thin">
        <color rgb="FF3550B8"/>
      </right>
      <top style="thin">
        <color rgb="FF3550B8"/>
      </top>
    </border>
    <border>
      <left style="thin">
        <color rgb="FF3550B8"/>
      </left>
      <right style="thin">
        <color rgb="FF3550B8"/>
      </right>
      <top style="thin">
        <color rgb="FF3550B8"/>
      </top>
    </border>
    <border>
      <left style="thin">
        <color rgb="FFFFFFFF"/>
      </left>
      <bottom style="thick">
        <color rgb="FF3E3A3A"/>
      </bottom>
    </border>
    <border>
      <right style="thin">
        <color rgb="FFFFFFFF"/>
      </right>
      <bottom style="thick">
        <color rgb="FF3E3A3A"/>
      </bottom>
    </border>
    <border>
      <left style="thin">
        <color rgb="FFFF00FF"/>
      </left>
      <right style="thin">
        <color rgb="FFFF00FF"/>
      </right>
      <bottom style="thin">
        <color rgb="FFFF00FF"/>
      </bottom>
    </border>
    <border>
      <right style="thin">
        <color rgb="FF000000"/>
      </right>
      <top style="thick">
        <color rgb="FF434343"/>
      </top>
      <bottom style="medium">
        <color rgb="FF434343"/>
      </bottom>
    </border>
    <border>
      <left style="thin">
        <color rgb="FF000000"/>
      </left>
      <right style="thin">
        <color rgb="FF000000"/>
      </right>
      <top style="thick">
        <color rgb="FF434343"/>
      </top>
      <bottom style="medium">
        <color rgb="FF434343"/>
      </bottom>
    </border>
    <border>
      <left style="thin">
        <color rgb="FF000000"/>
      </left>
      <right style="thick">
        <color rgb="FF434343"/>
      </right>
      <top style="thick">
        <color rgb="FF434343"/>
      </top>
      <bottom style="medium">
        <color rgb="FF434343"/>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434343"/>
      </left>
      <right style="thin">
        <color rgb="FF434343"/>
      </right>
      <bottom style="thin">
        <color rgb="FF434343"/>
      </bottom>
    </border>
    <border>
      <left style="thin">
        <color rgb="FF434343"/>
      </left>
      <right style="thick">
        <color rgb="FF434343"/>
      </right>
      <bottom style="thin">
        <color rgb="FF434343"/>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434343"/>
      </left>
      <right style="thin">
        <color rgb="FF434343"/>
      </right>
      <top style="thin">
        <color rgb="FF434343"/>
      </top>
      <bottom style="thin">
        <color rgb="FF434343"/>
      </bottom>
    </border>
    <border>
      <left style="thin">
        <color rgb="FF434343"/>
      </left>
      <right style="thick">
        <color rgb="FF434343"/>
      </right>
      <top style="thin">
        <color rgb="FF434343"/>
      </top>
      <bottom style="thin">
        <color rgb="FF434343"/>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434343"/>
      </left>
      <right style="thin">
        <color rgb="FF434343"/>
      </right>
      <top style="thin">
        <color rgb="FF434343"/>
      </top>
      <bottom style="thick">
        <color rgb="FF434343"/>
      </bottom>
    </border>
    <border>
      <left style="thin">
        <color rgb="FF434343"/>
      </left>
      <right style="thin">
        <color rgb="FF434343"/>
      </right>
      <top style="thin">
        <color rgb="FF434343"/>
      </top>
      <bottom style="thick">
        <color rgb="FF434343"/>
      </bottom>
    </border>
    <border>
      <left style="thin">
        <color rgb="FF434343"/>
      </left>
      <right style="thick">
        <color rgb="FF434343"/>
      </right>
      <top style="thin">
        <color rgb="FF434343"/>
      </top>
      <bottom style="thick">
        <color rgb="FF434343"/>
      </bottom>
    </border>
    <border>
      <left style="thick">
        <color rgb="FF434343"/>
      </left>
      <right style="thin">
        <color rgb="FF434343"/>
      </right>
      <top style="thin">
        <color rgb="FF3E3A3A"/>
      </top>
      <bottom style="thin">
        <color rgb="FF434343"/>
      </bottom>
    </border>
    <border>
      <left style="thin">
        <color rgb="FF434343"/>
      </left>
      <right style="thin">
        <color rgb="FF434343"/>
      </right>
      <top style="thin">
        <color rgb="FF3E3A3A"/>
      </top>
      <bottom style="thin">
        <color rgb="FF434343"/>
      </bottom>
    </border>
    <border>
      <left style="thick">
        <color rgb="FF434343"/>
      </left>
      <top style="thick">
        <color rgb="FF434343"/>
      </top>
      <bottom style="thin">
        <color rgb="FF434343"/>
      </bottom>
    </border>
    <border>
      <top style="thick">
        <color rgb="FF434343"/>
      </top>
      <bottom style="thin">
        <color rgb="FF434343"/>
      </bottom>
    </border>
    <border>
      <right style="thin">
        <color rgb="FF434343"/>
      </right>
      <top style="thick">
        <color rgb="FF434343"/>
      </top>
      <bottom style="thin">
        <color rgb="FF434343"/>
      </bottom>
    </border>
    <border>
      <left style="thin">
        <color rgb="FF434343"/>
      </left>
      <right style="thin">
        <color rgb="FF434343"/>
      </right>
      <top style="thick">
        <color rgb="FF434343"/>
      </top>
      <bottom style="thin">
        <color rgb="FF434343"/>
      </bottom>
    </border>
    <border>
      <left style="thin">
        <color rgb="FF434343"/>
      </left>
      <right style="thick">
        <color rgb="FF434343"/>
      </right>
      <top style="thick">
        <color rgb="FF434343"/>
      </top>
      <bottom style="thin">
        <color rgb="FF434343"/>
      </bottom>
    </border>
  </borders>
  <cellStyleXfs count="1">
    <xf borderId="0" fillId="0" fontId="0" numFmtId="0" applyAlignment="1" applyFont="1"/>
  </cellStyleXfs>
  <cellXfs count="777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2" fillId="2" fontId="2" numFmtId="0" xfId="0" applyBorder="1" applyFont="1"/>
    <xf borderId="1" fillId="2" fontId="2" numFmtId="0" xfId="0" applyAlignment="1" applyBorder="1" applyFont="1">
      <alignment vertical="bottom"/>
    </xf>
    <xf borderId="3" fillId="2" fontId="1" numFmtId="0" xfId="0" applyAlignment="1" applyBorder="1" applyFont="1">
      <alignment horizontal="center" vertical="center"/>
    </xf>
    <xf borderId="4" fillId="3" fontId="2" numFmtId="0" xfId="0" applyBorder="1" applyFill="1" applyFont="1"/>
    <xf borderId="5" fillId="3" fontId="3" numFmtId="0" xfId="0" applyAlignment="1" applyBorder="1" applyFont="1">
      <alignment readingOrder="0" vertical="center"/>
    </xf>
    <xf borderId="6" fillId="3" fontId="3" numFmtId="0" xfId="0" applyAlignment="1" applyBorder="1" applyFont="1">
      <alignment readingOrder="0" vertical="center"/>
    </xf>
    <xf borderId="7" fillId="2" fontId="2" numFmtId="0" xfId="0" applyAlignment="1" applyBorder="1" applyFont="1">
      <alignment vertical="bottom"/>
    </xf>
    <xf borderId="8" fillId="3" fontId="2" numFmtId="0" xfId="0" applyBorder="1" applyFont="1"/>
    <xf borderId="9" fillId="3" fontId="4" numFmtId="0" xfId="0" applyAlignment="1" applyBorder="1" applyFont="1">
      <alignment readingOrder="0" vertical="center"/>
    </xf>
    <xf borderId="10" fillId="0" fontId="5" numFmtId="0" xfId="0" applyBorder="1" applyFont="1"/>
    <xf borderId="11" fillId="0" fontId="5" numFmtId="0" xfId="0" applyBorder="1" applyFont="1"/>
    <xf borderId="12" fillId="3" fontId="3" numFmtId="0" xfId="0" applyAlignment="1" applyBorder="1" applyFont="1">
      <alignment readingOrder="0" vertical="center"/>
    </xf>
    <xf borderId="9" fillId="3" fontId="6" numFmtId="0" xfId="0" applyAlignment="1" applyBorder="1" applyFont="1">
      <alignment readingOrder="0" vertical="center"/>
    </xf>
    <xf borderId="13" fillId="3" fontId="4" numFmtId="0" xfId="0" applyAlignment="1" applyBorder="1" applyFont="1">
      <alignment readingOrder="0" vertical="center"/>
    </xf>
    <xf borderId="14" fillId="3" fontId="2" numFmtId="0" xfId="0" applyBorder="1" applyFont="1"/>
    <xf borderId="9" fillId="3" fontId="7" numFmtId="0" xfId="0" applyAlignment="1" applyBorder="1" applyFont="1">
      <alignment readingOrder="0" vertical="center"/>
    </xf>
    <xf borderId="13" fillId="3" fontId="8" numFmtId="0" xfId="0" applyAlignment="1" applyBorder="1" applyFont="1">
      <alignment vertical="center"/>
    </xf>
    <xf borderId="14" fillId="3" fontId="1" numFmtId="0" xfId="0" applyAlignment="1" applyBorder="1" applyFont="1">
      <alignment horizontal="center" vertical="center"/>
    </xf>
    <xf borderId="9" fillId="3" fontId="9" numFmtId="0" xfId="0" applyAlignment="1" applyBorder="1" applyFont="1">
      <alignment horizontal="left" readingOrder="0" vertical="bottom"/>
    </xf>
    <xf borderId="7" fillId="2" fontId="1" numFmtId="0" xfId="0" applyBorder="1" applyFont="1"/>
    <xf borderId="0" fillId="3" fontId="10" numFmtId="0" xfId="0" applyAlignment="1" applyFont="1">
      <alignment horizontal="left" vertical="center"/>
    </xf>
    <xf borderId="13" fillId="3" fontId="10" numFmtId="0" xfId="0" applyAlignment="1" applyBorder="1" applyFont="1">
      <alignment horizontal="left" vertical="center"/>
    </xf>
    <xf borderId="15" fillId="3" fontId="10" numFmtId="0" xfId="0" applyAlignment="1" applyBorder="1" applyFont="1">
      <alignment horizontal="left" vertical="center"/>
    </xf>
    <xf borderId="16" fillId="0" fontId="5" numFmtId="0" xfId="0" applyBorder="1" applyFont="1"/>
    <xf borderId="17" fillId="0" fontId="5" numFmtId="0" xfId="0" applyBorder="1" applyFont="1"/>
    <xf borderId="18" fillId="4" fontId="11" numFmtId="0" xfId="0" applyAlignment="1" applyBorder="1" applyFill="1" applyFont="1">
      <alignment horizontal="center" vertical="center"/>
    </xf>
    <xf borderId="9" fillId="3" fontId="12" numFmtId="0" xfId="0" applyAlignment="1" applyBorder="1" applyFont="1">
      <alignment horizontal="center" vertical="center"/>
    </xf>
    <xf borderId="19" fillId="5" fontId="13" numFmtId="0" xfId="0" applyAlignment="1" applyBorder="1" applyFill="1" applyFont="1">
      <alignment horizontal="left" readingOrder="0" vertical="center"/>
    </xf>
    <xf borderId="20" fillId="0" fontId="5" numFmtId="0" xfId="0" applyBorder="1" applyFont="1"/>
    <xf borderId="21" fillId="0" fontId="5" numFmtId="0" xfId="0" applyBorder="1" applyFont="1"/>
    <xf borderId="13" fillId="3" fontId="13" numFmtId="0" xfId="0" applyAlignment="1" applyBorder="1" applyFont="1">
      <alignment horizontal="center" vertical="center"/>
    </xf>
    <xf borderId="8" fillId="3" fontId="2" numFmtId="0" xfId="0" applyAlignment="1" applyBorder="1" applyFont="1">
      <alignment vertical="bottom"/>
    </xf>
    <xf borderId="22" fillId="3" fontId="2" numFmtId="0" xfId="0" applyAlignment="1" applyBorder="1" applyFont="1">
      <alignment vertical="bottom"/>
    </xf>
    <xf borderId="22" fillId="3" fontId="2" numFmtId="0" xfId="0" applyAlignment="1" applyBorder="1" applyFont="1">
      <alignment vertical="center"/>
    </xf>
    <xf borderId="23" fillId="3" fontId="13" numFmtId="0" xfId="0" applyAlignment="1" applyBorder="1" applyFont="1">
      <alignment horizontal="left" readingOrder="0" vertical="center"/>
    </xf>
    <xf borderId="24" fillId="0" fontId="5" numFmtId="0" xfId="0" applyBorder="1" applyFont="1"/>
    <xf borderId="25" fillId="0" fontId="5" numFmtId="0" xfId="0" applyBorder="1" applyFont="1"/>
    <xf borderId="11" fillId="3" fontId="13" numFmtId="0" xfId="0" applyAlignment="1" applyBorder="1" applyFont="1">
      <alignment horizontal="center" vertical="center"/>
    </xf>
    <xf borderId="26" fillId="5" fontId="13" numFmtId="0" xfId="0" applyAlignment="1" applyBorder="1" applyFont="1">
      <alignment horizontal="left" readingOrder="0" vertical="center"/>
    </xf>
    <xf borderId="27" fillId="0" fontId="5" numFmtId="0" xfId="0" applyBorder="1" applyFont="1"/>
    <xf borderId="28" fillId="0" fontId="5" numFmtId="0" xfId="0" applyBorder="1" applyFont="1"/>
    <xf borderId="29" fillId="3" fontId="13" numFmtId="0" xfId="0" applyAlignment="1" applyBorder="1" applyFont="1">
      <alignment horizontal="left" readingOrder="0" vertical="center"/>
    </xf>
    <xf borderId="30" fillId="0" fontId="5" numFmtId="0" xfId="0" applyBorder="1" applyFont="1"/>
    <xf borderId="31" fillId="0" fontId="5" numFmtId="0" xfId="0" applyBorder="1" applyFont="1"/>
    <xf borderId="7" fillId="2" fontId="14" numFmtId="0" xfId="0" applyAlignment="1" applyBorder="1" applyFont="1">
      <alignment horizontal="center" vertical="center"/>
    </xf>
    <xf borderId="32" fillId="3" fontId="2" numFmtId="0" xfId="0" applyBorder="1" applyFont="1"/>
    <xf borderId="33" fillId="3" fontId="2" numFmtId="0" xfId="0" applyBorder="1" applyFont="1"/>
    <xf borderId="33" fillId="0" fontId="5" numFmtId="0" xfId="0" applyBorder="1" applyFont="1"/>
    <xf borderId="32" fillId="0" fontId="5" numFmtId="0" xfId="0" applyBorder="1" applyFont="1"/>
    <xf borderId="9" fillId="3" fontId="15" numFmtId="0" xfId="0" applyAlignment="1" applyBorder="1" applyFont="1">
      <alignment horizontal="left" readingOrder="0" vertical="center"/>
    </xf>
    <xf borderId="13" fillId="3" fontId="12" numFmtId="0" xfId="0" applyAlignment="1" applyBorder="1" applyFont="1">
      <alignment horizontal="center" vertical="center"/>
    </xf>
    <xf borderId="15" fillId="3" fontId="14" numFmtId="0" xfId="0" applyAlignment="1" applyBorder="1" applyFont="1">
      <alignment horizontal="left" vertical="center"/>
    </xf>
    <xf borderId="18" fillId="6" fontId="1" numFmtId="0" xfId="0" applyAlignment="1" applyBorder="1" applyFill="1" applyFont="1">
      <alignment horizontal="center" vertical="center"/>
    </xf>
    <xf borderId="34" fillId="5" fontId="14" numFmtId="0" xfId="0" applyAlignment="1" applyBorder="1" applyFont="1">
      <alignment horizontal="left" readingOrder="0" vertical="center"/>
    </xf>
    <xf borderId="35" fillId="0" fontId="5" numFmtId="0" xfId="0" applyBorder="1" applyFont="1"/>
    <xf borderId="36" fillId="0" fontId="5" numFmtId="0" xfId="0" applyBorder="1" applyFont="1"/>
    <xf borderId="13" fillId="3" fontId="14" numFmtId="0" xfId="0" applyAlignment="1" applyBorder="1" applyFont="1">
      <alignment horizontal="center" vertical="center"/>
    </xf>
    <xf borderId="29" fillId="3" fontId="14" numFmtId="0" xfId="0" applyAlignment="1" applyBorder="1" applyFont="1">
      <alignment horizontal="left" readingOrder="0" vertical="center"/>
    </xf>
    <xf borderId="11" fillId="3" fontId="14" numFmtId="0" xfId="0" applyAlignment="1" applyBorder="1" applyFont="1">
      <alignment horizontal="center" vertical="center"/>
    </xf>
    <xf borderId="9" fillId="3" fontId="16" numFmtId="0" xfId="0" applyAlignment="1" applyBorder="1" applyFont="1">
      <alignment horizontal="left" readingOrder="0" vertical="center"/>
    </xf>
    <xf borderId="7" fillId="2" fontId="1" numFmtId="0" xfId="0" applyAlignment="1" applyBorder="1" applyFont="1">
      <alignment horizontal="center" vertical="center"/>
    </xf>
    <xf borderId="18" fillId="7" fontId="1" numFmtId="0" xfId="0" applyAlignment="1" applyBorder="1" applyFill="1" applyFont="1">
      <alignment horizontal="center" vertical="center"/>
    </xf>
    <xf borderId="19" fillId="5" fontId="14" numFmtId="0" xfId="0" applyAlignment="1" applyBorder="1" applyFont="1">
      <alignment horizontal="left" readingOrder="0" vertical="center"/>
    </xf>
    <xf borderId="13" fillId="3" fontId="17" numFmtId="0" xfId="0" applyAlignment="1" applyBorder="1" applyFont="1">
      <alignment horizontal="center" vertical="center"/>
    </xf>
    <xf borderId="10" fillId="3" fontId="18" numFmtId="0" xfId="0" applyBorder="1" applyFont="1"/>
    <xf borderId="37" fillId="3" fontId="2" numFmtId="0" xfId="0" applyAlignment="1" applyBorder="1" applyFont="1">
      <alignment vertical="bottom"/>
    </xf>
    <xf borderId="38" fillId="3" fontId="2" numFmtId="0" xfId="0" applyBorder="1" applyFont="1"/>
    <xf borderId="18" fillId="8" fontId="2" numFmtId="0" xfId="0" applyAlignment="1" applyBorder="1" applyFill="1" applyFont="1">
      <alignment vertical="bottom"/>
    </xf>
    <xf borderId="19" fillId="5" fontId="14" numFmtId="0" xfId="0" applyAlignment="1" applyBorder="1" applyFont="1">
      <alignment readingOrder="0" vertical="center"/>
    </xf>
    <xf borderId="39" fillId="3" fontId="2" numFmtId="0" xfId="0" applyBorder="1" applyFont="1"/>
    <xf borderId="23" fillId="3" fontId="14" numFmtId="0" xfId="0" applyAlignment="1" applyBorder="1" applyFont="1">
      <alignment readingOrder="0" vertical="center"/>
    </xf>
    <xf borderId="23" fillId="3" fontId="13" numFmtId="0" xfId="0" applyAlignment="1" applyBorder="1" applyFont="1">
      <alignment readingOrder="0" vertical="center"/>
    </xf>
    <xf borderId="40" fillId="3" fontId="19" numFmtId="0" xfId="0" applyAlignment="1" applyBorder="1" applyFont="1">
      <alignment horizontal="center" readingOrder="0"/>
    </xf>
    <xf borderId="41" fillId="0" fontId="5" numFmtId="0" xfId="0" applyBorder="1" applyFont="1"/>
    <xf borderId="42" fillId="0" fontId="5" numFmtId="0" xfId="0" applyBorder="1" applyFont="1"/>
    <xf borderId="43" fillId="3" fontId="20" numFmtId="0" xfId="0" applyAlignment="1" applyBorder="1" applyFont="1">
      <alignment horizontal="left" readingOrder="0"/>
    </xf>
    <xf borderId="44" fillId="0" fontId="5" numFmtId="0" xfId="0" applyBorder="1" applyFont="1"/>
    <xf borderId="45" fillId="3" fontId="14" numFmtId="0" xfId="0" applyAlignment="1" applyBorder="1" applyFont="1">
      <alignment horizontal="center" vertical="center"/>
    </xf>
    <xf borderId="14" fillId="3" fontId="14" numFmtId="0" xfId="0" applyAlignment="1" applyBorder="1" applyFont="1">
      <alignment horizontal="center" vertical="center"/>
    </xf>
    <xf borderId="22" fillId="3" fontId="14" numFmtId="0" xfId="0" applyAlignment="1" applyBorder="1" applyFont="1">
      <alignment horizontal="center" vertical="center"/>
    </xf>
    <xf borderId="22" fillId="3" fontId="21" numFmtId="0" xfId="0" applyAlignment="1" applyBorder="1" applyFont="1">
      <alignment horizontal="center" readingOrder="0" vertical="center"/>
    </xf>
    <xf borderId="22" fillId="3" fontId="22" numFmtId="0" xfId="0" applyAlignment="1" applyBorder="1" applyFont="1">
      <alignment horizontal="center" readingOrder="0" vertical="center"/>
    </xf>
    <xf borderId="46" fillId="3" fontId="14" numFmtId="0" xfId="0" applyAlignment="1" applyBorder="1" applyFont="1">
      <alignment horizontal="center" vertical="center"/>
    </xf>
    <xf borderId="47" fillId="3" fontId="14" numFmtId="0" xfId="0" applyAlignment="1" applyBorder="1" applyFont="1">
      <alignment horizontal="center" vertical="center"/>
    </xf>
    <xf borderId="48" fillId="3" fontId="14" numFmtId="0" xfId="0" applyAlignment="1" applyBorder="1" applyFont="1">
      <alignment horizontal="center" vertical="center"/>
    </xf>
    <xf borderId="49" fillId="3" fontId="23" numFmtId="0" xfId="0" applyAlignment="1" applyBorder="1" applyFont="1">
      <alignment horizontal="center" readingOrder="0" vertical="center"/>
    </xf>
    <xf borderId="50" fillId="0" fontId="5" numFmtId="0" xfId="0" applyBorder="1" applyFont="1"/>
    <xf borderId="37" fillId="3" fontId="22" numFmtId="0" xfId="0" applyAlignment="1" applyBorder="1" applyFont="1">
      <alignment horizontal="center" readingOrder="0" vertical="center"/>
    </xf>
    <xf borderId="32" fillId="3" fontId="14" numFmtId="0" xfId="0" applyAlignment="1" applyBorder="1" applyFont="1">
      <alignment horizontal="center" vertical="center"/>
    </xf>
    <xf borderId="37" fillId="3" fontId="14" numFmtId="0" xfId="0" applyAlignment="1" applyBorder="1" applyFont="1">
      <alignment horizontal="center" vertical="center"/>
    </xf>
    <xf borderId="51" fillId="3" fontId="14" numFmtId="0" xfId="0" applyAlignment="1" applyBorder="1" applyFont="1">
      <alignment horizontal="center" vertical="center"/>
    </xf>
    <xf borderId="0" fillId="3" fontId="24" numFmtId="0" xfId="0" applyAlignment="1" applyFont="1">
      <alignment horizontal="center" readingOrder="0" vertical="center"/>
    </xf>
    <xf borderId="49" fillId="3" fontId="25" numFmtId="0" xfId="0" applyAlignment="1" applyBorder="1" applyFont="1">
      <alignment horizontal="center" readingOrder="0" vertical="center"/>
    </xf>
    <xf borderId="52" fillId="3" fontId="14" numFmtId="0" xfId="0" applyAlignment="1" applyBorder="1" applyFont="1">
      <alignment horizontal="center" vertical="center"/>
    </xf>
    <xf borderId="53" fillId="9" fontId="2" numFmtId="0" xfId="0" applyAlignment="1" applyBorder="1" applyFill="1" applyFont="1">
      <alignment vertical="bottom"/>
    </xf>
    <xf borderId="10" fillId="3" fontId="14" numFmtId="0" xfId="0" applyAlignment="1" applyBorder="1" applyFont="1">
      <alignment horizontal="center" vertical="center"/>
    </xf>
    <xf borderId="54" fillId="5" fontId="14" numFmtId="0" xfId="0" applyAlignment="1" applyBorder="1" applyFont="1">
      <alignment horizontal="center" readingOrder="0" vertical="bottom"/>
    </xf>
    <xf borderId="55" fillId="0" fontId="5" numFmtId="0" xfId="0" applyBorder="1" applyFont="1"/>
    <xf borderId="56" fillId="0" fontId="5" numFmtId="0" xfId="0" applyBorder="1" applyFont="1"/>
    <xf borderId="57" fillId="5" fontId="22" numFmtId="0" xfId="0" applyAlignment="1" applyBorder="1" applyFont="1">
      <alignment horizontal="center" readingOrder="0" vertical="center"/>
    </xf>
    <xf borderId="58" fillId="5" fontId="12" numFmtId="0" xfId="0" applyAlignment="1" applyBorder="1" applyFont="1">
      <alignment horizontal="center" readingOrder="0" vertical="center"/>
    </xf>
    <xf borderId="59" fillId="0" fontId="5" numFmtId="0" xfId="0" applyBorder="1" applyFont="1"/>
    <xf borderId="60" fillId="0" fontId="5" numFmtId="0" xfId="0" applyBorder="1" applyFont="1"/>
    <xf borderId="18" fillId="9" fontId="2" numFmtId="0" xfId="0" applyAlignment="1" applyBorder="1" applyFont="1">
      <alignment vertical="bottom"/>
    </xf>
    <xf borderId="34" fillId="5" fontId="14" numFmtId="0" xfId="0" applyAlignment="1" applyBorder="1" applyFont="1">
      <alignment horizontal="center" readingOrder="0" vertical="center"/>
    </xf>
    <xf borderId="61" fillId="0" fontId="5" numFmtId="0" xfId="0" applyBorder="1" applyFont="1"/>
    <xf borderId="62" fillId="5" fontId="22" numFmtId="0" xfId="0" applyAlignment="1" applyBorder="1" applyFont="1">
      <alignment horizontal="center" readingOrder="0" vertical="center"/>
    </xf>
    <xf borderId="63" fillId="5" fontId="12" numFmtId="0" xfId="0" applyAlignment="1" applyBorder="1" applyFont="1">
      <alignment horizontal="center" readingOrder="0" vertical="center"/>
    </xf>
    <xf borderId="53" fillId="10" fontId="2" numFmtId="0" xfId="0" applyAlignment="1" applyBorder="1" applyFill="1" applyFont="1">
      <alignment vertical="bottom"/>
    </xf>
    <xf borderId="9" fillId="3" fontId="14" numFmtId="0" xfId="0" applyAlignment="1" applyBorder="1" applyFont="1">
      <alignment horizontal="center" vertical="center"/>
    </xf>
    <xf borderId="64" fillId="5" fontId="14" numFmtId="0" xfId="0" applyAlignment="1" applyBorder="1" applyFont="1">
      <alignment horizontal="left" vertical="top"/>
    </xf>
    <xf borderId="65" fillId="0" fontId="5" numFmtId="0" xfId="0" applyBorder="1" applyFont="1"/>
    <xf borderId="66" fillId="5" fontId="14" numFmtId="0" xfId="0" applyAlignment="1" applyBorder="1" applyFont="1">
      <alignment horizontal="center" readingOrder="0" vertical="bottom"/>
    </xf>
    <xf borderId="66" fillId="0" fontId="5" numFmtId="0" xfId="0" applyBorder="1" applyFont="1"/>
    <xf borderId="67" fillId="0" fontId="5" numFmtId="0" xfId="0" applyBorder="1" applyFont="1"/>
    <xf borderId="68" fillId="5" fontId="12" numFmtId="0" xfId="0" applyAlignment="1" applyBorder="1" applyFont="1">
      <alignment horizontal="center" readingOrder="0" vertical="center"/>
    </xf>
    <xf borderId="64" fillId="5" fontId="12" numFmtId="0" xfId="0" applyAlignment="1" applyBorder="1" applyFont="1">
      <alignment horizontal="center" readingOrder="0" vertical="center"/>
    </xf>
    <xf borderId="69" fillId="0" fontId="5" numFmtId="0" xfId="0" applyBorder="1" applyFont="1"/>
    <xf borderId="70" fillId="0" fontId="5" numFmtId="0" xfId="0" applyBorder="1" applyFont="1"/>
    <xf borderId="71" fillId="0" fontId="5" numFmtId="0" xfId="0" applyBorder="1" applyFont="1"/>
    <xf borderId="72" fillId="5" fontId="14" numFmtId="0" xfId="0" applyAlignment="1" applyBorder="1" applyFont="1">
      <alignment horizontal="center" readingOrder="0" vertical="center"/>
    </xf>
    <xf borderId="73" fillId="0" fontId="5" numFmtId="0" xfId="0" applyBorder="1" applyFont="1"/>
    <xf borderId="74" fillId="0" fontId="5" numFmtId="0" xfId="0" applyBorder="1" applyFont="1"/>
    <xf borderId="75" fillId="0" fontId="5" numFmtId="0" xfId="0" applyBorder="1" applyFont="1"/>
    <xf borderId="49" fillId="3" fontId="14" numFmtId="0" xfId="0" applyAlignment="1" applyBorder="1" applyFont="1">
      <alignment horizontal="center" vertical="center"/>
    </xf>
    <xf borderId="67" fillId="5" fontId="14" numFmtId="0" xfId="0" applyAlignment="1" applyBorder="1" applyFont="1">
      <alignment horizontal="center" vertical="center"/>
    </xf>
    <xf borderId="76" fillId="5" fontId="14" numFmtId="0" xfId="0" applyAlignment="1" applyBorder="1" applyFont="1">
      <alignment horizontal="center" vertical="center"/>
    </xf>
    <xf borderId="77" fillId="0" fontId="5" numFmtId="0" xfId="0" applyBorder="1" applyFont="1"/>
    <xf borderId="78" fillId="0" fontId="5" numFmtId="0" xfId="0" applyBorder="1" applyFont="1"/>
    <xf borderId="79" fillId="5" fontId="14" numFmtId="0" xfId="0" applyAlignment="1" applyBorder="1" applyFont="1">
      <alignment horizontal="center" readingOrder="0" vertical="top"/>
    </xf>
    <xf borderId="80" fillId="0" fontId="5" numFmtId="0" xfId="0" applyBorder="1" applyFont="1"/>
    <xf borderId="81" fillId="0" fontId="5" numFmtId="0" xfId="0" applyBorder="1" applyFont="1"/>
    <xf borderId="82" fillId="0" fontId="5" numFmtId="0" xfId="0" applyBorder="1" applyFont="1"/>
    <xf borderId="83" fillId="0" fontId="5" numFmtId="0" xfId="0" applyBorder="1" applyFont="1"/>
    <xf borderId="84" fillId="0" fontId="5" numFmtId="0" xfId="0" applyBorder="1" applyFont="1"/>
    <xf borderId="85" fillId="0" fontId="5" numFmtId="0" xfId="0" applyBorder="1" applyFont="1"/>
    <xf borderId="29" fillId="3" fontId="14" numFmtId="0" xfId="0" applyAlignment="1" applyBorder="1" applyFont="1">
      <alignment horizontal="center" readingOrder="0" vertical="center"/>
    </xf>
    <xf borderId="86" fillId="0" fontId="5" numFmtId="0" xfId="0" applyBorder="1" applyFont="1"/>
    <xf borderId="87" fillId="3" fontId="22" numFmtId="0" xfId="0" applyAlignment="1" applyBorder="1" applyFont="1">
      <alignment horizontal="center" readingOrder="0" vertical="center"/>
    </xf>
    <xf borderId="88" fillId="3" fontId="12" numFmtId="0" xfId="0" applyAlignment="1" applyBorder="1" applyFont="1">
      <alignment horizontal="center" readingOrder="0" vertical="center"/>
    </xf>
    <xf borderId="89" fillId="0" fontId="5" numFmtId="0" xfId="0" applyBorder="1" applyFont="1"/>
    <xf borderId="90" fillId="0" fontId="5" numFmtId="0" xfId="0" applyBorder="1" applyFont="1"/>
    <xf borderId="66" fillId="5" fontId="14" numFmtId="0" xfId="0" applyAlignment="1" applyBorder="1" applyFont="1">
      <alignment horizontal="center" readingOrder="0" vertical="top"/>
    </xf>
    <xf borderId="91" fillId="0" fontId="5" numFmtId="0" xfId="0" applyBorder="1" applyFont="1"/>
    <xf borderId="92" fillId="0" fontId="5" numFmtId="0" xfId="0" applyBorder="1" applyFont="1"/>
    <xf borderId="93" fillId="0" fontId="5" numFmtId="0" xfId="0" applyBorder="1" applyFont="1"/>
    <xf borderId="37" fillId="3" fontId="2" numFmtId="0" xfId="0" applyAlignment="1" applyBorder="1" applyFont="1">
      <alignment horizontal="center" vertical="center"/>
    </xf>
    <xf borderId="49" fillId="3" fontId="2" numFmtId="0" xfId="0" applyAlignment="1" applyBorder="1" applyFont="1">
      <alignment horizontal="center" vertical="center"/>
    </xf>
    <xf borderId="94" fillId="3" fontId="2" numFmtId="0" xfId="0" applyAlignment="1" applyBorder="1" applyFont="1">
      <alignment horizontal="center" vertical="center"/>
    </xf>
    <xf borderId="95" fillId="3" fontId="2" numFmtId="0" xfId="0" applyAlignment="1" applyBorder="1" applyFont="1">
      <alignment horizontal="center" vertical="center"/>
    </xf>
    <xf borderId="23" fillId="3" fontId="14" numFmtId="0" xfId="0" applyAlignment="1" applyBorder="1" applyFont="1">
      <alignment horizontal="center" readingOrder="0" vertical="bottom"/>
    </xf>
    <xf borderId="96" fillId="3" fontId="22" numFmtId="0" xfId="0" applyAlignment="1" applyBorder="1" applyFont="1">
      <alignment horizontal="center" readingOrder="0" vertical="center"/>
    </xf>
    <xf borderId="97" fillId="3" fontId="12" numFmtId="0" xfId="0" applyAlignment="1" applyBorder="1" applyFont="1">
      <alignment horizontal="center" readingOrder="0" vertical="center"/>
    </xf>
    <xf borderId="98" fillId="0" fontId="5" numFmtId="0" xfId="0" applyBorder="1" applyFont="1"/>
    <xf borderId="99" fillId="0" fontId="5" numFmtId="0" xfId="0" applyBorder="1" applyFont="1"/>
    <xf borderId="100" fillId="3" fontId="14" numFmtId="0" xfId="0" applyAlignment="1" applyBorder="1" applyFont="1">
      <alignment horizontal="left" vertical="top"/>
    </xf>
    <xf borderId="101" fillId="0" fontId="5" numFmtId="0" xfId="0" applyBorder="1" applyFont="1"/>
    <xf borderId="102" fillId="3" fontId="14" numFmtId="0" xfId="0" applyAlignment="1" applyBorder="1" applyFont="1">
      <alignment horizontal="center" readingOrder="0" vertical="bottom"/>
    </xf>
    <xf borderId="96" fillId="3" fontId="12" numFmtId="0" xfId="0" applyAlignment="1" applyBorder="1" applyFont="1">
      <alignment horizontal="center" readingOrder="0" vertical="center"/>
    </xf>
    <xf borderId="103" fillId="3" fontId="14" numFmtId="0" xfId="0" applyAlignment="1" applyBorder="1" applyFont="1">
      <alignment horizontal="center" readingOrder="0" vertical="center"/>
    </xf>
    <xf borderId="37" fillId="0" fontId="5" numFmtId="0" xfId="0" applyBorder="1" applyFont="1"/>
    <xf borderId="49" fillId="0" fontId="5" numFmtId="0" xfId="0" applyBorder="1" applyFont="1"/>
    <xf borderId="104" fillId="0" fontId="5" numFmtId="0" xfId="0" applyBorder="1" applyFont="1"/>
    <xf borderId="15" fillId="3" fontId="14" numFmtId="0" xfId="0" applyAlignment="1" applyBorder="1" applyFont="1">
      <alignment horizontal="center" vertical="center"/>
    </xf>
    <xf borderId="105" fillId="0" fontId="5" numFmtId="0" xfId="0" applyBorder="1" applyFont="1"/>
    <xf borderId="106" fillId="3" fontId="14" numFmtId="0" xfId="0" applyAlignment="1" applyBorder="1" applyFont="1">
      <alignment horizontal="center" readingOrder="0" vertical="top"/>
    </xf>
    <xf borderId="107" fillId="0" fontId="5" numFmtId="0" xfId="0" applyBorder="1" applyFont="1"/>
    <xf borderId="108" fillId="0" fontId="5" numFmtId="0" xfId="0" applyBorder="1" applyFont="1"/>
    <xf borderId="109" fillId="0" fontId="5" numFmtId="0" xfId="0" applyBorder="1" applyFont="1"/>
    <xf borderId="110" fillId="0" fontId="5" numFmtId="0" xfId="0" applyBorder="1" applyFont="1"/>
    <xf borderId="111" fillId="0" fontId="5" numFmtId="0" xfId="0" applyBorder="1" applyFont="1"/>
    <xf borderId="112" fillId="0" fontId="5" numFmtId="0" xfId="0" applyBorder="1" applyFont="1"/>
    <xf borderId="113" fillId="0" fontId="5" numFmtId="0" xfId="0" applyBorder="1" applyFont="1"/>
    <xf borderId="114" fillId="0" fontId="5" numFmtId="0" xfId="0" applyBorder="1" applyFont="1"/>
    <xf borderId="115" fillId="3" fontId="14" numFmtId="0" xfId="0" applyAlignment="1" applyBorder="1" applyFont="1">
      <alignment horizontal="center" readingOrder="0" vertical="top"/>
    </xf>
    <xf borderId="37" fillId="3" fontId="2" numFmtId="0" xfId="0" applyAlignment="1" applyBorder="1" applyFont="1">
      <alignment vertical="center"/>
    </xf>
    <xf borderId="49" fillId="3" fontId="2" numFmtId="0" xfId="0" applyAlignment="1" applyBorder="1" applyFont="1">
      <alignment vertical="center"/>
    </xf>
    <xf borderId="116" fillId="3" fontId="2" numFmtId="0" xfId="0" applyAlignment="1" applyBorder="1" applyFont="1">
      <alignment vertical="center"/>
    </xf>
    <xf borderId="47" fillId="3" fontId="2" numFmtId="0" xfId="0" applyAlignment="1" applyBorder="1" applyFont="1">
      <alignment vertical="center"/>
    </xf>
    <xf borderId="48" fillId="3" fontId="2" numFmtId="0" xfId="0" applyAlignment="1" applyBorder="1" applyFont="1">
      <alignment vertical="center"/>
    </xf>
    <xf borderId="117" fillId="5" fontId="14" numFmtId="0" xfId="0" applyAlignment="1" applyBorder="1" applyFont="1">
      <alignment horizontal="center" readingOrder="0" vertical="bottom"/>
    </xf>
    <xf borderId="73" fillId="5" fontId="22" numFmtId="0" xfId="0" applyAlignment="1" applyBorder="1" applyFont="1">
      <alignment horizontal="center" readingOrder="0" vertical="center"/>
    </xf>
    <xf borderId="74" fillId="5" fontId="12" numFmtId="0" xfId="0" applyAlignment="1" applyBorder="1" applyFont="1">
      <alignment horizontal="center" readingOrder="0" vertical="center"/>
    </xf>
    <xf borderId="83" fillId="5" fontId="22" numFmtId="0" xfId="0" applyAlignment="1" applyBorder="1" applyFont="1">
      <alignment horizontal="center" readingOrder="0" vertical="center"/>
    </xf>
    <xf borderId="34" fillId="5" fontId="12" numFmtId="0" xfId="0" applyAlignment="1" applyBorder="1" applyFont="1">
      <alignment horizontal="center" readingOrder="0" vertical="center"/>
    </xf>
    <xf borderId="64" fillId="5" fontId="14" numFmtId="0" xfId="0" applyAlignment="1" applyBorder="1" applyFont="1">
      <alignment horizontal="left" vertical="center"/>
    </xf>
    <xf borderId="100" fillId="3" fontId="14" numFmtId="0" xfId="0" applyAlignment="1" applyBorder="1" applyFont="1">
      <alignment horizontal="center" vertical="center"/>
    </xf>
    <xf borderId="16" fillId="3" fontId="12" numFmtId="0" xfId="0" applyAlignment="1" applyBorder="1" applyFont="1">
      <alignment horizontal="center" readingOrder="0" vertical="center"/>
    </xf>
    <xf borderId="16" fillId="0" fontId="5" numFmtId="0" xfId="0" applyBorder="1" applyFont="1"/>
    <xf borderId="118" fillId="0" fontId="5" numFmtId="0" xfId="0" applyBorder="1" applyFont="1"/>
    <xf borderId="33" fillId="0" fontId="5" numFmtId="0" xfId="0" applyBorder="1" applyFont="1"/>
    <xf borderId="119" fillId="0" fontId="5" numFmtId="0" xfId="0" applyBorder="1" applyFont="1"/>
    <xf borderId="120" fillId="3" fontId="14" numFmtId="0" xfId="0" applyAlignment="1" applyBorder="1" applyFont="1">
      <alignment horizontal="center" vertical="center"/>
    </xf>
    <xf borderId="100" fillId="3" fontId="14" numFmtId="0" xfId="0" applyAlignment="1" applyBorder="1" applyFont="1">
      <alignment horizontal="center" vertical="top"/>
    </xf>
    <xf borderId="79" fillId="5" fontId="14" numFmtId="0" xfId="0" applyAlignment="1" applyBorder="1" applyFont="1">
      <alignment horizontal="center" readingOrder="0" vertical="bottom"/>
    </xf>
    <xf borderId="54" fillId="5" fontId="14" numFmtId="0" xfId="0" applyAlignment="1" applyBorder="1" applyFont="1">
      <alignment horizontal="center" readingOrder="0" vertical="center"/>
    </xf>
    <xf borderId="15" fillId="3" fontId="14" numFmtId="0" xfId="0" applyAlignment="1" applyBorder="1" applyFont="1">
      <alignment horizontal="left" vertical="top"/>
    </xf>
    <xf borderId="17" fillId="0" fontId="5" numFmtId="0" xfId="0" applyBorder="1" applyFont="1"/>
    <xf borderId="49" fillId="0" fontId="5" numFmtId="0" xfId="0" applyBorder="1" applyFont="1"/>
    <xf borderId="50" fillId="0" fontId="5" numFmtId="0" xfId="0" applyBorder="1" applyFont="1"/>
    <xf borderId="79" fillId="5" fontId="14" numFmtId="0" xfId="0" applyAlignment="1" applyBorder="1" applyFont="1">
      <alignment horizontal="center" readingOrder="0" vertical="center"/>
    </xf>
    <xf borderId="47" fillId="0" fontId="5" numFmtId="0" xfId="0" applyBorder="1" applyFont="1"/>
    <xf borderId="32" fillId="0" fontId="5" numFmtId="0" xfId="0" applyBorder="1" applyFont="1"/>
    <xf borderId="54" fillId="5" fontId="14" numFmtId="0" xfId="0" applyAlignment="1" applyBorder="1" applyFont="1">
      <alignment horizontal="center" readingOrder="0" vertical="top"/>
    </xf>
    <xf borderId="121" fillId="3" fontId="14" numFmtId="0" xfId="0" applyAlignment="1" applyBorder="1" applyFont="1">
      <alignment horizontal="center" vertical="center"/>
    </xf>
    <xf borderId="122" fillId="3" fontId="26" numFmtId="0" xfId="0" applyAlignment="1" applyBorder="1" applyFont="1">
      <alignment horizontal="center" readingOrder="0"/>
    </xf>
    <xf borderId="123" fillId="0" fontId="5" numFmtId="0" xfId="0" applyBorder="1" applyFont="1"/>
    <xf borderId="124" fillId="0" fontId="5" numFmtId="0" xfId="0" applyBorder="1" applyFont="1"/>
    <xf borderId="125" fillId="3" fontId="27" numFmtId="0" xfId="0" applyAlignment="1" applyBorder="1" applyFont="1">
      <alignment horizontal="center" readingOrder="0"/>
    </xf>
    <xf borderId="126" fillId="0" fontId="5" numFmtId="0" xfId="0" applyBorder="1" applyFont="1"/>
    <xf borderId="127" fillId="0" fontId="5" numFmtId="0" xfId="0" applyBorder="1" applyFont="1"/>
    <xf borderId="128" fillId="3" fontId="14" numFmtId="0" xfId="0" applyAlignment="1" applyBorder="1" applyFont="1">
      <alignment horizontal="center" vertical="center"/>
    </xf>
    <xf borderId="129" fillId="3" fontId="14" numFmtId="0" xfId="0" applyAlignment="1" applyBorder="1" applyFont="1">
      <alignment horizontal="center" vertical="center"/>
    </xf>
    <xf borderId="47" fillId="3" fontId="28" numFmtId="0" xfId="0" applyAlignment="1" applyBorder="1" applyFont="1">
      <alignment horizontal="center" readingOrder="0" vertical="center"/>
    </xf>
    <xf borderId="49" fillId="3" fontId="29" numFmtId="0" xfId="0" applyAlignment="1" applyBorder="1" applyFont="1">
      <alignment horizontal="center" readingOrder="0" vertical="center"/>
    </xf>
    <xf borderId="130" fillId="3" fontId="14" numFmtId="0" xfId="0" applyAlignment="1" applyBorder="1" applyFont="1">
      <alignment horizontal="center" vertical="center"/>
    </xf>
    <xf borderId="0" fillId="3" fontId="30" numFmtId="0" xfId="0" applyAlignment="1" applyFont="1">
      <alignment horizontal="center" readingOrder="0" vertical="center"/>
    </xf>
    <xf borderId="131" fillId="3" fontId="14" numFmtId="0" xfId="0" applyAlignment="1" applyBorder="1" applyFont="1">
      <alignment horizontal="center" vertical="center"/>
    </xf>
    <xf borderId="23" fillId="3" fontId="14" numFmtId="0" xfId="0" applyAlignment="1" applyBorder="1" applyFont="1">
      <alignment horizontal="center" readingOrder="0" vertical="center"/>
    </xf>
    <xf borderId="33" fillId="3" fontId="14" numFmtId="0" xfId="0" applyAlignment="1" applyBorder="1" applyFont="1">
      <alignment horizontal="center" vertical="center"/>
    </xf>
    <xf borderId="132" fillId="0" fontId="5" numFmtId="0" xfId="0" applyBorder="1" applyFont="1"/>
    <xf borderId="133" fillId="0" fontId="5" numFmtId="0" xfId="0" applyBorder="1" applyFont="1"/>
    <xf borderId="15" fillId="5" fontId="14" numFmtId="0" xfId="0" applyAlignment="1" applyBorder="1" applyFont="1">
      <alignment horizontal="center" readingOrder="0" vertical="center"/>
    </xf>
    <xf borderId="50" fillId="3" fontId="14" numFmtId="0" xfId="0" applyAlignment="1" applyBorder="1" applyFont="1">
      <alignment horizontal="center" vertical="center"/>
    </xf>
    <xf borderId="47" fillId="0" fontId="5" numFmtId="0" xfId="0" applyBorder="1" applyFont="1"/>
    <xf borderId="134" fillId="3" fontId="14" numFmtId="0" xfId="0" applyAlignment="1" applyBorder="1" applyFont="1">
      <alignment horizontal="center" vertical="center"/>
    </xf>
    <xf borderId="98" fillId="3" fontId="14" numFmtId="0" xfId="0" applyAlignment="1" applyBorder="1" applyFont="1">
      <alignment horizontal="center" readingOrder="0" vertical="center"/>
    </xf>
    <xf borderId="135" fillId="5" fontId="14" numFmtId="0" xfId="0" applyAlignment="1" applyBorder="1" applyFont="1">
      <alignment horizontal="center" vertical="center"/>
    </xf>
    <xf borderId="136" fillId="0" fontId="5" numFmtId="0" xfId="0" applyBorder="1" applyFont="1"/>
    <xf borderId="59" fillId="5" fontId="14" numFmtId="0" xfId="0" applyAlignment="1" applyBorder="1" applyFont="1">
      <alignment horizontal="center" readingOrder="0" vertical="center"/>
    </xf>
    <xf borderId="137" fillId="3" fontId="14" numFmtId="0" xfId="0" applyAlignment="1" applyBorder="1" applyFont="1">
      <alignment horizontal="center" readingOrder="0" vertical="center"/>
    </xf>
    <xf borderId="138" fillId="0" fontId="5" numFmtId="0" xfId="0" applyBorder="1" applyFont="1"/>
    <xf borderId="139" fillId="0" fontId="5" numFmtId="0" xfId="0" applyBorder="1" applyFont="1"/>
    <xf borderId="9" fillId="5" fontId="14" numFmtId="0" xfId="0" applyAlignment="1" applyBorder="1" applyFont="1">
      <alignment horizontal="center" readingOrder="0" vertical="center"/>
    </xf>
    <xf borderId="100" fillId="3" fontId="12" numFmtId="0" xfId="0" applyAlignment="1" applyBorder="1" applyFont="1">
      <alignment horizontal="center" readingOrder="0" vertical="center"/>
    </xf>
    <xf borderId="137" fillId="0" fontId="5" numFmtId="0" xfId="0" applyBorder="1" applyFont="1"/>
    <xf borderId="140" fillId="5" fontId="14" numFmtId="0" xfId="0" applyAlignment="1" applyBorder="1" applyFont="1">
      <alignment horizontal="center" readingOrder="0" vertical="center"/>
    </xf>
    <xf borderId="141" fillId="0" fontId="5" numFmtId="0" xfId="0" applyBorder="1" applyFont="1"/>
    <xf borderId="49" fillId="3" fontId="14" numFmtId="0" xfId="0" applyAlignment="1" applyBorder="1" applyFont="1">
      <alignment horizontal="center" readingOrder="0" vertical="center"/>
    </xf>
    <xf borderId="100" fillId="3" fontId="14" numFmtId="0" xfId="0" applyAlignment="1" applyBorder="1" applyFont="1">
      <alignment horizontal="center" readingOrder="0" vertical="center"/>
    </xf>
    <xf borderId="142" fillId="3" fontId="14" numFmtId="0" xfId="0" applyAlignment="1" applyBorder="1" applyFont="1">
      <alignment horizontal="center" readingOrder="0" vertical="center"/>
    </xf>
    <xf borderId="143" fillId="0" fontId="5" numFmtId="0" xfId="0" applyBorder="1" applyFont="1"/>
    <xf borderId="144" fillId="0" fontId="5" numFmtId="0" xfId="0" applyBorder="1" applyFont="1"/>
    <xf borderId="145" fillId="3" fontId="14" numFmtId="0" xfId="0" applyAlignment="1" applyBorder="1" applyFont="1">
      <alignment horizontal="center" readingOrder="0" vertical="center"/>
    </xf>
    <xf borderId="146" fillId="0" fontId="5" numFmtId="0" xfId="0" applyBorder="1" applyFont="1"/>
    <xf borderId="147" fillId="3" fontId="14" numFmtId="0" xfId="0" applyAlignment="1" applyBorder="1" applyFont="1">
      <alignment horizontal="center" readingOrder="0" vertical="center"/>
    </xf>
    <xf borderId="148" fillId="0" fontId="5" numFmtId="0" xfId="0" applyBorder="1" applyFont="1"/>
    <xf borderId="149" fillId="5" fontId="12" numFmtId="0" xfId="0" applyAlignment="1" applyBorder="1" applyFont="1">
      <alignment horizontal="center" readingOrder="0" vertical="center"/>
    </xf>
    <xf borderId="150" fillId="0" fontId="5" numFmtId="0" xfId="0" applyBorder="1" applyFont="1"/>
    <xf borderId="151" fillId="0" fontId="5" numFmtId="0" xfId="0" applyBorder="1" applyFont="1"/>
    <xf borderId="152" fillId="0" fontId="5" numFmtId="0" xfId="0" applyBorder="1" applyFont="1"/>
    <xf borderId="105" fillId="3" fontId="14" numFmtId="0" xfId="0" applyAlignment="1" applyBorder="1" applyFont="1">
      <alignment horizontal="center" readingOrder="0" vertical="center"/>
    </xf>
    <xf borderId="0" fillId="3" fontId="14" numFmtId="0" xfId="0" applyAlignment="1" applyFont="1">
      <alignment horizontal="center" vertical="center"/>
    </xf>
    <xf borderId="153" fillId="3" fontId="14" numFmtId="0" xfId="0" applyAlignment="1" applyBorder="1" applyFont="1">
      <alignment horizontal="center" vertical="center"/>
    </xf>
    <xf borderId="154" fillId="0" fontId="5" numFmtId="0" xfId="0" applyBorder="1" applyFont="1"/>
    <xf borderId="155" fillId="0" fontId="5" numFmtId="0" xfId="0" applyBorder="1" applyFont="1"/>
    <xf borderId="156" fillId="3" fontId="14" numFmtId="0" xfId="0" applyAlignment="1" applyBorder="1" applyFont="1">
      <alignment horizontal="center" readingOrder="0" vertical="center"/>
    </xf>
    <xf borderId="155" fillId="3" fontId="14" numFmtId="0" xfId="0" applyAlignment="1" applyBorder="1" applyFont="1">
      <alignment horizontal="center" vertical="center"/>
    </xf>
    <xf borderId="157" fillId="0" fontId="5" numFmtId="0" xfId="0" applyBorder="1" applyFont="1"/>
    <xf borderId="158" fillId="3" fontId="14" numFmtId="0" xfId="0" applyAlignment="1" applyBorder="1" applyFont="1">
      <alignment horizontal="center" vertical="center"/>
    </xf>
    <xf borderId="159" fillId="3" fontId="14" numFmtId="0" xfId="0" applyAlignment="1" applyBorder="1" applyFont="1">
      <alignment horizontal="center" vertical="center"/>
    </xf>
    <xf borderId="154" fillId="3" fontId="14" numFmtId="0" xfId="0" applyAlignment="1" applyBorder="1" applyFont="1">
      <alignment horizontal="center" vertical="center"/>
    </xf>
    <xf borderId="160" fillId="3" fontId="14" numFmtId="0" xfId="0" applyAlignment="1" applyBorder="1" applyFont="1">
      <alignment horizontal="center" readingOrder="0" vertical="center"/>
    </xf>
    <xf borderId="161" fillId="0" fontId="5" numFmtId="0" xfId="0" applyBorder="1" applyFont="1"/>
    <xf borderId="159" fillId="0" fontId="5" numFmtId="0" xfId="0" applyBorder="1" applyFont="1"/>
    <xf borderId="162" fillId="3" fontId="1" numFmtId="0" xfId="0" applyAlignment="1" applyBorder="1" applyFont="1">
      <alignment horizontal="center" vertical="center"/>
    </xf>
    <xf borderId="163" fillId="3" fontId="1" numFmtId="0" xfId="0" applyAlignment="1" applyBorder="1" applyFont="1">
      <alignment horizontal="center" vertical="center"/>
    </xf>
    <xf borderId="163" fillId="3" fontId="14" numFmtId="0" xfId="0" applyAlignment="1" applyBorder="1" applyFont="1">
      <alignment horizontal="center" vertical="center"/>
    </xf>
    <xf borderId="163" fillId="3" fontId="12" numFmtId="0" xfId="0" applyAlignment="1" applyBorder="1" applyFont="1">
      <alignment horizontal="center" vertical="center"/>
    </xf>
    <xf borderId="163" fillId="3" fontId="14" numFmtId="0" xfId="0" applyAlignment="1" applyBorder="1" applyFont="1">
      <alignment horizontal="center" readingOrder="0" vertical="center"/>
    </xf>
    <xf borderId="164" fillId="3" fontId="14" numFmtId="0" xfId="0" applyAlignment="1" applyBorder="1" applyFont="1">
      <alignment horizontal="center" vertical="center"/>
    </xf>
    <xf borderId="165" fillId="3" fontId="1" numFmtId="0" xfId="0" applyAlignment="1" applyBorder="1" applyFont="1">
      <alignment horizontal="center" vertical="center"/>
    </xf>
    <xf borderId="166" fillId="2" fontId="1" numFmtId="0" xfId="0" applyAlignment="1" applyBorder="1" applyFont="1">
      <alignment horizontal="center" vertical="center"/>
    </xf>
    <xf borderId="166" fillId="2" fontId="14" numFmtId="0" xfId="0" applyAlignment="1" applyBorder="1" applyFont="1">
      <alignment horizontal="center" vertical="center"/>
    </xf>
    <xf borderId="166" fillId="2" fontId="12" numFmtId="0" xfId="0" applyAlignment="1" applyBorder="1" applyFont="1">
      <alignment horizontal="center" vertical="center"/>
    </xf>
    <xf borderId="166" fillId="2" fontId="14" numFmtId="0" xfId="0" applyAlignment="1" applyBorder="1" applyFont="1">
      <alignment horizontal="center" readingOrder="0" vertical="center"/>
    </xf>
    <xf borderId="18" fillId="11" fontId="31" numFmtId="0" xfId="0" applyAlignment="1" applyBorder="1" applyFill="1" applyFont="1">
      <alignment horizontal="center" vertical="center"/>
    </xf>
    <xf borderId="53" fillId="11" fontId="31" numFmtId="0" xfId="0" applyAlignment="1" applyBorder="1" applyFont="1">
      <alignment horizontal="center" vertical="center"/>
    </xf>
    <xf borderId="167" fillId="11" fontId="31" numFmtId="0" xfId="0" applyAlignment="1" applyBorder="1" applyFont="1">
      <alignment horizontal="center" vertical="center"/>
    </xf>
    <xf borderId="168" fillId="12" fontId="31" numFmtId="0" xfId="0" applyAlignment="1" applyBorder="1" applyFill="1" applyFont="1">
      <alignment horizontal="center" vertical="center"/>
    </xf>
    <xf borderId="169" fillId="12" fontId="31" numFmtId="0" xfId="0" applyAlignment="1" applyBorder="1" applyFont="1">
      <alignment horizontal="center" vertical="center"/>
    </xf>
    <xf borderId="170" fillId="12" fontId="31" numFmtId="0" xfId="0" applyAlignment="1" applyBorder="1" applyFont="1">
      <alignment horizontal="center" vertical="center"/>
    </xf>
    <xf borderId="171" fillId="12" fontId="31" numFmtId="0" xfId="0" applyAlignment="1" applyBorder="1" applyFont="1">
      <alignment horizontal="center" vertical="center"/>
    </xf>
    <xf borderId="172" fillId="11" fontId="31" numFmtId="0" xfId="0" applyAlignment="1" applyBorder="1" applyFont="1">
      <alignment horizontal="center" vertical="center"/>
    </xf>
    <xf borderId="173" fillId="12" fontId="31" numFmtId="0" xfId="0" applyAlignment="1" applyBorder="1" applyFont="1">
      <alignment horizontal="center" vertical="center"/>
    </xf>
    <xf borderId="174" fillId="4" fontId="32" numFmtId="0" xfId="0" applyAlignment="1" applyBorder="1" applyFont="1">
      <alignment horizontal="center" readingOrder="0" shrinkToFit="0" vertical="center" wrapText="1"/>
    </xf>
    <xf borderId="175" fillId="0" fontId="5" numFmtId="0" xfId="0" applyBorder="1" applyFont="1"/>
    <xf borderId="176" fillId="12" fontId="31" numFmtId="0" xfId="0" applyAlignment="1" applyBorder="1" applyFont="1">
      <alignment horizontal="center" vertical="center"/>
    </xf>
    <xf borderId="177" fillId="4" fontId="32" numFmtId="0" xfId="0" applyAlignment="1" applyBorder="1" applyFont="1">
      <alignment horizontal="center" readingOrder="0" shrinkToFit="0" vertical="center" wrapText="1"/>
    </xf>
    <xf borderId="178" fillId="12" fontId="33" numFmtId="0" xfId="0" applyAlignment="1" applyBorder="1" applyFont="1">
      <alignment horizontal="center" readingOrder="0" shrinkToFit="0" vertical="center" wrapText="1"/>
    </xf>
    <xf borderId="179" fillId="12" fontId="31" numFmtId="0" xfId="0" applyAlignment="1" applyBorder="1" applyFont="1">
      <alignment horizontal="center" vertical="center"/>
    </xf>
    <xf borderId="180" fillId="12" fontId="31" numFmtId="0" xfId="0" applyAlignment="1" applyBorder="1" applyFont="1">
      <alignment horizontal="center" vertical="center"/>
    </xf>
    <xf borderId="181" fillId="12" fontId="31" numFmtId="0" xfId="0" applyAlignment="1" applyBorder="1" applyFont="1">
      <alignment horizontal="center" vertical="center"/>
    </xf>
    <xf borderId="182" fillId="12" fontId="31" numFmtId="0" xfId="0" applyAlignment="1" applyBorder="1" applyFont="1">
      <alignment horizontal="center" vertical="center"/>
    </xf>
    <xf borderId="183" fillId="12" fontId="31" numFmtId="0" xfId="0" applyAlignment="1" applyBorder="1" applyFont="1">
      <alignment horizontal="center" vertical="center"/>
    </xf>
    <xf borderId="184" fillId="11" fontId="2" numFmtId="0" xfId="0" applyBorder="1" applyFont="1"/>
    <xf borderId="185" fillId="12" fontId="2" numFmtId="0" xfId="0" applyBorder="1" applyFont="1"/>
    <xf borderId="186" fillId="12" fontId="34" numFmtId="0" xfId="0" applyAlignment="1" applyBorder="1" applyFont="1">
      <alignment horizontal="right"/>
    </xf>
    <xf borderId="187" fillId="0" fontId="5" numFmtId="0" xfId="0" applyBorder="1" applyFont="1"/>
    <xf borderId="181" fillId="0" fontId="5" numFmtId="0" xfId="0" applyBorder="1" applyFont="1"/>
    <xf borderId="176" fillId="12" fontId="2" numFmtId="0" xfId="0" applyBorder="1" applyFont="1"/>
    <xf borderId="183" fillId="12" fontId="2" numFmtId="0" xfId="0" applyBorder="1" applyFont="1"/>
    <xf borderId="172" fillId="11" fontId="2" numFmtId="0" xfId="0" applyBorder="1" applyFont="1"/>
    <xf borderId="188" fillId="13" fontId="31" numFmtId="0" xfId="0" applyAlignment="1" applyBorder="1" applyFill="1" applyFont="1">
      <alignment horizontal="center" vertical="top"/>
    </xf>
    <xf borderId="189" fillId="13" fontId="35" numFmtId="0" xfId="0" applyAlignment="1" applyBorder="1" applyFont="1">
      <alignment horizontal="left" readingOrder="0" vertical="center"/>
    </xf>
    <xf borderId="190" fillId="14" fontId="36" numFmtId="0" xfId="0" applyAlignment="1" applyBorder="1" applyFill="1" applyFont="1">
      <alignment horizontal="center" readingOrder="0" vertical="center"/>
    </xf>
    <xf borderId="191" fillId="12" fontId="37" numFmtId="0" xfId="0" applyAlignment="1" applyBorder="1" applyFont="1">
      <alignment horizontal="center" readingOrder="0" vertical="center"/>
    </xf>
    <xf borderId="192" fillId="0" fontId="5" numFmtId="0" xfId="0" applyBorder="1" applyFont="1"/>
    <xf borderId="193" fillId="13" fontId="38" numFmtId="0" xfId="0" applyAlignment="1" applyBorder="1" applyFont="1">
      <alignment horizontal="left" readingOrder="0" vertical="top"/>
    </xf>
    <xf borderId="194" fillId="0" fontId="5" numFmtId="0" xfId="0" applyBorder="1" applyFont="1"/>
    <xf borderId="195" fillId="0" fontId="5" numFmtId="0" xfId="0" applyBorder="1" applyFont="1"/>
    <xf borderId="196" fillId="0" fontId="5" numFmtId="0" xfId="0" applyBorder="1" applyFont="1"/>
    <xf borderId="197" fillId="12" fontId="31" numFmtId="0" xfId="0" applyAlignment="1" applyBorder="1" applyFont="1">
      <alignment horizontal="center" vertical="center"/>
    </xf>
    <xf borderId="198" fillId="0" fontId="5" numFmtId="0" xfId="0" applyBorder="1" applyFont="1"/>
    <xf borderId="199" fillId="0" fontId="5" numFmtId="0" xfId="0" applyBorder="1" applyFont="1"/>
    <xf borderId="200" fillId="12" fontId="31" numFmtId="0" xfId="0" applyAlignment="1" applyBorder="1" applyFont="1">
      <alignment horizontal="center" vertical="center"/>
    </xf>
    <xf borderId="182" fillId="12" fontId="39" numFmtId="0" xfId="0" applyAlignment="1" applyBorder="1" applyFont="1">
      <alignment horizontal="center" vertical="center"/>
    </xf>
    <xf borderId="188" fillId="15" fontId="31" numFmtId="0" xfId="0" applyAlignment="1" applyBorder="1" applyFill="1" applyFont="1">
      <alignment horizontal="center" vertical="top"/>
    </xf>
    <xf borderId="201" fillId="15" fontId="40" numFmtId="0" xfId="0" applyAlignment="1" applyBorder="1" applyFont="1">
      <alignment horizontal="left" readingOrder="0" vertical="center"/>
    </xf>
    <xf borderId="202" fillId="12" fontId="37" numFmtId="0" xfId="0" applyAlignment="1" applyBorder="1" applyFont="1">
      <alignment horizontal="center" readingOrder="0" vertical="center"/>
    </xf>
    <xf borderId="203" fillId="15" fontId="38" numFmtId="0" xfId="0" applyAlignment="1" applyBorder="1" applyFont="1">
      <alignment horizontal="left" readingOrder="0" vertical="top"/>
    </xf>
    <xf borderId="204" fillId="0" fontId="5" numFmtId="0" xfId="0" applyBorder="1" applyFont="1"/>
    <xf borderId="205" fillId="0" fontId="5" numFmtId="0" xfId="0" applyBorder="1" applyFont="1"/>
    <xf borderId="206" fillId="12" fontId="39" numFmtId="0" xfId="0" applyAlignment="1" applyBorder="1" applyFont="1">
      <alignment horizontal="center" vertical="center"/>
    </xf>
    <xf borderId="188" fillId="16" fontId="31" numFmtId="0" xfId="0" applyAlignment="1" applyBorder="1" applyFill="1" applyFont="1">
      <alignment horizontal="center" vertical="top"/>
    </xf>
    <xf borderId="207" fillId="16" fontId="41" numFmtId="0" xfId="0" applyAlignment="1" applyBorder="1" applyFont="1">
      <alignment horizontal="left" readingOrder="0" vertical="center"/>
    </xf>
    <xf borderId="208" fillId="16" fontId="38" numFmtId="0" xfId="0" applyAlignment="1" applyBorder="1" applyFont="1">
      <alignment horizontal="left" readingOrder="0" vertical="top"/>
    </xf>
    <xf borderId="209" fillId="12" fontId="42" numFmtId="0" xfId="0" applyBorder="1" applyFont="1"/>
    <xf borderId="188" fillId="17" fontId="31" numFmtId="0" xfId="0" applyAlignment="1" applyBorder="1" applyFill="1" applyFont="1">
      <alignment horizontal="center" vertical="top"/>
    </xf>
    <xf borderId="210" fillId="17" fontId="43" numFmtId="0" xfId="0" applyAlignment="1" applyBorder="1" applyFont="1">
      <alignment horizontal="left" readingOrder="0" vertical="center"/>
    </xf>
    <xf borderId="211" fillId="17" fontId="38" numFmtId="0" xfId="0" applyAlignment="1" applyBorder="1" applyFont="1">
      <alignment horizontal="left" readingOrder="0" vertical="top"/>
    </xf>
    <xf borderId="188" fillId="18" fontId="31" numFmtId="0" xfId="0" applyAlignment="1" applyBorder="1" applyFill="1" applyFont="1">
      <alignment horizontal="center" vertical="top"/>
    </xf>
    <xf borderId="212" fillId="18" fontId="44" numFmtId="0" xfId="0" applyAlignment="1" applyBorder="1" applyFont="1">
      <alignment horizontal="left" readingOrder="0" vertical="center"/>
    </xf>
    <xf borderId="213" fillId="18" fontId="38" numFmtId="0" xfId="0" applyAlignment="1" applyBorder="1" applyFont="1">
      <alignment horizontal="left" readingOrder="0" vertical="top"/>
    </xf>
    <xf borderId="188" fillId="19" fontId="31" numFmtId="0" xfId="0" applyAlignment="1" applyBorder="1" applyFill="1" applyFont="1">
      <alignment horizontal="center" vertical="top"/>
    </xf>
    <xf borderId="214" fillId="19" fontId="45" numFmtId="0" xfId="0" applyAlignment="1" applyBorder="1" applyFont="1">
      <alignment horizontal="left" readingOrder="0" vertical="center"/>
    </xf>
    <xf borderId="215" fillId="19" fontId="38" numFmtId="0" xfId="0" applyAlignment="1" applyBorder="1" applyFont="1">
      <alignment horizontal="left" readingOrder="0" vertical="top"/>
    </xf>
    <xf borderId="188" fillId="20" fontId="31" numFmtId="0" xfId="0" applyAlignment="1" applyBorder="1" applyFill="1" applyFont="1">
      <alignment horizontal="center" vertical="top"/>
    </xf>
    <xf borderId="216" fillId="20" fontId="46" numFmtId="0" xfId="0" applyAlignment="1" applyBorder="1" applyFont="1">
      <alignment horizontal="left" readingOrder="0" vertical="center"/>
    </xf>
    <xf borderId="217" fillId="20" fontId="38" numFmtId="0" xfId="0" applyAlignment="1" applyBorder="1" applyFont="1">
      <alignment horizontal="left" readingOrder="0" vertical="top"/>
    </xf>
    <xf borderId="218" fillId="12" fontId="39" numFmtId="0" xfId="0" applyAlignment="1" applyBorder="1" applyFont="1">
      <alignment horizontal="center" vertical="center"/>
    </xf>
    <xf borderId="190" fillId="21" fontId="36" numFmtId="0" xfId="0" applyAlignment="1" applyBorder="1" applyFill="1" applyFont="1">
      <alignment horizontal="center" readingOrder="0" vertical="center"/>
    </xf>
    <xf borderId="188" fillId="22" fontId="31" numFmtId="0" xfId="0" applyAlignment="1" applyBorder="1" applyFill="1" applyFont="1">
      <alignment horizontal="center" vertical="top"/>
    </xf>
    <xf borderId="219" fillId="22" fontId="47" numFmtId="0" xfId="0" applyAlignment="1" applyBorder="1" applyFont="1">
      <alignment horizontal="left" readingOrder="0" vertical="center"/>
    </xf>
    <xf borderId="220" fillId="22" fontId="38" numFmtId="0" xfId="0" applyAlignment="1" applyBorder="1" applyFont="1">
      <alignment horizontal="left" readingOrder="0" vertical="top"/>
    </xf>
    <xf borderId="188" fillId="23" fontId="31" numFmtId="0" xfId="0" applyAlignment="1" applyBorder="1" applyFill="1" applyFont="1">
      <alignment horizontal="center" vertical="top"/>
    </xf>
    <xf borderId="221" fillId="23" fontId="48" numFmtId="0" xfId="0" applyAlignment="1" applyBorder="1" applyFont="1">
      <alignment horizontal="left" readingOrder="0" vertical="center"/>
    </xf>
    <xf borderId="222" fillId="23" fontId="38" numFmtId="0" xfId="0" applyAlignment="1" applyBorder="1" applyFont="1">
      <alignment horizontal="left" readingOrder="0" vertical="top"/>
    </xf>
    <xf borderId="190" fillId="24" fontId="49" numFmtId="0" xfId="0" applyAlignment="1" applyBorder="1" applyFill="1" applyFont="1">
      <alignment horizontal="center" readingOrder="0" vertical="center"/>
    </xf>
    <xf borderId="188" fillId="25" fontId="31" numFmtId="0" xfId="0" applyAlignment="1" applyBorder="1" applyFill="1" applyFont="1">
      <alignment horizontal="center" vertical="top"/>
    </xf>
    <xf borderId="223" fillId="25" fontId="50" numFmtId="0" xfId="0" applyAlignment="1" applyBorder="1" applyFont="1">
      <alignment horizontal="left" readingOrder="0" vertical="center"/>
    </xf>
    <xf borderId="224" fillId="25" fontId="38" numFmtId="0" xfId="0" applyAlignment="1" applyBorder="1" applyFont="1">
      <alignment horizontal="left" readingOrder="0" vertical="top"/>
    </xf>
    <xf borderId="225" fillId="26" fontId="31" numFmtId="0" xfId="0" applyAlignment="1" applyBorder="1" applyFill="1" applyFont="1">
      <alignment horizontal="center" vertical="top"/>
    </xf>
    <xf borderId="226" fillId="26" fontId="51" numFmtId="0" xfId="0" applyAlignment="1" applyBorder="1" applyFont="1">
      <alignment horizontal="left" readingOrder="0" vertical="center"/>
    </xf>
    <xf borderId="227" fillId="0" fontId="5" numFmtId="0" xfId="0" applyBorder="1" applyFont="1"/>
    <xf borderId="228" fillId="26" fontId="38" numFmtId="0" xfId="0" applyAlignment="1" applyBorder="1" applyFont="1">
      <alignment horizontal="left" readingOrder="0" vertical="top"/>
    </xf>
    <xf borderId="229" fillId="0" fontId="5" numFmtId="0" xfId="0" applyBorder="1" applyFont="1"/>
    <xf borderId="230" fillId="27" fontId="52" numFmtId="0" xfId="0" applyAlignment="1" applyBorder="1" applyFill="1" applyFont="1">
      <alignment horizontal="center" vertical="top"/>
    </xf>
    <xf borderId="231" fillId="27" fontId="53" numFmtId="0" xfId="0" applyAlignment="1" applyBorder="1" applyFont="1">
      <alignment horizontal="left" readingOrder="0" vertical="center"/>
    </xf>
    <xf borderId="232" fillId="0" fontId="5" numFmtId="0" xfId="0" applyBorder="1" applyFont="1"/>
    <xf borderId="233" fillId="27" fontId="38" numFmtId="0" xfId="0" applyAlignment="1" applyBorder="1" applyFont="1">
      <alignment horizontal="left" readingOrder="0" vertical="top"/>
    </xf>
    <xf borderId="234" fillId="0" fontId="5" numFmtId="0" xfId="0" applyBorder="1" applyFont="1"/>
    <xf borderId="188" fillId="18" fontId="52" numFmtId="0" xfId="0" applyAlignment="1" applyBorder="1" applyFont="1">
      <alignment horizontal="center" vertical="top"/>
    </xf>
    <xf borderId="190" fillId="24" fontId="36" numFmtId="0" xfId="0" applyAlignment="1" applyBorder="1" applyFont="1">
      <alignment horizontal="center" readingOrder="0" vertical="center"/>
    </xf>
    <xf borderId="235" fillId="28" fontId="52" numFmtId="0" xfId="0" applyAlignment="1" applyBorder="1" applyFill="1" applyFont="1">
      <alignment horizontal="center" vertical="top"/>
    </xf>
    <xf borderId="236" fillId="28" fontId="54" numFmtId="0" xfId="0" applyAlignment="1" applyBorder="1" applyFont="1">
      <alignment horizontal="left" readingOrder="0" vertical="center"/>
    </xf>
    <xf borderId="237" fillId="0" fontId="5" numFmtId="0" xfId="0" applyBorder="1" applyFont="1"/>
    <xf borderId="238" fillId="28" fontId="38" numFmtId="0" xfId="0" applyAlignment="1" applyBorder="1" applyFont="1">
      <alignment horizontal="left" readingOrder="0" vertical="top"/>
    </xf>
    <xf borderId="239" fillId="0" fontId="5" numFmtId="0" xfId="0" applyBorder="1" applyFont="1"/>
    <xf borderId="188" fillId="29" fontId="31" numFmtId="0" xfId="0" applyAlignment="1" applyBorder="1" applyFill="1" applyFont="1">
      <alignment horizontal="center" vertical="top"/>
    </xf>
    <xf borderId="240" fillId="29" fontId="55" numFmtId="0" xfId="0" applyAlignment="1" applyBorder="1" applyFont="1">
      <alignment horizontal="left" readingOrder="0" vertical="center"/>
    </xf>
    <xf borderId="241" fillId="29" fontId="38" numFmtId="0" xfId="0" applyAlignment="1" applyBorder="1" applyFont="1">
      <alignment horizontal="left" readingOrder="0" vertical="top"/>
    </xf>
    <xf borderId="188" fillId="30" fontId="31" numFmtId="0" xfId="0" applyAlignment="1" applyBorder="1" applyFill="1" applyFont="1">
      <alignment horizontal="center" vertical="top"/>
    </xf>
    <xf borderId="242" fillId="30" fontId="56" numFmtId="0" xfId="0" applyAlignment="1" applyBorder="1" applyFont="1">
      <alignment horizontal="left" readingOrder="0" vertical="center"/>
    </xf>
    <xf borderId="243" fillId="30" fontId="38" numFmtId="0" xfId="0" applyAlignment="1" applyBorder="1" applyFont="1">
      <alignment horizontal="left" readingOrder="0" vertical="top"/>
    </xf>
    <xf borderId="188" fillId="31" fontId="31" numFmtId="0" xfId="0" applyAlignment="1" applyBorder="1" applyFill="1" applyFont="1">
      <alignment horizontal="center" vertical="top"/>
    </xf>
    <xf borderId="244" fillId="31" fontId="57" numFmtId="0" xfId="0" applyAlignment="1" applyBorder="1" applyFont="1">
      <alignment horizontal="left" readingOrder="0" vertical="center"/>
    </xf>
    <xf borderId="245" fillId="31" fontId="38" numFmtId="0" xfId="0" applyAlignment="1" applyBorder="1" applyFont="1">
      <alignment horizontal="left" readingOrder="0" vertical="top"/>
    </xf>
    <xf borderId="188" fillId="32" fontId="52" numFmtId="0" xfId="0" applyAlignment="1" applyBorder="1" applyFill="1" applyFont="1">
      <alignment horizontal="center" vertical="top"/>
    </xf>
    <xf borderId="246" fillId="32" fontId="58" numFmtId="0" xfId="0" applyAlignment="1" applyBorder="1" applyFont="1">
      <alignment horizontal="left" readingOrder="0" vertical="center"/>
    </xf>
    <xf borderId="190" fillId="33" fontId="36" numFmtId="0" xfId="0" applyAlignment="1" applyBorder="1" applyFill="1" applyFont="1">
      <alignment horizontal="center" readingOrder="0" vertical="center"/>
    </xf>
    <xf borderId="247" fillId="32" fontId="38" numFmtId="0" xfId="0" applyAlignment="1" applyBorder="1" applyFont="1">
      <alignment horizontal="left" readingOrder="0" vertical="top"/>
    </xf>
    <xf borderId="188" fillId="34" fontId="52" numFmtId="0" xfId="0" applyAlignment="1" applyBorder="1" applyFill="1" applyFont="1">
      <alignment horizontal="center" vertical="top"/>
    </xf>
    <xf borderId="248" fillId="34" fontId="59" numFmtId="0" xfId="0" applyAlignment="1" applyBorder="1" applyFont="1">
      <alignment horizontal="left" readingOrder="0" vertical="center"/>
    </xf>
    <xf borderId="249" fillId="34" fontId="38" numFmtId="0" xfId="0" applyAlignment="1" applyBorder="1" applyFont="1">
      <alignment horizontal="left" readingOrder="0" vertical="top"/>
    </xf>
    <xf borderId="188" fillId="26" fontId="31" numFmtId="0" xfId="0" applyAlignment="1" applyBorder="1" applyFont="1">
      <alignment horizontal="center" vertical="top"/>
    </xf>
    <xf borderId="190" fillId="33" fontId="49" numFmtId="0" xfId="0" applyAlignment="1" applyBorder="1" applyFont="1">
      <alignment horizontal="center" readingOrder="0" vertical="center"/>
    </xf>
    <xf borderId="188" fillId="35" fontId="31" numFmtId="0" xfId="0" applyAlignment="1" applyBorder="1" applyFill="1" applyFont="1">
      <alignment horizontal="center" vertical="top"/>
    </xf>
    <xf borderId="250" fillId="35" fontId="60" numFmtId="0" xfId="0" applyAlignment="1" applyBorder="1" applyFont="1">
      <alignment horizontal="left" readingOrder="0" vertical="center"/>
    </xf>
    <xf borderId="251" fillId="35" fontId="38" numFmtId="0" xfId="0" applyAlignment="1" applyBorder="1" applyFont="1">
      <alignment horizontal="left" readingOrder="0" vertical="top"/>
    </xf>
    <xf borderId="188" fillId="36" fontId="31" numFmtId="0" xfId="0" applyAlignment="1" applyBorder="1" applyFill="1" applyFont="1">
      <alignment horizontal="center" vertical="top"/>
    </xf>
    <xf borderId="252" fillId="36" fontId="61" numFmtId="0" xfId="0" applyAlignment="1" applyBorder="1" applyFont="1">
      <alignment horizontal="left" readingOrder="0" vertical="center"/>
    </xf>
    <xf borderId="253" fillId="36" fontId="38" numFmtId="0" xfId="0" applyAlignment="1" applyBorder="1" applyFont="1">
      <alignment horizontal="left" readingOrder="0" vertical="top"/>
    </xf>
    <xf borderId="254" fillId="37" fontId="52" numFmtId="0" xfId="0" applyAlignment="1" applyBorder="1" applyFill="1" applyFont="1">
      <alignment horizontal="center" vertical="top"/>
    </xf>
    <xf borderId="255" fillId="37" fontId="62" numFmtId="0" xfId="0" applyAlignment="1" applyBorder="1" applyFont="1">
      <alignment horizontal="left" readingOrder="0" vertical="center"/>
    </xf>
    <xf borderId="190" fillId="38" fontId="36" numFmtId="0" xfId="0" applyAlignment="1" applyBorder="1" applyFill="1" applyFont="1">
      <alignment horizontal="center" readingOrder="0" vertical="center"/>
    </xf>
    <xf borderId="256" fillId="0" fontId="5" numFmtId="0" xfId="0" applyBorder="1" applyFont="1"/>
    <xf borderId="257" fillId="37" fontId="38" numFmtId="0" xfId="0" applyAlignment="1" applyBorder="1" applyFont="1">
      <alignment horizontal="left" readingOrder="0" vertical="top"/>
    </xf>
    <xf borderId="258" fillId="0" fontId="5" numFmtId="0" xfId="0" applyBorder="1" applyFont="1"/>
    <xf borderId="259" fillId="12" fontId="39" numFmtId="0" xfId="0" applyAlignment="1" applyBorder="1" applyFont="1">
      <alignment horizontal="center" vertical="center"/>
    </xf>
    <xf borderId="190" fillId="39" fontId="36" numFmtId="0" xfId="0" applyAlignment="1" applyBorder="1" applyFill="1" applyFont="1">
      <alignment horizontal="center" readingOrder="0" vertical="center"/>
    </xf>
    <xf borderId="260" fillId="12" fontId="31" numFmtId="0" xfId="0" applyAlignment="1" applyBorder="1" applyFont="1">
      <alignment horizontal="center" vertical="center"/>
    </xf>
    <xf borderId="188" fillId="40" fontId="52" numFmtId="0" xfId="0" applyAlignment="1" applyBorder="1" applyFill="1" applyFont="1">
      <alignment horizontal="center" vertical="top"/>
    </xf>
    <xf borderId="261" fillId="40" fontId="63" numFmtId="0" xfId="0" applyAlignment="1" applyBorder="1" applyFont="1">
      <alignment horizontal="left" readingOrder="0" vertical="center"/>
    </xf>
    <xf borderId="262" fillId="40" fontId="38" numFmtId="0" xfId="0" applyAlignment="1" applyBorder="1" applyFont="1">
      <alignment horizontal="left" readingOrder="0" vertical="top"/>
    </xf>
    <xf borderId="188" fillId="41" fontId="31" numFmtId="0" xfId="0" applyAlignment="1" applyBorder="1" applyFill="1" applyFont="1">
      <alignment horizontal="center" vertical="top"/>
    </xf>
    <xf borderId="263" fillId="41" fontId="64" numFmtId="0" xfId="0" applyAlignment="1" applyBorder="1" applyFont="1">
      <alignment horizontal="left" readingOrder="0" vertical="center"/>
    </xf>
    <xf borderId="264" fillId="41" fontId="38" numFmtId="0" xfId="0" applyAlignment="1" applyBorder="1" applyFont="1">
      <alignment horizontal="left" readingOrder="0" vertical="top"/>
    </xf>
    <xf borderId="188" fillId="42" fontId="31" numFmtId="0" xfId="0" applyAlignment="1" applyBorder="1" applyFill="1" applyFont="1">
      <alignment horizontal="center" vertical="top"/>
    </xf>
    <xf borderId="265" fillId="42" fontId="65" numFmtId="0" xfId="0" applyAlignment="1" applyBorder="1" applyFont="1">
      <alignment horizontal="left" readingOrder="0" vertical="center"/>
    </xf>
    <xf borderId="190" fillId="43" fontId="36" numFmtId="0" xfId="0" applyAlignment="1" applyBorder="1" applyFill="1" applyFont="1">
      <alignment horizontal="center" readingOrder="0" vertical="center"/>
    </xf>
    <xf borderId="266" fillId="42" fontId="38" numFmtId="0" xfId="0" applyAlignment="1" applyBorder="1" applyFont="1">
      <alignment horizontal="left" readingOrder="0" vertical="top"/>
    </xf>
    <xf borderId="188" fillId="44" fontId="31" numFmtId="0" xfId="0" applyAlignment="1" applyBorder="1" applyFill="1" applyFont="1">
      <alignment horizontal="center" vertical="top"/>
    </xf>
    <xf borderId="267" fillId="44" fontId="66" numFmtId="0" xfId="0" applyAlignment="1" applyBorder="1" applyFont="1">
      <alignment horizontal="left" readingOrder="0" vertical="center"/>
    </xf>
    <xf borderId="268" fillId="44" fontId="38" numFmtId="0" xfId="0" applyAlignment="1" applyBorder="1" applyFont="1">
      <alignment horizontal="left" readingOrder="0" vertical="top"/>
    </xf>
    <xf borderId="190" fillId="45" fontId="36" numFmtId="0" xfId="0" applyAlignment="1" applyBorder="1" applyFill="1" applyFont="1">
      <alignment horizontal="center" readingOrder="0" vertical="center"/>
    </xf>
    <xf borderId="206" fillId="12" fontId="67" numFmtId="0" xfId="0" applyAlignment="1" applyBorder="1" applyFont="1">
      <alignment horizontal="right" readingOrder="0" vertical="center"/>
    </xf>
    <xf borderId="185" fillId="0" fontId="5" numFmtId="0" xfId="0" applyBorder="1" applyFont="1"/>
    <xf borderId="190" fillId="46" fontId="36" numFmtId="0" xfId="0" applyAlignment="1" applyBorder="1" applyFill="1" applyFont="1">
      <alignment horizontal="center" readingOrder="0" vertical="center"/>
    </xf>
    <xf borderId="188" fillId="47" fontId="31" numFmtId="0" xfId="0" applyAlignment="1" applyBorder="1" applyFill="1" applyFont="1">
      <alignment horizontal="center" vertical="top"/>
    </xf>
    <xf borderId="269" fillId="47" fontId="68" numFmtId="0" xfId="0" applyAlignment="1" applyBorder="1" applyFont="1">
      <alignment horizontal="left" readingOrder="0" vertical="center"/>
    </xf>
    <xf borderId="270" fillId="47" fontId="38" numFmtId="0" xfId="0" applyAlignment="1" applyBorder="1" applyFont="1">
      <alignment horizontal="left" readingOrder="0" vertical="top"/>
    </xf>
    <xf borderId="176" fillId="12" fontId="42" numFmtId="0" xfId="0" applyBorder="1" applyFont="1"/>
    <xf borderId="188" fillId="48" fontId="31" numFmtId="0" xfId="0" applyAlignment="1" applyBorder="1" applyFill="1" applyFont="1">
      <alignment horizontal="center" vertical="top"/>
    </xf>
    <xf borderId="271" fillId="48" fontId="69" numFmtId="0" xfId="0" applyAlignment="1" applyBorder="1" applyFont="1">
      <alignment horizontal="left" readingOrder="0" vertical="center"/>
    </xf>
    <xf borderId="272" fillId="48" fontId="38" numFmtId="0" xfId="0" applyAlignment="1" applyBorder="1" applyFont="1">
      <alignment horizontal="left" readingOrder="0" vertical="top"/>
    </xf>
    <xf borderId="188" fillId="49" fontId="52" numFmtId="0" xfId="0" applyAlignment="1" applyBorder="1" applyFill="1" applyFont="1">
      <alignment horizontal="center" vertical="top"/>
    </xf>
    <xf borderId="273" fillId="49" fontId="70" numFmtId="0" xfId="0" applyAlignment="1" applyBorder="1" applyFont="1">
      <alignment horizontal="left" readingOrder="0" vertical="center"/>
    </xf>
    <xf borderId="274" fillId="49" fontId="38" numFmtId="0" xfId="0" applyAlignment="1" applyBorder="1" applyFont="1">
      <alignment horizontal="left" readingOrder="0" vertical="top"/>
    </xf>
    <xf borderId="188" fillId="50" fontId="31" numFmtId="0" xfId="0" applyAlignment="1" applyBorder="1" applyFill="1" applyFont="1">
      <alignment horizontal="center" vertical="top"/>
    </xf>
    <xf borderId="275" fillId="50" fontId="71" numFmtId="0" xfId="0" applyAlignment="1" applyBorder="1" applyFont="1">
      <alignment horizontal="left" readingOrder="0" vertical="center"/>
    </xf>
    <xf borderId="276" fillId="50" fontId="38" numFmtId="0" xfId="0" applyAlignment="1" applyBorder="1" applyFont="1">
      <alignment horizontal="left" readingOrder="0" vertical="top"/>
    </xf>
    <xf borderId="188" fillId="51" fontId="31" numFmtId="0" xfId="0" applyAlignment="1" applyBorder="1" applyFill="1" applyFont="1">
      <alignment horizontal="center" vertical="top"/>
    </xf>
    <xf borderId="277" fillId="51" fontId="72" numFmtId="0" xfId="0" applyAlignment="1" applyBorder="1" applyFont="1">
      <alignment horizontal="left" readingOrder="0" vertical="center"/>
    </xf>
    <xf borderId="190" fillId="52" fontId="36" numFmtId="0" xfId="0" applyAlignment="1" applyBorder="1" applyFill="1" applyFont="1">
      <alignment horizontal="center" readingOrder="0" vertical="center"/>
    </xf>
    <xf borderId="278" fillId="51" fontId="38" numFmtId="0" xfId="0" applyAlignment="1" applyBorder="1" applyFont="1">
      <alignment horizontal="left" readingOrder="0" vertical="top"/>
    </xf>
    <xf borderId="188" fillId="53" fontId="31" numFmtId="0" xfId="0" applyAlignment="1" applyBorder="1" applyFill="1" applyFont="1">
      <alignment horizontal="center" vertical="top"/>
    </xf>
    <xf borderId="279" fillId="53" fontId="73" numFmtId="0" xfId="0" applyAlignment="1" applyBorder="1" applyFont="1">
      <alignment horizontal="left" readingOrder="0" vertical="center"/>
    </xf>
    <xf borderId="280" fillId="53" fontId="38" numFmtId="0" xfId="0" applyAlignment="1" applyBorder="1" applyFont="1">
      <alignment horizontal="left" readingOrder="0" vertical="top"/>
    </xf>
    <xf borderId="188" fillId="54" fontId="31" numFmtId="0" xfId="0" applyAlignment="1" applyBorder="1" applyFill="1" applyFont="1">
      <alignment horizontal="center" vertical="top"/>
    </xf>
    <xf borderId="281" fillId="54" fontId="74" numFmtId="0" xfId="0" applyAlignment="1" applyBorder="1" applyFont="1">
      <alignment horizontal="left" readingOrder="0" vertical="center"/>
    </xf>
    <xf borderId="282" fillId="54" fontId="38" numFmtId="0" xfId="0" applyAlignment="1" applyBorder="1" applyFont="1">
      <alignment horizontal="left" readingOrder="0" vertical="top"/>
    </xf>
    <xf borderId="188" fillId="55" fontId="31" numFmtId="0" xfId="0" applyAlignment="1" applyBorder="1" applyFill="1" applyFont="1">
      <alignment horizontal="center" vertical="top"/>
    </xf>
    <xf borderId="283" fillId="55" fontId="75" numFmtId="0" xfId="0" applyAlignment="1" applyBorder="1" applyFont="1">
      <alignment horizontal="left" readingOrder="0" vertical="center"/>
    </xf>
    <xf borderId="284" fillId="55" fontId="38" numFmtId="0" xfId="0" applyAlignment="1" applyBorder="1" applyFont="1">
      <alignment horizontal="left" readingOrder="0" vertical="top"/>
    </xf>
    <xf borderId="188" fillId="56" fontId="31" numFmtId="0" xfId="0" applyAlignment="1" applyBorder="1" applyFill="1" applyFont="1">
      <alignment horizontal="center" vertical="top"/>
    </xf>
    <xf borderId="285" fillId="56" fontId="76" numFmtId="0" xfId="0" applyAlignment="1" applyBorder="1" applyFont="1">
      <alignment horizontal="left" readingOrder="0" vertical="center"/>
    </xf>
    <xf borderId="286" fillId="56" fontId="38" numFmtId="0" xfId="0" applyAlignment="1" applyBorder="1" applyFont="1">
      <alignment horizontal="left" readingOrder="0" vertical="top"/>
    </xf>
    <xf borderId="190" fillId="46" fontId="49" numFmtId="0" xfId="0" applyAlignment="1" applyBorder="1" applyFont="1">
      <alignment horizontal="center" readingOrder="0" vertical="center"/>
    </xf>
    <xf borderId="188" fillId="28" fontId="52" numFmtId="0" xfId="0" applyAlignment="1" applyBorder="1" applyFont="1">
      <alignment horizontal="center" vertical="top"/>
    </xf>
    <xf borderId="188" fillId="37" fontId="52" numFmtId="0" xfId="0" applyAlignment="1" applyBorder="1" applyFont="1">
      <alignment horizontal="center" vertical="top"/>
    </xf>
    <xf borderId="188" fillId="57" fontId="52" numFmtId="0" xfId="0" applyAlignment="1" applyBorder="1" applyFill="1" applyFont="1">
      <alignment horizontal="center" vertical="top"/>
    </xf>
    <xf borderId="287" fillId="57" fontId="77" numFmtId="0" xfId="0" applyAlignment="1" applyBorder="1" applyFont="1">
      <alignment horizontal="left" readingOrder="0" vertical="center"/>
    </xf>
    <xf borderId="288" fillId="57" fontId="38" numFmtId="0" xfId="0" applyAlignment="1" applyBorder="1" applyFont="1">
      <alignment horizontal="left" readingOrder="0" vertical="top"/>
    </xf>
    <xf borderId="0" fillId="12" fontId="31" numFmtId="0" xfId="0" applyAlignment="1" applyFont="1">
      <alignment horizontal="center" vertical="center"/>
    </xf>
    <xf borderId="188" fillId="58" fontId="52" numFmtId="0" xfId="0" applyAlignment="1" applyBorder="1" applyFill="1" applyFont="1">
      <alignment horizontal="center" vertical="top"/>
    </xf>
    <xf borderId="289" fillId="58" fontId="78" numFmtId="0" xfId="0" applyAlignment="1" applyBorder="1" applyFont="1">
      <alignment horizontal="left" readingOrder="0" vertical="center"/>
    </xf>
    <xf borderId="290" fillId="58" fontId="38" numFmtId="0" xfId="0" applyAlignment="1" applyBorder="1" applyFont="1">
      <alignment horizontal="left" readingOrder="0" vertical="top"/>
    </xf>
    <xf borderId="188" fillId="59" fontId="31" numFmtId="0" xfId="0" applyAlignment="1" applyBorder="1" applyFill="1" applyFont="1">
      <alignment horizontal="center" vertical="top"/>
    </xf>
    <xf borderId="291" fillId="59" fontId="79" numFmtId="0" xfId="0" applyAlignment="1" applyBorder="1" applyFont="1">
      <alignment horizontal="left" readingOrder="0" vertical="center"/>
    </xf>
    <xf borderId="190" fillId="60" fontId="36" numFmtId="0" xfId="0" applyAlignment="1" applyBorder="1" applyFill="1" applyFont="1">
      <alignment horizontal="center" readingOrder="0" vertical="center"/>
    </xf>
    <xf borderId="292" fillId="59" fontId="38" numFmtId="0" xfId="0" applyAlignment="1" applyBorder="1" applyFont="1">
      <alignment horizontal="left" readingOrder="0" vertical="top"/>
    </xf>
    <xf borderId="188" fillId="61" fontId="31" numFmtId="0" xfId="0" applyAlignment="1" applyBorder="1" applyFill="1" applyFont="1">
      <alignment horizontal="center" vertical="top"/>
    </xf>
    <xf borderId="293" fillId="61" fontId="80" numFmtId="0" xfId="0" applyAlignment="1" applyBorder="1" applyFont="1">
      <alignment horizontal="left" readingOrder="0" vertical="center"/>
    </xf>
    <xf borderId="294" fillId="61" fontId="38" numFmtId="0" xfId="0" applyAlignment="1" applyBorder="1" applyFont="1">
      <alignment horizontal="left" readingOrder="0" vertical="top"/>
    </xf>
    <xf borderId="188" fillId="62" fontId="31" numFmtId="0" xfId="0" applyAlignment="1" applyBorder="1" applyFill="1" applyFont="1">
      <alignment horizontal="center" vertical="top"/>
    </xf>
    <xf borderId="295" fillId="62" fontId="81" numFmtId="0" xfId="0" applyAlignment="1" applyBorder="1" applyFont="1">
      <alignment horizontal="left" readingOrder="0" vertical="center"/>
    </xf>
    <xf borderId="296" fillId="62" fontId="38" numFmtId="0" xfId="0" applyAlignment="1" applyBorder="1" applyFont="1">
      <alignment horizontal="left" readingOrder="0" vertical="top"/>
    </xf>
    <xf borderId="188" fillId="63" fontId="52" numFmtId="0" xfId="0" applyAlignment="1" applyBorder="1" applyFill="1" applyFont="1">
      <alignment horizontal="center" vertical="top"/>
    </xf>
    <xf borderId="297" fillId="63" fontId="82" numFmtId="0" xfId="0" applyAlignment="1" applyBorder="1" applyFont="1">
      <alignment horizontal="left" readingOrder="0" vertical="center"/>
    </xf>
    <xf borderId="298" fillId="63" fontId="38" numFmtId="0" xfId="0" applyAlignment="1" applyBorder="1" applyFont="1">
      <alignment horizontal="left" readingOrder="0" vertical="top"/>
    </xf>
    <xf borderId="188" fillId="10" fontId="52" numFmtId="0" xfId="0" applyAlignment="1" applyBorder="1" applyFont="1">
      <alignment horizontal="center" vertical="top"/>
    </xf>
    <xf borderId="299" fillId="10" fontId="83" numFmtId="0" xfId="0" applyAlignment="1" applyBorder="1" applyFont="1">
      <alignment horizontal="left" readingOrder="0" vertical="center"/>
    </xf>
    <xf borderId="300" fillId="10" fontId="38" numFmtId="0" xfId="0" applyAlignment="1" applyBorder="1" applyFont="1">
      <alignment horizontal="left" readingOrder="0" vertical="top"/>
    </xf>
    <xf borderId="188" fillId="64" fontId="31" numFmtId="0" xfId="0" applyAlignment="1" applyBorder="1" applyFill="1" applyFont="1">
      <alignment horizontal="center" vertical="top"/>
    </xf>
    <xf borderId="301" fillId="64" fontId="84" numFmtId="0" xfId="0" applyAlignment="1" applyBorder="1" applyFont="1">
      <alignment horizontal="left" readingOrder="0" vertical="center"/>
    </xf>
    <xf borderId="302" fillId="64" fontId="38" numFmtId="0" xfId="0" applyAlignment="1" applyBorder="1" applyFont="1">
      <alignment horizontal="left" readingOrder="0" vertical="top"/>
    </xf>
    <xf borderId="190" fillId="65" fontId="36" numFmtId="0" xfId="0" applyAlignment="1" applyBorder="1" applyFill="1" applyFont="1">
      <alignment horizontal="center" readingOrder="0" vertical="center"/>
    </xf>
    <xf borderId="188" fillId="4" fontId="52" numFmtId="0" xfId="0" applyAlignment="1" applyBorder="1" applyFont="1">
      <alignment horizontal="center" vertical="top"/>
    </xf>
    <xf borderId="303" fillId="4" fontId="85" numFmtId="0" xfId="0" applyAlignment="1" applyBorder="1" applyFont="1">
      <alignment horizontal="left" readingOrder="0" vertical="center"/>
    </xf>
    <xf borderId="304" fillId="4" fontId="38" numFmtId="0" xfId="0" applyAlignment="1" applyBorder="1" applyFont="1">
      <alignment horizontal="left" readingOrder="0" vertical="top"/>
    </xf>
    <xf borderId="190" fillId="66" fontId="36" numFmtId="0" xfId="0" applyAlignment="1" applyBorder="1" applyFill="1" applyFont="1">
      <alignment horizontal="center" readingOrder="0" vertical="center"/>
    </xf>
    <xf borderId="188" fillId="67" fontId="31" numFmtId="0" xfId="0" applyAlignment="1" applyBorder="1" applyFill="1" applyFont="1">
      <alignment horizontal="center" vertical="top"/>
    </xf>
    <xf borderId="305" fillId="67" fontId="86" numFmtId="0" xfId="0" applyAlignment="1" applyBorder="1" applyFont="1">
      <alignment horizontal="left" readingOrder="0" vertical="center"/>
    </xf>
    <xf borderId="306" fillId="67" fontId="38" numFmtId="0" xfId="0" applyAlignment="1" applyBorder="1" applyFont="1">
      <alignment horizontal="left" readingOrder="0" vertical="top"/>
    </xf>
    <xf borderId="190" fillId="68" fontId="36" numFmtId="0" xfId="0" applyAlignment="1" applyBorder="1" applyFill="1" applyFont="1">
      <alignment horizontal="center" readingOrder="0" vertical="center"/>
    </xf>
    <xf borderId="188" fillId="69" fontId="31" numFmtId="0" xfId="0" applyAlignment="1" applyBorder="1" applyFill="1" applyFont="1">
      <alignment horizontal="center" vertical="top"/>
    </xf>
    <xf borderId="307" fillId="69" fontId="87" numFmtId="0" xfId="0" applyAlignment="1" applyBorder="1" applyFont="1">
      <alignment horizontal="left" readingOrder="0" vertical="center"/>
    </xf>
    <xf borderId="190" fillId="70" fontId="36" numFmtId="0" xfId="0" applyAlignment="1" applyBorder="1" applyFill="1" applyFont="1">
      <alignment horizontal="center" readingOrder="0" vertical="center"/>
    </xf>
    <xf borderId="308" fillId="69" fontId="38" numFmtId="0" xfId="0" applyAlignment="1" applyBorder="1" applyFont="1">
      <alignment horizontal="left" readingOrder="0" vertical="top"/>
    </xf>
    <xf borderId="188" fillId="71" fontId="52" numFmtId="0" xfId="0" applyAlignment="1" applyBorder="1" applyFill="1" applyFont="1">
      <alignment horizontal="center" vertical="top"/>
    </xf>
    <xf borderId="309" fillId="71" fontId="88" numFmtId="0" xfId="0" applyAlignment="1" applyBorder="1" applyFont="1">
      <alignment horizontal="left" readingOrder="0" vertical="center"/>
    </xf>
    <xf borderId="310" fillId="71" fontId="38" numFmtId="0" xfId="0" applyAlignment="1" applyBorder="1" applyFont="1">
      <alignment horizontal="left" readingOrder="0" vertical="top"/>
    </xf>
    <xf borderId="190" fillId="72" fontId="36" numFmtId="0" xfId="0" applyAlignment="1" applyBorder="1" applyFill="1" applyFont="1">
      <alignment horizontal="center" readingOrder="0" vertical="center"/>
    </xf>
    <xf borderId="190" fillId="73" fontId="36" numFmtId="0" xfId="0" applyAlignment="1" applyBorder="1" applyFill="1" applyFont="1">
      <alignment horizontal="center" readingOrder="0" vertical="center"/>
    </xf>
    <xf borderId="188" fillId="74" fontId="31" numFmtId="0" xfId="0" applyAlignment="1" applyBorder="1" applyFill="1" applyFont="1">
      <alignment horizontal="center" vertical="top"/>
    </xf>
    <xf borderId="311" fillId="74" fontId="89" numFmtId="0" xfId="0" applyAlignment="1" applyBorder="1" applyFont="1">
      <alignment horizontal="left" readingOrder="0" vertical="center"/>
    </xf>
    <xf borderId="312" fillId="74" fontId="38" numFmtId="0" xfId="0" applyAlignment="1" applyBorder="1" applyFont="1">
      <alignment horizontal="left" readingOrder="0" vertical="top"/>
    </xf>
    <xf borderId="188" fillId="75" fontId="31" numFmtId="0" xfId="0" applyAlignment="1" applyBorder="1" applyFill="1" applyFont="1">
      <alignment horizontal="center" vertical="top"/>
    </xf>
    <xf borderId="313" fillId="75" fontId="90" numFmtId="0" xfId="0" applyAlignment="1" applyBorder="1" applyFont="1">
      <alignment horizontal="left" readingOrder="0" vertical="center"/>
    </xf>
    <xf borderId="314" fillId="75" fontId="38" numFmtId="0" xfId="0" applyAlignment="1" applyBorder="1" applyFont="1">
      <alignment horizontal="left" readingOrder="0" vertical="top"/>
    </xf>
    <xf borderId="188" fillId="76" fontId="31" numFmtId="0" xfId="0" applyAlignment="1" applyBorder="1" applyFill="1" applyFont="1">
      <alignment horizontal="center" vertical="top"/>
    </xf>
    <xf borderId="315" fillId="76" fontId="91" numFmtId="0" xfId="0" applyAlignment="1" applyBorder="1" applyFont="1">
      <alignment horizontal="left" readingOrder="0" vertical="center"/>
    </xf>
    <xf borderId="316" fillId="76" fontId="38" numFmtId="0" xfId="0" applyAlignment="1" applyBorder="1" applyFont="1">
      <alignment horizontal="left" readingOrder="0" vertical="top"/>
    </xf>
    <xf borderId="188" fillId="77" fontId="31" numFmtId="0" xfId="0" applyAlignment="1" applyBorder="1" applyFill="1" applyFont="1">
      <alignment horizontal="center" vertical="top"/>
    </xf>
    <xf borderId="317" fillId="77" fontId="92" numFmtId="0" xfId="0" applyAlignment="1" applyBorder="1" applyFont="1">
      <alignment horizontal="left" readingOrder="0" vertical="center"/>
    </xf>
    <xf borderId="318" fillId="77" fontId="38" numFmtId="0" xfId="0" applyAlignment="1" applyBorder="1" applyFont="1">
      <alignment horizontal="left" readingOrder="0" vertical="top"/>
    </xf>
    <xf borderId="260" fillId="0" fontId="5" numFmtId="0" xfId="0" applyBorder="1" applyFont="1"/>
    <xf borderId="319" fillId="12" fontId="31" numFmtId="0" xfId="0" applyAlignment="1" applyBorder="1" applyFont="1">
      <alignment horizontal="center" vertical="center"/>
    </xf>
    <xf borderId="320" fillId="12" fontId="31" numFmtId="0" xfId="0" applyAlignment="1" applyBorder="1" applyFont="1">
      <alignment horizontal="center" vertical="center"/>
    </xf>
    <xf borderId="321" fillId="12" fontId="31" numFmtId="0" xfId="0" applyAlignment="1" applyBorder="1" applyFont="1">
      <alignment horizontal="center" vertical="center"/>
    </xf>
    <xf borderId="322" fillId="12" fontId="31" numFmtId="0" xfId="0" applyAlignment="1" applyBorder="1" applyFont="1">
      <alignment horizontal="center" vertical="center"/>
    </xf>
    <xf borderId="78" fillId="11" fontId="31" numFmtId="0" xfId="0" applyAlignment="1" applyBorder="1" applyFont="1">
      <alignment horizontal="center" vertical="center"/>
    </xf>
    <xf borderId="323" fillId="78" fontId="93" numFmtId="0" xfId="0" applyAlignment="1" applyBorder="1" applyFill="1" applyFont="1">
      <alignment horizontal="center" vertical="center"/>
    </xf>
    <xf borderId="324" fillId="78" fontId="93" numFmtId="0" xfId="0" applyAlignment="1" applyBorder="1" applyFont="1">
      <alignment horizontal="center" vertical="center"/>
    </xf>
    <xf borderId="324" fillId="78" fontId="94" numFmtId="0" xfId="0" applyAlignment="1" applyBorder="1" applyFont="1">
      <alignment horizontal="center" vertical="center"/>
    </xf>
    <xf borderId="325" fillId="78" fontId="93" numFmtId="0" xfId="0" applyAlignment="1" applyBorder="1" applyFont="1">
      <alignment horizontal="center" vertical="center"/>
    </xf>
    <xf borderId="326" fillId="79" fontId="93" numFmtId="0" xfId="0" applyAlignment="1" applyBorder="1" applyFill="1" applyFont="1">
      <alignment horizontal="center" vertical="center"/>
    </xf>
    <xf borderId="327" fillId="79" fontId="94" numFmtId="0" xfId="0" applyAlignment="1" applyBorder="1" applyFont="1">
      <alignment horizontal="center" vertical="center"/>
    </xf>
    <xf borderId="328" fillId="79" fontId="93" numFmtId="0" xfId="0" applyAlignment="1" applyBorder="1" applyFont="1">
      <alignment horizontal="center" vertical="center"/>
    </xf>
    <xf borderId="327" fillId="79" fontId="93" numFmtId="0" xfId="0" applyAlignment="1" applyBorder="1" applyFont="1">
      <alignment horizontal="center" vertical="center"/>
    </xf>
    <xf borderId="329" fillId="79" fontId="93" numFmtId="0" xfId="0" applyAlignment="1" applyBorder="1" applyFont="1">
      <alignment horizontal="center" vertical="center"/>
    </xf>
    <xf borderId="330" fillId="78" fontId="93" numFmtId="0" xfId="0" applyAlignment="1" applyBorder="1" applyFont="1">
      <alignment horizontal="center" vertical="center"/>
    </xf>
    <xf borderId="325" fillId="78" fontId="95" numFmtId="0" xfId="0" applyAlignment="1" applyBorder="1" applyFont="1">
      <alignment horizontal="center" vertical="center"/>
    </xf>
    <xf borderId="331" fillId="79" fontId="1" numFmtId="0" xfId="0" applyAlignment="1" applyBorder="1" applyFont="1">
      <alignment horizontal="center" vertical="center"/>
    </xf>
    <xf borderId="332" fillId="79" fontId="96" numFmtId="0" xfId="0" applyAlignment="1" applyBorder="1" applyFont="1">
      <alignment horizontal="right" vertical="center"/>
    </xf>
    <xf borderId="333" fillId="79" fontId="1" numFmtId="0" xfId="0" applyAlignment="1" applyBorder="1" applyFont="1">
      <alignment horizontal="center" vertical="center"/>
    </xf>
    <xf borderId="334" fillId="79" fontId="97" numFmtId="0" xfId="0" applyAlignment="1" applyBorder="1" applyFont="1">
      <alignment horizontal="left" readingOrder="0" vertical="center"/>
    </xf>
    <xf borderId="335" fillId="0" fontId="5" numFmtId="0" xfId="0" applyBorder="1" applyFont="1"/>
    <xf borderId="336" fillId="0" fontId="5" numFmtId="0" xfId="0" applyBorder="1" applyFont="1"/>
    <xf borderId="337" fillId="79" fontId="1" numFmtId="0" xfId="0" applyAlignment="1" applyBorder="1" applyFont="1">
      <alignment horizontal="center" vertical="center"/>
    </xf>
    <xf borderId="330" fillId="78" fontId="1" numFmtId="0" xfId="0" applyAlignment="1" applyBorder="1" applyFont="1">
      <alignment horizontal="center" vertical="center"/>
    </xf>
    <xf borderId="338" fillId="79" fontId="93" numFmtId="0" xfId="0" applyAlignment="1" applyBorder="1" applyFont="1">
      <alignment horizontal="center" vertical="center"/>
    </xf>
    <xf borderId="339" fillId="20" fontId="94" numFmtId="0" xfId="0" applyAlignment="1" applyBorder="1" applyFont="1">
      <alignment horizontal="center" vertical="center"/>
    </xf>
    <xf borderId="340" fillId="79" fontId="98" numFmtId="0" xfId="0" applyAlignment="1" applyBorder="1" applyFont="1">
      <alignment horizontal="center" vertical="center"/>
    </xf>
    <xf borderId="341" fillId="20" fontId="99" numFmtId="0" xfId="0" applyAlignment="1" applyBorder="1" applyFont="1">
      <alignment horizontal="center" vertical="center"/>
    </xf>
    <xf borderId="342" fillId="0" fontId="5" numFmtId="0" xfId="0" applyBorder="1" applyFont="1"/>
    <xf borderId="343" fillId="0" fontId="5" numFmtId="0" xfId="0" applyBorder="1" applyFont="1"/>
    <xf borderId="340" fillId="79" fontId="99" numFmtId="0" xfId="0" applyAlignment="1" applyBorder="1" applyFont="1">
      <alignment horizontal="center" vertical="center"/>
    </xf>
    <xf borderId="335" fillId="79" fontId="93" numFmtId="0" xfId="0" applyAlignment="1" applyBorder="1" applyFont="1">
      <alignment horizontal="center" vertical="center"/>
    </xf>
    <xf borderId="344" fillId="79" fontId="93" numFmtId="0" xfId="0" applyAlignment="1" applyBorder="1" applyFont="1">
      <alignment horizontal="center" vertical="center"/>
    </xf>
    <xf borderId="330" fillId="78" fontId="95" numFmtId="0" xfId="0" applyAlignment="1" applyBorder="1" applyFont="1">
      <alignment horizontal="center" vertical="center"/>
    </xf>
    <xf borderId="325" fillId="78" fontId="100" numFmtId="0" xfId="0" applyAlignment="1" applyBorder="1" applyFont="1">
      <alignment horizontal="center" readingOrder="0" vertical="center"/>
    </xf>
    <xf borderId="338" fillId="79" fontId="101" numFmtId="0" xfId="0" applyAlignment="1" applyBorder="1" applyFont="1">
      <alignment horizontal="center" vertical="center"/>
    </xf>
    <xf borderId="345" fillId="79" fontId="102" numFmtId="0" xfId="0" applyAlignment="1" applyBorder="1" applyFont="1">
      <alignment horizontal="right" readingOrder="0" shrinkToFit="0" vertical="center" wrapText="1"/>
    </xf>
    <xf borderId="340" fillId="79" fontId="101" numFmtId="0" xfId="0" applyAlignment="1" applyBorder="1" applyFont="1">
      <alignment horizontal="center" readingOrder="0" vertical="center"/>
    </xf>
    <xf borderId="346" fillId="79" fontId="103" numFmtId="0" xfId="0" applyAlignment="1" applyBorder="1" applyFont="1">
      <alignment horizontal="center" readingOrder="0" vertical="center"/>
    </xf>
    <xf borderId="347" fillId="0" fontId="5" numFmtId="0" xfId="0" applyBorder="1" applyFont="1"/>
    <xf borderId="348" fillId="0" fontId="5" numFmtId="0" xfId="0" applyBorder="1" applyFont="1"/>
    <xf borderId="340" fillId="79" fontId="104" numFmtId="0" xfId="0" applyAlignment="1" applyBorder="1" applyFont="1">
      <alignment horizontal="center" readingOrder="0" vertical="center"/>
    </xf>
    <xf borderId="344" fillId="79" fontId="101" numFmtId="0" xfId="0" applyAlignment="1" applyBorder="1" applyFont="1">
      <alignment horizontal="center" vertical="center"/>
    </xf>
    <xf borderId="330" fillId="78" fontId="101" numFmtId="0" xfId="0" applyAlignment="1" applyBorder="1" applyFont="1">
      <alignment horizontal="center" vertical="center"/>
    </xf>
    <xf borderId="338" fillId="79" fontId="105" numFmtId="0" xfId="0" applyAlignment="1" applyBorder="1" applyFont="1">
      <alignment horizontal="center" vertical="center"/>
    </xf>
    <xf borderId="349" fillId="0" fontId="5" numFmtId="0" xfId="0" applyBorder="1" applyFont="1"/>
    <xf borderId="340" fillId="79" fontId="105" numFmtId="0" xfId="0" applyAlignment="1" applyBorder="1" applyFont="1">
      <alignment horizontal="center" readingOrder="0" vertical="center"/>
    </xf>
    <xf borderId="350" fillId="79" fontId="106" numFmtId="0" xfId="0" applyAlignment="1" applyBorder="1" applyFont="1">
      <alignment horizontal="center" readingOrder="0" vertical="center"/>
    </xf>
    <xf borderId="351" fillId="0" fontId="5" numFmtId="0" xfId="0" applyBorder="1" applyFont="1"/>
    <xf borderId="340" fillId="79" fontId="107" numFmtId="0" xfId="0" applyAlignment="1" applyBorder="1" applyFont="1">
      <alignment horizontal="center" readingOrder="0" vertical="center"/>
    </xf>
    <xf borderId="344" fillId="79" fontId="105" numFmtId="0" xfId="0" applyAlignment="1" applyBorder="1" applyFont="1">
      <alignment horizontal="center" vertical="center"/>
    </xf>
    <xf borderId="330" fillId="78" fontId="105" numFmtId="0" xfId="0" applyAlignment="1" applyBorder="1" applyFont="1">
      <alignment horizontal="center" vertical="center"/>
    </xf>
    <xf borderId="331" fillId="79" fontId="93" numFmtId="0" xfId="0" applyAlignment="1" applyBorder="1" applyFont="1">
      <alignment horizontal="center" vertical="center"/>
    </xf>
    <xf borderId="352" fillId="79" fontId="94" numFmtId="0" xfId="0" applyAlignment="1" applyBorder="1" applyFont="1">
      <alignment horizontal="center" vertical="center"/>
    </xf>
    <xf borderId="340" fillId="79" fontId="93" numFmtId="0" xfId="0" applyAlignment="1" applyBorder="1" applyFont="1">
      <alignment horizontal="center" vertical="center"/>
    </xf>
    <xf borderId="353" fillId="79" fontId="108" numFmtId="0" xfId="0" applyAlignment="1" applyBorder="1" applyFont="1">
      <alignment horizontal="center" vertical="center"/>
    </xf>
    <xf borderId="354" fillId="79" fontId="108" numFmtId="0" xfId="0" applyAlignment="1" applyBorder="1" applyFont="1">
      <alignment horizontal="center" vertical="center"/>
    </xf>
    <xf borderId="355" fillId="0" fontId="5" numFmtId="0" xfId="0" applyBorder="1" applyFont="1"/>
    <xf borderId="356" fillId="79" fontId="108" numFmtId="0" xfId="0" applyAlignment="1" applyBorder="1" applyFont="1">
      <alignment horizontal="center" vertical="center"/>
    </xf>
    <xf borderId="340" fillId="79" fontId="108" numFmtId="0" xfId="0" applyAlignment="1" applyBorder="1" applyFont="1">
      <alignment horizontal="center" vertical="center"/>
    </xf>
    <xf borderId="357" fillId="79" fontId="108" numFmtId="0" xfId="0" applyAlignment="1" applyBorder="1" applyFont="1">
      <alignment horizontal="right" vertical="center"/>
    </xf>
    <xf borderId="357" fillId="79" fontId="108" numFmtId="0" xfId="0" applyAlignment="1" applyBorder="1" applyFont="1">
      <alignment horizontal="left" vertical="center"/>
    </xf>
    <xf borderId="337" fillId="79" fontId="93" numFmtId="0" xfId="0" applyAlignment="1" applyBorder="1" applyFont="1">
      <alignment horizontal="center" vertical="center"/>
    </xf>
    <xf borderId="325" fillId="78" fontId="109" numFmtId="0" xfId="0" applyAlignment="1" applyBorder="1" applyFont="1">
      <alignment horizontal="center" vertical="center"/>
    </xf>
    <xf borderId="352" fillId="0" fontId="5" numFmtId="0" xfId="0" applyBorder="1" applyFont="1"/>
    <xf borderId="358" fillId="79" fontId="108" numFmtId="0" xfId="0" applyAlignment="1" applyBorder="1" applyFont="1">
      <alignment horizontal="center" vertical="center"/>
    </xf>
    <xf borderId="359" fillId="79" fontId="108" numFmtId="0" xfId="0" applyAlignment="1" applyBorder="1" applyFont="1">
      <alignment horizontal="center" vertical="center"/>
    </xf>
    <xf borderId="360" fillId="79" fontId="108" numFmtId="0" xfId="0" applyAlignment="1" applyBorder="1" applyFont="1">
      <alignment horizontal="center" vertical="center"/>
    </xf>
    <xf borderId="361" fillId="0" fontId="5" numFmtId="0" xfId="0" applyBorder="1" applyFont="1"/>
    <xf borderId="362" fillId="79" fontId="107" numFmtId="0" xfId="0" applyAlignment="1" applyBorder="1" applyFont="1">
      <alignment horizontal="center" readingOrder="0" vertical="center"/>
    </xf>
    <xf borderId="363" fillId="0" fontId="5" numFmtId="0" xfId="0" applyBorder="1" applyFont="1"/>
    <xf borderId="364" fillId="0" fontId="5" numFmtId="0" xfId="0" applyBorder="1" applyFont="1"/>
    <xf borderId="340" fillId="79" fontId="107" numFmtId="0" xfId="0" applyAlignment="1" applyBorder="1" applyFont="1">
      <alignment horizontal="center" vertical="center"/>
    </xf>
    <xf borderId="365" fillId="79" fontId="2" numFmtId="0" xfId="0" applyBorder="1" applyFont="1"/>
    <xf borderId="366" fillId="79" fontId="107" numFmtId="0" xfId="0" applyAlignment="1" applyBorder="1" applyFont="1">
      <alignment horizontal="center" readingOrder="0" vertical="center"/>
    </xf>
    <xf borderId="340" fillId="0" fontId="5" numFmtId="0" xfId="0" applyBorder="1" applyFont="1"/>
    <xf borderId="367" fillId="0" fontId="5" numFmtId="0" xfId="0" applyBorder="1" applyFont="1"/>
    <xf borderId="350" fillId="79" fontId="107" numFmtId="0" xfId="0" applyAlignment="1" applyBorder="1" applyFont="1">
      <alignment horizontal="center" readingOrder="0" vertical="center"/>
    </xf>
    <xf borderId="368" fillId="0" fontId="5" numFmtId="0" xfId="0" applyBorder="1" applyFont="1"/>
    <xf borderId="369" fillId="79" fontId="107" numFmtId="0" xfId="0" applyAlignment="1" applyBorder="1" applyFont="1">
      <alignment horizontal="center" readingOrder="0" vertical="center"/>
    </xf>
    <xf borderId="370" fillId="79" fontId="107" numFmtId="0" xfId="0" applyAlignment="1" applyBorder="1" applyFont="1">
      <alignment horizontal="center" readingOrder="0" vertical="center"/>
    </xf>
    <xf borderId="371" fillId="79" fontId="94" numFmtId="0" xfId="0" applyAlignment="1" applyBorder="1" applyFont="1">
      <alignment horizontal="center" vertical="center"/>
    </xf>
    <xf borderId="372" fillId="79" fontId="107" numFmtId="0" xfId="0" applyAlignment="1" applyBorder="1" applyFont="1">
      <alignment horizontal="center" readingOrder="0" vertical="center"/>
    </xf>
    <xf borderId="373" fillId="79" fontId="107" numFmtId="0" xfId="0" applyAlignment="1" applyBorder="1" applyFont="1">
      <alignment horizontal="center" readingOrder="0" vertical="center"/>
    </xf>
    <xf borderId="374" fillId="0" fontId="5" numFmtId="0" xfId="0" applyBorder="1" applyFont="1"/>
    <xf borderId="375" fillId="79" fontId="107" numFmtId="0" xfId="0" applyAlignment="1" applyBorder="1" applyFont="1">
      <alignment horizontal="center" readingOrder="0" vertical="center"/>
    </xf>
    <xf borderId="333" fillId="79" fontId="110" numFmtId="0" xfId="0" applyAlignment="1" applyBorder="1" applyFont="1">
      <alignment horizontal="center" vertical="center"/>
    </xf>
    <xf borderId="333" fillId="79" fontId="111" numFmtId="0" xfId="0" applyAlignment="1" applyBorder="1" applyFont="1">
      <alignment horizontal="center" vertical="center"/>
    </xf>
    <xf borderId="376" fillId="79" fontId="111" numFmtId="0" xfId="0" applyAlignment="1" applyBorder="1" applyFont="1">
      <alignment horizontal="center" vertical="top"/>
    </xf>
    <xf borderId="333" fillId="79" fontId="111" numFmtId="0" xfId="0" applyAlignment="1" applyBorder="1" applyFont="1">
      <alignment horizontal="center" vertical="top"/>
    </xf>
    <xf borderId="333" fillId="79" fontId="112" numFmtId="0" xfId="0" applyAlignment="1" applyBorder="1" applyFont="1">
      <alignment horizontal="center" vertical="center"/>
    </xf>
    <xf borderId="331" fillId="79" fontId="113" numFmtId="0" xfId="0" applyAlignment="1" applyBorder="1" applyFont="1">
      <alignment horizontal="center" vertical="center"/>
    </xf>
    <xf borderId="371" fillId="79" fontId="110" numFmtId="0" xfId="0" applyAlignment="1" applyBorder="1" applyFont="1">
      <alignment horizontal="center" vertical="center"/>
    </xf>
    <xf borderId="377" fillId="79" fontId="114" numFmtId="0" xfId="0" applyAlignment="1" applyBorder="1" applyFont="1">
      <alignment horizontal="center" vertical="center"/>
    </xf>
    <xf borderId="378" fillId="20" fontId="115" numFmtId="0" xfId="0" applyAlignment="1" applyBorder="1" applyFont="1">
      <alignment horizontal="center" readingOrder="0" vertical="top"/>
    </xf>
    <xf borderId="379" fillId="0" fontId="5" numFmtId="0" xfId="0" applyBorder="1" applyFont="1"/>
    <xf borderId="380" fillId="0" fontId="5" numFmtId="0" xfId="0" applyBorder="1" applyFont="1"/>
    <xf borderId="340" fillId="79" fontId="116" numFmtId="0" xfId="0" applyAlignment="1" applyBorder="1" applyFont="1">
      <alignment horizontal="center" vertical="top"/>
    </xf>
    <xf borderId="340" fillId="79" fontId="114" numFmtId="0" xfId="0" applyAlignment="1" applyBorder="1" applyFont="1">
      <alignment horizontal="center" vertical="center"/>
    </xf>
    <xf borderId="340" fillId="79" fontId="113" numFmtId="0" xfId="0" applyAlignment="1" applyBorder="1" applyFont="1">
      <alignment horizontal="center" vertical="center"/>
    </xf>
    <xf borderId="344" fillId="79" fontId="113" numFmtId="0" xfId="0" applyAlignment="1" applyBorder="1" applyFont="1">
      <alignment horizontal="center" vertical="center"/>
    </xf>
    <xf borderId="330" fillId="78" fontId="113" numFmtId="0" xfId="0" applyAlignment="1" applyBorder="1" applyFont="1">
      <alignment horizontal="center" vertical="center"/>
    </xf>
    <xf borderId="381" fillId="20" fontId="115" numFmtId="0" xfId="0" applyAlignment="1" applyBorder="1" applyFont="1">
      <alignment horizontal="center" readingOrder="0" vertical="center"/>
    </xf>
    <xf borderId="382" fillId="20" fontId="115" numFmtId="0" xfId="0" applyAlignment="1" applyBorder="1" applyFont="1">
      <alignment horizontal="center" readingOrder="0" vertical="center"/>
    </xf>
    <xf borderId="383" fillId="20" fontId="115" numFmtId="0" xfId="0" applyAlignment="1" applyBorder="1" applyFont="1">
      <alignment horizontal="left" readingOrder="0" vertical="center"/>
    </xf>
    <xf borderId="384" fillId="0" fontId="5" numFmtId="0" xfId="0" applyBorder="1" applyFont="1"/>
    <xf borderId="340" fillId="79" fontId="116" numFmtId="0" xfId="0" applyAlignment="1" applyBorder="1" applyFont="1">
      <alignment horizontal="center" vertical="center"/>
    </xf>
    <xf borderId="385" fillId="79" fontId="114" numFmtId="0" xfId="0" applyAlignment="1" applyBorder="1" applyFont="1">
      <alignment horizontal="center" vertical="center"/>
    </xf>
    <xf borderId="385" fillId="79" fontId="113" numFmtId="0" xfId="0" applyAlignment="1" applyBorder="1" applyFont="1">
      <alignment horizontal="center" vertical="center"/>
    </xf>
    <xf borderId="386" fillId="20" fontId="115" numFmtId="0" xfId="0" applyAlignment="1" applyBorder="1" applyFont="1">
      <alignment horizontal="center" readingOrder="0" vertical="center"/>
    </xf>
    <xf borderId="387" fillId="20" fontId="115" numFmtId="0" xfId="0" applyAlignment="1" applyBorder="1" applyFont="1">
      <alignment horizontal="center" readingOrder="0" vertical="center"/>
    </xf>
    <xf borderId="388" fillId="20" fontId="115" numFmtId="0" xfId="0" applyAlignment="1" applyBorder="1" applyFont="1">
      <alignment horizontal="left" readingOrder="0" vertical="center"/>
    </xf>
    <xf borderId="389" fillId="0" fontId="5" numFmtId="0" xfId="0" applyBorder="1" applyFont="1"/>
    <xf borderId="390" fillId="20" fontId="115" numFmtId="0" xfId="0" applyAlignment="1" applyBorder="1" applyFont="1">
      <alignment horizontal="center" readingOrder="0" vertical="center"/>
    </xf>
    <xf borderId="391" fillId="20" fontId="115" numFmtId="0" xfId="0" applyAlignment="1" applyBorder="1" applyFont="1">
      <alignment horizontal="center" readingOrder="0" vertical="center"/>
    </xf>
    <xf borderId="392" fillId="20" fontId="115" numFmtId="0" xfId="0" applyAlignment="1" applyBorder="1" applyFont="1">
      <alignment horizontal="left" readingOrder="0" vertical="center"/>
    </xf>
    <xf borderId="393" fillId="0" fontId="5" numFmtId="0" xfId="0" applyBorder="1" applyFont="1"/>
    <xf borderId="394" fillId="79" fontId="114" numFmtId="0" xfId="0" applyAlignment="1" applyBorder="1" applyFont="1">
      <alignment horizontal="center" vertical="center"/>
    </xf>
    <xf borderId="395" fillId="20" fontId="115" numFmtId="0" xfId="0" applyAlignment="1" applyBorder="1" applyFont="1">
      <alignment horizontal="right" readingOrder="0" vertical="center"/>
    </xf>
    <xf borderId="396" fillId="0" fontId="5" numFmtId="0" xfId="0" applyBorder="1" applyFont="1"/>
    <xf borderId="397" fillId="0" fontId="5" numFmtId="0" xfId="0" applyBorder="1" applyFont="1"/>
    <xf borderId="398" fillId="20" fontId="115" numFmtId="0" xfId="0" applyAlignment="1" applyBorder="1" applyFont="1">
      <alignment horizontal="center" readingOrder="0" vertical="center"/>
    </xf>
    <xf borderId="399" fillId="79" fontId="116" numFmtId="0" xfId="0" applyAlignment="1" applyBorder="1" applyFont="1">
      <alignment horizontal="center" vertical="center"/>
    </xf>
    <xf borderId="400" fillId="20" fontId="115" numFmtId="0" xfId="0" applyAlignment="1" applyBorder="1" applyFont="1">
      <alignment horizontal="right" readingOrder="0" vertical="center"/>
    </xf>
    <xf borderId="401" fillId="0" fontId="5" numFmtId="0" xfId="0" applyBorder="1" applyFont="1"/>
    <xf borderId="402" fillId="0" fontId="5" numFmtId="0" xfId="0" applyBorder="1" applyFont="1"/>
    <xf borderId="403" fillId="79" fontId="116" numFmtId="0" xfId="0" applyAlignment="1" applyBorder="1" applyFont="1">
      <alignment horizontal="center" vertical="center"/>
    </xf>
    <xf borderId="394" fillId="79" fontId="113" numFmtId="0" xfId="0" applyAlignment="1" applyBorder="1" applyFont="1">
      <alignment horizontal="center" vertical="center"/>
    </xf>
    <xf borderId="337" fillId="79" fontId="113" numFmtId="0" xfId="0" applyAlignment="1" applyBorder="1" applyFont="1">
      <alignment horizontal="center" vertical="center"/>
    </xf>
    <xf borderId="404" fillId="79" fontId="114" numFmtId="0" xfId="0" applyAlignment="1" applyBorder="1" applyFont="1">
      <alignment horizontal="center" vertical="center"/>
    </xf>
    <xf borderId="0" fillId="79" fontId="116" numFmtId="0" xfId="0" applyAlignment="1" applyFont="1">
      <alignment horizontal="center" vertical="center"/>
    </xf>
    <xf borderId="405" fillId="20" fontId="115" numFmtId="0" xfId="0" applyAlignment="1" applyBorder="1" applyFont="1">
      <alignment horizontal="right" readingOrder="0" vertical="center"/>
    </xf>
    <xf borderId="406" fillId="0" fontId="5" numFmtId="0" xfId="0" applyBorder="1" applyFont="1"/>
    <xf borderId="407" fillId="0" fontId="5" numFmtId="0" xfId="0" applyBorder="1" applyFont="1"/>
    <xf borderId="408" fillId="20" fontId="115" numFmtId="0" xfId="0" applyAlignment="1" applyBorder="1" applyFont="1">
      <alignment horizontal="center" readingOrder="0" vertical="center"/>
    </xf>
    <xf borderId="376" fillId="79" fontId="116" numFmtId="0" xfId="0" applyAlignment="1" applyBorder="1" applyFont="1">
      <alignment horizontal="center" vertical="center"/>
    </xf>
    <xf borderId="394" fillId="79" fontId="110" numFmtId="0" xfId="0" applyAlignment="1" applyBorder="1" applyFont="1">
      <alignment horizontal="center" vertical="center"/>
    </xf>
    <xf borderId="376" fillId="79" fontId="114" numFmtId="0" xfId="0" applyAlignment="1" applyBorder="1" applyFont="1">
      <alignment horizontal="center" vertical="center"/>
    </xf>
    <xf borderId="376" fillId="79" fontId="113" numFmtId="0" xfId="0" applyAlignment="1" applyBorder="1" applyFont="1">
      <alignment horizontal="center" vertical="center"/>
    </xf>
    <xf borderId="409" fillId="79" fontId="93" numFmtId="0" xfId="0" applyAlignment="1" applyBorder="1" applyFont="1">
      <alignment horizontal="center" vertical="center"/>
    </xf>
    <xf borderId="410" fillId="79" fontId="117" numFmtId="0" xfId="0" applyAlignment="1" applyBorder="1" applyFont="1">
      <alignment horizontal="center" readingOrder="0" vertical="center"/>
    </xf>
    <xf borderId="410" fillId="79" fontId="118" numFmtId="0" xfId="0" applyAlignment="1" applyBorder="1" applyFont="1">
      <alignment horizontal="center" readingOrder="0" vertical="center"/>
    </xf>
    <xf borderId="411" fillId="79" fontId="93" numFmtId="0" xfId="0" applyAlignment="1" applyBorder="1" applyFont="1">
      <alignment horizontal="center" vertical="center"/>
    </xf>
    <xf borderId="412" fillId="80" fontId="93" numFmtId="0" xfId="0" applyAlignment="1" applyBorder="1" applyFill="1" applyFont="1">
      <alignment horizontal="center" vertical="center"/>
    </xf>
    <xf borderId="413" fillId="80" fontId="117" numFmtId="0" xfId="0" applyAlignment="1" applyBorder="1" applyFont="1">
      <alignment horizontal="center" readingOrder="0" vertical="center"/>
    </xf>
    <xf borderId="414" fillId="80" fontId="118" numFmtId="0" xfId="0" applyAlignment="1" applyBorder="1" applyFont="1">
      <alignment horizontal="center" readingOrder="0" vertical="center"/>
    </xf>
    <xf borderId="413" fillId="80" fontId="118" numFmtId="0" xfId="0" applyAlignment="1" applyBorder="1" applyFont="1">
      <alignment horizontal="center" readingOrder="0" vertical="center"/>
    </xf>
    <xf borderId="415" fillId="80" fontId="93" numFmtId="0" xfId="0" applyAlignment="1" applyBorder="1" applyFont="1">
      <alignment horizontal="center" vertical="center"/>
    </xf>
    <xf borderId="416" fillId="80" fontId="1" numFmtId="0" xfId="0" applyAlignment="1" applyBorder="1" applyFont="1">
      <alignment horizontal="center" vertical="center"/>
    </xf>
    <xf borderId="417" fillId="80" fontId="96" numFmtId="0" xfId="0" applyAlignment="1" applyBorder="1" applyFont="1">
      <alignment horizontal="right" vertical="center"/>
    </xf>
    <xf borderId="418" fillId="80" fontId="1" numFmtId="0" xfId="0" applyAlignment="1" applyBorder="1" applyFont="1">
      <alignment horizontal="center" vertical="center"/>
    </xf>
    <xf borderId="419" fillId="80" fontId="119" numFmtId="0" xfId="0" applyAlignment="1" applyBorder="1" applyFont="1">
      <alignment horizontal="left" readingOrder="0" vertical="center"/>
    </xf>
    <xf borderId="420" fillId="0" fontId="5" numFmtId="0" xfId="0" applyBorder="1" applyFont="1"/>
    <xf borderId="421" fillId="0" fontId="5" numFmtId="0" xfId="0" applyBorder="1" applyFont="1"/>
    <xf borderId="422" fillId="80" fontId="1" numFmtId="0" xfId="0" applyAlignment="1" applyBorder="1" applyFont="1">
      <alignment horizontal="center" vertical="center"/>
    </xf>
    <xf borderId="423" fillId="80" fontId="93" numFmtId="0" xfId="0" applyAlignment="1" applyBorder="1" applyFont="1">
      <alignment horizontal="center" vertical="center"/>
    </xf>
    <xf borderId="424" fillId="28" fontId="94" numFmtId="0" xfId="0" applyAlignment="1" applyBorder="1" applyFont="1">
      <alignment horizontal="center" vertical="center"/>
    </xf>
    <xf borderId="425" fillId="80" fontId="98" numFmtId="0" xfId="0" applyAlignment="1" applyBorder="1" applyFont="1">
      <alignment horizontal="center" vertical="center"/>
    </xf>
    <xf borderId="341" fillId="28" fontId="99" numFmtId="0" xfId="0" applyAlignment="1" applyBorder="1" applyFont="1">
      <alignment horizontal="center" vertical="center"/>
    </xf>
    <xf borderId="425" fillId="80" fontId="99" numFmtId="0" xfId="0" applyAlignment="1" applyBorder="1" applyFont="1">
      <alignment horizontal="center" vertical="center"/>
    </xf>
    <xf borderId="420" fillId="80" fontId="93" numFmtId="0" xfId="0" applyAlignment="1" applyBorder="1" applyFont="1">
      <alignment horizontal="center" vertical="center"/>
    </xf>
    <xf borderId="419" fillId="80" fontId="93" numFmtId="0" xfId="0" applyAlignment="1" applyBorder="1" applyFont="1">
      <alignment horizontal="center" vertical="center"/>
    </xf>
    <xf borderId="422" fillId="80" fontId="93" numFmtId="0" xfId="0" applyAlignment="1" applyBorder="1" applyFont="1">
      <alignment horizontal="center" vertical="center"/>
    </xf>
    <xf borderId="423" fillId="80" fontId="101" numFmtId="0" xfId="0" applyAlignment="1" applyBorder="1" applyFont="1">
      <alignment horizontal="center" vertical="center"/>
    </xf>
    <xf borderId="345" fillId="80" fontId="120" numFmtId="0" xfId="0" applyAlignment="1" applyBorder="1" applyFont="1">
      <alignment horizontal="right" readingOrder="0" vertical="center"/>
    </xf>
    <xf borderId="425" fillId="80" fontId="101" numFmtId="0" xfId="0" applyAlignment="1" applyBorder="1" applyFont="1">
      <alignment horizontal="center" readingOrder="0" vertical="center"/>
    </xf>
    <xf borderId="426" fillId="80" fontId="103" numFmtId="0" xfId="0" applyAlignment="1" applyBorder="1" applyFont="1">
      <alignment horizontal="center" readingOrder="0" vertical="center"/>
    </xf>
    <xf borderId="427" fillId="0" fontId="5" numFmtId="0" xfId="0" applyBorder="1" applyFont="1"/>
    <xf borderId="428" fillId="0" fontId="5" numFmtId="0" xfId="0" applyBorder="1" applyFont="1"/>
    <xf borderId="425" fillId="80" fontId="104" numFmtId="0" xfId="0" applyAlignment="1" applyBorder="1" applyFont="1">
      <alignment horizontal="center" readingOrder="0" vertical="center"/>
    </xf>
    <xf borderId="429" fillId="0" fontId="5" numFmtId="0" xfId="0" applyBorder="1" applyFont="1"/>
    <xf borderId="422" fillId="80" fontId="101" numFmtId="0" xfId="0" applyAlignment="1" applyBorder="1" applyFont="1">
      <alignment horizontal="center" vertical="center"/>
    </xf>
    <xf borderId="423" fillId="80" fontId="105" numFmtId="0" xfId="0" applyAlignment="1" applyBorder="1" applyFont="1">
      <alignment horizontal="center" vertical="center"/>
    </xf>
    <xf borderId="425" fillId="80" fontId="105" numFmtId="0" xfId="0" applyAlignment="1" applyBorder="1" applyFont="1">
      <alignment horizontal="center" readingOrder="0" vertical="center"/>
    </xf>
    <xf borderId="430" fillId="80" fontId="106" numFmtId="0" xfId="0" applyAlignment="1" applyBorder="1" applyFont="1">
      <alignment horizontal="center" readingOrder="0" vertical="center"/>
    </xf>
    <xf borderId="425" fillId="0" fontId="5" numFmtId="0" xfId="0" applyBorder="1" applyFont="1"/>
    <xf borderId="431" fillId="0" fontId="5" numFmtId="0" xfId="0" applyBorder="1" applyFont="1"/>
    <xf borderId="422" fillId="80" fontId="105" numFmtId="0" xfId="0" applyAlignment="1" applyBorder="1" applyFont="1">
      <alignment horizontal="center" vertical="center"/>
    </xf>
    <xf borderId="413" fillId="80" fontId="94" numFmtId="0" xfId="0" applyAlignment="1" applyBorder="1" applyFont="1">
      <alignment horizontal="center" vertical="center"/>
    </xf>
    <xf borderId="432" fillId="80" fontId="93" numFmtId="0" xfId="0" applyAlignment="1" applyBorder="1" applyFont="1">
      <alignment horizontal="center" vertical="center"/>
    </xf>
    <xf borderId="433" fillId="80" fontId="104" numFmtId="0" xfId="0" applyAlignment="1" applyBorder="1" applyFont="1">
      <alignment horizontal="center" vertical="center"/>
    </xf>
    <xf borderId="432" fillId="80" fontId="104" numFmtId="0" xfId="0" applyAlignment="1" applyBorder="1" applyFont="1">
      <alignment horizontal="center" vertical="center"/>
    </xf>
    <xf borderId="434" fillId="0" fontId="5" numFmtId="0" xfId="0" applyBorder="1" applyFont="1"/>
    <xf borderId="435" fillId="80" fontId="104" numFmtId="0" xfId="0" applyAlignment="1" applyBorder="1" applyFont="1">
      <alignment horizontal="center" vertical="center"/>
    </xf>
    <xf borderId="436" fillId="80" fontId="104" numFmtId="0" xfId="0" applyAlignment="1" applyBorder="1" applyFont="1">
      <alignment horizontal="right" vertical="center"/>
    </xf>
    <xf borderId="436" fillId="80" fontId="104" numFmtId="0" xfId="0" applyAlignment="1" applyBorder="1" applyFont="1">
      <alignment horizontal="left" vertical="center"/>
    </xf>
    <xf borderId="413" fillId="0" fontId="5" numFmtId="0" xfId="0" applyBorder="1" applyFont="1"/>
    <xf borderId="437" fillId="80" fontId="104" numFmtId="0" xfId="0" applyAlignment="1" applyBorder="1" applyFont="1">
      <alignment horizontal="center" vertical="center"/>
    </xf>
    <xf borderId="413" fillId="80" fontId="104" numFmtId="0" xfId="0" applyAlignment="1" applyBorder="1" applyFont="1">
      <alignment horizontal="center" vertical="center"/>
    </xf>
    <xf borderId="438" fillId="80" fontId="104" numFmtId="0" xfId="0" applyAlignment="1" applyBorder="1" applyFont="1">
      <alignment horizontal="center" vertical="center"/>
    </xf>
    <xf borderId="414" fillId="0" fontId="5" numFmtId="0" xfId="0" applyBorder="1" applyFont="1"/>
    <xf borderId="439" fillId="80" fontId="107" numFmtId="0" xfId="0" applyAlignment="1" applyBorder="1" applyFont="1">
      <alignment horizontal="center" readingOrder="0" vertical="center"/>
    </xf>
    <xf borderId="440" fillId="0" fontId="5" numFmtId="0" xfId="0" applyBorder="1" applyFont="1"/>
    <xf borderId="441" fillId="0" fontId="5" numFmtId="0" xfId="0" applyBorder="1" applyFont="1"/>
    <xf borderId="425" fillId="80" fontId="107" numFmtId="0" xfId="0" applyAlignment="1" applyBorder="1" applyFont="1">
      <alignment horizontal="center" vertical="center"/>
    </xf>
    <xf borderId="418" fillId="80" fontId="2" numFmtId="0" xfId="0" applyBorder="1" applyFont="1"/>
    <xf borderId="430" fillId="80" fontId="107" numFmtId="0" xfId="0" applyAlignment="1" applyBorder="1" applyFont="1">
      <alignment horizontal="center" readingOrder="0" vertical="center"/>
    </xf>
    <xf borderId="442" fillId="80" fontId="107" numFmtId="0" xfId="0" applyAlignment="1" applyBorder="1" applyFont="1">
      <alignment horizontal="center" readingOrder="0" vertical="center"/>
    </xf>
    <xf borderId="443" fillId="80" fontId="107" numFmtId="0" xfId="0" applyAlignment="1" applyBorder="1" applyFont="1">
      <alignment horizontal="center" vertical="center"/>
    </xf>
    <xf borderId="432" fillId="80" fontId="107" numFmtId="0" xfId="0" applyAlignment="1" applyBorder="1" applyFont="1">
      <alignment horizontal="center" vertical="center"/>
    </xf>
    <xf borderId="444" fillId="80" fontId="107" numFmtId="0" xfId="0" applyAlignment="1" applyBorder="1" applyFont="1">
      <alignment horizontal="center" readingOrder="0" vertical="center"/>
    </xf>
    <xf borderId="436" fillId="80" fontId="94" numFmtId="0" xfId="0" applyAlignment="1" applyBorder="1" applyFont="1">
      <alignment horizontal="center" vertical="center"/>
    </xf>
    <xf borderId="435" fillId="80" fontId="107" numFmtId="0" xfId="0" applyAlignment="1" applyBorder="1" applyFont="1">
      <alignment horizontal="center" readingOrder="0" vertical="center"/>
    </xf>
    <xf borderId="445" fillId="80" fontId="107" numFmtId="0" xfId="0" applyAlignment="1" applyBorder="1" applyFont="1">
      <alignment horizontal="center" readingOrder="0" vertical="center"/>
    </xf>
    <xf borderId="446" fillId="0" fontId="5" numFmtId="0" xfId="0" applyBorder="1" applyFont="1"/>
    <xf borderId="447" fillId="80" fontId="107" numFmtId="0" xfId="0" applyAlignment="1" applyBorder="1" applyFont="1">
      <alignment horizontal="center" readingOrder="0" vertical="center"/>
    </xf>
    <xf borderId="448" fillId="0" fontId="5" numFmtId="0" xfId="0" applyBorder="1" applyFont="1"/>
    <xf borderId="436" fillId="80" fontId="110" numFmtId="0" xfId="0" applyAlignment="1" applyBorder="1" applyFont="1">
      <alignment horizontal="center" vertical="center"/>
    </xf>
    <xf borderId="436" fillId="80" fontId="111" numFmtId="0" xfId="0" applyAlignment="1" applyBorder="1" applyFont="1">
      <alignment horizontal="center" vertical="center"/>
    </xf>
    <xf borderId="413" fillId="80" fontId="111" numFmtId="0" xfId="0" applyAlignment="1" applyBorder="1" applyFont="1">
      <alignment horizontal="center" vertical="center"/>
    </xf>
    <xf borderId="449" fillId="80" fontId="2" numFmtId="0" xfId="0" applyBorder="1" applyFont="1"/>
    <xf borderId="450" fillId="80" fontId="2" numFmtId="0" xfId="0" applyBorder="1" applyFont="1"/>
    <xf borderId="436" fillId="80" fontId="112" numFmtId="0" xfId="0" applyAlignment="1" applyBorder="1" applyFont="1">
      <alignment horizontal="center" vertical="center"/>
    </xf>
    <xf borderId="423" fillId="80" fontId="113" numFmtId="0" xfId="0" applyAlignment="1" applyBorder="1" applyFont="1">
      <alignment horizontal="center" vertical="center"/>
    </xf>
    <xf borderId="432" fillId="80" fontId="114" numFmtId="0" xfId="0" applyAlignment="1" applyBorder="1" applyFont="1">
      <alignment horizontal="center" vertical="center"/>
    </xf>
    <xf borderId="378" fillId="28" fontId="115" numFmtId="0" xfId="0" applyAlignment="1" applyBorder="1" applyFont="1">
      <alignment horizontal="center" readingOrder="0" vertical="top"/>
    </xf>
    <xf borderId="425" fillId="80" fontId="116" numFmtId="0" xfId="0" applyAlignment="1" applyBorder="1" applyFont="1">
      <alignment horizontal="center" vertical="top"/>
    </xf>
    <xf borderId="425" fillId="80" fontId="114" numFmtId="0" xfId="0" applyAlignment="1" applyBorder="1" applyFont="1">
      <alignment horizontal="center" vertical="center"/>
    </xf>
    <xf borderId="425" fillId="80" fontId="113" numFmtId="0" xfId="0" applyAlignment="1" applyBorder="1" applyFont="1">
      <alignment horizontal="center" vertical="center"/>
    </xf>
    <xf borderId="451" fillId="80" fontId="113" numFmtId="0" xfId="0" applyAlignment="1" applyBorder="1" applyFont="1">
      <alignment horizontal="center" vertical="center"/>
    </xf>
    <xf borderId="452" fillId="28" fontId="115" numFmtId="0" xfId="0" applyAlignment="1" applyBorder="1" applyFont="1">
      <alignment horizontal="center" readingOrder="0" vertical="center"/>
    </xf>
    <xf borderId="453" fillId="28" fontId="115" numFmtId="0" xfId="0" applyAlignment="1" applyBorder="1" applyFont="1">
      <alignment horizontal="center" readingOrder="0" vertical="center"/>
    </xf>
    <xf borderId="454" fillId="28" fontId="115" numFmtId="0" xfId="0" applyAlignment="1" applyBorder="1" applyFont="1">
      <alignment horizontal="left" readingOrder="0" vertical="center"/>
    </xf>
    <xf borderId="455" fillId="0" fontId="5" numFmtId="0" xfId="0" applyBorder="1" applyFont="1"/>
    <xf borderId="425" fillId="80" fontId="116" numFmtId="0" xfId="0" applyAlignment="1" applyBorder="1" applyFont="1">
      <alignment horizontal="center" vertical="center"/>
    </xf>
    <xf borderId="434" fillId="80" fontId="114" numFmtId="0" xfId="0" applyAlignment="1" applyBorder="1" applyFont="1">
      <alignment horizontal="center" vertical="center"/>
    </xf>
    <xf borderId="434" fillId="80" fontId="113" numFmtId="0" xfId="0" applyAlignment="1" applyBorder="1" applyFont="1">
      <alignment horizontal="center" vertical="center"/>
    </xf>
    <xf borderId="456" fillId="28" fontId="115" numFmtId="0" xfId="0" applyAlignment="1" applyBorder="1" applyFont="1">
      <alignment horizontal="center" readingOrder="0" vertical="center"/>
    </xf>
    <xf borderId="457" fillId="28" fontId="115" numFmtId="0" xfId="0" applyAlignment="1" applyBorder="1" applyFont="1">
      <alignment horizontal="center" readingOrder="0" vertical="center"/>
    </xf>
    <xf borderId="458" fillId="28" fontId="115" numFmtId="0" xfId="0" applyAlignment="1" applyBorder="1" applyFont="1">
      <alignment horizontal="left" readingOrder="0" vertical="center"/>
    </xf>
    <xf borderId="459" fillId="0" fontId="5" numFmtId="0" xfId="0" applyBorder="1" applyFont="1"/>
    <xf borderId="460" fillId="28" fontId="115" numFmtId="0" xfId="0" applyAlignment="1" applyBorder="1" applyFont="1">
      <alignment horizontal="center" readingOrder="0" vertical="center"/>
    </xf>
    <xf borderId="461" fillId="28" fontId="115" numFmtId="0" xfId="0" applyAlignment="1" applyBorder="1" applyFont="1">
      <alignment horizontal="center" readingOrder="0" vertical="center"/>
    </xf>
    <xf borderId="462" fillId="28" fontId="115" numFmtId="0" xfId="0" applyAlignment="1" applyBorder="1" applyFont="1">
      <alignment horizontal="left" readingOrder="0" vertical="center"/>
    </xf>
    <xf borderId="463" fillId="0" fontId="5" numFmtId="0" xfId="0" applyBorder="1" applyFont="1"/>
    <xf borderId="395" fillId="28" fontId="115" numFmtId="0" xfId="0" applyAlignment="1" applyBorder="1" applyFont="1">
      <alignment horizontal="right" readingOrder="0" vertical="center"/>
    </xf>
    <xf borderId="432" fillId="80" fontId="116" numFmtId="0" xfId="0" applyAlignment="1" applyBorder="1" applyFont="1">
      <alignment horizontal="center" vertical="center"/>
    </xf>
    <xf borderId="400" fillId="28" fontId="115" numFmtId="0" xfId="0" applyAlignment="1" applyBorder="1" applyFont="1">
      <alignment horizontal="right" readingOrder="0" vertical="center"/>
    </xf>
    <xf borderId="432" fillId="80" fontId="113" numFmtId="0" xfId="0" applyAlignment="1" applyBorder="1" applyFont="1">
      <alignment horizontal="center" vertical="center"/>
    </xf>
    <xf borderId="422" fillId="80" fontId="113" numFmtId="0" xfId="0" applyAlignment="1" applyBorder="1" applyFont="1">
      <alignment horizontal="center" vertical="center"/>
    </xf>
    <xf borderId="464" fillId="80" fontId="113" numFmtId="0" xfId="0" applyAlignment="1" applyBorder="1" applyFont="1">
      <alignment horizontal="center" vertical="center"/>
    </xf>
    <xf borderId="418" fillId="80" fontId="110" numFmtId="0" xfId="0" applyAlignment="1" applyBorder="1" applyFont="1">
      <alignment horizontal="center" vertical="center"/>
    </xf>
    <xf borderId="419" fillId="80" fontId="114" numFmtId="0" xfId="0" applyAlignment="1" applyBorder="1" applyFont="1">
      <alignment horizontal="center" vertical="center"/>
    </xf>
    <xf borderId="419" fillId="80" fontId="116" numFmtId="0" xfId="0" applyAlignment="1" applyBorder="1" applyFont="1">
      <alignment horizontal="center" vertical="center"/>
    </xf>
    <xf borderId="405" fillId="28" fontId="115" numFmtId="0" xfId="0" applyAlignment="1" applyBorder="1" applyFont="1">
      <alignment horizontal="right" readingOrder="0" vertical="center"/>
    </xf>
    <xf borderId="408" fillId="28" fontId="115" numFmtId="0" xfId="0" applyAlignment="1" applyBorder="1" applyFont="1">
      <alignment horizontal="center" readingOrder="0" vertical="center"/>
    </xf>
    <xf borderId="0" fillId="80" fontId="114" numFmtId="0" xfId="0" applyAlignment="1" applyFont="1">
      <alignment horizontal="center" vertical="center"/>
    </xf>
    <xf borderId="429" fillId="80" fontId="113" numFmtId="0" xfId="0" applyAlignment="1" applyBorder="1" applyFont="1">
      <alignment horizontal="center" vertical="center"/>
    </xf>
    <xf borderId="465" fillId="80" fontId="113" numFmtId="0" xfId="0" applyAlignment="1" applyBorder="1" applyFont="1">
      <alignment horizontal="center" vertical="center"/>
    </xf>
    <xf borderId="466" fillId="80" fontId="93" numFmtId="0" xfId="0" applyAlignment="1" applyBorder="1" applyFont="1">
      <alignment horizontal="center" vertical="center"/>
    </xf>
    <xf borderId="467" fillId="80" fontId="117" numFmtId="0" xfId="0" applyAlignment="1" applyBorder="1" applyFont="1">
      <alignment horizontal="center" readingOrder="0" vertical="center"/>
    </xf>
    <xf borderId="467" fillId="80" fontId="118" numFmtId="0" xfId="0" applyAlignment="1" applyBorder="1" applyFont="1">
      <alignment horizontal="center" readingOrder="0" vertical="center"/>
    </xf>
    <xf borderId="449" fillId="80" fontId="118" numFmtId="0" xfId="0" applyAlignment="1" applyBorder="1" applyFont="1">
      <alignment horizontal="center" readingOrder="0" vertical="center"/>
    </xf>
    <xf borderId="468" fillId="80" fontId="93" numFmtId="0" xfId="0" applyAlignment="1" applyBorder="1" applyFont="1">
      <alignment horizontal="center" vertical="center"/>
    </xf>
    <xf borderId="469" fillId="81" fontId="93" numFmtId="0" xfId="0" applyAlignment="1" applyBorder="1" applyFill="1" applyFont="1">
      <alignment horizontal="center" vertical="center"/>
    </xf>
    <xf borderId="470" fillId="81" fontId="117" numFmtId="0" xfId="0" applyAlignment="1" applyBorder="1" applyFont="1">
      <alignment horizontal="center" readingOrder="0" vertical="center"/>
    </xf>
    <xf borderId="471" fillId="81" fontId="118" numFmtId="0" xfId="0" applyAlignment="1" applyBorder="1" applyFont="1">
      <alignment horizontal="center" readingOrder="0" vertical="center"/>
    </xf>
    <xf borderId="470" fillId="81" fontId="118" numFmtId="0" xfId="0" applyAlignment="1" applyBorder="1" applyFont="1">
      <alignment horizontal="center" readingOrder="0" vertical="center"/>
    </xf>
    <xf borderId="472" fillId="81" fontId="93" numFmtId="0" xfId="0" applyAlignment="1" applyBorder="1" applyFont="1">
      <alignment horizontal="center" vertical="center"/>
    </xf>
    <xf borderId="473" fillId="81" fontId="1" numFmtId="0" xfId="0" applyAlignment="1" applyBorder="1" applyFont="1">
      <alignment horizontal="center" vertical="center"/>
    </xf>
    <xf borderId="474" fillId="81" fontId="96" numFmtId="0" xfId="0" applyAlignment="1" applyBorder="1" applyFont="1">
      <alignment horizontal="right" vertical="center"/>
    </xf>
    <xf borderId="474" fillId="81" fontId="1" numFmtId="0" xfId="0" applyAlignment="1" applyBorder="1" applyFont="1">
      <alignment horizontal="center" vertical="center"/>
    </xf>
    <xf borderId="475" fillId="81" fontId="121" numFmtId="0" xfId="0" applyAlignment="1" applyBorder="1" applyFont="1">
      <alignment horizontal="left" readingOrder="0" vertical="center"/>
    </xf>
    <xf borderId="476" fillId="0" fontId="5" numFmtId="0" xfId="0" applyBorder="1" applyFont="1"/>
    <xf borderId="477" fillId="0" fontId="5" numFmtId="0" xfId="0" applyBorder="1" applyFont="1"/>
    <xf borderId="478" fillId="81" fontId="1" numFmtId="0" xfId="0" applyAlignment="1" applyBorder="1" applyFont="1">
      <alignment horizontal="center" vertical="center"/>
    </xf>
    <xf borderId="479" fillId="81" fontId="93" numFmtId="0" xfId="0" applyAlignment="1" applyBorder="1" applyFont="1">
      <alignment horizontal="center" vertical="center"/>
    </xf>
    <xf borderId="424" fillId="34" fontId="94" numFmtId="0" xfId="0" applyAlignment="1" applyBorder="1" applyFont="1">
      <alignment horizontal="center" vertical="center"/>
    </xf>
    <xf borderId="480" fillId="81" fontId="98" numFmtId="0" xfId="0" applyAlignment="1" applyBorder="1" applyFont="1">
      <alignment horizontal="center" vertical="center"/>
    </xf>
    <xf borderId="341" fillId="34" fontId="122" numFmtId="0" xfId="0" applyAlignment="1" applyBorder="1" applyFont="1">
      <alignment horizontal="center" vertical="center"/>
    </xf>
    <xf borderId="480" fillId="81" fontId="122" numFmtId="0" xfId="0" applyAlignment="1" applyBorder="1" applyFont="1">
      <alignment horizontal="center" vertical="center"/>
    </xf>
    <xf borderId="476" fillId="81" fontId="93" numFmtId="0" xfId="0" applyAlignment="1" applyBorder="1" applyFont="1">
      <alignment horizontal="center" vertical="center"/>
    </xf>
    <xf borderId="481" fillId="81" fontId="93" numFmtId="0" xfId="0" applyAlignment="1" applyBorder="1" applyFont="1">
      <alignment horizontal="center" vertical="center"/>
    </xf>
    <xf borderId="479" fillId="81" fontId="101" numFmtId="0" xfId="0" applyAlignment="1" applyBorder="1" applyFont="1">
      <alignment horizontal="center" vertical="center"/>
    </xf>
    <xf borderId="345" fillId="81" fontId="96" numFmtId="0" xfId="0" applyAlignment="1" applyBorder="1" applyFont="1">
      <alignment horizontal="right" readingOrder="0" vertical="center"/>
    </xf>
    <xf borderId="480" fillId="81" fontId="101" numFmtId="0" xfId="0" applyAlignment="1" applyBorder="1" applyFont="1">
      <alignment horizontal="center" readingOrder="0" vertical="center"/>
    </xf>
    <xf borderId="482" fillId="81" fontId="103" numFmtId="0" xfId="0" applyAlignment="1" applyBorder="1" applyFont="1">
      <alignment horizontal="center" readingOrder="0" vertical="center"/>
    </xf>
    <xf borderId="483" fillId="0" fontId="5" numFmtId="0" xfId="0" applyBorder="1" applyFont="1"/>
    <xf borderId="484" fillId="0" fontId="5" numFmtId="0" xfId="0" applyBorder="1" applyFont="1"/>
    <xf borderId="480" fillId="81" fontId="107" numFmtId="0" xfId="0" applyAlignment="1" applyBorder="1" applyFont="1">
      <alignment horizontal="center" readingOrder="0" vertical="center"/>
    </xf>
    <xf borderId="481" fillId="81" fontId="101" numFmtId="0" xfId="0" applyAlignment="1" applyBorder="1" applyFont="1">
      <alignment horizontal="center" vertical="center"/>
    </xf>
    <xf borderId="479" fillId="81" fontId="105" numFmtId="0" xfId="0" applyAlignment="1" applyBorder="1" applyFont="1">
      <alignment horizontal="center" vertical="center"/>
    </xf>
    <xf borderId="480" fillId="81" fontId="105" numFmtId="0" xfId="0" applyAlignment="1" applyBorder="1" applyFont="1">
      <alignment horizontal="center" readingOrder="0" vertical="center"/>
    </xf>
    <xf borderId="485" fillId="81" fontId="106" numFmtId="0" xfId="0" applyAlignment="1" applyBorder="1" applyFont="1">
      <alignment horizontal="center" readingOrder="0" vertical="center"/>
    </xf>
    <xf borderId="480" fillId="0" fontId="5" numFmtId="0" xfId="0" applyBorder="1" applyFont="1"/>
    <xf borderId="486" fillId="0" fontId="5" numFmtId="0" xfId="0" applyBorder="1" applyFont="1"/>
    <xf borderId="480" fillId="81" fontId="123" numFmtId="0" xfId="0" applyAlignment="1" applyBorder="1" applyFont="1">
      <alignment horizontal="center" readingOrder="0" vertical="center"/>
    </xf>
    <xf borderId="481" fillId="81" fontId="105" numFmtId="0" xfId="0" applyAlignment="1" applyBorder="1" applyFont="1">
      <alignment horizontal="center" vertical="center"/>
    </xf>
    <xf borderId="473" fillId="81" fontId="93" numFmtId="0" xfId="0" applyAlignment="1" applyBorder="1" applyFont="1">
      <alignment horizontal="center" vertical="center"/>
    </xf>
    <xf borderId="470" fillId="81" fontId="94" numFmtId="0" xfId="0" applyAlignment="1" applyBorder="1" applyFont="1">
      <alignment horizontal="center" vertical="center"/>
    </xf>
    <xf borderId="487" fillId="81" fontId="93" numFmtId="0" xfId="0" applyAlignment="1" applyBorder="1" applyFont="1">
      <alignment horizontal="center" vertical="center"/>
    </xf>
    <xf borderId="488" fillId="81" fontId="108" numFmtId="0" xfId="0" applyAlignment="1" applyBorder="1" applyFont="1">
      <alignment horizontal="center" vertical="center"/>
    </xf>
    <xf borderId="489" fillId="81" fontId="108" numFmtId="0" xfId="0" applyAlignment="1" applyBorder="1" applyFont="1">
      <alignment horizontal="right" vertical="center"/>
    </xf>
    <xf borderId="489" fillId="81" fontId="108" numFmtId="0" xfId="0" applyAlignment="1" applyBorder="1" applyFont="1">
      <alignment horizontal="left" vertical="center"/>
    </xf>
    <xf borderId="490" fillId="81" fontId="108" numFmtId="0" xfId="0" applyAlignment="1" applyBorder="1" applyFont="1">
      <alignment horizontal="center" vertical="center"/>
    </xf>
    <xf borderId="487" fillId="81" fontId="108" numFmtId="0" xfId="0" applyAlignment="1" applyBorder="1" applyFont="1">
      <alignment horizontal="center" vertical="center"/>
    </xf>
    <xf borderId="491" fillId="0" fontId="5" numFmtId="0" xfId="0" applyBorder="1" applyFont="1"/>
    <xf borderId="478" fillId="81" fontId="93" numFmtId="0" xfId="0" applyAlignment="1" applyBorder="1" applyFont="1">
      <alignment horizontal="center" vertical="center"/>
    </xf>
    <xf borderId="470" fillId="0" fontId="5" numFmtId="0" xfId="0" applyBorder="1" applyFont="1"/>
    <xf borderId="492" fillId="81" fontId="108" numFmtId="0" xfId="0" applyAlignment="1" applyBorder="1" applyFont="1">
      <alignment horizontal="center" vertical="center"/>
    </xf>
    <xf borderId="470" fillId="81" fontId="108" numFmtId="0" xfId="0" applyAlignment="1" applyBorder="1" applyFont="1">
      <alignment horizontal="center" vertical="center"/>
    </xf>
    <xf borderId="493" fillId="81" fontId="108" numFmtId="0" xfId="0" applyAlignment="1" applyBorder="1" applyFont="1">
      <alignment horizontal="center" vertical="center"/>
    </xf>
    <xf borderId="330" fillId="78" fontId="124" numFmtId="0" xfId="0" applyAlignment="1" applyBorder="1" applyFont="1">
      <alignment horizontal="center" vertical="center"/>
    </xf>
    <xf borderId="471" fillId="0" fontId="5" numFmtId="0" xfId="0" applyBorder="1" applyFont="1"/>
    <xf borderId="494" fillId="81" fontId="107" numFmtId="0" xfId="0" applyAlignment="1" applyBorder="1" applyFont="1">
      <alignment horizontal="center" readingOrder="0" vertical="center"/>
    </xf>
    <xf borderId="495" fillId="0" fontId="5" numFmtId="0" xfId="0" applyBorder="1" applyFont="1"/>
    <xf borderId="496" fillId="0" fontId="5" numFmtId="0" xfId="0" applyBorder="1" applyFont="1"/>
    <xf borderId="480" fillId="81" fontId="107" numFmtId="0" xfId="0" applyAlignment="1" applyBorder="1" applyFont="1">
      <alignment horizontal="center" vertical="center"/>
    </xf>
    <xf borderId="497" fillId="81" fontId="2" numFmtId="0" xfId="0" applyBorder="1" applyFont="1"/>
    <xf borderId="485" fillId="81" fontId="107" numFmtId="0" xfId="0" applyAlignment="1" applyBorder="1" applyFont="1">
      <alignment horizontal="center" readingOrder="0" vertical="center"/>
    </xf>
    <xf borderId="498" fillId="81" fontId="107" numFmtId="0" xfId="0" applyAlignment="1" applyBorder="1" applyFont="1">
      <alignment horizontal="center" readingOrder="0" vertical="center"/>
    </xf>
    <xf borderId="499" fillId="81" fontId="107" numFmtId="0" xfId="0" applyAlignment="1" applyBorder="1" applyFont="1">
      <alignment horizontal="center" vertical="center"/>
    </xf>
    <xf borderId="487" fillId="81" fontId="107" numFmtId="0" xfId="0" applyAlignment="1" applyBorder="1" applyFont="1">
      <alignment horizontal="center" vertical="center"/>
    </xf>
    <xf borderId="500" fillId="81" fontId="107" numFmtId="0" xfId="0" applyAlignment="1" applyBorder="1" applyFont="1">
      <alignment horizontal="center" readingOrder="0" vertical="center"/>
    </xf>
    <xf borderId="489" fillId="81" fontId="94" numFmtId="0" xfId="0" applyAlignment="1" applyBorder="1" applyFont="1">
      <alignment horizontal="center" vertical="center"/>
    </xf>
    <xf borderId="490" fillId="81" fontId="107" numFmtId="0" xfId="0" applyAlignment="1" applyBorder="1" applyFont="1">
      <alignment horizontal="center" readingOrder="0" vertical="center"/>
    </xf>
    <xf borderId="501" fillId="81" fontId="107" numFmtId="0" xfId="0" applyAlignment="1" applyBorder="1" applyFont="1">
      <alignment horizontal="center" readingOrder="0" vertical="center"/>
    </xf>
    <xf borderId="502" fillId="0" fontId="5" numFmtId="0" xfId="0" applyBorder="1" applyFont="1"/>
    <xf borderId="503" fillId="81" fontId="107" numFmtId="0" xfId="0" applyAlignment="1" applyBorder="1" applyFont="1">
      <alignment horizontal="center" readingOrder="0" vertical="center"/>
    </xf>
    <xf borderId="489" fillId="81" fontId="110" numFmtId="0" xfId="0" applyAlignment="1" applyBorder="1" applyFont="1">
      <alignment horizontal="center" vertical="center"/>
    </xf>
    <xf borderId="489" fillId="81" fontId="111" numFmtId="0" xfId="0" applyAlignment="1" applyBorder="1" applyFont="1">
      <alignment horizontal="center" vertical="center"/>
    </xf>
    <xf borderId="470" fillId="81" fontId="111" numFmtId="0" xfId="0" applyAlignment="1" applyBorder="1" applyFont="1">
      <alignment horizontal="center" vertical="center"/>
    </xf>
    <xf borderId="470" fillId="81" fontId="125" numFmtId="0" xfId="0" applyAlignment="1" applyBorder="1" applyFont="1">
      <alignment horizontal="center" vertical="center"/>
    </xf>
    <xf borderId="504" fillId="81" fontId="112" numFmtId="0" xfId="0" applyAlignment="1" applyBorder="1" applyFont="1">
      <alignment horizontal="center" vertical="center"/>
    </xf>
    <xf borderId="489" fillId="81" fontId="112" numFmtId="0" xfId="0" applyAlignment="1" applyBorder="1" applyFont="1">
      <alignment horizontal="center" vertical="center"/>
    </xf>
    <xf borderId="473" fillId="81" fontId="113" numFmtId="0" xfId="0" applyAlignment="1" applyBorder="1" applyFont="1">
      <alignment horizontal="center" vertical="center"/>
    </xf>
    <xf borderId="487" fillId="81" fontId="114" numFmtId="0" xfId="0" applyAlignment="1" applyBorder="1" applyFont="1">
      <alignment horizontal="center" vertical="center"/>
    </xf>
    <xf borderId="378" fillId="82" fontId="115" numFmtId="0" xfId="0" applyAlignment="1" applyBorder="1" applyFill="1" applyFont="1">
      <alignment horizontal="center" readingOrder="0" vertical="top"/>
    </xf>
    <xf borderId="480" fillId="81" fontId="116" numFmtId="0" xfId="0" applyAlignment="1" applyBorder="1" applyFont="1">
      <alignment horizontal="center" vertical="top"/>
    </xf>
    <xf borderId="480" fillId="81" fontId="113" numFmtId="0" xfId="0" applyAlignment="1" applyBorder="1" applyFont="1">
      <alignment horizontal="center" vertical="center"/>
    </xf>
    <xf borderId="481" fillId="81" fontId="113" numFmtId="0" xfId="0" applyAlignment="1" applyBorder="1" applyFont="1">
      <alignment horizontal="center" vertical="center"/>
    </xf>
    <xf borderId="505" fillId="82" fontId="115" numFmtId="0" xfId="0" applyAlignment="1" applyBorder="1" applyFont="1">
      <alignment horizontal="center" readingOrder="0" vertical="center"/>
    </xf>
    <xf borderId="506" fillId="82" fontId="115" numFmtId="0" xfId="0" applyAlignment="1" applyBorder="1" applyFont="1">
      <alignment horizontal="center" readingOrder="0" vertical="center"/>
    </xf>
    <xf borderId="507" fillId="82" fontId="115" numFmtId="0" xfId="0" applyAlignment="1" applyBorder="1" applyFont="1">
      <alignment horizontal="left" readingOrder="0" vertical="center"/>
    </xf>
    <xf borderId="508" fillId="0" fontId="5" numFmtId="0" xfId="0" applyBorder="1" applyFont="1"/>
    <xf borderId="480" fillId="81" fontId="116" numFmtId="0" xfId="0" applyAlignment="1" applyBorder="1" applyFont="1">
      <alignment horizontal="center" vertical="center"/>
    </xf>
    <xf borderId="491" fillId="81" fontId="113" numFmtId="0" xfId="0" applyAlignment="1" applyBorder="1" applyFont="1">
      <alignment horizontal="center" vertical="center"/>
    </xf>
    <xf borderId="509" fillId="82" fontId="115" numFmtId="0" xfId="0" applyAlignment="1" applyBorder="1" applyFont="1">
      <alignment horizontal="center" readingOrder="0" vertical="center"/>
    </xf>
    <xf borderId="510" fillId="82" fontId="115" numFmtId="0" xfId="0" applyAlignment="1" applyBorder="1" applyFont="1">
      <alignment horizontal="center" readingOrder="0" vertical="center"/>
    </xf>
    <xf borderId="511" fillId="82" fontId="115" numFmtId="0" xfId="0" applyAlignment="1" applyBorder="1" applyFont="1">
      <alignment horizontal="left" readingOrder="0" vertical="center"/>
    </xf>
    <xf borderId="512" fillId="0" fontId="5" numFmtId="0" xfId="0" applyBorder="1" applyFont="1"/>
    <xf borderId="513" fillId="82" fontId="115" numFmtId="0" xfId="0" applyAlignment="1" applyBorder="1" applyFont="1">
      <alignment horizontal="center" readingOrder="0" vertical="center"/>
    </xf>
    <xf borderId="514" fillId="82" fontId="115" numFmtId="0" xfId="0" applyAlignment="1" applyBorder="1" applyFont="1">
      <alignment horizontal="center" readingOrder="0" vertical="center"/>
    </xf>
    <xf borderId="515" fillId="82" fontId="115" numFmtId="0" xfId="0" applyAlignment="1" applyBorder="1" applyFont="1">
      <alignment horizontal="left" readingOrder="0" vertical="center"/>
    </xf>
    <xf borderId="516" fillId="0" fontId="5" numFmtId="0" xfId="0" applyBorder="1" applyFont="1"/>
    <xf borderId="395" fillId="82" fontId="115" numFmtId="0" xfId="0" applyAlignment="1" applyBorder="1" applyFont="1">
      <alignment horizontal="right" readingOrder="0" vertical="center"/>
    </xf>
    <xf borderId="487" fillId="81" fontId="116" numFmtId="0" xfId="0" applyAlignment="1" applyBorder="1" applyFont="1">
      <alignment horizontal="center" vertical="center"/>
    </xf>
    <xf borderId="400" fillId="82" fontId="115" numFmtId="0" xfId="0" applyAlignment="1" applyBorder="1" applyFont="1">
      <alignment horizontal="right" readingOrder="0" vertical="center"/>
    </xf>
    <xf borderId="517" fillId="81" fontId="113" numFmtId="0" xfId="0" applyAlignment="1" applyBorder="1" applyFont="1">
      <alignment horizontal="center" vertical="center"/>
    </xf>
    <xf borderId="478" fillId="81" fontId="113" numFmtId="0" xfId="0" applyAlignment="1" applyBorder="1" applyFont="1">
      <alignment horizontal="center" vertical="center"/>
    </xf>
    <xf borderId="518" fillId="81" fontId="113" numFmtId="0" xfId="0" applyAlignment="1" applyBorder="1" applyFont="1">
      <alignment horizontal="center" vertical="center"/>
    </xf>
    <xf borderId="497" fillId="81" fontId="110" numFmtId="0" xfId="0" applyAlignment="1" applyBorder="1" applyFont="1">
      <alignment horizontal="center" vertical="center"/>
    </xf>
    <xf borderId="475" fillId="81" fontId="114" numFmtId="0" xfId="0" applyAlignment="1" applyBorder="1" applyFont="1">
      <alignment horizontal="center" vertical="center"/>
    </xf>
    <xf borderId="475" fillId="81" fontId="116" numFmtId="0" xfId="0" applyAlignment="1" applyBorder="1" applyFont="1">
      <alignment horizontal="center" vertical="center"/>
    </xf>
    <xf borderId="405" fillId="82" fontId="115" numFmtId="0" xfId="0" applyAlignment="1" applyBorder="1" applyFont="1">
      <alignment horizontal="right" readingOrder="0" vertical="center"/>
    </xf>
    <xf borderId="476" fillId="81" fontId="113" numFmtId="0" xfId="0" applyAlignment="1" applyBorder="1" applyFont="1">
      <alignment horizontal="center" vertical="center"/>
    </xf>
    <xf borderId="519" fillId="81" fontId="113" numFmtId="0" xfId="0" applyAlignment="1" applyBorder="1" applyFont="1">
      <alignment horizontal="center" vertical="center"/>
    </xf>
    <xf borderId="520" fillId="81" fontId="93" numFmtId="0" xfId="0" applyAlignment="1" applyBorder="1" applyFont="1">
      <alignment horizontal="center" vertical="center"/>
    </xf>
    <xf borderId="521" fillId="81" fontId="117" numFmtId="0" xfId="0" applyAlignment="1" applyBorder="1" applyFont="1">
      <alignment horizontal="center" readingOrder="0" vertical="center"/>
    </xf>
    <xf borderId="521" fillId="81" fontId="118" numFmtId="0" xfId="0" applyAlignment="1" applyBorder="1" applyFont="1">
      <alignment horizontal="center" readingOrder="0" vertical="center"/>
    </xf>
    <xf borderId="522" fillId="81" fontId="118" numFmtId="0" xfId="0" applyAlignment="1" applyBorder="1" applyFont="1">
      <alignment horizontal="center" readingOrder="0" vertical="center"/>
    </xf>
    <xf borderId="523" fillId="81" fontId="93" numFmtId="0" xfId="0" applyAlignment="1" applyBorder="1" applyFont="1">
      <alignment horizontal="center" vertical="center"/>
    </xf>
    <xf borderId="524" fillId="83" fontId="93" numFmtId="0" xfId="0" applyAlignment="1" applyBorder="1" applyFill="1" applyFont="1">
      <alignment horizontal="center" vertical="center"/>
    </xf>
    <xf borderId="525" fillId="83" fontId="117" numFmtId="0" xfId="0" applyAlignment="1" applyBorder="1" applyFont="1">
      <alignment horizontal="center" readingOrder="0" vertical="center"/>
    </xf>
    <xf borderId="526" fillId="83" fontId="118" numFmtId="0" xfId="0" applyAlignment="1" applyBorder="1" applyFont="1">
      <alignment horizontal="center" readingOrder="0" vertical="center"/>
    </xf>
    <xf borderId="525" fillId="83" fontId="118" numFmtId="0" xfId="0" applyAlignment="1" applyBorder="1" applyFont="1">
      <alignment horizontal="center" readingOrder="0" vertical="center"/>
    </xf>
    <xf borderId="527" fillId="83" fontId="93" numFmtId="0" xfId="0" applyAlignment="1" applyBorder="1" applyFont="1">
      <alignment horizontal="center" vertical="center"/>
    </xf>
    <xf borderId="528" fillId="83" fontId="1" numFmtId="0" xfId="0" applyAlignment="1" applyBorder="1" applyFont="1">
      <alignment horizontal="center" vertical="center"/>
    </xf>
    <xf borderId="529" fillId="83" fontId="96" numFmtId="0" xfId="0" applyAlignment="1" applyBorder="1" applyFont="1">
      <alignment horizontal="right" vertical="center"/>
    </xf>
    <xf borderId="529" fillId="83" fontId="1" numFmtId="0" xfId="0" applyAlignment="1" applyBorder="1" applyFont="1">
      <alignment horizontal="center" vertical="center"/>
    </xf>
    <xf borderId="530" fillId="83" fontId="126" numFmtId="0" xfId="0" applyAlignment="1" applyBorder="1" applyFont="1">
      <alignment horizontal="left" readingOrder="0" vertical="center"/>
    </xf>
    <xf borderId="531" fillId="0" fontId="5" numFmtId="0" xfId="0" applyBorder="1" applyFont="1"/>
    <xf borderId="532" fillId="0" fontId="5" numFmtId="0" xfId="0" applyBorder="1" applyFont="1"/>
    <xf borderId="533" fillId="83" fontId="1" numFmtId="0" xfId="0" applyAlignment="1" applyBorder="1" applyFont="1">
      <alignment horizontal="center" vertical="center"/>
    </xf>
    <xf borderId="534" fillId="83" fontId="93" numFmtId="0" xfId="0" applyAlignment="1" applyBorder="1" applyFont="1">
      <alignment horizontal="center" vertical="center"/>
    </xf>
    <xf borderId="424" fillId="37" fontId="94" numFmtId="0" xfId="0" applyAlignment="1" applyBorder="1" applyFont="1">
      <alignment horizontal="center" vertical="center"/>
    </xf>
    <xf borderId="535" fillId="83" fontId="98" numFmtId="0" xfId="0" applyAlignment="1" applyBorder="1" applyFont="1">
      <alignment horizontal="center" vertical="center"/>
    </xf>
    <xf borderId="341" fillId="37" fontId="98" numFmtId="0" xfId="0" applyAlignment="1" applyBorder="1" applyFont="1">
      <alignment horizontal="center" vertical="center"/>
    </xf>
    <xf borderId="531" fillId="83" fontId="93" numFmtId="0" xfId="0" applyAlignment="1" applyBorder="1" applyFont="1">
      <alignment horizontal="center" vertical="center"/>
    </xf>
    <xf borderId="536" fillId="83" fontId="93" numFmtId="0" xfId="0" applyAlignment="1" applyBorder="1" applyFont="1">
      <alignment horizontal="center" vertical="center"/>
    </xf>
    <xf borderId="534" fillId="83" fontId="101" numFmtId="0" xfId="0" applyAlignment="1" applyBorder="1" applyFont="1">
      <alignment horizontal="center" vertical="center"/>
    </xf>
    <xf borderId="345" fillId="83" fontId="96" numFmtId="0" xfId="0" applyAlignment="1" applyBorder="1" applyFont="1">
      <alignment horizontal="right" readingOrder="0" vertical="center"/>
    </xf>
    <xf borderId="535" fillId="83" fontId="101" numFmtId="0" xfId="0" applyAlignment="1" applyBorder="1" applyFont="1">
      <alignment horizontal="center" readingOrder="0" vertical="center"/>
    </xf>
    <xf borderId="537" fillId="83" fontId="103" numFmtId="0" xfId="0" applyAlignment="1" applyBorder="1" applyFont="1">
      <alignment horizontal="center" readingOrder="0" vertical="center"/>
    </xf>
    <xf borderId="538" fillId="0" fontId="5" numFmtId="0" xfId="0" applyBorder="1" applyFont="1"/>
    <xf borderId="539" fillId="0" fontId="5" numFmtId="0" xfId="0" applyBorder="1" applyFont="1"/>
    <xf borderId="535" fillId="83" fontId="107" numFmtId="0" xfId="0" applyAlignment="1" applyBorder="1" applyFont="1">
      <alignment horizontal="center" readingOrder="0" vertical="center"/>
    </xf>
    <xf borderId="536" fillId="83" fontId="101" numFmtId="0" xfId="0" applyAlignment="1" applyBorder="1" applyFont="1">
      <alignment horizontal="center" vertical="center"/>
    </xf>
    <xf borderId="534" fillId="83" fontId="111" numFmtId="0" xfId="0" applyAlignment="1" applyBorder="1" applyFont="1">
      <alignment horizontal="center" vertical="center"/>
    </xf>
    <xf borderId="535" fillId="83" fontId="111" numFmtId="0" xfId="0" applyAlignment="1" applyBorder="1" applyFont="1">
      <alignment horizontal="center" readingOrder="0" vertical="center"/>
    </xf>
    <xf borderId="540" fillId="83" fontId="106" numFmtId="0" xfId="0" applyAlignment="1" applyBorder="1" applyFont="1">
      <alignment horizontal="center" readingOrder="0" vertical="center"/>
    </xf>
    <xf borderId="535" fillId="0" fontId="5" numFmtId="0" xfId="0" applyBorder="1" applyFont="1"/>
    <xf borderId="541" fillId="0" fontId="5" numFmtId="0" xfId="0" applyBorder="1" applyFont="1"/>
    <xf borderId="535" fillId="83" fontId="127" numFmtId="0" xfId="0" applyAlignment="1" applyBorder="1" applyFont="1">
      <alignment horizontal="center" readingOrder="0" vertical="center"/>
    </xf>
    <xf borderId="536" fillId="83" fontId="111" numFmtId="0" xfId="0" applyAlignment="1" applyBorder="1" applyFont="1">
      <alignment horizontal="center" vertical="center"/>
    </xf>
    <xf borderId="330" fillId="78" fontId="111" numFmtId="0" xfId="0" applyAlignment="1" applyBorder="1" applyFont="1">
      <alignment horizontal="center" vertical="center"/>
    </xf>
    <xf borderId="528" fillId="83" fontId="93" numFmtId="0" xfId="0" applyAlignment="1" applyBorder="1" applyFont="1">
      <alignment horizontal="center" vertical="center"/>
    </xf>
    <xf borderId="525" fillId="83" fontId="94" numFmtId="0" xfId="0" applyAlignment="1" applyBorder="1" applyFont="1">
      <alignment horizontal="center" vertical="center"/>
    </xf>
    <xf borderId="542" fillId="83" fontId="93" numFmtId="0" xfId="0" applyAlignment="1" applyBorder="1" applyFont="1">
      <alignment horizontal="center" vertical="center"/>
    </xf>
    <xf borderId="543" fillId="83" fontId="108" numFmtId="0" xfId="0" applyAlignment="1" applyBorder="1" applyFont="1">
      <alignment horizontal="center" vertical="center"/>
    </xf>
    <xf borderId="544" fillId="83" fontId="108" numFmtId="0" xfId="0" applyAlignment="1" applyBorder="1" applyFont="1">
      <alignment horizontal="right" vertical="center"/>
    </xf>
    <xf borderId="544" fillId="83" fontId="108" numFmtId="0" xfId="0" applyAlignment="1" applyBorder="1" applyFont="1">
      <alignment horizontal="left" vertical="center"/>
    </xf>
    <xf borderId="545" fillId="83" fontId="108" numFmtId="0" xfId="0" applyAlignment="1" applyBorder="1" applyFont="1">
      <alignment horizontal="center" vertical="center"/>
    </xf>
    <xf borderId="542" fillId="83" fontId="108" numFmtId="0" xfId="0" applyAlignment="1" applyBorder="1" applyFont="1">
      <alignment horizontal="center" vertical="center"/>
    </xf>
    <xf borderId="533" fillId="83" fontId="93" numFmtId="0" xfId="0" applyAlignment="1" applyBorder="1" applyFont="1">
      <alignment horizontal="center" vertical="center"/>
    </xf>
    <xf borderId="525" fillId="0" fontId="5" numFmtId="0" xfId="0" applyBorder="1" applyFont="1"/>
    <xf borderId="546" fillId="83" fontId="108" numFmtId="0" xfId="0" applyAlignment="1" applyBorder="1" applyFont="1">
      <alignment horizontal="center" vertical="center"/>
    </xf>
    <xf borderId="525" fillId="83" fontId="108" numFmtId="0" xfId="0" applyAlignment="1" applyBorder="1" applyFont="1">
      <alignment horizontal="center" vertical="center"/>
    </xf>
    <xf borderId="547" fillId="83" fontId="108" numFmtId="0" xfId="0" applyAlignment="1" applyBorder="1" applyFont="1">
      <alignment horizontal="center" vertical="center"/>
    </xf>
    <xf borderId="526" fillId="0" fontId="5" numFmtId="0" xfId="0" applyBorder="1" applyFont="1"/>
    <xf borderId="548" fillId="83" fontId="107" numFmtId="0" xfId="0" applyAlignment="1" applyBorder="1" applyFont="1">
      <alignment horizontal="center" readingOrder="0" vertical="center"/>
    </xf>
    <xf borderId="549" fillId="0" fontId="5" numFmtId="0" xfId="0" applyBorder="1" applyFont="1"/>
    <xf borderId="550" fillId="0" fontId="5" numFmtId="0" xfId="0" applyBorder="1" applyFont="1"/>
    <xf borderId="535" fillId="83" fontId="107" numFmtId="0" xfId="0" applyAlignment="1" applyBorder="1" applyFont="1">
      <alignment horizontal="center" vertical="center"/>
    </xf>
    <xf borderId="528" fillId="83" fontId="93" numFmtId="0" xfId="0" applyAlignment="1" applyBorder="1" applyFont="1">
      <alignment horizontal="center" vertical="top"/>
    </xf>
    <xf borderId="551" fillId="83" fontId="2" numFmtId="0" xfId="0" applyBorder="1" applyFont="1"/>
    <xf borderId="542" fillId="83" fontId="93" numFmtId="0" xfId="0" applyAlignment="1" applyBorder="1" applyFont="1">
      <alignment horizontal="center" vertical="top"/>
    </xf>
    <xf borderId="540" fillId="83" fontId="107" numFmtId="0" xfId="0" applyAlignment="1" applyBorder="1" applyFont="1">
      <alignment horizontal="center" readingOrder="0" vertical="center"/>
    </xf>
    <xf borderId="536" fillId="83" fontId="93" numFmtId="0" xfId="0" applyAlignment="1" applyBorder="1" applyFont="1">
      <alignment horizontal="center" vertical="top"/>
    </xf>
    <xf borderId="330" fillId="78" fontId="93" numFmtId="0" xfId="0" applyAlignment="1" applyBorder="1" applyFont="1">
      <alignment horizontal="center" vertical="top"/>
    </xf>
    <xf borderId="552" fillId="83" fontId="107" numFmtId="0" xfId="0" applyAlignment="1" applyBorder="1" applyFont="1">
      <alignment horizontal="center" readingOrder="0" vertical="center"/>
    </xf>
    <xf borderId="553" fillId="83" fontId="107" numFmtId="0" xfId="0" applyAlignment="1" applyBorder="1" applyFont="1">
      <alignment horizontal="center" readingOrder="0" vertical="center"/>
    </xf>
    <xf borderId="542" fillId="83" fontId="107" numFmtId="0" xfId="0" applyAlignment="1" applyBorder="1" applyFont="1">
      <alignment horizontal="center" vertical="center"/>
    </xf>
    <xf borderId="554" fillId="0" fontId="5" numFmtId="0" xfId="0" applyBorder="1" applyFont="1"/>
    <xf borderId="555" fillId="83" fontId="107" numFmtId="0" xfId="0" applyAlignment="1" applyBorder="1" applyFont="1">
      <alignment horizontal="center" readingOrder="0" vertical="center"/>
    </xf>
    <xf borderId="544" fillId="83" fontId="94" numFmtId="0" xfId="0" applyAlignment="1" applyBorder="1" applyFont="1">
      <alignment horizontal="center" vertical="center"/>
    </xf>
    <xf borderId="556" fillId="0" fontId="5" numFmtId="0" xfId="0" applyBorder="1" applyFont="1"/>
    <xf borderId="545" fillId="83" fontId="107" numFmtId="0" xfId="0" applyAlignment="1" applyBorder="1" applyFont="1">
      <alignment horizontal="center" readingOrder="0" vertical="center"/>
    </xf>
    <xf borderId="557" fillId="83" fontId="107" numFmtId="0" xfId="0" applyAlignment="1" applyBorder="1" applyFont="1">
      <alignment horizontal="center" readingOrder="0" vertical="center"/>
    </xf>
    <xf borderId="558" fillId="0" fontId="5" numFmtId="0" xfId="0" applyBorder="1" applyFont="1"/>
    <xf borderId="559" fillId="0" fontId="5" numFmtId="0" xfId="0" applyBorder="1" applyFont="1"/>
    <xf borderId="560" fillId="83" fontId="107" numFmtId="0" xfId="0" applyAlignment="1" applyBorder="1" applyFont="1">
      <alignment horizontal="center" readingOrder="0" vertical="center"/>
    </xf>
    <xf borderId="544" fillId="83" fontId="110" numFmtId="0" xfId="0" applyAlignment="1" applyBorder="1" applyFont="1">
      <alignment horizontal="center" vertical="center"/>
    </xf>
    <xf borderId="544" fillId="83" fontId="111" numFmtId="0" xfId="0" applyAlignment="1" applyBorder="1" applyFont="1">
      <alignment horizontal="center" vertical="center"/>
    </xf>
    <xf borderId="525" fillId="83" fontId="111" numFmtId="0" xfId="0" applyAlignment="1" applyBorder="1" applyFont="1">
      <alignment horizontal="center" vertical="center"/>
    </xf>
    <xf borderId="525" fillId="83" fontId="125" numFmtId="0" xfId="0" applyAlignment="1" applyBorder="1" applyFont="1">
      <alignment horizontal="center" vertical="center"/>
    </xf>
    <xf borderId="561" fillId="83" fontId="112" numFmtId="0" xfId="0" applyAlignment="1" applyBorder="1" applyFont="1">
      <alignment horizontal="center" vertical="center"/>
    </xf>
    <xf borderId="544" fillId="83" fontId="112" numFmtId="0" xfId="0" applyAlignment="1" applyBorder="1" applyFont="1">
      <alignment horizontal="center" vertical="center"/>
    </xf>
    <xf borderId="528" fillId="83" fontId="113" numFmtId="0" xfId="0" applyAlignment="1" applyBorder="1" applyFont="1">
      <alignment horizontal="center" vertical="center"/>
    </xf>
    <xf borderId="542" fillId="83" fontId="114" numFmtId="0" xfId="0" applyAlignment="1" applyBorder="1" applyFont="1">
      <alignment horizontal="center" vertical="center"/>
    </xf>
    <xf borderId="378" fillId="37" fontId="115" numFmtId="0" xfId="0" applyAlignment="1" applyBorder="1" applyFont="1">
      <alignment horizontal="center" readingOrder="0" vertical="top"/>
    </xf>
    <xf borderId="535" fillId="83" fontId="116" numFmtId="0" xfId="0" applyAlignment="1" applyBorder="1" applyFont="1">
      <alignment horizontal="center" vertical="top"/>
    </xf>
    <xf borderId="535" fillId="83" fontId="113" numFmtId="0" xfId="0" applyAlignment="1" applyBorder="1" applyFont="1">
      <alignment horizontal="center" vertical="center"/>
    </xf>
    <xf borderId="536" fillId="83" fontId="113" numFmtId="0" xfId="0" applyAlignment="1" applyBorder="1" applyFont="1">
      <alignment horizontal="center" vertical="center"/>
    </xf>
    <xf borderId="562" fillId="37" fontId="115" numFmtId="0" xfId="0" applyAlignment="1" applyBorder="1" applyFont="1">
      <alignment horizontal="center" readingOrder="0" vertical="center"/>
    </xf>
    <xf borderId="563" fillId="37" fontId="115" numFmtId="0" xfId="0" applyAlignment="1" applyBorder="1" applyFont="1">
      <alignment horizontal="center" readingOrder="0" vertical="center"/>
    </xf>
    <xf borderId="564" fillId="37" fontId="115" numFmtId="0" xfId="0" applyAlignment="1" applyBorder="1" applyFont="1">
      <alignment horizontal="left" readingOrder="0" vertical="center"/>
    </xf>
    <xf borderId="565" fillId="0" fontId="5" numFmtId="0" xfId="0" applyBorder="1" applyFont="1"/>
    <xf borderId="535" fillId="83" fontId="116" numFmtId="0" xfId="0" applyAlignment="1" applyBorder="1" applyFont="1">
      <alignment horizontal="center" vertical="center"/>
    </xf>
    <xf borderId="566" fillId="83" fontId="113" numFmtId="0" xfId="0" applyAlignment="1" applyBorder="1" applyFont="1">
      <alignment horizontal="center" vertical="center"/>
    </xf>
    <xf borderId="567" fillId="37" fontId="115" numFmtId="0" xfId="0" applyAlignment="1" applyBorder="1" applyFont="1">
      <alignment horizontal="center" readingOrder="0" vertical="center"/>
    </xf>
    <xf borderId="568" fillId="37" fontId="115" numFmtId="0" xfId="0" applyAlignment="1" applyBorder="1" applyFont="1">
      <alignment horizontal="center" readingOrder="0" vertical="center"/>
    </xf>
    <xf borderId="569" fillId="37" fontId="115" numFmtId="0" xfId="0" applyAlignment="1" applyBorder="1" applyFont="1">
      <alignment horizontal="left" readingOrder="0" vertical="center"/>
    </xf>
    <xf borderId="570" fillId="0" fontId="5" numFmtId="0" xfId="0" applyBorder="1" applyFont="1"/>
    <xf borderId="571" fillId="37" fontId="115" numFmtId="0" xfId="0" applyAlignment="1" applyBorder="1" applyFont="1">
      <alignment horizontal="center" readingOrder="0" vertical="center"/>
    </xf>
    <xf borderId="572" fillId="37" fontId="115" numFmtId="0" xfId="0" applyAlignment="1" applyBorder="1" applyFont="1">
      <alignment horizontal="center" readingOrder="0" vertical="center"/>
    </xf>
    <xf borderId="573" fillId="37" fontId="115" numFmtId="0" xfId="0" applyAlignment="1" applyBorder="1" applyFont="1">
      <alignment horizontal="left" readingOrder="0" vertical="center"/>
    </xf>
    <xf borderId="574" fillId="0" fontId="5" numFmtId="0" xfId="0" applyBorder="1" applyFont="1"/>
    <xf borderId="395" fillId="37" fontId="115" numFmtId="0" xfId="0" applyAlignment="1" applyBorder="1" applyFont="1">
      <alignment horizontal="right" readingOrder="0" vertical="center"/>
    </xf>
    <xf borderId="542" fillId="83" fontId="116" numFmtId="0" xfId="0" applyAlignment="1" applyBorder="1" applyFont="1">
      <alignment horizontal="center" vertical="center"/>
    </xf>
    <xf borderId="400" fillId="37" fontId="115" numFmtId="0" xfId="0" applyAlignment="1" applyBorder="1" applyFont="1">
      <alignment horizontal="right" readingOrder="0" vertical="center"/>
    </xf>
    <xf borderId="575" fillId="83" fontId="113" numFmtId="0" xfId="0" applyAlignment="1" applyBorder="1" applyFont="1">
      <alignment horizontal="center" vertical="center"/>
    </xf>
    <xf borderId="533" fillId="83" fontId="113" numFmtId="0" xfId="0" applyAlignment="1" applyBorder="1" applyFont="1">
      <alignment horizontal="center" vertical="center"/>
    </xf>
    <xf borderId="576" fillId="83" fontId="113" numFmtId="0" xfId="0" applyAlignment="1" applyBorder="1" applyFont="1">
      <alignment horizontal="center" vertical="center"/>
    </xf>
    <xf borderId="551" fillId="83" fontId="110" numFmtId="0" xfId="0" applyAlignment="1" applyBorder="1" applyFont="1">
      <alignment horizontal="center" vertical="center"/>
    </xf>
    <xf borderId="530" fillId="83" fontId="114" numFmtId="0" xfId="0" applyAlignment="1" applyBorder="1" applyFont="1">
      <alignment horizontal="center" vertical="center"/>
    </xf>
    <xf borderId="530" fillId="83" fontId="116" numFmtId="0" xfId="0" applyAlignment="1" applyBorder="1" applyFont="1">
      <alignment horizontal="center" vertical="center"/>
    </xf>
    <xf borderId="405" fillId="37" fontId="115" numFmtId="0" xfId="0" applyAlignment="1" applyBorder="1" applyFont="1">
      <alignment horizontal="right" readingOrder="0" vertical="center"/>
    </xf>
    <xf borderId="531" fillId="83" fontId="113" numFmtId="0" xfId="0" applyAlignment="1" applyBorder="1" applyFont="1">
      <alignment horizontal="center" vertical="center"/>
    </xf>
    <xf borderId="577" fillId="83" fontId="113" numFmtId="0" xfId="0" applyAlignment="1" applyBorder="1" applyFont="1">
      <alignment horizontal="center" vertical="center"/>
    </xf>
    <xf borderId="578" fillId="83" fontId="93" numFmtId="0" xfId="0" applyAlignment="1" applyBorder="1" applyFont="1">
      <alignment horizontal="center" vertical="center"/>
    </xf>
    <xf borderId="579" fillId="83" fontId="117" numFmtId="0" xfId="0" applyAlignment="1" applyBorder="1" applyFont="1">
      <alignment horizontal="center" readingOrder="0" vertical="center"/>
    </xf>
    <xf borderId="579" fillId="83" fontId="118" numFmtId="0" xfId="0" applyAlignment="1" applyBorder="1" applyFont="1">
      <alignment horizontal="center" readingOrder="0" vertical="center"/>
    </xf>
    <xf borderId="580" fillId="83" fontId="118" numFmtId="0" xfId="0" applyAlignment="1" applyBorder="1" applyFont="1">
      <alignment horizontal="center" readingOrder="0" vertical="center"/>
    </xf>
    <xf borderId="581" fillId="83" fontId="93" numFmtId="0" xfId="0" applyAlignment="1" applyBorder="1" applyFont="1">
      <alignment horizontal="center" vertical="center"/>
    </xf>
    <xf borderId="582" fillId="84" fontId="93" numFmtId="0" xfId="0" applyAlignment="1" applyBorder="1" applyFill="1" applyFont="1">
      <alignment horizontal="center" vertical="center"/>
    </xf>
    <xf borderId="583" fillId="84" fontId="117" numFmtId="0" xfId="0" applyAlignment="1" applyBorder="1" applyFont="1">
      <alignment horizontal="center" readingOrder="0" vertical="center"/>
    </xf>
    <xf borderId="583" fillId="84" fontId="118" numFmtId="0" xfId="0" applyAlignment="1" applyBorder="1" applyFont="1">
      <alignment horizontal="center" readingOrder="0" vertical="center"/>
    </xf>
    <xf borderId="584" fillId="84" fontId="93" numFmtId="0" xfId="0" applyAlignment="1" applyBorder="1" applyFont="1">
      <alignment horizontal="center" vertical="center"/>
    </xf>
    <xf borderId="585" fillId="84" fontId="93" numFmtId="0" xfId="0" applyAlignment="1" applyBorder="1" applyFont="1">
      <alignment horizontal="center" vertical="center"/>
    </xf>
    <xf borderId="586" fillId="84" fontId="94" numFmtId="0" xfId="0" applyAlignment="1" applyBorder="1" applyFont="1">
      <alignment horizontal="center" vertical="center"/>
    </xf>
    <xf borderId="586" fillId="84" fontId="93" numFmtId="0" xfId="0" applyAlignment="1" applyBorder="1" applyFont="1">
      <alignment horizontal="center" vertical="center"/>
    </xf>
    <xf borderId="587" fillId="84" fontId="128" numFmtId="0" xfId="0" applyAlignment="1" applyBorder="1" applyFont="1">
      <alignment horizontal="left" readingOrder="0" vertical="center"/>
    </xf>
    <xf borderId="588" fillId="0" fontId="5" numFmtId="0" xfId="0" applyBorder="1" applyFont="1"/>
    <xf borderId="589" fillId="0" fontId="5" numFmtId="0" xfId="0" applyBorder="1" applyFont="1"/>
    <xf borderId="590" fillId="84" fontId="93" numFmtId="0" xfId="0" applyAlignment="1" applyBorder="1" applyFont="1">
      <alignment horizontal="center" vertical="center"/>
    </xf>
    <xf borderId="325" fillId="78" fontId="124" numFmtId="0" xfId="0" applyAlignment="1" applyBorder="1" applyFont="1">
      <alignment horizontal="center" vertical="center"/>
    </xf>
    <xf borderId="591" fillId="84" fontId="93" numFmtId="0" xfId="0" applyAlignment="1" applyBorder="1" applyFont="1">
      <alignment horizontal="center" vertical="center"/>
    </xf>
    <xf borderId="424" fillId="49" fontId="94" numFmtId="0" xfId="0" applyAlignment="1" applyBorder="1" applyFont="1">
      <alignment horizontal="center" vertical="center"/>
    </xf>
    <xf borderId="592" fillId="84" fontId="98" numFmtId="0" xfId="0" applyAlignment="1" applyBorder="1" applyFont="1">
      <alignment horizontal="center" vertical="center"/>
    </xf>
    <xf borderId="341" fillId="49" fontId="129" numFmtId="0" xfId="0" applyAlignment="1" applyBorder="1" applyFont="1">
      <alignment horizontal="center" vertical="center"/>
    </xf>
    <xf borderId="588" fillId="84" fontId="108" numFmtId="0" xfId="0" applyAlignment="1" applyBorder="1" applyFont="1">
      <alignment horizontal="center" vertical="center"/>
    </xf>
    <xf borderId="593" fillId="84" fontId="93" numFmtId="0" xfId="0" applyAlignment="1" applyBorder="1" applyFont="1">
      <alignment horizontal="center" vertical="center"/>
    </xf>
    <xf borderId="591" fillId="84" fontId="101" numFmtId="0" xfId="0" applyAlignment="1" applyBorder="1" applyFont="1">
      <alignment horizontal="center" vertical="center"/>
    </xf>
    <xf borderId="345" fillId="84" fontId="96" numFmtId="0" xfId="0" applyAlignment="1" applyBorder="1" applyFont="1">
      <alignment horizontal="right" readingOrder="0" vertical="center"/>
    </xf>
    <xf borderId="592" fillId="84" fontId="101" numFmtId="0" xfId="0" applyAlignment="1" applyBorder="1" applyFont="1">
      <alignment horizontal="center" readingOrder="0" vertical="center"/>
    </xf>
    <xf borderId="594" fillId="84" fontId="130" numFmtId="0" xfId="0" applyAlignment="1" applyBorder="1" applyFont="1">
      <alignment horizontal="center" vertical="center"/>
    </xf>
    <xf borderId="595" fillId="0" fontId="5" numFmtId="0" xfId="0" applyBorder="1" applyFont="1"/>
    <xf borderId="596" fillId="0" fontId="5" numFmtId="0" xfId="0" applyBorder="1" applyFont="1"/>
    <xf borderId="594" fillId="84" fontId="103" numFmtId="0" xfId="0" applyAlignment="1" applyBorder="1" applyFont="1">
      <alignment horizontal="center" readingOrder="0" vertical="center"/>
    </xf>
    <xf borderId="593" fillId="84" fontId="101" numFmtId="0" xfId="0" applyAlignment="1" applyBorder="1" applyFont="1">
      <alignment horizontal="center" vertical="center"/>
    </xf>
    <xf borderId="591" fillId="84" fontId="105" numFmtId="0" xfId="0" applyAlignment="1" applyBorder="1" applyFont="1">
      <alignment horizontal="center" vertical="center"/>
    </xf>
    <xf borderId="592" fillId="84" fontId="105" numFmtId="0" xfId="0" applyAlignment="1" applyBorder="1" applyFont="1">
      <alignment horizontal="center" readingOrder="0" vertical="center"/>
    </xf>
    <xf borderId="594" fillId="84" fontId="131" numFmtId="0" xfId="0" applyAlignment="1" applyBorder="1" applyFont="1">
      <alignment horizontal="center" vertical="center"/>
    </xf>
    <xf borderId="597" fillId="84" fontId="106" numFmtId="0" xfId="0" applyAlignment="1" applyBorder="1" applyFont="1">
      <alignment horizontal="center" readingOrder="0" vertical="center"/>
    </xf>
    <xf borderId="598" fillId="0" fontId="5" numFmtId="0" xfId="0" applyBorder="1" applyFont="1"/>
    <xf borderId="599" fillId="0" fontId="5" numFmtId="0" xfId="0" applyBorder="1" applyFont="1"/>
    <xf borderId="593" fillId="84" fontId="105" numFmtId="0" xfId="0" applyAlignment="1" applyBorder="1" applyFont="1">
      <alignment horizontal="center" vertical="center"/>
    </xf>
    <xf borderId="600" fillId="84" fontId="94" numFmtId="0" xfId="0" applyAlignment="1" applyBorder="1" applyFont="1">
      <alignment horizontal="center" vertical="center"/>
    </xf>
    <xf borderId="601" fillId="84" fontId="93" numFmtId="0" xfId="0" applyAlignment="1" applyBorder="1" applyFont="1">
      <alignment horizontal="center" vertical="center"/>
    </xf>
    <xf borderId="602" fillId="84" fontId="2" numFmtId="0" xfId="0" applyAlignment="1" applyBorder="1" applyFont="1">
      <alignment vertical="center"/>
    </xf>
    <xf borderId="603" fillId="84" fontId="2" numFmtId="0" xfId="0" applyAlignment="1" applyBorder="1" applyFont="1">
      <alignment vertical="center"/>
    </xf>
    <xf borderId="596" fillId="84" fontId="2" numFmtId="0" xfId="0" applyAlignment="1" applyBorder="1" applyFont="1">
      <alignment vertical="center"/>
    </xf>
    <xf borderId="604" fillId="84" fontId="107" numFmtId="0" xfId="0" applyAlignment="1" applyBorder="1" applyFont="1">
      <alignment horizontal="center" vertical="center"/>
    </xf>
    <xf borderId="605" fillId="84" fontId="107" numFmtId="0" xfId="0" applyAlignment="1" applyBorder="1" applyFont="1">
      <alignment horizontal="right" vertical="center"/>
    </xf>
    <xf borderId="605" fillId="84" fontId="107" numFmtId="0" xfId="0" applyAlignment="1" applyBorder="1" applyFont="1">
      <alignment horizontal="left" vertical="center"/>
    </xf>
    <xf borderId="606" fillId="84" fontId="107" numFmtId="0" xfId="0" applyAlignment="1" applyBorder="1" applyFont="1">
      <alignment horizontal="center" vertical="center"/>
    </xf>
    <xf borderId="607" fillId="84" fontId="107" numFmtId="0" xfId="0" applyAlignment="1" applyBorder="1" applyFont="1">
      <alignment horizontal="center" vertical="center"/>
    </xf>
    <xf borderId="608" fillId="0" fontId="5" numFmtId="0" xfId="0" applyBorder="1" applyFont="1"/>
    <xf borderId="600" fillId="0" fontId="5" numFmtId="0" xfId="0" applyBorder="1" applyFont="1"/>
    <xf borderId="607" fillId="84" fontId="93" numFmtId="0" xfId="0" applyAlignment="1" applyBorder="1" applyFont="1">
      <alignment horizontal="center" vertical="center"/>
    </xf>
    <xf borderId="609" fillId="84" fontId="2" numFmtId="0" xfId="0" applyAlignment="1" applyBorder="1" applyFont="1">
      <alignment vertical="center"/>
    </xf>
    <xf borderId="610" fillId="84" fontId="2" numFmtId="0" xfId="0" applyAlignment="1" applyBorder="1" applyFont="1">
      <alignment vertical="center"/>
    </xf>
    <xf borderId="611" fillId="84" fontId="2" numFmtId="0" xfId="0" applyAlignment="1" applyBorder="1" applyFont="1">
      <alignment vertical="center"/>
    </xf>
    <xf borderId="612" fillId="84" fontId="107" numFmtId="0" xfId="0" applyAlignment="1" applyBorder="1" applyFont="1">
      <alignment horizontal="center" vertical="center"/>
    </xf>
    <xf borderId="600" fillId="84" fontId="107" numFmtId="0" xfId="0" applyAlignment="1" applyBorder="1" applyFont="1">
      <alignment horizontal="center" vertical="center"/>
    </xf>
    <xf borderId="613" fillId="84" fontId="107" numFmtId="0" xfId="0" applyAlignment="1" applyBorder="1" applyFont="1">
      <alignment horizontal="center" vertical="center"/>
    </xf>
    <xf borderId="583" fillId="0" fontId="5" numFmtId="0" xfId="0" applyBorder="1" applyFont="1"/>
    <xf borderId="594" fillId="84" fontId="132" numFmtId="0" xfId="0" applyAlignment="1" applyBorder="1" applyFont="1">
      <alignment horizontal="center" vertical="center"/>
    </xf>
    <xf borderId="614" fillId="84" fontId="107" numFmtId="0" xfId="0" applyAlignment="1" applyBorder="1" applyFont="1">
      <alignment horizontal="center" readingOrder="0" vertical="center"/>
    </xf>
    <xf borderId="615" fillId="0" fontId="5" numFmtId="0" xfId="0" applyBorder="1" applyFont="1"/>
    <xf borderId="616" fillId="0" fontId="5" numFmtId="0" xfId="0" applyBorder="1" applyFont="1"/>
    <xf borderId="617" fillId="84" fontId="2" numFmtId="0" xfId="0" applyBorder="1" applyFont="1"/>
    <xf borderId="597" fillId="84" fontId="107" numFmtId="0" xfId="0" applyAlignment="1" applyBorder="1" applyFont="1">
      <alignment horizontal="center" readingOrder="0" vertical="center"/>
    </xf>
    <xf borderId="618" fillId="84" fontId="132" numFmtId="0" xfId="0" applyAlignment="1" applyBorder="1" applyFont="1">
      <alignment horizontal="center" vertical="center"/>
    </xf>
    <xf borderId="619" fillId="0" fontId="5" numFmtId="0" xfId="0" applyBorder="1" applyFont="1"/>
    <xf borderId="620" fillId="84" fontId="2" numFmtId="0" xfId="0" applyAlignment="1" applyBorder="1" applyFont="1">
      <alignment vertical="center"/>
    </xf>
    <xf borderId="618" fillId="84" fontId="132" numFmtId="0" xfId="0" applyAlignment="1" applyBorder="1" applyFont="1">
      <alignment horizontal="center" readingOrder="0" vertical="center"/>
    </xf>
    <xf borderId="620" fillId="84" fontId="2" numFmtId="0" xfId="0" applyAlignment="1" applyBorder="1" applyFont="1">
      <alignment horizontal="center" vertical="center"/>
    </xf>
    <xf borderId="621" fillId="84" fontId="132" numFmtId="0" xfId="0" applyAlignment="1" applyBorder="1" applyFont="1">
      <alignment horizontal="center" readingOrder="0" vertical="center"/>
    </xf>
    <xf borderId="622" fillId="0" fontId="5" numFmtId="0" xfId="0" applyBorder="1" applyFont="1"/>
    <xf borderId="623" fillId="0" fontId="5" numFmtId="0" xfId="0" applyBorder="1" applyFont="1"/>
    <xf borderId="624" fillId="84" fontId="2" numFmtId="0" xfId="0" applyAlignment="1" applyBorder="1" applyFont="1">
      <alignment horizontal="center" vertical="center"/>
    </xf>
    <xf borderId="605" fillId="84" fontId="94" numFmtId="0" xfId="0" applyAlignment="1" applyBorder="1" applyFont="1">
      <alignment horizontal="center" vertical="center"/>
    </xf>
    <xf borderId="603" fillId="0" fontId="5" numFmtId="0" xfId="0" applyBorder="1" applyFont="1"/>
    <xf borderId="596" fillId="84" fontId="2" numFmtId="0" xfId="0" applyAlignment="1" applyBorder="1" applyFont="1">
      <alignment horizontal="center" vertical="center"/>
    </xf>
    <xf borderId="606" fillId="84" fontId="107" numFmtId="0" xfId="0" applyAlignment="1" applyBorder="1" applyFont="1">
      <alignment horizontal="center" readingOrder="0" vertical="center"/>
    </xf>
    <xf borderId="625" fillId="84" fontId="132" numFmtId="0" xfId="0" applyAlignment="1" applyBorder="1" applyFont="1">
      <alignment horizontal="center" vertical="center"/>
    </xf>
    <xf borderId="626" fillId="0" fontId="5" numFmtId="0" xfId="0" applyBorder="1" applyFont="1"/>
    <xf borderId="627" fillId="0" fontId="5" numFmtId="0" xfId="0" applyBorder="1" applyFont="1"/>
    <xf borderId="628" fillId="84" fontId="2" numFmtId="0" xfId="0" applyAlignment="1" applyBorder="1" applyFont="1">
      <alignment horizontal="center" vertical="center"/>
    </xf>
    <xf borderId="629" fillId="84" fontId="107" numFmtId="0" xfId="0" applyAlignment="1" applyBorder="1" applyFont="1">
      <alignment horizontal="center" readingOrder="0" vertical="center"/>
    </xf>
    <xf borderId="630" fillId="0" fontId="5" numFmtId="0" xfId="0" applyBorder="1" applyFont="1"/>
    <xf borderId="631" fillId="84" fontId="107" numFmtId="0" xfId="0" applyAlignment="1" applyBorder="1" applyFont="1">
      <alignment horizontal="center" readingOrder="0" vertical="center"/>
    </xf>
    <xf borderId="605" fillId="84" fontId="110" numFmtId="0" xfId="0" applyAlignment="1" applyBorder="1" applyFont="1">
      <alignment horizontal="center" vertical="center"/>
    </xf>
    <xf borderId="605" fillId="84" fontId="111" numFmtId="0" xfId="0" applyAlignment="1" applyBorder="1" applyFont="1">
      <alignment horizontal="center" vertical="center"/>
    </xf>
    <xf borderId="600" fillId="84" fontId="133" numFmtId="0" xfId="0" applyAlignment="1" applyBorder="1" applyFont="1">
      <alignment horizontal="center" vertical="center"/>
    </xf>
    <xf borderId="605" fillId="84" fontId="133" numFmtId="0" xfId="0" applyAlignment="1" applyBorder="1" applyFont="1">
      <alignment horizontal="center" vertical="center"/>
    </xf>
    <xf borderId="600" fillId="84" fontId="134" numFmtId="0" xfId="0" applyAlignment="1" applyBorder="1" applyFont="1">
      <alignment horizontal="center" vertical="center"/>
    </xf>
    <xf borderId="632" fillId="84" fontId="135" numFmtId="0" xfId="0" applyAlignment="1" applyBorder="1" applyFont="1">
      <alignment horizontal="center" vertical="center"/>
    </xf>
    <xf borderId="600" fillId="84" fontId="135" numFmtId="0" xfId="0" applyAlignment="1" applyBorder="1" applyFont="1">
      <alignment horizontal="center" vertical="center"/>
    </xf>
    <xf borderId="585" fillId="84" fontId="113" numFmtId="0" xfId="0" applyAlignment="1" applyBorder="1" applyFont="1">
      <alignment horizontal="center" vertical="center"/>
    </xf>
    <xf borderId="607" fillId="84" fontId="114" numFmtId="0" xfId="0" applyAlignment="1" applyBorder="1" applyFont="1">
      <alignment horizontal="center" vertical="center"/>
    </xf>
    <xf borderId="378" fillId="85" fontId="115" numFmtId="0" xfId="0" applyAlignment="1" applyBorder="1" applyFill="1" applyFont="1">
      <alignment horizontal="center" readingOrder="0" vertical="top"/>
    </xf>
    <xf borderId="598" fillId="84" fontId="116" numFmtId="0" xfId="0" applyAlignment="1" applyBorder="1" applyFont="1">
      <alignment horizontal="center" vertical="center"/>
    </xf>
    <xf borderId="593" fillId="84" fontId="113" numFmtId="0" xfId="0" applyAlignment="1" applyBorder="1" applyFont="1">
      <alignment horizontal="center" vertical="center"/>
    </xf>
    <xf borderId="633" fillId="85" fontId="115" numFmtId="0" xfId="0" applyAlignment="1" applyBorder="1" applyFont="1">
      <alignment horizontal="center" readingOrder="0" vertical="center"/>
    </xf>
    <xf borderId="634" fillId="85" fontId="115" numFmtId="0" xfId="0" applyAlignment="1" applyBorder="1" applyFont="1">
      <alignment horizontal="center" readingOrder="0" vertical="center"/>
    </xf>
    <xf borderId="635" fillId="85" fontId="115" numFmtId="0" xfId="0" applyAlignment="1" applyBorder="1" applyFont="1">
      <alignment horizontal="left" readingOrder="0" vertical="center"/>
    </xf>
    <xf borderId="636" fillId="0" fontId="5" numFmtId="0" xfId="0" applyBorder="1" applyFont="1"/>
    <xf borderId="598" fillId="84" fontId="116" numFmtId="0" xfId="0" applyAlignment="1" applyBorder="1" applyFont="1">
      <alignment horizontal="center" vertical="center"/>
    </xf>
    <xf borderId="593" fillId="84" fontId="113" numFmtId="0" xfId="0" applyAlignment="1" applyBorder="1" applyFont="1">
      <alignment horizontal="center" vertical="center"/>
    </xf>
    <xf borderId="637" fillId="85" fontId="115" numFmtId="0" xfId="0" applyAlignment="1" applyBorder="1" applyFont="1">
      <alignment horizontal="center" readingOrder="0" vertical="center"/>
    </xf>
    <xf borderId="638" fillId="85" fontId="115" numFmtId="0" xfId="0" applyAlignment="1" applyBorder="1" applyFont="1">
      <alignment horizontal="center" readingOrder="0" vertical="center"/>
    </xf>
    <xf borderId="639" fillId="85" fontId="115" numFmtId="0" xfId="0" applyAlignment="1" applyBorder="1" applyFont="1">
      <alignment horizontal="left" readingOrder="0" vertical="center"/>
    </xf>
    <xf borderId="640" fillId="0" fontId="5" numFmtId="0" xfId="0" applyBorder="1" applyFont="1"/>
    <xf borderId="641" fillId="85" fontId="115" numFmtId="0" xfId="0" applyAlignment="1" applyBorder="1" applyFont="1">
      <alignment horizontal="center" readingOrder="0" vertical="center"/>
    </xf>
    <xf borderId="642" fillId="85" fontId="115" numFmtId="0" xfId="0" applyAlignment="1" applyBorder="1" applyFont="1">
      <alignment horizontal="center" readingOrder="0" vertical="center"/>
    </xf>
    <xf borderId="643" fillId="85" fontId="115" numFmtId="0" xfId="0" applyAlignment="1" applyBorder="1" applyFont="1">
      <alignment horizontal="left" readingOrder="0" vertical="center"/>
    </xf>
    <xf borderId="644" fillId="0" fontId="5" numFmtId="0" xfId="0" applyBorder="1" applyFont="1"/>
    <xf borderId="395" fillId="85" fontId="115" numFmtId="0" xfId="0" applyAlignment="1" applyBorder="1" applyFont="1">
      <alignment horizontal="right" readingOrder="0" vertical="center"/>
    </xf>
    <xf borderId="645" fillId="84" fontId="93" numFmtId="0" xfId="0" applyAlignment="1" applyBorder="1" applyFont="1">
      <alignment horizontal="center" vertical="center"/>
    </xf>
    <xf borderId="646" fillId="84" fontId="117" numFmtId="0" xfId="0" applyAlignment="1" applyBorder="1" applyFont="1">
      <alignment horizontal="center" readingOrder="0" vertical="center"/>
    </xf>
    <xf borderId="646" fillId="84" fontId="118" numFmtId="0" xfId="0" applyAlignment="1" applyBorder="1" applyFont="1">
      <alignment horizontal="center" readingOrder="0" vertical="center"/>
    </xf>
    <xf borderId="647" fillId="84" fontId="118" numFmtId="0" xfId="0" applyAlignment="1" applyBorder="1" applyFont="1">
      <alignment horizontal="center" readingOrder="0" vertical="center"/>
    </xf>
    <xf borderId="648" fillId="84" fontId="93" numFmtId="0" xfId="0" applyAlignment="1" applyBorder="1" applyFont="1">
      <alignment horizontal="center" vertical="center"/>
    </xf>
    <xf borderId="649" fillId="86" fontId="93" numFmtId="0" xfId="0" applyAlignment="1" applyBorder="1" applyFill="1" applyFont="1">
      <alignment horizontal="center" vertical="center"/>
    </xf>
    <xf borderId="650" fillId="86" fontId="117" numFmtId="0" xfId="0" applyAlignment="1" applyBorder="1" applyFont="1">
      <alignment horizontal="center" readingOrder="0" vertical="center"/>
    </xf>
    <xf borderId="651" fillId="86" fontId="118" numFmtId="0" xfId="0" applyAlignment="1" applyBorder="1" applyFont="1">
      <alignment horizontal="center" readingOrder="0" vertical="center"/>
    </xf>
    <xf borderId="650" fillId="86" fontId="118" numFmtId="0" xfId="0" applyAlignment="1" applyBorder="1" applyFont="1">
      <alignment horizontal="center" readingOrder="0" vertical="center"/>
    </xf>
    <xf borderId="652" fillId="86" fontId="93" numFmtId="0" xfId="0" applyAlignment="1" applyBorder="1" applyFont="1">
      <alignment horizontal="center" vertical="center"/>
    </xf>
    <xf borderId="653" fillId="86" fontId="93" numFmtId="0" xfId="0" applyAlignment="1" applyBorder="1" applyFont="1">
      <alignment horizontal="center" vertical="center"/>
    </xf>
    <xf borderId="654" fillId="86" fontId="110" numFmtId="0" xfId="0" applyAlignment="1" applyBorder="1" applyFont="1">
      <alignment horizontal="center" vertical="center"/>
    </xf>
    <xf borderId="654" fillId="86" fontId="136" numFmtId="0" xfId="0" applyAlignment="1" applyBorder="1" applyFont="1">
      <alignment horizontal="left" readingOrder="0" vertical="center"/>
    </xf>
    <xf borderId="655" fillId="0" fontId="5" numFmtId="0" xfId="0" applyBorder="1" applyFont="1"/>
    <xf borderId="656" fillId="0" fontId="5" numFmtId="0" xfId="0" applyBorder="1" applyFont="1"/>
    <xf borderId="657" fillId="86" fontId="113" numFmtId="0" xfId="0" applyAlignment="1" applyBorder="1" applyFont="1">
      <alignment horizontal="center" vertical="center"/>
    </xf>
    <xf borderId="658" fillId="0" fontId="93" numFmtId="0" xfId="0" applyAlignment="1" applyBorder="1" applyFont="1">
      <alignment horizontal="center" vertical="center"/>
    </xf>
    <xf borderId="424" fillId="87" fontId="94" numFmtId="0" xfId="0" applyAlignment="1" applyBorder="1" applyFill="1" applyFont="1">
      <alignment horizontal="center" vertical="center"/>
    </xf>
    <xf borderId="659" fillId="86" fontId="93" numFmtId="0" xfId="0" applyAlignment="1" applyBorder="1" applyFont="1">
      <alignment horizontal="center" vertical="center"/>
    </xf>
    <xf borderId="341" fillId="87" fontId="106" numFmtId="0" xfId="0" applyAlignment="1" applyBorder="1" applyFont="1">
      <alignment horizontal="center" vertical="center"/>
    </xf>
    <xf borderId="659" fillId="86" fontId="107" numFmtId="0" xfId="0" applyAlignment="1" applyBorder="1" applyFont="1">
      <alignment horizontal="center" vertical="center"/>
    </xf>
    <xf borderId="660" fillId="86" fontId="93" numFmtId="0" xfId="0" applyAlignment="1" applyBorder="1" applyFont="1">
      <alignment horizontal="center" vertical="center"/>
    </xf>
    <xf borderId="658" fillId="0" fontId="101" numFmtId="0" xfId="0" applyAlignment="1" applyBorder="1" applyFont="1">
      <alignment horizontal="center" vertical="center"/>
    </xf>
    <xf borderId="345" fillId="86" fontId="96" numFmtId="0" xfId="0" applyAlignment="1" applyBorder="1" applyFont="1">
      <alignment horizontal="right" readingOrder="0" vertical="center"/>
    </xf>
    <xf borderId="661" fillId="86" fontId="103" numFmtId="0" xfId="0" applyAlignment="1" applyBorder="1" applyFont="1">
      <alignment horizontal="center" readingOrder="0" vertical="center"/>
    </xf>
    <xf borderId="662" fillId="0" fontId="5" numFmtId="0" xfId="0" applyBorder="1" applyFont="1"/>
    <xf borderId="663" fillId="0" fontId="5" numFmtId="0" xfId="0" applyBorder="1" applyFont="1"/>
    <xf borderId="660" fillId="86" fontId="101" numFmtId="0" xfId="0" applyAlignment="1" applyBorder="1" applyFont="1">
      <alignment horizontal="center" vertical="center"/>
    </xf>
    <xf borderId="658" fillId="0" fontId="105" numFmtId="0" xfId="0" applyAlignment="1" applyBorder="1" applyFont="1">
      <alignment horizontal="center" vertical="center"/>
    </xf>
    <xf borderId="664" fillId="86" fontId="106" numFmtId="0" xfId="0" applyAlignment="1" applyBorder="1" applyFont="1">
      <alignment horizontal="center" readingOrder="0" vertical="top"/>
    </xf>
    <xf borderId="665" fillId="0" fontId="5" numFmtId="0" xfId="0" applyBorder="1" applyFont="1"/>
    <xf borderId="660" fillId="86" fontId="105" numFmtId="0" xfId="0" applyAlignment="1" applyBorder="1" applyFont="1">
      <alignment horizontal="center" vertical="center"/>
    </xf>
    <xf borderId="666" fillId="86" fontId="93" numFmtId="0" xfId="0" applyAlignment="1" applyBorder="1" applyFont="1">
      <alignment horizontal="center" vertical="center"/>
    </xf>
    <xf borderId="667" fillId="86" fontId="94" numFmtId="0" xfId="0" applyAlignment="1" applyBorder="1" applyFont="1">
      <alignment horizontal="center" vertical="center"/>
    </xf>
    <xf borderId="668" fillId="86" fontId="107" numFmtId="0" xfId="0" applyAlignment="1" applyBorder="1" applyFont="1">
      <alignment horizontal="center" vertical="center"/>
    </xf>
    <xf borderId="669" fillId="86" fontId="107" numFmtId="0" xfId="0" applyAlignment="1" applyBorder="1" applyFont="1">
      <alignment horizontal="right" vertical="top"/>
    </xf>
    <xf borderId="669" fillId="86" fontId="107" numFmtId="0" xfId="0" applyAlignment="1" applyBorder="1" applyFont="1">
      <alignment horizontal="left" vertical="top"/>
    </xf>
    <xf borderId="670" fillId="86" fontId="107" numFmtId="0" xfId="0" applyAlignment="1" applyBorder="1" applyFont="1">
      <alignment horizontal="center" vertical="top"/>
    </xf>
    <xf borderId="667" fillId="0" fontId="5" numFmtId="0" xfId="0" applyBorder="1" applyFont="1"/>
    <xf borderId="671" fillId="86" fontId="107" numFmtId="0" xfId="0" applyAlignment="1" applyBorder="1" applyFont="1">
      <alignment horizontal="center" vertical="center"/>
    </xf>
    <xf borderId="672" fillId="86" fontId="107" numFmtId="0" xfId="0" applyAlignment="1" applyBorder="1" applyFont="1">
      <alignment horizontal="center" vertical="top"/>
    </xf>
    <xf borderId="673" fillId="86" fontId="107" numFmtId="0" xfId="0" applyAlignment="1" applyBorder="1" applyFont="1">
      <alignment horizontal="center" vertical="top"/>
    </xf>
    <xf borderId="674" fillId="0" fontId="5" numFmtId="0" xfId="0" applyBorder="1" applyFont="1"/>
    <xf borderId="675" fillId="86" fontId="107" numFmtId="0" xfId="0" applyAlignment="1" applyBorder="1" applyFont="1">
      <alignment horizontal="center" readingOrder="0" vertical="center"/>
    </xf>
    <xf borderId="676" fillId="0" fontId="5" numFmtId="0" xfId="0" applyBorder="1" applyFont="1"/>
    <xf borderId="677" fillId="0" fontId="5" numFmtId="0" xfId="0" applyBorder="1" applyFont="1"/>
    <xf borderId="678" fillId="86" fontId="2" numFmtId="0" xfId="0" applyBorder="1" applyFont="1"/>
    <xf borderId="664" fillId="86" fontId="107" numFmtId="0" xfId="0" applyAlignment="1" applyBorder="1" applyFont="1">
      <alignment horizontal="center" readingOrder="0" vertical="center"/>
    </xf>
    <xf borderId="664" fillId="86" fontId="106" numFmtId="0" xfId="0" applyAlignment="1" applyBorder="1" applyFont="1">
      <alignment horizontal="center" readingOrder="0" vertical="center"/>
    </xf>
    <xf borderId="679" fillId="86" fontId="107" numFmtId="0" xfId="0" applyAlignment="1" applyBorder="1" applyFont="1">
      <alignment horizontal="center" readingOrder="0" vertical="center"/>
    </xf>
    <xf borderId="659" fillId="0" fontId="5" numFmtId="0" xfId="0" applyBorder="1" applyFont="1"/>
    <xf borderId="680" fillId="0" fontId="5" numFmtId="0" xfId="0" applyBorder="1" applyFont="1"/>
    <xf borderId="681" fillId="86" fontId="107" numFmtId="0" xfId="0" applyAlignment="1" applyBorder="1" applyFont="1">
      <alignment horizontal="center" readingOrder="0" vertical="center"/>
    </xf>
    <xf borderId="682" fillId="86" fontId="107" numFmtId="0" xfId="0" applyAlignment="1" applyBorder="1" applyFont="1">
      <alignment horizontal="center" readingOrder="0" vertical="center"/>
    </xf>
    <xf borderId="683" fillId="86" fontId="94" numFmtId="0" xfId="0" applyAlignment="1" applyBorder="1" applyFont="1">
      <alignment horizontal="center" vertical="center"/>
    </xf>
    <xf borderId="684" fillId="86" fontId="107" numFmtId="0" xfId="0" applyAlignment="1" applyBorder="1" applyFont="1">
      <alignment horizontal="center" readingOrder="0" vertical="center"/>
    </xf>
    <xf borderId="685" fillId="86" fontId="107" numFmtId="0" xfId="0" applyAlignment="1" applyBorder="1" applyFont="1">
      <alignment horizontal="center" readingOrder="0" vertical="center"/>
    </xf>
    <xf borderId="686" fillId="0" fontId="5" numFmtId="0" xfId="0" applyBorder="1" applyFont="1"/>
    <xf borderId="687" fillId="86" fontId="107" numFmtId="0" xfId="0" applyAlignment="1" applyBorder="1" applyFont="1">
      <alignment horizontal="center" readingOrder="0" vertical="center"/>
    </xf>
    <xf borderId="669" fillId="86" fontId="110" numFmtId="0" xfId="0" applyAlignment="1" applyBorder="1" applyFont="1">
      <alignment horizontal="center" vertical="center"/>
    </xf>
    <xf borderId="669" fillId="86" fontId="112" numFmtId="0" xfId="0" applyAlignment="1" applyBorder="1" applyFont="1">
      <alignment horizontal="center" vertical="center"/>
    </xf>
    <xf borderId="650" fillId="86" fontId="111" numFmtId="0" xfId="0" applyAlignment="1" applyBorder="1" applyFont="1">
      <alignment horizontal="center" vertical="center"/>
    </xf>
    <xf borderId="650" fillId="86" fontId="125" numFmtId="0" xfId="0" applyAlignment="1" applyBorder="1" applyFont="1">
      <alignment horizontal="center" vertical="center"/>
    </xf>
    <xf borderId="688" fillId="86" fontId="112" numFmtId="0" xfId="0" applyAlignment="1" applyBorder="1" applyFont="1">
      <alignment horizontal="center" vertical="center"/>
    </xf>
    <xf borderId="650" fillId="86" fontId="112" numFmtId="0" xfId="0" applyAlignment="1" applyBorder="1" applyFont="1">
      <alignment horizontal="center" vertical="center"/>
    </xf>
    <xf borderId="657" fillId="86" fontId="93" numFmtId="0" xfId="0" applyAlignment="1" applyBorder="1" applyFont="1">
      <alignment horizontal="center" vertical="center"/>
    </xf>
    <xf borderId="653" fillId="86" fontId="113" numFmtId="0" xfId="0" applyAlignment="1" applyBorder="1" applyFont="1">
      <alignment horizontal="center" vertical="center"/>
    </xf>
    <xf borderId="655" fillId="86" fontId="114" numFmtId="0" xfId="0" applyAlignment="1" applyBorder="1" applyFont="1">
      <alignment horizontal="center" vertical="center"/>
    </xf>
    <xf borderId="378" fillId="87" fontId="115" numFmtId="0" xfId="0" applyAlignment="1" applyBorder="1" applyFont="1">
      <alignment horizontal="center" readingOrder="0" vertical="top"/>
    </xf>
    <xf borderId="655" fillId="86" fontId="116" numFmtId="0" xfId="0" applyAlignment="1" applyBorder="1" applyFont="1">
      <alignment horizontal="center" vertical="center"/>
    </xf>
    <xf borderId="660" fillId="86" fontId="113" numFmtId="0" xfId="0" applyAlignment="1" applyBorder="1" applyFont="1">
      <alignment horizontal="center" vertical="center"/>
    </xf>
    <xf borderId="689" fillId="87" fontId="115" numFmtId="0" xfId="0" applyAlignment="1" applyBorder="1" applyFont="1">
      <alignment horizontal="center" readingOrder="0" vertical="center"/>
    </xf>
    <xf borderId="690" fillId="87" fontId="115" numFmtId="0" xfId="0" applyAlignment="1" applyBorder="1" applyFont="1">
      <alignment horizontal="center" readingOrder="0" vertical="center"/>
    </xf>
    <xf borderId="691" fillId="87" fontId="115" numFmtId="0" xfId="0" applyAlignment="1" applyBorder="1" applyFont="1">
      <alignment horizontal="left" readingOrder="0" vertical="center"/>
    </xf>
    <xf borderId="692" fillId="0" fontId="5" numFmtId="0" xfId="0" applyBorder="1" applyFont="1"/>
    <xf borderId="655" fillId="86" fontId="116" numFmtId="0" xfId="0" applyAlignment="1" applyBorder="1" applyFont="1">
      <alignment horizontal="center" vertical="center"/>
    </xf>
    <xf borderId="660" fillId="86" fontId="113" numFmtId="0" xfId="0" applyAlignment="1" applyBorder="1" applyFont="1">
      <alignment horizontal="center" vertical="center"/>
    </xf>
    <xf borderId="693" fillId="87" fontId="115" numFmtId="0" xfId="0" applyAlignment="1" applyBorder="1" applyFont="1">
      <alignment horizontal="center" readingOrder="0" vertical="center"/>
    </xf>
    <xf borderId="694" fillId="87" fontId="115" numFmtId="0" xfId="0" applyAlignment="1" applyBorder="1" applyFont="1">
      <alignment horizontal="center" readingOrder="0" vertical="center"/>
    </xf>
    <xf borderId="695" fillId="87" fontId="115" numFmtId="0" xfId="0" applyAlignment="1" applyBorder="1" applyFont="1">
      <alignment horizontal="left" readingOrder="0" vertical="center"/>
    </xf>
    <xf borderId="696" fillId="0" fontId="5" numFmtId="0" xfId="0" applyBorder="1" applyFont="1"/>
    <xf borderId="697" fillId="87" fontId="115" numFmtId="0" xfId="0" applyAlignment="1" applyBorder="1" applyFont="1">
      <alignment horizontal="center" readingOrder="0" vertical="center"/>
    </xf>
    <xf borderId="698" fillId="87" fontId="115" numFmtId="0" xfId="0" applyAlignment="1" applyBorder="1" applyFont="1">
      <alignment horizontal="center" readingOrder="0" vertical="center"/>
    </xf>
    <xf borderId="699" fillId="87" fontId="115" numFmtId="0" xfId="0" applyAlignment="1" applyBorder="1" applyFont="1">
      <alignment horizontal="left" readingOrder="0" vertical="center"/>
    </xf>
    <xf borderId="700" fillId="0" fontId="5" numFmtId="0" xfId="0" applyBorder="1" applyFont="1"/>
    <xf borderId="400" fillId="87" fontId="115" numFmtId="0" xfId="0" applyAlignment="1" applyBorder="1" applyFont="1">
      <alignment horizontal="right" readingOrder="0" vertical="center"/>
    </xf>
    <xf borderId="654" fillId="86" fontId="114" numFmtId="0" xfId="0" applyAlignment="1" applyBorder="1" applyFont="1">
      <alignment horizontal="center" vertical="center"/>
    </xf>
    <xf borderId="405" fillId="87" fontId="115" numFmtId="0" xfId="0" applyAlignment="1" applyBorder="1" applyFont="1">
      <alignment horizontal="right" readingOrder="0" vertical="center"/>
    </xf>
    <xf borderId="654" fillId="86" fontId="116" numFmtId="0" xfId="0" applyAlignment="1" applyBorder="1" applyFont="1">
      <alignment horizontal="center" vertical="center"/>
    </xf>
    <xf borderId="701" fillId="86" fontId="93" numFmtId="0" xfId="0" applyAlignment="1" applyBorder="1" applyFont="1">
      <alignment horizontal="center" vertical="center"/>
    </xf>
    <xf borderId="702" fillId="86" fontId="117" numFmtId="0" xfId="0" applyAlignment="1" applyBorder="1" applyFont="1">
      <alignment horizontal="center" readingOrder="0" vertical="center"/>
    </xf>
    <xf borderId="702" fillId="86" fontId="118" numFmtId="0" xfId="0" applyAlignment="1" applyBorder="1" applyFont="1">
      <alignment horizontal="center" readingOrder="0" vertical="center"/>
    </xf>
    <xf borderId="703" fillId="86" fontId="118" numFmtId="0" xfId="0" applyAlignment="1" applyBorder="1" applyFont="1">
      <alignment horizontal="center" readingOrder="0" vertical="center"/>
    </xf>
    <xf borderId="704" fillId="86" fontId="93" numFmtId="0" xfId="0" applyAlignment="1" applyBorder="1" applyFont="1">
      <alignment horizontal="center" vertical="center"/>
    </xf>
    <xf borderId="705" fillId="88" fontId="93" numFmtId="0" xfId="0" applyAlignment="1" applyBorder="1" applyFill="1" applyFont="1">
      <alignment horizontal="center" vertical="center"/>
    </xf>
    <xf borderId="706" fillId="88" fontId="117" numFmtId="0" xfId="0" applyAlignment="1" applyBorder="1" applyFont="1">
      <alignment horizontal="center" readingOrder="0" vertical="center"/>
    </xf>
    <xf borderId="706" fillId="88" fontId="118" numFmtId="0" xfId="0" applyAlignment="1" applyBorder="1" applyFont="1">
      <alignment horizontal="center" readingOrder="0" vertical="center"/>
    </xf>
    <xf borderId="707" fillId="88" fontId="93" numFmtId="0" xfId="0" applyAlignment="1" applyBorder="1" applyFont="1">
      <alignment horizontal="center" vertical="center"/>
    </xf>
    <xf borderId="708" fillId="88" fontId="93" numFmtId="0" xfId="0" applyAlignment="1" applyBorder="1" applyFont="1">
      <alignment horizontal="center" vertical="center"/>
    </xf>
    <xf borderId="709" fillId="88" fontId="94" numFmtId="0" xfId="0" applyAlignment="1" applyBorder="1" applyFont="1">
      <alignment horizontal="center" vertical="center"/>
    </xf>
    <xf borderId="710" fillId="88" fontId="93" numFmtId="0" xfId="0" applyAlignment="1" applyBorder="1" applyFont="1">
      <alignment horizontal="center" vertical="center"/>
    </xf>
    <xf borderId="711" fillId="88" fontId="137" numFmtId="0" xfId="0" applyAlignment="1" applyBorder="1" applyFont="1">
      <alignment horizontal="left" readingOrder="0" vertical="center"/>
    </xf>
    <xf borderId="712" fillId="0" fontId="5" numFmtId="0" xfId="0" applyBorder="1" applyFont="1"/>
    <xf borderId="713" fillId="0" fontId="5" numFmtId="0" xfId="0" applyBorder="1" applyFont="1"/>
    <xf borderId="714" fillId="88" fontId="93" numFmtId="0" xfId="0" applyAlignment="1" applyBorder="1" applyFont="1">
      <alignment horizontal="center" vertical="center"/>
    </xf>
    <xf borderId="715" fillId="88" fontId="93" numFmtId="0" xfId="0" applyAlignment="1" applyBorder="1" applyFont="1">
      <alignment horizontal="center" vertical="center"/>
    </xf>
    <xf borderId="424" fillId="4" fontId="94" numFmtId="0" xfId="0" applyAlignment="1" applyBorder="1" applyFont="1">
      <alignment horizontal="center" vertical="center"/>
    </xf>
    <xf borderId="716" fillId="88" fontId="98" numFmtId="0" xfId="0" applyAlignment="1" applyBorder="1" applyFont="1">
      <alignment horizontal="center" vertical="center"/>
    </xf>
    <xf borderId="341" fillId="4" fontId="106" numFmtId="0" xfId="0" applyAlignment="1" applyBorder="1" applyFont="1">
      <alignment horizontal="center" vertical="center"/>
    </xf>
    <xf borderId="712" fillId="88" fontId="107" numFmtId="0" xfId="0" applyAlignment="1" applyBorder="1" applyFont="1">
      <alignment horizontal="center" vertical="center"/>
    </xf>
    <xf borderId="717" fillId="88" fontId="93" numFmtId="0" xfId="0" applyAlignment="1" applyBorder="1" applyFont="1">
      <alignment horizontal="center" vertical="center"/>
    </xf>
    <xf borderId="715" fillId="88" fontId="101" numFmtId="0" xfId="0" applyAlignment="1" applyBorder="1" applyFont="1">
      <alignment horizontal="center" vertical="center"/>
    </xf>
    <xf borderId="345" fillId="88" fontId="96" numFmtId="0" xfId="0" applyAlignment="1" applyBorder="1" applyFont="1">
      <alignment horizontal="right" readingOrder="0" vertical="center"/>
    </xf>
    <xf borderId="716" fillId="88" fontId="101" numFmtId="0" xfId="0" applyAlignment="1" applyBorder="1" applyFont="1">
      <alignment horizontal="center" readingOrder="0" vertical="center"/>
    </xf>
    <xf borderId="718" fillId="88" fontId="103" numFmtId="0" xfId="0" applyAlignment="1" applyBorder="1" applyFont="1">
      <alignment horizontal="center" readingOrder="0" vertical="center"/>
    </xf>
    <xf borderId="719" fillId="0" fontId="5" numFmtId="0" xfId="0" applyBorder="1" applyFont="1"/>
    <xf borderId="720" fillId="0" fontId="5" numFmtId="0" xfId="0" applyBorder="1" applyFont="1"/>
    <xf borderId="717" fillId="88" fontId="101" numFmtId="0" xfId="0" applyAlignment="1" applyBorder="1" applyFont="1">
      <alignment horizontal="center" vertical="center"/>
    </xf>
    <xf borderId="715" fillId="88" fontId="95" numFmtId="0" xfId="0" applyAlignment="1" applyBorder="1" applyFont="1">
      <alignment horizontal="center" vertical="center"/>
    </xf>
    <xf borderId="716" fillId="88" fontId="95" numFmtId="0" xfId="0" applyAlignment="1" applyBorder="1" applyFont="1">
      <alignment horizontal="center" readingOrder="0" vertical="center"/>
    </xf>
    <xf borderId="721" fillId="88" fontId="106" numFmtId="0" xfId="0" applyAlignment="1" applyBorder="1" applyFont="1">
      <alignment horizontal="center" readingOrder="0" vertical="top"/>
    </xf>
    <xf borderId="716" fillId="0" fontId="5" numFmtId="0" xfId="0" applyBorder="1" applyFont="1"/>
    <xf borderId="722" fillId="0" fontId="5" numFmtId="0" xfId="0" applyBorder="1" applyFont="1"/>
    <xf borderId="717" fillId="88" fontId="95" numFmtId="0" xfId="0" applyAlignment="1" applyBorder="1" applyFont="1">
      <alignment horizontal="center" vertical="center"/>
    </xf>
    <xf borderId="723" fillId="88" fontId="94" numFmtId="0" xfId="0" applyAlignment="1" applyBorder="1" applyFont="1">
      <alignment horizontal="center" vertical="center"/>
    </xf>
    <xf borderId="724" fillId="88" fontId="93" numFmtId="0" xfId="0" applyAlignment="1" applyBorder="1" applyFont="1">
      <alignment horizontal="center" vertical="center"/>
    </xf>
    <xf borderId="725" fillId="88" fontId="107" numFmtId="0" xfId="0" applyAlignment="1" applyBorder="1" applyFont="1">
      <alignment horizontal="center" vertical="center"/>
    </xf>
    <xf borderId="710" fillId="88" fontId="107" numFmtId="0" xfId="0" applyAlignment="1" applyBorder="1" applyFont="1">
      <alignment horizontal="right" vertical="top"/>
    </xf>
    <xf borderId="710" fillId="88" fontId="107" numFmtId="0" xfId="0" applyAlignment="1" applyBorder="1" applyFont="1">
      <alignment horizontal="left" vertical="top"/>
    </xf>
    <xf borderId="726" fillId="88" fontId="107" numFmtId="0" xfId="0" applyAlignment="1" applyBorder="1" applyFont="1">
      <alignment horizontal="center" vertical="top"/>
    </xf>
    <xf borderId="723" fillId="0" fontId="5" numFmtId="0" xfId="0" applyBorder="1" applyFont="1"/>
    <xf borderId="727" fillId="88" fontId="107" numFmtId="0" xfId="0" applyAlignment="1" applyBorder="1" applyFont="1">
      <alignment horizontal="center" vertical="center"/>
    </xf>
    <xf borderId="728" fillId="88" fontId="107" numFmtId="0" xfId="0" applyAlignment="1" applyBorder="1" applyFont="1">
      <alignment horizontal="center" vertical="top"/>
    </xf>
    <xf borderId="729" fillId="88" fontId="107" numFmtId="0" xfId="0" applyAlignment="1" applyBorder="1" applyFont="1">
      <alignment horizontal="center" vertical="top"/>
    </xf>
    <xf borderId="706" fillId="0" fontId="5" numFmtId="0" xfId="0" applyBorder="1" applyFont="1"/>
    <xf borderId="730" fillId="88" fontId="107" numFmtId="0" xfId="0" applyAlignment="1" applyBorder="1" applyFont="1">
      <alignment horizontal="center" readingOrder="0" vertical="center"/>
    </xf>
    <xf borderId="731" fillId="0" fontId="5" numFmtId="0" xfId="0" applyBorder="1" applyFont="1"/>
    <xf borderId="732" fillId="0" fontId="5" numFmtId="0" xfId="0" applyBorder="1" applyFont="1"/>
    <xf borderId="733" fillId="88" fontId="2" numFmtId="0" xfId="0" applyBorder="1" applyFont="1"/>
    <xf borderId="721" fillId="88" fontId="107" numFmtId="0" xfId="0" applyAlignment="1" applyBorder="1" applyFont="1">
      <alignment horizontal="center" readingOrder="0" vertical="center"/>
    </xf>
    <xf borderId="734" fillId="88" fontId="107" numFmtId="0" xfId="0" applyAlignment="1" applyBorder="1" applyFont="1">
      <alignment horizontal="center" readingOrder="0" vertical="center"/>
    </xf>
    <xf borderId="735" fillId="88" fontId="107" numFmtId="0" xfId="0" applyAlignment="1" applyBorder="1" applyFont="1">
      <alignment horizontal="center" readingOrder="0" vertical="center"/>
    </xf>
    <xf borderId="736" fillId="88" fontId="107" numFmtId="0" xfId="0" applyAlignment="1" applyBorder="1" applyFont="1">
      <alignment horizontal="center" readingOrder="0" vertical="center"/>
    </xf>
    <xf borderId="710" fillId="88" fontId="94" numFmtId="0" xfId="0" applyAlignment="1" applyBorder="1" applyFont="1">
      <alignment horizontal="center" vertical="center"/>
    </xf>
    <xf borderId="726" fillId="88" fontId="107" numFmtId="0" xfId="0" applyAlignment="1" applyBorder="1" applyFont="1">
      <alignment horizontal="center" readingOrder="0" vertical="center"/>
    </xf>
    <xf borderId="737" fillId="88" fontId="107" numFmtId="0" xfId="0" applyAlignment="1" applyBorder="1" applyFont="1">
      <alignment horizontal="center" readingOrder="0" vertical="center"/>
    </xf>
    <xf borderId="738" fillId="0" fontId="5" numFmtId="0" xfId="0" applyBorder="1" applyFont="1"/>
    <xf borderId="739" fillId="88" fontId="107" numFmtId="0" xfId="0" applyAlignment="1" applyBorder="1" applyFont="1">
      <alignment horizontal="center" readingOrder="0" vertical="center"/>
    </xf>
    <xf borderId="710" fillId="88" fontId="110" numFmtId="0" xfId="0" applyAlignment="1" applyBorder="1" applyFont="1">
      <alignment horizontal="center" vertical="center"/>
    </xf>
    <xf borderId="740" fillId="88" fontId="111" numFmtId="0" xfId="0" applyAlignment="1" applyBorder="1" applyFont="1">
      <alignment horizontal="center" vertical="center"/>
    </xf>
    <xf borderId="741" fillId="0" fontId="111" numFmtId="0" xfId="0" applyAlignment="1" applyBorder="1" applyFont="1">
      <alignment horizontal="center" vertical="center"/>
    </xf>
    <xf borderId="742" fillId="88" fontId="111" numFmtId="0" xfId="0" applyAlignment="1" applyBorder="1" applyFont="1">
      <alignment horizontal="center" vertical="center"/>
    </xf>
    <xf borderId="743" fillId="0" fontId="125" numFmtId="0" xfId="0" applyAlignment="1" applyBorder="1" applyFont="1">
      <alignment horizontal="center" vertical="center"/>
    </xf>
    <xf borderId="744" fillId="0" fontId="112" numFmtId="0" xfId="0" applyAlignment="1" applyBorder="1" applyFont="1">
      <alignment horizontal="center" vertical="center"/>
    </xf>
    <xf borderId="741" fillId="0" fontId="112" numFmtId="0" xfId="0" applyAlignment="1" applyBorder="1" applyFont="1">
      <alignment horizontal="center" vertical="center"/>
    </xf>
    <xf borderId="708" fillId="88" fontId="113" numFmtId="0" xfId="0" applyAlignment="1" applyBorder="1" applyFont="1">
      <alignment horizontal="center" vertical="center"/>
    </xf>
    <xf borderId="724" fillId="88" fontId="114" numFmtId="0" xfId="0" applyAlignment="1" applyBorder="1" applyFont="1">
      <alignment horizontal="center" vertical="center"/>
    </xf>
    <xf borderId="378" fillId="4" fontId="138" numFmtId="0" xfId="0" applyAlignment="1" applyBorder="1" applyFont="1">
      <alignment horizontal="center" readingOrder="0" vertical="top"/>
    </xf>
    <xf borderId="716" fillId="88" fontId="139" numFmtId="0" xfId="0" applyAlignment="1" applyBorder="1" applyFont="1">
      <alignment horizontal="center" vertical="center"/>
    </xf>
    <xf borderId="717" fillId="88" fontId="113" numFmtId="0" xfId="0" applyAlignment="1" applyBorder="1" applyFont="1">
      <alignment horizontal="center" vertical="center"/>
    </xf>
    <xf borderId="745" fillId="4" fontId="138" numFmtId="0" xfId="0" applyAlignment="1" applyBorder="1" applyFont="1">
      <alignment horizontal="center" readingOrder="0" vertical="center"/>
    </xf>
    <xf borderId="746" fillId="4" fontId="138" numFmtId="0" xfId="0" applyAlignment="1" applyBorder="1" applyFont="1">
      <alignment horizontal="center" readingOrder="0" vertical="center"/>
    </xf>
    <xf borderId="747" fillId="4" fontId="138" numFmtId="0" xfId="0" applyAlignment="1" applyBorder="1" applyFont="1">
      <alignment horizontal="left" readingOrder="0" vertical="center"/>
    </xf>
    <xf borderId="748" fillId="0" fontId="5" numFmtId="0" xfId="0" applyBorder="1" applyFont="1"/>
    <xf borderId="716" fillId="88" fontId="139" numFmtId="0" xfId="0" applyAlignment="1" applyBorder="1" applyFont="1">
      <alignment horizontal="center" vertical="center"/>
    </xf>
    <xf borderId="717" fillId="88" fontId="113" numFmtId="0" xfId="0" applyAlignment="1" applyBorder="1" applyFont="1">
      <alignment horizontal="center" vertical="center"/>
    </xf>
    <xf borderId="749" fillId="4" fontId="138" numFmtId="0" xfId="0" applyAlignment="1" applyBorder="1" applyFont="1">
      <alignment horizontal="center" readingOrder="0" vertical="center"/>
    </xf>
    <xf borderId="750" fillId="4" fontId="138" numFmtId="0" xfId="0" applyAlignment="1" applyBorder="1" applyFont="1">
      <alignment horizontal="center" readingOrder="0" vertical="center"/>
    </xf>
    <xf borderId="751" fillId="4" fontId="138" numFmtId="0" xfId="0" applyAlignment="1" applyBorder="1" applyFont="1">
      <alignment horizontal="left" readingOrder="0" vertical="center"/>
    </xf>
    <xf borderId="752" fillId="0" fontId="5" numFmtId="0" xfId="0" applyBorder="1" applyFont="1"/>
    <xf borderId="753" fillId="4" fontId="138" numFmtId="0" xfId="0" applyAlignment="1" applyBorder="1" applyFont="1">
      <alignment horizontal="center" readingOrder="0" vertical="center"/>
    </xf>
    <xf borderId="754" fillId="4" fontId="138" numFmtId="0" xfId="0" applyAlignment="1" applyBorder="1" applyFont="1">
      <alignment horizontal="center" readingOrder="0" vertical="center"/>
    </xf>
    <xf borderId="755" fillId="4" fontId="138" numFmtId="0" xfId="0" applyAlignment="1" applyBorder="1" applyFont="1">
      <alignment horizontal="left" readingOrder="0" vertical="center"/>
    </xf>
    <xf borderId="756" fillId="0" fontId="5" numFmtId="0" xfId="0" applyBorder="1" applyFont="1"/>
    <xf borderId="395" fillId="4" fontId="138" numFmtId="0" xfId="0" applyAlignment="1" applyBorder="1" applyFont="1">
      <alignment horizontal="right" readingOrder="0" vertical="center"/>
    </xf>
    <xf borderId="400" fillId="4" fontId="138" numFmtId="0" xfId="0" applyAlignment="1" applyBorder="1" applyFont="1">
      <alignment horizontal="right" readingOrder="0" vertical="center"/>
    </xf>
    <xf borderId="710" fillId="88" fontId="140" numFmtId="0" xfId="0" applyAlignment="1" applyBorder="1" applyFont="1">
      <alignment horizontal="center" vertical="center"/>
    </xf>
    <xf borderId="706" fillId="88" fontId="140" numFmtId="0" xfId="0" applyAlignment="1" applyBorder="1" applyFont="1">
      <alignment horizontal="center" vertical="center"/>
    </xf>
    <xf borderId="405" fillId="4" fontId="138" numFmtId="0" xfId="0" applyAlignment="1" applyBorder="1" applyFont="1">
      <alignment horizontal="right" readingOrder="0" vertical="center"/>
    </xf>
    <xf borderId="408" fillId="4" fontId="138" numFmtId="0" xfId="0" applyAlignment="1" applyBorder="1" applyFont="1">
      <alignment horizontal="center" readingOrder="0" vertical="center"/>
    </xf>
    <xf borderId="757" fillId="88" fontId="93" numFmtId="0" xfId="0" applyAlignment="1" applyBorder="1" applyFont="1">
      <alignment horizontal="center" vertical="center"/>
    </xf>
    <xf borderId="758" fillId="88" fontId="117" numFmtId="0" xfId="0" applyAlignment="1" applyBorder="1" applyFont="1">
      <alignment horizontal="center" readingOrder="0" vertical="center"/>
    </xf>
    <xf borderId="758" fillId="88" fontId="118" numFmtId="0" xfId="0" applyAlignment="1" applyBorder="1" applyFont="1">
      <alignment horizontal="center" readingOrder="0" vertical="center"/>
    </xf>
    <xf borderId="759" fillId="88" fontId="118" numFmtId="0" xfId="0" applyAlignment="1" applyBorder="1" applyFont="1">
      <alignment horizontal="center" readingOrder="0" vertical="center"/>
    </xf>
    <xf borderId="760" fillId="88" fontId="93" numFmtId="0" xfId="0" applyAlignment="1" applyBorder="1" applyFont="1">
      <alignment horizontal="center" vertical="center"/>
    </xf>
    <xf borderId="761" fillId="89" fontId="93" numFmtId="0" xfId="0" applyAlignment="1" applyBorder="1" applyFill="1" applyFont="1">
      <alignment horizontal="center" vertical="center"/>
    </xf>
    <xf borderId="762" fillId="89" fontId="117" numFmtId="0" xfId="0" applyAlignment="1" applyBorder="1" applyFont="1">
      <alignment horizontal="center" readingOrder="0" vertical="center"/>
    </xf>
    <xf borderId="763" fillId="89" fontId="118" numFmtId="0" xfId="0" applyAlignment="1" applyBorder="1" applyFont="1">
      <alignment horizontal="center" readingOrder="0" vertical="center"/>
    </xf>
    <xf borderId="762" fillId="89" fontId="118" numFmtId="0" xfId="0" applyAlignment="1" applyBorder="1" applyFont="1">
      <alignment horizontal="center" readingOrder="0" vertical="center"/>
    </xf>
    <xf borderId="764" fillId="89" fontId="93" numFmtId="0" xfId="0" applyAlignment="1" applyBorder="1" applyFont="1">
      <alignment horizontal="center" vertical="center"/>
    </xf>
    <xf borderId="765" fillId="89" fontId="113" numFmtId="0" xfId="0" applyAlignment="1" applyBorder="1" applyFont="1">
      <alignment horizontal="center" vertical="center"/>
    </xf>
    <xf borderId="766" fillId="89" fontId="110" numFmtId="0" xfId="0" applyAlignment="1" applyBorder="1" applyFont="1">
      <alignment horizontal="center" vertical="center"/>
    </xf>
    <xf borderId="767" fillId="89" fontId="141" numFmtId="0" xfId="0" applyAlignment="1" applyBorder="1" applyFont="1">
      <alignment horizontal="left" readingOrder="0" vertical="center"/>
    </xf>
    <xf borderId="768" fillId="0" fontId="5" numFmtId="0" xfId="0" applyBorder="1" applyFont="1"/>
    <xf borderId="769" fillId="0" fontId="5" numFmtId="0" xfId="0" applyBorder="1" applyFont="1"/>
    <xf borderId="770" fillId="89" fontId="93" numFmtId="0" xfId="0" applyAlignment="1" applyBorder="1" applyFont="1">
      <alignment horizontal="center" vertical="center"/>
    </xf>
    <xf borderId="771" fillId="89" fontId="93" numFmtId="0" xfId="0" applyAlignment="1" applyBorder="1" applyFont="1">
      <alignment horizontal="center" vertical="center"/>
    </xf>
    <xf borderId="424" fillId="71" fontId="94" numFmtId="0" xfId="0" applyAlignment="1" applyBorder="1" applyFont="1">
      <alignment horizontal="center" vertical="center"/>
    </xf>
    <xf borderId="768" fillId="89" fontId="98" numFmtId="0" xfId="0" applyAlignment="1" applyBorder="1" applyFont="1">
      <alignment horizontal="center" vertical="center"/>
    </xf>
    <xf borderId="341" fillId="71" fontId="106" numFmtId="0" xfId="0" applyAlignment="1" applyBorder="1" applyFont="1">
      <alignment horizontal="center" vertical="center"/>
    </xf>
    <xf borderId="772" fillId="89" fontId="107" numFmtId="0" xfId="0" applyAlignment="1" applyBorder="1" applyFont="1">
      <alignment horizontal="center" vertical="center"/>
    </xf>
    <xf borderId="773" fillId="89" fontId="93" numFmtId="0" xfId="0" applyAlignment="1" applyBorder="1" applyFont="1">
      <alignment horizontal="center" vertical="center"/>
    </xf>
    <xf borderId="771" fillId="89" fontId="101" numFmtId="0" xfId="0" applyAlignment="1" applyBorder="1" applyFont="1">
      <alignment horizontal="center" vertical="center"/>
    </xf>
    <xf borderId="345" fillId="89" fontId="96" numFmtId="0" xfId="0" applyAlignment="1" applyBorder="1" applyFont="1">
      <alignment horizontal="right" readingOrder="0" vertical="center"/>
    </xf>
    <xf borderId="768" fillId="89" fontId="101" numFmtId="0" xfId="0" applyAlignment="1" applyBorder="1" applyFont="1">
      <alignment horizontal="center" readingOrder="0" vertical="center"/>
    </xf>
    <xf borderId="774" fillId="89" fontId="103" numFmtId="0" xfId="0" applyAlignment="1" applyBorder="1" applyFont="1">
      <alignment horizontal="center" readingOrder="0" vertical="center"/>
    </xf>
    <xf borderId="775" fillId="0" fontId="5" numFmtId="0" xfId="0" applyBorder="1" applyFont="1"/>
    <xf borderId="776" fillId="0" fontId="5" numFmtId="0" xfId="0" applyBorder="1" applyFont="1"/>
    <xf borderId="773" fillId="89" fontId="101" numFmtId="0" xfId="0" applyAlignment="1" applyBorder="1" applyFont="1">
      <alignment horizontal="center" vertical="center"/>
    </xf>
    <xf borderId="771" fillId="89" fontId="124" numFmtId="0" xfId="0" applyAlignment="1" applyBorder="1" applyFont="1">
      <alignment horizontal="center" vertical="center"/>
    </xf>
    <xf borderId="768" fillId="89" fontId="124" numFmtId="0" xfId="0" applyAlignment="1" applyBorder="1" applyFont="1">
      <alignment horizontal="center" readingOrder="0" vertical="center"/>
    </xf>
    <xf borderId="777" fillId="89" fontId="106" numFmtId="0" xfId="0" applyAlignment="1" applyBorder="1" applyFont="1">
      <alignment horizontal="center" readingOrder="0" vertical="top"/>
    </xf>
    <xf borderId="778" fillId="0" fontId="5" numFmtId="0" xfId="0" applyBorder="1" applyFont="1"/>
    <xf borderId="773" fillId="89" fontId="124" numFmtId="0" xfId="0" applyAlignment="1" applyBorder="1" applyFont="1">
      <alignment horizontal="center" vertical="center"/>
    </xf>
    <xf borderId="330" fillId="78" fontId="98" numFmtId="0" xfId="0" applyAlignment="1" applyBorder="1" applyFont="1">
      <alignment horizontal="center" vertical="center"/>
    </xf>
    <xf borderId="765" fillId="89" fontId="93" numFmtId="0" xfId="0" applyAlignment="1" applyBorder="1" applyFont="1">
      <alignment horizontal="center" vertical="center"/>
    </xf>
    <xf borderId="762" fillId="89" fontId="94" numFmtId="0" xfId="0" applyAlignment="1" applyBorder="1" applyFont="1">
      <alignment horizontal="center" vertical="center"/>
    </xf>
    <xf borderId="767" fillId="89" fontId="93" numFmtId="0" xfId="0" applyAlignment="1" applyBorder="1" applyFont="1">
      <alignment horizontal="center" vertical="center"/>
    </xf>
    <xf borderId="779" fillId="89" fontId="107" numFmtId="0" xfId="0" applyAlignment="1" applyBorder="1" applyFont="1">
      <alignment horizontal="center" vertical="center"/>
    </xf>
    <xf borderId="780" fillId="89" fontId="107" numFmtId="0" xfId="0" applyAlignment="1" applyBorder="1" applyFont="1">
      <alignment horizontal="right" vertical="top"/>
    </xf>
    <xf borderId="780" fillId="89" fontId="107" numFmtId="0" xfId="0" applyAlignment="1" applyBorder="1" applyFont="1">
      <alignment horizontal="left" vertical="top"/>
    </xf>
    <xf borderId="781" fillId="89" fontId="107" numFmtId="0" xfId="0" applyAlignment="1" applyBorder="1" applyFont="1">
      <alignment horizontal="center" vertical="top"/>
    </xf>
    <xf borderId="762" fillId="0" fontId="5" numFmtId="0" xfId="0" applyBorder="1" applyFont="1"/>
    <xf borderId="782" fillId="89" fontId="107" numFmtId="0" xfId="0" applyAlignment="1" applyBorder="1" applyFont="1">
      <alignment horizontal="center" vertical="center"/>
    </xf>
    <xf borderId="783" fillId="89" fontId="107" numFmtId="0" xfId="0" applyAlignment="1" applyBorder="1" applyFont="1">
      <alignment horizontal="center" vertical="top"/>
    </xf>
    <xf borderId="784" fillId="89" fontId="107" numFmtId="0" xfId="0" applyAlignment="1" applyBorder="1" applyFont="1">
      <alignment horizontal="center" vertical="top"/>
    </xf>
    <xf borderId="763" fillId="0" fontId="5" numFmtId="0" xfId="0" applyBorder="1" applyFont="1"/>
    <xf borderId="785" fillId="89" fontId="107" numFmtId="0" xfId="0" applyAlignment="1" applyBorder="1" applyFont="1">
      <alignment horizontal="center" readingOrder="0" vertical="center"/>
    </xf>
    <xf borderId="786" fillId="0" fontId="5" numFmtId="0" xfId="0" applyBorder="1" applyFont="1"/>
    <xf borderId="787" fillId="0" fontId="5" numFmtId="0" xfId="0" applyBorder="1" applyFont="1"/>
    <xf borderId="788" fillId="89" fontId="2" numFmtId="0" xfId="0" applyBorder="1" applyFont="1"/>
    <xf borderId="777" fillId="89" fontId="107" numFmtId="0" xfId="0" applyAlignment="1" applyBorder="1" applyFont="1">
      <alignment horizontal="center" readingOrder="0" vertical="center"/>
    </xf>
    <xf borderId="789" fillId="89" fontId="107" numFmtId="0" xfId="0" applyAlignment="1" applyBorder="1" applyFont="1">
      <alignment horizontal="center" readingOrder="0" vertical="center"/>
    </xf>
    <xf borderId="772" fillId="0" fontId="5" numFmtId="0" xfId="0" applyBorder="1" applyFont="1"/>
    <xf borderId="790" fillId="0" fontId="5" numFmtId="0" xfId="0" applyBorder="1" applyFont="1"/>
    <xf borderId="791" fillId="89" fontId="107" numFmtId="0" xfId="0" applyAlignment="1" applyBorder="1" applyFont="1">
      <alignment horizontal="center" readingOrder="0" vertical="center"/>
    </xf>
    <xf borderId="789" fillId="89" fontId="123" numFmtId="0" xfId="0" applyAlignment="1" applyBorder="1" applyFont="1">
      <alignment horizontal="center" readingOrder="0" vertical="center"/>
    </xf>
    <xf borderId="792" fillId="89" fontId="107" numFmtId="0" xfId="0" applyAlignment="1" applyBorder="1" applyFont="1">
      <alignment horizontal="center" readingOrder="0" vertical="center"/>
    </xf>
    <xf borderId="766" fillId="89" fontId="94" numFmtId="0" xfId="0" applyAlignment="1" applyBorder="1" applyFont="1">
      <alignment horizontal="center" vertical="center"/>
    </xf>
    <xf borderId="793" fillId="89" fontId="107" numFmtId="0" xfId="0" applyAlignment="1" applyBorder="1" applyFont="1">
      <alignment horizontal="center" readingOrder="0" vertical="center"/>
    </xf>
    <xf borderId="794" fillId="89" fontId="107" numFmtId="0" xfId="0" applyAlignment="1" applyBorder="1" applyFont="1">
      <alignment horizontal="center" readingOrder="0" vertical="center"/>
    </xf>
    <xf borderId="795" fillId="0" fontId="5" numFmtId="0" xfId="0" applyBorder="1" applyFont="1"/>
    <xf borderId="796" fillId="89" fontId="107" numFmtId="0" xfId="0" applyAlignment="1" applyBorder="1" applyFont="1">
      <alignment horizontal="center" readingOrder="0" vertical="center"/>
    </xf>
    <xf borderId="766" fillId="89" fontId="111" numFmtId="0" xfId="0" applyAlignment="1" applyBorder="1" applyFont="1">
      <alignment horizontal="center" vertical="center"/>
    </xf>
    <xf borderId="762" fillId="89" fontId="111" numFmtId="0" xfId="0" applyAlignment="1" applyBorder="1" applyFont="1">
      <alignment horizontal="center" vertical="center"/>
    </xf>
    <xf borderId="762" fillId="89" fontId="125" numFmtId="0" xfId="0" applyAlignment="1" applyBorder="1" applyFont="1">
      <alignment horizontal="center" vertical="center"/>
    </xf>
    <xf borderId="797" fillId="89" fontId="112" numFmtId="0" xfId="0" applyAlignment="1" applyBorder="1" applyFont="1">
      <alignment horizontal="center" vertical="center"/>
    </xf>
    <xf borderId="762" fillId="89" fontId="112" numFmtId="0" xfId="0" applyAlignment="1" applyBorder="1" applyFont="1">
      <alignment horizontal="center" vertical="center"/>
    </xf>
    <xf borderId="798" fillId="89" fontId="93" numFmtId="0" xfId="0" applyAlignment="1" applyBorder="1" applyFont="1">
      <alignment horizontal="center" vertical="center"/>
    </xf>
    <xf borderId="767" fillId="89" fontId="114" numFmtId="0" xfId="0" applyAlignment="1" applyBorder="1" applyFont="1">
      <alignment horizontal="center" vertical="center"/>
    </xf>
    <xf borderId="378" fillId="90" fontId="138" numFmtId="0" xfId="0" applyAlignment="1" applyBorder="1" applyFill="1" applyFont="1">
      <alignment horizontal="center" readingOrder="0" vertical="top"/>
    </xf>
    <xf borderId="768" fillId="89" fontId="139" numFmtId="0" xfId="0" applyAlignment="1" applyBorder="1" applyFont="1">
      <alignment horizontal="center" vertical="center"/>
    </xf>
    <xf borderId="773" fillId="89" fontId="113" numFmtId="0" xfId="0" applyAlignment="1" applyBorder="1" applyFont="1">
      <alignment horizontal="center" vertical="center"/>
    </xf>
    <xf borderId="799" fillId="90" fontId="138" numFmtId="0" xfId="0" applyAlignment="1" applyBorder="1" applyFont="1">
      <alignment horizontal="center" readingOrder="0" vertical="center"/>
    </xf>
    <xf borderId="800" fillId="90" fontId="138" numFmtId="0" xfId="0" applyAlignment="1" applyBorder="1" applyFont="1">
      <alignment horizontal="center" readingOrder="0" vertical="center"/>
    </xf>
    <xf borderId="801" fillId="90" fontId="138" numFmtId="0" xfId="0" applyAlignment="1" applyBorder="1" applyFont="1">
      <alignment horizontal="left" readingOrder="0" vertical="center"/>
    </xf>
    <xf borderId="802" fillId="0" fontId="5" numFmtId="0" xfId="0" applyBorder="1" applyFont="1"/>
    <xf borderId="768" fillId="89" fontId="139" numFmtId="0" xfId="0" applyAlignment="1" applyBorder="1" applyFont="1">
      <alignment horizontal="center" vertical="center"/>
    </xf>
    <xf borderId="773" fillId="89" fontId="113" numFmtId="0" xfId="0" applyAlignment="1" applyBorder="1" applyFont="1">
      <alignment horizontal="center" vertical="center"/>
    </xf>
    <xf borderId="803" fillId="90" fontId="138" numFmtId="0" xfId="0" applyAlignment="1" applyBorder="1" applyFont="1">
      <alignment horizontal="center" readingOrder="0" vertical="center"/>
    </xf>
    <xf borderId="804" fillId="90" fontId="138" numFmtId="0" xfId="0" applyAlignment="1" applyBorder="1" applyFont="1">
      <alignment horizontal="center" readingOrder="0" vertical="center"/>
    </xf>
    <xf borderId="805" fillId="90" fontId="138" numFmtId="0" xfId="0" applyAlignment="1" applyBorder="1" applyFont="1">
      <alignment horizontal="left" readingOrder="0" vertical="center"/>
    </xf>
    <xf borderId="806" fillId="0" fontId="5" numFmtId="0" xfId="0" applyBorder="1" applyFont="1"/>
    <xf borderId="807" fillId="90" fontId="138" numFmtId="0" xfId="0" applyAlignment="1" applyBorder="1" applyFont="1">
      <alignment horizontal="center" readingOrder="0" vertical="center"/>
    </xf>
    <xf borderId="808" fillId="90" fontId="138" numFmtId="0" xfId="0" applyAlignment="1" applyBorder="1" applyFont="1">
      <alignment horizontal="center" readingOrder="0" vertical="center"/>
    </xf>
    <xf borderId="809" fillId="90" fontId="138" numFmtId="0" xfId="0" applyAlignment="1" applyBorder="1" applyFont="1">
      <alignment horizontal="left" readingOrder="0" vertical="center"/>
    </xf>
    <xf borderId="810" fillId="0" fontId="5" numFmtId="0" xfId="0" applyBorder="1" applyFont="1"/>
    <xf borderId="395" fillId="90" fontId="138" numFmtId="0" xfId="0" applyAlignment="1" applyBorder="1" applyFont="1">
      <alignment horizontal="right" readingOrder="0" vertical="center"/>
    </xf>
    <xf borderId="811" fillId="89" fontId="93" numFmtId="0" xfId="0" applyAlignment="1" applyBorder="1" applyFont="1">
      <alignment horizontal="center" vertical="center"/>
    </xf>
    <xf borderId="812" fillId="89" fontId="94" numFmtId="0" xfId="0" applyAlignment="1" applyBorder="1" applyFont="1">
      <alignment horizontal="center" vertical="center"/>
    </xf>
    <xf borderId="812" fillId="89" fontId="93" numFmtId="0" xfId="0" applyAlignment="1" applyBorder="1" applyFont="1">
      <alignment horizontal="center" vertical="center"/>
    </xf>
    <xf borderId="813" fillId="89" fontId="93" numFmtId="0" xfId="0" applyAlignment="1" applyBorder="1" applyFont="1">
      <alignment horizontal="center" vertical="center"/>
    </xf>
    <xf borderId="814" fillId="89" fontId="93" numFmtId="0" xfId="0" applyAlignment="1" applyBorder="1" applyFont="1">
      <alignment horizontal="center" vertical="center"/>
    </xf>
    <xf borderId="815" fillId="78" fontId="93" numFmtId="0" xfId="0" applyAlignment="1" applyBorder="1" applyFont="1">
      <alignment horizontal="center" vertical="center"/>
    </xf>
    <xf borderId="815" fillId="78" fontId="94" numFmtId="0" xfId="0" applyAlignment="1" applyBorder="1" applyFont="1">
      <alignment horizontal="center" vertical="center"/>
    </xf>
    <xf borderId="324" fillId="78" fontId="1" numFmtId="0" xfId="0" applyAlignment="1" applyBorder="1" applyFont="1">
      <alignment horizontal="center" vertical="center"/>
    </xf>
    <xf borderId="324" fillId="78" fontId="96" numFmtId="0" xfId="0" applyAlignment="1" applyBorder="1" applyFont="1">
      <alignment horizontal="right" vertical="center"/>
    </xf>
    <xf borderId="323" fillId="78" fontId="1" numFmtId="0" xfId="0" applyAlignment="1" applyBorder="1" applyFont="1">
      <alignment horizontal="center" vertical="center"/>
    </xf>
    <xf borderId="326" fillId="79" fontId="1" numFmtId="0" xfId="0" applyAlignment="1" applyBorder="1" applyFont="1">
      <alignment horizontal="center" vertical="center"/>
    </xf>
    <xf borderId="328" fillId="79" fontId="96" numFmtId="0" xfId="0" applyAlignment="1" applyBorder="1" applyFont="1">
      <alignment horizontal="right" vertical="center"/>
    </xf>
    <xf borderId="328" fillId="79" fontId="1" numFmtId="0" xfId="0" applyAlignment="1" applyBorder="1" applyFont="1">
      <alignment horizontal="center" vertical="center"/>
    </xf>
    <xf borderId="329" fillId="79" fontId="1" numFmtId="0" xfId="0" applyAlignment="1" applyBorder="1" applyFont="1">
      <alignment horizontal="center" vertical="center"/>
    </xf>
    <xf borderId="338" fillId="79" fontId="1" numFmtId="0" xfId="0" applyAlignment="1" applyBorder="1" applyFont="1">
      <alignment horizontal="center" vertical="center"/>
    </xf>
    <xf borderId="339" fillId="20" fontId="96" numFmtId="0" xfId="0" applyAlignment="1" applyBorder="1" applyFont="1">
      <alignment horizontal="right" vertical="center"/>
    </xf>
    <xf borderId="340" fillId="79" fontId="142" numFmtId="0" xfId="0" applyAlignment="1" applyBorder="1" applyFont="1">
      <alignment horizontal="center" vertical="center"/>
    </xf>
    <xf borderId="341" fillId="20" fontId="143" numFmtId="0" xfId="0" applyAlignment="1" applyBorder="1" applyFont="1">
      <alignment horizontal="center" vertical="center"/>
    </xf>
    <xf borderId="335" fillId="79" fontId="132" numFmtId="0" xfId="0" applyAlignment="1" applyBorder="1" applyFont="1">
      <alignment horizontal="center" vertical="center"/>
    </xf>
    <xf borderId="344" fillId="79" fontId="1" numFmtId="0" xfId="0" applyAlignment="1" applyBorder="1" applyFont="1">
      <alignment horizontal="center" vertical="center"/>
    </xf>
    <xf borderId="330" fillId="78" fontId="144" numFmtId="0" xfId="0" applyAlignment="1" applyBorder="1" applyFont="1">
      <alignment horizontal="center" vertical="center"/>
    </xf>
    <xf borderId="338" fillId="79" fontId="14" numFmtId="0" xfId="0" applyAlignment="1" applyBorder="1" applyFont="1">
      <alignment horizontal="center" vertical="center"/>
    </xf>
    <xf borderId="340" fillId="79" fontId="14" numFmtId="0" xfId="0" applyAlignment="1" applyBorder="1" applyFont="1">
      <alignment horizontal="center" readingOrder="0" vertical="center"/>
    </xf>
    <xf borderId="346" fillId="79" fontId="130" numFmtId="0" xfId="0" applyAlignment="1" applyBorder="1" applyFont="1">
      <alignment horizontal="center" readingOrder="0" vertical="center"/>
    </xf>
    <xf borderId="344" fillId="79" fontId="14" numFmtId="0" xfId="0" applyAlignment="1" applyBorder="1" applyFont="1">
      <alignment horizontal="center" vertical="center"/>
    </xf>
    <xf borderId="330" fillId="78" fontId="14" numFmtId="0" xfId="0" applyAlignment="1" applyBorder="1" applyFont="1">
      <alignment horizontal="center" vertical="center"/>
    </xf>
    <xf borderId="338" fillId="79" fontId="145" numFmtId="0" xfId="0" applyAlignment="1" applyBorder="1" applyFont="1">
      <alignment horizontal="center" vertical="center"/>
    </xf>
    <xf borderId="340" fillId="79" fontId="145" numFmtId="0" xfId="0" applyAlignment="1" applyBorder="1" applyFont="1">
      <alignment horizontal="center" readingOrder="0" vertical="center"/>
    </xf>
    <xf borderId="366" fillId="79" fontId="146" numFmtId="0" xfId="0" applyAlignment="1" applyBorder="1" applyFont="1">
      <alignment horizontal="center" readingOrder="0" vertical="top"/>
    </xf>
    <xf borderId="344" fillId="79" fontId="145" numFmtId="0" xfId="0" applyAlignment="1" applyBorder="1" applyFont="1">
      <alignment horizontal="center" vertical="center"/>
    </xf>
    <xf borderId="330" fillId="78" fontId="145" numFmtId="0" xfId="0" applyAlignment="1" applyBorder="1" applyFont="1">
      <alignment horizontal="center" vertical="center"/>
    </xf>
    <xf borderId="376" fillId="79" fontId="96" numFmtId="0" xfId="0" applyAlignment="1" applyBorder="1" applyFont="1">
      <alignment horizontal="right" vertical="center"/>
    </xf>
    <xf borderId="394" fillId="79" fontId="1" numFmtId="0" xfId="0" applyAlignment="1" applyBorder="1" applyFont="1">
      <alignment horizontal="center" vertical="center"/>
    </xf>
    <xf borderId="816" fillId="79" fontId="132" numFmtId="0" xfId="0" applyAlignment="1" applyBorder="1" applyFont="1">
      <alignment horizontal="center" vertical="center"/>
    </xf>
    <xf borderId="357" fillId="79" fontId="147" numFmtId="0" xfId="0" applyAlignment="1" applyBorder="1" applyFont="1">
      <alignment horizontal="right" vertical="top"/>
    </xf>
    <xf borderId="817" fillId="79" fontId="132" numFmtId="0" xfId="0" applyAlignment="1" applyBorder="1" applyFont="1">
      <alignment horizontal="center" vertical="top"/>
    </xf>
    <xf borderId="818" fillId="79" fontId="1" numFmtId="0" xfId="0" applyAlignment="1" applyBorder="1" applyFont="1">
      <alignment horizontal="center" vertical="center"/>
    </xf>
    <xf borderId="376" fillId="0" fontId="5" numFmtId="0" xfId="0" applyBorder="1" applyFont="1"/>
    <xf borderId="819" fillId="79" fontId="132" numFmtId="0" xfId="0" applyAlignment="1" applyBorder="1" applyFont="1">
      <alignment horizontal="center" vertical="center"/>
    </xf>
    <xf borderId="820" fillId="79" fontId="132" numFmtId="0" xfId="0" applyAlignment="1" applyBorder="1" applyFont="1">
      <alignment horizontal="center" vertical="top"/>
    </xf>
    <xf borderId="821" fillId="79" fontId="132" numFmtId="0" xfId="0" applyAlignment="1" applyBorder="1" applyFont="1">
      <alignment horizontal="center" vertical="top"/>
    </xf>
    <xf borderId="822" fillId="0" fontId="5" numFmtId="0" xfId="0" applyBorder="1" applyFont="1"/>
    <xf borderId="362" fillId="79" fontId="132" numFmtId="0" xfId="0" applyAlignment="1" applyBorder="1" applyFont="1">
      <alignment horizontal="center" readingOrder="0" vertical="center"/>
    </xf>
    <xf borderId="823" fillId="79" fontId="96" numFmtId="0" xfId="0" applyAlignment="1" applyBorder="1" applyFont="1">
      <alignment horizontal="right" vertical="center"/>
    </xf>
    <xf borderId="366" fillId="79" fontId="132" numFmtId="0" xfId="0" applyAlignment="1" applyBorder="1" applyFont="1">
      <alignment horizontal="center" readingOrder="0" vertical="center"/>
    </xf>
    <xf borderId="350" fillId="79" fontId="132" numFmtId="0" xfId="0" applyAlignment="1" applyBorder="1" applyFont="1">
      <alignment horizontal="center" readingOrder="0" vertical="center"/>
    </xf>
    <xf borderId="369" fillId="79" fontId="132" numFmtId="0" xfId="0" applyAlignment="1" applyBorder="1" applyFont="1">
      <alignment horizontal="center" vertical="center"/>
    </xf>
    <xf borderId="362" fillId="79" fontId="132" numFmtId="0" xfId="0" applyAlignment="1" applyBorder="1" applyFont="1">
      <alignment horizontal="center" vertical="center"/>
    </xf>
    <xf borderId="824" fillId="0" fontId="5" numFmtId="0" xfId="0" applyBorder="1" applyFont="1"/>
    <xf borderId="364" fillId="79" fontId="132" numFmtId="0" xfId="0" applyAlignment="1" applyBorder="1" applyFont="1">
      <alignment horizontal="center" vertical="center"/>
    </xf>
    <xf borderId="333" fillId="79" fontId="96" numFmtId="0" xfId="0" applyAlignment="1" applyBorder="1" applyFont="1">
      <alignment horizontal="right" vertical="center"/>
    </xf>
    <xf borderId="366" fillId="79" fontId="132" numFmtId="0" xfId="0" applyAlignment="1" applyBorder="1" applyFont="1">
      <alignment horizontal="center" vertical="center"/>
    </xf>
    <xf borderId="385" fillId="0" fontId="5" numFmtId="0" xfId="0" applyBorder="1" applyFont="1"/>
    <xf borderId="367" fillId="79" fontId="132" numFmtId="0" xfId="0" applyAlignment="1" applyBorder="1" applyFont="1">
      <alignment horizontal="center" vertical="center"/>
    </xf>
    <xf borderId="367" fillId="79" fontId="132" numFmtId="0" xfId="0" applyAlignment="1" applyBorder="1" applyFont="1">
      <alignment horizontal="center" readingOrder="0" vertical="center"/>
    </xf>
    <xf borderId="825" fillId="79" fontId="132" numFmtId="0" xfId="0" applyAlignment="1" applyBorder="1" applyFont="1">
      <alignment horizontal="center" readingOrder="0" vertical="center"/>
    </xf>
    <xf borderId="826" fillId="0" fontId="5" numFmtId="0" xfId="0" applyBorder="1" applyFont="1"/>
    <xf borderId="827" fillId="0" fontId="5" numFmtId="0" xfId="0" applyBorder="1" applyFont="1"/>
    <xf borderId="828" fillId="79" fontId="132" numFmtId="0" xfId="0" applyAlignment="1" applyBorder="1" applyFont="1">
      <alignment horizontal="center" readingOrder="0" vertical="center"/>
    </xf>
    <xf borderId="333" fillId="79" fontId="120" numFmtId="0" xfId="0" applyAlignment="1" applyBorder="1" applyFont="1">
      <alignment horizontal="right" vertical="center"/>
    </xf>
    <xf borderId="376" fillId="79" fontId="111" numFmtId="0" xfId="0" applyAlignment="1" applyBorder="1" applyFont="1">
      <alignment horizontal="center" vertical="center"/>
    </xf>
    <xf borderId="376" fillId="79" fontId="125" numFmtId="0" xfId="0" applyAlignment="1" applyBorder="1" applyFont="1">
      <alignment horizontal="center" vertical="center"/>
    </xf>
    <xf borderId="829" fillId="79" fontId="112" numFmtId="0" xfId="0" applyAlignment="1" applyBorder="1" applyFont="1">
      <alignment horizontal="center" vertical="center"/>
    </xf>
    <xf borderId="376" fillId="79" fontId="112" numFmtId="0" xfId="0" applyAlignment="1" applyBorder="1" applyFont="1">
      <alignment horizontal="center" vertical="center"/>
    </xf>
    <xf borderId="340" fillId="79" fontId="116" numFmtId="0" xfId="0" applyAlignment="1" applyBorder="1" applyFont="1">
      <alignment horizontal="center" vertical="center"/>
    </xf>
    <xf borderId="337" fillId="79" fontId="113" numFmtId="0" xfId="0" applyAlignment="1" applyBorder="1" applyFont="1">
      <alignment horizontal="center" vertical="center"/>
    </xf>
    <xf borderId="830" fillId="4" fontId="148" numFmtId="0" xfId="0" applyAlignment="1" applyBorder="1" applyFont="1">
      <alignment horizontal="right" readingOrder="0" vertical="center"/>
    </xf>
    <xf borderId="831" fillId="4" fontId="148" numFmtId="0" xfId="0" applyAlignment="1" applyBorder="1" applyFont="1">
      <alignment horizontal="right" readingOrder="0" vertical="center"/>
    </xf>
    <xf borderId="832" fillId="79" fontId="113" numFmtId="0" xfId="0" applyAlignment="1" applyBorder="1" applyFont="1">
      <alignment horizontal="center" vertical="center"/>
    </xf>
    <xf borderId="334" fillId="79" fontId="114" numFmtId="0" xfId="0" applyAlignment="1" applyBorder="1" applyFont="1">
      <alignment horizontal="center" vertical="center"/>
    </xf>
    <xf borderId="335" fillId="79" fontId="116" numFmtId="0" xfId="0" applyAlignment="1" applyBorder="1" applyFont="1">
      <alignment horizontal="center" vertical="center"/>
    </xf>
    <xf borderId="833" fillId="79" fontId="113" numFmtId="0" xfId="0" applyAlignment="1" applyBorder="1" applyFont="1">
      <alignment horizontal="center" vertical="center"/>
    </xf>
    <xf borderId="834" fillId="79" fontId="1" numFmtId="0" xfId="0" applyAlignment="1" applyBorder="1" applyFont="1">
      <alignment horizontal="center" vertical="center"/>
    </xf>
    <xf borderId="410" fillId="79" fontId="120" numFmtId="0" xfId="0" applyAlignment="1" applyBorder="1" applyFont="1">
      <alignment horizontal="right" readingOrder="0" vertical="center"/>
    </xf>
    <xf borderId="835" fillId="79" fontId="149" numFmtId="0" xfId="0" applyAlignment="1" applyBorder="1" applyFont="1">
      <alignment horizontal="center" readingOrder="0" vertical="center"/>
    </xf>
    <xf borderId="836" fillId="79" fontId="1" numFmtId="0" xfId="0" applyAlignment="1" applyBorder="1" applyFont="1">
      <alignment horizontal="center" vertical="center"/>
    </xf>
    <xf borderId="412" fillId="80" fontId="1" numFmtId="0" xfId="0" applyAlignment="1" applyBorder="1" applyFont="1">
      <alignment horizontal="center" vertical="center"/>
    </xf>
    <xf borderId="414" fillId="80" fontId="120" numFmtId="0" xfId="0" applyAlignment="1" applyBorder="1" applyFont="1">
      <alignment horizontal="right" readingOrder="0" vertical="center"/>
    </xf>
    <xf borderId="414" fillId="80" fontId="149" numFmtId="0" xfId="0" applyAlignment="1" applyBorder="1" applyFont="1">
      <alignment horizontal="center" readingOrder="0" vertical="center"/>
    </xf>
    <xf borderId="415" fillId="80" fontId="1" numFmtId="0" xfId="0" applyAlignment="1" applyBorder="1" applyFont="1">
      <alignment horizontal="center" vertical="center"/>
    </xf>
    <xf borderId="423" fillId="80" fontId="1" numFmtId="0" xfId="0" applyAlignment="1" applyBorder="1" applyFont="1">
      <alignment horizontal="center" vertical="center"/>
    </xf>
    <xf borderId="424" fillId="28" fontId="96" numFmtId="0" xfId="0" applyAlignment="1" applyBorder="1" applyFont="1">
      <alignment horizontal="right" vertical="center"/>
    </xf>
    <xf borderId="425" fillId="80" fontId="142" numFmtId="0" xfId="0" applyAlignment="1" applyBorder="1" applyFont="1">
      <alignment horizontal="center" vertical="center"/>
    </xf>
    <xf borderId="341" fillId="28" fontId="131" numFmtId="0" xfId="0" applyAlignment="1" applyBorder="1" applyFont="1">
      <alignment horizontal="center" vertical="center"/>
    </xf>
    <xf borderId="420" fillId="80" fontId="132" numFmtId="0" xfId="0" applyAlignment="1" applyBorder="1" applyFont="1">
      <alignment horizontal="center" vertical="center"/>
    </xf>
    <xf borderId="451" fillId="80" fontId="1" numFmtId="0" xfId="0" applyAlignment="1" applyBorder="1" applyFont="1">
      <alignment horizontal="center" vertical="center"/>
    </xf>
    <xf borderId="423" fillId="80" fontId="14" numFmtId="0" xfId="0" applyAlignment="1" applyBorder="1" applyFont="1">
      <alignment horizontal="center" vertical="center"/>
    </xf>
    <xf borderId="425" fillId="80" fontId="14" numFmtId="0" xfId="0" applyAlignment="1" applyBorder="1" applyFont="1">
      <alignment horizontal="center" readingOrder="0" vertical="center"/>
    </xf>
    <xf borderId="426" fillId="80" fontId="130" numFmtId="0" xfId="0" applyAlignment="1" applyBorder="1" applyFont="1">
      <alignment horizontal="center" readingOrder="0" vertical="center"/>
    </xf>
    <xf borderId="451" fillId="80" fontId="14" numFmtId="0" xfId="0" applyAlignment="1" applyBorder="1" applyFont="1">
      <alignment horizontal="center" vertical="center"/>
    </xf>
    <xf borderId="423" fillId="80" fontId="145" numFmtId="0" xfId="0" applyAlignment="1" applyBorder="1" applyFont="1">
      <alignment horizontal="center" vertical="center"/>
    </xf>
    <xf borderId="425" fillId="80" fontId="145" numFmtId="0" xfId="0" applyAlignment="1" applyBorder="1" applyFont="1">
      <alignment horizontal="center" readingOrder="0" vertical="center"/>
    </xf>
    <xf borderId="430" fillId="80" fontId="146" numFmtId="0" xfId="0" applyAlignment="1" applyBorder="1" applyFont="1">
      <alignment horizontal="center" readingOrder="0" vertical="top"/>
    </xf>
    <xf borderId="451" fillId="80" fontId="145" numFmtId="0" xfId="0" applyAlignment="1" applyBorder="1" applyFont="1">
      <alignment horizontal="center" vertical="center"/>
    </xf>
    <xf borderId="413" fillId="80" fontId="96" numFmtId="0" xfId="0" applyAlignment="1" applyBorder="1" applyFont="1">
      <alignment horizontal="right" vertical="center"/>
    </xf>
    <xf borderId="425" fillId="80" fontId="1" numFmtId="0" xfId="0" applyAlignment="1" applyBorder="1" applyFont="1">
      <alignment horizontal="center" vertical="center"/>
    </xf>
    <xf borderId="837" fillId="80" fontId="132" numFmtId="0" xfId="0" applyAlignment="1" applyBorder="1" applyFont="1">
      <alignment horizontal="center" vertical="top"/>
    </xf>
    <xf borderId="436" fillId="80" fontId="147" numFmtId="0" xfId="0" applyAlignment="1" applyBorder="1" applyFont="1">
      <alignment horizontal="right" vertical="top"/>
    </xf>
    <xf borderId="436" fillId="80" fontId="147" numFmtId="0" xfId="0" applyAlignment="1" applyBorder="1" applyFont="1">
      <alignment horizontal="left" vertical="top"/>
    </xf>
    <xf borderId="838" fillId="80" fontId="132" numFmtId="0" xfId="0" applyAlignment="1" applyBorder="1" applyFont="1">
      <alignment horizontal="center" vertical="top"/>
    </xf>
    <xf borderId="432" fillId="80" fontId="147" numFmtId="0" xfId="0" applyAlignment="1" applyBorder="1" applyFont="1">
      <alignment horizontal="center" vertical="top"/>
    </xf>
    <xf borderId="839" fillId="80" fontId="1" numFmtId="0" xfId="0" applyAlignment="1" applyBorder="1" applyFont="1">
      <alignment horizontal="center" vertical="center"/>
    </xf>
    <xf borderId="840" fillId="80" fontId="132" numFmtId="0" xfId="0" applyAlignment="1" applyBorder="1" applyFont="1">
      <alignment horizontal="center" vertical="top"/>
    </xf>
    <xf borderId="841" fillId="80" fontId="132" numFmtId="0" xfId="0" applyAlignment="1" applyBorder="1" applyFont="1">
      <alignment horizontal="center" vertical="top"/>
    </xf>
    <xf borderId="842" fillId="80" fontId="132" numFmtId="0" xfId="0" applyAlignment="1" applyBorder="1" applyFont="1">
      <alignment horizontal="center" vertical="top"/>
    </xf>
    <xf borderId="439" fillId="80" fontId="132" numFmtId="0" xfId="0" applyAlignment="1" applyBorder="1" applyFont="1">
      <alignment horizontal="center" readingOrder="0" vertical="center"/>
    </xf>
    <xf borderId="418" fillId="80" fontId="96" numFmtId="0" xfId="0" applyAlignment="1" applyBorder="1" applyFont="1">
      <alignment horizontal="right" vertical="center"/>
    </xf>
    <xf borderId="430" fillId="80" fontId="132" numFmtId="0" xfId="0" applyAlignment="1" applyBorder="1" applyFont="1">
      <alignment horizontal="center" readingOrder="0" vertical="center"/>
    </xf>
    <xf borderId="442" fillId="80" fontId="132" numFmtId="0" xfId="0" applyAlignment="1" applyBorder="1" applyFont="1">
      <alignment horizontal="center" readingOrder="0" vertical="center"/>
    </xf>
    <xf borderId="443" fillId="80" fontId="132" numFmtId="0" xfId="0" applyAlignment="1" applyBorder="1" applyFont="1">
      <alignment horizontal="center" vertical="center"/>
    </xf>
    <xf borderId="843" fillId="0" fontId="5" numFmtId="0" xfId="0" applyBorder="1" applyFont="1"/>
    <xf borderId="444" fillId="80" fontId="132" numFmtId="0" xfId="0" applyAlignment="1" applyBorder="1" applyFont="1">
      <alignment horizontal="center" readingOrder="0" vertical="center"/>
    </xf>
    <xf borderId="436" fillId="80" fontId="96" numFmtId="0" xfId="0" applyAlignment="1" applyBorder="1" applyFont="1">
      <alignment horizontal="right" vertical="center"/>
    </xf>
    <xf borderId="431" fillId="80" fontId="132" numFmtId="0" xfId="0" applyAlignment="1" applyBorder="1" applyFont="1">
      <alignment horizontal="center" readingOrder="0" vertical="center"/>
    </xf>
    <xf borderId="445" fillId="80" fontId="132" numFmtId="0" xfId="0" applyAlignment="1" applyBorder="1" applyFont="1">
      <alignment horizontal="center" readingOrder="0" vertical="center"/>
    </xf>
    <xf borderId="844" fillId="0" fontId="5" numFmtId="0" xfId="0" applyBorder="1" applyFont="1"/>
    <xf borderId="845" fillId="80" fontId="132" numFmtId="0" xfId="0" applyAlignment="1" applyBorder="1" applyFont="1">
      <alignment horizontal="center" readingOrder="0" vertical="center"/>
    </xf>
    <xf borderId="416" fillId="80" fontId="93" numFmtId="0" xfId="0" applyAlignment="1" applyBorder="1" applyFont="1">
      <alignment horizontal="center" vertical="center"/>
    </xf>
    <xf borderId="436" fillId="80" fontId="120" numFmtId="0" xfId="0" applyAlignment="1" applyBorder="1" applyFont="1">
      <alignment horizontal="right" vertical="center"/>
    </xf>
    <xf borderId="413" fillId="80" fontId="125" numFmtId="0" xfId="0" applyAlignment="1" applyBorder="1" applyFont="1">
      <alignment horizontal="center" vertical="center"/>
    </xf>
    <xf borderId="846" fillId="80" fontId="112" numFmtId="0" xfId="0" applyAlignment="1" applyBorder="1" applyFont="1">
      <alignment horizontal="center" vertical="center"/>
    </xf>
    <xf borderId="413" fillId="80" fontId="112" numFmtId="0" xfId="0" applyAlignment="1" applyBorder="1" applyFont="1">
      <alignment horizontal="center" vertical="center"/>
    </xf>
    <xf borderId="416" fillId="80" fontId="113" numFmtId="0" xfId="0" applyAlignment="1" applyBorder="1" applyFont="1">
      <alignment horizontal="center" vertical="center"/>
    </xf>
    <xf borderId="420" fillId="80" fontId="114" numFmtId="0" xfId="0" applyAlignment="1" applyBorder="1" applyFont="1">
      <alignment horizontal="center" vertical="center"/>
    </xf>
    <xf borderId="425" fillId="80" fontId="116" numFmtId="0" xfId="0" applyAlignment="1" applyBorder="1" applyFont="1">
      <alignment horizontal="center" vertical="center"/>
    </xf>
    <xf borderId="451" fillId="80" fontId="113" numFmtId="0" xfId="0" applyAlignment="1" applyBorder="1" applyFont="1">
      <alignment horizontal="center" vertical="center"/>
    </xf>
    <xf borderId="414" fillId="80" fontId="116" numFmtId="0" xfId="0" applyAlignment="1" applyBorder="1" applyFont="1">
      <alignment horizontal="center" vertical="center"/>
    </xf>
    <xf borderId="436" fillId="80" fontId="116" numFmtId="0" xfId="0" applyAlignment="1" applyBorder="1" applyFont="1">
      <alignment horizontal="center" vertical="center"/>
    </xf>
    <xf borderId="466" fillId="80" fontId="1" numFmtId="0" xfId="0" applyAlignment="1" applyBorder="1" applyFont="1">
      <alignment horizontal="center" vertical="center"/>
    </xf>
    <xf borderId="467" fillId="80" fontId="120" numFmtId="0" xfId="0" applyAlignment="1" applyBorder="1" applyFont="1">
      <alignment horizontal="right" readingOrder="0" vertical="center"/>
    </xf>
    <xf borderId="467" fillId="80" fontId="149" numFmtId="0" xfId="0" applyAlignment="1" applyBorder="1" applyFont="1">
      <alignment horizontal="center" readingOrder="0" vertical="center"/>
    </xf>
    <xf borderId="449" fillId="80" fontId="149" numFmtId="0" xfId="0" applyAlignment="1" applyBorder="1" applyFont="1">
      <alignment horizontal="center" readingOrder="0" vertical="center"/>
    </xf>
    <xf borderId="847" fillId="80" fontId="1" numFmtId="0" xfId="0" applyAlignment="1" applyBorder="1" applyFont="1">
      <alignment horizontal="center" vertical="center"/>
    </xf>
    <xf borderId="469" fillId="81" fontId="1" numFmtId="0" xfId="0" applyAlignment="1" applyBorder="1" applyFont="1">
      <alignment horizontal="center" vertical="center"/>
    </xf>
    <xf borderId="471" fillId="81" fontId="120" numFmtId="0" xfId="0" applyAlignment="1" applyBorder="1" applyFont="1">
      <alignment horizontal="right" readingOrder="0" vertical="center"/>
    </xf>
    <xf borderId="471" fillId="81" fontId="149" numFmtId="0" xfId="0" applyAlignment="1" applyBorder="1" applyFont="1">
      <alignment horizontal="center" readingOrder="0" vertical="center"/>
    </xf>
    <xf borderId="848" fillId="81" fontId="1" numFmtId="0" xfId="0" applyAlignment="1" applyBorder="1" applyFont="1">
      <alignment horizontal="center" vertical="center"/>
    </xf>
    <xf borderId="479" fillId="81" fontId="1" numFmtId="0" xfId="0" applyAlignment="1" applyBorder="1" applyFont="1">
      <alignment horizontal="center" vertical="center"/>
    </xf>
    <xf borderId="424" fillId="34" fontId="96" numFmtId="0" xfId="0" applyAlignment="1" applyBorder="1" applyFont="1">
      <alignment horizontal="right" vertical="center"/>
    </xf>
    <xf borderId="476" fillId="81" fontId="1" numFmtId="0" xfId="0" applyAlignment="1" applyBorder="1" applyFont="1">
      <alignment horizontal="center" vertical="center"/>
    </xf>
    <xf borderId="341" fillId="34" fontId="131" numFmtId="0" xfId="0" applyAlignment="1" applyBorder="1" applyFont="1">
      <alignment horizontal="center" vertical="center"/>
    </xf>
    <xf borderId="476" fillId="81" fontId="132" numFmtId="0" xfId="0" applyAlignment="1" applyBorder="1" applyFont="1">
      <alignment horizontal="center" vertical="center"/>
    </xf>
    <xf borderId="481" fillId="81" fontId="1" numFmtId="0" xfId="0" applyAlignment="1" applyBorder="1" applyFont="1">
      <alignment horizontal="center" vertical="center"/>
    </xf>
    <xf borderId="479" fillId="81" fontId="14" numFmtId="0" xfId="0" applyAlignment="1" applyBorder="1" applyFont="1">
      <alignment horizontal="center" vertical="center"/>
    </xf>
    <xf borderId="482" fillId="81" fontId="130" numFmtId="0" xfId="0" applyAlignment="1" applyBorder="1" applyFont="1">
      <alignment horizontal="center" readingOrder="0" vertical="center"/>
    </xf>
    <xf borderId="481" fillId="81" fontId="14" numFmtId="0" xfId="0" applyAlignment="1" applyBorder="1" applyFont="1">
      <alignment horizontal="center" vertical="center"/>
    </xf>
    <xf borderId="479" fillId="81" fontId="145" numFmtId="0" xfId="0" applyAlignment="1" applyBorder="1" applyFont="1">
      <alignment horizontal="center" vertical="center"/>
    </xf>
    <xf borderId="485" fillId="81" fontId="146" numFmtId="0" xfId="0" applyAlignment="1" applyBorder="1" applyFont="1">
      <alignment horizontal="center" readingOrder="0" vertical="top"/>
    </xf>
    <xf borderId="481" fillId="81" fontId="145" numFmtId="0" xfId="0" applyAlignment="1" applyBorder="1" applyFont="1">
      <alignment horizontal="center" vertical="center"/>
    </xf>
    <xf borderId="470" fillId="81" fontId="96" numFmtId="0" xfId="0" applyAlignment="1" applyBorder="1" applyFont="1">
      <alignment horizontal="right" vertical="center"/>
    </xf>
    <xf borderId="849" fillId="81" fontId="132" numFmtId="0" xfId="0" applyAlignment="1" applyBorder="1" applyFont="1">
      <alignment horizontal="center" vertical="center"/>
    </xf>
    <xf borderId="489" fillId="81" fontId="147" numFmtId="0" xfId="0" applyAlignment="1" applyBorder="1" applyFont="1">
      <alignment horizontal="right" vertical="top"/>
    </xf>
    <xf borderId="489" fillId="81" fontId="147" numFmtId="0" xfId="0" applyAlignment="1" applyBorder="1" applyFont="1">
      <alignment horizontal="left" vertical="top"/>
    </xf>
    <xf borderId="850" fillId="81" fontId="132" numFmtId="0" xfId="0" applyAlignment="1" applyBorder="1" applyFont="1">
      <alignment horizontal="center" vertical="top"/>
    </xf>
    <xf borderId="487" fillId="81" fontId="147" numFmtId="0" xfId="0" applyAlignment="1" applyBorder="1" applyFont="1">
      <alignment horizontal="center" vertical="top"/>
    </xf>
    <xf borderId="851" fillId="81" fontId="1" numFmtId="0" xfId="0" applyAlignment="1" applyBorder="1" applyFont="1">
      <alignment horizontal="center" vertical="center"/>
    </xf>
    <xf borderId="852" fillId="81" fontId="132" numFmtId="0" xfId="0" applyAlignment="1" applyBorder="1" applyFont="1">
      <alignment horizontal="center" vertical="center"/>
    </xf>
    <xf borderId="853" fillId="81" fontId="132" numFmtId="0" xfId="0" applyAlignment="1" applyBorder="1" applyFont="1">
      <alignment horizontal="center" vertical="top"/>
    </xf>
    <xf borderId="854" fillId="81" fontId="132" numFmtId="0" xfId="0" applyAlignment="1" applyBorder="1" applyFont="1">
      <alignment horizontal="center" vertical="top"/>
    </xf>
    <xf borderId="330" fillId="78" fontId="150" numFmtId="0" xfId="0" applyAlignment="1" applyBorder="1" applyFont="1">
      <alignment horizontal="center" vertical="center"/>
    </xf>
    <xf borderId="494" fillId="81" fontId="132" numFmtId="0" xfId="0" applyAlignment="1" applyBorder="1" applyFont="1">
      <alignment horizontal="center" readingOrder="0" vertical="center"/>
    </xf>
    <xf borderId="497" fillId="81" fontId="96" numFmtId="0" xfId="0" applyAlignment="1" applyBorder="1" applyFont="1">
      <alignment horizontal="right" vertical="center"/>
    </xf>
    <xf borderId="485" fillId="81" fontId="132" numFmtId="0" xfId="0" applyAlignment="1" applyBorder="1" applyFont="1">
      <alignment horizontal="center" readingOrder="0" vertical="center"/>
    </xf>
    <xf borderId="485" fillId="81" fontId="131" numFmtId="0" xfId="0" applyAlignment="1" applyBorder="1" applyFont="1">
      <alignment horizontal="center" readingOrder="0" vertical="center"/>
    </xf>
    <xf borderId="498" fillId="81" fontId="132" numFmtId="0" xfId="0" applyAlignment="1" applyBorder="1" applyFont="1">
      <alignment horizontal="center" readingOrder="0" vertical="center"/>
    </xf>
    <xf borderId="499" fillId="81" fontId="132" numFmtId="0" xfId="0" applyAlignment="1" applyBorder="1" applyFont="1">
      <alignment horizontal="center" readingOrder="0" vertical="center"/>
    </xf>
    <xf borderId="855" fillId="0" fontId="5" numFmtId="0" xfId="0" applyBorder="1" applyFont="1"/>
    <xf borderId="496" fillId="81" fontId="132" numFmtId="0" xfId="0" applyAlignment="1" applyBorder="1" applyFont="1">
      <alignment horizontal="center" readingOrder="0" vertical="center"/>
    </xf>
    <xf borderId="489" fillId="81" fontId="96" numFmtId="0" xfId="0" applyAlignment="1" applyBorder="1" applyFont="1">
      <alignment horizontal="right" vertical="center"/>
    </xf>
    <xf borderId="486" fillId="81" fontId="132" numFmtId="0" xfId="0" applyAlignment="1" applyBorder="1" applyFont="1">
      <alignment horizontal="center" readingOrder="0" vertical="center"/>
    </xf>
    <xf borderId="501" fillId="81" fontId="132" numFmtId="0" xfId="0" applyAlignment="1" applyBorder="1" applyFont="1">
      <alignment horizontal="center" readingOrder="0" vertical="center"/>
    </xf>
    <xf borderId="856" fillId="0" fontId="5" numFmtId="0" xfId="0" applyBorder="1" applyFont="1"/>
    <xf borderId="857" fillId="81" fontId="132" numFmtId="0" xfId="0" applyAlignment="1" applyBorder="1" applyFont="1">
      <alignment horizontal="center" readingOrder="0" vertical="center"/>
    </xf>
    <xf borderId="489" fillId="81" fontId="120" numFmtId="0" xfId="0" applyAlignment="1" applyBorder="1" applyFont="1">
      <alignment horizontal="right" vertical="center"/>
    </xf>
    <xf borderId="470" fillId="81" fontId="112" numFmtId="0" xfId="0" applyAlignment="1" applyBorder="1" applyFont="1">
      <alignment horizontal="center" vertical="center"/>
    </xf>
    <xf borderId="480" fillId="81" fontId="151" numFmtId="0" xfId="0" applyAlignment="1" applyBorder="1" applyFont="1">
      <alignment horizontal="center" vertical="center"/>
    </xf>
    <xf borderId="480" fillId="81" fontId="116" numFmtId="0" xfId="0" applyAlignment="1" applyBorder="1" applyFont="1">
      <alignment horizontal="center" vertical="center"/>
    </xf>
    <xf borderId="481" fillId="81" fontId="113" numFmtId="0" xfId="0" applyAlignment="1" applyBorder="1" applyFont="1">
      <alignment horizontal="center" vertical="center"/>
    </xf>
    <xf borderId="520" fillId="81" fontId="1" numFmtId="0" xfId="0" applyAlignment="1" applyBorder="1" applyFont="1">
      <alignment horizontal="center" vertical="center"/>
    </xf>
    <xf borderId="521" fillId="81" fontId="120" numFmtId="0" xfId="0" applyAlignment="1" applyBorder="1" applyFont="1">
      <alignment horizontal="right" readingOrder="0" vertical="center"/>
    </xf>
    <xf borderId="521" fillId="81" fontId="149" numFmtId="0" xfId="0" applyAlignment="1" applyBorder="1" applyFont="1">
      <alignment horizontal="center" readingOrder="0" vertical="center"/>
    </xf>
    <xf borderId="523" fillId="81" fontId="1" numFmtId="0" xfId="0" applyAlignment="1" applyBorder="1" applyFont="1">
      <alignment horizontal="center" vertical="center"/>
    </xf>
    <xf borderId="524" fillId="83" fontId="1" numFmtId="0" xfId="0" applyAlignment="1" applyBorder="1" applyFont="1">
      <alignment horizontal="center" vertical="center"/>
    </xf>
    <xf borderId="526" fillId="83" fontId="120" numFmtId="0" xfId="0" applyAlignment="1" applyBorder="1" applyFont="1">
      <alignment horizontal="right" readingOrder="0" vertical="center"/>
    </xf>
    <xf borderId="526" fillId="83" fontId="149" numFmtId="0" xfId="0" applyAlignment="1" applyBorder="1" applyFont="1">
      <alignment horizontal="center" readingOrder="0" vertical="center"/>
    </xf>
    <xf borderId="527" fillId="83" fontId="1" numFmtId="0" xfId="0" applyAlignment="1" applyBorder="1" applyFont="1">
      <alignment horizontal="center" vertical="center"/>
    </xf>
    <xf borderId="530" fillId="83" fontId="152" numFmtId="0" xfId="0" applyAlignment="1" applyBorder="1" applyFont="1">
      <alignment horizontal="right" readingOrder="0" vertical="center"/>
    </xf>
    <xf borderId="534" fillId="83" fontId="1" numFmtId="0" xfId="0" applyAlignment="1" applyBorder="1" applyFont="1">
      <alignment horizontal="center" vertical="center"/>
    </xf>
    <xf borderId="424" fillId="37" fontId="96" numFmtId="0" xfId="0" applyAlignment="1" applyBorder="1" applyFont="1">
      <alignment horizontal="right" vertical="center"/>
    </xf>
    <xf borderId="592" fillId="0" fontId="142" numFmtId="0" xfId="0" applyAlignment="1" applyBorder="1" applyFont="1">
      <alignment horizontal="center" vertical="center"/>
    </xf>
    <xf borderId="341" fillId="37" fontId="131" numFmtId="0" xfId="0" applyAlignment="1" applyBorder="1" applyFont="1">
      <alignment horizontal="center" vertical="center"/>
    </xf>
    <xf borderId="531" fillId="83" fontId="132" numFmtId="0" xfId="0" applyAlignment="1" applyBorder="1" applyFont="1">
      <alignment horizontal="center" vertical="center"/>
    </xf>
    <xf borderId="536" fillId="83" fontId="1" numFmtId="0" xfId="0" applyAlignment="1" applyBorder="1" applyFont="1">
      <alignment horizontal="center" vertical="center"/>
    </xf>
    <xf borderId="534" fillId="83" fontId="14" numFmtId="0" xfId="0" applyAlignment="1" applyBorder="1" applyFont="1">
      <alignment horizontal="center" vertical="center"/>
    </xf>
    <xf borderId="592" fillId="0" fontId="14" numFmtId="0" xfId="0" applyAlignment="1" applyBorder="1" applyFont="1">
      <alignment horizontal="center" readingOrder="0" vertical="center"/>
    </xf>
    <xf borderId="537" fillId="83" fontId="130" numFmtId="0" xfId="0" applyAlignment="1" applyBorder="1" applyFont="1">
      <alignment horizontal="center" readingOrder="0" vertical="center"/>
    </xf>
    <xf borderId="536" fillId="83" fontId="14" numFmtId="0" xfId="0" applyAlignment="1" applyBorder="1" applyFont="1">
      <alignment horizontal="center" vertical="center"/>
    </xf>
    <xf borderId="534" fillId="83" fontId="145" numFmtId="0" xfId="0" applyAlignment="1" applyBorder="1" applyFont="1">
      <alignment horizontal="center" vertical="center"/>
    </xf>
    <xf borderId="592" fillId="0" fontId="145" numFmtId="0" xfId="0" applyAlignment="1" applyBorder="1" applyFont="1">
      <alignment horizontal="center" readingOrder="0" vertical="center"/>
    </xf>
    <xf borderId="540" fillId="83" fontId="146" numFmtId="0" xfId="0" applyAlignment="1" applyBorder="1" applyFont="1">
      <alignment horizontal="center" readingOrder="0" vertical="top"/>
    </xf>
    <xf borderId="536" fillId="83" fontId="145" numFmtId="0" xfId="0" applyAlignment="1" applyBorder="1" applyFont="1">
      <alignment horizontal="center" vertical="center"/>
    </xf>
    <xf borderId="330" fillId="78" fontId="110" numFmtId="0" xfId="0" applyAlignment="1" applyBorder="1" applyFont="1">
      <alignment horizontal="center" vertical="center"/>
    </xf>
    <xf borderId="525" fillId="83" fontId="96" numFmtId="0" xfId="0" applyAlignment="1" applyBorder="1" applyFont="1">
      <alignment horizontal="right" vertical="center"/>
    </xf>
    <xf borderId="858" fillId="83" fontId="1" numFmtId="0" xfId="0" applyAlignment="1" applyBorder="1" applyFont="1">
      <alignment horizontal="center" vertical="center"/>
    </xf>
    <xf borderId="859" fillId="83" fontId="132" numFmtId="0" xfId="0" applyAlignment="1" applyBorder="1" applyFont="1">
      <alignment horizontal="center" vertical="center"/>
    </xf>
    <xf borderId="544" fillId="83" fontId="147" numFmtId="0" xfId="0" applyAlignment="1" applyBorder="1" applyFont="1">
      <alignment horizontal="right" vertical="top"/>
    </xf>
    <xf borderId="544" fillId="83" fontId="147" numFmtId="0" xfId="0" applyAlignment="1" applyBorder="1" applyFont="1">
      <alignment horizontal="left" vertical="top"/>
    </xf>
    <xf borderId="860" fillId="83" fontId="132" numFmtId="0" xfId="0" applyAlignment="1" applyBorder="1" applyFont="1">
      <alignment horizontal="center" vertical="top"/>
    </xf>
    <xf borderId="542" fillId="83" fontId="147" numFmtId="0" xfId="0" applyAlignment="1" applyBorder="1" applyFont="1">
      <alignment horizontal="center" vertical="top"/>
    </xf>
    <xf borderId="566" fillId="0" fontId="5" numFmtId="0" xfId="0" applyBorder="1" applyFont="1"/>
    <xf borderId="861" fillId="83" fontId="1" numFmtId="0" xfId="0" applyAlignment="1" applyBorder="1" applyFont="1">
      <alignment horizontal="center" vertical="center"/>
    </xf>
    <xf borderId="542" fillId="83" fontId="1" numFmtId="0" xfId="0" applyAlignment="1" applyBorder="1" applyFont="1">
      <alignment horizontal="center" vertical="center"/>
    </xf>
    <xf borderId="862" fillId="83" fontId="132" numFmtId="0" xfId="0" applyAlignment="1" applyBorder="1" applyFont="1">
      <alignment horizontal="center" vertical="center"/>
    </xf>
    <xf borderId="863" fillId="83" fontId="132" numFmtId="0" xfId="0" applyAlignment="1" applyBorder="1" applyFont="1">
      <alignment horizontal="center" vertical="top"/>
    </xf>
    <xf borderId="864" fillId="83" fontId="132" numFmtId="0" xfId="0" applyAlignment="1" applyBorder="1" applyFont="1">
      <alignment horizontal="center" vertical="top"/>
    </xf>
    <xf borderId="548" fillId="83" fontId="132" numFmtId="0" xfId="0" applyAlignment="1" applyBorder="1" applyFont="1">
      <alignment horizontal="center" readingOrder="0" vertical="center"/>
    </xf>
    <xf borderId="551" fillId="83" fontId="96" numFmtId="0" xfId="0" applyAlignment="1" applyBorder="1" applyFont="1">
      <alignment horizontal="right" vertical="center"/>
    </xf>
    <xf borderId="540" fillId="83" fontId="132" numFmtId="0" xfId="0" applyAlignment="1" applyBorder="1" applyFont="1">
      <alignment horizontal="center" readingOrder="0" vertical="center"/>
    </xf>
    <xf borderId="552" fillId="83" fontId="132" numFmtId="0" xfId="0" applyAlignment="1" applyBorder="1" applyFont="1">
      <alignment horizontal="center" readingOrder="0" vertical="center"/>
    </xf>
    <xf borderId="553" fillId="83" fontId="132" numFmtId="0" xfId="0" applyAlignment="1" applyBorder="1" applyFont="1">
      <alignment horizontal="center" vertical="center"/>
    </xf>
    <xf borderId="865" fillId="0" fontId="5" numFmtId="0" xfId="0" applyBorder="1" applyFont="1"/>
    <xf borderId="550" fillId="83" fontId="132" numFmtId="0" xfId="0" applyAlignment="1" applyBorder="1" applyFont="1">
      <alignment horizontal="center" readingOrder="0" vertical="center"/>
    </xf>
    <xf borderId="544" fillId="83" fontId="96" numFmtId="0" xfId="0" applyAlignment="1" applyBorder="1" applyFont="1">
      <alignment horizontal="right" vertical="center"/>
    </xf>
    <xf borderId="541" fillId="83" fontId="132" numFmtId="0" xfId="0" applyAlignment="1" applyBorder="1" applyFont="1">
      <alignment horizontal="center" vertical="center"/>
    </xf>
    <xf borderId="541" fillId="83" fontId="132" numFmtId="0" xfId="0" applyAlignment="1" applyBorder="1" applyFont="1">
      <alignment horizontal="center" readingOrder="0" vertical="center"/>
    </xf>
    <xf borderId="557" fillId="83" fontId="132" numFmtId="0" xfId="0" applyAlignment="1" applyBorder="1" applyFont="1">
      <alignment horizontal="center" readingOrder="0" vertical="center"/>
    </xf>
    <xf borderId="866" fillId="0" fontId="5" numFmtId="0" xfId="0" applyBorder="1" applyFont="1"/>
    <xf borderId="867" fillId="83" fontId="132" numFmtId="0" xfId="0" applyAlignment="1" applyBorder="1" applyFont="1">
      <alignment horizontal="center" vertical="center"/>
    </xf>
    <xf borderId="544" fillId="83" fontId="120" numFmtId="0" xfId="0" applyAlignment="1" applyBorder="1" applyFont="1">
      <alignment horizontal="right" vertical="center"/>
    </xf>
    <xf borderId="525" fillId="83" fontId="112" numFmtId="0" xfId="0" applyAlignment="1" applyBorder="1" applyFont="1">
      <alignment horizontal="center" vertical="center"/>
    </xf>
    <xf borderId="542" fillId="83" fontId="151" numFmtId="0" xfId="0" applyAlignment="1" applyBorder="1" applyFont="1">
      <alignment horizontal="center" vertical="center"/>
    </xf>
    <xf borderId="535" fillId="83" fontId="116" numFmtId="0" xfId="0" applyAlignment="1" applyBorder="1" applyFont="1">
      <alignment horizontal="center" vertical="center"/>
    </xf>
    <xf borderId="526" fillId="83" fontId="116" numFmtId="0" xfId="0" applyAlignment="1" applyBorder="1" applyFont="1">
      <alignment horizontal="center" vertical="center"/>
    </xf>
    <xf borderId="544" fillId="83" fontId="116" numFmtId="0" xfId="0" applyAlignment="1" applyBorder="1" applyFont="1">
      <alignment horizontal="center" vertical="center"/>
    </xf>
    <xf borderId="408" fillId="37" fontId="115" numFmtId="0" xfId="0" applyAlignment="1" applyBorder="1" applyFont="1">
      <alignment horizontal="center" readingOrder="0" vertical="center"/>
    </xf>
    <xf borderId="578" fillId="83" fontId="1" numFmtId="0" xfId="0" applyAlignment="1" applyBorder="1" applyFont="1">
      <alignment horizontal="center" vertical="center"/>
    </xf>
    <xf borderId="579" fillId="83" fontId="96" numFmtId="0" xfId="0" applyAlignment="1" applyBorder="1" applyFont="1">
      <alignment horizontal="right" vertical="center"/>
    </xf>
    <xf borderId="579" fillId="83" fontId="1" numFmtId="0" xfId="0" applyAlignment="1" applyBorder="1" applyFont="1">
      <alignment horizontal="center" vertical="center"/>
    </xf>
    <xf borderId="580" fillId="83" fontId="1" numFmtId="0" xfId="0" applyAlignment="1" applyBorder="1" applyFont="1">
      <alignment horizontal="center" vertical="center"/>
    </xf>
    <xf borderId="868" fillId="83" fontId="1" numFmtId="0" xfId="0" applyAlignment="1" applyBorder="1" applyFont="1">
      <alignment horizontal="center" vertical="center"/>
    </xf>
    <xf borderId="581" fillId="83" fontId="1" numFmtId="0" xfId="0" applyAlignment="1" applyBorder="1" applyFont="1">
      <alignment horizontal="center" vertical="center"/>
    </xf>
    <xf borderId="323" fillId="78" fontId="100" numFmtId="0" xfId="0" applyAlignment="1" applyBorder="1" applyFont="1">
      <alignment horizontal="center" readingOrder="0" vertical="center"/>
    </xf>
    <xf borderId="815" fillId="78" fontId="1" numFmtId="0" xfId="0" applyAlignment="1" applyBorder="1" applyFont="1">
      <alignment horizontal="center" vertical="center"/>
    </xf>
    <xf borderId="815" fillId="78" fontId="96" numFmtId="0" xfId="0" applyAlignment="1" applyBorder="1" applyFont="1">
      <alignment horizontal="right" vertical="center"/>
    </xf>
    <xf borderId="869" fillId="91" fontId="153" numFmtId="0" xfId="0" applyAlignment="1" applyBorder="1" applyFill="1" applyFont="1">
      <alignment horizontal="center" vertical="center"/>
    </xf>
    <xf borderId="870" fillId="91" fontId="154" numFmtId="0" xfId="0" applyAlignment="1" applyBorder="1" applyFont="1">
      <alignment horizontal="center" vertical="center"/>
    </xf>
    <xf borderId="870" fillId="91" fontId="96" numFmtId="0" xfId="0" applyAlignment="1" applyBorder="1" applyFont="1">
      <alignment horizontal="right" vertical="center"/>
    </xf>
    <xf borderId="869" fillId="91" fontId="154" numFmtId="0" xfId="0" applyAlignment="1" applyBorder="1" applyFont="1">
      <alignment horizontal="center" vertical="center"/>
    </xf>
    <xf borderId="871" fillId="91" fontId="153" numFmtId="0" xfId="0" applyAlignment="1" applyBorder="1" applyFont="1">
      <alignment horizontal="center" vertical="center"/>
    </xf>
    <xf borderId="872" fillId="92" fontId="154" numFmtId="0" xfId="0" applyAlignment="1" applyBorder="1" applyFill="1" applyFont="1">
      <alignment horizontal="center" vertical="center"/>
    </xf>
    <xf borderId="873" fillId="92" fontId="96" numFmtId="0" xfId="0" applyAlignment="1" applyBorder="1" applyFont="1">
      <alignment horizontal="right" vertical="center"/>
    </xf>
    <xf borderId="874" fillId="92" fontId="154" numFmtId="0" xfId="0" applyAlignment="1" applyBorder="1" applyFont="1">
      <alignment horizontal="center" vertical="center"/>
    </xf>
    <xf borderId="875" fillId="92" fontId="154" numFmtId="0" xfId="0" applyAlignment="1" applyBorder="1" applyFont="1">
      <alignment horizontal="center" vertical="center"/>
    </xf>
    <xf borderId="876" fillId="92" fontId="154" numFmtId="0" xfId="0" applyAlignment="1" applyBorder="1" applyFont="1">
      <alignment horizontal="center" vertical="center"/>
    </xf>
    <xf borderId="877" fillId="91" fontId="154" numFmtId="0" xfId="0" applyAlignment="1" applyBorder="1" applyFont="1">
      <alignment horizontal="center" vertical="center"/>
    </xf>
    <xf borderId="871" fillId="91" fontId="155" numFmtId="0" xfId="0" applyAlignment="1" applyBorder="1" applyFont="1">
      <alignment horizontal="center" vertical="center"/>
    </xf>
    <xf borderId="878" fillId="92" fontId="154" numFmtId="0" xfId="0" applyAlignment="1" applyBorder="1" applyFont="1">
      <alignment horizontal="center" vertical="center"/>
    </xf>
    <xf borderId="339" fillId="19" fontId="96" numFmtId="0" xfId="0" applyAlignment="1" applyBorder="1" applyFont="1">
      <alignment horizontal="right" vertical="center"/>
    </xf>
    <xf borderId="879" fillId="92" fontId="156" numFmtId="0" xfId="0" applyAlignment="1" applyBorder="1" applyFont="1">
      <alignment horizontal="center" vertical="center"/>
    </xf>
    <xf borderId="341" fillId="19" fontId="156" numFmtId="0" xfId="0" applyAlignment="1" applyBorder="1" applyFont="1">
      <alignment horizontal="center" vertical="center"/>
    </xf>
    <xf borderId="880" fillId="92" fontId="154" numFmtId="0" xfId="0" applyAlignment="1" applyBorder="1" applyFont="1">
      <alignment horizontal="center" vertical="center"/>
    </xf>
    <xf borderId="881" fillId="92" fontId="154" numFmtId="0" xfId="0" applyAlignment="1" applyBorder="1" applyFont="1">
      <alignment horizontal="center" vertical="center"/>
    </xf>
    <xf borderId="882" fillId="92" fontId="154" numFmtId="0" xfId="0" applyAlignment="1" applyBorder="1" applyFont="1">
      <alignment horizontal="center" vertical="center"/>
    </xf>
    <xf borderId="879" fillId="0" fontId="5" numFmtId="0" xfId="0" applyBorder="1" applyFont="1"/>
    <xf borderId="883" fillId="0" fontId="5" numFmtId="0" xfId="0" applyBorder="1" applyFont="1"/>
    <xf borderId="884" fillId="92" fontId="154" numFmtId="0" xfId="0" applyAlignment="1" applyBorder="1" applyFont="1">
      <alignment horizontal="center" vertical="center"/>
    </xf>
    <xf borderId="871" fillId="91" fontId="157" numFmtId="0" xfId="0" applyAlignment="1" applyBorder="1" applyFont="1">
      <alignment horizontal="center" readingOrder="0" vertical="center"/>
    </xf>
    <xf borderId="878" fillId="92" fontId="132" numFmtId="0" xfId="0" applyAlignment="1" applyBorder="1" applyFont="1">
      <alignment horizontal="center" vertical="center"/>
    </xf>
    <xf borderId="885" fillId="92" fontId="96" numFmtId="0" xfId="0" applyAlignment="1" applyBorder="1" applyFont="1">
      <alignment horizontal="right" readingOrder="0" vertical="center"/>
    </xf>
    <xf borderId="879" fillId="92" fontId="132" numFmtId="0" xfId="0" applyAlignment="1" applyBorder="1" applyFont="1">
      <alignment horizontal="center" readingOrder="0" vertical="center"/>
    </xf>
    <xf borderId="886" fillId="92" fontId="130" numFmtId="0" xfId="0" applyAlignment="1" applyBorder="1" applyFont="1">
      <alignment horizontal="center" readingOrder="0" vertical="center"/>
    </xf>
    <xf borderId="887" fillId="0" fontId="5" numFmtId="0" xfId="0" applyBorder="1" applyFont="1"/>
    <xf borderId="888" fillId="0" fontId="5" numFmtId="0" xfId="0" applyBorder="1" applyFont="1"/>
    <xf borderId="889" fillId="0" fontId="5" numFmtId="0" xfId="0" applyBorder="1" applyFont="1"/>
    <xf borderId="882" fillId="92" fontId="132" numFmtId="0" xfId="0" applyAlignment="1" applyBorder="1" applyFont="1">
      <alignment horizontal="center" vertical="center"/>
    </xf>
    <xf borderId="884" fillId="92" fontId="132" numFmtId="0" xfId="0" applyAlignment="1" applyBorder="1" applyFont="1">
      <alignment horizontal="center" vertical="center"/>
    </xf>
    <xf borderId="877" fillId="91" fontId="132" numFmtId="0" xfId="0" applyAlignment="1" applyBorder="1" applyFont="1">
      <alignment horizontal="center" vertical="center"/>
    </xf>
    <xf borderId="878" fillId="92" fontId="158" numFmtId="0" xfId="0" applyAlignment="1" applyBorder="1" applyFont="1">
      <alignment horizontal="center" vertical="center"/>
    </xf>
    <xf borderId="890" fillId="0" fontId="5" numFmtId="0" xfId="0" applyBorder="1" applyFont="1"/>
    <xf borderId="879" fillId="92" fontId="158" numFmtId="0" xfId="0" applyAlignment="1" applyBorder="1" applyFont="1">
      <alignment horizontal="center" readingOrder="0" vertical="center"/>
    </xf>
    <xf borderId="891" fillId="92" fontId="146" numFmtId="0" xfId="0" applyAlignment="1" applyBorder="1" applyFont="1">
      <alignment horizontal="center" readingOrder="0" vertical="top"/>
    </xf>
    <xf borderId="892" fillId="0" fontId="5" numFmtId="0" xfId="0" applyBorder="1" applyFont="1"/>
    <xf borderId="882" fillId="92" fontId="158" numFmtId="0" xfId="0" applyAlignment="1" applyBorder="1" applyFont="1">
      <alignment horizontal="center" vertical="center"/>
    </xf>
    <xf borderId="884" fillId="92" fontId="158" numFmtId="0" xfId="0" applyAlignment="1" applyBorder="1" applyFont="1">
      <alignment horizontal="center" vertical="center"/>
    </xf>
    <xf borderId="877" fillId="91" fontId="158" numFmtId="0" xfId="0" applyAlignment="1" applyBorder="1" applyFont="1">
      <alignment horizontal="center" vertical="center"/>
    </xf>
    <xf borderId="893" fillId="92" fontId="154" numFmtId="0" xfId="0" applyAlignment="1" applyBorder="1" applyFont="1">
      <alignment horizontal="center" vertical="center"/>
    </xf>
    <xf borderId="894" fillId="0" fontId="5" numFmtId="0" xfId="0" applyBorder="1" applyFont="1"/>
    <xf borderId="879" fillId="92" fontId="154" numFmtId="0" xfId="0" applyAlignment="1" applyBorder="1" applyFont="1">
      <alignment horizontal="center" vertical="center"/>
    </xf>
    <xf borderId="895" fillId="92" fontId="132" numFmtId="0" xfId="0" applyAlignment="1" applyBorder="1" applyFont="1">
      <alignment horizontal="center" vertical="center"/>
    </xf>
    <xf borderId="896" fillId="92" fontId="147" numFmtId="0" xfId="0" applyAlignment="1" applyBorder="1" applyFont="1">
      <alignment horizontal="right" vertical="top"/>
    </xf>
    <xf borderId="896" fillId="92" fontId="147" numFmtId="0" xfId="0" applyAlignment="1" applyBorder="1" applyFont="1">
      <alignment horizontal="left" vertical="top"/>
    </xf>
    <xf borderId="897" fillId="92" fontId="132" numFmtId="0" xfId="0" applyAlignment="1" applyBorder="1" applyFont="1">
      <alignment horizontal="center" vertical="top"/>
    </xf>
    <xf borderId="882" fillId="92" fontId="147" numFmtId="0" xfId="0" applyAlignment="1" applyBorder="1" applyFont="1">
      <alignment horizontal="center" vertical="top"/>
    </xf>
    <xf borderId="871" fillId="91" fontId="159" numFmtId="0" xfId="0" applyAlignment="1" applyBorder="1" applyFont="1">
      <alignment horizontal="center" vertical="center"/>
    </xf>
    <xf borderId="898" fillId="92" fontId="96" numFmtId="0" xfId="0" applyAlignment="1" applyBorder="1" applyFont="1">
      <alignment horizontal="right" vertical="center"/>
    </xf>
    <xf borderId="899" fillId="92" fontId="132" numFmtId="0" xfId="0" applyAlignment="1" applyBorder="1" applyFont="1">
      <alignment horizontal="center" vertical="center"/>
    </xf>
    <xf borderId="900" fillId="92" fontId="132" numFmtId="0" xfId="0" applyAlignment="1" applyBorder="1" applyFont="1">
      <alignment horizontal="center" vertical="top"/>
    </xf>
    <xf borderId="901" fillId="92" fontId="132" numFmtId="0" xfId="0" applyAlignment="1" applyBorder="1" applyFont="1">
      <alignment horizontal="center" vertical="top"/>
    </xf>
    <xf borderId="896" fillId="92" fontId="154" numFmtId="0" xfId="0" applyAlignment="1" applyBorder="1" applyFont="1">
      <alignment horizontal="center" vertical="center"/>
    </xf>
    <xf borderId="896" fillId="92" fontId="96" numFmtId="0" xfId="0" applyAlignment="1" applyBorder="1" applyFont="1">
      <alignment horizontal="right" vertical="center"/>
    </xf>
    <xf borderId="902" fillId="92" fontId="132" numFmtId="0" xfId="0" applyAlignment="1" applyBorder="1" applyFont="1">
      <alignment horizontal="center" readingOrder="0" vertical="center"/>
    </xf>
    <xf borderId="903" fillId="0" fontId="5" numFmtId="0" xfId="0" applyBorder="1" applyFont="1"/>
    <xf borderId="904" fillId="0" fontId="5" numFmtId="0" xfId="0" applyBorder="1" applyFont="1"/>
    <xf borderId="879" fillId="92" fontId="132" numFmtId="0" xfId="0" applyAlignment="1" applyBorder="1" applyFont="1">
      <alignment horizontal="center" vertical="center"/>
    </xf>
    <xf borderId="905" fillId="92" fontId="96" numFmtId="0" xfId="0" applyAlignment="1" applyBorder="1" applyFont="1">
      <alignment horizontal="right" vertical="center"/>
    </xf>
    <xf borderId="891" fillId="92" fontId="132" numFmtId="0" xfId="0" applyAlignment="1" applyBorder="1" applyFont="1">
      <alignment horizontal="center" readingOrder="0" vertical="center"/>
    </xf>
    <xf borderId="906" fillId="0" fontId="5" numFmtId="0" xfId="0" applyBorder="1" applyFont="1"/>
    <xf borderId="907" fillId="92" fontId="132" numFmtId="0" xfId="0" applyAlignment="1" applyBorder="1" applyFont="1">
      <alignment horizontal="center" readingOrder="0" vertical="center"/>
    </xf>
    <xf borderId="880" fillId="0" fontId="5" numFmtId="0" xfId="0" applyBorder="1" applyFont="1"/>
    <xf borderId="881" fillId="0" fontId="5" numFmtId="0" xfId="0" applyBorder="1" applyFont="1"/>
    <xf borderId="908" fillId="92" fontId="132" numFmtId="0" xfId="0" applyAlignment="1" applyBorder="1" applyFont="1">
      <alignment horizontal="center" vertical="center"/>
    </xf>
    <xf borderId="898" fillId="0" fontId="5" numFmtId="0" xfId="0" applyBorder="1" applyFont="1"/>
    <xf borderId="909" fillId="92" fontId="132" numFmtId="0" xfId="0" applyAlignment="1" applyBorder="1" applyFont="1">
      <alignment horizontal="center" readingOrder="0" vertical="center"/>
    </xf>
    <xf borderId="897" fillId="92" fontId="132" numFmtId="0" xfId="0" applyAlignment="1" applyBorder="1" applyFont="1">
      <alignment horizontal="center" readingOrder="0" vertical="center"/>
    </xf>
    <xf borderId="910" fillId="92" fontId="132" numFmtId="0" xfId="0" applyAlignment="1" applyBorder="1" applyFont="1">
      <alignment horizontal="center" readingOrder="0" vertical="center"/>
    </xf>
    <xf borderId="911" fillId="0" fontId="5" numFmtId="0" xfId="0" applyBorder="1" applyFont="1"/>
    <xf borderId="912" fillId="92" fontId="132" numFmtId="0" xfId="0" applyAlignment="1" applyBorder="1" applyFont="1">
      <alignment horizontal="center" readingOrder="0" vertical="center"/>
    </xf>
    <xf borderId="913" fillId="0" fontId="5" numFmtId="0" xfId="0" applyBorder="1" applyFont="1"/>
    <xf borderId="893" fillId="92" fontId="153" numFmtId="0" xfId="0" applyAlignment="1" applyBorder="1" applyFont="1">
      <alignment horizontal="center" vertical="center"/>
    </xf>
    <xf borderId="896" fillId="92" fontId="120" numFmtId="0" xfId="0" applyAlignment="1" applyBorder="1" applyFont="1">
      <alignment horizontal="right" vertical="center"/>
    </xf>
    <xf borderId="896" fillId="92" fontId="160" numFmtId="0" xfId="0" applyAlignment="1" applyBorder="1" applyFont="1">
      <alignment horizontal="center" vertical="center"/>
    </xf>
    <xf borderId="906" fillId="92" fontId="160" numFmtId="0" xfId="0" applyAlignment="1" applyBorder="1" applyFont="1">
      <alignment horizontal="center" vertical="center"/>
    </xf>
    <xf borderId="896" fillId="92" fontId="161" numFmtId="0" xfId="0" applyAlignment="1" applyBorder="1" applyFont="1">
      <alignment horizontal="center" vertical="center"/>
    </xf>
    <xf borderId="884" fillId="92" fontId="153" numFmtId="0" xfId="0" applyAlignment="1" applyBorder="1" applyFont="1">
      <alignment horizontal="center" vertical="center"/>
    </xf>
    <xf borderId="877" fillId="91" fontId="153" numFmtId="0" xfId="0" applyAlignment="1" applyBorder="1" applyFont="1">
      <alignment horizontal="center" vertical="center"/>
    </xf>
    <xf borderId="893" fillId="92" fontId="162" numFmtId="0" xfId="0" applyAlignment="1" applyBorder="1" applyFont="1">
      <alignment horizontal="center" vertical="center"/>
    </xf>
    <xf borderId="882" fillId="92" fontId="140" numFmtId="0" xfId="0" applyAlignment="1" applyBorder="1" applyFont="1">
      <alignment horizontal="center" vertical="center"/>
    </xf>
    <xf borderId="378" fillId="93" fontId="138" numFmtId="0" xfId="0" applyAlignment="1" applyBorder="1" applyFill="1" applyFont="1">
      <alignment horizontal="center" readingOrder="0" vertical="top"/>
    </xf>
    <xf borderId="879" fillId="92" fontId="139" numFmtId="0" xfId="0" applyAlignment="1" applyBorder="1" applyFont="1">
      <alignment horizontal="center" vertical="center"/>
    </xf>
    <xf borderId="882" fillId="92" fontId="162" numFmtId="0" xfId="0" applyAlignment="1" applyBorder="1" applyFont="1">
      <alignment horizontal="center" vertical="center"/>
    </xf>
    <xf borderId="896" fillId="92" fontId="162" numFmtId="0" xfId="0" applyAlignment="1" applyBorder="1" applyFont="1">
      <alignment horizontal="center" vertical="center"/>
    </xf>
    <xf borderId="884" fillId="92" fontId="162" numFmtId="0" xfId="0" applyAlignment="1" applyBorder="1" applyFont="1">
      <alignment horizontal="center" vertical="center"/>
    </xf>
    <xf borderId="877" fillId="91" fontId="162" numFmtId="0" xfId="0" applyAlignment="1" applyBorder="1" applyFont="1">
      <alignment horizontal="center" vertical="center"/>
    </xf>
    <xf borderId="914" fillId="93" fontId="138" numFmtId="0" xfId="0" applyAlignment="1" applyBorder="1" applyFont="1">
      <alignment horizontal="center" readingOrder="0" vertical="center"/>
    </xf>
    <xf borderId="915" fillId="93" fontId="138" numFmtId="0" xfId="0" applyAlignment="1" applyBorder="1" applyFont="1">
      <alignment horizontal="center" readingOrder="0" vertical="center"/>
    </xf>
    <xf borderId="916" fillId="93" fontId="138" numFmtId="0" xfId="0" applyAlignment="1" applyBorder="1" applyFont="1">
      <alignment horizontal="left" readingOrder="0" vertical="center"/>
    </xf>
    <xf borderId="917" fillId="0" fontId="5" numFmtId="0" xfId="0" applyBorder="1" applyFont="1"/>
    <xf borderId="918" fillId="93" fontId="138" numFmtId="0" xfId="0" applyAlignment="1" applyBorder="1" applyFont="1">
      <alignment horizontal="left" readingOrder="0" vertical="center"/>
    </xf>
    <xf borderId="919" fillId="0" fontId="5" numFmtId="0" xfId="0" applyBorder="1" applyFont="1"/>
    <xf borderId="883" fillId="92" fontId="139" numFmtId="0" xfId="0" applyAlignment="1" applyBorder="1" applyFont="1">
      <alignment horizontal="center" vertical="center"/>
    </xf>
    <xf borderId="920" fillId="93" fontId="138" numFmtId="0" xfId="0" applyAlignment="1" applyBorder="1" applyFont="1">
      <alignment horizontal="center" readingOrder="0" vertical="center"/>
    </xf>
    <xf borderId="921" fillId="93" fontId="138" numFmtId="0" xfId="0" applyAlignment="1" applyBorder="1" applyFont="1">
      <alignment horizontal="center" readingOrder="0" vertical="center"/>
    </xf>
    <xf borderId="922" fillId="93" fontId="138" numFmtId="0" xfId="0" applyAlignment="1" applyBorder="1" applyFont="1">
      <alignment horizontal="left" readingOrder="0" vertical="center"/>
    </xf>
    <xf borderId="923" fillId="0" fontId="5" numFmtId="0" xfId="0" applyBorder="1" applyFont="1"/>
    <xf borderId="924" fillId="93" fontId="138" numFmtId="0" xfId="0" applyAlignment="1" applyBorder="1" applyFont="1">
      <alignment horizontal="center" readingOrder="0" vertical="center"/>
    </xf>
    <xf borderId="925" fillId="93" fontId="138" numFmtId="0" xfId="0" applyAlignment="1" applyBorder="1" applyFont="1">
      <alignment horizontal="center" readingOrder="0" vertical="center"/>
    </xf>
    <xf borderId="926" fillId="93" fontId="138" numFmtId="0" xfId="0" applyAlignment="1" applyBorder="1" applyFont="1">
      <alignment horizontal="left" readingOrder="0" vertical="center"/>
    </xf>
    <xf borderId="927" fillId="0" fontId="5" numFmtId="0" xfId="0" applyBorder="1" applyFont="1"/>
    <xf borderId="395" fillId="93" fontId="138" numFmtId="0" xfId="0" applyAlignment="1" applyBorder="1" applyFont="1">
      <alignment horizontal="right" readingOrder="0" vertical="center"/>
    </xf>
    <xf borderId="400" fillId="93" fontId="138" numFmtId="0" xfId="0" applyAlignment="1" applyBorder="1" applyFont="1">
      <alignment horizontal="right" readingOrder="0" vertical="center"/>
    </xf>
    <xf borderId="928" fillId="92" fontId="162" numFmtId="0" xfId="0" applyAlignment="1" applyBorder="1" applyFont="1">
      <alignment horizontal="center" vertical="center"/>
    </xf>
    <xf borderId="905" fillId="92" fontId="120" numFmtId="0" xfId="0" applyAlignment="1" applyBorder="1" applyFont="1">
      <alignment horizontal="right" vertical="center"/>
    </xf>
    <xf borderId="929" fillId="92" fontId="140" numFmtId="0" xfId="0" applyAlignment="1" applyBorder="1" applyFont="1">
      <alignment horizontal="center" vertical="center"/>
    </xf>
    <xf borderId="898" fillId="92" fontId="120" numFmtId="0" xfId="0" applyAlignment="1" applyBorder="1" applyFont="1">
      <alignment horizontal="right" vertical="center"/>
    </xf>
    <xf borderId="405" fillId="93" fontId="138" numFmtId="0" xfId="0" applyAlignment="1" applyBorder="1" applyFont="1">
      <alignment horizontal="right" readingOrder="0" vertical="center"/>
    </xf>
    <xf borderId="408" fillId="93" fontId="138" numFmtId="0" xfId="0" applyAlignment="1" applyBorder="1" applyFont="1">
      <alignment horizontal="center" readingOrder="0" vertical="center"/>
    </xf>
    <xf borderId="889" fillId="92" fontId="139" numFmtId="0" xfId="0" applyAlignment="1" applyBorder="1" applyFont="1">
      <alignment horizontal="center" vertical="center"/>
    </xf>
    <xf borderId="906" fillId="92" fontId="162" numFmtId="0" xfId="0" applyAlignment="1" applyBorder="1" applyFont="1">
      <alignment horizontal="center" vertical="center"/>
    </xf>
    <xf borderId="930" fillId="92" fontId="154" numFmtId="0" xfId="0" applyAlignment="1" applyBorder="1" applyFont="1">
      <alignment horizontal="center" vertical="center"/>
    </xf>
    <xf borderId="931" fillId="92" fontId="120" numFmtId="0" xfId="0" applyAlignment="1" applyBorder="1" applyFont="1">
      <alignment horizontal="right" readingOrder="0" vertical="center"/>
    </xf>
    <xf borderId="931" fillId="92" fontId="103" numFmtId="0" xfId="0" applyAlignment="1" applyBorder="1" applyFont="1">
      <alignment horizontal="center" readingOrder="0" vertical="center"/>
    </xf>
    <xf borderId="932" fillId="92" fontId="103" numFmtId="0" xfId="0" applyAlignment="1" applyBorder="1" applyFont="1">
      <alignment horizontal="center" readingOrder="0" vertical="center"/>
    </xf>
    <xf borderId="933" fillId="92" fontId="154" numFmtId="0" xfId="0" applyAlignment="1" applyBorder="1" applyFont="1">
      <alignment horizontal="center" vertical="center"/>
    </xf>
    <xf borderId="934" fillId="94" fontId="154" numFmtId="0" xfId="0" applyAlignment="1" applyBorder="1" applyFill="1" applyFont="1">
      <alignment horizontal="center" vertical="center"/>
    </xf>
    <xf borderId="935" fillId="94" fontId="120" numFmtId="0" xfId="0" applyAlignment="1" applyBorder="1" applyFont="1">
      <alignment horizontal="right" readingOrder="0" vertical="center"/>
    </xf>
    <xf borderId="936" fillId="0" fontId="5" numFmtId="0" xfId="0" applyBorder="1" applyFont="1"/>
    <xf borderId="937" fillId="0" fontId="5" numFmtId="0" xfId="0" applyBorder="1" applyFont="1"/>
    <xf borderId="938" fillId="94" fontId="154" numFmtId="0" xfId="0" applyAlignment="1" applyBorder="1" applyFont="1">
      <alignment horizontal="center" vertical="center"/>
    </xf>
    <xf borderId="939" fillId="94" fontId="154" numFmtId="0" xfId="0" applyAlignment="1" applyBorder="1" applyFont="1">
      <alignment horizontal="center" vertical="center"/>
    </xf>
    <xf borderId="940" fillId="94" fontId="96" numFmtId="0" xfId="0" applyAlignment="1" applyBorder="1" applyFont="1">
      <alignment horizontal="right" vertical="center"/>
    </xf>
    <xf borderId="941" fillId="94" fontId="154" numFmtId="0" xfId="0" applyAlignment="1" applyBorder="1" applyFont="1">
      <alignment horizontal="center" vertical="center"/>
    </xf>
    <xf borderId="942" fillId="4" fontId="163" numFmtId="0" xfId="0" applyAlignment="1" applyBorder="1" applyFont="1">
      <alignment horizontal="center" readingOrder="0" vertical="center"/>
    </xf>
    <xf borderId="943" fillId="0" fontId="5" numFmtId="0" xfId="0" applyBorder="1" applyFont="1"/>
    <xf borderId="944" fillId="0" fontId="5" numFmtId="0" xfId="0" applyBorder="1" applyFont="1"/>
    <xf borderId="945" fillId="94" fontId="154" numFmtId="0" xfId="0" applyAlignment="1" applyBorder="1" applyFont="1">
      <alignment horizontal="center" vertical="center"/>
    </xf>
    <xf borderId="940" fillId="94" fontId="96" numFmtId="0" xfId="0" applyAlignment="1" applyBorder="1" applyFont="1">
      <alignment horizontal="right" readingOrder="0" vertical="center"/>
    </xf>
    <xf borderId="940" fillId="94" fontId="164" numFmtId="0" xfId="0" applyAlignment="1" applyBorder="1" applyFont="1">
      <alignment horizontal="center" readingOrder="0" vertical="center"/>
    </xf>
    <xf borderId="946" fillId="94" fontId="164" numFmtId="0" xfId="0" applyAlignment="1" applyBorder="1" applyFont="1">
      <alignment horizontal="center" readingOrder="0" vertical="center"/>
    </xf>
    <xf borderId="947" fillId="94" fontId="154" numFmtId="0" xfId="0" applyAlignment="1" applyBorder="1" applyFont="1">
      <alignment horizontal="center" vertical="center"/>
    </xf>
    <xf borderId="948" fillId="94" fontId="96" numFmtId="0" xfId="0" applyAlignment="1" applyBorder="1" applyFont="1">
      <alignment horizontal="right" readingOrder="0" vertical="center"/>
    </xf>
    <xf borderId="940" fillId="94" fontId="165" numFmtId="0" xfId="0" applyAlignment="1" applyBorder="1" applyFont="1">
      <alignment horizontal="center" readingOrder="0" vertical="center"/>
    </xf>
    <xf borderId="949" fillId="94" fontId="166" numFmtId="0" xfId="0" applyAlignment="1" applyBorder="1" applyFont="1">
      <alignment horizontal="left" readingOrder="0" vertical="center"/>
    </xf>
    <xf borderId="950" fillId="0" fontId="5" numFmtId="0" xfId="0" applyBorder="1" applyFont="1"/>
    <xf borderId="951" fillId="0" fontId="5" numFmtId="0" xfId="0" applyBorder="1" applyFont="1"/>
    <xf borderId="952" fillId="94" fontId="165" numFmtId="0" xfId="0" applyAlignment="1" applyBorder="1" applyFont="1">
      <alignment horizontal="center" readingOrder="0" vertical="center"/>
    </xf>
    <xf borderId="953" fillId="94" fontId="154" numFmtId="0" xfId="0" applyAlignment="1" applyBorder="1" applyFont="1">
      <alignment horizontal="center" vertical="center"/>
    </xf>
    <xf borderId="339" fillId="18" fontId="96" numFmtId="0" xfId="0" applyAlignment="1" applyBorder="1" applyFont="1">
      <alignment horizontal="right" vertical="center"/>
    </xf>
    <xf borderId="954" fillId="94" fontId="156" numFmtId="0" xfId="0" applyAlignment="1" applyBorder="1" applyFont="1">
      <alignment horizontal="center" vertical="center"/>
    </xf>
    <xf borderId="341" fillId="18" fontId="131" numFmtId="0" xfId="0" applyAlignment="1" applyBorder="1" applyFont="1">
      <alignment horizontal="center" vertical="center"/>
    </xf>
    <xf borderId="950" fillId="94" fontId="132" numFmtId="0" xfId="0" applyAlignment="1" applyBorder="1" applyFont="1">
      <alignment horizontal="center" vertical="center"/>
    </xf>
    <xf borderId="950" fillId="94" fontId="154" numFmtId="0" xfId="0" applyAlignment="1" applyBorder="1" applyFont="1">
      <alignment horizontal="center" vertical="center"/>
    </xf>
    <xf borderId="953" fillId="94" fontId="132" numFmtId="0" xfId="0" applyAlignment="1" applyBorder="1" applyFont="1">
      <alignment horizontal="center" vertical="center"/>
    </xf>
    <xf borderId="885" fillId="94" fontId="96" numFmtId="0" xfId="0" applyAlignment="1" applyBorder="1" applyFont="1">
      <alignment horizontal="right" readingOrder="0" vertical="center"/>
    </xf>
    <xf borderId="955" fillId="94" fontId="132" numFmtId="0" xfId="0" applyAlignment="1" applyBorder="1" applyFont="1">
      <alignment horizontal="center" readingOrder="0" vertical="center"/>
    </xf>
    <xf borderId="956" fillId="94" fontId="130" numFmtId="0" xfId="0" applyAlignment="1" applyBorder="1" applyFont="1">
      <alignment horizontal="center" readingOrder="0" vertical="center"/>
    </xf>
    <xf borderId="957" fillId="0" fontId="5" numFmtId="0" xfId="0" applyBorder="1" applyFont="1"/>
    <xf borderId="945" fillId="94" fontId="132" numFmtId="0" xfId="0" applyAlignment="1" applyBorder="1" applyFont="1">
      <alignment horizontal="center" vertical="center"/>
    </xf>
    <xf borderId="955" fillId="94" fontId="154" numFmtId="0" xfId="0" applyAlignment="1" applyBorder="1" applyFont="1">
      <alignment horizontal="center" readingOrder="0" vertical="center"/>
    </xf>
    <xf borderId="958" fillId="94" fontId="146" numFmtId="0" xfId="0" applyAlignment="1" applyBorder="1" applyFont="1">
      <alignment horizontal="center" readingOrder="0" vertical="top"/>
    </xf>
    <xf borderId="955" fillId="0" fontId="5" numFmtId="0" xfId="0" applyBorder="1" applyFont="1"/>
    <xf borderId="959" fillId="0" fontId="5" numFmtId="0" xfId="0" applyBorder="1" applyFont="1"/>
    <xf borderId="960" fillId="94" fontId="154" numFmtId="0" xfId="0" applyAlignment="1" applyBorder="1" applyFont="1">
      <alignment horizontal="center" vertical="center"/>
    </xf>
    <xf borderId="961" fillId="94" fontId="132" numFmtId="0" xfId="0" applyAlignment="1" applyBorder="1" applyFont="1">
      <alignment horizontal="center" vertical="center"/>
    </xf>
    <xf borderId="940" fillId="94" fontId="147" numFmtId="0" xfId="0" applyAlignment="1" applyBorder="1" applyFont="1">
      <alignment horizontal="right" vertical="top"/>
    </xf>
    <xf borderId="940" fillId="94" fontId="147" numFmtId="0" xfId="0" applyAlignment="1" applyBorder="1" applyFont="1">
      <alignment horizontal="left" vertical="top"/>
    </xf>
    <xf borderId="962" fillId="94" fontId="132" numFmtId="0" xfId="0" applyAlignment="1" applyBorder="1" applyFont="1">
      <alignment horizontal="center" vertical="top"/>
    </xf>
    <xf borderId="946" fillId="94" fontId="96" numFmtId="0" xfId="0" applyAlignment="1" applyBorder="1" applyFont="1">
      <alignment horizontal="right" vertical="center"/>
    </xf>
    <xf borderId="963" fillId="94" fontId="154" numFmtId="0" xfId="0" applyAlignment="1" applyBorder="1" applyFont="1">
      <alignment horizontal="center" vertical="center"/>
    </xf>
    <xf borderId="964" fillId="94" fontId="132" numFmtId="0" xfId="0" applyAlignment="1" applyBorder="1" applyFont="1">
      <alignment horizontal="center" vertical="center"/>
    </xf>
    <xf borderId="965" fillId="94" fontId="132" numFmtId="0" xfId="0" applyAlignment="1" applyBorder="1" applyFont="1">
      <alignment horizontal="center" vertical="top"/>
    </xf>
    <xf borderId="966" fillId="94" fontId="132" numFmtId="0" xfId="0" applyAlignment="1" applyBorder="1" applyFont="1">
      <alignment horizontal="center" vertical="top"/>
    </xf>
    <xf borderId="967" fillId="94" fontId="132" numFmtId="0" xfId="0" applyAlignment="1" applyBorder="1" applyFont="1">
      <alignment horizontal="center" readingOrder="0" vertical="center"/>
    </xf>
    <xf borderId="968" fillId="0" fontId="5" numFmtId="0" xfId="0" applyBorder="1" applyFont="1"/>
    <xf borderId="969" fillId="0" fontId="5" numFmtId="0" xfId="0" applyBorder="1" applyFont="1"/>
    <xf borderId="958" fillId="94" fontId="132" numFmtId="0" xfId="0" applyAlignment="1" applyBorder="1" applyFont="1">
      <alignment horizontal="center" readingOrder="0" vertical="center"/>
    </xf>
    <xf borderId="970" fillId="94" fontId="132" numFmtId="0" xfId="0" applyAlignment="1" applyBorder="1" applyFont="1">
      <alignment horizontal="center" readingOrder="0" vertical="center"/>
    </xf>
    <xf borderId="971" fillId="94" fontId="132" numFmtId="0" xfId="0" applyAlignment="1" applyBorder="1" applyFont="1">
      <alignment horizontal="center" readingOrder="0" vertical="center"/>
    </xf>
    <xf borderId="972" fillId="94" fontId="132" numFmtId="0" xfId="0" applyAlignment="1" applyBorder="1" applyFont="1">
      <alignment horizontal="center" readingOrder="0" vertical="center"/>
    </xf>
    <xf borderId="962" fillId="94" fontId="132" numFmtId="0" xfId="0" applyAlignment="1" applyBorder="1" applyFont="1">
      <alignment horizontal="center" readingOrder="0" vertical="center"/>
    </xf>
    <xf borderId="973" fillId="94" fontId="132" numFmtId="0" xfId="0" applyAlignment="1" applyBorder="1" applyFont="1">
      <alignment horizontal="center" readingOrder="0" vertical="center"/>
    </xf>
    <xf borderId="974" fillId="0" fontId="5" numFmtId="0" xfId="0" applyBorder="1" applyFont="1"/>
    <xf borderId="975" fillId="94" fontId="132" numFmtId="0" xfId="0" applyAlignment="1" applyBorder="1" applyFont="1">
      <alignment horizontal="center" readingOrder="0" vertical="center"/>
    </xf>
    <xf borderId="976" fillId="0" fontId="5" numFmtId="0" xfId="0" applyBorder="1" applyFont="1"/>
    <xf borderId="939" fillId="94" fontId="153" numFmtId="0" xfId="0" applyAlignment="1" applyBorder="1" applyFont="1">
      <alignment horizontal="center" vertical="center"/>
    </xf>
    <xf borderId="940" fillId="94" fontId="120" numFmtId="0" xfId="0" applyAlignment="1" applyBorder="1" applyFont="1">
      <alignment horizontal="right" vertical="center"/>
    </xf>
    <xf borderId="940" fillId="94" fontId="160" numFmtId="0" xfId="0" applyAlignment="1" applyBorder="1" applyFont="1">
      <alignment horizontal="center" vertical="center"/>
    </xf>
    <xf borderId="977" fillId="94" fontId="160" numFmtId="0" xfId="0" applyAlignment="1" applyBorder="1" applyFont="1">
      <alignment horizontal="center" vertical="center"/>
    </xf>
    <xf borderId="978" fillId="94" fontId="160" numFmtId="0" xfId="0" applyAlignment="1" applyBorder="1" applyFont="1">
      <alignment horizontal="center" vertical="center"/>
    </xf>
    <xf borderId="940" fillId="94" fontId="161" numFmtId="0" xfId="0" applyAlignment="1" applyBorder="1" applyFont="1">
      <alignment horizontal="center" vertical="center"/>
    </xf>
    <xf borderId="947" fillId="94" fontId="153" numFmtId="0" xfId="0" applyAlignment="1" applyBorder="1" applyFont="1">
      <alignment horizontal="center" vertical="center"/>
    </xf>
    <xf borderId="939" fillId="94" fontId="162" numFmtId="0" xfId="0" applyAlignment="1" applyBorder="1" applyFont="1">
      <alignment horizontal="center" vertical="center"/>
    </xf>
    <xf borderId="941" fillId="94" fontId="140" numFmtId="0" xfId="0" applyAlignment="1" applyBorder="1" applyFont="1">
      <alignment horizontal="center" vertical="center"/>
    </xf>
    <xf borderId="378" fillId="18" fontId="138" numFmtId="0" xfId="0" applyAlignment="1" applyBorder="1" applyFont="1">
      <alignment horizontal="center" readingOrder="0" vertical="top"/>
    </xf>
    <xf borderId="955" fillId="94" fontId="140" numFmtId="0" xfId="0" applyAlignment="1" applyBorder="1" applyFont="1">
      <alignment horizontal="center" vertical="center"/>
    </xf>
    <xf borderId="0" fillId="92" fontId="140" numFmtId="0" xfId="0" applyAlignment="1" applyFont="1">
      <alignment horizontal="center" vertical="center"/>
    </xf>
    <xf borderId="955" fillId="94" fontId="139" numFmtId="0" xfId="0" applyAlignment="1" applyBorder="1" applyFont="1">
      <alignment horizontal="center" vertical="center"/>
    </xf>
    <xf borderId="955" fillId="94" fontId="162" numFmtId="0" xfId="0" applyAlignment="1" applyBorder="1" applyFont="1">
      <alignment horizontal="center" vertical="center"/>
    </xf>
    <xf borderId="941" fillId="94" fontId="162" numFmtId="0" xfId="0" applyAlignment="1" applyBorder="1" applyFont="1">
      <alignment horizontal="center" vertical="center"/>
    </xf>
    <xf borderId="947" fillId="94" fontId="162" numFmtId="0" xfId="0" applyAlignment="1" applyBorder="1" applyFont="1">
      <alignment horizontal="center" vertical="center"/>
    </xf>
    <xf borderId="979" fillId="18" fontId="138" numFmtId="0" xfId="0" applyAlignment="1" applyBorder="1" applyFont="1">
      <alignment horizontal="center" readingOrder="0" vertical="center"/>
    </xf>
    <xf borderId="980" fillId="18" fontId="138" numFmtId="0" xfId="0" applyAlignment="1" applyBorder="1" applyFont="1">
      <alignment horizontal="center" readingOrder="0" vertical="center"/>
    </xf>
    <xf borderId="981" fillId="18" fontId="138" numFmtId="0" xfId="0" applyAlignment="1" applyBorder="1" applyFont="1">
      <alignment horizontal="left" readingOrder="0" vertical="center"/>
    </xf>
    <xf borderId="982" fillId="0" fontId="5" numFmtId="0" xfId="0" applyBorder="1" applyFont="1"/>
    <xf borderId="983" fillId="94" fontId="162" numFmtId="0" xfId="0" applyAlignment="1" applyBorder="1" applyFont="1">
      <alignment horizontal="center" vertical="center"/>
    </xf>
    <xf borderId="940" fillId="94" fontId="162" numFmtId="0" xfId="0" applyAlignment="1" applyBorder="1" applyFont="1">
      <alignment horizontal="center" vertical="center"/>
    </xf>
    <xf borderId="984" fillId="18" fontId="138" numFmtId="0" xfId="0" applyAlignment="1" applyBorder="1" applyFont="1">
      <alignment horizontal="center" readingOrder="0" vertical="center"/>
    </xf>
    <xf borderId="985" fillId="18" fontId="138" numFmtId="0" xfId="0" applyAlignment="1" applyBorder="1" applyFont="1">
      <alignment horizontal="center" readingOrder="0" vertical="center"/>
    </xf>
    <xf borderId="986" fillId="18" fontId="138" numFmtId="0" xfId="0" applyAlignment="1" applyBorder="1" applyFont="1">
      <alignment horizontal="left" readingOrder="0" vertical="center"/>
    </xf>
    <xf borderId="987" fillId="0" fontId="5" numFmtId="0" xfId="0" applyBorder="1" applyFont="1"/>
    <xf borderId="988" fillId="18" fontId="138" numFmtId="0" xfId="0" applyAlignment="1" applyBorder="1" applyFont="1">
      <alignment horizontal="center" readingOrder="0" vertical="center"/>
    </xf>
    <xf borderId="989" fillId="18" fontId="138" numFmtId="0" xfId="0" applyAlignment="1" applyBorder="1" applyFont="1">
      <alignment horizontal="center" readingOrder="0" vertical="center"/>
    </xf>
    <xf borderId="990" fillId="18" fontId="138" numFmtId="0" xfId="0" applyAlignment="1" applyBorder="1" applyFont="1">
      <alignment horizontal="left" readingOrder="0" vertical="center"/>
    </xf>
    <xf borderId="991" fillId="0" fontId="5" numFmtId="0" xfId="0" applyBorder="1" applyFont="1"/>
    <xf borderId="395" fillId="18" fontId="138" numFmtId="0" xfId="0" applyAlignment="1" applyBorder="1" applyFont="1">
      <alignment horizontal="right" readingOrder="0" vertical="center"/>
    </xf>
    <xf borderId="992" fillId="94" fontId="164" numFmtId="0" xfId="0" applyAlignment="1" applyBorder="1" applyFont="1">
      <alignment horizontal="center" readingOrder="0" vertical="center"/>
    </xf>
    <xf borderId="952" fillId="94" fontId="164" numFmtId="0" xfId="0" applyAlignment="1" applyBorder="1" applyFont="1">
      <alignment horizontal="center" readingOrder="0" vertical="center"/>
    </xf>
    <xf borderId="977" fillId="94" fontId="164" numFmtId="0" xfId="0" applyAlignment="1" applyBorder="1" applyFont="1">
      <alignment horizontal="center" readingOrder="0" vertical="center"/>
    </xf>
    <xf borderId="948" fillId="94" fontId="165" numFmtId="0" xfId="0" applyAlignment="1" applyBorder="1" applyFont="1">
      <alignment horizontal="center" readingOrder="0" vertical="center"/>
    </xf>
    <xf borderId="993" fillId="94" fontId="132" numFmtId="0" xfId="0" applyAlignment="1" applyBorder="1" applyFont="1">
      <alignment horizontal="center" vertical="center"/>
    </xf>
    <xf borderId="994" fillId="94" fontId="132" numFmtId="0" xfId="0" applyAlignment="1" applyBorder="1" applyFont="1">
      <alignment horizontal="center" vertical="center"/>
    </xf>
    <xf borderId="994" fillId="94" fontId="156" numFmtId="0" xfId="0" applyAlignment="1" applyBorder="1" applyFont="1">
      <alignment horizontal="center" vertical="center"/>
    </xf>
    <xf borderId="955" fillId="94" fontId="156" numFmtId="0" xfId="0" applyAlignment="1" applyBorder="1" applyFont="1">
      <alignment horizontal="center" readingOrder="0" vertical="center"/>
    </xf>
    <xf borderId="945" fillId="94" fontId="156" numFmtId="0" xfId="0" applyAlignment="1" applyBorder="1" applyFont="1">
      <alignment horizontal="center" vertical="center"/>
    </xf>
    <xf borderId="877" fillId="91" fontId="156" numFmtId="0" xfId="0" applyAlignment="1" applyBorder="1" applyFont="1">
      <alignment horizontal="center" vertical="center"/>
    </xf>
    <xf borderId="995" fillId="94" fontId="154" numFmtId="0" xfId="0" applyAlignment="1" applyBorder="1" applyFont="1">
      <alignment horizontal="center" vertical="center"/>
    </xf>
    <xf borderId="958" fillId="94" fontId="131" numFmtId="0" xfId="0" applyAlignment="1" applyBorder="1" applyFont="1">
      <alignment horizontal="center" readingOrder="0" vertical="center"/>
    </xf>
    <xf borderId="963" fillId="94" fontId="160" numFmtId="0" xfId="0" applyAlignment="1" applyBorder="1" applyFont="1">
      <alignment horizontal="center" vertical="center"/>
    </xf>
    <xf borderId="996" fillId="95" fontId="160" numFmtId="0" xfId="0" applyAlignment="1" applyBorder="1" applyFill="1" applyFont="1">
      <alignment horizontal="center" vertical="center"/>
    </xf>
    <xf borderId="997" fillId="94" fontId="160" numFmtId="0" xfId="0" applyAlignment="1" applyBorder="1" applyFont="1">
      <alignment horizontal="center" vertical="center"/>
    </xf>
    <xf borderId="996" fillId="95" fontId="143" numFmtId="0" xfId="0" applyAlignment="1" applyBorder="1" applyFont="1">
      <alignment horizontal="center" vertical="center"/>
    </xf>
    <xf borderId="998" fillId="95" fontId="161" numFmtId="0" xfId="0" applyAlignment="1" applyBorder="1" applyFont="1">
      <alignment horizontal="center" vertical="center"/>
    </xf>
    <xf borderId="997" fillId="94" fontId="161" numFmtId="0" xfId="0" applyAlignment="1" applyBorder="1" applyFont="1">
      <alignment horizontal="center" vertical="center"/>
    </xf>
    <xf borderId="996" fillId="95" fontId="161" numFmtId="0" xfId="0" applyAlignment="1" applyBorder="1" applyFont="1">
      <alignment horizontal="center" vertical="center"/>
    </xf>
    <xf borderId="995" fillId="94" fontId="153" numFmtId="0" xfId="0" applyAlignment="1" applyBorder="1" applyFont="1">
      <alignment horizontal="center" vertical="center"/>
    </xf>
    <xf borderId="945" fillId="94" fontId="162" numFmtId="0" xfId="0" applyAlignment="1" applyBorder="1" applyFont="1">
      <alignment horizontal="center" vertical="center"/>
    </xf>
    <xf borderId="955" fillId="94" fontId="140" numFmtId="0" xfId="0" applyAlignment="1" applyBorder="1" applyFont="1">
      <alignment horizontal="center" vertical="center"/>
    </xf>
    <xf borderId="955" fillId="94" fontId="139" numFmtId="0" xfId="0" applyAlignment="1" applyBorder="1" applyFont="1">
      <alignment horizontal="center" vertical="center"/>
    </xf>
    <xf borderId="955" fillId="94" fontId="162" numFmtId="0" xfId="0" applyAlignment="1" applyBorder="1" applyFont="1">
      <alignment horizontal="center" vertical="center"/>
    </xf>
    <xf borderId="945" fillId="94" fontId="162" numFmtId="0" xfId="0" applyAlignment="1" applyBorder="1" applyFont="1">
      <alignment horizontal="center" vertical="center"/>
    </xf>
    <xf borderId="999" fillId="94" fontId="154" numFmtId="0" xfId="0" applyAlignment="1" applyBorder="1" applyFont="1">
      <alignment horizontal="center" vertical="center"/>
    </xf>
    <xf borderId="1000" fillId="94" fontId="120" numFmtId="0" xfId="0" applyAlignment="1" applyBorder="1" applyFont="1">
      <alignment horizontal="right" readingOrder="0" vertical="center"/>
    </xf>
    <xf borderId="1000" fillId="94" fontId="33" numFmtId="0" xfId="0" applyAlignment="1" applyBorder="1" applyFont="1">
      <alignment horizontal="center" readingOrder="0" vertical="center"/>
    </xf>
    <xf borderId="1001" fillId="94" fontId="33" numFmtId="0" xfId="0" applyAlignment="1" applyBorder="1" applyFont="1">
      <alignment horizontal="center" readingOrder="0" vertical="center"/>
    </xf>
    <xf borderId="1002" fillId="94" fontId="33" numFmtId="0" xfId="0" applyAlignment="1" applyBorder="1" applyFont="1">
      <alignment horizontal="center" readingOrder="0" vertical="center"/>
    </xf>
    <xf borderId="1003" fillId="94" fontId="154" numFmtId="0" xfId="0" applyAlignment="1" applyBorder="1" applyFont="1">
      <alignment horizontal="center" vertical="center"/>
    </xf>
    <xf borderId="1004" fillId="96" fontId="154" numFmtId="0" xfId="0" applyAlignment="1" applyBorder="1" applyFill="1" applyFont="1">
      <alignment horizontal="center" vertical="center"/>
    </xf>
    <xf borderId="1005" fillId="96" fontId="120" numFmtId="0" xfId="0" applyAlignment="1" applyBorder="1" applyFont="1">
      <alignment horizontal="right" readingOrder="0" vertical="center"/>
    </xf>
    <xf borderId="1006" fillId="96" fontId="103" numFmtId="0" xfId="0" applyAlignment="1" applyBorder="1" applyFont="1">
      <alignment horizontal="center" readingOrder="0" vertical="center"/>
    </xf>
    <xf borderId="1005" fillId="96" fontId="103" numFmtId="0" xfId="0" applyAlignment="1" applyBorder="1" applyFont="1">
      <alignment horizontal="center" readingOrder="0" vertical="center"/>
    </xf>
    <xf borderId="1007" fillId="96" fontId="154" numFmtId="0" xfId="0" applyAlignment="1" applyBorder="1" applyFont="1">
      <alignment horizontal="center" vertical="center"/>
    </xf>
    <xf borderId="1008" fillId="96" fontId="162" numFmtId="0" xfId="0" applyAlignment="1" applyBorder="1" applyFont="1">
      <alignment horizontal="center" vertical="center"/>
    </xf>
    <xf borderId="1009" fillId="96" fontId="120" numFmtId="0" xfId="0" applyAlignment="1" applyBorder="1" applyFont="1">
      <alignment horizontal="right" vertical="center"/>
    </xf>
    <xf borderId="1010" fillId="96" fontId="167" numFmtId="0" xfId="0" applyAlignment="1" applyBorder="1" applyFont="1">
      <alignment horizontal="left" readingOrder="0" vertical="center"/>
    </xf>
    <xf borderId="1011" fillId="0" fontId="5" numFmtId="0" xfId="0" applyBorder="1" applyFont="1"/>
    <xf borderId="1012" fillId="0" fontId="5" numFmtId="0" xfId="0" applyBorder="1" applyFont="1"/>
    <xf borderId="1013" fillId="96" fontId="154" numFmtId="0" xfId="0" applyAlignment="1" applyBorder="1" applyFont="1">
      <alignment horizontal="center" vertical="center"/>
    </xf>
    <xf borderId="1014" fillId="97" fontId="96" numFmtId="0" xfId="0" applyAlignment="1" applyBorder="1" applyFill="1" applyFont="1">
      <alignment horizontal="right" vertical="center"/>
    </xf>
    <xf borderId="1015" fillId="96" fontId="156" numFmtId="0" xfId="0" applyAlignment="1" applyBorder="1" applyFont="1">
      <alignment horizontal="center" vertical="center"/>
    </xf>
    <xf borderId="1016" fillId="97" fontId="156" numFmtId="0" xfId="0" applyAlignment="1" applyBorder="1" applyFont="1">
      <alignment horizontal="center" vertical="center"/>
    </xf>
    <xf borderId="1017" fillId="0" fontId="5" numFmtId="0" xfId="0" applyBorder="1" applyFont="1"/>
    <xf borderId="1018" fillId="0" fontId="5" numFmtId="0" xfId="0" applyBorder="1" applyFont="1"/>
    <xf borderId="1011" fillId="96" fontId="154" numFmtId="0" xfId="0" applyAlignment="1" applyBorder="1" applyFont="1">
      <alignment horizontal="center" vertical="center"/>
    </xf>
    <xf borderId="1019" fillId="96" fontId="154" numFmtId="0" xfId="0" applyAlignment="1" applyBorder="1" applyFont="1">
      <alignment horizontal="center" vertical="center"/>
    </xf>
    <xf borderId="1013" fillId="96" fontId="132" numFmtId="0" xfId="0" applyAlignment="1" applyBorder="1" applyFont="1">
      <alignment horizontal="center" vertical="center"/>
    </xf>
    <xf borderId="885" fillId="96" fontId="96" numFmtId="0" xfId="0" applyAlignment="1" applyBorder="1" applyFont="1">
      <alignment horizontal="right" readingOrder="0" vertical="center"/>
    </xf>
    <xf borderId="1015" fillId="96" fontId="132" numFmtId="0" xfId="0" applyAlignment="1" applyBorder="1" applyFont="1">
      <alignment horizontal="center" readingOrder="0" vertical="center"/>
    </xf>
    <xf borderId="1020" fillId="96" fontId="130" numFmtId="0" xfId="0" applyAlignment="1" applyBorder="1" applyFont="1">
      <alignment horizontal="center" readingOrder="0" vertical="center"/>
    </xf>
    <xf borderId="1021" fillId="0" fontId="5" numFmtId="0" xfId="0" applyBorder="1" applyFont="1"/>
    <xf borderId="1022" fillId="0" fontId="5" numFmtId="0" xfId="0" applyBorder="1" applyFont="1"/>
    <xf borderId="1019" fillId="96" fontId="132" numFmtId="0" xfId="0" applyAlignment="1" applyBorder="1" applyFont="1">
      <alignment horizontal="center" vertical="center"/>
    </xf>
    <xf borderId="1013" fillId="96" fontId="156" numFmtId="0" xfId="0" applyAlignment="1" applyBorder="1" applyFont="1">
      <alignment horizontal="center" vertical="center"/>
    </xf>
    <xf borderId="1015" fillId="96" fontId="156" numFmtId="0" xfId="0" applyAlignment="1" applyBorder="1" applyFont="1">
      <alignment horizontal="center" readingOrder="0" vertical="center"/>
    </xf>
    <xf borderId="1023" fillId="96" fontId="146" numFmtId="0" xfId="0" applyAlignment="1" applyBorder="1" applyFont="1">
      <alignment horizontal="center" readingOrder="0" vertical="top"/>
    </xf>
    <xf borderId="1015" fillId="0" fontId="5" numFmtId="0" xfId="0" applyBorder="1" applyFont="1"/>
    <xf borderId="1024" fillId="0" fontId="5" numFmtId="0" xfId="0" applyBorder="1" applyFont="1"/>
    <xf borderId="1015" fillId="96" fontId="131" numFmtId="0" xfId="0" applyAlignment="1" applyBorder="1" applyFont="1">
      <alignment horizontal="center" readingOrder="0" vertical="center"/>
    </xf>
    <xf borderId="1019" fillId="96" fontId="156" numFmtId="0" xfId="0" applyAlignment="1" applyBorder="1" applyFont="1">
      <alignment horizontal="center" vertical="center"/>
    </xf>
    <xf borderId="1008" fillId="96" fontId="154" numFmtId="0" xfId="0" applyAlignment="1" applyBorder="1" applyFont="1">
      <alignment horizontal="center" vertical="center"/>
    </xf>
    <xf borderId="1015" fillId="96" fontId="154" numFmtId="0" xfId="0" applyAlignment="1" applyBorder="1" applyFont="1">
      <alignment horizontal="center" vertical="center"/>
    </xf>
    <xf borderId="1025" fillId="96" fontId="132" numFmtId="0" xfId="0" applyAlignment="1" applyBorder="1" applyFont="1">
      <alignment horizontal="center" vertical="center"/>
    </xf>
    <xf borderId="1009" fillId="96" fontId="147" numFmtId="0" xfId="0" applyAlignment="1" applyBorder="1" applyFont="1">
      <alignment horizontal="right" vertical="top"/>
    </xf>
    <xf borderId="1009" fillId="96" fontId="147" numFmtId="0" xfId="0" applyAlignment="1" applyBorder="1" applyFont="1">
      <alignment horizontal="left" vertical="top"/>
    </xf>
    <xf borderId="1026" fillId="96" fontId="132" numFmtId="0" xfId="0" applyAlignment="1" applyBorder="1" applyFont="1">
      <alignment horizontal="center" vertical="top"/>
    </xf>
    <xf borderId="1027" fillId="96" fontId="132" numFmtId="0" xfId="0" applyAlignment="1" applyBorder="1" applyFont="1">
      <alignment horizontal="center" vertical="center"/>
    </xf>
    <xf borderId="1028" fillId="96" fontId="154" numFmtId="0" xfId="0" applyAlignment="1" applyBorder="1" applyFont="1">
      <alignment horizontal="center" vertical="center"/>
    </xf>
    <xf borderId="1006" fillId="96" fontId="96" numFmtId="0" xfId="0" applyAlignment="1" applyBorder="1" applyFont="1">
      <alignment horizontal="right" vertical="center"/>
    </xf>
    <xf borderId="1027" fillId="96" fontId="154" numFmtId="0" xfId="0" applyAlignment="1" applyBorder="1" applyFont="1">
      <alignment horizontal="center" vertical="center"/>
    </xf>
    <xf borderId="1029" fillId="96" fontId="132" numFmtId="0" xfId="0" applyAlignment="1" applyBorder="1" applyFont="1">
      <alignment horizontal="center" vertical="center"/>
    </xf>
    <xf borderId="1030" fillId="96" fontId="132" numFmtId="0" xfId="0" applyAlignment="1" applyBorder="1" applyFont="1">
      <alignment horizontal="center" vertical="top"/>
    </xf>
    <xf borderId="1031" fillId="96" fontId="132" numFmtId="0" xfId="0" applyAlignment="1" applyBorder="1" applyFont="1">
      <alignment horizontal="center" vertical="top"/>
    </xf>
    <xf borderId="1009" fillId="96" fontId="96" numFmtId="0" xfId="0" applyAlignment="1" applyBorder="1" applyFont="1">
      <alignment horizontal="right" vertical="center"/>
    </xf>
    <xf borderId="1032" fillId="96" fontId="132" numFmtId="0" xfId="0" applyAlignment="1" applyBorder="1" applyFont="1">
      <alignment horizontal="center" readingOrder="0" vertical="center"/>
    </xf>
    <xf borderId="1033" fillId="0" fontId="5" numFmtId="0" xfId="0" applyBorder="1" applyFont="1"/>
    <xf borderId="1034" fillId="0" fontId="5" numFmtId="0" xfId="0" applyBorder="1" applyFont="1"/>
    <xf borderId="1015" fillId="96" fontId="132" numFmtId="0" xfId="0" applyAlignment="1" applyBorder="1" applyFont="1">
      <alignment horizontal="center" vertical="center"/>
    </xf>
    <xf borderId="1035" fillId="96" fontId="96" numFmtId="0" xfId="0" applyAlignment="1" applyBorder="1" applyFont="1">
      <alignment horizontal="right" vertical="center"/>
    </xf>
    <xf borderId="1023" fillId="96" fontId="132" numFmtId="0" xfId="0" applyAlignment="1" applyBorder="1" applyFont="1">
      <alignment horizontal="center" readingOrder="0" vertical="center"/>
    </xf>
    <xf borderId="1005" fillId="0" fontId="5" numFmtId="0" xfId="0" applyBorder="1" applyFont="1"/>
    <xf borderId="1036" fillId="96" fontId="132" numFmtId="0" xfId="0" applyAlignment="1" applyBorder="1" applyFont="1">
      <alignment horizontal="center" readingOrder="0" vertical="center"/>
    </xf>
    <xf borderId="1037" fillId="96" fontId="132" numFmtId="0" xfId="0" applyAlignment="1" applyBorder="1" applyFont="1">
      <alignment horizontal="center" readingOrder="0" vertical="center"/>
    </xf>
    <xf borderId="1006" fillId="0" fontId="5" numFmtId="0" xfId="0" applyBorder="1" applyFont="1"/>
    <xf borderId="1038" fillId="96" fontId="132" numFmtId="0" xfId="0" applyAlignment="1" applyBorder="1" applyFont="1">
      <alignment horizontal="center" readingOrder="0" vertical="center"/>
    </xf>
    <xf borderId="1026" fillId="96" fontId="132" numFmtId="0" xfId="0" applyAlignment="1" applyBorder="1" applyFont="1">
      <alignment horizontal="center" readingOrder="0" vertical="center"/>
    </xf>
    <xf borderId="1039" fillId="96" fontId="132" numFmtId="0" xfId="0" applyAlignment="1" applyBorder="1" applyFont="1">
      <alignment horizontal="center" readingOrder="0" vertical="center"/>
    </xf>
    <xf borderId="1040" fillId="0" fontId="5" numFmtId="0" xfId="0" applyBorder="1" applyFont="1"/>
    <xf borderId="1041" fillId="96" fontId="132" numFmtId="0" xfId="0" applyAlignment="1" applyBorder="1" applyFont="1">
      <alignment horizontal="center" readingOrder="0" vertical="center"/>
    </xf>
    <xf borderId="1008" fillId="96" fontId="153" numFmtId="0" xfId="0" applyAlignment="1" applyBorder="1" applyFont="1">
      <alignment horizontal="center" vertical="center"/>
    </xf>
    <xf borderId="1009" fillId="96" fontId="160" numFmtId="0" xfId="0" applyAlignment="1" applyBorder="1" applyFont="1">
      <alignment horizontal="center" vertical="center"/>
    </xf>
    <xf borderId="1005" fillId="96" fontId="160" numFmtId="0" xfId="0" applyAlignment="1" applyBorder="1" applyFont="1">
      <alignment horizontal="center" vertical="center"/>
    </xf>
    <xf borderId="1005" fillId="96" fontId="143" numFmtId="0" xfId="0" applyAlignment="1" applyBorder="1" applyFont="1">
      <alignment horizontal="center" vertical="center"/>
    </xf>
    <xf borderId="1042" fillId="96" fontId="161" numFmtId="0" xfId="0" applyAlignment="1" applyBorder="1" applyFont="1">
      <alignment horizontal="center" vertical="center"/>
    </xf>
    <xf borderId="1009" fillId="96" fontId="161" numFmtId="0" xfId="0" applyAlignment="1" applyBorder="1" applyFont="1">
      <alignment horizontal="center" vertical="center"/>
    </xf>
    <xf borderId="1028" fillId="96" fontId="153" numFmtId="0" xfId="0" applyAlignment="1" applyBorder="1" applyFont="1">
      <alignment horizontal="center" vertical="center"/>
    </xf>
    <xf borderId="1027" fillId="96" fontId="140" numFmtId="0" xfId="0" applyAlignment="1" applyBorder="1" applyFont="1">
      <alignment horizontal="center" vertical="center"/>
    </xf>
    <xf borderId="378" fillId="31" fontId="138" numFmtId="0" xfId="0" applyAlignment="1" applyBorder="1" applyFont="1">
      <alignment horizontal="center" readingOrder="0" vertical="top"/>
    </xf>
    <xf borderId="1015" fillId="96" fontId="162" numFmtId="0" xfId="0" applyAlignment="1" applyBorder="1" applyFont="1">
      <alignment horizontal="center" vertical="center"/>
    </xf>
    <xf borderId="1028" fillId="96" fontId="162" numFmtId="0" xfId="0" applyAlignment="1" applyBorder="1" applyFont="1">
      <alignment horizontal="center" vertical="center"/>
    </xf>
    <xf borderId="1043" fillId="31" fontId="138" numFmtId="0" xfId="0" applyAlignment="1" applyBorder="1" applyFont="1">
      <alignment horizontal="center" readingOrder="0" vertical="center"/>
    </xf>
    <xf borderId="1044" fillId="31" fontId="138" numFmtId="0" xfId="0" applyAlignment="1" applyBorder="1" applyFont="1">
      <alignment horizontal="center" readingOrder="0" vertical="center"/>
    </xf>
    <xf borderId="1045" fillId="31" fontId="138" numFmtId="0" xfId="0" applyAlignment="1" applyBorder="1" applyFont="1">
      <alignment horizontal="left" readingOrder="0" vertical="center"/>
    </xf>
    <xf borderId="1046" fillId="0" fontId="5" numFmtId="0" xfId="0" applyBorder="1" applyFont="1"/>
    <xf borderId="1047" fillId="96" fontId="162" numFmtId="0" xfId="0" applyAlignment="1" applyBorder="1" applyFont="1">
      <alignment horizontal="center" vertical="center"/>
    </xf>
    <xf borderId="1048" fillId="31" fontId="138" numFmtId="0" xfId="0" applyAlignment="1" applyBorder="1" applyFont="1">
      <alignment horizontal="center" readingOrder="0" vertical="center"/>
    </xf>
    <xf borderId="1049" fillId="31" fontId="138" numFmtId="0" xfId="0" applyAlignment="1" applyBorder="1" applyFont="1">
      <alignment horizontal="center" readingOrder="0" vertical="center"/>
    </xf>
    <xf borderId="1050" fillId="31" fontId="138" numFmtId="0" xfId="0" applyAlignment="1" applyBorder="1" applyFont="1">
      <alignment horizontal="left" readingOrder="0" vertical="center"/>
    </xf>
    <xf borderId="1051" fillId="0" fontId="5" numFmtId="0" xfId="0" applyBorder="1" applyFont="1"/>
    <xf borderId="1052" fillId="31" fontId="138" numFmtId="0" xfId="0" applyAlignment="1" applyBorder="1" applyFont="1">
      <alignment horizontal="center" readingOrder="0" vertical="center"/>
    </xf>
    <xf borderId="1053" fillId="31" fontId="138" numFmtId="0" xfId="0" applyAlignment="1" applyBorder="1" applyFont="1">
      <alignment horizontal="center" readingOrder="0" vertical="center"/>
    </xf>
    <xf borderId="1054" fillId="31" fontId="138" numFmtId="0" xfId="0" applyAlignment="1" applyBorder="1" applyFont="1">
      <alignment horizontal="left" readingOrder="0" vertical="center"/>
    </xf>
    <xf borderId="1055" fillId="0" fontId="5" numFmtId="0" xfId="0" applyBorder="1" applyFont="1"/>
    <xf borderId="395" fillId="31" fontId="138" numFmtId="0" xfId="0" applyAlignment="1" applyBorder="1" applyFont="1">
      <alignment horizontal="right" readingOrder="0" vertical="center"/>
    </xf>
    <xf borderId="1056" fillId="96" fontId="154" numFmtId="0" xfId="0" applyAlignment="1" applyBorder="1" applyFont="1">
      <alignment horizontal="center" vertical="center"/>
    </xf>
    <xf borderId="1057" fillId="96" fontId="120" numFmtId="0" xfId="0" applyAlignment="1" applyBorder="1" applyFont="1">
      <alignment horizontal="right" readingOrder="0" vertical="center"/>
    </xf>
    <xf borderId="1057" fillId="96" fontId="33" numFmtId="0" xfId="0" applyAlignment="1" applyBorder="1" applyFont="1">
      <alignment horizontal="center" readingOrder="0" vertical="center"/>
    </xf>
    <xf borderId="1058" fillId="96" fontId="33" numFmtId="0" xfId="0" applyAlignment="1" applyBorder="1" applyFont="1">
      <alignment horizontal="center" readingOrder="0" vertical="center"/>
    </xf>
    <xf borderId="1059" fillId="96" fontId="154" numFmtId="0" xfId="0" applyAlignment="1" applyBorder="1" applyFont="1">
      <alignment horizontal="center" vertical="center"/>
    </xf>
    <xf borderId="1060" fillId="98" fontId="154" numFmtId="0" xfId="0" applyAlignment="1" applyBorder="1" applyFill="1" applyFont="1">
      <alignment horizontal="center" vertical="center"/>
    </xf>
    <xf borderId="1061" fillId="98" fontId="120" numFmtId="0" xfId="0" applyAlignment="1" applyBorder="1" applyFont="1">
      <alignment horizontal="right" readingOrder="0" vertical="center"/>
    </xf>
    <xf borderId="1062" fillId="98" fontId="33" numFmtId="0" xfId="0" applyAlignment="1" applyBorder="1" applyFont="1">
      <alignment horizontal="center" readingOrder="0" vertical="center"/>
    </xf>
    <xf borderId="1061" fillId="98" fontId="33" numFmtId="0" xfId="0" applyAlignment="1" applyBorder="1" applyFont="1">
      <alignment horizontal="center" readingOrder="0" vertical="center"/>
    </xf>
    <xf borderId="1063" fillId="98" fontId="154" numFmtId="0" xfId="0" applyAlignment="1" applyBorder="1" applyFont="1">
      <alignment horizontal="center" vertical="center"/>
    </xf>
    <xf borderId="1064" fillId="98" fontId="154" numFmtId="0" xfId="0" applyAlignment="1" applyBorder="1" applyFont="1">
      <alignment horizontal="center" vertical="center"/>
    </xf>
    <xf borderId="1014" fillId="36" fontId="96" numFmtId="0" xfId="0" applyAlignment="1" applyBorder="1" applyFont="1">
      <alignment horizontal="right" vertical="center"/>
    </xf>
    <xf borderId="1065" fillId="98" fontId="156" numFmtId="0" xfId="0" applyAlignment="1" applyBorder="1" applyFont="1">
      <alignment horizontal="center" vertical="center"/>
    </xf>
    <xf borderId="1066" fillId="36" fontId="131" numFmtId="0" xfId="0" applyAlignment="1" applyBorder="1" applyFont="1">
      <alignment horizontal="center" vertical="center"/>
    </xf>
    <xf borderId="1067" fillId="0" fontId="5" numFmtId="0" xfId="0" applyBorder="1" applyFont="1"/>
    <xf borderId="1068" fillId="0" fontId="5" numFmtId="0" xfId="0" applyBorder="1" applyFont="1"/>
    <xf borderId="1069" fillId="98" fontId="132" numFmtId="0" xfId="0" applyAlignment="1" applyBorder="1" applyFont="1">
      <alignment horizontal="center" vertical="center"/>
    </xf>
    <xf borderId="1070" fillId="98" fontId="154" numFmtId="0" xfId="0" applyAlignment="1" applyBorder="1" applyFont="1">
      <alignment horizontal="center" vertical="center"/>
    </xf>
    <xf borderId="1064" fillId="98" fontId="132" numFmtId="0" xfId="0" applyAlignment="1" applyBorder="1" applyFont="1">
      <alignment horizontal="center" vertical="center"/>
    </xf>
    <xf borderId="885" fillId="98" fontId="96" numFmtId="0" xfId="0" applyAlignment="1" applyBorder="1" applyFont="1">
      <alignment horizontal="right" readingOrder="0" vertical="center"/>
    </xf>
    <xf borderId="1065" fillId="98" fontId="132" numFmtId="0" xfId="0" applyAlignment="1" applyBorder="1" applyFont="1">
      <alignment horizontal="center" readingOrder="0" vertical="center"/>
    </xf>
    <xf borderId="1071" fillId="98" fontId="130" numFmtId="0" xfId="0" applyAlignment="1" applyBorder="1" applyFont="1">
      <alignment horizontal="center" readingOrder="0" vertical="center"/>
    </xf>
    <xf borderId="1072" fillId="0" fontId="5" numFmtId="0" xfId="0" applyBorder="1" applyFont="1"/>
    <xf borderId="1073" fillId="0" fontId="5" numFmtId="0" xfId="0" applyBorder="1" applyFont="1"/>
    <xf borderId="1070" fillId="98" fontId="132" numFmtId="0" xfId="0" applyAlignment="1" applyBorder="1" applyFont="1">
      <alignment horizontal="center" vertical="center"/>
    </xf>
    <xf borderId="1064" fillId="98" fontId="156" numFmtId="0" xfId="0" applyAlignment="1" applyBorder="1" applyFont="1">
      <alignment horizontal="center" vertical="center"/>
    </xf>
    <xf borderId="1065" fillId="98" fontId="156" numFmtId="0" xfId="0" applyAlignment="1" applyBorder="1" applyFont="1">
      <alignment horizontal="center" readingOrder="0" vertical="center"/>
    </xf>
    <xf borderId="1074" fillId="98" fontId="146" numFmtId="0" xfId="0" applyAlignment="1" applyBorder="1" applyFont="1">
      <alignment horizontal="center" readingOrder="0" vertical="top"/>
    </xf>
    <xf borderId="1065" fillId="0" fontId="5" numFmtId="0" xfId="0" applyBorder="1" applyFont="1"/>
    <xf borderId="1075" fillId="0" fontId="5" numFmtId="0" xfId="0" applyBorder="1" applyFont="1"/>
    <xf borderId="1070" fillId="98" fontId="156" numFmtId="0" xfId="0" applyAlignment="1" applyBorder="1" applyFont="1">
      <alignment horizontal="center" vertical="center"/>
    </xf>
    <xf borderId="1076" fillId="98" fontId="154" numFmtId="0" xfId="0" applyAlignment="1" applyBorder="1" applyFont="1">
      <alignment horizontal="center" vertical="center"/>
    </xf>
    <xf borderId="1065" fillId="98" fontId="154" numFmtId="0" xfId="0" applyAlignment="1" applyBorder="1" applyFont="1">
      <alignment horizontal="center" vertical="center"/>
    </xf>
    <xf borderId="1077" fillId="98" fontId="132" numFmtId="0" xfId="0" applyAlignment="1" applyBorder="1" applyFont="1">
      <alignment horizontal="center" vertical="center"/>
    </xf>
    <xf borderId="1078" fillId="98" fontId="147" numFmtId="0" xfId="0" applyAlignment="1" applyBorder="1" applyFont="1">
      <alignment horizontal="right" vertical="top"/>
    </xf>
    <xf borderId="1078" fillId="98" fontId="147" numFmtId="0" xfId="0" applyAlignment="1" applyBorder="1" applyFont="1">
      <alignment horizontal="left" vertical="top"/>
    </xf>
    <xf borderId="1079" fillId="98" fontId="132" numFmtId="0" xfId="0" applyAlignment="1" applyBorder="1" applyFont="1">
      <alignment horizontal="center" vertical="top"/>
    </xf>
    <xf borderId="1080" fillId="98" fontId="147" numFmtId="0" xfId="0" applyAlignment="1" applyBorder="1" applyFont="1">
      <alignment horizontal="center" vertical="top"/>
    </xf>
    <xf borderId="1081" fillId="0" fontId="5" numFmtId="0" xfId="0" applyBorder="1" applyFont="1"/>
    <xf borderId="1062" fillId="98" fontId="96" numFmtId="0" xfId="0" applyAlignment="1" applyBorder="1" applyFont="1">
      <alignment horizontal="right" vertical="center"/>
    </xf>
    <xf borderId="1082" fillId="98" fontId="154" numFmtId="0" xfId="0" applyAlignment="1" applyBorder="1" applyFont="1">
      <alignment horizontal="center" vertical="center"/>
    </xf>
    <xf borderId="1083" fillId="98" fontId="132" numFmtId="0" xfId="0" applyAlignment="1" applyBorder="1" applyFont="1">
      <alignment horizontal="center" vertical="center"/>
    </xf>
    <xf borderId="1084" fillId="98" fontId="132" numFmtId="0" xfId="0" applyAlignment="1" applyBorder="1" applyFont="1">
      <alignment horizontal="center" vertical="top"/>
    </xf>
    <xf borderId="1085" fillId="98" fontId="132" numFmtId="0" xfId="0" applyAlignment="1" applyBorder="1" applyFont="1">
      <alignment horizontal="center" vertical="top"/>
    </xf>
    <xf borderId="1086" fillId="98" fontId="96" numFmtId="0" xfId="0" applyAlignment="1" applyBorder="1" applyFont="1">
      <alignment horizontal="right" vertical="center"/>
    </xf>
    <xf borderId="1087" fillId="98" fontId="132" numFmtId="0" xfId="0" applyAlignment="1" applyBorder="1" applyFont="1">
      <alignment horizontal="center" readingOrder="0" vertical="center"/>
    </xf>
    <xf borderId="1088" fillId="0" fontId="5" numFmtId="0" xfId="0" applyBorder="1" applyFont="1"/>
    <xf borderId="1089" fillId="0" fontId="5" numFmtId="0" xfId="0" applyBorder="1" applyFont="1"/>
    <xf borderId="1090" fillId="98" fontId="96" numFmtId="0" xfId="0" applyAlignment="1" applyBorder="1" applyFont="1">
      <alignment horizontal="right" vertical="center"/>
    </xf>
    <xf borderId="1074" fillId="98" fontId="132" numFmtId="0" xfId="0" applyAlignment="1" applyBorder="1" applyFont="1">
      <alignment horizontal="center" readingOrder="0" vertical="center"/>
    </xf>
    <xf borderId="1061" fillId="0" fontId="5" numFmtId="0" xfId="0" applyBorder="1" applyFont="1"/>
    <xf borderId="1091" fillId="98" fontId="132" numFmtId="0" xfId="0" applyAlignment="1" applyBorder="1" applyFont="1">
      <alignment horizontal="center" readingOrder="0" vertical="center"/>
    </xf>
    <xf borderId="1069" fillId="0" fontId="5" numFmtId="0" xfId="0" applyBorder="1" applyFont="1"/>
    <xf borderId="1092" fillId="0" fontId="5" numFmtId="0" xfId="0" applyBorder="1" applyFont="1"/>
    <xf borderId="1093" fillId="98" fontId="132" numFmtId="0" xfId="0" applyAlignment="1" applyBorder="1" applyFont="1">
      <alignment horizontal="center" readingOrder="0" vertical="center"/>
    </xf>
    <xf borderId="1062" fillId="0" fontId="5" numFmtId="0" xfId="0" applyBorder="1" applyFont="1"/>
    <xf borderId="1094" fillId="98" fontId="132" numFmtId="0" xfId="0" applyAlignment="1" applyBorder="1" applyFont="1">
      <alignment horizontal="center" readingOrder="0" vertical="center"/>
    </xf>
    <xf borderId="1079" fillId="98" fontId="132" numFmtId="0" xfId="0" applyAlignment="1" applyBorder="1" applyFont="1">
      <alignment horizontal="center" readingOrder="0" vertical="center"/>
    </xf>
    <xf borderId="1095" fillId="98" fontId="132" numFmtId="0" xfId="0" applyAlignment="1" applyBorder="1" applyFont="1">
      <alignment horizontal="center" readingOrder="0" vertical="center"/>
    </xf>
    <xf borderId="1096" fillId="0" fontId="5" numFmtId="0" xfId="0" applyBorder="1" applyFont="1"/>
    <xf borderId="1097" fillId="98" fontId="132" numFmtId="0" xfId="0" applyAlignment="1" applyBorder="1" applyFont="1">
      <alignment horizontal="center" readingOrder="0" vertical="center"/>
    </xf>
    <xf borderId="1076" fillId="98" fontId="153" numFmtId="0" xfId="0" applyAlignment="1" applyBorder="1" applyFont="1">
      <alignment horizontal="center" vertical="center"/>
    </xf>
    <xf borderId="1086" fillId="98" fontId="120" numFmtId="0" xfId="0" applyAlignment="1" applyBorder="1" applyFont="1">
      <alignment horizontal="right" vertical="center"/>
    </xf>
    <xf borderId="1086" fillId="98" fontId="160" numFmtId="0" xfId="0" applyAlignment="1" applyBorder="1" applyFont="1">
      <alignment horizontal="center" vertical="center"/>
    </xf>
    <xf borderId="1061" fillId="98" fontId="160" numFmtId="0" xfId="0" applyAlignment="1" applyBorder="1" applyFont="1">
      <alignment horizontal="center" vertical="center"/>
    </xf>
    <xf borderId="1061" fillId="98" fontId="143" numFmtId="0" xfId="0" applyAlignment="1" applyBorder="1" applyFont="1">
      <alignment horizontal="center" vertical="center"/>
    </xf>
    <xf borderId="1098" fillId="98" fontId="161" numFmtId="0" xfId="0" applyAlignment="1" applyBorder="1" applyFont="1">
      <alignment horizontal="center" vertical="center"/>
    </xf>
    <xf borderId="1061" fillId="98" fontId="161" numFmtId="0" xfId="0" applyAlignment="1" applyBorder="1" applyFont="1">
      <alignment horizontal="center" vertical="center"/>
    </xf>
    <xf borderId="1099" fillId="98" fontId="161" numFmtId="0" xfId="0" applyAlignment="1" applyBorder="1" applyFont="1">
      <alignment horizontal="center" vertical="center"/>
    </xf>
    <xf borderId="1100" fillId="98" fontId="153" numFmtId="0" xfId="0" applyAlignment="1" applyBorder="1" applyFont="1">
      <alignment horizontal="center" vertical="center"/>
    </xf>
    <xf borderId="1076" fillId="98" fontId="162" numFmtId="0" xfId="0" applyAlignment="1" applyBorder="1" applyFont="1">
      <alignment horizontal="center" vertical="center"/>
    </xf>
    <xf borderId="1082" fillId="98" fontId="140" numFmtId="0" xfId="0" applyAlignment="1" applyBorder="1" applyFont="1">
      <alignment horizontal="center" vertical="center"/>
    </xf>
    <xf borderId="378" fillId="36" fontId="138" numFmtId="0" xfId="0" applyAlignment="1" applyBorder="1" applyFont="1">
      <alignment horizontal="center" readingOrder="0" vertical="top"/>
    </xf>
    <xf borderId="1065" fillId="98" fontId="140" numFmtId="0" xfId="0" applyAlignment="1" applyBorder="1" applyFont="1">
      <alignment horizontal="center" vertical="center"/>
    </xf>
    <xf borderId="1070" fillId="98" fontId="162" numFmtId="0" xfId="0" applyAlignment="1" applyBorder="1" applyFont="1">
      <alignment horizontal="center" vertical="center"/>
    </xf>
    <xf borderId="1101" fillId="36" fontId="138" numFmtId="0" xfId="0" applyAlignment="1" applyBorder="1" applyFont="1">
      <alignment horizontal="center" readingOrder="0" vertical="center"/>
    </xf>
    <xf borderId="1102" fillId="36" fontId="138" numFmtId="0" xfId="0" applyAlignment="1" applyBorder="1" applyFont="1">
      <alignment horizontal="center" readingOrder="0" vertical="center"/>
    </xf>
    <xf borderId="1103" fillId="36" fontId="138" numFmtId="0" xfId="0" applyAlignment="1" applyBorder="1" applyFont="1">
      <alignment horizontal="left" readingOrder="0" vertical="center"/>
    </xf>
    <xf borderId="1104" fillId="0" fontId="5" numFmtId="0" xfId="0" applyBorder="1" applyFont="1"/>
    <xf borderId="1065" fillId="98" fontId="140" numFmtId="0" xfId="0" applyAlignment="1" applyBorder="1" applyFont="1">
      <alignment horizontal="center" vertical="center"/>
    </xf>
    <xf borderId="1070" fillId="98" fontId="162" numFmtId="0" xfId="0" applyAlignment="1" applyBorder="1" applyFont="1">
      <alignment horizontal="center" vertical="center"/>
    </xf>
    <xf borderId="1105" fillId="36" fontId="138" numFmtId="0" xfId="0" applyAlignment="1" applyBorder="1" applyFont="1">
      <alignment horizontal="center" readingOrder="0" vertical="center"/>
    </xf>
    <xf borderId="1106" fillId="36" fontId="138" numFmtId="0" xfId="0" applyAlignment="1" applyBorder="1" applyFont="1">
      <alignment horizontal="center" readingOrder="0" vertical="center"/>
    </xf>
    <xf borderId="1107" fillId="36" fontId="138" numFmtId="0" xfId="0" applyAlignment="1" applyBorder="1" applyFont="1">
      <alignment horizontal="left" readingOrder="0" vertical="center"/>
    </xf>
    <xf borderId="1108" fillId="0" fontId="5" numFmtId="0" xfId="0" applyBorder="1" applyFont="1"/>
    <xf borderId="1109" fillId="36" fontId="138" numFmtId="0" xfId="0" applyAlignment="1" applyBorder="1" applyFont="1">
      <alignment horizontal="center" readingOrder="0" vertical="center"/>
    </xf>
    <xf borderId="1110" fillId="36" fontId="138" numFmtId="0" xfId="0" applyAlignment="1" applyBorder="1" applyFont="1">
      <alignment horizontal="center" readingOrder="0" vertical="center"/>
    </xf>
    <xf borderId="1111" fillId="36" fontId="138" numFmtId="0" xfId="0" applyAlignment="1" applyBorder="1" applyFont="1">
      <alignment horizontal="left" readingOrder="0" vertical="center"/>
    </xf>
    <xf borderId="1112" fillId="0" fontId="5" numFmtId="0" xfId="0" applyBorder="1" applyFont="1"/>
    <xf borderId="395" fillId="36" fontId="138" numFmtId="0" xfId="0" applyAlignment="1" applyBorder="1" applyFont="1">
      <alignment horizontal="right" readingOrder="0" vertical="center"/>
    </xf>
    <xf borderId="1113" fillId="98" fontId="154" numFmtId="0" xfId="0" applyAlignment="1" applyBorder="1" applyFont="1">
      <alignment horizontal="center" vertical="center"/>
    </xf>
    <xf borderId="1114" fillId="98" fontId="120" numFmtId="0" xfId="0" applyAlignment="1" applyBorder="1" applyFont="1">
      <alignment horizontal="right" readingOrder="0" vertical="center"/>
    </xf>
    <xf borderId="1114" fillId="98" fontId="33" numFmtId="0" xfId="0" applyAlignment="1" applyBorder="1" applyFont="1">
      <alignment horizontal="center" readingOrder="0" vertical="center"/>
    </xf>
    <xf borderId="1115" fillId="98" fontId="33" numFmtId="0" xfId="0" applyAlignment="1" applyBorder="1" applyFont="1">
      <alignment horizontal="center" readingOrder="0" vertical="center"/>
    </xf>
    <xf borderId="1116" fillId="98" fontId="154" numFmtId="0" xfId="0" applyAlignment="1" applyBorder="1" applyFont="1">
      <alignment horizontal="center" vertical="center"/>
    </xf>
    <xf borderId="1117" fillId="99" fontId="154" numFmtId="0" xfId="0" applyAlignment="1" applyBorder="1" applyFill="1" applyFont="1">
      <alignment horizontal="center" vertical="center"/>
    </xf>
    <xf borderId="1118" fillId="99" fontId="120" numFmtId="0" xfId="0" applyAlignment="1" applyBorder="1" applyFont="1">
      <alignment horizontal="right" readingOrder="0" vertical="center"/>
    </xf>
    <xf borderId="1119" fillId="99" fontId="33" numFmtId="0" xfId="0" applyAlignment="1" applyBorder="1" applyFont="1">
      <alignment horizontal="center" readingOrder="0" vertical="center"/>
    </xf>
    <xf borderId="1118" fillId="99" fontId="33" numFmtId="0" xfId="0" applyAlignment="1" applyBorder="1" applyFont="1">
      <alignment horizontal="center" readingOrder="0" vertical="center"/>
    </xf>
    <xf borderId="1120" fillId="99" fontId="154" numFmtId="0" xfId="0" applyAlignment="1" applyBorder="1" applyFont="1">
      <alignment horizontal="center" vertical="center"/>
    </xf>
    <xf borderId="1121" fillId="99" fontId="162" numFmtId="0" xfId="0" applyAlignment="1" applyBorder="1" applyFont="1">
      <alignment horizontal="center" vertical="center"/>
    </xf>
    <xf borderId="1122" fillId="99" fontId="120" numFmtId="0" xfId="0" applyAlignment="1" applyBorder="1" applyFont="1">
      <alignment horizontal="right" vertical="center"/>
    </xf>
    <xf borderId="1123" fillId="99" fontId="168" numFmtId="0" xfId="0" applyAlignment="1" applyBorder="1" applyFont="1">
      <alignment horizontal="left" readingOrder="0" vertical="center"/>
    </xf>
    <xf borderId="1124" fillId="0" fontId="5" numFmtId="0" xfId="0" applyBorder="1" applyFont="1"/>
    <xf borderId="1125" fillId="0" fontId="5" numFmtId="0" xfId="0" applyBorder="1" applyFont="1"/>
    <xf borderId="1126" fillId="99" fontId="154" numFmtId="0" xfId="0" applyAlignment="1" applyBorder="1" applyFont="1">
      <alignment horizontal="center" vertical="center"/>
    </xf>
    <xf borderId="1127" fillId="99" fontId="154" numFmtId="0" xfId="0" applyAlignment="1" applyBorder="1" applyFont="1">
      <alignment horizontal="center" vertical="center"/>
    </xf>
    <xf borderId="1014" fillId="48" fontId="96" numFmtId="0" xfId="0" applyAlignment="1" applyBorder="1" applyFont="1">
      <alignment horizontal="right" vertical="center"/>
    </xf>
    <xf borderId="1124" fillId="99" fontId="156" numFmtId="0" xfId="0" applyAlignment="1" applyBorder="1" applyFont="1">
      <alignment horizontal="center" vertical="center"/>
    </xf>
    <xf borderId="341" fillId="48" fontId="131" numFmtId="0" xfId="0" applyAlignment="1" applyBorder="1" applyFont="1">
      <alignment horizontal="center" vertical="center"/>
    </xf>
    <xf borderId="1124" fillId="99" fontId="131" numFmtId="0" xfId="0" applyAlignment="1" applyBorder="1" applyFont="1">
      <alignment horizontal="center" vertical="center"/>
    </xf>
    <xf borderId="1128" fillId="99" fontId="154" numFmtId="0" xfId="0" applyAlignment="1" applyBorder="1" applyFont="1">
      <alignment horizontal="center" vertical="center"/>
    </xf>
    <xf borderId="1127" fillId="99" fontId="132" numFmtId="0" xfId="0" applyAlignment="1" applyBorder="1" applyFont="1">
      <alignment horizontal="center" vertical="center"/>
    </xf>
    <xf borderId="885" fillId="99" fontId="96" numFmtId="0" xfId="0" applyAlignment="1" applyBorder="1" applyFont="1">
      <alignment horizontal="right" readingOrder="0" vertical="center"/>
    </xf>
    <xf borderId="1124" fillId="99" fontId="132" numFmtId="0" xfId="0" applyAlignment="1" applyBorder="1" applyFont="1">
      <alignment horizontal="center" readingOrder="0" vertical="center"/>
    </xf>
    <xf borderId="1129" fillId="99" fontId="130" numFmtId="0" xfId="0" applyAlignment="1" applyBorder="1" applyFont="1">
      <alignment horizontal="center" readingOrder="0" vertical="center"/>
    </xf>
    <xf borderId="1130" fillId="0" fontId="5" numFmtId="0" xfId="0" applyBorder="1" applyFont="1"/>
    <xf borderId="1131" fillId="0" fontId="5" numFmtId="0" xfId="0" applyBorder="1" applyFont="1"/>
    <xf borderId="1128" fillId="99" fontId="132" numFmtId="0" xfId="0" applyAlignment="1" applyBorder="1" applyFont="1">
      <alignment horizontal="center" vertical="center"/>
    </xf>
    <xf borderId="1127" fillId="99" fontId="156" numFmtId="0" xfId="0" applyAlignment="1" applyBorder="1" applyFont="1">
      <alignment horizontal="center" vertical="center"/>
    </xf>
    <xf borderId="1124" fillId="99" fontId="156" numFmtId="0" xfId="0" applyAlignment="1" applyBorder="1" applyFont="1">
      <alignment horizontal="center" readingOrder="0" vertical="center"/>
    </xf>
    <xf borderId="1132" fillId="99" fontId="146" numFmtId="0" xfId="0" applyAlignment="1" applyBorder="1" applyFont="1">
      <alignment horizontal="center" readingOrder="0" vertical="top"/>
    </xf>
    <xf borderId="1133" fillId="0" fontId="5" numFmtId="0" xfId="0" applyBorder="1" applyFont="1"/>
    <xf borderId="1124" fillId="99" fontId="131" numFmtId="0" xfId="0" applyAlignment="1" applyBorder="1" applyFont="1">
      <alignment horizontal="center" readingOrder="0" vertical="center"/>
    </xf>
    <xf borderId="1128" fillId="99" fontId="156" numFmtId="0" xfId="0" applyAlignment="1" applyBorder="1" applyFont="1">
      <alignment horizontal="center" vertical="center"/>
    </xf>
    <xf borderId="1121" fillId="99" fontId="154" numFmtId="0" xfId="0" applyAlignment="1" applyBorder="1" applyFont="1">
      <alignment horizontal="center" vertical="center"/>
    </xf>
    <xf borderId="1124" fillId="99" fontId="154" numFmtId="0" xfId="0" applyAlignment="1" applyBorder="1" applyFont="1">
      <alignment horizontal="center" vertical="center"/>
    </xf>
    <xf borderId="1134" fillId="99" fontId="132" numFmtId="0" xfId="0" applyAlignment="1" applyBorder="1" applyFont="1">
      <alignment horizontal="center" vertical="top"/>
    </xf>
    <xf borderId="1122" fillId="99" fontId="147" numFmtId="0" xfId="0" applyAlignment="1" applyBorder="1" applyFont="1">
      <alignment horizontal="right" vertical="top"/>
    </xf>
    <xf borderId="1122" fillId="99" fontId="147" numFmtId="0" xfId="0" applyAlignment="1" applyBorder="1" applyFont="1">
      <alignment horizontal="left" vertical="top"/>
    </xf>
    <xf borderId="1135" fillId="99" fontId="132" numFmtId="0" xfId="0" applyAlignment="1" applyBorder="1" applyFont="1">
      <alignment horizontal="center" vertical="top"/>
    </xf>
    <xf borderId="1123" fillId="99" fontId="132" numFmtId="0" xfId="0" applyAlignment="1" applyBorder="1" applyFont="1">
      <alignment horizontal="center" vertical="center"/>
    </xf>
    <xf borderId="1119" fillId="99" fontId="96" numFmtId="0" xfId="0" applyAlignment="1" applyBorder="1" applyFont="1">
      <alignment horizontal="right" vertical="center"/>
    </xf>
    <xf borderId="1123" fillId="99" fontId="154" numFmtId="0" xfId="0" applyAlignment="1" applyBorder="1" applyFont="1">
      <alignment horizontal="center" vertical="center"/>
    </xf>
    <xf borderId="1136" fillId="99" fontId="132" numFmtId="0" xfId="0" applyAlignment="1" applyBorder="1" applyFont="1">
      <alignment horizontal="center" vertical="top"/>
    </xf>
    <xf borderId="1137" fillId="99" fontId="132" numFmtId="0" xfId="0" applyAlignment="1" applyBorder="1" applyFont="1">
      <alignment horizontal="center" vertical="top"/>
    </xf>
    <xf borderId="1138" fillId="99" fontId="132" numFmtId="0" xfId="0" applyAlignment="1" applyBorder="1" applyFont="1">
      <alignment horizontal="center" vertical="top"/>
    </xf>
    <xf borderId="1122" fillId="99" fontId="96" numFmtId="0" xfId="0" applyAlignment="1" applyBorder="1" applyFont="1">
      <alignment horizontal="right" vertical="center"/>
    </xf>
    <xf borderId="1139" fillId="99" fontId="132" numFmtId="0" xfId="0" applyAlignment="1" applyBorder="1" applyFont="1">
      <alignment horizontal="center" readingOrder="0" vertical="center"/>
    </xf>
    <xf borderId="1140" fillId="0" fontId="5" numFmtId="0" xfId="0" applyBorder="1" applyFont="1"/>
    <xf borderId="1141" fillId="0" fontId="5" numFmtId="0" xfId="0" applyBorder="1" applyFont="1"/>
    <xf borderId="1124" fillId="99" fontId="132" numFmtId="0" xfId="0" applyAlignment="1" applyBorder="1" applyFont="1">
      <alignment horizontal="center" vertical="center"/>
    </xf>
    <xf borderId="1142" fillId="99" fontId="96" numFmtId="0" xfId="0" applyAlignment="1" applyBorder="1" applyFont="1">
      <alignment horizontal="right" vertical="center"/>
    </xf>
    <xf borderId="1132" fillId="99" fontId="132" numFmtId="0" xfId="0" applyAlignment="1" applyBorder="1" applyFont="1">
      <alignment horizontal="center" readingOrder="0" vertical="center"/>
    </xf>
    <xf borderId="1118" fillId="0" fontId="5" numFmtId="0" xfId="0" applyBorder="1" applyFont="1"/>
    <xf borderId="1143" fillId="99" fontId="132" numFmtId="0" xfId="0" applyAlignment="1" applyBorder="1" applyFont="1">
      <alignment horizontal="center" readingOrder="0" vertical="center"/>
    </xf>
    <xf borderId="1144" fillId="0" fontId="5" numFmtId="0" xfId="0" applyBorder="1" applyFont="1"/>
    <xf borderId="1145" fillId="0" fontId="5" numFmtId="0" xfId="0" applyBorder="1" applyFont="1"/>
    <xf borderId="1146" fillId="99" fontId="132" numFmtId="0" xfId="0" applyAlignment="1" applyBorder="1" applyFont="1">
      <alignment horizontal="center" readingOrder="0" vertical="center"/>
    </xf>
    <xf borderId="1119" fillId="0" fontId="5" numFmtId="0" xfId="0" applyBorder="1" applyFont="1"/>
    <xf borderId="1147" fillId="99" fontId="132" numFmtId="0" xfId="0" applyAlignment="1" applyBorder="1" applyFont="1">
      <alignment horizontal="center" readingOrder="0" vertical="center"/>
    </xf>
    <xf borderId="871" fillId="91" fontId="122" numFmtId="0" xfId="0" applyAlignment="1" applyBorder="1" applyFont="1">
      <alignment horizontal="center" vertical="center"/>
    </xf>
    <xf borderId="1148" fillId="99" fontId="132" numFmtId="0" xfId="0" applyAlignment="1" applyBorder="1" applyFont="1">
      <alignment horizontal="center" readingOrder="0" vertical="center"/>
    </xf>
    <xf borderId="1149" fillId="99" fontId="132" numFmtId="0" xfId="0" applyAlignment="1" applyBorder="1" applyFont="1">
      <alignment horizontal="center" readingOrder="0" vertical="center"/>
    </xf>
    <xf borderId="1150" fillId="0" fontId="5" numFmtId="0" xfId="0" applyBorder="1" applyFont="1"/>
    <xf borderId="1151" fillId="99" fontId="132" numFmtId="0" xfId="0" applyAlignment="1" applyBorder="1" applyFont="1">
      <alignment horizontal="center" readingOrder="0" vertical="center"/>
    </xf>
    <xf borderId="1121" fillId="99" fontId="153" numFmtId="0" xfId="0" applyAlignment="1" applyBorder="1" applyFont="1">
      <alignment horizontal="center" vertical="center"/>
    </xf>
    <xf borderId="1122" fillId="99" fontId="160" numFmtId="0" xfId="0" applyAlignment="1" applyBorder="1" applyFont="1">
      <alignment horizontal="center" vertical="center"/>
    </xf>
    <xf borderId="1118" fillId="99" fontId="160" numFmtId="0" xfId="0" applyAlignment="1" applyBorder="1" applyFont="1">
      <alignment horizontal="center" vertical="center"/>
    </xf>
    <xf borderId="1118" fillId="99" fontId="143" numFmtId="0" xfId="0" applyAlignment="1" applyBorder="1" applyFont="1">
      <alignment horizontal="center" vertical="center"/>
    </xf>
    <xf borderId="1152" fillId="99" fontId="161" numFmtId="0" xfId="0" applyAlignment="1" applyBorder="1" applyFont="1">
      <alignment horizontal="center" vertical="center"/>
    </xf>
    <xf borderId="1118" fillId="99" fontId="161" numFmtId="0" xfId="0" applyAlignment="1" applyBorder="1" applyFont="1">
      <alignment horizontal="center" vertical="center"/>
    </xf>
    <xf borderId="1153" fillId="99" fontId="161" numFmtId="0" xfId="0" applyAlignment="1" applyBorder="1" applyFont="1">
      <alignment horizontal="center" vertical="center"/>
    </xf>
    <xf borderId="1154" fillId="99" fontId="153" numFmtId="0" xfId="0" applyAlignment="1" applyBorder="1" applyFont="1">
      <alignment horizontal="center" vertical="center"/>
    </xf>
    <xf borderId="1123" fillId="99" fontId="140" numFmtId="0" xfId="0" applyAlignment="1" applyBorder="1" applyFont="1">
      <alignment horizontal="center" vertical="center"/>
    </xf>
    <xf borderId="378" fillId="100" fontId="138" numFmtId="0" xfId="0" applyAlignment="1" applyBorder="1" applyFill="1" applyFont="1">
      <alignment horizontal="center" readingOrder="0" vertical="top"/>
    </xf>
    <xf borderId="1128" fillId="99" fontId="162" numFmtId="0" xfId="0" applyAlignment="1" applyBorder="1" applyFont="1">
      <alignment horizontal="center" vertical="center"/>
    </xf>
    <xf borderId="1155" fillId="100" fontId="138" numFmtId="0" xfId="0" applyAlignment="1" applyBorder="1" applyFont="1">
      <alignment horizontal="center" readingOrder="0" vertical="center"/>
    </xf>
    <xf borderId="1156" fillId="100" fontId="138" numFmtId="0" xfId="0" applyAlignment="1" applyBorder="1" applyFont="1">
      <alignment horizontal="center" readingOrder="0" vertical="center"/>
    </xf>
    <xf borderId="1157" fillId="100" fontId="138" numFmtId="0" xfId="0" applyAlignment="1" applyBorder="1" applyFont="1">
      <alignment horizontal="left" readingOrder="0" vertical="center"/>
    </xf>
    <xf borderId="1158" fillId="0" fontId="5" numFmtId="0" xfId="0" applyBorder="1" applyFont="1"/>
    <xf borderId="1123" fillId="99" fontId="140" numFmtId="0" xfId="0" applyAlignment="1" applyBorder="1" applyFont="1">
      <alignment horizontal="center" vertical="center"/>
    </xf>
    <xf borderId="1128" fillId="99" fontId="162" numFmtId="0" xfId="0" applyAlignment="1" applyBorder="1" applyFont="1">
      <alignment horizontal="center" vertical="center"/>
    </xf>
    <xf borderId="1159" fillId="100" fontId="138" numFmtId="0" xfId="0" applyAlignment="1" applyBorder="1" applyFont="1">
      <alignment horizontal="center" readingOrder="0" vertical="center"/>
    </xf>
    <xf borderId="1160" fillId="100" fontId="138" numFmtId="0" xfId="0" applyAlignment="1" applyBorder="1" applyFont="1">
      <alignment horizontal="center" readingOrder="0" vertical="center"/>
    </xf>
    <xf borderId="1161" fillId="100" fontId="138" numFmtId="0" xfId="0" applyAlignment="1" applyBorder="1" applyFont="1">
      <alignment horizontal="left" readingOrder="0" vertical="center"/>
    </xf>
    <xf borderId="1162" fillId="0" fontId="5" numFmtId="0" xfId="0" applyBorder="1" applyFont="1"/>
    <xf borderId="1163" fillId="100" fontId="138" numFmtId="0" xfId="0" applyAlignment="1" applyBorder="1" applyFont="1">
      <alignment horizontal="center" readingOrder="0" vertical="center"/>
    </xf>
    <xf borderId="1164" fillId="100" fontId="138" numFmtId="0" xfId="0" applyAlignment="1" applyBorder="1" applyFont="1">
      <alignment horizontal="center" readingOrder="0" vertical="center"/>
    </xf>
    <xf borderId="1165" fillId="100" fontId="138" numFmtId="0" xfId="0" applyAlignment="1" applyBorder="1" applyFont="1">
      <alignment horizontal="left" readingOrder="0" vertical="center"/>
    </xf>
    <xf borderId="1166" fillId="0" fontId="5" numFmtId="0" xfId="0" applyBorder="1" applyFont="1"/>
    <xf borderId="395" fillId="100" fontId="138" numFmtId="0" xfId="0" applyAlignment="1" applyBorder="1" applyFont="1">
      <alignment horizontal="right" readingOrder="0" vertical="center"/>
    </xf>
    <xf borderId="400" fillId="100" fontId="138" numFmtId="0" xfId="0" applyAlignment="1" applyBorder="1" applyFont="1">
      <alignment horizontal="right" readingOrder="0" vertical="center"/>
    </xf>
    <xf borderId="1167" fillId="99" fontId="162" numFmtId="0" xfId="0" applyAlignment="1" applyBorder="1" applyFont="1">
      <alignment horizontal="center" vertical="center"/>
    </xf>
    <xf borderId="1168" fillId="99" fontId="140" numFmtId="0" xfId="0" applyAlignment="1" applyBorder="1" applyFont="1">
      <alignment horizontal="center" vertical="center"/>
    </xf>
    <xf borderId="405" fillId="100" fontId="138" numFmtId="0" xfId="0" applyAlignment="1" applyBorder="1" applyFont="1">
      <alignment horizontal="right" readingOrder="0" vertical="center"/>
    </xf>
    <xf borderId="408" fillId="100" fontId="138" numFmtId="0" xfId="0" applyAlignment="1" applyBorder="1" applyFont="1">
      <alignment horizontal="center" readingOrder="0" vertical="center"/>
    </xf>
    <xf borderId="1119" fillId="99" fontId="120" numFmtId="0" xfId="0" applyAlignment="1" applyBorder="1" applyFont="1">
      <alignment horizontal="right" vertical="center"/>
    </xf>
    <xf borderId="1169" fillId="99" fontId="162" numFmtId="0" xfId="0" applyAlignment="1" applyBorder="1" applyFont="1">
      <alignment horizontal="center" vertical="center"/>
    </xf>
    <xf borderId="1170" fillId="99" fontId="154" numFmtId="0" xfId="0" applyAlignment="1" applyBorder="1" applyFont="1">
      <alignment horizontal="center" vertical="center"/>
    </xf>
    <xf borderId="1171" fillId="99" fontId="120" numFmtId="0" xfId="0" applyAlignment="1" applyBorder="1" applyFont="1">
      <alignment horizontal="right" readingOrder="0" vertical="center"/>
    </xf>
    <xf borderId="1171" fillId="99" fontId="33" numFmtId="0" xfId="0" applyAlignment="1" applyBorder="1" applyFont="1">
      <alignment horizontal="center" readingOrder="0" vertical="center"/>
    </xf>
    <xf borderId="1172" fillId="99" fontId="33" numFmtId="0" xfId="0" applyAlignment="1" applyBorder="1" applyFont="1">
      <alignment horizontal="center" readingOrder="0" vertical="center"/>
    </xf>
    <xf borderId="1173" fillId="99" fontId="154" numFmtId="0" xfId="0" applyAlignment="1" applyBorder="1" applyFont="1">
      <alignment horizontal="center" vertical="center"/>
    </xf>
    <xf borderId="1174" fillId="101" fontId="154" numFmtId="0" xfId="0" applyAlignment="1" applyBorder="1" applyFill="1" applyFont="1">
      <alignment horizontal="center" vertical="center"/>
    </xf>
    <xf borderId="1175" fillId="101" fontId="120" numFmtId="0" xfId="0" applyAlignment="1" applyBorder="1" applyFont="1">
      <alignment horizontal="right" readingOrder="0" vertical="center"/>
    </xf>
    <xf borderId="1175" fillId="101" fontId="33" numFmtId="0" xfId="0" applyAlignment="1" applyBorder="1" applyFont="1">
      <alignment horizontal="center" readingOrder="0" vertical="center"/>
    </xf>
    <xf borderId="1176" fillId="101" fontId="154" numFmtId="0" xfId="0" applyAlignment="1" applyBorder="1" applyFont="1">
      <alignment horizontal="center" vertical="center"/>
    </xf>
    <xf borderId="1177" fillId="101" fontId="154" numFmtId="0" xfId="0" applyAlignment="1" applyBorder="1" applyFont="1">
      <alignment horizontal="center" vertical="center"/>
    </xf>
    <xf borderId="1178" fillId="101" fontId="96" numFmtId="0" xfId="0" applyAlignment="1" applyBorder="1" applyFont="1">
      <alignment horizontal="right" vertical="center"/>
    </xf>
    <xf borderId="1178" fillId="101" fontId="154" numFmtId="0" xfId="0" applyAlignment="1" applyBorder="1" applyFont="1">
      <alignment horizontal="center" vertical="center"/>
    </xf>
    <xf borderId="1179" fillId="101" fontId="154" numFmtId="0" xfId="0" applyAlignment="1" applyBorder="1" applyFont="1">
      <alignment horizontal="center" vertical="center"/>
    </xf>
    <xf borderId="1178" fillId="101" fontId="169" numFmtId="0" xfId="0" applyAlignment="1" applyBorder="1" applyFont="1">
      <alignment horizontal="left" readingOrder="0" vertical="center"/>
    </xf>
    <xf borderId="1180" fillId="101" fontId="96" numFmtId="0" xfId="0" applyAlignment="1" applyBorder="1" applyFont="1">
      <alignment horizontal="right" vertical="center"/>
    </xf>
    <xf borderId="1181" fillId="101" fontId="154" numFmtId="0" xfId="0" applyAlignment="1" applyBorder="1" applyFont="1">
      <alignment horizontal="center" vertical="center"/>
    </xf>
    <xf borderId="1182" fillId="101" fontId="170" numFmtId="0" xfId="0" applyAlignment="1" applyBorder="1" applyFont="1">
      <alignment horizontal="left" readingOrder="0" vertical="center"/>
    </xf>
    <xf borderId="1183" fillId="0" fontId="5" numFmtId="0" xfId="0" applyBorder="1" applyFont="1"/>
    <xf borderId="1184" fillId="0" fontId="5" numFmtId="0" xfId="0" applyBorder="1" applyFont="1"/>
    <xf borderId="1185" fillId="101" fontId="154" numFmtId="0" xfId="0" applyAlignment="1" applyBorder="1" applyFont="1">
      <alignment horizontal="center" vertical="center"/>
    </xf>
    <xf borderId="1014" fillId="61" fontId="96" numFmtId="0" xfId="0" applyAlignment="1" applyBorder="1" applyFont="1">
      <alignment horizontal="right" vertical="center"/>
    </xf>
    <xf borderId="1186" fillId="101" fontId="156" numFmtId="0" xfId="0" applyAlignment="1" applyBorder="1" applyFont="1">
      <alignment horizontal="center" vertical="center"/>
    </xf>
    <xf borderId="341" fillId="61" fontId="156" numFmtId="0" xfId="0" applyAlignment="1" applyBorder="1" applyFont="1">
      <alignment horizontal="center" vertical="center"/>
    </xf>
    <xf borderId="1187" fillId="101" fontId="154" numFmtId="0" xfId="0" applyAlignment="1" applyBorder="1" applyFont="1">
      <alignment horizontal="center" vertical="center"/>
    </xf>
    <xf borderId="1185" fillId="101" fontId="132" numFmtId="0" xfId="0" applyAlignment="1" applyBorder="1" applyFont="1">
      <alignment horizontal="center" vertical="center"/>
    </xf>
    <xf borderId="885" fillId="101" fontId="96" numFmtId="0" xfId="0" applyAlignment="1" applyBorder="1" applyFont="1">
      <alignment horizontal="right" readingOrder="0" vertical="center"/>
    </xf>
    <xf borderId="1186" fillId="101" fontId="132" numFmtId="0" xfId="0" applyAlignment="1" applyBorder="1" applyFont="1">
      <alignment horizontal="center" readingOrder="0" vertical="center"/>
    </xf>
    <xf borderId="1188" fillId="101" fontId="130" numFmtId="0" xfId="0" applyAlignment="1" applyBorder="1" applyFont="1">
      <alignment horizontal="center" readingOrder="0" vertical="center"/>
    </xf>
    <xf borderId="1189" fillId="0" fontId="5" numFmtId="0" xfId="0" applyBorder="1" applyFont="1"/>
    <xf borderId="1190" fillId="0" fontId="5" numFmtId="0" xfId="0" applyBorder="1" applyFont="1"/>
    <xf borderId="1186" fillId="101" fontId="171" numFmtId="0" xfId="0" applyAlignment="1" applyBorder="1" applyFont="1">
      <alignment horizontal="center" readingOrder="0" vertical="center"/>
    </xf>
    <xf borderId="1187" fillId="101" fontId="132" numFmtId="0" xfId="0" applyAlignment="1" applyBorder="1" applyFont="1">
      <alignment horizontal="center" vertical="center"/>
    </xf>
    <xf borderId="1185" fillId="101" fontId="156" numFmtId="0" xfId="0" applyAlignment="1" applyBorder="1" applyFont="1">
      <alignment horizontal="center" vertical="center"/>
    </xf>
    <xf borderId="1186" fillId="101" fontId="156" numFmtId="0" xfId="0" applyAlignment="1" applyBorder="1" applyFont="1">
      <alignment horizontal="center" readingOrder="0" vertical="center"/>
    </xf>
    <xf borderId="1191" fillId="101" fontId="146" numFmtId="0" xfId="0" applyAlignment="1" applyBorder="1" applyFont="1">
      <alignment horizontal="center" readingOrder="0" vertical="top"/>
    </xf>
    <xf borderId="1186" fillId="0" fontId="5" numFmtId="0" xfId="0" applyBorder="1" applyFont="1"/>
    <xf borderId="1192" fillId="0" fontId="5" numFmtId="0" xfId="0" applyBorder="1" applyFont="1"/>
    <xf borderId="1186" fillId="101" fontId="130" numFmtId="0" xfId="0" applyAlignment="1" applyBorder="1" applyFont="1">
      <alignment horizontal="center" readingOrder="0" vertical="center"/>
    </xf>
    <xf borderId="1187" fillId="101" fontId="156" numFmtId="0" xfId="0" applyAlignment="1" applyBorder="1" applyFont="1">
      <alignment horizontal="center" vertical="center"/>
    </xf>
    <xf borderId="1186" fillId="101" fontId="154" numFmtId="0" xfId="0" applyAlignment="1" applyBorder="1" applyFont="1">
      <alignment horizontal="center" vertical="center"/>
    </xf>
    <xf borderId="1193" fillId="101" fontId="171" numFmtId="0" xfId="0" applyAlignment="1" applyBorder="1" applyFont="1">
      <alignment horizontal="center" vertical="center"/>
    </xf>
    <xf borderId="1178" fillId="101" fontId="161" numFmtId="0" xfId="0" applyAlignment="1" applyBorder="1" applyFont="1">
      <alignment horizontal="right" vertical="top"/>
    </xf>
    <xf borderId="1178" fillId="101" fontId="161" numFmtId="0" xfId="0" applyAlignment="1" applyBorder="1" applyFont="1">
      <alignment horizontal="left" vertical="top"/>
    </xf>
    <xf borderId="1194" fillId="101" fontId="171" numFmtId="0" xfId="0" applyAlignment="1" applyBorder="1" applyFont="1">
      <alignment horizontal="center" vertical="top"/>
    </xf>
    <xf borderId="1195" fillId="101" fontId="171" numFmtId="0" xfId="0" applyAlignment="1" applyBorder="1" applyFont="1">
      <alignment horizontal="center" vertical="center"/>
    </xf>
    <xf borderId="1195" fillId="101" fontId="161" numFmtId="0" xfId="0" applyAlignment="1" applyBorder="1" applyFont="1">
      <alignment horizontal="center" vertical="top"/>
    </xf>
    <xf borderId="1196" fillId="0" fontId="5" numFmtId="0" xfId="0" applyBorder="1" applyFont="1"/>
    <xf borderId="1175" fillId="101" fontId="96" numFmtId="0" xfId="0" applyAlignment="1" applyBorder="1" applyFont="1">
      <alignment horizontal="right" vertical="center"/>
    </xf>
    <xf borderId="1195" fillId="101" fontId="154" numFmtId="0" xfId="0" applyAlignment="1" applyBorder="1" applyFont="1">
      <alignment horizontal="center" vertical="center"/>
    </xf>
    <xf borderId="1197" fillId="101" fontId="171" numFmtId="0" xfId="0" applyAlignment="1" applyBorder="1" applyFont="1">
      <alignment horizontal="center" vertical="center"/>
    </xf>
    <xf borderId="1198" fillId="101" fontId="171" numFmtId="0" xfId="0" applyAlignment="1" applyBorder="1" applyFont="1">
      <alignment horizontal="center" vertical="top"/>
    </xf>
    <xf borderId="1199" fillId="101" fontId="171" numFmtId="0" xfId="0" applyAlignment="1" applyBorder="1" applyFont="1">
      <alignment horizontal="center" vertical="top"/>
    </xf>
    <xf borderId="1200" fillId="101" fontId="132" numFmtId="0" xfId="0" applyAlignment="1" applyBorder="1" applyFont="1">
      <alignment horizontal="center" readingOrder="0" vertical="center"/>
    </xf>
    <xf borderId="1201" fillId="0" fontId="5" numFmtId="0" xfId="0" applyBorder="1" applyFont="1"/>
    <xf borderId="1202" fillId="0" fontId="5" numFmtId="0" xfId="0" applyBorder="1" applyFont="1"/>
    <xf borderId="1186" fillId="101" fontId="171" numFmtId="0" xfId="0" applyAlignment="1" applyBorder="1" applyFont="1">
      <alignment horizontal="center" vertical="center"/>
    </xf>
    <xf borderId="1181" fillId="101" fontId="96" numFmtId="0" xfId="0" applyAlignment="1" applyBorder="1" applyFont="1">
      <alignment horizontal="right" vertical="center"/>
    </xf>
    <xf borderId="1191" fillId="101" fontId="132" numFmtId="0" xfId="0" applyAlignment="1" applyBorder="1" applyFont="1">
      <alignment horizontal="center" readingOrder="0" vertical="center"/>
    </xf>
    <xf borderId="1203" fillId="0" fontId="5" numFmtId="0" xfId="0" applyBorder="1" applyFont="1"/>
    <xf borderId="1204" fillId="101" fontId="132" numFmtId="0" xfId="0" applyAlignment="1" applyBorder="1" applyFont="1">
      <alignment horizontal="center" readingOrder="0" vertical="center"/>
    </xf>
    <xf borderId="1205" fillId="101" fontId="132" numFmtId="0" xfId="0" applyAlignment="1" applyBorder="1" applyFont="1">
      <alignment horizontal="center" readingOrder="0" vertical="center"/>
    </xf>
    <xf borderId="1175" fillId="0" fontId="5" numFmtId="0" xfId="0" applyBorder="1" applyFont="1"/>
    <xf borderId="1206" fillId="101" fontId="132" numFmtId="0" xfId="0" applyAlignment="1" applyBorder="1" applyFont="1">
      <alignment horizontal="center" readingOrder="0" vertical="center"/>
    </xf>
    <xf borderId="1194" fillId="101" fontId="132" numFmtId="0" xfId="0" applyAlignment="1" applyBorder="1" applyFont="1">
      <alignment horizontal="center" readingOrder="0" vertical="center"/>
    </xf>
    <xf borderId="1207" fillId="101" fontId="132" numFmtId="0" xfId="0" applyAlignment="1" applyBorder="1" applyFont="1">
      <alignment horizontal="center" readingOrder="0" vertical="center"/>
    </xf>
    <xf borderId="1208" fillId="0" fontId="5" numFmtId="0" xfId="0" applyBorder="1" applyFont="1"/>
    <xf borderId="1209" fillId="101" fontId="132" numFmtId="0" xfId="0" applyAlignment="1" applyBorder="1" applyFont="1">
      <alignment horizontal="center" readingOrder="0" vertical="center"/>
    </xf>
    <xf borderId="1177" fillId="101" fontId="153" numFmtId="0" xfId="0" applyAlignment="1" applyBorder="1" applyFont="1">
      <alignment horizontal="center" vertical="center"/>
    </xf>
    <xf borderId="1178" fillId="101" fontId="120" numFmtId="0" xfId="0" applyAlignment="1" applyBorder="1" applyFont="1">
      <alignment horizontal="right" vertical="center"/>
    </xf>
    <xf borderId="1178" fillId="101" fontId="160" numFmtId="0" xfId="0" applyAlignment="1" applyBorder="1" applyFont="1">
      <alignment horizontal="center" vertical="center"/>
    </xf>
    <xf borderId="1203" fillId="101" fontId="160" numFmtId="0" xfId="0" applyAlignment="1" applyBorder="1" applyFont="1">
      <alignment horizontal="center" vertical="center"/>
    </xf>
    <xf borderId="1203" fillId="101" fontId="143" numFmtId="0" xfId="0" applyAlignment="1" applyBorder="1" applyFont="1">
      <alignment horizontal="center" vertical="center"/>
    </xf>
    <xf borderId="1210" fillId="101" fontId="161" numFmtId="0" xfId="0" applyAlignment="1" applyBorder="1" applyFont="1">
      <alignment horizontal="center" vertical="center"/>
    </xf>
    <xf borderId="1203" fillId="101" fontId="161" numFmtId="0" xfId="0" applyAlignment="1" applyBorder="1" applyFont="1">
      <alignment horizontal="center" vertical="center"/>
    </xf>
    <xf borderId="1211" fillId="101" fontId="161" numFmtId="0" xfId="0" applyAlignment="1" applyBorder="1" applyFont="1">
      <alignment horizontal="center" vertical="center"/>
    </xf>
    <xf borderId="1179" fillId="101" fontId="153" numFmtId="0" xfId="0" applyAlignment="1" applyBorder="1" applyFont="1">
      <alignment horizontal="center" vertical="center"/>
    </xf>
    <xf borderId="1177" fillId="101" fontId="162" numFmtId="0" xfId="0" applyAlignment="1" applyBorder="1" applyFont="1">
      <alignment horizontal="center" vertical="center"/>
    </xf>
    <xf borderId="1195" fillId="101" fontId="140" numFmtId="0" xfId="0" applyAlignment="1" applyBorder="1" applyFont="1">
      <alignment horizontal="center" vertical="center"/>
    </xf>
    <xf borderId="378" fillId="102" fontId="138" numFmtId="0" xfId="0" applyAlignment="1" applyBorder="1" applyFill="1" applyFont="1">
      <alignment horizontal="center" readingOrder="0" vertical="top"/>
    </xf>
    <xf borderId="1187" fillId="101" fontId="162" numFmtId="0" xfId="0" applyAlignment="1" applyBorder="1" applyFont="1">
      <alignment horizontal="center" vertical="center"/>
    </xf>
    <xf borderId="1212" fillId="102" fontId="138" numFmtId="0" xfId="0" applyAlignment="1" applyBorder="1" applyFont="1">
      <alignment horizontal="center" readingOrder="0" vertical="center"/>
    </xf>
    <xf borderId="1213" fillId="102" fontId="138" numFmtId="0" xfId="0" applyAlignment="1" applyBorder="1" applyFont="1">
      <alignment horizontal="center" readingOrder="0" vertical="center"/>
    </xf>
    <xf borderId="1214" fillId="102" fontId="138" numFmtId="0" xfId="0" applyAlignment="1" applyBorder="1" applyFont="1">
      <alignment horizontal="left" readingOrder="0" vertical="center"/>
    </xf>
    <xf borderId="1215" fillId="0" fontId="5" numFmtId="0" xfId="0" applyBorder="1" applyFont="1"/>
    <xf borderId="1195" fillId="101" fontId="140" numFmtId="0" xfId="0" applyAlignment="1" applyBorder="1" applyFont="1">
      <alignment horizontal="center" vertical="center"/>
    </xf>
    <xf borderId="1187" fillId="101" fontId="162" numFmtId="0" xfId="0" applyAlignment="1" applyBorder="1" applyFont="1">
      <alignment horizontal="center" vertical="center"/>
    </xf>
    <xf borderId="1216" fillId="102" fontId="138" numFmtId="0" xfId="0" applyAlignment="1" applyBorder="1" applyFont="1">
      <alignment horizontal="center" readingOrder="0" vertical="center"/>
    </xf>
    <xf borderId="1217" fillId="102" fontId="138" numFmtId="0" xfId="0" applyAlignment="1" applyBorder="1" applyFont="1">
      <alignment horizontal="center" readingOrder="0" vertical="center"/>
    </xf>
    <xf borderId="1218" fillId="102" fontId="138" numFmtId="0" xfId="0" applyAlignment="1" applyBorder="1" applyFont="1">
      <alignment horizontal="left" readingOrder="0" vertical="center"/>
    </xf>
    <xf borderId="1219" fillId="0" fontId="5" numFmtId="0" xfId="0" applyBorder="1" applyFont="1"/>
    <xf borderId="1220" fillId="102" fontId="138" numFmtId="0" xfId="0" applyAlignment="1" applyBorder="1" applyFont="1">
      <alignment horizontal="center" readingOrder="0" vertical="center"/>
    </xf>
    <xf borderId="1221" fillId="102" fontId="138" numFmtId="0" xfId="0" applyAlignment="1" applyBorder="1" applyFont="1">
      <alignment horizontal="center" readingOrder="0" vertical="center"/>
    </xf>
    <xf borderId="1222" fillId="102" fontId="138" numFmtId="0" xfId="0" applyAlignment="1" applyBorder="1" applyFont="1">
      <alignment horizontal="left" readingOrder="0" vertical="center"/>
    </xf>
    <xf borderId="1223" fillId="0" fontId="5" numFmtId="0" xfId="0" applyBorder="1" applyFont="1"/>
    <xf borderId="395" fillId="102" fontId="138" numFmtId="0" xfId="0" applyAlignment="1" applyBorder="1" applyFont="1">
      <alignment horizontal="right" readingOrder="0" vertical="center"/>
    </xf>
    <xf borderId="400" fillId="102" fontId="138" numFmtId="0" xfId="0" applyAlignment="1" applyBorder="1" applyFont="1">
      <alignment horizontal="right" readingOrder="0" vertical="center"/>
    </xf>
    <xf borderId="1178" fillId="101" fontId="140" numFmtId="0" xfId="0" applyAlignment="1" applyBorder="1" applyFont="1">
      <alignment horizontal="center" vertical="center"/>
    </xf>
    <xf borderId="1175" fillId="101" fontId="140" numFmtId="0" xfId="0" applyAlignment="1" applyBorder="1" applyFont="1">
      <alignment horizontal="center" vertical="center"/>
    </xf>
    <xf borderId="405" fillId="102" fontId="138" numFmtId="0" xfId="0" applyAlignment="1" applyBorder="1" applyFont="1">
      <alignment horizontal="right" readingOrder="0" vertical="center"/>
    </xf>
    <xf borderId="1186" fillId="101" fontId="140" numFmtId="0" xfId="0" applyAlignment="1" applyBorder="1" applyFont="1">
      <alignment horizontal="center" vertical="center"/>
    </xf>
    <xf borderId="1186" fillId="101" fontId="140" numFmtId="0" xfId="0" applyAlignment="1" applyBorder="1" applyFont="1">
      <alignment horizontal="center" vertical="center"/>
    </xf>
    <xf borderId="1224" fillId="101" fontId="154" numFmtId="0" xfId="0" applyAlignment="1" applyBorder="1" applyFont="1">
      <alignment horizontal="center" vertical="center"/>
    </xf>
    <xf borderId="1225" fillId="101" fontId="96" numFmtId="0" xfId="0" applyAlignment="1" applyBorder="1" applyFont="1">
      <alignment horizontal="right" vertical="center"/>
    </xf>
    <xf borderId="1225" fillId="101" fontId="154" numFmtId="0" xfId="0" applyAlignment="1" applyBorder="1" applyFont="1">
      <alignment horizontal="center" vertical="center"/>
    </xf>
    <xf borderId="1225" fillId="101" fontId="154" numFmtId="0" xfId="0" applyAlignment="1" applyBorder="1" applyFont="1">
      <alignment horizontal="center" readingOrder="0" vertical="center"/>
    </xf>
    <xf borderId="1226" fillId="101" fontId="154" numFmtId="0" xfId="0" applyAlignment="1" applyBorder="1" applyFont="1">
      <alignment horizontal="center" readingOrder="0" vertical="center"/>
    </xf>
    <xf borderId="1227" fillId="101" fontId="154" numFmtId="0" xfId="0" applyAlignment="1" applyBorder="1" applyFont="1">
      <alignment horizontal="center" vertical="center"/>
    </xf>
    <xf borderId="1228" fillId="103" fontId="154" numFmtId="0" xfId="0" applyAlignment="1" applyBorder="1" applyFill="1" applyFont="1">
      <alignment horizontal="center" vertical="center"/>
    </xf>
    <xf borderId="1229" fillId="103" fontId="120" numFmtId="0" xfId="0" applyAlignment="1" applyBorder="1" applyFont="1">
      <alignment horizontal="right" readingOrder="0" vertical="center"/>
    </xf>
    <xf borderId="1229" fillId="103" fontId="33" numFmtId="0" xfId="0" applyAlignment="1" applyBorder="1" applyFont="1">
      <alignment horizontal="center" readingOrder="0" vertical="center"/>
    </xf>
    <xf borderId="1230" fillId="103" fontId="154" numFmtId="0" xfId="0" applyAlignment="1" applyBorder="1" applyFont="1">
      <alignment horizontal="center" vertical="center"/>
    </xf>
    <xf borderId="1231" fillId="103" fontId="162" numFmtId="0" xfId="0" applyAlignment="1" applyBorder="1" applyFont="1">
      <alignment horizontal="center" vertical="center"/>
    </xf>
    <xf borderId="1232" fillId="103" fontId="120" numFmtId="0" xfId="0" applyAlignment="1" applyBorder="1" applyFont="1">
      <alignment horizontal="right" vertical="center"/>
    </xf>
    <xf borderId="1233" fillId="103" fontId="172" numFmtId="0" xfId="0" applyAlignment="1" applyBorder="1" applyFont="1">
      <alignment horizontal="left" readingOrder="0" vertical="center"/>
    </xf>
    <xf borderId="1234" fillId="0" fontId="5" numFmtId="0" xfId="0" applyBorder="1" applyFont="1"/>
    <xf borderId="1235" fillId="0" fontId="5" numFmtId="0" xfId="0" applyBorder="1" applyFont="1"/>
    <xf borderId="1236" fillId="103" fontId="154" numFmtId="0" xfId="0" applyAlignment="1" applyBorder="1" applyFont="1">
      <alignment horizontal="center" vertical="center"/>
    </xf>
    <xf borderId="1237" fillId="103" fontId="154" numFmtId="0" xfId="0" applyAlignment="1" applyBorder="1" applyFont="1">
      <alignment horizontal="center" vertical="center"/>
    </xf>
    <xf borderId="1014" fillId="63" fontId="96" numFmtId="0" xfId="0" applyAlignment="1" applyBorder="1" applyFont="1">
      <alignment horizontal="right" vertical="center"/>
    </xf>
    <xf borderId="1238" fillId="103" fontId="156" numFmtId="0" xfId="0" applyAlignment="1" applyBorder="1" applyFont="1">
      <alignment horizontal="center" vertical="center"/>
    </xf>
    <xf borderId="341" fillId="63" fontId="131" numFmtId="0" xfId="0" applyAlignment="1" applyBorder="1" applyFont="1">
      <alignment horizontal="center" vertical="center"/>
    </xf>
    <xf borderId="1238" fillId="103" fontId="131" numFmtId="0" xfId="0" applyAlignment="1" applyBorder="1" applyFont="1">
      <alignment horizontal="center" vertical="center"/>
    </xf>
    <xf borderId="1239" fillId="103" fontId="154" numFmtId="0" xfId="0" applyAlignment="1" applyBorder="1" applyFont="1">
      <alignment horizontal="center" vertical="center"/>
    </xf>
    <xf borderId="1237" fillId="103" fontId="132" numFmtId="0" xfId="0" applyAlignment="1" applyBorder="1" applyFont="1">
      <alignment horizontal="center" vertical="center"/>
    </xf>
    <xf borderId="885" fillId="103" fontId="96" numFmtId="0" xfId="0" applyAlignment="1" applyBorder="1" applyFont="1">
      <alignment horizontal="right" readingOrder="0" vertical="center"/>
    </xf>
    <xf borderId="1238" fillId="103" fontId="132" numFmtId="0" xfId="0" applyAlignment="1" applyBorder="1" applyFont="1">
      <alignment horizontal="center" readingOrder="0" vertical="center"/>
    </xf>
    <xf borderId="1240" fillId="103" fontId="130" numFmtId="0" xfId="0" applyAlignment="1" applyBorder="1" applyFont="1">
      <alignment horizontal="center" readingOrder="0" vertical="center"/>
    </xf>
    <xf borderId="1241" fillId="0" fontId="5" numFmtId="0" xfId="0" applyBorder="1" applyFont="1"/>
    <xf borderId="1242" fillId="0" fontId="5" numFmtId="0" xfId="0" applyBorder="1" applyFont="1"/>
    <xf borderId="1239" fillId="103" fontId="132" numFmtId="0" xfId="0" applyAlignment="1" applyBorder="1" applyFont="1">
      <alignment horizontal="center" vertical="center"/>
    </xf>
    <xf borderId="1237" fillId="103" fontId="156" numFmtId="0" xfId="0" applyAlignment="1" applyBorder="1" applyFont="1">
      <alignment horizontal="center" vertical="center"/>
    </xf>
    <xf borderId="1238" fillId="103" fontId="156" numFmtId="0" xfId="0" applyAlignment="1" applyBorder="1" applyFont="1">
      <alignment horizontal="center" readingOrder="0" vertical="center"/>
    </xf>
    <xf borderId="1243" fillId="103" fontId="146" numFmtId="0" xfId="0" applyAlignment="1" applyBorder="1" applyFont="1">
      <alignment horizontal="center" readingOrder="0" vertical="top"/>
    </xf>
    <xf borderId="1238" fillId="0" fontId="5" numFmtId="0" xfId="0" applyBorder="1" applyFont="1"/>
    <xf borderId="1244" fillId="0" fontId="5" numFmtId="0" xfId="0" applyBorder="1" applyFont="1"/>
    <xf borderId="1238" fillId="103" fontId="131" numFmtId="0" xfId="0" applyAlignment="1" applyBorder="1" applyFont="1">
      <alignment horizontal="center" readingOrder="0" vertical="center"/>
    </xf>
    <xf borderId="1239" fillId="103" fontId="156" numFmtId="0" xfId="0" applyAlignment="1" applyBorder="1" applyFont="1">
      <alignment horizontal="center" vertical="center"/>
    </xf>
    <xf borderId="1231" fillId="103" fontId="154" numFmtId="0" xfId="0" applyAlignment="1" applyBorder="1" applyFont="1">
      <alignment horizontal="center" vertical="center"/>
    </xf>
    <xf borderId="1238" fillId="103" fontId="154" numFmtId="0" xfId="0" applyAlignment="1" applyBorder="1" applyFont="1">
      <alignment horizontal="center" vertical="center"/>
    </xf>
    <xf borderId="1245" fillId="103" fontId="132" numFmtId="0" xfId="0" applyAlignment="1" applyBorder="1" applyFont="1">
      <alignment horizontal="center" vertical="center"/>
    </xf>
    <xf borderId="1232" fillId="103" fontId="147" numFmtId="0" xfId="0" applyAlignment="1" applyBorder="1" applyFont="1">
      <alignment horizontal="right" vertical="top"/>
    </xf>
    <xf borderId="1232" fillId="103" fontId="147" numFmtId="0" xfId="0" applyAlignment="1" applyBorder="1" applyFont="1">
      <alignment horizontal="left" vertical="top"/>
    </xf>
    <xf borderId="1246" fillId="103" fontId="132" numFmtId="0" xfId="0" applyAlignment="1" applyBorder="1" applyFont="1">
      <alignment horizontal="center" vertical="top"/>
    </xf>
    <xf borderId="1247" fillId="103" fontId="132" numFmtId="0" xfId="0" applyAlignment="1" applyBorder="1" applyFont="1">
      <alignment horizontal="center" vertical="center"/>
    </xf>
    <xf borderId="1247" fillId="103" fontId="147" numFmtId="0" xfId="0" applyAlignment="1" applyBorder="1" applyFont="1">
      <alignment horizontal="center" vertical="top"/>
    </xf>
    <xf borderId="1248" fillId="0" fontId="5" numFmtId="0" xfId="0" applyBorder="1" applyFont="1"/>
    <xf borderId="1229" fillId="103" fontId="96" numFmtId="0" xfId="0" applyAlignment="1" applyBorder="1" applyFont="1">
      <alignment horizontal="right" vertical="center"/>
    </xf>
    <xf borderId="1247" fillId="103" fontId="154" numFmtId="0" xfId="0" applyAlignment="1" applyBorder="1" applyFont="1">
      <alignment horizontal="center" vertical="center"/>
    </xf>
    <xf borderId="1249" fillId="103" fontId="132" numFmtId="0" xfId="0" applyAlignment="1" applyBorder="1" applyFont="1">
      <alignment horizontal="center" vertical="center"/>
    </xf>
    <xf borderId="1250" fillId="103" fontId="132" numFmtId="0" xfId="0" applyAlignment="1" applyBorder="1" applyFont="1">
      <alignment horizontal="center" vertical="top"/>
    </xf>
    <xf borderId="1251" fillId="103" fontId="132" numFmtId="0" xfId="0" applyAlignment="1" applyBorder="1" applyFont="1">
      <alignment horizontal="center" vertical="top"/>
    </xf>
    <xf borderId="1232" fillId="103" fontId="96" numFmtId="0" xfId="0" applyAlignment="1" applyBorder="1" applyFont="1">
      <alignment horizontal="right" vertical="center"/>
    </xf>
    <xf borderId="1252" fillId="103" fontId="132" numFmtId="0" xfId="0" applyAlignment="1" applyBorder="1" applyFont="1">
      <alignment horizontal="center" readingOrder="0" vertical="center"/>
    </xf>
    <xf borderId="1253" fillId="0" fontId="5" numFmtId="0" xfId="0" applyBorder="1" applyFont="1"/>
    <xf borderId="1254" fillId="0" fontId="5" numFmtId="0" xfId="0" applyBorder="1" applyFont="1"/>
    <xf borderId="1238" fillId="103" fontId="132" numFmtId="0" xfId="0" applyAlignment="1" applyBorder="1" applyFont="1">
      <alignment horizontal="center" vertical="center"/>
    </xf>
    <xf borderId="1255" fillId="103" fontId="96" numFmtId="0" xfId="0" applyAlignment="1" applyBorder="1" applyFont="1">
      <alignment horizontal="right" vertical="center"/>
    </xf>
    <xf borderId="1243" fillId="103" fontId="132" numFmtId="0" xfId="0" applyAlignment="1" applyBorder="1" applyFont="1">
      <alignment horizontal="center" readingOrder="0" vertical="center"/>
    </xf>
    <xf borderId="1256" fillId="0" fontId="5" numFmtId="0" xfId="0" applyBorder="1" applyFont="1"/>
    <xf borderId="1257" fillId="103" fontId="132" numFmtId="0" xfId="0" applyAlignment="1" applyBorder="1" applyFont="1">
      <alignment horizontal="center" readingOrder="0" vertical="center"/>
    </xf>
    <xf borderId="1258" fillId="103" fontId="132" numFmtId="0" xfId="0" applyAlignment="1" applyBorder="1" applyFont="1">
      <alignment horizontal="center" vertical="center"/>
    </xf>
    <xf borderId="1229" fillId="0" fontId="5" numFmtId="0" xfId="0" applyBorder="1" applyFont="1"/>
    <xf borderId="1259" fillId="103" fontId="132" numFmtId="0" xfId="0" applyAlignment="1" applyBorder="1" applyFont="1">
      <alignment horizontal="center" readingOrder="0" vertical="center"/>
    </xf>
    <xf borderId="1246" fillId="103" fontId="132" numFmtId="0" xfId="0" applyAlignment="1" applyBorder="1" applyFont="1">
      <alignment horizontal="center" readingOrder="0" vertical="center"/>
    </xf>
    <xf borderId="1260" fillId="103" fontId="132" numFmtId="0" xfId="0" applyAlignment="1" applyBorder="1" applyFont="1">
      <alignment horizontal="center" readingOrder="0" vertical="center"/>
    </xf>
    <xf borderId="1261" fillId="0" fontId="5" numFmtId="0" xfId="0" applyBorder="1" applyFont="1"/>
    <xf borderId="1262" fillId="103" fontId="132" numFmtId="0" xfId="0" applyAlignment="1" applyBorder="1" applyFont="1">
      <alignment horizontal="center" readingOrder="0" vertical="center"/>
    </xf>
    <xf borderId="1231" fillId="103" fontId="153" numFmtId="0" xfId="0" applyAlignment="1" applyBorder="1" applyFont="1">
      <alignment horizontal="center" vertical="center"/>
    </xf>
    <xf borderId="1263" fillId="103" fontId="160" numFmtId="0" xfId="0" applyAlignment="1" applyBorder="1" applyFont="1">
      <alignment horizontal="center" vertical="center"/>
    </xf>
    <xf borderId="1264" fillId="103" fontId="153" numFmtId="0" xfId="0" applyAlignment="1" applyBorder="1" applyFont="1">
      <alignment horizontal="center" vertical="center"/>
    </xf>
    <xf borderId="1247" fillId="103" fontId="140" numFmtId="0" xfId="0" applyAlignment="1" applyBorder="1" applyFont="1">
      <alignment horizontal="center" vertical="center"/>
    </xf>
    <xf borderId="378" fillId="104" fontId="138" numFmtId="0" xfId="0" applyAlignment="1" applyBorder="1" applyFill="1" applyFont="1">
      <alignment horizontal="center" readingOrder="0" vertical="top"/>
    </xf>
    <xf borderId="1239" fillId="103" fontId="162" numFmtId="0" xfId="0" applyAlignment="1" applyBorder="1" applyFont="1">
      <alignment horizontal="center" vertical="center"/>
    </xf>
    <xf borderId="1265" fillId="104" fontId="138" numFmtId="0" xfId="0" applyAlignment="1" applyBorder="1" applyFont="1">
      <alignment horizontal="center" readingOrder="0" vertical="center"/>
    </xf>
    <xf borderId="1266" fillId="104" fontId="138" numFmtId="0" xfId="0" applyAlignment="1" applyBorder="1" applyFont="1">
      <alignment horizontal="center" readingOrder="0" vertical="center"/>
    </xf>
    <xf borderId="1267" fillId="104" fontId="138" numFmtId="0" xfId="0" applyAlignment="1" applyBorder="1" applyFont="1">
      <alignment horizontal="left" readingOrder="0" vertical="center"/>
    </xf>
    <xf borderId="1268" fillId="0" fontId="5" numFmtId="0" xfId="0" applyBorder="1" applyFont="1"/>
    <xf borderId="1247" fillId="103" fontId="140" numFmtId="0" xfId="0" applyAlignment="1" applyBorder="1" applyFont="1">
      <alignment horizontal="center" vertical="center"/>
    </xf>
    <xf borderId="1239" fillId="103" fontId="162" numFmtId="0" xfId="0" applyAlignment="1" applyBorder="1" applyFont="1">
      <alignment horizontal="center" vertical="center"/>
    </xf>
    <xf borderId="1269" fillId="104" fontId="138" numFmtId="0" xfId="0" applyAlignment="1" applyBorder="1" applyFont="1">
      <alignment horizontal="center" readingOrder="0" vertical="center"/>
    </xf>
    <xf borderId="1270" fillId="104" fontId="138" numFmtId="0" xfId="0" applyAlignment="1" applyBorder="1" applyFont="1">
      <alignment horizontal="center" readingOrder="0" vertical="center"/>
    </xf>
    <xf borderId="1271" fillId="104" fontId="138" numFmtId="0" xfId="0" applyAlignment="1" applyBorder="1" applyFont="1">
      <alignment horizontal="left" readingOrder="0" vertical="center"/>
    </xf>
    <xf borderId="1272" fillId="0" fontId="5" numFmtId="0" xfId="0" applyBorder="1" applyFont="1"/>
    <xf borderId="1273" fillId="104" fontId="138" numFmtId="0" xfId="0" applyAlignment="1" applyBorder="1" applyFont="1">
      <alignment horizontal="center" readingOrder="0" vertical="center"/>
    </xf>
    <xf borderId="1274" fillId="104" fontId="138" numFmtId="0" xfId="0" applyAlignment="1" applyBorder="1" applyFont="1">
      <alignment horizontal="center" readingOrder="0" vertical="center"/>
    </xf>
    <xf borderId="1275" fillId="104" fontId="138" numFmtId="0" xfId="0" applyAlignment="1" applyBorder="1" applyFont="1">
      <alignment horizontal="left" readingOrder="0" vertical="center"/>
    </xf>
    <xf borderId="1276" fillId="0" fontId="5" numFmtId="0" xfId="0" applyBorder="1" applyFont="1"/>
    <xf borderId="395" fillId="104" fontId="138" numFmtId="0" xfId="0" applyAlignment="1" applyBorder="1" applyFont="1">
      <alignment horizontal="right" readingOrder="0" vertical="center"/>
    </xf>
    <xf borderId="1277" fillId="103" fontId="154" numFmtId="0" xfId="0" applyAlignment="1" applyBorder="1" applyFont="1">
      <alignment horizontal="center" vertical="center"/>
    </xf>
    <xf borderId="1278" fillId="103" fontId="96" numFmtId="0" xfId="0" applyAlignment="1" applyBorder="1" applyFont="1">
      <alignment horizontal="right" vertical="center"/>
    </xf>
    <xf borderId="1278" fillId="103" fontId="154" numFmtId="0" xfId="0" applyAlignment="1" applyBorder="1" applyFont="1">
      <alignment horizontal="center" vertical="center"/>
    </xf>
    <xf borderId="1279" fillId="103" fontId="154" numFmtId="0" xfId="0" applyAlignment="1" applyBorder="1" applyFont="1">
      <alignment horizontal="center" vertical="center"/>
    </xf>
    <xf borderId="1280" fillId="103" fontId="154" numFmtId="0" xfId="0" applyAlignment="1" applyBorder="1" applyFont="1">
      <alignment horizontal="center" vertical="center"/>
    </xf>
    <xf borderId="869" fillId="91" fontId="157" numFmtId="0" xfId="0" applyAlignment="1" applyBorder="1" applyFont="1">
      <alignment horizontal="center" readingOrder="0" vertical="center"/>
    </xf>
    <xf borderId="1281" fillId="91" fontId="154" numFmtId="0" xfId="0" applyAlignment="1" applyBorder="1" applyFont="1">
      <alignment horizontal="center" vertical="center"/>
    </xf>
    <xf borderId="1281" fillId="91" fontId="96" numFmtId="0" xfId="0" applyAlignment="1" applyBorder="1" applyFont="1">
      <alignment horizontal="right" vertical="center"/>
    </xf>
    <xf borderId="1282" fillId="105" fontId="154" numFmtId="0" xfId="0" applyAlignment="1" applyBorder="1" applyFill="1" applyFont="1">
      <alignment horizontal="center" vertical="center"/>
    </xf>
    <xf borderId="1283" fillId="105" fontId="154" numFmtId="0" xfId="0" applyAlignment="1" applyBorder="1" applyFont="1">
      <alignment horizontal="center" vertical="center"/>
    </xf>
    <xf borderId="1283" fillId="105" fontId="104" numFmtId="0" xfId="0" applyAlignment="1" applyBorder="1" applyFont="1">
      <alignment horizontal="right" vertical="center"/>
    </xf>
    <xf borderId="1284" fillId="105" fontId="154" numFmtId="0" xfId="0" applyAlignment="1" applyBorder="1" applyFont="1">
      <alignment horizontal="center" vertical="center"/>
    </xf>
    <xf borderId="1285" fillId="12" fontId="154" numFmtId="0" xfId="0" applyAlignment="1" applyBorder="1" applyFont="1">
      <alignment horizontal="center" vertical="center"/>
    </xf>
    <xf borderId="1286" fillId="12" fontId="104" numFmtId="0" xfId="0" applyAlignment="1" applyBorder="1" applyFont="1">
      <alignment horizontal="right" vertical="center"/>
    </xf>
    <xf borderId="1286" fillId="12" fontId="154" numFmtId="0" xfId="0" applyAlignment="1" applyBorder="1" applyFont="1">
      <alignment horizontal="center" vertical="center"/>
    </xf>
    <xf borderId="1287" fillId="12" fontId="154" numFmtId="0" xfId="0" applyAlignment="1" applyBorder="1" applyFont="1">
      <alignment horizontal="center" vertical="center"/>
    </xf>
    <xf borderId="1288" fillId="12" fontId="154" numFmtId="0" xfId="0" applyAlignment="1" applyBorder="1" applyFont="1">
      <alignment horizontal="center" vertical="center"/>
    </xf>
    <xf borderId="1289" fillId="105" fontId="154" numFmtId="0" xfId="0" applyAlignment="1" applyBorder="1" applyFont="1">
      <alignment horizontal="center" vertical="center"/>
    </xf>
    <xf borderId="1284" fillId="105" fontId="157" numFmtId="0" xfId="0" applyAlignment="1" applyBorder="1" applyFont="1">
      <alignment horizontal="center" readingOrder="0" vertical="center"/>
    </xf>
    <xf borderId="1290" fillId="12" fontId="154" numFmtId="0" xfId="0" applyAlignment="1" applyBorder="1" applyFont="1">
      <alignment horizontal="center" vertical="center"/>
    </xf>
    <xf borderId="1291" fillId="12" fontId="104" numFmtId="0" xfId="0" applyAlignment="1" applyBorder="1" applyFont="1">
      <alignment horizontal="right" vertical="center"/>
    </xf>
    <xf borderId="206" fillId="12" fontId="154" numFmtId="0" xfId="0" applyAlignment="1" applyBorder="1" applyFont="1">
      <alignment horizontal="center" vertical="center"/>
    </xf>
    <xf borderId="942" fillId="28" fontId="163" numFmtId="0" xfId="0" applyAlignment="1" applyBorder="1" applyFont="1">
      <alignment horizontal="center" readingOrder="0" vertical="center"/>
    </xf>
    <xf borderId="209" fillId="12" fontId="154" numFmtId="0" xfId="0" applyAlignment="1" applyBorder="1" applyFont="1">
      <alignment horizontal="center" vertical="center"/>
    </xf>
    <xf borderId="209" fillId="0" fontId="5" numFmtId="0" xfId="0" applyBorder="1" applyFont="1"/>
    <xf borderId="1291" fillId="12" fontId="165" numFmtId="0" xfId="0" applyAlignment="1" applyBorder="1" applyFont="1">
      <alignment horizontal="center" readingOrder="0" vertical="center"/>
    </xf>
    <xf borderId="1292" fillId="12" fontId="154" numFmtId="0" xfId="0" applyAlignment="1" applyBorder="1" applyFont="1">
      <alignment horizontal="center" vertical="center"/>
    </xf>
    <xf borderId="1293" fillId="12" fontId="104" numFmtId="0" xfId="0" applyAlignment="1" applyBorder="1" applyFont="1">
      <alignment horizontal="right" readingOrder="0" vertical="center"/>
    </xf>
    <xf borderId="1291" fillId="12" fontId="164" numFmtId="0" xfId="0" applyAlignment="1" applyBorder="1" applyFont="1">
      <alignment horizontal="center" readingOrder="0" vertical="center"/>
    </xf>
    <xf borderId="180" fillId="12" fontId="164" numFmtId="0" xfId="0" applyAlignment="1" applyBorder="1" applyFont="1">
      <alignment horizontal="center" readingOrder="0" vertical="center"/>
    </xf>
    <xf borderId="200" fillId="12" fontId="164" numFmtId="0" xfId="0" applyAlignment="1" applyBorder="1" applyFont="1">
      <alignment horizontal="center" readingOrder="0" vertical="center"/>
    </xf>
    <xf borderId="1294" fillId="12" fontId="154" numFmtId="0" xfId="0" applyAlignment="1" applyBorder="1" applyFont="1">
      <alignment horizontal="center" vertical="center"/>
    </xf>
    <xf borderId="339" fillId="28" fontId="104" numFmtId="0" xfId="0" applyAlignment="1" applyBorder="1" applyFont="1">
      <alignment horizontal="right" vertical="center"/>
    </xf>
    <xf borderId="1295" fillId="12" fontId="156" numFmtId="0" xfId="0" applyAlignment="1" applyBorder="1" applyFont="1">
      <alignment horizontal="center" vertical="center"/>
    </xf>
    <xf borderId="1066" fillId="28" fontId="131" numFmtId="0" xfId="0" applyAlignment="1" applyBorder="1" applyFont="1">
      <alignment horizontal="center" vertical="center"/>
    </xf>
    <xf borderId="176" fillId="12" fontId="132" numFmtId="0" xfId="0" applyAlignment="1" applyBorder="1" applyFont="1">
      <alignment horizontal="center" vertical="center"/>
    </xf>
    <xf borderId="176" fillId="12" fontId="154" numFmtId="0" xfId="0" applyAlignment="1" applyBorder="1" applyFont="1">
      <alignment horizontal="center" vertical="center"/>
    </xf>
    <xf borderId="1296" fillId="12" fontId="154" numFmtId="0" xfId="0" applyAlignment="1" applyBorder="1" applyFont="1">
      <alignment horizontal="center" vertical="center"/>
    </xf>
    <xf borderId="1297" fillId="12" fontId="154" numFmtId="0" xfId="0" applyAlignment="1" applyBorder="1" applyFont="1">
      <alignment horizontal="center" vertical="center"/>
    </xf>
    <xf borderId="1284" fillId="105" fontId="132" numFmtId="0" xfId="0" applyAlignment="1" applyBorder="1" applyFont="1">
      <alignment horizontal="center" vertical="center"/>
    </xf>
    <xf borderId="1294" fillId="12" fontId="132" numFmtId="0" xfId="0" applyAlignment="1" applyBorder="1" applyFont="1">
      <alignment horizontal="center" vertical="center"/>
    </xf>
    <xf borderId="345" fillId="12" fontId="104" numFmtId="0" xfId="0" applyAlignment="1" applyBorder="1" applyFont="1">
      <alignment horizontal="right" readingOrder="0" vertical="center"/>
    </xf>
    <xf borderId="1295" fillId="12" fontId="132" numFmtId="0" xfId="0" applyAlignment="1" applyBorder="1" applyFont="1">
      <alignment horizontal="center" readingOrder="0" vertical="center"/>
    </xf>
    <xf borderId="1298" fillId="12" fontId="130" numFmtId="0" xfId="0" applyAlignment="1" applyBorder="1" applyFont="1">
      <alignment horizontal="center" readingOrder="0" vertical="center"/>
    </xf>
    <xf borderId="1299" fillId="0" fontId="5" numFmtId="0" xfId="0" applyBorder="1" applyFont="1"/>
    <xf borderId="1300" fillId="0" fontId="5" numFmtId="0" xfId="0" applyBorder="1" applyFont="1"/>
    <xf borderId="206" fillId="12" fontId="132" numFmtId="0" xfId="0" applyAlignment="1" applyBorder="1" applyFont="1">
      <alignment horizontal="center" vertical="center"/>
    </xf>
    <xf borderId="180" fillId="0" fontId="5" numFmtId="0" xfId="0" applyBorder="1" applyFont="1"/>
    <xf borderId="1292" fillId="12" fontId="132" numFmtId="0" xfId="0" applyAlignment="1" applyBorder="1" applyFont="1">
      <alignment horizontal="center" vertical="center"/>
    </xf>
    <xf borderId="1289" fillId="105" fontId="132" numFmtId="0" xfId="0" applyAlignment="1" applyBorder="1" applyFont="1">
      <alignment horizontal="center" vertical="center"/>
    </xf>
    <xf borderId="1301" fillId="12" fontId="154" numFmtId="0" xfId="0" applyAlignment="1" applyBorder="1" applyFont="1">
      <alignment horizontal="center" vertical="center"/>
    </xf>
    <xf borderId="209" fillId="12" fontId="154" numFmtId="0" xfId="0" applyAlignment="1" applyBorder="1" applyFont="1">
      <alignment horizontal="center" readingOrder="0" vertical="center"/>
    </xf>
    <xf borderId="1302" fillId="12" fontId="146" numFmtId="0" xfId="0" applyAlignment="1" applyBorder="1" applyFont="1">
      <alignment horizontal="center" readingOrder="0" vertical="top"/>
    </xf>
    <xf borderId="1303" fillId="0" fontId="5" numFmtId="0" xfId="0" applyBorder="1" applyFont="1"/>
    <xf borderId="1304" fillId="0" fontId="5" numFmtId="0" xfId="0" applyBorder="1" applyFont="1"/>
    <xf borderId="180" fillId="12" fontId="104" numFmtId="0" xfId="0" applyAlignment="1" applyBorder="1" applyFont="1">
      <alignment horizontal="right" vertical="center"/>
    </xf>
    <xf borderId="1305" fillId="12" fontId="154" numFmtId="0" xfId="0" applyAlignment="1" applyBorder="1" applyFont="1">
      <alignment horizontal="center" vertical="center"/>
    </xf>
    <xf borderId="1306" fillId="12" fontId="132" numFmtId="0" xfId="0" applyAlignment="1" applyBorder="1" applyFont="1">
      <alignment horizontal="center" vertical="center"/>
    </xf>
    <xf borderId="1307" fillId="12" fontId="132" numFmtId="0" xfId="0" applyAlignment="1" applyBorder="1" applyFont="1">
      <alignment horizontal="center" vertical="top"/>
    </xf>
    <xf borderId="1308" fillId="0" fontId="5" numFmtId="0" xfId="0" applyBorder="1" applyFont="1"/>
    <xf borderId="1309" fillId="12" fontId="132" numFmtId="0" xfId="0" applyAlignment="1" applyBorder="1" applyFont="1">
      <alignment horizontal="center" vertical="top"/>
    </xf>
    <xf borderId="1310" fillId="12" fontId="132" numFmtId="0" xfId="0" applyAlignment="1" applyBorder="1" applyFont="1">
      <alignment horizontal="right" vertical="top"/>
    </xf>
    <xf borderId="1310" fillId="12" fontId="132" numFmtId="0" xfId="0" applyAlignment="1" applyBorder="1" applyFont="1">
      <alignment horizontal="left" vertical="top"/>
    </xf>
    <xf borderId="1311" fillId="12" fontId="132" numFmtId="0" xfId="0" applyAlignment="1" applyBorder="1" applyFont="1">
      <alignment horizontal="center" vertical="center"/>
    </xf>
    <xf borderId="1312" fillId="12" fontId="132" numFmtId="0" xfId="0" applyAlignment="1" applyBorder="1" applyFont="1">
      <alignment horizontal="center" vertical="top"/>
    </xf>
    <xf borderId="1313" fillId="12" fontId="132" numFmtId="0" xfId="0" applyAlignment="1" applyBorder="1" applyFont="1">
      <alignment horizontal="center" vertical="top"/>
    </xf>
    <xf borderId="1291" fillId="12" fontId="154" numFmtId="0" xfId="0" applyAlignment="1" applyBorder="1" applyFont="1">
      <alignment horizontal="center" vertical="center"/>
    </xf>
    <xf borderId="200" fillId="0" fontId="5" numFmtId="0" xfId="0" applyBorder="1" applyFont="1"/>
    <xf borderId="1314" fillId="12" fontId="132" numFmtId="0" xfId="0" applyAlignment="1" applyBorder="1" applyFont="1">
      <alignment horizontal="center" readingOrder="0" vertical="center"/>
    </xf>
    <xf borderId="1315" fillId="0" fontId="5" numFmtId="0" xfId="0" applyBorder="1" applyFont="1"/>
    <xf borderId="1316" fillId="0" fontId="5" numFmtId="0" xfId="0" applyBorder="1" applyFont="1"/>
    <xf borderId="1297" fillId="12" fontId="104" numFmtId="0" xfId="0" applyAlignment="1" applyBorder="1" applyFont="1">
      <alignment horizontal="right" vertical="center"/>
    </xf>
    <xf borderId="1317" fillId="12" fontId="132" numFmtId="0" xfId="0" applyAlignment="1" applyBorder="1" applyFont="1">
      <alignment horizontal="center" readingOrder="0" vertical="center"/>
    </xf>
    <xf borderId="1318" fillId="0" fontId="5" numFmtId="0" xfId="0" applyBorder="1" applyFont="1"/>
    <xf borderId="1319" fillId="12" fontId="132" numFmtId="0" xfId="0" applyAlignment="1" applyBorder="1" applyFont="1">
      <alignment horizontal="center" readingOrder="0" vertical="center"/>
    </xf>
    <xf borderId="176" fillId="0" fontId="5" numFmtId="0" xfId="0" applyBorder="1" applyFont="1"/>
    <xf borderId="1320" fillId="0" fontId="5" numFmtId="0" xfId="0" applyBorder="1" applyFont="1"/>
    <xf borderId="1321" fillId="12" fontId="173" numFmtId="0" xfId="0" applyAlignment="1" applyBorder="1" applyFont="1">
      <alignment horizontal="center" readingOrder="0" vertical="center"/>
    </xf>
    <xf borderId="1322" fillId="0" fontId="5" numFmtId="0" xfId="0" applyBorder="1" applyFont="1"/>
    <xf borderId="1323" fillId="12" fontId="132" numFmtId="0" xfId="0" applyAlignment="1" applyBorder="1" applyFont="1">
      <alignment horizontal="center" readingOrder="0" vertical="center"/>
    </xf>
    <xf borderId="1324" fillId="12" fontId="132" numFmtId="0" xfId="0" applyAlignment="1" applyBorder="1" applyFont="1">
      <alignment horizontal="center" readingOrder="0" vertical="center"/>
    </xf>
    <xf borderId="1325" fillId="12" fontId="132" numFmtId="0" xfId="0" applyAlignment="1" applyBorder="1" applyFont="1">
      <alignment horizontal="center" readingOrder="0" vertical="center"/>
    </xf>
    <xf borderId="1326" fillId="0" fontId="5" numFmtId="0" xfId="0" applyBorder="1" applyFont="1"/>
    <xf borderId="1327" fillId="0" fontId="5" numFmtId="0" xfId="0" applyBorder="1" applyFont="1"/>
    <xf borderId="1328" fillId="12" fontId="132" numFmtId="0" xfId="0" applyAlignment="1" applyBorder="1" applyFont="1">
      <alignment horizontal="center" readingOrder="0" vertical="center"/>
    </xf>
    <xf borderId="1329" fillId="0" fontId="5" numFmtId="0" xfId="0" applyBorder="1" applyFont="1"/>
    <xf borderId="1284" fillId="105" fontId="159" numFmtId="0" xfId="0" applyAlignment="1" applyBorder="1" applyFont="1">
      <alignment horizontal="center" vertical="center"/>
    </xf>
    <xf borderId="1290" fillId="12" fontId="153" numFmtId="0" xfId="0" applyAlignment="1" applyBorder="1" applyFont="1">
      <alignment horizontal="center" vertical="center"/>
    </xf>
    <xf borderId="1291" fillId="12" fontId="102" numFmtId="0" xfId="0" applyAlignment="1" applyBorder="1" applyFont="1">
      <alignment horizontal="right" vertical="center"/>
    </xf>
    <xf borderId="1291" fillId="12" fontId="160" numFmtId="0" xfId="0" applyAlignment="1" applyBorder="1" applyFont="1">
      <alignment horizontal="center" vertical="center"/>
    </xf>
    <xf borderId="180" fillId="12" fontId="160" numFmtId="0" xfId="0" applyAlignment="1" applyBorder="1" applyFont="1">
      <alignment horizontal="center" vertical="center"/>
    </xf>
    <xf borderId="1291" fillId="12" fontId="143" numFmtId="0" xfId="0" applyAlignment="1" applyBorder="1" applyFont="1">
      <alignment horizontal="center" vertical="center"/>
    </xf>
    <xf borderId="1291" fillId="12" fontId="161" numFmtId="0" xfId="0" applyAlignment="1" applyBorder="1" applyFont="1">
      <alignment horizontal="center" vertical="center"/>
    </xf>
    <xf borderId="1292" fillId="12" fontId="153" numFmtId="0" xfId="0" applyAlignment="1" applyBorder="1" applyFont="1">
      <alignment horizontal="center" vertical="center"/>
    </xf>
    <xf borderId="1289" fillId="105" fontId="153" numFmtId="0" xfId="0" applyAlignment="1" applyBorder="1" applyFont="1">
      <alignment horizontal="center" vertical="center"/>
    </xf>
    <xf borderId="1290" fillId="12" fontId="162" numFmtId="0" xfId="0" applyAlignment="1" applyBorder="1" applyFont="1">
      <alignment horizontal="center" vertical="center"/>
    </xf>
    <xf borderId="206" fillId="12" fontId="140" numFmtId="0" xfId="0" applyAlignment="1" applyBorder="1" applyFont="1">
      <alignment horizontal="center" vertical="center"/>
    </xf>
    <xf borderId="209" fillId="12" fontId="116" numFmtId="0" xfId="0" applyAlignment="1" applyBorder="1" applyFont="1">
      <alignment horizontal="center" vertical="center"/>
    </xf>
    <xf borderId="209" fillId="12" fontId="139" numFmtId="0" xfId="0" applyAlignment="1" applyBorder="1" applyFont="1">
      <alignment horizontal="center" vertical="center"/>
    </xf>
    <xf borderId="185" fillId="12" fontId="162" numFmtId="0" xfId="0" applyAlignment="1" applyBorder="1" applyFont="1">
      <alignment horizontal="center" vertical="center"/>
    </xf>
    <xf borderId="1291" fillId="12" fontId="140" numFmtId="0" xfId="0" applyAlignment="1" applyBorder="1" applyFont="1">
      <alignment horizontal="center" vertical="center"/>
    </xf>
    <xf borderId="1291" fillId="12" fontId="162" numFmtId="0" xfId="0" applyAlignment="1" applyBorder="1" applyFont="1">
      <alignment horizontal="center" vertical="center"/>
    </xf>
    <xf borderId="1292" fillId="12" fontId="162" numFmtId="0" xfId="0" applyAlignment="1" applyBorder="1" applyFont="1">
      <alignment horizontal="center" vertical="center"/>
    </xf>
    <xf borderId="1289" fillId="105" fontId="162" numFmtId="0" xfId="0" applyAlignment="1" applyBorder="1" applyFont="1">
      <alignment horizontal="center" vertical="center"/>
    </xf>
    <xf borderId="185" fillId="12" fontId="139" numFmtId="0" xfId="0" applyAlignment="1" applyBorder="1" applyFont="1">
      <alignment horizontal="center" vertical="center"/>
    </xf>
    <xf borderId="180" fillId="12" fontId="154" numFmtId="0" xfId="0" applyAlignment="1" applyBorder="1" applyFont="1">
      <alignment horizontal="center" readingOrder="0" vertical="center"/>
    </xf>
    <xf borderId="180" fillId="12" fontId="154" numFmtId="0" xfId="0" applyAlignment="1" applyBorder="1" applyFont="1">
      <alignment horizontal="center" vertical="center"/>
    </xf>
    <xf borderId="1330" fillId="12" fontId="164" numFmtId="0" xfId="0" applyAlignment="1" applyBorder="1" applyFont="1">
      <alignment horizontal="center" readingOrder="0" vertical="center"/>
    </xf>
    <xf borderId="339" fillId="4" fontId="104" numFmtId="0" xfId="0" applyAlignment="1" applyBorder="1" applyFont="1">
      <alignment horizontal="right" vertical="center"/>
    </xf>
    <xf borderId="1066" fillId="4" fontId="131" numFmtId="0" xfId="0" applyAlignment="1" applyBorder="1" applyFont="1">
      <alignment horizontal="center" vertical="center"/>
    </xf>
    <xf borderId="1331" fillId="106" fontId="132" numFmtId="0" xfId="0" applyAlignment="1" applyBorder="1" applyFill="1" applyFont="1">
      <alignment horizontal="center" vertical="center"/>
    </xf>
    <xf borderId="1301" fillId="12" fontId="132" numFmtId="0" xfId="0" applyAlignment="1" applyBorder="1" applyFont="1">
      <alignment horizontal="center" vertical="center"/>
    </xf>
    <xf borderId="209" fillId="12" fontId="132" numFmtId="0" xfId="0" applyAlignment="1" applyBorder="1" applyFont="1">
      <alignment horizontal="center" readingOrder="0" vertical="center"/>
    </xf>
    <xf borderId="1332" fillId="0" fontId="5" numFmtId="0" xfId="0" applyBorder="1" applyFont="1"/>
    <xf borderId="378" fillId="4" fontId="115" numFmtId="0" xfId="0" applyAlignment="1" applyBorder="1" applyFont="1">
      <alignment horizontal="center" readingOrder="0" vertical="top"/>
    </xf>
    <xf borderId="1333" fillId="106" fontId="116" numFmtId="0" xfId="0" applyAlignment="1" applyBorder="1" applyFont="1">
      <alignment horizontal="center" vertical="center"/>
    </xf>
    <xf borderId="745" fillId="4" fontId="115" numFmtId="0" xfId="0" applyAlignment="1" applyBorder="1" applyFont="1">
      <alignment horizontal="center" readingOrder="0" vertical="center"/>
    </xf>
    <xf borderId="746" fillId="4" fontId="115" numFmtId="0" xfId="0" applyAlignment="1" applyBorder="1" applyFont="1">
      <alignment horizontal="center" readingOrder="0" vertical="center"/>
    </xf>
    <xf borderId="747" fillId="4" fontId="115" numFmtId="0" xfId="0" applyAlignment="1" applyBorder="1" applyFont="1">
      <alignment horizontal="left" readingOrder="0" vertical="center"/>
    </xf>
    <xf borderId="749" fillId="4" fontId="115" numFmtId="0" xfId="0" applyAlignment="1" applyBorder="1" applyFont="1">
      <alignment horizontal="center" readingOrder="0" vertical="center"/>
    </xf>
    <xf borderId="750" fillId="4" fontId="115" numFmtId="0" xfId="0" applyAlignment="1" applyBorder="1" applyFont="1">
      <alignment horizontal="center" readingOrder="0" vertical="center"/>
    </xf>
    <xf borderId="751" fillId="4" fontId="115" numFmtId="0" xfId="0" applyAlignment="1" applyBorder="1" applyFont="1">
      <alignment horizontal="left" readingOrder="0" vertical="center"/>
    </xf>
    <xf borderId="753" fillId="4" fontId="115" numFmtId="0" xfId="0" applyAlignment="1" applyBorder="1" applyFont="1">
      <alignment horizontal="center" readingOrder="0" vertical="center"/>
    </xf>
    <xf borderId="754" fillId="4" fontId="115" numFmtId="0" xfId="0" applyAlignment="1" applyBorder="1" applyFont="1">
      <alignment horizontal="center" readingOrder="0" vertical="center"/>
    </xf>
    <xf borderId="755" fillId="4" fontId="115" numFmtId="0" xfId="0" applyAlignment="1" applyBorder="1" applyFont="1">
      <alignment horizontal="left" readingOrder="0" vertical="center"/>
    </xf>
    <xf borderId="395" fillId="4" fontId="115" numFmtId="0" xfId="0" applyAlignment="1" applyBorder="1" applyFont="1">
      <alignment horizontal="right" readingOrder="0" vertical="center"/>
    </xf>
    <xf borderId="1334" fillId="12" fontId="154" numFmtId="0" xfId="0" applyAlignment="1" applyBorder="1" applyFont="1">
      <alignment horizontal="center" vertical="center"/>
    </xf>
    <xf borderId="942" fillId="37" fontId="163" numFmtId="0" xfId="0" applyAlignment="1" applyBorder="1" applyFont="1">
      <alignment horizontal="center" readingOrder="0" vertical="center"/>
    </xf>
    <xf borderId="339" fillId="37" fontId="104" numFmtId="0" xfId="0" applyAlignment="1" applyBorder="1" applyFont="1">
      <alignment horizontal="right" vertical="center"/>
    </xf>
    <xf borderId="1066" fillId="37" fontId="131" numFmtId="0" xfId="0" applyAlignment="1" applyBorder="1" applyFont="1">
      <alignment horizontal="center" vertical="center"/>
    </xf>
    <xf borderId="1335" fillId="12" fontId="116" numFmtId="0" xfId="0" applyAlignment="1" applyBorder="1" applyFont="1">
      <alignment horizontal="center" vertical="center"/>
    </xf>
    <xf borderId="1335" fillId="12" fontId="139" numFmtId="0" xfId="0" applyAlignment="1" applyBorder="1" applyFont="1">
      <alignment horizontal="center" vertical="center"/>
    </xf>
    <xf borderId="1336" fillId="12" fontId="154" numFmtId="0" xfId="0" applyAlignment="1" applyBorder="1" applyFont="1">
      <alignment horizontal="center" vertical="center"/>
    </xf>
    <xf borderId="1337" fillId="12" fontId="104" numFmtId="0" xfId="0" applyAlignment="1" applyBorder="1" applyFont="1">
      <alignment horizontal="right" vertical="center"/>
    </xf>
    <xf borderId="1337" fillId="12" fontId="154" numFmtId="0" xfId="0" applyAlignment="1" applyBorder="1" applyFont="1">
      <alignment horizontal="center" vertical="center"/>
    </xf>
    <xf borderId="1338" fillId="12" fontId="154" numFmtId="0" xfId="0" applyAlignment="1" applyBorder="1" applyFont="1">
      <alignment horizontal="center" readingOrder="0" vertical="center"/>
    </xf>
    <xf borderId="1338" fillId="12" fontId="154" numFmtId="0" xfId="0" applyAlignment="1" applyBorder="1" applyFont="1">
      <alignment horizontal="center" vertical="center"/>
    </xf>
    <xf borderId="1339" fillId="12" fontId="154" numFmtId="0" xfId="0" applyAlignment="1" applyBorder="1" applyFont="1">
      <alignment horizontal="center" vertical="center"/>
    </xf>
    <xf borderId="1340" fillId="107" fontId="154" numFmtId="0" xfId="0" applyAlignment="1" applyBorder="1" applyFill="1" applyFont="1">
      <alignment horizontal="center" vertical="center"/>
    </xf>
    <xf borderId="1341" fillId="107" fontId="102" numFmtId="0" xfId="0" applyAlignment="1" applyBorder="1" applyFont="1">
      <alignment horizontal="right" readingOrder="0" vertical="center"/>
    </xf>
    <xf borderId="1342" fillId="107" fontId="103" numFmtId="0" xfId="0" applyAlignment="1" applyBorder="1" applyFont="1">
      <alignment horizontal="center" readingOrder="0" vertical="center"/>
    </xf>
    <xf borderId="1341" fillId="107" fontId="103" numFmtId="0" xfId="0" applyAlignment="1" applyBorder="1" applyFont="1">
      <alignment horizontal="center" readingOrder="0" vertical="center"/>
    </xf>
    <xf borderId="1343" fillId="107" fontId="154" numFmtId="0" xfId="0" applyAlignment="1" applyBorder="1" applyFont="1">
      <alignment horizontal="center" vertical="center"/>
    </xf>
    <xf borderId="1344" fillId="107" fontId="154" numFmtId="0" xfId="0" applyAlignment="1" applyBorder="1" applyFont="1">
      <alignment horizontal="center" vertical="center"/>
    </xf>
    <xf borderId="339" fillId="108" fontId="104" numFmtId="0" xfId="0" applyAlignment="1" applyBorder="1" applyFill="1" applyFont="1">
      <alignment horizontal="right" vertical="center"/>
    </xf>
    <xf borderId="1345" fillId="107" fontId="156" numFmtId="0" xfId="0" applyAlignment="1" applyBorder="1" applyFont="1">
      <alignment horizontal="center" vertical="center"/>
    </xf>
    <xf borderId="1066" fillId="108" fontId="131" numFmtId="0" xfId="0" applyAlignment="1" applyBorder="1" applyFont="1">
      <alignment horizontal="center" vertical="center"/>
    </xf>
    <xf borderId="1345" fillId="107" fontId="131" numFmtId="0" xfId="0" applyAlignment="1" applyBorder="1" applyFont="1">
      <alignment horizontal="center" vertical="center"/>
    </xf>
    <xf borderId="1346" fillId="107" fontId="154" numFmtId="0" xfId="0" applyAlignment="1" applyBorder="1" applyFont="1">
      <alignment horizontal="center" vertical="center"/>
    </xf>
    <xf borderId="1347" fillId="107" fontId="154" numFmtId="0" xfId="0" applyAlignment="1" applyBorder="1" applyFont="1">
      <alignment horizontal="center" vertical="center"/>
    </xf>
    <xf borderId="1348" fillId="107" fontId="154" numFmtId="0" xfId="0" applyAlignment="1" applyBorder="1" applyFont="1">
      <alignment horizontal="center" vertical="center"/>
    </xf>
    <xf borderId="1345" fillId="0" fontId="5" numFmtId="0" xfId="0" applyBorder="1" applyFont="1"/>
    <xf borderId="1349" fillId="0" fontId="5" numFmtId="0" xfId="0" applyBorder="1" applyFont="1"/>
    <xf borderId="1350" fillId="107" fontId="154" numFmtId="0" xfId="0" applyAlignment="1" applyBorder="1" applyFont="1">
      <alignment horizontal="center" vertical="center"/>
    </xf>
    <xf borderId="1351" fillId="107" fontId="154" numFmtId="0" xfId="0" applyAlignment="1" applyBorder="1" applyFont="1">
      <alignment horizontal="center" vertical="center"/>
    </xf>
    <xf borderId="1344" fillId="107" fontId="132" numFmtId="0" xfId="0" applyAlignment="1" applyBorder="1" applyFont="1">
      <alignment horizontal="center" vertical="center"/>
    </xf>
    <xf borderId="345" fillId="107" fontId="104" numFmtId="0" xfId="0" applyAlignment="1" applyBorder="1" applyFont="1">
      <alignment horizontal="right" readingOrder="0" vertical="center"/>
    </xf>
    <xf borderId="1345" fillId="107" fontId="132" numFmtId="0" xfId="0" applyAlignment="1" applyBorder="1" applyFont="1">
      <alignment horizontal="center" readingOrder="0" vertical="center"/>
    </xf>
    <xf borderId="1352" fillId="107" fontId="130" numFmtId="0" xfId="0" applyAlignment="1" applyBorder="1" applyFont="1">
      <alignment horizontal="center" readingOrder="0" vertical="center"/>
    </xf>
    <xf borderId="1353" fillId="0" fontId="5" numFmtId="0" xfId="0" applyBorder="1" applyFont="1"/>
    <xf borderId="1354" fillId="0" fontId="5" numFmtId="0" xfId="0" applyBorder="1" applyFont="1"/>
    <xf borderId="1355" fillId="0" fontId="5" numFmtId="0" xfId="0" applyBorder="1" applyFont="1"/>
    <xf borderId="1348" fillId="107" fontId="132" numFmtId="0" xfId="0" applyAlignment="1" applyBorder="1" applyFont="1">
      <alignment horizontal="center" vertical="center"/>
    </xf>
    <xf borderId="1341" fillId="0" fontId="5" numFmtId="0" xfId="0" applyBorder="1" applyFont="1"/>
    <xf borderId="1351" fillId="107" fontId="132" numFmtId="0" xfId="0" applyAlignment="1" applyBorder="1" applyFont="1">
      <alignment horizontal="center" vertical="center"/>
    </xf>
    <xf borderId="1284" fillId="105" fontId="156" numFmtId="0" xfId="0" applyAlignment="1" applyBorder="1" applyFont="1">
      <alignment horizontal="center" vertical="center"/>
    </xf>
    <xf borderId="1344" fillId="107" fontId="156" numFmtId="0" xfId="0" applyAlignment="1" applyBorder="1" applyFont="1">
      <alignment horizontal="center" vertical="center"/>
    </xf>
    <xf borderId="1345" fillId="107" fontId="156" numFmtId="0" xfId="0" applyAlignment="1" applyBorder="1" applyFont="1">
      <alignment horizontal="center" readingOrder="0" vertical="center"/>
    </xf>
    <xf borderId="1356" fillId="107" fontId="146" numFmtId="0" xfId="0" applyAlignment="1" applyBorder="1" applyFont="1">
      <alignment horizontal="center" readingOrder="0" vertical="top"/>
    </xf>
    <xf borderId="1357" fillId="0" fontId="5" numFmtId="0" xfId="0" applyBorder="1" applyFont="1"/>
    <xf borderId="1358" fillId="0" fontId="5" numFmtId="0" xfId="0" applyBorder="1" applyFont="1"/>
    <xf borderId="1345" fillId="107" fontId="131" numFmtId="0" xfId="0" applyAlignment="1" applyBorder="1" applyFont="1">
      <alignment horizontal="center" readingOrder="0" vertical="center"/>
    </xf>
    <xf borderId="1351" fillId="107" fontId="156" numFmtId="0" xfId="0" applyAlignment="1" applyBorder="1" applyFont="1">
      <alignment horizontal="center" vertical="center"/>
    </xf>
    <xf borderId="1289" fillId="105" fontId="156" numFmtId="0" xfId="0" applyAlignment="1" applyBorder="1" applyFont="1">
      <alignment horizontal="center" vertical="center"/>
    </xf>
    <xf borderId="1359" fillId="107" fontId="154" numFmtId="0" xfId="0" applyAlignment="1" applyBorder="1" applyFont="1">
      <alignment horizontal="center" vertical="center"/>
    </xf>
    <xf borderId="1341" fillId="107" fontId="104" numFmtId="0" xfId="0" applyAlignment="1" applyBorder="1" applyFont="1">
      <alignment horizontal="right" vertical="center"/>
    </xf>
    <xf borderId="1360" fillId="107" fontId="132" numFmtId="0" xfId="0" applyAlignment="1" applyBorder="1" applyFont="1">
      <alignment horizontal="center" vertical="center"/>
    </xf>
    <xf borderId="1361" fillId="107" fontId="132" numFmtId="0" xfId="0" applyAlignment="1" applyBorder="1" applyFont="1">
      <alignment horizontal="right" vertical="top"/>
    </xf>
    <xf borderId="1361" fillId="107" fontId="132" numFmtId="0" xfId="0" applyAlignment="1" applyBorder="1" applyFont="1">
      <alignment horizontal="left" vertical="top"/>
    </xf>
    <xf borderId="1362" fillId="107" fontId="132" numFmtId="0" xfId="0" applyAlignment="1" applyBorder="1" applyFont="1">
      <alignment horizontal="center" vertical="top"/>
    </xf>
    <xf borderId="1363" fillId="107" fontId="132" numFmtId="0" xfId="0" applyAlignment="1" applyBorder="1" applyFont="1">
      <alignment horizontal="center" vertical="top"/>
    </xf>
    <xf borderId="1364" fillId="0" fontId="5" numFmtId="0" xfId="0" applyBorder="1" applyFont="1"/>
    <xf borderId="1365" fillId="107" fontId="132" numFmtId="0" xfId="0" applyAlignment="1" applyBorder="1" applyFont="1">
      <alignment horizontal="center" vertical="center"/>
    </xf>
    <xf borderId="1366" fillId="107" fontId="132" numFmtId="0" xfId="0" applyAlignment="1" applyBorder="1" applyFont="1">
      <alignment horizontal="center" vertical="top"/>
    </xf>
    <xf borderId="1367" fillId="107" fontId="132" numFmtId="0" xfId="0" applyAlignment="1" applyBorder="1" applyFont="1">
      <alignment horizontal="center" vertical="top"/>
    </xf>
    <xf borderId="1368" fillId="107" fontId="154" numFmtId="0" xfId="0" applyAlignment="1" applyBorder="1" applyFont="1">
      <alignment horizontal="center" vertical="center"/>
    </xf>
    <xf borderId="1342" fillId="0" fontId="5" numFmtId="0" xfId="0" applyBorder="1" applyFont="1"/>
    <xf borderId="1369" fillId="107" fontId="132" numFmtId="0" xfId="0" applyAlignment="1" applyBorder="1" applyFont="1">
      <alignment horizontal="center" readingOrder="0" vertical="center"/>
    </xf>
    <xf borderId="1370" fillId="0" fontId="5" numFmtId="0" xfId="0" applyBorder="1" applyFont="1"/>
    <xf borderId="1371" fillId="0" fontId="5" numFmtId="0" xfId="0" applyBorder="1" applyFont="1"/>
    <xf borderId="1345" fillId="107" fontId="132" numFmtId="0" xfId="0" applyAlignment="1" applyBorder="1" applyFont="1">
      <alignment horizontal="center" vertical="center"/>
    </xf>
    <xf borderId="1350" fillId="107" fontId="104" numFmtId="0" xfId="0" applyAlignment="1" applyBorder="1" applyFont="1">
      <alignment horizontal="right" vertical="center"/>
    </xf>
    <xf borderId="1372" fillId="107" fontId="132" numFmtId="0" xfId="0" applyAlignment="1" applyBorder="1" applyFont="1">
      <alignment horizontal="center" readingOrder="0" vertical="center"/>
    </xf>
    <xf borderId="1373" fillId="0" fontId="5" numFmtId="0" xfId="0" applyBorder="1" applyFont="1"/>
    <xf borderId="1374" fillId="107" fontId="132" numFmtId="0" xfId="0" applyAlignment="1" applyBorder="1" applyFont="1">
      <alignment horizontal="center" readingOrder="0" vertical="center"/>
    </xf>
    <xf borderId="1346" fillId="0" fontId="5" numFmtId="0" xfId="0" applyBorder="1" applyFont="1"/>
    <xf borderId="1347" fillId="0" fontId="5" numFmtId="0" xfId="0" applyBorder="1" applyFont="1"/>
    <xf borderId="1375" fillId="107" fontId="173" numFmtId="0" xfId="0" applyAlignment="1" applyBorder="1" applyFont="1">
      <alignment horizontal="center" readingOrder="0" vertical="center"/>
    </xf>
    <xf borderId="1376" fillId="107" fontId="132" numFmtId="0" xfId="0" applyAlignment="1" applyBorder="1" applyFont="1">
      <alignment horizontal="center" readingOrder="0" vertical="center"/>
    </xf>
    <xf borderId="1368" fillId="107" fontId="104" numFmtId="0" xfId="0" applyAlignment="1" applyBorder="1" applyFont="1">
      <alignment horizontal="right" vertical="center"/>
    </xf>
    <xf borderId="1377" fillId="107" fontId="132" numFmtId="0" xfId="0" applyAlignment="1" applyBorder="1" applyFont="1">
      <alignment horizontal="center" readingOrder="0" vertical="center"/>
    </xf>
    <xf borderId="1378" fillId="107" fontId="132" numFmtId="0" xfId="0" applyAlignment="1" applyBorder="1" applyFont="1">
      <alignment horizontal="center" readingOrder="0" vertical="center"/>
    </xf>
    <xf borderId="1379" fillId="0" fontId="5" numFmtId="0" xfId="0" applyBorder="1" applyFont="1"/>
    <xf borderId="1380" fillId="107" fontId="132" numFmtId="0" xfId="0" applyAlignment="1" applyBorder="1" applyFont="1">
      <alignment horizontal="center" readingOrder="0" vertical="center"/>
    </xf>
    <xf borderId="1381" fillId="0" fontId="5" numFmtId="0" xfId="0" applyBorder="1" applyFont="1"/>
    <xf borderId="1382" fillId="0" fontId="5" numFmtId="0" xfId="0" applyBorder="1" applyFont="1"/>
    <xf borderId="1359" fillId="107" fontId="153" numFmtId="0" xfId="0" applyAlignment="1" applyBorder="1" applyFont="1">
      <alignment horizontal="center" vertical="center"/>
    </xf>
    <xf borderId="1368" fillId="107" fontId="102" numFmtId="0" xfId="0" applyAlignment="1" applyBorder="1" applyFont="1">
      <alignment horizontal="right" vertical="center"/>
    </xf>
    <xf borderId="1368" fillId="107" fontId="160" numFmtId="0" xfId="0" applyAlignment="1" applyBorder="1" applyFont="1">
      <alignment horizontal="center" vertical="center"/>
    </xf>
    <xf borderId="1341" fillId="107" fontId="160" numFmtId="0" xfId="0" applyAlignment="1" applyBorder="1" applyFont="1">
      <alignment horizontal="center" vertical="center"/>
    </xf>
    <xf borderId="1368" fillId="107" fontId="143" numFmtId="0" xfId="0" applyAlignment="1" applyBorder="1" applyFont="1">
      <alignment horizontal="center" vertical="center"/>
    </xf>
    <xf borderId="1368" fillId="107" fontId="161" numFmtId="0" xfId="0" applyAlignment="1" applyBorder="1" applyFont="1">
      <alignment horizontal="center" vertical="center"/>
    </xf>
    <xf borderId="1351" fillId="107" fontId="153" numFmtId="0" xfId="0" applyAlignment="1" applyBorder="1" applyFont="1">
      <alignment horizontal="center" vertical="center"/>
    </xf>
    <xf borderId="1359" fillId="107" fontId="162" numFmtId="0" xfId="0" applyAlignment="1" applyBorder="1" applyFont="1">
      <alignment horizontal="center" vertical="center"/>
    </xf>
    <xf borderId="1348" fillId="107" fontId="140" numFmtId="0" xfId="0" applyAlignment="1" applyBorder="1" applyFont="1">
      <alignment horizontal="center" vertical="center"/>
    </xf>
    <xf borderId="378" fillId="108" fontId="115" numFmtId="0" xfId="0" applyAlignment="1" applyBorder="1" applyFont="1">
      <alignment horizontal="center" readingOrder="0" vertical="top"/>
    </xf>
    <xf borderId="1348" fillId="107" fontId="116" numFmtId="0" xfId="0" applyAlignment="1" applyBorder="1" applyFont="1">
      <alignment horizontal="center" vertical="center"/>
    </xf>
    <xf borderId="1345" fillId="107" fontId="139" numFmtId="0" xfId="0" applyAlignment="1" applyBorder="1" applyFont="1">
      <alignment horizontal="center" vertical="center"/>
    </xf>
    <xf borderId="1348" fillId="107" fontId="162" numFmtId="0" xfId="0" applyAlignment="1" applyBorder="1" applyFont="1">
      <alignment horizontal="center" vertical="center"/>
    </xf>
    <xf borderId="1368" fillId="107" fontId="162" numFmtId="0" xfId="0" applyAlignment="1" applyBorder="1" applyFont="1">
      <alignment horizontal="center" vertical="center"/>
    </xf>
    <xf borderId="1368" fillId="107" fontId="140" numFmtId="0" xfId="0" applyAlignment="1" applyBorder="1" applyFont="1">
      <alignment horizontal="center" vertical="center"/>
    </xf>
    <xf borderId="1351" fillId="107" fontId="162" numFmtId="0" xfId="0" applyAlignment="1" applyBorder="1" applyFont="1">
      <alignment horizontal="center" vertical="center"/>
    </xf>
    <xf borderId="1383" fillId="108" fontId="115" numFmtId="0" xfId="0" applyAlignment="1" applyBorder="1" applyFont="1">
      <alignment horizontal="center" readingOrder="0" vertical="center"/>
    </xf>
    <xf borderId="1384" fillId="108" fontId="115" numFmtId="0" xfId="0" applyAlignment="1" applyBorder="1" applyFont="1">
      <alignment horizontal="center" readingOrder="0" vertical="center"/>
    </xf>
    <xf borderId="1385" fillId="108" fontId="115" numFmtId="0" xfId="0" applyAlignment="1" applyBorder="1" applyFont="1">
      <alignment horizontal="left" readingOrder="0" vertical="center"/>
    </xf>
    <xf borderId="1386" fillId="0" fontId="5" numFmtId="0" xfId="0" applyBorder="1" applyFont="1"/>
    <xf borderId="1349" fillId="107" fontId="139" numFmtId="0" xfId="0" applyAlignment="1" applyBorder="1" applyFont="1">
      <alignment horizontal="center" vertical="center"/>
    </xf>
    <xf borderId="1387" fillId="108" fontId="115" numFmtId="0" xfId="0" applyAlignment="1" applyBorder="1" applyFont="1">
      <alignment horizontal="left" readingOrder="0" vertical="center"/>
    </xf>
    <xf borderId="1388" fillId="0" fontId="5" numFmtId="0" xfId="0" applyBorder="1" applyFont="1"/>
    <xf borderId="1389" fillId="108" fontId="115" numFmtId="0" xfId="0" applyAlignment="1" applyBorder="1" applyFont="1">
      <alignment horizontal="center" readingOrder="0" vertical="center"/>
    </xf>
    <xf borderId="1390" fillId="108" fontId="115" numFmtId="0" xfId="0" applyAlignment="1" applyBorder="1" applyFont="1">
      <alignment horizontal="center" readingOrder="0" vertical="center"/>
    </xf>
    <xf borderId="1391" fillId="108" fontId="115" numFmtId="0" xfId="0" applyAlignment="1" applyBorder="1" applyFont="1">
      <alignment horizontal="left" readingOrder="0" vertical="center"/>
    </xf>
    <xf borderId="1392" fillId="0" fontId="5" numFmtId="0" xfId="0" applyBorder="1" applyFont="1"/>
    <xf borderId="1393" fillId="108" fontId="115" numFmtId="0" xfId="0" applyAlignment="1" applyBorder="1" applyFont="1">
      <alignment horizontal="center" readingOrder="0" vertical="center"/>
    </xf>
    <xf borderId="1394" fillId="108" fontId="115" numFmtId="0" xfId="0" applyAlignment="1" applyBorder="1" applyFont="1">
      <alignment horizontal="center" readingOrder="0" vertical="center"/>
    </xf>
    <xf borderId="1395" fillId="108" fontId="115" numFmtId="0" xfId="0" applyAlignment="1" applyBorder="1" applyFont="1">
      <alignment horizontal="left" readingOrder="0" vertical="center"/>
    </xf>
    <xf borderId="1396" fillId="0" fontId="5" numFmtId="0" xfId="0" applyBorder="1" applyFont="1"/>
    <xf borderId="395" fillId="108" fontId="115" numFmtId="0" xfId="0" applyAlignment="1" applyBorder="1" applyFont="1">
      <alignment horizontal="right" readingOrder="0" vertical="center"/>
    </xf>
    <xf borderId="400" fillId="108" fontId="115" numFmtId="0" xfId="0" applyAlignment="1" applyBorder="1" applyFont="1">
      <alignment horizontal="right" readingOrder="0" vertical="center"/>
    </xf>
    <xf borderId="1397" fillId="107" fontId="162" numFmtId="0" xfId="0" applyAlignment="1" applyBorder="1" applyFont="1">
      <alignment horizontal="center" vertical="center"/>
    </xf>
    <xf borderId="1350" fillId="107" fontId="102" numFmtId="0" xfId="0" applyAlignment="1" applyBorder="1" applyFont="1">
      <alignment horizontal="right" vertical="center"/>
    </xf>
    <xf borderId="1398" fillId="107" fontId="140" numFmtId="0" xfId="0" applyAlignment="1" applyBorder="1" applyFont="1">
      <alignment horizontal="center" vertical="center"/>
    </xf>
    <xf borderId="1398" fillId="107" fontId="116" numFmtId="0" xfId="0" applyAlignment="1" applyBorder="1" applyFont="1">
      <alignment horizontal="center" vertical="center"/>
    </xf>
    <xf borderId="1342" fillId="107" fontId="102" numFmtId="0" xfId="0" applyAlignment="1" applyBorder="1" applyFont="1">
      <alignment horizontal="right" vertical="center"/>
    </xf>
    <xf borderId="1347" fillId="107" fontId="139" numFmtId="0" xfId="0" applyAlignment="1" applyBorder="1" applyFont="1">
      <alignment horizontal="center" vertical="center"/>
    </xf>
    <xf borderId="1350" fillId="107" fontId="162" numFmtId="0" xfId="0" applyAlignment="1" applyBorder="1" applyFont="1">
      <alignment horizontal="center" vertical="center"/>
    </xf>
    <xf borderId="405" fillId="108" fontId="115" numFmtId="0" xfId="0" applyAlignment="1" applyBorder="1" applyFont="1">
      <alignment horizontal="right" readingOrder="0" vertical="center"/>
    </xf>
    <xf borderId="408" fillId="108" fontId="115" numFmtId="0" xfId="0" applyAlignment="1" applyBorder="1" applyFont="1">
      <alignment horizontal="center" readingOrder="0" vertical="center"/>
    </xf>
    <xf borderId="1350" fillId="107" fontId="140" numFmtId="0" xfId="0" applyAlignment="1" applyBorder="1" applyFont="1">
      <alignment horizontal="center" vertical="center"/>
    </xf>
    <xf borderId="1399" fillId="107" fontId="162" numFmtId="0" xfId="0" applyAlignment="1" applyBorder="1" applyFont="1">
      <alignment horizontal="center" vertical="center"/>
    </xf>
    <xf borderId="1400" fillId="107" fontId="154" numFmtId="0" xfId="0" applyAlignment="1" applyBorder="1" applyFont="1">
      <alignment horizontal="center" vertical="center"/>
    </xf>
    <xf borderId="1401" fillId="107" fontId="102" numFmtId="0" xfId="0" applyAlignment="1" applyBorder="1" applyFont="1">
      <alignment horizontal="right" readingOrder="0" vertical="center"/>
    </xf>
    <xf borderId="1401" fillId="107" fontId="103" numFmtId="0" xfId="0" applyAlignment="1" applyBorder="1" applyFont="1">
      <alignment horizontal="center" readingOrder="0" vertical="center"/>
    </xf>
    <xf borderId="1402" fillId="107" fontId="103" numFmtId="0" xfId="0" applyAlignment="1" applyBorder="1" applyFont="1">
      <alignment horizontal="center" readingOrder="0" vertical="center"/>
    </xf>
    <xf borderId="1403" fillId="107" fontId="154" numFmtId="0" xfId="0" applyAlignment="1" applyBorder="1" applyFont="1">
      <alignment horizontal="center" vertical="center"/>
    </xf>
    <xf borderId="1404" fillId="12" fontId="154" numFmtId="0" xfId="0" applyAlignment="1" applyBorder="1" applyFont="1">
      <alignment horizontal="center" vertical="center"/>
    </xf>
    <xf borderId="1404" fillId="12" fontId="132" numFmtId="0" xfId="0" applyAlignment="1" applyBorder="1" applyFont="1">
      <alignment horizontal="center" vertical="center"/>
    </xf>
    <xf borderId="209" fillId="12" fontId="162" numFmtId="0" xfId="0" applyAlignment="1" applyBorder="1" applyFont="1">
      <alignment horizontal="center" vertical="center"/>
    </xf>
    <xf borderId="206" fillId="12" fontId="162" numFmtId="0" xfId="0" applyAlignment="1" applyBorder="1" applyFont="1">
      <alignment horizontal="center" vertical="center"/>
    </xf>
    <xf borderId="1405" fillId="12" fontId="102" numFmtId="0" xfId="0" applyAlignment="1" applyBorder="1" applyFont="1">
      <alignment horizontal="right" vertical="center"/>
    </xf>
    <xf borderId="1406" fillId="12" fontId="162" numFmtId="0" xfId="0" applyAlignment="1" applyBorder="1" applyFont="1">
      <alignment horizontal="center" vertical="center"/>
    </xf>
    <xf borderId="1407" fillId="12" fontId="140" numFmtId="0" xfId="0" applyAlignment="1" applyBorder="1" applyFont="1">
      <alignment horizontal="center" vertical="center"/>
    </xf>
    <xf borderId="1408" fillId="12" fontId="140" numFmtId="0" xfId="0" applyAlignment="1" applyBorder="1" applyFont="1">
      <alignment horizontal="center" vertical="center"/>
    </xf>
    <xf borderId="1407" fillId="12" fontId="162" numFmtId="0" xfId="0" applyAlignment="1" applyBorder="1" applyFont="1">
      <alignment horizontal="center" vertical="center"/>
    </xf>
    <xf borderId="1301" fillId="12" fontId="162" numFmtId="0" xfId="0" applyAlignment="1" applyBorder="1" applyFont="1">
      <alignment horizontal="center" vertical="center"/>
    </xf>
    <xf borderId="0" fillId="12" fontId="140" numFmtId="0" xfId="0" applyAlignment="1" applyFont="1">
      <alignment horizontal="center" vertical="center"/>
    </xf>
    <xf borderId="0" fillId="12" fontId="116" numFmtId="0" xfId="0" applyAlignment="1" applyFont="1">
      <alignment horizontal="center" vertical="center"/>
    </xf>
    <xf borderId="1409" fillId="12" fontId="104" numFmtId="0" xfId="0" applyAlignment="1" applyBorder="1" applyFont="1">
      <alignment horizontal="right" vertical="center"/>
    </xf>
    <xf borderId="1409" fillId="12" fontId="154" numFmtId="0" xfId="0" applyAlignment="1" applyBorder="1" applyFont="1">
      <alignment horizontal="center" vertical="center"/>
    </xf>
    <xf borderId="400" fillId="4" fontId="115" numFmtId="0" xfId="0" applyAlignment="1" applyBorder="1" applyFont="1">
      <alignment horizontal="right" readingOrder="0" vertical="center"/>
    </xf>
    <xf borderId="176" fillId="12" fontId="162" numFmtId="0" xfId="0" applyAlignment="1" applyBorder="1" applyFont="1">
      <alignment horizontal="center" vertical="center"/>
    </xf>
    <xf borderId="405" fillId="4" fontId="115" numFmtId="0" xfId="0" applyAlignment="1" applyBorder="1" applyFont="1">
      <alignment horizontal="right" readingOrder="0" vertical="center"/>
    </xf>
    <xf borderId="218" fillId="12" fontId="162" numFmtId="0" xfId="0" applyAlignment="1" applyBorder="1" applyFont="1">
      <alignment horizontal="center" vertical="center"/>
    </xf>
    <xf borderId="1410" fillId="12" fontId="162" numFmtId="0" xfId="0" applyAlignment="1" applyBorder="1" applyFont="1">
      <alignment horizontal="center" vertical="center"/>
    </xf>
    <xf borderId="1411" fillId="12" fontId="162" numFmtId="0" xfId="0" applyAlignment="1" applyBorder="1" applyFont="1">
      <alignment horizontal="center" vertical="center"/>
    </xf>
    <xf borderId="1412" fillId="12" fontId="162" numFmtId="0" xfId="0" applyAlignment="1" applyBorder="1" applyFont="1">
      <alignment horizontal="center" vertical="center"/>
    </xf>
    <xf borderId="1413" fillId="12" fontId="162" numFmtId="0" xfId="0" applyAlignment="1" applyBorder="1" applyFont="1">
      <alignment horizontal="center" vertical="center"/>
    </xf>
    <xf borderId="1414" fillId="12" fontId="104" numFmtId="0" xfId="0" applyAlignment="1" applyBorder="1" applyFont="1">
      <alignment horizontal="right" vertical="center"/>
    </xf>
    <xf borderId="1414" fillId="12" fontId="154" numFmtId="0" xfId="0" applyAlignment="1" applyBorder="1" applyFont="1">
      <alignment horizontal="center" vertical="center"/>
    </xf>
    <xf borderId="1415" fillId="12" fontId="154" numFmtId="0" xfId="0" applyAlignment="1" applyBorder="1" applyFont="1">
      <alignment horizontal="center" vertical="center"/>
    </xf>
    <xf borderId="1066" fillId="108" fontId="156" numFmtId="0" xfId="0" applyAlignment="1" applyBorder="1" applyFont="1">
      <alignment horizontal="center" vertical="center"/>
    </xf>
    <xf borderId="1416" fillId="107" fontId="154" numFmtId="0" xfId="0" applyAlignment="1" applyBorder="1" applyFont="1">
      <alignment horizontal="center" vertical="center"/>
    </xf>
    <xf borderId="1416" fillId="107" fontId="132" numFmtId="0" xfId="0" applyAlignment="1" applyBorder="1" applyFont="1">
      <alignment horizontal="center" vertical="center"/>
    </xf>
    <xf borderId="1416" fillId="107" fontId="156" numFmtId="0" xfId="0" applyAlignment="1" applyBorder="1" applyFont="1">
      <alignment horizontal="center" vertical="center"/>
    </xf>
    <xf borderId="1375" fillId="107" fontId="132" numFmtId="0" xfId="0" applyAlignment="1" applyBorder="1" applyFont="1">
      <alignment horizontal="center" readingOrder="0" vertical="center"/>
    </xf>
    <xf borderId="1350" fillId="107" fontId="160" numFmtId="0" xfId="0" applyAlignment="1" applyBorder="1" applyFont="1">
      <alignment horizontal="center" vertical="center"/>
    </xf>
    <xf borderId="1345" fillId="107" fontId="174" numFmtId="0" xfId="0" applyAlignment="1" applyBorder="1" applyFont="1">
      <alignment vertical="center"/>
    </xf>
    <xf borderId="1345" fillId="107" fontId="116" numFmtId="0" xfId="0" applyAlignment="1" applyBorder="1" applyFont="1">
      <alignment horizontal="center" vertical="center"/>
    </xf>
    <xf borderId="1345" fillId="107" fontId="162" numFmtId="0" xfId="0" applyAlignment="1" applyBorder="1" applyFont="1">
      <alignment horizontal="center" vertical="center"/>
    </xf>
    <xf borderId="1345" fillId="107" fontId="174" numFmtId="0" xfId="0" applyAlignment="1" applyBorder="1" applyFont="1">
      <alignment vertical="center"/>
    </xf>
    <xf borderId="1345" fillId="107" fontId="116" numFmtId="0" xfId="0" applyAlignment="1" applyBorder="1" applyFont="1">
      <alignment horizontal="center" vertical="center"/>
    </xf>
    <xf borderId="1349" fillId="107" fontId="162" numFmtId="0" xfId="0" applyAlignment="1" applyBorder="1" applyFont="1">
      <alignment horizontal="center" vertical="center"/>
    </xf>
    <xf borderId="1297" fillId="12" fontId="164" numFmtId="0" xfId="0" applyAlignment="1" applyBorder="1" applyFont="1">
      <alignment horizontal="center" readingOrder="0" vertical="center"/>
    </xf>
    <xf borderId="1066" fillId="109" fontId="131" numFmtId="0" xfId="0" applyAlignment="1" applyBorder="1" applyFill="1" applyFont="1">
      <alignment horizontal="center" vertical="center"/>
    </xf>
    <xf borderId="209" fillId="12" fontId="116" numFmtId="0" xfId="0" applyAlignment="1" applyBorder="1" applyFont="1">
      <alignment horizontal="center" vertical="center"/>
    </xf>
    <xf borderId="185" fillId="12" fontId="162" numFmtId="0" xfId="0" applyAlignment="1" applyBorder="1" applyFont="1">
      <alignment horizontal="center" vertical="center"/>
    </xf>
    <xf borderId="200" fillId="12" fontId="154" numFmtId="0" xfId="0" applyAlignment="1" applyBorder="1" applyFont="1">
      <alignment horizontal="center" vertical="center"/>
    </xf>
    <xf borderId="1333" fillId="106" fontId="115" numFmtId="0" xfId="0" applyAlignment="1" applyBorder="1" applyFont="1">
      <alignment horizontal="center" vertical="center"/>
    </xf>
    <xf borderId="1333" fillId="106" fontId="175" numFmtId="0" xfId="0" applyAlignment="1" applyBorder="1" applyFont="1">
      <alignment horizontal="center" vertical="center"/>
    </xf>
    <xf borderId="1333" fillId="106" fontId="115" numFmtId="0" xfId="0" applyAlignment="1" applyBorder="1" applyFont="1">
      <alignment horizontal="center" vertical="center"/>
    </xf>
    <xf borderId="1333" fillId="106" fontId="175" numFmtId="0" xfId="0" applyAlignment="1" applyBorder="1" applyFont="1">
      <alignment horizontal="center" vertical="center"/>
    </xf>
    <xf borderId="1348" fillId="107" fontId="176" numFmtId="0" xfId="0" applyAlignment="1" applyBorder="1" applyFont="1">
      <alignment horizontal="left" readingOrder="0" vertical="center"/>
    </xf>
    <xf borderId="1417" fillId="107" fontId="154" numFmtId="0" xfId="0" applyAlignment="1" applyBorder="1" applyFont="1">
      <alignment horizontal="center" vertical="center"/>
    </xf>
    <xf borderId="1346" fillId="107" fontId="132" numFmtId="0" xfId="0" applyAlignment="1" applyBorder="1" applyFont="1">
      <alignment horizontal="center" vertical="center"/>
    </xf>
    <xf borderId="1345" fillId="107" fontId="177" numFmtId="0" xfId="0" applyAlignment="1" applyBorder="1" applyFont="1">
      <alignment horizontal="center" vertical="center"/>
    </xf>
    <xf borderId="1416" fillId="107" fontId="162" numFmtId="0" xfId="0" applyAlignment="1" applyBorder="1" applyFont="1">
      <alignment horizontal="center" vertical="center"/>
    </xf>
    <xf borderId="1345" fillId="107" fontId="177" numFmtId="0" xfId="0" applyAlignment="1" applyBorder="1" applyFont="1">
      <alignment horizontal="center" vertical="center"/>
    </xf>
    <xf borderId="1416" fillId="107" fontId="162" numFmtId="0" xfId="0" applyAlignment="1" applyBorder="1" applyFont="1">
      <alignment horizontal="center" vertical="center"/>
    </xf>
    <xf borderId="1418" fillId="110" fontId="154" numFmtId="0" xfId="0" applyAlignment="1" applyBorder="1" applyFill="1" applyFont="1">
      <alignment horizontal="center" vertical="center"/>
    </xf>
    <xf borderId="1419" fillId="110" fontId="102" numFmtId="0" xfId="0" applyAlignment="1" applyBorder="1" applyFont="1">
      <alignment horizontal="right" readingOrder="0" vertical="center"/>
    </xf>
    <xf borderId="1420" fillId="110" fontId="103" numFmtId="0" xfId="0" applyAlignment="1" applyBorder="1" applyFont="1">
      <alignment horizontal="center" readingOrder="0" vertical="center"/>
    </xf>
    <xf borderId="1419" fillId="110" fontId="103" numFmtId="0" xfId="0" applyAlignment="1" applyBorder="1" applyFont="1">
      <alignment horizontal="center" readingOrder="0" vertical="center"/>
    </xf>
    <xf borderId="1421" fillId="110" fontId="154" numFmtId="0" xfId="0" applyAlignment="1" applyBorder="1" applyFont="1">
      <alignment horizontal="center" vertical="center"/>
    </xf>
    <xf borderId="1422" fillId="110" fontId="162" numFmtId="0" xfId="0" applyAlignment="1" applyBorder="1" applyFont="1">
      <alignment horizontal="center" vertical="center"/>
    </xf>
    <xf borderId="1423" fillId="110" fontId="102" numFmtId="0" xfId="0" applyAlignment="1" applyBorder="1" applyFont="1">
      <alignment horizontal="right" vertical="center"/>
    </xf>
    <xf borderId="1424" fillId="110" fontId="178" numFmtId="0" xfId="0" applyAlignment="1" applyBorder="1" applyFont="1">
      <alignment horizontal="left" readingOrder="0" vertical="center"/>
    </xf>
    <xf borderId="1425" fillId="0" fontId="5" numFmtId="0" xfId="0" applyBorder="1" applyFont="1"/>
    <xf borderId="1426" fillId="0" fontId="5" numFmtId="0" xfId="0" applyBorder="1" applyFont="1"/>
    <xf borderId="1427" fillId="110" fontId="154" numFmtId="0" xfId="0" applyAlignment="1" applyBorder="1" applyFont="1">
      <alignment horizontal="center" vertical="center"/>
    </xf>
    <xf borderId="1428" fillId="110" fontId="154" numFmtId="0" xfId="0" applyAlignment="1" applyBorder="1" applyFont="1">
      <alignment horizontal="center" vertical="center"/>
    </xf>
    <xf borderId="339" fillId="62" fontId="104" numFmtId="0" xfId="0" applyAlignment="1" applyBorder="1" applyFont="1">
      <alignment horizontal="right" vertical="center"/>
    </xf>
    <xf borderId="1425" fillId="110" fontId="156" numFmtId="0" xfId="0" applyAlignment="1" applyBorder="1" applyFont="1">
      <alignment horizontal="center" vertical="center"/>
    </xf>
    <xf borderId="1066" fillId="62" fontId="156" numFmtId="0" xfId="0" applyAlignment="1" applyBorder="1" applyFont="1">
      <alignment horizontal="center" vertical="center"/>
    </xf>
    <xf borderId="1429" fillId="110" fontId="154" numFmtId="0" xfId="0" applyAlignment="1" applyBorder="1" applyFont="1">
      <alignment horizontal="center" vertical="center"/>
    </xf>
    <xf borderId="1428" fillId="110" fontId="132" numFmtId="0" xfId="0" applyAlignment="1" applyBorder="1" applyFont="1">
      <alignment horizontal="center" vertical="center"/>
    </xf>
    <xf borderId="345" fillId="110" fontId="104" numFmtId="0" xfId="0" applyAlignment="1" applyBorder="1" applyFont="1">
      <alignment horizontal="right" readingOrder="0" vertical="center"/>
    </xf>
    <xf borderId="1425" fillId="110" fontId="132" numFmtId="0" xfId="0" applyAlignment="1" applyBorder="1" applyFont="1">
      <alignment horizontal="center" readingOrder="0" vertical="center"/>
    </xf>
    <xf borderId="1430" fillId="110" fontId="130" numFmtId="0" xfId="0" applyAlignment="1" applyBorder="1" applyFont="1">
      <alignment horizontal="center" readingOrder="0" vertical="center"/>
    </xf>
    <xf borderId="1431" fillId="0" fontId="5" numFmtId="0" xfId="0" applyBorder="1" applyFont="1"/>
    <xf borderId="1432" fillId="0" fontId="5" numFmtId="0" xfId="0" applyBorder="1" applyFont="1"/>
    <xf borderId="1429" fillId="110" fontId="132" numFmtId="0" xfId="0" applyAlignment="1" applyBorder="1" applyFont="1">
      <alignment horizontal="center" vertical="center"/>
    </xf>
    <xf borderId="1428" fillId="110" fontId="156" numFmtId="0" xfId="0" applyAlignment="1" applyBorder="1" applyFont="1">
      <alignment horizontal="center" vertical="center"/>
    </xf>
    <xf borderId="1425" fillId="110" fontId="156" numFmtId="0" xfId="0" applyAlignment="1" applyBorder="1" applyFont="1">
      <alignment horizontal="center" readingOrder="0" vertical="center"/>
    </xf>
    <xf borderId="1433" fillId="110" fontId="131" numFmtId="0" xfId="0" applyAlignment="1" applyBorder="1" applyFont="1">
      <alignment horizontal="center" readingOrder="0" vertical="top"/>
    </xf>
    <xf borderId="1434" fillId="0" fontId="5" numFmtId="0" xfId="0" applyBorder="1" applyFont="1"/>
    <xf borderId="1435" fillId="0" fontId="5" numFmtId="0" xfId="0" applyBorder="1" applyFont="1"/>
    <xf borderId="1425" fillId="110" fontId="131" numFmtId="0" xfId="0" applyAlignment="1" applyBorder="1" applyFont="1">
      <alignment horizontal="center" readingOrder="0" vertical="center"/>
    </xf>
    <xf borderId="1429" fillId="110" fontId="156" numFmtId="0" xfId="0" applyAlignment="1" applyBorder="1" applyFont="1">
      <alignment horizontal="center" vertical="center"/>
    </xf>
    <xf borderId="1422" fillId="110" fontId="154" numFmtId="0" xfId="0" applyAlignment="1" applyBorder="1" applyFont="1">
      <alignment horizontal="center" vertical="center"/>
    </xf>
    <xf borderId="1419" fillId="110" fontId="104" numFmtId="0" xfId="0" applyAlignment="1" applyBorder="1" applyFont="1">
      <alignment horizontal="right" vertical="center"/>
    </xf>
    <xf borderId="1424" fillId="110" fontId="154" numFmtId="0" xfId="0" applyAlignment="1" applyBorder="1" applyFont="1">
      <alignment horizontal="center" vertical="center"/>
    </xf>
    <xf borderId="1436" fillId="110" fontId="132" numFmtId="0" xfId="0" applyAlignment="1" applyBorder="1" applyFont="1">
      <alignment horizontal="center" vertical="center"/>
    </xf>
    <xf borderId="1437" fillId="110" fontId="132" numFmtId="0" xfId="0" applyAlignment="1" applyBorder="1" applyFont="1">
      <alignment horizontal="right" vertical="top"/>
    </xf>
    <xf borderId="1437" fillId="110" fontId="132" numFmtId="0" xfId="0" applyAlignment="1" applyBorder="1" applyFont="1">
      <alignment horizontal="left" vertical="top"/>
    </xf>
    <xf borderId="1438" fillId="110" fontId="132" numFmtId="0" xfId="0" applyAlignment="1" applyBorder="1" applyFont="1">
      <alignment horizontal="center" vertical="top"/>
    </xf>
    <xf borderId="1424" fillId="110" fontId="132" numFmtId="0" xfId="0" applyAlignment="1" applyBorder="1" applyFont="1">
      <alignment horizontal="center" vertical="center"/>
    </xf>
    <xf borderId="1439" fillId="110" fontId="132" numFmtId="0" xfId="0" applyAlignment="1" applyBorder="1" applyFont="1">
      <alignment horizontal="center" vertical="top"/>
    </xf>
    <xf borderId="1440" fillId="0" fontId="5" numFmtId="0" xfId="0" applyBorder="1" applyFont="1"/>
    <xf borderId="1419" fillId="0" fontId="5" numFmtId="0" xfId="0" applyBorder="1" applyFont="1"/>
    <xf borderId="1441" fillId="110" fontId="132" numFmtId="0" xfId="0" applyAlignment="1" applyBorder="1" applyFont="1">
      <alignment horizontal="center" vertical="center"/>
    </xf>
    <xf borderId="1442" fillId="110" fontId="132" numFmtId="0" xfId="0" applyAlignment="1" applyBorder="1" applyFont="1">
      <alignment horizontal="center" vertical="top"/>
    </xf>
    <xf borderId="1443" fillId="110" fontId="132" numFmtId="0" xfId="0" applyAlignment="1" applyBorder="1" applyFont="1">
      <alignment horizontal="center" vertical="top"/>
    </xf>
    <xf borderId="1420" fillId="0" fontId="5" numFmtId="0" xfId="0" applyBorder="1" applyFont="1"/>
    <xf borderId="1444" fillId="110" fontId="132" numFmtId="0" xfId="0" applyAlignment="1" applyBorder="1" applyFont="1">
      <alignment horizontal="center" readingOrder="0" vertical="center"/>
    </xf>
    <xf borderId="1445" fillId="0" fontId="5" numFmtId="0" xfId="0" applyBorder="1" applyFont="1"/>
    <xf borderId="1446" fillId="0" fontId="5" numFmtId="0" xfId="0" applyBorder="1" applyFont="1"/>
    <xf borderId="1425" fillId="110" fontId="132" numFmtId="0" xfId="0" applyAlignment="1" applyBorder="1" applyFont="1">
      <alignment horizontal="center" vertical="center"/>
    </xf>
    <xf borderId="1447" fillId="110" fontId="104" numFmtId="0" xfId="0" applyAlignment="1" applyBorder="1" applyFont="1">
      <alignment horizontal="right" vertical="center"/>
    </xf>
    <xf borderId="1448" fillId="110" fontId="132" numFmtId="0" xfId="0" applyAlignment="1" applyBorder="1" applyFont="1">
      <alignment horizontal="center" readingOrder="0" vertical="center"/>
    </xf>
    <xf borderId="1449" fillId="0" fontId="5" numFmtId="0" xfId="0" applyBorder="1" applyFont="1"/>
    <xf borderId="1448" fillId="110" fontId="131" numFmtId="0" xfId="0" applyAlignment="1" applyBorder="1" applyFont="1">
      <alignment horizontal="center" readingOrder="0" vertical="center"/>
    </xf>
    <xf borderId="1450" fillId="110" fontId="132" numFmtId="0" xfId="0" applyAlignment="1" applyBorder="1" applyFont="1">
      <alignment horizontal="center" readingOrder="0" vertical="center"/>
    </xf>
    <xf borderId="1451" fillId="0" fontId="5" numFmtId="0" xfId="0" applyBorder="1" applyFont="1"/>
    <xf borderId="1452" fillId="0" fontId="5" numFmtId="0" xfId="0" applyBorder="1" applyFont="1"/>
    <xf borderId="1453" fillId="110" fontId="132" numFmtId="0" xfId="0" applyAlignment="1" applyBorder="1" applyFont="1">
      <alignment horizontal="center" readingOrder="0" vertical="center"/>
    </xf>
    <xf borderId="1454" fillId="110" fontId="132" numFmtId="0" xfId="0" applyAlignment="1" applyBorder="1" applyFont="1">
      <alignment horizontal="center" readingOrder="0" vertical="center"/>
    </xf>
    <xf borderId="1423" fillId="110" fontId="104" numFmtId="0" xfId="0" applyAlignment="1" applyBorder="1" applyFont="1">
      <alignment horizontal="right" vertical="center"/>
    </xf>
    <xf borderId="1455" fillId="110" fontId="132" numFmtId="0" xfId="0" applyAlignment="1" applyBorder="1" applyFont="1">
      <alignment horizontal="center" readingOrder="0" vertical="center"/>
    </xf>
    <xf borderId="1456" fillId="110" fontId="132" numFmtId="0" xfId="0" applyAlignment="1" applyBorder="1" applyFont="1">
      <alignment horizontal="center" readingOrder="0" vertical="center"/>
    </xf>
    <xf borderId="1457" fillId="0" fontId="5" numFmtId="0" xfId="0" applyBorder="1" applyFont="1"/>
    <xf borderId="1458" fillId="110" fontId="132" numFmtId="0" xfId="0" applyAlignment="1" applyBorder="1" applyFont="1">
      <alignment horizontal="center" readingOrder="0" vertical="center"/>
    </xf>
    <xf borderId="1422" fillId="110" fontId="153" numFmtId="0" xfId="0" applyAlignment="1" applyBorder="1" applyFont="1">
      <alignment horizontal="center" vertical="center"/>
    </xf>
    <xf borderId="1423" fillId="110" fontId="160" numFmtId="0" xfId="0" applyAlignment="1" applyBorder="1" applyFont="1">
      <alignment horizontal="center" vertical="center"/>
    </xf>
    <xf borderId="1419" fillId="110" fontId="160" numFmtId="0" xfId="0" applyAlignment="1" applyBorder="1" applyFont="1">
      <alignment horizontal="center" vertical="center"/>
    </xf>
    <xf borderId="1459" fillId="110" fontId="160" numFmtId="0" xfId="0" applyAlignment="1" applyBorder="1" applyFont="1">
      <alignment horizontal="center" vertical="center"/>
    </xf>
    <xf borderId="1460" fillId="110" fontId="153" numFmtId="0" xfId="0" applyAlignment="1" applyBorder="1" applyFont="1">
      <alignment horizontal="center" vertical="center"/>
    </xf>
    <xf borderId="1424" fillId="110" fontId="140" numFmtId="0" xfId="0" applyAlignment="1" applyBorder="1" applyFont="1">
      <alignment horizontal="center" vertical="center"/>
    </xf>
    <xf borderId="378" fillId="62" fontId="115" numFmtId="0" xfId="0" applyAlignment="1" applyBorder="1" applyFont="1">
      <alignment horizontal="center" readingOrder="0" vertical="top"/>
    </xf>
    <xf borderId="1424" fillId="110" fontId="116" numFmtId="0" xfId="0" applyAlignment="1" applyBorder="1" applyFont="1">
      <alignment horizontal="center" vertical="center"/>
    </xf>
    <xf borderId="1429" fillId="110" fontId="162" numFmtId="0" xfId="0" applyAlignment="1" applyBorder="1" applyFont="1">
      <alignment horizontal="center" vertical="center"/>
    </xf>
    <xf borderId="1461" fillId="62" fontId="115" numFmtId="0" xfId="0" applyAlignment="1" applyBorder="1" applyFont="1">
      <alignment horizontal="center" readingOrder="0" vertical="center"/>
    </xf>
    <xf borderId="1462" fillId="62" fontId="115" numFmtId="0" xfId="0" applyAlignment="1" applyBorder="1" applyFont="1">
      <alignment horizontal="center" readingOrder="0" vertical="center"/>
    </xf>
    <xf borderId="1463" fillId="62" fontId="115" numFmtId="0" xfId="0" applyAlignment="1" applyBorder="1" applyFont="1">
      <alignment horizontal="left" readingOrder="0" vertical="center"/>
    </xf>
    <xf borderId="1464" fillId="0" fontId="5" numFmtId="0" xfId="0" applyBorder="1" applyFont="1"/>
    <xf borderId="1424" fillId="110" fontId="116" numFmtId="0" xfId="0" applyAlignment="1" applyBorder="1" applyFont="1">
      <alignment horizontal="center" vertical="center"/>
    </xf>
    <xf borderId="1429" fillId="110" fontId="162" numFmtId="0" xfId="0" applyAlignment="1" applyBorder="1" applyFont="1">
      <alignment horizontal="center" vertical="center"/>
    </xf>
    <xf borderId="1465" fillId="62" fontId="115" numFmtId="0" xfId="0" applyAlignment="1" applyBorder="1" applyFont="1">
      <alignment horizontal="center" readingOrder="0" vertical="center"/>
    </xf>
    <xf borderId="1466" fillId="62" fontId="115" numFmtId="0" xfId="0" applyAlignment="1" applyBorder="1" applyFont="1">
      <alignment horizontal="center" readingOrder="0" vertical="center"/>
    </xf>
    <xf borderId="1467" fillId="62" fontId="115" numFmtId="0" xfId="0" applyAlignment="1" applyBorder="1" applyFont="1">
      <alignment horizontal="left" readingOrder="0" vertical="center"/>
    </xf>
    <xf borderId="1468" fillId="0" fontId="5" numFmtId="0" xfId="0" applyBorder="1" applyFont="1"/>
    <xf borderId="1469" fillId="62" fontId="115" numFmtId="0" xfId="0" applyAlignment="1" applyBorder="1" applyFont="1">
      <alignment horizontal="center" readingOrder="0" vertical="center"/>
    </xf>
    <xf borderId="1470" fillId="62" fontId="115" numFmtId="0" xfId="0" applyAlignment="1" applyBorder="1" applyFont="1">
      <alignment horizontal="center" readingOrder="0" vertical="center"/>
    </xf>
    <xf borderId="1471" fillId="62" fontId="115" numFmtId="0" xfId="0" applyAlignment="1" applyBorder="1" applyFont="1">
      <alignment horizontal="left" readingOrder="0" vertical="center"/>
    </xf>
    <xf borderId="1472" fillId="0" fontId="5" numFmtId="0" xfId="0" applyBorder="1" applyFont="1"/>
    <xf borderId="395" fillId="62" fontId="115" numFmtId="0" xfId="0" applyAlignment="1" applyBorder="1" applyFont="1">
      <alignment horizontal="right" readingOrder="0" vertical="center"/>
    </xf>
    <xf borderId="400" fillId="62" fontId="115" numFmtId="0" xfId="0" applyAlignment="1" applyBorder="1" applyFont="1">
      <alignment horizontal="right" readingOrder="0" vertical="center"/>
    </xf>
    <xf borderId="1423" fillId="110" fontId="116" numFmtId="0" xfId="0" applyAlignment="1" applyBorder="1" applyFont="1">
      <alignment horizontal="center" vertical="center"/>
    </xf>
    <xf borderId="1420" fillId="110" fontId="116" numFmtId="0" xfId="0" applyAlignment="1" applyBorder="1" applyFont="1">
      <alignment horizontal="center" vertical="center"/>
    </xf>
    <xf borderId="405" fillId="62" fontId="115" numFmtId="0" xfId="0" applyAlignment="1" applyBorder="1" applyFont="1">
      <alignment horizontal="right" readingOrder="0" vertical="center"/>
    </xf>
    <xf borderId="1473" fillId="110" fontId="154" numFmtId="0" xfId="0" applyAlignment="1" applyBorder="1" applyFont="1">
      <alignment horizontal="center" vertical="center"/>
    </xf>
    <xf borderId="1447" fillId="110" fontId="102" numFmtId="0" xfId="0" applyAlignment="1" applyBorder="1" applyFont="1">
      <alignment horizontal="right" readingOrder="0" vertical="center"/>
    </xf>
    <xf borderId="1447" fillId="110" fontId="103" numFmtId="0" xfId="0" applyAlignment="1" applyBorder="1" applyFont="1">
      <alignment horizontal="center" readingOrder="0" vertical="center"/>
    </xf>
    <xf borderId="1474" fillId="110" fontId="154" numFmtId="0" xfId="0" applyAlignment="1" applyBorder="1" applyFont="1">
      <alignment horizontal="center" vertical="center"/>
    </xf>
    <xf borderId="206" fillId="12" fontId="179" numFmtId="0" xfId="0" applyAlignment="1" applyBorder="1" applyFont="1">
      <alignment horizontal="left" readingOrder="0" vertical="center"/>
    </xf>
    <xf borderId="1066" fillId="109" fontId="156" numFmtId="0" xfId="0" applyAlignment="1" applyBorder="1" applyFont="1">
      <alignment horizontal="center" vertical="center"/>
    </xf>
    <xf borderId="209" fillId="12" fontId="156" numFmtId="0" xfId="0" applyAlignment="1" applyBorder="1" applyFont="1">
      <alignment horizontal="center" vertical="center"/>
    </xf>
    <xf borderId="1305" fillId="12" fontId="132" numFmtId="0" xfId="0" applyAlignment="1" applyBorder="1" applyFont="1">
      <alignment horizontal="center" vertical="center"/>
    </xf>
    <xf borderId="1475" fillId="12" fontId="154" numFmtId="0" xfId="0" applyAlignment="1" applyBorder="1" applyFont="1">
      <alignment horizontal="center" vertical="center"/>
    </xf>
    <xf borderId="209" fillId="12" fontId="132" numFmtId="0" xfId="0" applyAlignment="1" applyBorder="1" applyFont="1">
      <alignment horizontal="center" vertical="center"/>
    </xf>
    <xf borderId="206" fillId="12" fontId="116" numFmtId="0" xfId="0" applyAlignment="1" applyBorder="1" applyFont="1">
      <alignment horizontal="center" vertical="center"/>
    </xf>
    <xf borderId="1475" fillId="12" fontId="162" numFmtId="0" xfId="0" applyAlignment="1" applyBorder="1" applyFont="1">
      <alignment horizontal="center" vertical="center"/>
    </xf>
    <xf borderId="1475" fillId="12" fontId="162" numFmtId="0" xfId="0" applyAlignment="1" applyBorder="1" applyFont="1">
      <alignment horizontal="center" vertical="center"/>
    </xf>
    <xf borderId="1407" fillId="12" fontId="116" numFmtId="0" xfId="0" applyAlignment="1" applyBorder="1" applyFont="1">
      <alignment horizontal="center" vertical="center"/>
    </xf>
    <xf borderId="1409" fillId="12" fontId="102" numFmtId="0" xfId="0" applyAlignment="1" applyBorder="1" applyFont="1">
      <alignment horizontal="right" vertical="center"/>
    </xf>
    <xf borderId="200" fillId="12" fontId="116" numFmtId="0" xfId="0" applyAlignment="1" applyBorder="1" applyFont="1">
      <alignment horizontal="center" vertical="center"/>
    </xf>
    <xf borderId="1409" fillId="12" fontId="116" numFmtId="0" xfId="0" applyAlignment="1" applyBorder="1" applyFont="1">
      <alignment horizontal="center" vertical="center"/>
    </xf>
    <xf borderId="1291" fillId="12" fontId="116" numFmtId="0" xfId="0" applyAlignment="1" applyBorder="1" applyFont="1">
      <alignment horizontal="center" vertical="center"/>
    </xf>
    <xf borderId="1297" fillId="12" fontId="154" numFmtId="0" xfId="0" applyAlignment="1" applyBorder="1" applyFont="1">
      <alignment horizontal="center" readingOrder="0" vertical="center"/>
    </xf>
    <xf borderId="1066" fillId="4" fontId="156" numFmtId="0" xfId="0" applyAlignment="1" applyBorder="1" applyFont="1">
      <alignment horizontal="center" vertical="center"/>
    </xf>
    <xf borderId="1066" fillId="37" fontId="156" numFmtId="0" xfId="0" applyAlignment="1" applyBorder="1" applyFont="1">
      <alignment horizontal="center" vertical="center"/>
    </xf>
    <xf borderId="1337" fillId="12" fontId="154" numFmtId="0" xfId="0" applyAlignment="1" applyBorder="1" applyFont="1">
      <alignment horizontal="center" readingOrder="0" vertical="center"/>
    </xf>
    <xf borderId="1348" fillId="107" fontId="180" numFmtId="0" xfId="0" applyAlignment="1" applyBorder="1" applyFont="1">
      <alignment horizontal="left" readingOrder="0" vertical="center"/>
    </xf>
    <xf borderId="1476" fillId="105" fontId="154" numFmtId="0" xfId="0" applyAlignment="1" applyBorder="1" applyFont="1">
      <alignment horizontal="center" vertical="center"/>
    </xf>
    <xf borderId="1476" fillId="105" fontId="104" numFmtId="0" xfId="0" applyAlignment="1" applyBorder="1" applyFont="1">
      <alignment horizontal="right" vertical="center"/>
    </xf>
    <xf borderId="1477" fillId="111" fontId="154" numFmtId="0" xfId="0" applyAlignment="1" applyBorder="1" applyFill="1" applyFont="1">
      <alignment horizontal="center" vertical="center"/>
    </xf>
    <xf borderId="1478" fillId="111" fontId="104" numFmtId="0" xfId="0" applyAlignment="1" applyBorder="1" applyFont="1">
      <alignment horizontal="right" vertical="center"/>
    </xf>
    <xf borderId="1479" fillId="111" fontId="154" numFmtId="0" xfId="0" applyAlignment="1" applyBorder="1" applyFont="1">
      <alignment horizontal="center" vertical="center"/>
    </xf>
    <xf borderId="1480" fillId="111" fontId="154" numFmtId="0" xfId="0" applyAlignment="1" applyBorder="1" applyFont="1">
      <alignment horizontal="center" vertical="center"/>
    </xf>
    <xf borderId="1481" fillId="111" fontId="154" numFmtId="0" xfId="0" applyAlignment="1" applyBorder="1" applyFont="1">
      <alignment horizontal="center" vertical="center"/>
    </xf>
    <xf borderId="185" fillId="12" fontId="154" numFmtId="0" xfId="0" applyAlignment="1" applyBorder="1" applyFont="1">
      <alignment horizontal="center" vertical="center"/>
    </xf>
    <xf borderId="1482" fillId="111" fontId="154" numFmtId="0" xfId="0" applyAlignment="1" applyBorder="1" applyFont="1">
      <alignment horizontal="center" vertical="center"/>
    </xf>
    <xf borderId="339" fillId="23" fontId="104" numFmtId="0" xfId="0" applyAlignment="1" applyBorder="1" applyFont="1">
      <alignment horizontal="right" vertical="center"/>
    </xf>
    <xf borderId="1483" fillId="111" fontId="156" numFmtId="0" xfId="0" applyAlignment="1" applyBorder="1" applyFont="1">
      <alignment horizontal="center" vertical="center"/>
    </xf>
    <xf borderId="1066" fillId="23" fontId="156" numFmtId="0" xfId="0" applyAlignment="1" applyBorder="1" applyFont="1">
      <alignment horizontal="center" vertical="center"/>
    </xf>
    <xf borderId="1484" fillId="111" fontId="154" numFmtId="0" xfId="0" applyAlignment="1" applyBorder="1" applyFont="1">
      <alignment horizontal="center" vertical="center"/>
    </xf>
    <xf borderId="1485" fillId="111" fontId="154" numFmtId="0" xfId="0" applyAlignment="1" applyBorder="1" applyFont="1">
      <alignment horizontal="center" vertical="center"/>
    </xf>
    <xf borderId="1486" fillId="111" fontId="154" numFmtId="0" xfId="0" applyAlignment="1" applyBorder="1" applyFont="1">
      <alignment horizontal="center" vertical="center"/>
    </xf>
    <xf borderId="1483" fillId="0" fontId="5" numFmtId="0" xfId="0" applyBorder="1" applyFont="1"/>
    <xf borderId="1487" fillId="0" fontId="5" numFmtId="0" xfId="0" applyBorder="1" applyFont="1"/>
    <xf borderId="1488" fillId="111" fontId="154" numFmtId="0" xfId="0" applyAlignment="1" applyBorder="1" applyFont="1">
      <alignment horizontal="center" vertical="center"/>
    </xf>
    <xf borderId="1482" fillId="111" fontId="132" numFmtId="0" xfId="0" applyAlignment="1" applyBorder="1" applyFont="1">
      <alignment horizontal="center" vertical="center"/>
    </xf>
    <xf borderId="345" fillId="111" fontId="104" numFmtId="0" xfId="0" applyAlignment="1" applyBorder="1" applyFont="1">
      <alignment horizontal="right" readingOrder="0" vertical="center"/>
    </xf>
    <xf borderId="1483" fillId="111" fontId="132" numFmtId="0" xfId="0" applyAlignment="1" applyBorder="1" applyFont="1">
      <alignment horizontal="center" readingOrder="0" vertical="center"/>
    </xf>
    <xf borderId="1489" fillId="111" fontId="130" numFmtId="0" xfId="0" applyAlignment="1" applyBorder="1" applyFont="1">
      <alignment horizontal="center" readingOrder="0" vertical="center"/>
    </xf>
    <xf borderId="1490" fillId="0" fontId="5" numFmtId="0" xfId="0" applyBorder="1" applyFont="1"/>
    <xf borderId="1491" fillId="0" fontId="5" numFmtId="0" xfId="0" applyBorder="1" applyFont="1"/>
    <xf borderId="1492" fillId="0" fontId="5" numFmtId="0" xfId="0" applyBorder="1" applyFont="1"/>
    <xf borderId="1486" fillId="111" fontId="132" numFmtId="0" xfId="0" applyAlignment="1" applyBorder="1" applyFont="1">
      <alignment horizontal="center" vertical="center"/>
    </xf>
    <xf borderId="1488" fillId="111" fontId="132" numFmtId="0" xfId="0" applyAlignment="1" applyBorder="1" applyFont="1">
      <alignment horizontal="center" vertical="center"/>
    </xf>
    <xf borderId="185" fillId="12" fontId="132" numFmtId="0" xfId="0" applyAlignment="1" applyBorder="1" applyFont="1">
      <alignment horizontal="center" vertical="center"/>
    </xf>
    <xf borderId="206" fillId="12" fontId="158" numFmtId="0" xfId="0" applyAlignment="1" applyBorder="1" applyFont="1">
      <alignment horizontal="center" vertical="center"/>
    </xf>
    <xf borderId="1482" fillId="111" fontId="158" numFmtId="0" xfId="0" applyAlignment="1" applyBorder="1" applyFont="1">
      <alignment horizontal="center" vertical="center"/>
    </xf>
    <xf borderId="1483" fillId="111" fontId="158" numFmtId="0" xfId="0" applyAlignment="1" applyBorder="1" applyFont="1">
      <alignment horizontal="center" readingOrder="0" vertical="center"/>
    </xf>
    <xf borderId="1493" fillId="111" fontId="146" numFmtId="0" xfId="0" applyAlignment="1" applyBorder="1" applyFont="1">
      <alignment horizontal="center" readingOrder="0" vertical="top"/>
    </xf>
    <xf borderId="1494" fillId="0" fontId="5" numFmtId="0" xfId="0" applyBorder="1" applyFont="1"/>
    <xf borderId="1495" fillId="0" fontId="5" numFmtId="0" xfId="0" applyBorder="1" applyFont="1"/>
    <xf borderId="1486" fillId="111" fontId="158" numFmtId="0" xfId="0" applyAlignment="1" applyBorder="1" applyFont="1">
      <alignment horizontal="center" vertical="center"/>
    </xf>
    <xf borderId="1488" fillId="111" fontId="158" numFmtId="0" xfId="0" applyAlignment="1" applyBorder="1" applyFont="1">
      <alignment horizontal="center" vertical="center"/>
    </xf>
    <xf borderId="185" fillId="12" fontId="158" numFmtId="0" xfId="0" applyAlignment="1" applyBorder="1" applyFont="1">
      <alignment horizontal="center" vertical="center"/>
    </xf>
    <xf borderId="1496" fillId="111" fontId="154" numFmtId="0" xfId="0" applyAlignment="1" applyBorder="1" applyFont="1">
      <alignment horizontal="center" vertical="center"/>
    </xf>
    <xf borderId="1497" fillId="111" fontId="104" numFmtId="0" xfId="0" applyAlignment="1" applyBorder="1" applyFont="1">
      <alignment horizontal="right" vertical="center"/>
    </xf>
    <xf borderId="1498" fillId="111" fontId="132" numFmtId="0" xfId="0" applyAlignment="1" applyBorder="1" applyFont="1">
      <alignment horizontal="center" vertical="center"/>
    </xf>
    <xf borderId="1499" fillId="111" fontId="132" numFmtId="0" xfId="0" applyAlignment="1" applyBorder="1" applyFont="1">
      <alignment horizontal="right" vertical="top"/>
    </xf>
    <xf borderId="1499" fillId="111" fontId="132" numFmtId="0" xfId="0" applyAlignment="1" applyBorder="1" applyFont="1">
      <alignment horizontal="left" vertical="top"/>
    </xf>
    <xf borderId="1500" fillId="111" fontId="132" numFmtId="0" xfId="0" applyAlignment="1" applyBorder="1" applyFont="1">
      <alignment horizontal="center" vertical="top"/>
    </xf>
    <xf borderId="1501" fillId="111" fontId="132" numFmtId="0" xfId="0" applyAlignment="1" applyBorder="1" applyFont="1">
      <alignment horizontal="center" vertical="top"/>
    </xf>
    <xf borderId="1502" fillId="0" fontId="5" numFmtId="0" xfId="0" applyBorder="1" applyFont="1"/>
    <xf borderId="1497" fillId="0" fontId="5" numFmtId="0" xfId="0" applyBorder="1" applyFont="1"/>
    <xf borderId="1503" fillId="111" fontId="132" numFmtId="0" xfId="0" applyAlignment="1" applyBorder="1" applyFont="1">
      <alignment horizontal="center" vertical="center"/>
    </xf>
    <xf borderId="1504" fillId="111" fontId="132" numFmtId="0" xfId="0" applyAlignment="1" applyBorder="1" applyFont="1">
      <alignment horizontal="center" vertical="top"/>
    </xf>
    <xf borderId="1505" fillId="111" fontId="132" numFmtId="0" xfId="0" applyAlignment="1" applyBorder="1" applyFont="1">
      <alignment horizontal="center" vertical="top"/>
    </xf>
    <xf borderId="1506" fillId="111" fontId="154" numFmtId="0" xfId="0" applyAlignment="1" applyBorder="1" applyFont="1">
      <alignment horizontal="center" vertical="center"/>
    </xf>
    <xf borderId="1507" fillId="0" fontId="5" numFmtId="0" xfId="0" applyBorder="1" applyFont="1"/>
    <xf borderId="1508" fillId="111" fontId="132" numFmtId="0" xfId="0" applyAlignment="1" applyBorder="1" applyFont="1">
      <alignment horizontal="center" readingOrder="0" vertical="center"/>
    </xf>
    <xf borderId="1509" fillId="0" fontId="5" numFmtId="0" xfId="0" applyBorder="1" applyFont="1"/>
    <xf borderId="1510" fillId="0" fontId="5" numFmtId="0" xfId="0" applyBorder="1" applyFont="1"/>
    <xf borderId="1483" fillId="111" fontId="132" numFmtId="0" xfId="0" applyAlignment="1" applyBorder="1" applyFont="1">
      <alignment horizontal="center" vertical="center"/>
    </xf>
    <xf borderId="1511" fillId="111" fontId="104" numFmtId="0" xfId="0" applyAlignment="1" applyBorder="1" applyFont="1">
      <alignment horizontal="right" vertical="center"/>
    </xf>
    <xf borderId="1512" fillId="111" fontId="132" numFmtId="0" xfId="0" applyAlignment="1" applyBorder="1" applyFont="1">
      <alignment horizontal="center" readingOrder="0" vertical="center"/>
    </xf>
    <xf borderId="1513" fillId="0" fontId="5" numFmtId="0" xfId="0" applyBorder="1" applyFont="1"/>
    <xf borderId="1514" fillId="111" fontId="132" numFmtId="0" xfId="0" applyAlignment="1" applyBorder="1" applyFont="1">
      <alignment horizontal="center" readingOrder="0" vertical="center"/>
    </xf>
    <xf borderId="1484" fillId="0" fontId="5" numFmtId="0" xfId="0" applyBorder="1" applyFont="1"/>
    <xf borderId="1485" fillId="0" fontId="5" numFmtId="0" xfId="0" applyBorder="1" applyFont="1"/>
    <xf borderId="1515" fillId="111" fontId="132" numFmtId="0" xfId="0" applyAlignment="1" applyBorder="1" applyFont="1">
      <alignment horizontal="center" readingOrder="0" vertical="center"/>
    </xf>
    <xf borderId="1516" fillId="0" fontId="5" numFmtId="0" xfId="0" applyBorder="1" applyFont="1"/>
    <xf borderId="1510" fillId="111" fontId="132" numFmtId="0" xfId="0" applyAlignment="1" applyBorder="1" applyFont="1">
      <alignment horizontal="center" readingOrder="0" vertical="center"/>
    </xf>
    <xf borderId="1506" fillId="111" fontId="104" numFmtId="0" xfId="0" applyAlignment="1" applyBorder="1" applyFont="1">
      <alignment horizontal="right" vertical="center"/>
    </xf>
    <xf borderId="1513" fillId="111" fontId="132" numFmtId="0" xfId="0" applyAlignment="1" applyBorder="1" applyFont="1">
      <alignment horizontal="center" readingOrder="0" vertical="center"/>
    </xf>
    <xf borderId="1517" fillId="111" fontId="132" numFmtId="0" xfId="0" applyAlignment="1" applyBorder="1" applyFont="1">
      <alignment horizontal="center" readingOrder="0" vertical="center"/>
    </xf>
    <xf borderId="1518" fillId="0" fontId="5" numFmtId="0" xfId="0" applyBorder="1" applyFont="1"/>
    <xf borderId="1519" fillId="0" fontId="5" numFmtId="0" xfId="0" applyBorder="1" applyFont="1"/>
    <xf borderId="1520" fillId="111" fontId="132" numFmtId="0" xfId="0" applyAlignment="1" applyBorder="1" applyFont="1">
      <alignment horizontal="center" readingOrder="0" vertical="center"/>
    </xf>
    <xf borderId="1521" fillId="0" fontId="5" numFmtId="0" xfId="0" applyBorder="1" applyFont="1"/>
    <xf borderId="1522" fillId="0" fontId="5" numFmtId="0" xfId="0" applyBorder="1" applyFont="1"/>
    <xf borderId="206" fillId="12" fontId="159" numFmtId="0" xfId="0" applyAlignment="1" applyBorder="1" applyFont="1">
      <alignment horizontal="center" vertical="center"/>
    </xf>
    <xf borderId="1496" fillId="111" fontId="153" numFmtId="0" xfId="0" applyAlignment="1" applyBorder="1" applyFont="1">
      <alignment horizontal="center" vertical="center"/>
    </xf>
    <xf borderId="1506" fillId="111" fontId="102" numFmtId="0" xfId="0" applyAlignment="1" applyBorder="1" applyFont="1">
      <alignment horizontal="right" vertical="center"/>
    </xf>
    <xf borderId="1506" fillId="111" fontId="160" numFmtId="0" xfId="0" applyAlignment="1" applyBorder="1" applyFont="1">
      <alignment horizontal="center" vertical="center"/>
    </xf>
    <xf borderId="1497" fillId="111" fontId="160" numFmtId="0" xfId="0" applyAlignment="1" applyBorder="1" applyFont="1">
      <alignment horizontal="center" vertical="top"/>
    </xf>
    <xf borderId="1506" fillId="111" fontId="160" numFmtId="0" xfId="0" applyAlignment="1" applyBorder="1" applyFont="1">
      <alignment horizontal="center" vertical="top"/>
    </xf>
    <xf borderId="1506" fillId="111" fontId="161" numFmtId="0" xfId="0" applyAlignment="1" applyBorder="1" applyFont="1">
      <alignment horizontal="center" vertical="center"/>
    </xf>
    <xf borderId="1488" fillId="111" fontId="153" numFmtId="0" xfId="0" applyAlignment="1" applyBorder="1" applyFont="1">
      <alignment horizontal="center" vertical="center"/>
    </xf>
    <xf borderId="185" fillId="12" fontId="153" numFmtId="0" xfId="0" applyAlignment="1" applyBorder="1" applyFont="1">
      <alignment horizontal="center" vertical="center"/>
    </xf>
    <xf borderId="206" fillId="12" fontId="157" numFmtId="0" xfId="0" applyAlignment="1" applyBorder="1" applyFont="1">
      <alignment horizontal="center" readingOrder="0" vertical="center"/>
    </xf>
    <xf borderId="1496" fillId="111" fontId="162" numFmtId="0" xfId="0" applyAlignment="1" applyBorder="1" applyFont="1">
      <alignment horizontal="center" vertical="center"/>
    </xf>
    <xf borderId="1486" fillId="111" fontId="140" numFmtId="0" xfId="0" applyAlignment="1" applyBorder="1" applyFont="1">
      <alignment horizontal="center" vertical="center"/>
    </xf>
    <xf borderId="378" fillId="23" fontId="115" numFmtId="0" xfId="0" applyAlignment="1" applyBorder="1" applyFont="1">
      <alignment horizontal="center" readingOrder="0" vertical="top"/>
    </xf>
    <xf borderId="1486" fillId="111" fontId="116" numFmtId="0" xfId="0" applyAlignment="1" applyBorder="1" applyFont="1">
      <alignment horizontal="center" vertical="center"/>
    </xf>
    <xf borderId="1483" fillId="111" fontId="116" numFmtId="0" xfId="0" applyAlignment="1" applyBorder="1" applyFont="1">
      <alignment horizontal="center" vertical="center"/>
    </xf>
    <xf borderId="1483" fillId="111" fontId="139" numFmtId="0" xfId="0" applyAlignment="1" applyBorder="1" applyFont="1">
      <alignment horizontal="center" vertical="top"/>
    </xf>
    <xf borderId="1483" fillId="111" fontId="162" numFmtId="0" xfId="0" applyAlignment="1" applyBorder="1" applyFont="1">
      <alignment horizontal="center" vertical="center"/>
    </xf>
    <xf borderId="1487" fillId="111" fontId="162" numFmtId="0" xfId="0" applyAlignment="1" applyBorder="1" applyFont="1">
      <alignment horizontal="center" vertical="center"/>
    </xf>
    <xf borderId="1506" fillId="111" fontId="162" numFmtId="0" xfId="0" applyAlignment="1" applyBorder="1" applyFont="1">
      <alignment horizontal="center" vertical="center"/>
    </xf>
    <xf borderId="1488" fillId="111" fontId="162" numFmtId="0" xfId="0" applyAlignment="1" applyBorder="1" applyFont="1">
      <alignment horizontal="center" vertical="center"/>
    </xf>
    <xf borderId="1523" fillId="23" fontId="115" numFmtId="0" xfId="0" applyAlignment="1" applyBorder="1" applyFont="1">
      <alignment horizontal="center" readingOrder="0" vertical="center"/>
    </xf>
    <xf borderId="1524" fillId="23" fontId="115" numFmtId="0" xfId="0" applyAlignment="1" applyBorder="1" applyFont="1">
      <alignment horizontal="center" readingOrder="0" vertical="center"/>
    </xf>
    <xf borderId="1525" fillId="23" fontId="115" numFmtId="0" xfId="0" applyAlignment="1" applyBorder="1" applyFont="1">
      <alignment horizontal="left" readingOrder="0" vertical="center"/>
    </xf>
    <xf borderId="1526" fillId="0" fontId="5" numFmtId="0" xfId="0" applyBorder="1" applyFont="1"/>
    <xf borderId="1487" fillId="111" fontId="139" numFmtId="0" xfId="0" applyAlignment="1" applyBorder="1" applyFont="1">
      <alignment horizontal="center" vertical="center"/>
    </xf>
    <xf borderId="1527" fillId="23" fontId="115" numFmtId="0" xfId="0" applyAlignment="1" applyBorder="1" applyFont="1">
      <alignment horizontal="center" readingOrder="0" vertical="center"/>
    </xf>
    <xf borderId="1528" fillId="23" fontId="115" numFmtId="0" xfId="0" applyAlignment="1" applyBorder="1" applyFont="1">
      <alignment horizontal="center" readingOrder="0" vertical="center"/>
    </xf>
    <xf borderId="1529" fillId="23" fontId="115" numFmtId="0" xfId="0" applyAlignment="1" applyBorder="1" applyFont="1">
      <alignment horizontal="left" readingOrder="0" vertical="center"/>
    </xf>
    <xf borderId="1530" fillId="0" fontId="5" numFmtId="0" xfId="0" applyBorder="1" applyFont="1"/>
    <xf borderId="1531" fillId="23" fontId="115" numFmtId="0" xfId="0" applyAlignment="1" applyBorder="1" applyFont="1">
      <alignment horizontal="center" readingOrder="0" vertical="center"/>
    </xf>
    <xf borderId="1532" fillId="23" fontId="115" numFmtId="0" xfId="0" applyAlignment="1" applyBorder="1" applyFont="1">
      <alignment horizontal="center" readingOrder="0" vertical="center"/>
    </xf>
    <xf borderId="1533" fillId="23" fontId="115" numFmtId="0" xfId="0" applyAlignment="1" applyBorder="1" applyFont="1">
      <alignment horizontal="left" readingOrder="0" vertical="center"/>
    </xf>
    <xf borderId="1534" fillId="0" fontId="5" numFmtId="0" xfId="0" applyBorder="1" applyFont="1"/>
    <xf borderId="395" fillId="23" fontId="115" numFmtId="0" xfId="0" applyAlignment="1" applyBorder="1" applyFont="1">
      <alignment horizontal="right" readingOrder="0" vertical="center"/>
    </xf>
    <xf borderId="1535" fillId="111" fontId="139" numFmtId="0" xfId="0" applyAlignment="1" applyBorder="1" applyFont="1">
      <alignment horizontal="center" vertical="center"/>
    </xf>
    <xf borderId="1486" fillId="111" fontId="162" numFmtId="0" xfId="0" applyAlignment="1" applyBorder="1" applyFont="1">
      <alignment horizontal="center" vertical="center"/>
    </xf>
    <xf borderId="1536" fillId="111" fontId="154" numFmtId="0" xfId="0" applyAlignment="1" applyBorder="1" applyFont="1">
      <alignment horizontal="center" vertical="center"/>
    </xf>
    <xf borderId="1537" fillId="111" fontId="104" numFmtId="0" xfId="0" applyAlignment="1" applyBorder="1" applyFont="1">
      <alignment horizontal="right" vertical="center"/>
    </xf>
    <xf borderId="1537" fillId="111" fontId="154" numFmtId="0" xfId="0" applyAlignment="1" applyBorder="1" applyFont="1">
      <alignment horizontal="center" vertical="center"/>
    </xf>
    <xf borderId="1538" fillId="111" fontId="154" numFmtId="0" xfId="0" applyAlignment="1" applyBorder="1" applyFont="1">
      <alignment horizontal="center" readingOrder="0" vertical="center"/>
    </xf>
    <xf borderId="1538" fillId="111" fontId="154" numFmtId="0" xfId="0" applyAlignment="1" applyBorder="1" applyFont="1">
      <alignment horizontal="center" vertical="center"/>
    </xf>
    <xf borderId="1539" fillId="111" fontId="154" numFmtId="0" xfId="0" applyAlignment="1" applyBorder="1" applyFont="1">
      <alignment horizontal="center" vertical="center"/>
    </xf>
    <xf borderId="1540" fillId="112" fontId="154" numFmtId="0" xfId="0" applyAlignment="1" applyBorder="1" applyFill="1" applyFont="1">
      <alignment horizontal="center" vertical="center"/>
    </xf>
    <xf borderId="1541" fillId="112" fontId="102" numFmtId="0" xfId="0" applyAlignment="1" applyBorder="1" applyFont="1">
      <alignment horizontal="right" readingOrder="0" vertical="center"/>
    </xf>
    <xf borderId="1542" fillId="112" fontId="33" numFmtId="0" xfId="0" applyAlignment="1" applyBorder="1" applyFont="1">
      <alignment horizontal="center" readingOrder="0" vertical="center"/>
    </xf>
    <xf borderId="1541" fillId="112" fontId="33" numFmtId="0" xfId="0" applyAlignment="1" applyBorder="1" applyFont="1">
      <alignment horizontal="center" readingOrder="0" vertical="center"/>
    </xf>
    <xf borderId="1543" fillId="112" fontId="154" numFmtId="0" xfId="0" applyAlignment="1" applyBorder="1" applyFont="1">
      <alignment horizontal="center" vertical="center"/>
    </xf>
    <xf borderId="1544" fillId="112" fontId="154" numFmtId="0" xfId="0" applyAlignment="1" applyBorder="1" applyFont="1">
      <alignment horizontal="center" vertical="center"/>
    </xf>
    <xf borderId="339" fillId="27" fontId="104" numFmtId="0" xfId="0" applyAlignment="1" applyBorder="1" applyFont="1">
      <alignment horizontal="right" vertical="center"/>
    </xf>
    <xf borderId="1545" fillId="112" fontId="156" numFmtId="0" xfId="0" applyAlignment="1" applyBorder="1" applyFont="1">
      <alignment horizontal="center" vertical="center"/>
    </xf>
    <xf borderId="1066" fillId="27" fontId="156" numFmtId="0" xfId="0" applyAlignment="1" applyBorder="1" applyFont="1">
      <alignment horizontal="center" vertical="center"/>
    </xf>
    <xf borderId="1546" fillId="112" fontId="154" numFmtId="0" xfId="0" applyAlignment="1" applyBorder="1" applyFont="1">
      <alignment horizontal="center" vertical="center"/>
    </xf>
    <xf borderId="1547" fillId="112" fontId="154" numFmtId="0" xfId="0" applyAlignment="1" applyBorder="1" applyFont="1">
      <alignment horizontal="center" vertical="center"/>
    </xf>
    <xf borderId="1545" fillId="0" fontId="5" numFmtId="0" xfId="0" applyBorder="1" applyFont="1"/>
    <xf borderId="1548" fillId="0" fontId="5" numFmtId="0" xfId="0" applyBorder="1" applyFont="1"/>
    <xf borderId="1549" fillId="112" fontId="154" numFmtId="0" xfId="0" applyAlignment="1" applyBorder="1" applyFont="1">
      <alignment horizontal="center" vertical="center"/>
    </xf>
    <xf borderId="1550" fillId="112" fontId="154" numFmtId="0" xfId="0" applyAlignment="1" applyBorder="1" applyFont="1">
      <alignment horizontal="center" vertical="center"/>
    </xf>
    <xf borderId="1544" fillId="112" fontId="132" numFmtId="0" xfId="0" applyAlignment="1" applyBorder="1" applyFont="1">
      <alignment horizontal="center" vertical="center"/>
    </xf>
    <xf borderId="345" fillId="112" fontId="104" numFmtId="0" xfId="0" applyAlignment="1" applyBorder="1" applyFont="1">
      <alignment horizontal="right" readingOrder="0" vertical="center"/>
    </xf>
    <xf borderId="1545" fillId="112" fontId="132" numFmtId="0" xfId="0" applyAlignment="1" applyBorder="1" applyFont="1">
      <alignment horizontal="center" readingOrder="0" vertical="center"/>
    </xf>
    <xf borderId="1551" fillId="112" fontId="130" numFmtId="0" xfId="0" applyAlignment="1" applyBorder="1" applyFont="1">
      <alignment horizontal="center" readingOrder="0" vertical="center"/>
    </xf>
    <xf borderId="1552" fillId="0" fontId="5" numFmtId="0" xfId="0" applyBorder="1" applyFont="1"/>
    <xf borderId="1553" fillId="0" fontId="5" numFmtId="0" xfId="0" applyBorder="1" applyFont="1"/>
    <xf borderId="1554" fillId="0" fontId="5" numFmtId="0" xfId="0" applyBorder="1" applyFont="1"/>
    <xf borderId="1547" fillId="112" fontId="132" numFmtId="0" xfId="0" applyAlignment="1" applyBorder="1" applyFont="1">
      <alignment horizontal="center" vertical="center"/>
    </xf>
    <xf borderId="1541" fillId="0" fontId="5" numFmtId="0" xfId="0" applyBorder="1" applyFont="1"/>
    <xf borderId="1550" fillId="112" fontId="132" numFmtId="0" xfId="0" applyAlignment="1" applyBorder="1" applyFont="1">
      <alignment horizontal="center" vertical="center"/>
    </xf>
    <xf borderId="1544" fillId="112" fontId="158" numFmtId="0" xfId="0" applyAlignment="1" applyBorder="1" applyFont="1">
      <alignment horizontal="center" vertical="center"/>
    </xf>
    <xf borderId="1545" fillId="112" fontId="158" numFmtId="0" xfId="0" applyAlignment="1" applyBorder="1" applyFont="1">
      <alignment horizontal="center" readingOrder="0" vertical="center"/>
    </xf>
    <xf borderId="1555" fillId="112" fontId="146" numFmtId="0" xfId="0" applyAlignment="1" applyBorder="1" applyFont="1">
      <alignment horizontal="center" readingOrder="0" vertical="top"/>
    </xf>
    <xf borderId="1556" fillId="0" fontId="5" numFmtId="0" xfId="0" applyBorder="1" applyFont="1"/>
    <xf borderId="1557" fillId="0" fontId="5" numFmtId="0" xfId="0" applyBorder="1" applyFont="1"/>
    <xf borderId="1547" fillId="112" fontId="158" numFmtId="0" xfId="0" applyAlignment="1" applyBorder="1" applyFont="1">
      <alignment horizontal="center" vertical="center"/>
    </xf>
    <xf borderId="1550" fillId="112" fontId="158" numFmtId="0" xfId="0" applyAlignment="1" applyBorder="1" applyFont="1">
      <alignment horizontal="center" vertical="center"/>
    </xf>
    <xf borderId="1558" fillId="112" fontId="154" numFmtId="0" xfId="0" applyAlignment="1" applyBorder="1" applyFont="1">
      <alignment horizontal="center" vertical="center"/>
    </xf>
    <xf borderId="1541" fillId="112" fontId="104" numFmtId="0" xfId="0" applyAlignment="1" applyBorder="1" applyFont="1">
      <alignment horizontal="right" vertical="center"/>
    </xf>
    <xf borderId="1559" fillId="112" fontId="132" numFmtId="0" xfId="0" applyAlignment="1" applyBorder="1" applyFont="1">
      <alignment horizontal="center" vertical="center"/>
    </xf>
    <xf borderId="1560" fillId="112" fontId="132" numFmtId="0" xfId="0" applyAlignment="1" applyBorder="1" applyFont="1">
      <alignment horizontal="center" vertical="top"/>
    </xf>
    <xf borderId="1561" fillId="0" fontId="5" numFmtId="0" xfId="0" applyBorder="1" applyFont="1"/>
    <xf borderId="1562" fillId="112" fontId="132" numFmtId="0" xfId="0" applyAlignment="1" applyBorder="1" applyFont="1">
      <alignment horizontal="center" vertical="top"/>
    </xf>
    <xf borderId="1563" fillId="112" fontId="132" numFmtId="0" xfId="0" applyAlignment="1" applyBorder="1" applyFont="1">
      <alignment horizontal="right" vertical="top"/>
    </xf>
    <xf borderId="1563" fillId="112" fontId="132" numFmtId="0" xfId="0" applyAlignment="1" applyBorder="1" applyFont="1">
      <alignment horizontal="left" vertical="top"/>
    </xf>
    <xf borderId="1564" fillId="112" fontId="132" numFmtId="0" xfId="0" applyAlignment="1" applyBorder="1" applyFont="1">
      <alignment horizontal="center" vertical="center"/>
    </xf>
    <xf borderId="1565" fillId="112" fontId="132" numFmtId="0" xfId="0" applyAlignment="1" applyBorder="1" applyFont="1">
      <alignment horizontal="center" vertical="top"/>
    </xf>
    <xf borderId="1566" fillId="112" fontId="132" numFmtId="0" xfId="0" applyAlignment="1" applyBorder="1" applyFont="1">
      <alignment horizontal="center" vertical="top"/>
    </xf>
    <xf borderId="1567" fillId="112" fontId="154" numFmtId="0" xfId="0" applyAlignment="1" applyBorder="1" applyFont="1">
      <alignment horizontal="center" vertical="center"/>
    </xf>
    <xf borderId="1542" fillId="0" fontId="5" numFmtId="0" xfId="0" applyBorder="1" applyFont="1"/>
    <xf borderId="1568" fillId="112" fontId="132" numFmtId="0" xfId="0" applyAlignment="1" applyBorder="1" applyFont="1">
      <alignment horizontal="center" readingOrder="0" vertical="center"/>
    </xf>
    <xf borderId="1569" fillId="0" fontId="5" numFmtId="0" xfId="0" applyBorder="1" applyFont="1"/>
    <xf borderId="1570" fillId="0" fontId="5" numFmtId="0" xfId="0" applyBorder="1" applyFont="1"/>
    <xf borderId="1545" fillId="112" fontId="132" numFmtId="0" xfId="0" applyAlignment="1" applyBorder="1" applyFont="1">
      <alignment horizontal="center" vertical="center"/>
    </xf>
    <xf borderId="1549" fillId="112" fontId="104" numFmtId="0" xfId="0" applyAlignment="1" applyBorder="1" applyFont="1">
      <alignment horizontal="right" vertical="center"/>
    </xf>
    <xf borderId="1571" fillId="112" fontId="132" numFmtId="0" xfId="0" applyAlignment="1" applyBorder="1" applyFont="1">
      <alignment horizontal="center" readingOrder="0" vertical="center"/>
    </xf>
    <xf borderId="1572" fillId="0" fontId="5" numFmtId="0" xfId="0" applyBorder="1" applyFont="1"/>
    <xf borderId="1573" fillId="112" fontId="132" numFmtId="0" xfId="0" applyAlignment="1" applyBorder="1" applyFont="1">
      <alignment horizontal="center" readingOrder="0" vertical="center"/>
    </xf>
    <xf borderId="1574" fillId="0" fontId="5" numFmtId="0" xfId="0" applyBorder="1" applyFont="1"/>
    <xf borderId="1546" fillId="0" fontId="5" numFmtId="0" xfId="0" applyBorder="1" applyFont="1"/>
    <xf borderId="1575" fillId="112" fontId="132" numFmtId="0" xfId="0" applyAlignment="1" applyBorder="1" applyFont="1">
      <alignment horizontal="center" readingOrder="0" vertical="center"/>
    </xf>
    <xf borderId="1576" fillId="0" fontId="5" numFmtId="0" xfId="0" applyBorder="1" applyFont="1"/>
    <xf borderId="1570" fillId="112" fontId="132" numFmtId="0" xfId="0" applyAlignment="1" applyBorder="1" applyFont="1">
      <alignment horizontal="center" readingOrder="0" vertical="center"/>
    </xf>
    <xf borderId="1567" fillId="112" fontId="104" numFmtId="0" xfId="0" applyAlignment="1" applyBorder="1" applyFont="1">
      <alignment horizontal="right" vertical="center"/>
    </xf>
    <xf borderId="1572" fillId="112" fontId="132" numFmtId="0" xfId="0" applyAlignment="1" applyBorder="1" applyFont="1">
      <alignment horizontal="center" readingOrder="0" vertical="center"/>
    </xf>
    <xf borderId="1577" fillId="112" fontId="132" numFmtId="0" xfId="0" applyAlignment="1" applyBorder="1" applyFont="1">
      <alignment horizontal="center" readingOrder="0" vertical="center"/>
    </xf>
    <xf borderId="1578" fillId="0" fontId="5" numFmtId="0" xfId="0" applyBorder="1" applyFont="1"/>
    <xf borderId="1579" fillId="0" fontId="5" numFmtId="0" xfId="0" applyBorder="1" applyFont="1"/>
    <xf borderId="1580" fillId="112" fontId="132" numFmtId="0" xfId="0" applyAlignment="1" applyBorder="1" applyFont="1">
      <alignment horizontal="center" readingOrder="0" vertical="center"/>
    </xf>
    <xf borderId="1580" fillId="0" fontId="5" numFmtId="0" xfId="0" applyBorder="1" applyFont="1"/>
    <xf borderId="1581" fillId="0" fontId="5" numFmtId="0" xfId="0" applyBorder="1" applyFont="1"/>
    <xf borderId="1558" fillId="112" fontId="153" numFmtId="0" xfId="0" applyAlignment="1" applyBorder="1" applyFont="1">
      <alignment horizontal="center" vertical="center"/>
    </xf>
    <xf borderId="1567" fillId="112" fontId="102" numFmtId="0" xfId="0" applyAlignment="1" applyBorder="1" applyFont="1">
      <alignment horizontal="right" vertical="center"/>
    </xf>
    <xf borderId="1567" fillId="112" fontId="160" numFmtId="0" xfId="0" applyAlignment="1" applyBorder="1" applyFont="1">
      <alignment horizontal="center" vertical="center"/>
    </xf>
    <xf borderId="1541" fillId="112" fontId="160" numFmtId="0" xfId="0" applyAlignment="1" applyBorder="1" applyFont="1">
      <alignment horizontal="center" vertical="top"/>
    </xf>
    <xf borderId="1582" fillId="112" fontId="160" numFmtId="0" xfId="0" applyAlignment="1" applyBorder="1" applyFont="1">
      <alignment horizontal="center" vertical="top"/>
    </xf>
    <xf borderId="1567" fillId="112" fontId="143" numFmtId="0" xfId="0" applyAlignment="1" applyBorder="1" applyFont="1">
      <alignment horizontal="center" vertical="center"/>
    </xf>
    <xf borderId="1567" fillId="112" fontId="161" numFmtId="0" xfId="0" applyAlignment="1" applyBorder="1" applyFont="1">
      <alignment horizontal="center" vertical="center"/>
    </xf>
    <xf borderId="1550" fillId="112" fontId="153" numFmtId="0" xfId="0" applyAlignment="1" applyBorder="1" applyFont="1">
      <alignment horizontal="center" vertical="center"/>
    </xf>
    <xf borderId="1558" fillId="112" fontId="162" numFmtId="0" xfId="0" applyAlignment="1" applyBorder="1" applyFont="1">
      <alignment horizontal="center" vertical="center"/>
    </xf>
    <xf borderId="1547" fillId="112" fontId="140" numFmtId="0" xfId="0" applyAlignment="1" applyBorder="1" applyFont="1">
      <alignment horizontal="center" vertical="center"/>
    </xf>
    <xf borderId="378" fillId="27" fontId="115" numFmtId="0" xfId="0" applyAlignment="1" applyBorder="1" applyFont="1">
      <alignment horizontal="center" readingOrder="0" vertical="top"/>
    </xf>
    <xf borderId="1547" fillId="112" fontId="116" numFmtId="0" xfId="0" applyAlignment="1" applyBorder="1" applyFont="1">
      <alignment horizontal="center" vertical="center"/>
    </xf>
    <xf borderId="1583" fillId="112" fontId="162" numFmtId="0" xfId="0" applyAlignment="1" applyBorder="1" applyFont="1">
      <alignment horizontal="center" vertical="center"/>
    </xf>
    <xf borderId="1567" fillId="112" fontId="162" numFmtId="0" xfId="0" applyAlignment="1" applyBorder="1" applyFont="1">
      <alignment horizontal="center" vertical="center"/>
    </xf>
    <xf borderId="1567" fillId="112" fontId="140" numFmtId="0" xfId="0" applyAlignment="1" applyBorder="1" applyFont="1">
      <alignment horizontal="center" vertical="center"/>
    </xf>
    <xf borderId="1550" fillId="112" fontId="162" numFmtId="0" xfId="0" applyAlignment="1" applyBorder="1" applyFont="1">
      <alignment horizontal="center" vertical="center"/>
    </xf>
    <xf borderId="1584" fillId="27" fontId="115" numFmtId="0" xfId="0" applyAlignment="1" applyBorder="1" applyFont="1">
      <alignment horizontal="center" readingOrder="0" vertical="center"/>
    </xf>
    <xf borderId="1585" fillId="27" fontId="115" numFmtId="0" xfId="0" applyAlignment="1" applyBorder="1" applyFont="1">
      <alignment horizontal="center" readingOrder="0" vertical="center"/>
    </xf>
    <xf borderId="1586" fillId="27" fontId="115" numFmtId="0" xfId="0" applyAlignment="1" applyBorder="1" applyFont="1">
      <alignment horizontal="left" readingOrder="0" vertical="center"/>
    </xf>
    <xf borderId="1587" fillId="0" fontId="5" numFmtId="0" xfId="0" applyBorder="1" applyFont="1"/>
    <xf borderId="1588" fillId="27" fontId="115" numFmtId="0" xfId="0" applyAlignment="1" applyBorder="1" applyFont="1">
      <alignment horizontal="center" readingOrder="0" vertical="center"/>
    </xf>
    <xf borderId="1589" fillId="27" fontId="115" numFmtId="0" xfId="0" applyAlignment="1" applyBorder="1" applyFont="1">
      <alignment horizontal="center" readingOrder="0" vertical="center"/>
    </xf>
    <xf borderId="1590" fillId="27" fontId="115" numFmtId="0" xfId="0" applyAlignment="1" applyBorder="1" applyFont="1">
      <alignment horizontal="left" readingOrder="0" vertical="center"/>
    </xf>
    <xf borderId="1591" fillId="0" fontId="5" numFmtId="0" xfId="0" applyBorder="1" applyFont="1"/>
    <xf borderId="1592" fillId="27" fontId="115" numFmtId="0" xfId="0" applyAlignment="1" applyBorder="1" applyFont="1">
      <alignment horizontal="center" readingOrder="0" vertical="center"/>
    </xf>
    <xf borderId="1593" fillId="27" fontId="115" numFmtId="0" xfId="0" applyAlignment="1" applyBorder="1" applyFont="1">
      <alignment horizontal="center" readingOrder="0" vertical="center"/>
    </xf>
    <xf borderId="1594" fillId="27" fontId="115" numFmtId="0" xfId="0" applyAlignment="1" applyBorder="1" applyFont="1">
      <alignment horizontal="left" readingOrder="0" vertical="center"/>
    </xf>
    <xf borderId="1595" fillId="0" fontId="5" numFmtId="0" xfId="0" applyBorder="1" applyFont="1"/>
    <xf borderId="395" fillId="27" fontId="115" numFmtId="0" xfId="0" applyAlignment="1" applyBorder="1" applyFont="1">
      <alignment horizontal="right" readingOrder="0" vertical="center"/>
    </xf>
    <xf borderId="1596" fillId="112" fontId="154" numFmtId="0" xfId="0" applyAlignment="1" applyBorder="1" applyFont="1">
      <alignment horizontal="center" vertical="center"/>
    </xf>
    <xf borderId="1597" fillId="112" fontId="102" numFmtId="0" xfId="0" applyAlignment="1" applyBorder="1" applyFont="1">
      <alignment horizontal="right" readingOrder="0" vertical="center"/>
    </xf>
    <xf borderId="1597" fillId="112" fontId="33" numFmtId="0" xfId="0" applyAlignment="1" applyBorder="1" applyFont="1">
      <alignment horizontal="center" readingOrder="0" vertical="center"/>
    </xf>
    <xf borderId="1598" fillId="112" fontId="33" numFmtId="0" xfId="0" applyAlignment="1" applyBorder="1" applyFont="1">
      <alignment horizontal="center" readingOrder="0" vertical="center"/>
    </xf>
    <xf borderId="1599" fillId="112" fontId="154" numFmtId="0" xfId="0" applyAlignment="1" applyBorder="1" applyFont="1">
      <alignment horizontal="center" vertical="center"/>
    </xf>
    <xf borderId="1545" fillId="112" fontId="131" numFmtId="0" xfId="0" applyAlignment="1" applyBorder="1" applyFont="1">
      <alignment horizontal="center" vertical="center"/>
    </xf>
    <xf borderId="1600" fillId="112" fontId="154" numFmtId="0" xfId="0" applyAlignment="1" applyBorder="1" applyFont="1">
      <alignment horizontal="center" vertical="center"/>
    </xf>
    <xf borderId="1601" fillId="112" fontId="181" numFmtId="0" xfId="0" applyAlignment="1" applyBorder="1" applyFont="1">
      <alignment horizontal="left" readingOrder="0" vertical="center"/>
    </xf>
    <xf borderId="1602" fillId="112" fontId="132" numFmtId="0" xfId="0" applyAlignment="1" applyBorder="1" applyFont="1">
      <alignment horizontal="center" readingOrder="0" vertical="center"/>
    </xf>
    <xf borderId="1603" fillId="0" fontId="5" numFmtId="0" xfId="0" applyBorder="1" applyFont="1"/>
    <xf borderId="1604" fillId="112" fontId="132" numFmtId="0" xfId="0" applyAlignment="1" applyBorder="1" applyFont="1">
      <alignment horizontal="center" vertical="center"/>
    </xf>
    <xf borderId="625" fillId="112" fontId="132" numFmtId="0" xfId="0" applyAlignment="1" applyBorder="1" applyFont="1">
      <alignment horizontal="center" vertical="center"/>
    </xf>
    <xf borderId="1605" fillId="0" fontId="5" numFmtId="0" xfId="0" applyBorder="1" applyFont="1"/>
    <xf borderId="628" fillId="112" fontId="132" numFmtId="0" xfId="0" applyAlignment="1" applyBorder="1" applyFont="1">
      <alignment horizontal="center" vertical="center"/>
    </xf>
    <xf borderId="1568" fillId="112" fontId="132" numFmtId="0" xfId="0" applyAlignment="1" applyBorder="1" applyFont="1">
      <alignment horizontal="center" vertical="center"/>
    </xf>
    <xf borderId="1570" fillId="112" fontId="132" numFmtId="0" xfId="0" applyAlignment="1" applyBorder="1" applyFont="1">
      <alignment horizontal="center" vertical="center"/>
    </xf>
    <xf borderId="1602" fillId="112" fontId="132" numFmtId="0" xfId="0" applyAlignment="1" applyBorder="1" applyFont="1">
      <alignment horizontal="center" vertical="center"/>
    </xf>
    <xf borderId="1606" fillId="112" fontId="132" numFmtId="0" xfId="0" applyAlignment="1" applyBorder="1" applyFont="1">
      <alignment horizontal="center" vertical="center"/>
    </xf>
    <xf borderId="1607" fillId="112" fontId="132" numFmtId="0" xfId="0" applyAlignment="1" applyBorder="1" applyFont="1">
      <alignment horizontal="center" vertical="center"/>
    </xf>
    <xf borderId="1608" fillId="112" fontId="162" numFmtId="0" xfId="0" applyAlignment="1" applyBorder="1" applyFont="1">
      <alignment horizontal="center" vertical="center"/>
    </xf>
    <xf borderId="1601" fillId="112" fontId="140" numFmtId="0" xfId="0" applyAlignment="1" applyBorder="1" applyFont="1">
      <alignment horizontal="center" vertical="center"/>
    </xf>
    <xf borderId="1601" fillId="112" fontId="116" numFmtId="0" xfId="0" applyAlignment="1" applyBorder="1" applyFont="1">
      <alignment horizontal="center" vertical="center"/>
    </xf>
    <xf borderId="1546" fillId="112" fontId="162" numFmtId="0" xfId="0" applyAlignment="1" applyBorder="1" applyFont="1">
      <alignment horizontal="center" vertical="center"/>
    </xf>
    <xf borderId="1549" fillId="112" fontId="162" numFmtId="0" xfId="0" applyAlignment="1" applyBorder="1" applyFont="1">
      <alignment horizontal="center" vertical="center"/>
    </xf>
    <xf borderId="1549" fillId="112" fontId="140" numFmtId="0" xfId="0" applyAlignment="1" applyBorder="1" applyFont="1">
      <alignment horizontal="center" vertical="center"/>
    </xf>
    <xf borderId="1609" fillId="112" fontId="162" numFmtId="0" xfId="0" applyAlignment="1" applyBorder="1" applyFont="1">
      <alignment horizontal="center" vertical="center"/>
    </xf>
    <xf borderId="1610" fillId="113" fontId="154" numFmtId="0" xfId="0" applyAlignment="1" applyBorder="1" applyFill="1" applyFont="1">
      <alignment horizontal="center" vertical="center"/>
    </xf>
    <xf borderId="1611" fillId="113" fontId="102" numFmtId="0" xfId="0" applyAlignment="1" applyBorder="1" applyFont="1">
      <alignment horizontal="right" readingOrder="0" vertical="center"/>
    </xf>
    <xf borderId="1612" fillId="113" fontId="33" numFmtId="0" xfId="0" applyAlignment="1" applyBorder="1" applyFont="1">
      <alignment horizontal="center" readingOrder="0" vertical="center"/>
    </xf>
    <xf borderId="1611" fillId="113" fontId="33" numFmtId="0" xfId="0" applyAlignment="1" applyBorder="1" applyFont="1">
      <alignment horizontal="center" readingOrder="0" vertical="center"/>
    </xf>
    <xf borderId="1613" fillId="113" fontId="154" numFmtId="0" xfId="0" applyAlignment="1" applyBorder="1" applyFont="1">
      <alignment horizontal="center" vertical="center"/>
    </xf>
    <xf borderId="1614" fillId="113" fontId="154" numFmtId="0" xfId="0" applyAlignment="1" applyBorder="1" applyFont="1">
      <alignment horizontal="center" vertical="center"/>
    </xf>
    <xf borderId="339" fillId="114" fontId="104" numFmtId="0" xfId="0" applyAlignment="1" applyBorder="1" applyFill="1" applyFont="1">
      <alignment horizontal="right" vertical="center"/>
    </xf>
    <xf borderId="1615" fillId="113" fontId="156" numFmtId="0" xfId="0" applyAlignment="1" applyBorder="1" applyFont="1">
      <alignment horizontal="center" vertical="center"/>
    </xf>
    <xf borderId="1066" fillId="114" fontId="131" numFmtId="0" xfId="0" applyAlignment="1" applyBorder="1" applyFont="1">
      <alignment horizontal="center" vertical="center"/>
    </xf>
    <xf borderId="1615" fillId="113" fontId="131" numFmtId="0" xfId="0" applyAlignment="1" applyBorder="1" applyFont="1">
      <alignment horizontal="center" vertical="center"/>
    </xf>
    <xf borderId="1616" fillId="113" fontId="154" numFmtId="0" xfId="0" applyAlignment="1" applyBorder="1" applyFont="1">
      <alignment horizontal="center" vertical="center"/>
    </xf>
    <xf borderId="1614" fillId="113" fontId="132" numFmtId="0" xfId="0" applyAlignment="1" applyBorder="1" applyFont="1">
      <alignment horizontal="center" vertical="center"/>
    </xf>
    <xf borderId="345" fillId="113" fontId="104" numFmtId="0" xfId="0" applyAlignment="1" applyBorder="1" applyFont="1">
      <alignment horizontal="right" readingOrder="0" vertical="center"/>
    </xf>
    <xf borderId="1615" fillId="113" fontId="132" numFmtId="0" xfId="0" applyAlignment="1" applyBorder="1" applyFont="1">
      <alignment horizontal="center" readingOrder="0" vertical="center"/>
    </xf>
    <xf borderId="1617" fillId="113" fontId="130" numFmtId="0" xfId="0" applyAlignment="1" applyBorder="1" applyFont="1">
      <alignment horizontal="center" readingOrder="0" vertical="center"/>
    </xf>
    <xf borderId="1618" fillId="0" fontId="5" numFmtId="0" xfId="0" applyBorder="1" applyFont="1"/>
    <xf borderId="1619" fillId="0" fontId="5" numFmtId="0" xfId="0" applyBorder="1" applyFont="1"/>
    <xf borderId="1616" fillId="113" fontId="132" numFmtId="0" xfId="0" applyAlignment="1" applyBorder="1" applyFont="1">
      <alignment horizontal="center" vertical="center"/>
    </xf>
    <xf borderId="206" fillId="12" fontId="146" numFmtId="0" xfId="0" applyAlignment="1" applyBorder="1" applyFont="1">
      <alignment horizontal="center" vertical="center"/>
    </xf>
    <xf borderId="1614" fillId="113" fontId="146" numFmtId="0" xfId="0" applyAlignment="1" applyBorder="1" applyFont="1">
      <alignment horizontal="center" vertical="center"/>
    </xf>
    <xf borderId="1615" fillId="113" fontId="146" numFmtId="0" xfId="0" applyAlignment="1" applyBorder="1" applyFont="1">
      <alignment horizontal="center" readingOrder="0" vertical="center"/>
    </xf>
    <xf borderId="1620" fillId="113" fontId="131" numFmtId="0" xfId="0" applyAlignment="1" applyBorder="1" applyFont="1">
      <alignment horizontal="center" readingOrder="0" vertical="top"/>
    </xf>
    <xf borderId="1621" fillId="0" fontId="5" numFmtId="0" xfId="0" applyBorder="1" applyFont="1"/>
    <xf borderId="1622" fillId="0" fontId="5" numFmtId="0" xfId="0" applyBorder="1" applyFont="1"/>
    <xf borderId="1615" fillId="113" fontId="131" numFmtId="0" xfId="0" applyAlignment="1" applyBorder="1" applyFont="1">
      <alignment horizontal="center" readingOrder="0" vertical="center"/>
    </xf>
    <xf borderId="1616" fillId="113" fontId="146" numFmtId="0" xfId="0" applyAlignment="1" applyBorder="1" applyFont="1">
      <alignment horizontal="center" vertical="center"/>
    </xf>
    <xf borderId="185" fillId="12" fontId="146" numFmtId="0" xfId="0" applyAlignment="1" applyBorder="1" applyFont="1">
      <alignment horizontal="center" vertical="center"/>
    </xf>
    <xf borderId="1623" fillId="113" fontId="154" numFmtId="0" xfId="0" applyAlignment="1" applyBorder="1" applyFont="1">
      <alignment horizontal="center" vertical="center"/>
    </xf>
    <xf borderId="1624" fillId="113" fontId="104" numFmtId="0" xfId="0" applyAlignment="1" applyBorder="1" applyFont="1">
      <alignment horizontal="right" vertical="center"/>
    </xf>
    <xf borderId="1625" fillId="113" fontId="154" numFmtId="0" xfId="0" applyAlignment="1" applyBorder="1" applyFont="1">
      <alignment horizontal="center" vertical="center"/>
    </xf>
    <xf borderId="1626" fillId="113" fontId="132" numFmtId="0" xfId="0" applyAlignment="1" applyBorder="1" applyFont="1">
      <alignment horizontal="center" vertical="center"/>
    </xf>
    <xf borderId="1627" fillId="113" fontId="132" numFmtId="0" xfId="0" applyAlignment="1" applyBorder="1" applyFont="1">
      <alignment horizontal="right" vertical="top"/>
    </xf>
    <xf borderId="1627" fillId="113" fontId="132" numFmtId="0" xfId="0" applyAlignment="1" applyBorder="1" applyFont="1">
      <alignment horizontal="left" vertical="top"/>
    </xf>
    <xf borderId="1628" fillId="113" fontId="132" numFmtId="0" xfId="0" applyAlignment="1" applyBorder="1" applyFont="1">
      <alignment horizontal="center" vertical="top"/>
    </xf>
    <xf borderId="1625" fillId="113" fontId="132" numFmtId="0" xfId="0" applyAlignment="1" applyBorder="1" applyFont="1">
      <alignment horizontal="center" vertical="center"/>
    </xf>
    <xf borderId="1629" fillId="113" fontId="132" numFmtId="0" xfId="0" applyAlignment="1" applyBorder="1" applyFont="1">
      <alignment horizontal="center" vertical="top"/>
    </xf>
    <xf borderId="1630" fillId="0" fontId="5" numFmtId="0" xfId="0" applyBorder="1" applyFont="1"/>
    <xf borderId="1624" fillId="0" fontId="5" numFmtId="0" xfId="0" applyBorder="1" applyFont="1"/>
    <xf borderId="1631" fillId="113" fontId="132" numFmtId="0" xfId="0" applyAlignment="1" applyBorder="1" applyFont="1">
      <alignment horizontal="center" vertical="center"/>
    </xf>
    <xf borderId="1632" fillId="113" fontId="132" numFmtId="0" xfId="0" applyAlignment="1" applyBorder="1" applyFont="1">
      <alignment horizontal="center" vertical="top"/>
    </xf>
    <xf borderId="1633" fillId="113" fontId="132" numFmtId="0" xfId="0" applyAlignment="1" applyBorder="1" applyFont="1">
      <alignment horizontal="center" vertical="top"/>
    </xf>
    <xf borderId="1634" fillId="0" fontId="5" numFmtId="0" xfId="0" applyBorder="1" applyFont="1"/>
    <xf borderId="1635" fillId="113" fontId="132" numFmtId="0" xfId="0" applyAlignment="1" applyBorder="1" applyFont="1">
      <alignment horizontal="center" readingOrder="0" vertical="center"/>
    </xf>
    <xf borderId="1636" fillId="0" fontId="5" numFmtId="0" xfId="0" applyBorder="1" applyFont="1"/>
    <xf borderId="1637" fillId="0" fontId="5" numFmtId="0" xfId="0" applyBorder="1" applyFont="1"/>
    <xf borderId="1615" fillId="113" fontId="132" numFmtId="0" xfId="0" applyAlignment="1" applyBorder="1" applyFont="1">
      <alignment horizontal="center" vertical="center"/>
    </xf>
    <xf borderId="1638" fillId="113" fontId="104" numFmtId="0" xfId="0" applyAlignment="1" applyBorder="1" applyFont="1">
      <alignment horizontal="right" vertical="center"/>
    </xf>
    <xf borderId="1639" fillId="113" fontId="132" numFmtId="0" xfId="0" applyAlignment="1" applyBorder="1" applyFont="1">
      <alignment horizontal="center" readingOrder="0" vertical="center"/>
    </xf>
    <xf borderId="1615" fillId="0" fontId="5" numFmtId="0" xfId="0" applyBorder="1" applyFont="1"/>
    <xf borderId="1640" fillId="0" fontId="5" numFmtId="0" xfId="0" applyBorder="1" applyFont="1"/>
    <xf borderId="1641" fillId="113" fontId="132" numFmtId="0" xfId="0" applyAlignment="1" applyBorder="1" applyFont="1">
      <alignment horizontal="center" readingOrder="0" vertical="center"/>
    </xf>
    <xf borderId="1642" fillId="0" fontId="5" numFmtId="0" xfId="0" applyBorder="1" applyFont="1"/>
    <xf borderId="1643" fillId="0" fontId="5" numFmtId="0" xfId="0" applyBorder="1" applyFont="1"/>
    <xf borderId="1644" fillId="113" fontId="132" numFmtId="0" xfId="0" applyAlignment="1" applyBorder="1" applyFont="1">
      <alignment horizontal="center" readingOrder="0" vertical="center"/>
    </xf>
    <xf borderId="1645" fillId="0" fontId="5" numFmtId="0" xfId="0" applyBorder="1" applyFont="1"/>
    <xf borderId="1646" fillId="113" fontId="132" numFmtId="0" xfId="0" applyAlignment="1" applyBorder="1" applyFont="1">
      <alignment horizontal="center" readingOrder="0" vertical="center"/>
    </xf>
    <xf borderId="1647" fillId="113" fontId="104" numFmtId="0" xfId="0" applyAlignment="1" applyBorder="1" applyFont="1">
      <alignment horizontal="right" vertical="center"/>
    </xf>
    <xf borderId="1648" fillId="0" fontId="5" numFmtId="0" xfId="0" applyBorder="1" applyFont="1"/>
    <xf borderId="1649" fillId="113" fontId="132" numFmtId="0" xfId="0" applyAlignment="1" applyBorder="1" applyFont="1">
      <alignment horizontal="center" readingOrder="0" vertical="center"/>
    </xf>
    <xf borderId="1650" fillId="113" fontId="132" numFmtId="0" xfId="0" applyAlignment="1" applyBorder="1" applyFont="1">
      <alignment horizontal="center" readingOrder="0" vertical="center"/>
    </xf>
    <xf borderId="1651" fillId="0" fontId="5" numFmtId="0" xfId="0" applyBorder="1" applyFont="1"/>
    <xf borderId="1652" fillId="0" fontId="5" numFmtId="0" xfId="0" applyBorder="1" applyFont="1"/>
    <xf borderId="1653" fillId="113" fontId="132" numFmtId="0" xfId="0" applyAlignment="1" applyBorder="1" applyFont="1">
      <alignment horizontal="center" readingOrder="0" vertical="center"/>
    </xf>
    <xf borderId="1623" fillId="113" fontId="153" numFmtId="0" xfId="0" applyAlignment="1" applyBorder="1" applyFont="1">
      <alignment horizontal="center" vertical="center"/>
    </xf>
    <xf borderId="1647" fillId="113" fontId="102" numFmtId="0" xfId="0" applyAlignment="1" applyBorder="1" applyFont="1">
      <alignment horizontal="right" vertical="center"/>
    </xf>
    <xf borderId="1647" fillId="113" fontId="160" numFmtId="0" xfId="0" applyAlignment="1" applyBorder="1" applyFont="1">
      <alignment horizontal="center" vertical="center"/>
    </xf>
    <xf borderId="1624" fillId="113" fontId="160" numFmtId="0" xfId="0" applyAlignment="1" applyBorder="1" applyFont="1">
      <alignment horizontal="center" vertical="top"/>
    </xf>
    <xf borderId="1654" fillId="113" fontId="160" numFmtId="0" xfId="0" applyAlignment="1" applyBorder="1" applyFont="1">
      <alignment horizontal="center" vertical="top"/>
    </xf>
    <xf borderId="1624" fillId="113" fontId="160" numFmtId="0" xfId="0" applyAlignment="1" applyBorder="1" applyFont="1">
      <alignment horizontal="center" vertical="center"/>
    </xf>
    <xf borderId="1624" fillId="113" fontId="143" numFmtId="0" xfId="0" applyAlignment="1" applyBorder="1" applyFont="1">
      <alignment horizontal="center" vertical="center"/>
    </xf>
    <xf borderId="1655" fillId="113" fontId="161" numFmtId="0" xfId="0" applyAlignment="1" applyBorder="1" applyFont="1">
      <alignment horizontal="center" vertical="center"/>
    </xf>
    <xf borderId="1624" fillId="113" fontId="161" numFmtId="0" xfId="0" applyAlignment="1" applyBorder="1" applyFont="1">
      <alignment horizontal="center" vertical="center"/>
    </xf>
    <xf borderId="1656" fillId="113" fontId="153" numFmtId="0" xfId="0" applyAlignment="1" applyBorder="1" applyFont="1">
      <alignment horizontal="center" vertical="center"/>
    </xf>
    <xf borderId="1623" fillId="113" fontId="162" numFmtId="0" xfId="0" applyAlignment="1" applyBorder="1" applyFont="1">
      <alignment horizontal="center" vertical="center"/>
    </xf>
    <xf borderId="1625" fillId="113" fontId="140" numFmtId="0" xfId="0" applyAlignment="1" applyBorder="1" applyFont="1">
      <alignment horizontal="center" vertical="center"/>
    </xf>
    <xf borderId="378" fillId="114" fontId="115" numFmtId="0" xfId="0" applyAlignment="1" applyBorder="1" applyFont="1">
      <alignment horizontal="center" readingOrder="0" vertical="top"/>
    </xf>
    <xf borderId="1625" fillId="113" fontId="116" numFmtId="0" xfId="0" applyAlignment="1" applyBorder="1" applyFont="1">
      <alignment horizontal="center" vertical="center"/>
    </xf>
    <xf borderId="1657" fillId="113" fontId="162" numFmtId="0" xfId="0" applyAlignment="1" applyBorder="1" applyFont="1">
      <alignment horizontal="center" vertical="center"/>
    </xf>
    <xf borderId="1658" fillId="114" fontId="115" numFmtId="0" xfId="0" applyAlignment="1" applyBorder="1" applyFont="1">
      <alignment horizontal="center" readingOrder="0" vertical="center"/>
    </xf>
    <xf borderId="1659" fillId="114" fontId="115" numFmtId="0" xfId="0" applyAlignment="1" applyBorder="1" applyFont="1">
      <alignment horizontal="center" readingOrder="0" vertical="center"/>
    </xf>
    <xf borderId="1660" fillId="114" fontId="115" numFmtId="0" xfId="0" applyAlignment="1" applyBorder="1" applyFont="1">
      <alignment horizontal="left" readingOrder="0" vertical="center"/>
    </xf>
    <xf borderId="1661" fillId="0" fontId="5" numFmtId="0" xfId="0" applyBorder="1" applyFont="1"/>
    <xf borderId="1662" fillId="114" fontId="115" numFmtId="0" xfId="0" applyAlignment="1" applyBorder="1" applyFont="1">
      <alignment horizontal="center" readingOrder="0" vertical="center"/>
    </xf>
    <xf borderId="1663" fillId="114" fontId="115" numFmtId="0" xfId="0" applyAlignment="1" applyBorder="1" applyFont="1">
      <alignment horizontal="center" readingOrder="0" vertical="center"/>
    </xf>
    <xf borderId="1664" fillId="114" fontId="115" numFmtId="0" xfId="0" applyAlignment="1" applyBorder="1" applyFont="1">
      <alignment horizontal="left" readingOrder="0" vertical="center"/>
    </xf>
    <xf borderId="1665" fillId="0" fontId="5" numFmtId="0" xfId="0" applyBorder="1" applyFont="1"/>
    <xf borderId="1666" fillId="114" fontId="115" numFmtId="0" xfId="0" applyAlignment="1" applyBorder="1" applyFont="1">
      <alignment horizontal="center" readingOrder="0" vertical="center"/>
    </xf>
    <xf borderId="1667" fillId="114" fontId="115" numFmtId="0" xfId="0" applyAlignment="1" applyBorder="1" applyFont="1">
      <alignment horizontal="center" readingOrder="0" vertical="center"/>
    </xf>
    <xf borderId="1668" fillId="114" fontId="115" numFmtId="0" xfId="0" applyAlignment="1" applyBorder="1" applyFont="1">
      <alignment horizontal="left" readingOrder="0" vertical="center"/>
    </xf>
    <xf borderId="1669" fillId="0" fontId="5" numFmtId="0" xfId="0" applyBorder="1" applyFont="1"/>
    <xf borderId="395" fillId="114" fontId="115" numFmtId="0" xfId="0" applyAlignment="1" applyBorder="1" applyFont="1">
      <alignment horizontal="right" readingOrder="0" vertical="center"/>
    </xf>
    <xf borderId="1670" fillId="113" fontId="154" numFmtId="0" xfId="0" applyAlignment="1" applyBorder="1" applyFont="1">
      <alignment horizontal="center" vertical="center"/>
    </xf>
    <xf borderId="1671" fillId="113" fontId="102" numFmtId="0" xfId="0" applyAlignment="1" applyBorder="1" applyFont="1">
      <alignment horizontal="right" readingOrder="0" vertical="center"/>
    </xf>
    <xf borderId="1671" fillId="113" fontId="103" numFmtId="0" xfId="0" applyAlignment="1" applyBorder="1" applyFont="1">
      <alignment horizontal="center" readingOrder="0" vertical="center"/>
    </xf>
    <xf borderId="1672" fillId="113" fontId="103" numFmtId="0" xfId="0" applyAlignment="1" applyBorder="1" applyFont="1">
      <alignment horizontal="center" readingOrder="0" vertical="center"/>
    </xf>
    <xf borderId="1673" fillId="113" fontId="154" numFmtId="0" xfId="0" applyAlignment="1" applyBorder="1" applyFont="1">
      <alignment horizontal="center" vertical="center"/>
    </xf>
    <xf borderId="1066" fillId="27" fontId="131" numFmtId="0" xfId="0" applyAlignment="1" applyBorder="1" applyFont="1">
      <alignment horizontal="center" vertical="center"/>
    </xf>
    <xf borderId="1574" fillId="112" fontId="154" numFmtId="0" xfId="0" applyAlignment="1" applyBorder="1" applyFont="1">
      <alignment horizontal="center" vertical="center"/>
    </xf>
    <xf borderId="400" fillId="27" fontId="115" numFmtId="0" xfId="0" applyAlignment="1" applyBorder="1" applyFont="1">
      <alignment horizontal="right" readingOrder="0" vertical="center"/>
    </xf>
    <xf borderId="408" fillId="27" fontId="115" numFmtId="0" xfId="0" applyAlignment="1" applyBorder="1" applyFont="1">
      <alignment horizontal="center" readingOrder="0" vertical="center"/>
    </xf>
    <xf borderId="405" fillId="27" fontId="115" numFmtId="0" xfId="0" applyAlignment="1" applyBorder="1" applyFont="1">
      <alignment horizontal="right" readingOrder="0" vertical="center"/>
    </xf>
    <xf borderId="1598" fillId="112" fontId="102" numFmtId="0" xfId="0" applyAlignment="1" applyBorder="1" applyFont="1">
      <alignment horizontal="right" readingOrder="0" vertical="center"/>
    </xf>
    <xf borderId="1674" fillId="115" fontId="154" numFmtId="0" xfId="0" applyAlignment="1" applyBorder="1" applyFill="1" applyFont="1">
      <alignment horizontal="center" vertical="center"/>
    </xf>
    <xf borderId="1675" fillId="115" fontId="102" numFmtId="0" xfId="0" applyAlignment="1" applyBorder="1" applyFont="1">
      <alignment horizontal="right" readingOrder="0" vertical="center"/>
    </xf>
    <xf borderId="1675" fillId="115" fontId="33" numFmtId="0" xfId="0" applyAlignment="1" applyBorder="1" applyFont="1">
      <alignment horizontal="center" readingOrder="0" vertical="center"/>
    </xf>
    <xf borderId="1676" fillId="115" fontId="154" numFmtId="0" xfId="0" applyAlignment="1" applyBorder="1" applyFont="1">
      <alignment horizontal="center" vertical="center"/>
    </xf>
    <xf borderId="1677" fillId="115" fontId="154" numFmtId="0" xfId="0" applyAlignment="1" applyBorder="1" applyFont="1">
      <alignment horizontal="center" vertical="center"/>
    </xf>
    <xf borderId="1678" fillId="115" fontId="104" numFmtId="0" xfId="0" applyAlignment="1" applyBorder="1" applyFont="1">
      <alignment horizontal="right" vertical="center"/>
    </xf>
    <xf borderId="1678" fillId="115" fontId="154" numFmtId="0" xfId="0" applyAlignment="1" applyBorder="1" applyFont="1">
      <alignment horizontal="center" vertical="center"/>
    </xf>
    <xf borderId="1679" fillId="115" fontId="182" numFmtId="0" xfId="0" applyAlignment="1" applyBorder="1" applyFont="1">
      <alignment horizontal="left" readingOrder="0" vertical="center"/>
    </xf>
    <xf borderId="1680" fillId="0" fontId="5" numFmtId="0" xfId="0" applyBorder="1" applyFont="1"/>
    <xf borderId="1681" fillId="0" fontId="5" numFmtId="0" xfId="0" applyBorder="1" applyFont="1"/>
    <xf borderId="1678" fillId="115" fontId="183" numFmtId="0" xfId="0" applyAlignment="1" applyBorder="1" applyFont="1">
      <alignment horizontal="left" readingOrder="0" vertical="center"/>
    </xf>
    <xf borderId="1682" fillId="115" fontId="183" numFmtId="0" xfId="0" applyAlignment="1" applyBorder="1" applyFont="1">
      <alignment horizontal="left" readingOrder="0" vertical="center"/>
    </xf>
    <xf borderId="1683" fillId="115" fontId="154" numFmtId="0" xfId="0" applyAlignment="1" applyBorder="1" applyFont="1">
      <alignment horizontal="center" vertical="center"/>
    </xf>
    <xf borderId="1684" fillId="115" fontId="154" numFmtId="0" xfId="0" applyAlignment="1" applyBorder="1" applyFont="1">
      <alignment horizontal="center" vertical="center"/>
    </xf>
    <xf borderId="339" fillId="67" fontId="104" numFmtId="0" xfId="0" applyAlignment="1" applyBorder="1" applyFont="1">
      <alignment horizontal="right" vertical="center"/>
    </xf>
    <xf borderId="1685" fillId="115" fontId="156" numFmtId="0" xfId="0" applyAlignment="1" applyBorder="1" applyFont="1">
      <alignment horizontal="center" vertical="center"/>
    </xf>
    <xf borderId="1066" fillId="67" fontId="131" numFmtId="0" xfId="0" applyAlignment="1" applyBorder="1" applyFont="1">
      <alignment horizontal="center" vertical="center"/>
    </xf>
    <xf borderId="1680" fillId="115" fontId="132" numFmtId="0" xfId="0" applyAlignment="1" applyBorder="1" applyFont="1">
      <alignment horizontal="center" vertical="center"/>
    </xf>
    <xf borderId="1066" fillId="23" fontId="131" numFmtId="0" xfId="0" applyAlignment="1" applyBorder="1" applyFont="1">
      <alignment horizontal="center" vertical="center"/>
    </xf>
    <xf borderId="1686" fillId="115" fontId="154" numFmtId="0" xfId="0" applyAlignment="1" applyBorder="1" applyFont="1">
      <alignment horizontal="center" vertical="center"/>
    </xf>
    <xf borderId="1687" fillId="115" fontId="132" numFmtId="0" xfId="0" applyAlignment="1" applyBorder="1" applyFont="1">
      <alignment horizontal="center" vertical="center"/>
    </xf>
    <xf borderId="1688" fillId="115" fontId="104" numFmtId="0" xfId="0" applyAlignment="1" applyBorder="1" applyFont="1">
      <alignment horizontal="right" readingOrder="0" vertical="center"/>
    </xf>
    <xf borderId="1689" fillId="115" fontId="132" numFmtId="0" xfId="0" applyAlignment="1" applyBorder="1" applyFont="1">
      <alignment horizontal="center" readingOrder="0" vertical="center"/>
    </xf>
    <xf borderId="1690" fillId="116" fontId="130" numFmtId="0" xfId="0" applyAlignment="1" applyBorder="1" applyFill="1" applyFont="1">
      <alignment horizontal="center" readingOrder="0" vertical="center"/>
    </xf>
    <xf borderId="1691" fillId="0" fontId="5" numFmtId="0" xfId="0" applyBorder="1" applyFont="1"/>
    <xf borderId="1692" fillId="0" fontId="5" numFmtId="0" xfId="0" applyBorder="1" applyFont="1"/>
    <xf borderId="1686" fillId="115" fontId="132" numFmtId="0" xfId="0" applyAlignment="1" applyBorder="1" applyFont="1">
      <alignment horizontal="center" vertical="center"/>
    </xf>
    <xf borderId="1687" fillId="115" fontId="146" numFmtId="0" xfId="0" applyAlignment="1" applyBorder="1" applyFont="1">
      <alignment horizontal="center" vertical="center"/>
    </xf>
    <xf borderId="1693" fillId="0" fontId="5" numFmtId="0" xfId="0" applyBorder="1" applyFont="1"/>
    <xf borderId="1689" fillId="115" fontId="146" numFmtId="0" xfId="0" applyAlignment="1" applyBorder="1" applyFont="1">
      <alignment horizontal="center" readingOrder="0" vertical="center"/>
    </xf>
    <xf borderId="1694" fillId="116" fontId="131" numFmtId="0" xfId="0" applyAlignment="1" applyBorder="1" applyFont="1">
      <alignment horizontal="center" readingOrder="0" vertical="top"/>
    </xf>
    <xf borderId="1695" fillId="0" fontId="5" numFmtId="0" xfId="0" applyBorder="1" applyFont="1"/>
    <xf borderId="1696" fillId="0" fontId="5" numFmtId="0" xfId="0" applyBorder="1" applyFont="1"/>
    <xf borderId="1493" fillId="111" fontId="131" numFmtId="0" xfId="0" applyAlignment="1" applyBorder="1" applyFont="1">
      <alignment horizontal="center" readingOrder="0" vertical="top"/>
    </xf>
    <xf borderId="1686" fillId="115" fontId="146" numFmtId="0" xfId="0" applyAlignment="1" applyBorder="1" applyFont="1">
      <alignment horizontal="center" vertical="center"/>
    </xf>
    <xf borderId="1687" fillId="115" fontId="154" numFmtId="0" xfId="0" applyAlignment="1" applyBorder="1" applyFont="1">
      <alignment horizontal="center" vertical="center"/>
    </xf>
    <xf borderId="1697" fillId="115" fontId="154" numFmtId="0" xfId="0" applyAlignment="1" applyBorder="1" applyFont="1">
      <alignment horizontal="center" vertical="center"/>
    </xf>
    <xf borderId="1698" fillId="116" fontId="132" numFmtId="0" xfId="0" applyAlignment="1" applyBorder="1" applyFont="1">
      <alignment horizontal="center" vertical="center"/>
    </xf>
    <xf borderId="1699" fillId="116" fontId="132" numFmtId="0" xfId="0" applyAlignment="1" applyBorder="1" applyFont="1">
      <alignment horizontal="right" vertical="top"/>
    </xf>
    <xf borderId="1699" fillId="116" fontId="132" numFmtId="0" xfId="0" applyAlignment="1" applyBorder="1" applyFont="1">
      <alignment horizontal="left" vertical="top"/>
    </xf>
    <xf borderId="1700" fillId="116" fontId="132" numFmtId="0" xfId="0" applyAlignment="1" applyBorder="1" applyFont="1">
      <alignment horizontal="center" vertical="top"/>
    </xf>
    <xf borderId="1701" fillId="115" fontId="154" numFmtId="0" xfId="0" applyAlignment="1" applyBorder="1" applyFont="1">
      <alignment horizontal="center" vertical="center"/>
    </xf>
    <xf borderId="1702" fillId="116" fontId="132" numFmtId="0" xfId="0" applyAlignment="1" applyBorder="1" applyFont="1">
      <alignment horizontal="center" vertical="center"/>
    </xf>
    <xf borderId="1703" fillId="116" fontId="132" numFmtId="0" xfId="0" applyAlignment="1" applyBorder="1" applyFont="1">
      <alignment horizontal="center" vertical="top"/>
    </xf>
    <xf borderId="1704" fillId="116" fontId="132" numFmtId="0" xfId="0" applyAlignment="1" applyBorder="1" applyFont="1">
      <alignment horizontal="center" vertical="top"/>
    </xf>
    <xf borderId="1705" fillId="0" fontId="5" numFmtId="0" xfId="0" applyBorder="1" applyFont="1"/>
    <xf borderId="1689" fillId="115" fontId="154" numFmtId="0" xfId="0" applyAlignment="1" applyBorder="1" applyFont="1">
      <alignment horizontal="center" vertical="center"/>
    </xf>
    <xf borderId="1706" fillId="116" fontId="132" numFmtId="0" xfId="0" applyAlignment="1" applyBorder="1" applyFont="1">
      <alignment horizontal="center" readingOrder="0" vertical="center"/>
    </xf>
    <xf borderId="1707" fillId="0" fontId="5" numFmtId="0" xfId="0" applyBorder="1" applyFont="1"/>
    <xf borderId="1708" fillId="0" fontId="5" numFmtId="0" xfId="0" applyBorder="1" applyFont="1"/>
    <xf borderId="1675" fillId="115" fontId="104" numFmtId="0" xfId="0" applyAlignment="1" applyBorder="1" applyFont="1">
      <alignment horizontal="right" vertical="center"/>
    </xf>
    <xf borderId="1709" fillId="116" fontId="132" numFmtId="0" xfId="0" applyAlignment="1" applyBorder="1" applyFont="1">
      <alignment horizontal="center" readingOrder="0" vertical="center"/>
    </xf>
    <xf borderId="1710" fillId="0" fontId="5" numFmtId="0" xfId="0" applyBorder="1" applyFont="1"/>
    <xf borderId="1711" fillId="0" fontId="5" numFmtId="0" xfId="0" applyBorder="1" applyFont="1"/>
    <xf borderId="1712" fillId="116" fontId="132" numFmtId="0" xfId="0" applyAlignment="1" applyBorder="1" applyFont="1">
      <alignment horizontal="center" readingOrder="0" vertical="center"/>
    </xf>
    <xf borderId="1713" fillId="0" fontId="5" numFmtId="0" xfId="0" applyBorder="1" applyFont="1"/>
    <xf borderId="1714" fillId="0" fontId="5" numFmtId="0" xfId="0" applyBorder="1" applyFont="1"/>
    <xf borderId="1715" fillId="116" fontId="132" numFmtId="0" xfId="0" applyAlignment="1" applyBorder="1" applyFont="1">
      <alignment horizontal="center" readingOrder="0" vertical="center"/>
    </xf>
    <xf borderId="1682" fillId="115" fontId="102" numFmtId="0" xfId="0" applyAlignment="1" applyBorder="1" applyFont="1">
      <alignment horizontal="right" vertical="center"/>
    </xf>
    <xf borderId="1716" fillId="0" fontId="5" numFmtId="0" xfId="0" applyBorder="1" applyFont="1"/>
    <xf borderId="1708" fillId="116" fontId="132" numFmtId="0" xfId="0" applyAlignment="1" applyBorder="1" applyFont="1">
      <alignment horizontal="center" readingOrder="0" vertical="center"/>
    </xf>
    <xf borderId="1675" fillId="0" fontId="5" numFmtId="0" xfId="0" applyBorder="1" applyFont="1"/>
    <xf borderId="1717" fillId="0" fontId="5" numFmtId="0" xfId="0" applyBorder="1" applyFont="1"/>
    <xf borderId="1711" fillId="116" fontId="132" numFmtId="0" xfId="0" applyAlignment="1" applyBorder="1" applyFont="1">
      <alignment horizontal="center" readingOrder="0" vertical="center"/>
    </xf>
    <xf borderId="1678" fillId="115" fontId="102" numFmtId="0" xfId="0" applyAlignment="1" applyBorder="1" applyFont="1">
      <alignment horizontal="right" vertical="center"/>
    </xf>
    <xf borderId="1718" fillId="115" fontId="154" numFmtId="0" xfId="0" applyAlignment="1" applyBorder="1" applyFont="1">
      <alignment horizontal="center" vertical="center"/>
    </xf>
    <xf borderId="1719" fillId="116" fontId="132" numFmtId="0" xfId="0" applyAlignment="1" applyBorder="1" applyFont="1">
      <alignment horizontal="center" readingOrder="0" vertical="center"/>
    </xf>
    <xf borderId="1720" fillId="0" fontId="5" numFmtId="0" xfId="0" applyBorder="1" applyFont="1"/>
    <xf borderId="1721" fillId="0" fontId="5" numFmtId="0" xfId="0" applyBorder="1" applyFont="1"/>
    <xf borderId="1722" fillId="116" fontId="132" numFmtId="0" xfId="0" applyAlignment="1" applyBorder="1" applyFont="1">
      <alignment horizontal="center" readingOrder="0" vertical="center"/>
    </xf>
    <xf borderId="1723" fillId="0" fontId="5" numFmtId="0" xfId="0" applyBorder="1" applyFont="1"/>
    <xf borderId="1677" fillId="115" fontId="153" numFmtId="0" xfId="0" applyAlignment="1" applyBorder="1" applyFont="1">
      <alignment horizontal="center" vertical="center"/>
    </xf>
    <xf borderId="1678" fillId="115" fontId="160" numFmtId="0" xfId="0" applyAlignment="1" applyBorder="1" applyFont="1">
      <alignment horizontal="center" vertical="center"/>
    </xf>
    <xf borderId="1724" fillId="115" fontId="160" numFmtId="0" xfId="0" applyAlignment="1" applyBorder="1" applyFont="1">
      <alignment horizontal="center" vertical="top"/>
    </xf>
    <xf borderId="1725" fillId="115" fontId="160" numFmtId="0" xfId="0" applyAlignment="1" applyBorder="1" applyFont="1">
      <alignment horizontal="center" vertical="top"/>
    </xf>
    <xf borderId="1724" fillId="115" fontId="160" numFmtId="0" xfId="0" applyAlignment="1" applyBorder="1" applyFont="1">
      <alignment horizontal="center" vertical="center"/>
    </xf>
    <xf borderId="1724" fillId="115" fontId="143" numFmtId="0" xfId="0" applyAlignment="1" applyBorder="1" applyFont="1">
      <alignment horizontal="center" vertical="center"/>
    </xf>
    <xf borderId="1726" fillId="115" fontId="161" numFmtId="0" xfId="0" applyAlignment="1" applyBorder="1" applyFont="1">
      <alignment horizontal="center" vertical="center"/>
    </xf>
    <xf borderId="1678" fillId="115" fontId="161" numFmtId="0" xfId="0" applyAlignment="1" applyBorder="1" applyFont="1">
      <alignment horizontal="center" vertical="center"/>
    </xf>
    <xf borderId="1724" fillId="115" fontId="161" numFmtId="0" xfId="0" applyAlignment="1" applyBorder="1" applyFont="1">
      <alignment horizontal="center" vertical="center"/>
    </xf>
    <xf borderId="1683" fillId="115" fontId="153" numFmtId="0" xfId="0" applyAlignment="1" applyBorder="1" applyFont="1">
      <alignment horizontal="center" vertical="center"/>
    </xf>
    <xf borderId="1677" fillId="115" fontId="162" numFmtId="0" xfId="0" applyAlignment="1" applyBorder="1" applyFont="1">
      <alignment horizontal="center" vertical="center"/>
    </xf>
    <xf borderId="1718" fillId="115" fontId="140" numFmtId="0" xfId="0" applyAlignment="1" applyBorder="1" applyFont="1">
      <alignment horizontal="center" vertical="center"/>
    </xf>
    <xf borderId="378" fillId="67" fontId="115" numFmtId="0" xfId="0" applyAlignment="1" applyBorder="1" applyFont="1">
      <alignment horizontal="center" readingOrder="0" vertical="top"/>
    </xf>
    <xf borderId="1727" fillId="115" fontId="116" numFmtId="0" xfId="0" applyAlignment="1" applyBorder="1" applyFont="1">
      <alignment horizontal="center" vertical="center"/>
    </xf>
    <xf borderId="1728" fillId="115" fontId="177" numFmtId="0" xfId="0" applyAlignment="1" applyBorder="1" applyFont="1">
      <alignment horizontal="center" vertical="center"/>
    </xf>
    <xf borderId="1727" fillId="115" fontId="177" numFmtId="0" xfId="0" applyAlignment="1" applyBorder="1" applyFont="1">
      <alignment horizontal="center" vertical="center"/>
    </xf>
    <xf borderId="1729" fillId="115" fontId="162" numFmtId="0" xfId="0" applyAlignment="1" applyBorder="1" applyFont="1">
      <alignment horizontal="center" vertical="center"/>
    </xf>
    <xf borderId="1730" fillId="67" fontId="115" numFmtId="0" xfId="0" applyAlignment="1" applyBorder="1" applyFont="1">
      <alignment horizontal="center" readingOrder="0" vertical="center"/>
    </xf>
    <xf borderId="1731" fillId="67" fontId="115" numFmtId="0" xfId="0" applyAlignment="1" applyBorder="1" applyFont="1">
      <alignment horizontal="center" readingOrder="0" vertical="center"/>
    </xf>
    <xf borderId="1732" fillId="67" fontId="115" numFmtId="0" xfId="0" applyAlignment="1" applyBorder="1" applyFont="1">
      <alignment horizontal="left" readingOrder="0" vertical="center"/>
    </xf>
    <xf borderId="1733" fillId="0" fontId="5" numFmtId="0" xfId="0" applyBorder="1" applyFont="1"/>
    <xf borderId="1734" fillId="115" fontId="177" numFmtId="0" xfId="0" applyAlignment="1" applyBorder="1" applyFont="1">
      <alignment horizontal="center" vertical="center"/>
    </xf>
    <xf borderId="1735" fillId="115" fontId="177" numFmtId="0" xfId="0" applyAlignment="1" applyBorder="1" applyFont="1">
      <alignment horizontal="center" vertical="center"/>
    </xf>
    <xf borderId="1736" fillId="67" fontId="115" numFmtId="0" xfId="0" applyAlignment="1" applyBorder="1" applyFont="1">
      <alignment horizontal="center" readingOrder="0" vertical="center"/>
    </xf>
    <xf borderId="1737" fillId="67" fontId="115" numFmtId="0" xfId="0" applyAlignment="1" applyBorder="1" applyFont="1">
      <alignment horizontal="center" readingOrder="0" vertical="center"/>
    </xf>
    <xf borderId="1738" fillId="67" fontId="115" numFmtId="0" xfId="0" applyAlignment="1" applyBorder="1" applyFont="1">
      <alignment horizontal="left" readingOrder="0" vertical="center"/>
    </xf>
    <xf borderId="1739" fillId="0" fontId="5" numFmtId="0" xfId="0" applyBorder="1" applyFont="1"/>
    <xf borderId="1740" fillId="67" fontId="115" numFmtId="0" xfId="0" applyAlignment="1" applyBorder="1" applyFont="1">
      <alignment horizontal="center" readingOrder="0" vertical="center"/>
    </xf>
    <xf borderId="1741" fillId="67" fontId="115" numFmtId="0" xfId="0" applyAlignment="1" applyBorder="1" applyFont="1">
      <alignment horizontal="center" readingOrder="0" vertical="center"/>
    </xf>
    <xf borderId="1742" fillId="67" fontId="115" numFmtId="0" xfId="0" applyAlignment="1" applyBorder="1" applyFont="1">
      <alignment horizontal="left" readingOrder="0" vertical="center"/>
    </xf>
    <xf borderId="1743" fillId="0" fontId="5" numFmtId="0" xfId="0" applyBorder="1" applyFont="1"/>
    <xf borderId="395" fillId="67" fontId="115" numFmtId="0" xfId="0" applyAlignment="1" applyBorder="1" applyFont="1">
      <alignment horizontal="right" readingOrder="0" vertical="center"/>
    </xf>
    <xf borderId="1744" fillId="115" fontId="104" numFmtId="0" xfId="0" applyAlignment="1" applyBorder="1" applyFont="1">
      <alignment horizontal="right" vertical="center"/>
    </xf>
    <xf borderId="1724" fillId="115" fontId="154" numFmtId="0" xfId="0" applyAlignment="1" applyBorder="1" applyFont="1">
      <alignment horizontal="center" readingOrder="0" vertical="center"/>
    </xf>
    <xf borderId="1675" fillId="115" fontId="154" numFmtId="0" xfId="0" applyAlignment="1" applyBorder="1" applyFont="1">
      <alignment horizontal="center" readingOrder="0" vertical="center"/>
    </xf>
    <xf borderId="1689" fillId="115" fontId="156" numFmtId="0" xfId="0" applyAlignment="1" applyBorder="1" applyFont="1">
      <alignment horizontal="center" vertical="center"/>
    </xf>
    <xf borderId="1689" fillId="115" fontId="131" numFmtId="0" xfId="0" applyAlignment="1" applyBorder="1" applyFont="1">
      <alignment horizontal="center" vertical="center"/>
    </xf>
    <xf borderId="1745" fillId="115" fontId="156" numFmtId="0" xfId="0" applyAlignment="1" applyBorder="1" applyFont="1">
      <alignment horizontal="center" vertical="center"/>
    </xf>
    <xf borderId="1689" fillId="0" fontId="5" numFmtId="0" xfId="0" applyBorder="1" applyFont="1"/>
    <xf borderId="1745" fillId="0" fontId="5" numFmtId="0" xfId="0" applyBorder="1" applyFont="1"/>
    <xf borderId="1682" fillId="115" fontId="154" numFmtId="0" xfId="0" applyAlignment="1" applyBorder="1" applyFont="1">
      <alignment horizontal="center" vertical="center"/>
    </xf>
    <xf borderId="1745" fillId="115" fontId="132" numFmtId="0" xfId="0" applyAlignment="1" applyBorder="1" applyFont="1">
      <alignment horizontal="center" readingOrder="0" vertical="center"/>
    </xf>
    <xf borderId="1718" fillId="115" fontId="132" numFmtId="0" xfId="0" applyAlignment="1" applyBorder="1" applyFont="1">
      <alignment horizontal="center" vertical="center"/>
    </xf>
    <xf borderId="1724" fillId="0" fontId="5" numFmtId="0" xfId="0" applyBorder="1" applyFont="1"/>
    <xf borderId="1683" fillId="115" fontId="132" numFmtId="0" xfId="0" applyAlignment="1" applyBorder="1" applyFont="1">
      <alignment horizontal="center" vertical="center"/>
    </xf>
    <xf borderId="206" fillId="12" fontId="156" numFmtId="0" xfId="0" applyAlignment="1" applyBorder="1" applyFont="1">
      <alignment horizontal="center" vertical="center"/>
    </xf>
    <xf borderId="1687" fillId="115" fontId="156" numFmtId="0" xfId="0" applyAlignment="1" applyBorder="1" applyFont="1">
      <alignment horizontal="center" vertical="center"/>
    </xf>
    <xf borderId="1689" fillId="115" fontId="156" numFmtId="0" xfId="0" applyAlignment="1" applyBorder="1" applyFont="1">
      <alignment horizontal="center" readingOrder="0" vertical="center"/>
    </xf>
    <xf borderId="1356" fillId="107" fontId="131" numFmtId="0" xfId="0" applyAlignment="1" applyBorder="1" applyFont="1">
      <alignment horizontal="center" readingOrder="0" vertical="top"/>
    </xf>
    <xf borderId="1689" fillId="115" fontId="131" numFmtId="0" xfId="0" applyAlignment="1" applyBorder="1" applyFont="1">
      <alignment horizontal="center" readingOrder="0" vertical="center"/>
    </xf>
    <xf borderId="1745" fillId="115" fontId="156" numFmtId="0" xfId="0" applyAlignment="1" applyBorder="1" applyFont="1">
      <alignment horizontal="center" readingOrder="0" vertical="center"/>
    </xf>
    <xf borderId="1683" fillId="115" fontId="156" numFmtId="0" xfId="0" applyAlignment="1" applyBorder="1" applyFont="1">
      <alignment horizontal="center" vertical="center"/>
    </xf>
    <xf borderId="185" fillId="12" fontId="156" numFmtId="0" xfId="0" applyAlignment="1" applyBorder="1" applyFont="1">
      <alignment horizontal="center" vertical="center"/>
    </xf>
    <xf borderId="1724" fillId="115" fontId="104" numFmtId="0" xfId="0" applyAlignment="1" applyBorder="1" applyFont="1">
      <alignment horizontal="right" vertical="center"/>
    </xf>
    <xf borderId="1746" fillId="115" fontId="154" numFmtId="0" xfId="0" applyAlignment="1" applyBorder="1" applyFont="1">
      <alignment horizontal="center" vertical="center"/>
    </xf>
    <xf borderId="1689" fillId="115" fontId="132" numFmtId="0" xfId="0" applyAlignment="1" applyBorder="1" applyFont="1">
      <alignment horizontal="center" vertical="center"/>
    </xf>
    <xf borderId="1745" fillId="115" fontId="154" numFmtId="0" xfId="0" applyAlignment="1" applyBorder="1" applyFont="1">
      <alignment horizontal="center" vertical="center"/>
    </xf>
    <xf borderId="1682" fillId="115" fontId="104" numFmtId="0" xfId="0" applyAlignment="1" applyBorder="1" applyFont="1">
      <alignment horizontal="right" vertical="center"/>
    </xf>
    <xf borderId="1747" fillId="0" fontId="5" numFmtId="0" xfId="0" applyBorder="1" applyFont="1"/>
    <xf borderId="1371" fillId="107" fontId="132" numFmtId="0" xfId="0" applyAlignment="1" applyBorder="1" applyFont="1">
      <alignment horizontal="center" readingOrder="0" vertical="center"/>
    </xf>
    <xf borderId="1373" fillId="107" fontId="132" numFmtId="0" xfId="0" applyAlignment="1" applyBorder="1" applyFont="1">
      <alignment horizontal="center" readingOrder="0" vertical="center"/>
    </xf>
    <xf borderId="1748" fillId="0" fontId="5" numFmtId="0" xfId="0" applyBorder="1" applyFont="1"/>
    <xf borderId="1749" fillId="107" fontId="132" numFmtId="0" xfId="0" applyAlignment="1" applyBorder="1" applyFont="1">
      <alignment horizontal="center" readingOrder="0" vertical="center"/>
    </xf>
    <xf borderId="1750" fillId="115" fontId="160" numFmtId="0" xfId="0" applyAlignment="1" applyBorder="1" applyFont="1">
      <alignment horizontal="center" vertical="center"/>
    </xf>
    <xf borderId="1678" fillId="115" fontId="143" numFmtId="0" xfId="0" applyAlignment="1" applyBorder="1" applyFont="1">
      <alignment horizontal="center" vertical="center"/>
    </xf>
    <xf borderId="378" fillId="108" fontId="115" numFmtId="0" xfId="0" applyAlignment="1" applyBorder="1" applyFont="1">
      <alignment horizontal="center" readingOrder="0" vertical="center"/>
    </xf>
    <xf borderId="1718" fillId="115" fontId="116" numFmtId="0" xfId="0" applyAlignment="1" applyBorder="1" applyFont="1">
      <alignment horizontal="center" vertical="center"/>
    </xf>
    <xf borderId="1745" fillId="115" fontId="140" numFmtId="0" xfId="0" applyAlignment="1" applyBorder="1" applyFont="1">
      <alignment horizontal="center" vertical="center"/>
    </xf>
    <xf borderId="1678" fillId="115" fontId="140" numFmtId="0" xfId="0" applyAlignment="1" applyBorder="1" applyFont="1">
      <alignment horizontal="center" vertical="center"/>
    </xf>
    <xf borderId="1678" fillId="115" fontId="162" numFmtId="0" xfId="0" applyAlignment="1" applyBorder="1" applyFont="1">
      <alignment horizontal="center" vertical="center"/>
    </xf>
    <xf borderId="1683" fillId="115" fontId="162" numFmtId="0" xfId="0" applyAlignment="1" applyBorder="1" applyFont="1">
      <alignment horizontal="center" vertical="center"/>
    </xf>
    <xf borderId="1745" fillId="115" fontId="140" numFmtId="0" xfId="0" applyAlignment="1" applyBorder="1" applyFont="1">
      <alignment horizontal="center" vertical="center"/>
    </xf>
    <xf borderId="1678" fillId="115" fontId="162" numFmtId="0" xfId="0" applyAlignment="1" applyBorder="1" applyFont="1">
      <alignment horizontal="center" vertical="center"/>
    </xf>
    <xf borderId="1683" fillId="115" fontId="162" numFmtId="0" xfId="0" applyAlignment="1" applyBorder="1" applyFont="1">
      <alignment horizontal="center" vertical="center"/>
    </xf>
    <xf borderId="1751" fillId="115" fontId="154" numFmtId="0" xfId="0" applyAlignment="1" applyBorder="1" applyFont="1">
      <alignment horizontal="center" vertical="center"/>
    </xf>
    <xf borderId="1752" fillId="115" fontId="102" numFmtId="0" xfId="0" applyAlignment="1" applyBorder="1" applyFont="1">
      <alignment horizontal="right" readingOrder="0" vertical="center"/>
    </xf>
    <xf borderId="1752" fillId="115" fontId="103" numFmtId="0" xfId="0" applyAlignment="1" applyBorder="1" applyFont="1">
      <alignment horizontal="center" readingOrder="0" vertical="center"/>
    </xf>
    <xf borderId="1753" fillId="115" fontId="103" numFmtId="0" xfId="0" applyAlignment="1" applyBorder="1" applyFont="1">
      <alignment horizontal="center" readingOrder="0" vertical="center"/>
    </xf>
    <xf borderId="1754" fillId="115" fontId="103" numFmtId="0" xfId="0" applyAlignment="1" applyBorder="1" applyFont="1">
      <alignment horizontal="center" readingOrder="0" vertical="center"/>
    </xf>
    <xf borderId="1755" fillId="115" fontId="154" numFmtId="0" xfId="0" applyAlignment="1" applyBorder="1" applyFont="1">
      <alignment horizontal="center" vertical="center"/>
    </xf>
    <xf borderId="1756" fillId="113" fontId="154" numFmtId="0" xfId="0" applyAlignment="1" applyBorder="1" applyFont="1">
      <alignment horizontal="center" vertical="center"/>
    </xf>
    <xf borderId="1624" fillId="113" fontId="102" numFmtId="0" xfId="0" applyAlignment="1" applyBorder="1" applyFont="1">
      <alignment horizontal="right" readingOrder="0" vertical="center"/>
    </xf>
    <xf borderId="1634" fillId="113" fontId="33" numFmtId="0" xfId="0" applyAlignment="1" applyBorder="1" applyFont="1">
      <alignment horizontal="center" readingOrder="0" vertical="center"/>
    </xf>
    <xf borderId="1624" fillId="113" fontId="33" numFmtId="0" xfId="0" applyAlignment="1" applyBorder="1" applyFont="1">
      <alignment horizontal="center" readingOrder="0" vertical="center"/>
    </xf>
    <xf borderId="1757" fillId="113" fontId="154" numFmtId="0" xfId="0" applyAlignment="1" applyBorder="1" applyFont="1">
      <alignment horizontal="center" vertical="center"/>
    </xf>
    <xf borderId="1625" fillId="113" fontId="184" numFmtId="0" xfId="0" applyAlignment="1" applyBorder="1" applyFont="1">
      <alignment horizontal="left" readingOrder="0" vertical="center"/>
    </xf>
    <xf borderId="1758" fillId="113" fontId="154" numFmtId="0" xfId="0" applyAlignment="1" applyBorder="1" applyFont="1">
      <alignment horizontal="center" vertical="center"/>
    </xf>
    <xf borderId="1759" fillId="113" fontId="132" numFmtId="0" xfId="0" applyAlignment="1" applyBorder="1" applyFont="1">
      <alignment horizontal="center" vertical="center"/>
    </xf>
    <xf borderId="1759" fillId="113" fontId="116" numFmtId="0" xfId="0" applyAlignment="1" applyBorder="1" applyFont="1">
      <alignment horizontal="center" vertical="center"/>
    </xf>
    <xf borderId="400" fillId="114" fontId="115" numFmtId="0" xfId="0" applyAlignment="1" applyBorder="1" applyFont="1">
      <alignment horizontal="right" readingOrder="0" vertical="center"/>
    </xf>
    <xf borderId="1647" fillId="113" fontId="140" numFmtId="0" xfId="0" applyAlignment="1" applyBorder="1" applyFont="1">
      <alignment horizontal="center" vertical="center"/>
    </xf>
    <xf borderId="1634" fillId="113" fontId="116" numFmtId="0" xfId="0" applyAlignment="1" applyBorder="1" applyFont="1">
      <alignment horizontal="center" vertical="center"/>
    </xf>
    <xf borderId="1760" fillId="113" fontId="116" numFmtId="0" xfId="0" applyAlignment="1" applyBorder="1" applyFont="1">
      <alignment horizontal="center" vertical="center"/>
    </xf>
    <xf borderId="405" fillId="114" fontId="115" numFmtId="0" xfId="0" applyAlignment="1" applyBorder="1" applyFont="1">
      <alignment horizontal="right" readingOrder="0" vertical="center"/>
    </xf>
    <xf borderId="1647" fillId="113" fontId="116" numFmtId="0" xfId="0" applyAlignment="1" applyBorder="1" applyFont="1">
      <alignment horizontal="center" vertical="center"/>
    </xf>
    <xf borderId="1656" fillId="113" fontId="162" numFmtId="0" xfId="0" applyAlignment="1" applyBorder="1" applyFont="1">
      <alignment horizontal="center" vertical="center"/>
    </xf>
    <xf borderId="1761" fillId="112" fontId="154" numFmtId="0" xfId="0" applyAlignment="1" applyBorder="1" applyFont="1">
      <alignment horizontal="center" vertical="center"/>
    </xf>
    <xf borderId="1761" fillId="112" fontId="132" numFmtId="0" xfId="0" applyAlignment="1" applyBorder="1" applyFont="1">
      <alignment horizontal="center" vertical="center"/>
    </xf>
    <xf borderId="1761" fillId="112" fontId="158" numFmtId="0" xfId="0" applyAlignment="1" applyBorder="1" applyFont="1">
      <alignment horizontal="center" vertical="center"/>
    </xf>
    <xf borderId="1762" fillId="112" fontId="162" numFmtId="0" xfId="0" applyAlignment="1" applyBorder="1" applyFont="1">
      <alignment horizontal="center" vertical="center"/>
    </xf>
    <xf borderId="1547" fillId="112" fontId="162" numFmtId="0" xfId="0" applyAlignment="1" applyBorder="1" applyFont="1">
      <alignment horizontal="center" vertical="center"/>
    </xf>
    <xf borderId="1483" fillId="111" fontId="131" numFmtId="0" xfId="0" applyAlignment="1" applyBorder="1" applyFont="1">
      <alignment horizontal="center" vertical="center"/>
    </xf>
    <xf borderId="1484" fillId="111" fontId="132" numFmtId="0" xfId="0" applyAlignment="1" applyBorder="1" applyFont="1">
      <alignment horizontal="center" vertical="center"/>
    </xf>
    <xf borderId="1483" fillId="111" fontId="116" numFmtId="0" xfId="0" applyAlignment="1" applyBorder="1" applyFont="1">
      <alignment horizontal="center" vertical="top"/>
    </xf>
    <xf borderId="1487" fillId="111" fontId="116" numFmtId="0" xfId="0" applyAlignment="1" applyBorder="1" applyFont="1">
      <alignment horizontal="center" vertical="center"/>
    </xf>
    <xf borderId="400" fillId="23" fontId="115" numFmtId="0" xfId="0" applyAlignment="1" applyBorder="1" applyFont="1">
      <alignment horizontal="right" readingOrder="0" vertical="center"/>
    </xf>
    <xf borderId="1535" fillId="111" fontId="116" numFmtId="0" xfId="0" applyAlignment="1" applyBorder="1" applyFont="1">
      <alignment horizontal="center" vertical="center"/>
    </xf>
    <xf borderId="1507" fillId="111" fontId="102" numFmtId="0" xfId="0" applyAlignment="1" applyBorder="1" applyFont="1">
      <alignment horizontal="right" vertical="center"/>
    </xf>
    <xf borderId="1763" fillId="111" fontId="116" numFmtId="0" xfId="0" applyAlignment="1" applyBorder="1" applyFont="1">
      <alignment horizontal="center" vertical="center"/>
    </xf>
    <xf borderId="405" fillId="23" fontId="115" numFmtId="0" xfId="0" applyAlignment="1" applyBorder="1" applyFont="1">
      <alignment horizontal="right" readingOrder="0" vertical="center"/>
    </xf>
    <xf borderId="1484" fillId="111" fontId="116" numFmtId="0" xfId="0" applyAlignment="1" applyBorder="1" applyFont="1">
      <alignment horizontal="center" vertical="center"/>
    </xf>
    <xf borderId="1507" fillId="111" fontId="162" numFmtId="0" xfId="0" applyAlignment="1" applyBorder="1" applyFont="1">
      <alignment horizontal="center" vertical="center"/>
    </xf>
    <xf borderId="188" fillId="4" fontId="163" numFmtId="0" xfId="0" applyAlignment="1" applyBorder="1" applyFont="1">
      <alignment horizontal="center" readingOrder="0" vertical="center"/>
    </xf>
    <xf borderId="1764" fillId="0" fontId="5" numFmtId="0" xfId="0" applyBorder="1" applyFont="1"/>
    <xf borderId="1765" fillId="0" fontId="5" numFmtId="0" xfId="0" applyBorder="1" applyFont="1"/>
    <xf borderId="1766" fillId="116" fontId="154" numFmtId="0" xfId="0" applyAlignment="1" applyBorder="1" applyFont="1">
      <alignment horizontal="center" vertical="center"/>
    </xf>
    <xf borderId="1767" fillId="116" fontId="140" numFmtId="0" xfId="0" applyAlignment="1" applyBorder="1" applyFont="1">
      <alignment horizontal="center" vertical="center"/>
    </xf>
    <xf borderId="1768" fillId="0" fontId="5" numFmtId="0" xfId="0" applyBorder="1" applyFont="1"/>
    <xf borderId="1769" fillId="0" fontId="5" numFmtId="0" xfId="0" applyBorder="1" applyFont="1"/>
    <xf borderId="1770" fillId="116" fontId="154" numFmtId="0" xfId="0" applyAlignment="1" applyBorder="1" applyFont="1">
      <alignment horizontal="center" vertical="center"/>
    </xf>
    <xf borderId="1771" fillId="116" fontId="154" numFmtId="0" xfId="0" applyAlignment="1" applyBorder="1" applyFont="1">
      <alignment horizontal="center" vertical="center"/>
    </xf>
    <xf borderId="1772" fillId="116" fontId="154" numFmtId="0" xfId="0" applyAlignment="1" applyBorder="1" applyFont="1">
      <alignment horizontal="center" vertical="center"/>
    </xf>
    <xf borderId="1710" fillId="116" fontId="156" numFmtId="0" xfId="0" applyAlignment="1" applyBorder="1" applyFont="1">
      <alignment horizontal="center" vertical="center"/>
    </xf>
    <xf borderId="1710" fillId="116" fontId="131" numFmtId="0" xfId="0" applyAlignment="1" applyBorder="1" applyFont="1">
      <alignment horizontal="center" vertical="center"/>
    </xf>
    <xf borderId="1714" fillId="116" fontId="154" numFmtId="0" xfId="0" applyAlignment="1" applyBorder="1" applyFont="1">
      <alignment horizontal="center" vertical="center"/>
    </xf>
    <xf borderId="1773" fillId="116" fontId="154" numFmtId="0" xfId="0" applyAlignment="1" applyBorder="1" applyFont="1">
      <alignment horizontal="center" vertical="center"/>
    </xf>
    <xf borderId="1774" fillId="116" fontId="154" numFmtId="0" xfId="0" applyAlignment="1" applyBorder="1" applyFont="1">
      <alignment horizontal="center" vertical="center"/>
    </xf>
    <xf borderId="345" fillId="116" fontId="104" numFmtId="0" xfId="0" applyAlignment="1" applyBorder="1" applyFont="1">
      <alignment horizontal="right" readingOrder="0" vertical="center"/>
    </xf>
    <xf borderId="1710" fillId="116" fontId="132" numFmtId="0" xfId="0" applyAlignment="1" applyBorder="1" applyFont="1">
      <alignment horizontal="center" readingOrder="0" vertical="center"/>
    </xf>
    <xf borderId="1775" fillId="0" fontId="5" numFmtId="0" xfId="0" applyBorder="1" applyFont="1"/>
    <xf borderId="1773" fillId="116" fontId="132" numFmtId="0" xfId="0" applyAlignment="1" applyBorder="1" applyFont="1">
      <alignment horizontal="center" vertical="center"/>
    </xf>
    <xf borderId="1776" fillId="0" fontId="5" numFmtId="0" xfId="0" applyBorder="1" applyFont="1"/>
    <xf borderId="1710" fillId="116" fontId="158" numFmtId="0" xfId="0" applyAlignment="1" applyBorder="1" applyFont="1">
      <alignment horizontal="center" readingOrder="0" vertical="center"/>
    </xf>
    <xf borderId="1694" fillId="116" fontId="146" numFmtId="0" xfId="0" applyAlignment="1" applyBorder="1" applyFont="1">
      <alignment horizontal="center" readingOrder="0" vertical="top"/>
    </xf>
    <xf borderId="1773" fillId="116" fontId="158" numFmtId="0" xfId="0" applyAlignment="1" applyBorder="1" applyFont="1">
      <alignment horizontal="center" vertical="center"/>
    </xf>
    <xf borderId="1776" fillId="116" fontId="104" numFmtId="0" xfId="0" applyAlignment="1" applyBorder="1" applyFont="1">
      <alignment horizontal="right" vertical="center"/>
    </xf>
    <xf borderId="1777" fillId="116" fontId="132" numFmtId="0" xfId="0" applyAlignment="1" applyBorder="1" applyFont="1">
      <alignment horizontal="center" vertical="top"/>
    </xf>
    <xf borderId="1778" fillId="0" fontId="5" numFmtId="0" xfId="0" applyBorder="1" applyFont="1"/>
    <xf borderId="1767" fillId="116" fontId="154" numFmtId="0" xfId="0" applyAlignment="1" applyBorder="1" applyFont="1">
      <alignment horizontal="center" vertical="center"/>
    </xf>
    <xf borderId="1779" fillId="0" fontId="5" numFmtId="0" xfId="0" applyBorder="1" applyFont="1"/>
    <xf borderId="1710" fillId="116" fontId="132" numFmtId="0" xfId="0" applyAlignment="1" applyBorder="1" applyFont="1">
      <alignment horizontal="center" vertical="center"/>
    </xf>
    <xf borderId="1774" fillId="116" fontId="104" numFmtId="0" xfId="0" applyAlignment="1" applyBorder="1" applyFont="1">
      <alignment horizontal="right" vertical="center"/>
    </xf>
    <xf borderId="1767" fillId="116" fontId="104" numFmtId="0" xfId="0" applyAlignment="1" applyBorder="1" applyFont="1">
      <alignment horizontal="right" vertical="center"/>
    </xf>
    <xf borderId="1780" fillId="0" fontId="5" numFmtId="0" xfId="0" applyBorder="1" applyFont="1"/>
    <xf borderId="1766" fillId="116" fontId="153" numFmtId="0" xfId="0" applyAlignment="1" applyBorder="1" applyFont="1">
      <alignment horizontal="center" vertical="center"/>
    </xf>
    <xf borderId="1767" fillId="116" fontId="102" numFmtId="0" xfId="0" applyAlignment="1" applyBorder="1" applyFont="1">
      <alignment horizontal="right" vertical="center"/>
    </xf>
    <xf borderId="1767" fillId="116" fontId="160" numFmtId="0" xfId="0" applyAlignment="1" applyBorder="1" applyFont="1">
      <alignment horizontal="center" vertical="center"/>
    </xf>
    <xf borderId="1776" fillId="116" fontId="160" numFmtId="0" xfId="0" applyAlignment="1" applyBorder="1" applyFont="1">
      <alignment horizontal="center" vertical="top"/>
    </xf>
    <xf borderId="1767" fillId="116" fontId="143" numFmtId="0" xfId="0" applyAlignment="1" applyBorder="1" applyFont="1">
      <alignment horizontal="center" vertical="center"/>
    </xf>
    <xf borderId="1767" fillId="116" fontId="161" numFmtId="0" xfId="0" applyAlignment="1" applyBorder="1" applyFont="1">
      <alignment horizontal="center" vertical="center"/>
    </xf>
    <xf borderId="1770" fillId="116" fontId="153" numFmtId="0" xfId="0" applyAlignment="1" applyBorder="1" applyFont="1">
      <alignment horizontal="center" vertical="center"/>
    </xf>
    <xf borderId="1766" fillId="116" fontId="162" numFmtId="0" xfId="0" applyAlignment="1" applyBorder="1" applyFont="1">
      <alignment horizontal="center" vertical="center"/>
    </xf>
    <xf borderId="1773" fillId="116" fontId="140" numFmtId="0" xfId="0" applyAlignment="1" applyBorder="1" applyFont="1">
      <alignment horizontal="center" vertical="center"/>
    </xf>
    <xf borderId="1773" fillId="116" fontId="116" numFmtId="0" xfId="0" applyAlignment="1" applyBorder="1" applyFont="1">
      <alignment horizontal="center" vertical="center"/>
    </xf>
    <xf borderId="1781" fillId="116" fontId="162" numFmtId="0" xfId="0" applyAlignment="1" applyBorder="1" applyFont="1">
      <alignment horizontal="center" vertical="center"/>
    </xf>
    <xf borderId="1767" fillId="116" fontId="162" numFmtId="0" xfId="0" applyAlignment="1" applyBorder="1" applyFont="1">
      <alignment horizontal="center" vertical="center"/>
    </xf>
    <xf borderId="1770" fillId="116" fontId="162" numFmtId="0" xfId="0" applyAlignment="1" applyBorder="1" applyFont="1">
      <alignment horizontal="center" vertical="center"/>
    </xf>
    <xf borderId="1782" fillId="67" fontId="115" numFmtId="0" xfId="0" applyAlignment="1" applyBorder="1" applyFont="1">
      <alignment horizontal="left" readingOrder="0" vertical="center"/>
    </xf>
    <xf borderId="1783" fillId="0" fontId="5" numFmtId="0" xfId="0" applyBorder="1" applyFont="1"/>
    <xf borderId="1784" fillId="67" fontId="115" numFmtId="0" xfId="0" applyAlignment="1" applyBorder="1" applyFont="1">
      <alignment horizontal="right" readingOrder="0" vertical="center"/>
    </xf>
    <xf borderId="1785" fillId="0" fontId="5" numFmtId="0" xfId="0" applyBorder="1" applyFont="1"/>
    <xf borderId="1786" fillId="0" fontId="5" numFmtId="0" xfId="0" applyBorder="1" applyFont="1"/>
    <xf borderId="1787" fillId="116" fontId="162" numFmtId="0" xfId="0" applyAlignment="1" applyBorder="1" applyFont="1">
      <alignment horizontal="center" vertical="center"/>
    </xf>
    <xf borderId="1788" fillId="116" fontId="140" numFmtId="0" xfId="0" applyAlignment="1" applyBorder="1" applyFont="1">
      <alignment horizontal="center" vertical="center"/>
    </xf>
    <xf borderId="1788" fillId="116" fontId="116" numFmtId="0" xfId="0" applyAlignment="1" applyBorder="1" applyFont="1">
      <alignment horizontal="center" vertical="center"/>
    </xf>
    <xf borderId="1789" fillId="67" fontId="115" numFmtId="0" xfId="0" applyAlignment="1" applyBorder="1" applyFont="1">
      <alignment horizontal="right" readingOrder="0" vertical="center"/>
    </xf>
    <xf borderId="1790" fillId="0" fontId="5" numFmtId="0" xfId="0" applyBorder="1" applyFont="1"/>
    <xf borderId="1791" fillId="0" fontId="5" numFmtId="0" xfId="0" applyBorder="1" applyFont="1"/>
    <xf borderId="1714" fillId="116" fontId="162" numFmtId="0" xfId="0" applyAlignment="1" applyBorder="1" applyFont="1">
      <alignment horizontal="center" vertical="center"/>
    </xf>
    <xf borderId="1774" fillId="116" fontId="162" numFmtId="0" xfId="0" applyAlignment="1" applyBorder="1" applyFont="1">
      <alignment horizontal="center" vertical="center"/>
    </xf>
    <xf borderId="1774" fillId="116" fontId="140" numFmtId="0" xfId="0" applyAlignment="1" applyBorder="1" applyFont="1">
      <alignment horizontal="center" vertical="center"/>
    </xf>
    <xf borderId="1792" fillId="116" fontId="162" numFmtId="0" xfId="0" applyAlignment="1" applyBorder="1" applyFont="1">
      <alignment horizontal="center" vertical="center"/>
    </xf>
    <xf borderId="1793" fillId="116" fontId="154" numFmtId="0" xfId="0" applyAlignment="1" applyBorder="1" applyFont="1">
      <alignment horizontal="center" vertical="center"/>
    </xf>
    <xf borderId="1794" fillId="116" fontId="104" numFmtId="0" xfId="0" applyAlignment="1" applyBorder="1" applyFont="1">
      <alignment horizontal="right" vertical="center"/>
    </xf>
    <xf borderId="1794" fillId="116" fontId="154" numFmtId="0" xfId="0" applyAlignment="1" applyBorder="1" applyFont="1">
      <alignment horizontal="center" vertical="center"/>
    </xf>
    <xf borderId="1795" fillId="116" fontId="154" numFmtId="0" xfId="0" applyAlignment="1" applyBorder="1" applyFont="1">
      <alignment horizontal="center" readingOrder="0" vertical="center"/>
    </xf>
    <xf borderId="1795" fillId="116" fontId="154" numFmtId="0" xfId="0" applyAlignment="1" applyBorder="1" applyFont="1">
      <alignment horizontal="center" vertical="center"/>
    </xf>
    <xf borderId="1796" fillId="116" fontId="154" numFmtId="0" xfId="0" applyAlignment="1" applyBorder="1" applyFont="1">
      <alignment horizontal="center" vertical="center"/>
    </xf>
    <xf borderId="1797" fillId="116" fontId="154" numFmtId="0" xfId="0" applyAlignment="1" applyBorder="1" applyFont="1">
      <alignment horizontal="center" vertical="center"/>
    </xf>
    <xf borderId="1798" fillId="117" fontId="154" numFmtId="0" xfId="0" applyAlignment="1" applyBorder="1" applyFill="1" applyFont="1">
      <alignment horizontal="center" vertical="center"/>
    </xf>
    <xf borderId="1799" fillId="117" fontId="102" numFmtId="0" xfId="0" applyAlignment="1" applyBorder="1" applyFont="1">
      <alignment horizontal="right" readingOrder="0" vertical="center"/>
    </xf>
    <xf borderId="1799" fillId="117" fontId="33" numFmtId="0" xfId="0" applyAlignment="1" applyBorder="1" applyFont="1">
      <alignment horizontal="center" readingOrder="0" vertical="center"/>
    </xf>
    <xf borderId="1800" fillId="117" fontId="154" numFmtId="0" xfId="0" applyAlignment="1" applyBorder="1" applyFont="1">
      <alignment horizontal="center" vertical="center"/>
    </xf>
    <xf borderId="1801" fillId="117" fontId="154" numFmtId="0" xfId="0" applyAlignment="1" applyBorder="1" applyFont="1">
      <alignment horizontal="center" vertical="center"/>
    </xf>
    <xf borderId="1802" fillId="117" fontId="104" numFmtId="0" xfId="0" applyAlignment="1" applyBorder="1" applyFont="1">
      <alignment horizontal="right" vertical="center"/>
    </xf>
    <xf borderId="1802" fillId="117" fontId="154" numFmtId="0" xfId="0" applyAlignment="1" applyBorder="1" applyFont="1">
      <alignment horizontal="center" vertical="center"/>
    </xf>
    <xf borderId="1803" fillId="117" fontId="185" numFmtId="0" xfId="0" applyAlignment="1" applyBorder="1" applyFont="1">
      <alignment horizontal="right" readingOrder="0" vertical="bottom"/>
    </xf>
    <xf borderId="1804" fillId="0" fontId="5" numFmtId="0" xfId="0" applyBorder="1" applyFont="1"/>
    <xf borderId="1805" fillId="0" fontId="5" numFmtId="0" xfId="0" applyBorder="1" applyFont="1"/>
    <xf borderId="1806" fillId="117" fontId="154" numFmtId="0" xfId="0" applyAlignment="1" applyBorder="1" applyFont="1">
      <alignment horizontal="center" vertical="center"/>
    </xf>
    <xf borderId="1807" fillId="117" fontId="154" numFmtId="0" xfId="0" applyAlignment="1" applyBorder="1" applyFont="1">
      <alignment horizontal="center" vertical="center"/>
    </xf>
    <xf borderId="1808" fillId="117" fontId="156" numFmtId="0" xfId="0" applyAlignment="1" applyBorder="1" applyFont="1">
      <alignment horizontal="center" vertical="center"/>
    </xf>
    <xf borderId="1808" fillId="117" fontId="131" numFmtId="0" xfId="0" applyAlignment="1" applyBorder="1" applyFont="1">
      <alignment horizontal="center" vertical="center"/>
    </xf>
    <xf borderId="1809" fillId="117" fontId="154" numFmtId="0" xfId="0" applyAlignment="1" applyBorder="1" applyFont="1">
      <alignment horizontal="center" vertical="center"/>
    </xf>
    <xf borderId="1807" fillId="117" fontId="132" numFmtId="0" xfId="0" applyAlignment="1" applyBorder="1" applyFont="1">
      <alignment horizontal="center" vertical="center"/>
    </xf>
    <xf borderId="1808" fillId="117" fontId="132" numFmtId="0" xfId="0" applyAlignment="1" applyBorder="1" applyFont="1">
      <alignment horizontal="center" readingOrder="0" vertical="center"/>
    </xf>
    <xf borderId="1809" fillId="117" fontId="132" numFmtId="0" xfId="0" applyAlignment="1" applyBorder="1" applyFont="1">
      <alignment horizontal="center" vertical="center"/>
    </xf>
    <xf borderId="1807" fillId="117" fontId="146" numFmtId="0" xfId="0" applyAlignment="1" applyBorder="1" applyFont="1">
      <alignment horizontal="center" vertical="center"/>
    </xf>
    <xf borderId="1808" fillId="117" fontId="146" numFmtId="0" xfId="0" applyAlignment="1" applyBorder="1" applyFont="1">
      <alignment horizontal="center" readingOrder="0" vertical="center"/>
    </xf>
    <xf borderId="1808" fillId="117" fontId="131" numFmtId="0" xfId="0" applyAlignment="1" applyBorder="1" applyFont="1">
      <alignment horizontal="center" readingOrder="0" vertical="center"/>
    </xf>
    <xf borderId="1809" fillId="117" fontId="146" numFmtId="0" xfId="0" applyAlignment="1" applyBorder="1" applyFont="1">
      <alignment horizontal="center" vertical="center"/>
    </xf>
    <xf borderId="1810" fillId="117" fontId="104" numFmtId="0" xfId="0" applyAlignment="1" applyBorder="1" applyFont="1">
      <alignment horizontal="right" vertical="center"/>
    </xf>
    <xf borderId="1811" fillId="117" fontId="154" numFmtId="0" xfId="0" applyAlignment="1" applyBorder="1" applyFont="1">
      <alignment horizontal="center" vertical="center"/>
    </xf>
    <xf borderId="1811" fillId="117" fontId="132" numFmtId="0" xfId="0" applyAlignment="1" applyBorder="1" applyFont="1">
      <alignment horizontal="center" vertical="center"/>
    </xf>
    <xf borderId="1810" fillId="0" fontId="5" numFmtId="0" xfId="0" applyBorder="1" applyFont="1"/>
    <xf borderId="1799" fillId="0" fontId="5" numFmtId="0" xfId="0" applyBorder="1" applyFont="1"/>
    <xf borderId="1808" fillId="117" fontId="132" numFmtId="0" xfId="0" applyAlignment="1" applyBorder="1" applyFont="1">
      <alignment horizontal="center" vertical="center"/>
    </xf>
    <xf borderId="1812" fillId="117" fontId="104" numFmtId="0" xfId="0" applyAlignment="1" applyBorder="1" applyFont="1">
      <alignment horizontal="right" vertical="center"/>
    </xf>
    <xf borderId="1644" fillId="113" fontId="173" numFmtId="0" xfId="0" applyAlignment="1" applyBorder="1" applyFont="1">
      <alignment horizontal="center" readingOrder="0" vertical="center"/>
    </xf>
    <xf borderId="1802" fillId="117" fontId="104" numFmtId="0" xfId="0" applyAlignment="1" applyBorder="1" applyFont="1">
      <alignment horizontal="right" vertical="center"/>
    </xf>
    <xf borderId="1801" fillId="117" fontId="153" numFmtId="0" xfId="0" applyAlignment="1" applyBorder="1" applyFont="1">
      <alignment horizontal="center" vertical="center"/>
    </xf>
    <xf borderId="1802" fillId="117" fontId="102" numFmtId="0" xfId="0" applyAlignment="1" applyBorder="1" applyFont="1">
      <alignment horizontal="right" vertical="center"/>
    </xf>
    <xf borderId="1802" fillId="117" fontId="160" numFmtId="0" xfId="0" applyAlignment="1" applyBorder="1" applyFont="1">
      <alignment horizontal="center" vertical="center"/>
    </xf>
    <xf borderId="1810" fillId="117" fontId="160" numFmtId="0" xfId="0" applyAlignment="1" applyBorder="1" applyFont="1">
      <alignment horizontal="center" vertical="top"/>
    </xf>
    <xf borderId="1813" fillId="117" fontId="160" numFmtId="0" xfId="0" applyAlignment="1" applyBorder="1" applyFont="1">
      <alignment horizontal="center" vertical="top"/>
    </xf>
    <xf borderId="1810" fillId="117" fontId="160" numFmtId="0" xfId="0" applyAlignment="1" applyBorder="1" applyFont="1">
      <alignment horizontal="center" vertical="center"/>
    </xf>
    <xf borderId="1810" fillId="117" fontId="143" numFmtId="0" xfId="0" applyAlignment="1" applyBorder="1" applyFont="1">
      <alignment horizontal="center" vertical="center"/>
    </xf>
    <xf borderId="1814" fillId="117" fontId="161" numFmtId="0" xfId="0" applyAlignment="1" applyBorder="1" applyFont="1">
      <alignment horizontal="center" vertical="center"/>
    </xf>
    <xf borderId="1810" fillId="117" fontId="161" numFmtId="0" xfId="0" applyAlignment="1" applyBorder="1" applyFont="1">
      <alignment horizontal="center" vertical="center"/>
    </xf>
    <xf borderId="1806" fillId="117" fontId="153" numFmtId="0" xfId="0" applyAlignment="1" applyBorder="1" applyFont="1">
      <alignment horizontal="center" vertical="center"/>
    </xf>
    <xf borderId="1801" fillId="117" fontId="162" numFmtId="0" xfId="0" applyAlignment="1" applyBorder="1" applyFont="1">
      <alignment horizontal="center" vertical="center"/>
    </xf>
    <xf borderId="1811" fillId="117" fontId="140" numFmtId="0" xfId="0" applyAlignment="1" applyBorder="1" applyFont="1">
      <alignment horizontal="center" vertical="center"/>
    </xf>
    <xf borderId="1811" fillId="117" fontId="116" numFmtId="0" xfId="0" applyAlignment="1" applyBorder="1" applyFont="1">
      <alignment horizontal="center" vertical="center"/>
    </xf>
    <xf borderId="1815" fillId="117" fontId="162" numFmtId="0" xfId="0" applyAlignment="1" applyBorder="1" applyFont="1">
      <alignment horizontal="center" vertical="center"/>
    </xf>
    <xf borderId="1816" fillId="117" fontId="102" numFmtId="0" xfId="0" applyAlignment="1" applyBorder="1" applyFont="1">
      <alignment horizontal="right" readingOrder="0" vertical="center"/>
    </xf>
    <xf borderId="1802" fillId="117" fontId="33" numFmtId="0" xfId="0" applyAlignment="1" applyBorder="1" applyFont="1">
      <alignment horizontal="center" readingOrder="0" vertical="center"/>
    </xf>
    <xf borderId="1810" fillId="117" fontId="103" numFmtId="0" xfId="0" applyAlignment="1" applyBorder="1" applyFont="1">
      <alignment horizontal="center" readingOrder="0" vertical="center"/>
    </xf>
    <xf borderId="1802" fillId="117" fontId="103" numFmtId="0" xfId="0" applyAlignment="1" applyBorder="1" applyFont="1">
      <alignment horizontal="center" readingOrder="0" vertical="center"/>
    </xf>
    <xf borderId="1799" fillId="117" fontId="103" numFmtId="0" xfId="0" applyAlignment="1" applyBorder="1" applyFont="1">
      <alignment horizontal="center" readingOrder="0" vertical="center"/>
    </xf>
    <xf borderId="1817" fillId="117" fontId="154" numFmtId="0" xfId="0" applyAlignment="1" applyBorder="1" applyFont="1">
      <alignment horizontal="center" vertical="center"/>
    </xf>
    <xf borderId="339" fillId="77" fontId="104" numFmtId="0" xfId="0" applyAlignment="1" applyBorder="1" applyFont="1">
      <alignment horizontal="right" vertical="center"/>
    </xf>
    <xf borderId="1066" fillId="77" fontId="131" numFmtId="0" xfId="0" applyAlignment="1" applyBorder="1" applyFont="1">
      <alignment horizontal="center" vertical="center"/>
    </xf>
    <xf borderId="1804" fillId="117" fontId="132" numFmtId="0" xfId="0" applyAlignment="1" applyBorder="1" applyFont="1">
      <alignment horizontal="center" vertical="center"/>
    </xf>
    <xf borderId="1805" fillId="117" fontId="154" numFmtId="0" xfId="0" applyAlignment="1" applyBorder="1" applyFont="1">
      <alignment horizontal="center" vertical="center"/>
    </xf>
    <xf borderId="1808" fillId="0" fontId="5" numFmtId="0" xfId="0" applyBorder="1" applyFont="1"/>
    <xf borderId="1818" fillId="0" fontId="5" numFmtId="0" xfId="0" applyBorder="1" applyFont="1"/>
    <xf borderId="1812" fillId="117" fontId="154" numFmtId="0" xfId="0" applyAlignment="1" applyBorder="1" applyFont="1">
      <alignment horizontal="center" vertical="center"/>
    </xf>
    <xf borderId="1817" fillId="117" fontId="132" numFmtId="0" xfId="0" applyAlignment="1" applyBorder="1" applyFont="1">
      <alignment horizontal="center" vertical="center"/>
    </xf>
    <xf borderId="345" fillId="118" fontId="104" numFmtId="0" xfId="0" applyAlignment="1" applyBorder="1" applyFill="1" applyFont="1">
      <alignment horizontal="right" readingOrder="0" vertical="center"/>
    </xf>
    <xf borderId="1819" fillId="118" fontId="130" numFmtId="0" xfId="0" applyAlignment="1" applyBorder="1" applyFont="1">
      <alignment horizontal="center" readingOrder="0" vertical="center"/>
    </xf>
    <xf borderId="1820" fillId="0" fontId="5" numFmtId="0" xfId="0" applyBorder="1" applyFont="1"/>
    <xf borderId="1821" fillId="0" fontId="5" numFmtId="0" xfId="0" applyBorder="1" applyFont="1"/>
    <xf borderId="1822" fillId="0" fontId="5" numFmtId="0" xfId="0" applyBorder="1" applyFont="1"/>
    <xf borderId="1806" fillId="117" fontId="132" numFmtId="0" xfId="0" applyAlignment="1" applyBorder="1" applyFont="1">
      <alignment horizontal="center" vertical="center"/>
    </xf>
    <xf borderId="1817" fillId="117" fontId="146" numFmtId="0" xfId="0" applyAlignment="1" applyBorder="1" applyFont="1">
      <alignment horizontal="center" vertical="center"/>
    </xf>
    <xf borderId="1823" fillId="118" fontId="131" numFmtId="0" xfId="0" applyAlignment="1" applyBorder="1" applyFont="1">
      <alignment horizontal="center" readingOrder="0" vertical="top"/>
    </xf>
    <xf borderId="1824" fillId="0" fontId="5" numFmtId="0" xfId="0" applyBorder="1" applyFont="1"/>
    <xf borderId="1825" fillId="0" fontId="5" numFmtId="0" xfId="0" applyBorder="1" applyFont="1"/>
    <xf borderId="1811" fillId="117" fontId="158" numFmtId="0" xfId="0" applyAlignment="1" applyBorder="1" applyFont="1">
      <alignment horizontal="center" vertical="center"/>
    </xf>
    <xf borderId="1806" fillId="117" fontId="146" numFmtId="0" xfId="0" applyAlignment="1" applyBorder="1" applyFont="1">
      <alignment horizontal="center" vertical="center"/>
    </xf>
    <xf borderId="1826" fillId="118" fontId="132" numFmtId="0" xfId="0" applyAlignment="1" applyBorder="1" applyFont="1">
      <alignment horizontal="center" vertical="center"/>
    </xf>
    <xf borderId="1827" fillId="118" fontId="132" numFmtId="0" xfId="0" applyAlignment="1" applyBorder="1" applyFont="1">
      <alignment horizontal="right" vertical="top"/>
    </xf>
    <xf borderId="1827" fillId="118" fontId="132" numFmtId="0" xfId="0" applyAlignment="1" applyBorder="1" applyFont="1">
      <alignment horizontal="left" vertical="top"/>
    </xf>
    <xf borderId="1828" fillId="118" fontId="132" numFmtId="0" xfId="0" applyAlignment="1" applyBorder="1" applyFont="1">
      <alignment horizontal="center" vertical="top"/>
    </xf>
    <xf borderId="1829" fillId="118" fontId="132" numFmtId="0" xfId="0" applyAlignment="1" applyBorder="1" applyFont="1">
      <alignment horizontal="center" vertical="center"/>
    </xf>
    <xf borderId="1830" fillId="118" fontId="132" numFmtId="0" xfId="0" applyAlignment="1" applyBorder="1" applyFont="1">
      <alignment horizontal="center" vertical="top"/>
    </xf>
    <xf borderId="1831" fillId="118" fontId="132" numFmtId="0" xfId="0" applyAlignment="1" applyBorder="1" applyFont="1">
      <alignment horizontal="center" vertical="top"/>
    </xf>
    <xf borderId="1832" fillId="118" fontId="132" numFmtId="0" xfId="0" applyAlignment="1" applyBorder="1" applyFont="1">
      <alignment horizontal="center" readingOrder="0" vertical="center"/>
    </xf>
    <xf borderId="1833" fillId="0" fontId="5" numFmtId="0" xfId="0" applyBorder="1" applyFont="1"/>
    <xf borderId="1834" fillId="0" fontId="5" numFmtId="0" xfId="0" applyBorder="1" applyFont="1"/>
    <xf borderId="1835" fillId="118" fontId="132" numFmtId="0" xfId="0" applyAlignment="1" applyBorder="1" applyFont="1">
      <alignment horizontal="center" readingOrder="0" vertical="center"/>
    </xf>
    <xf borderId="1836" fillId="0" fontId="5" numFmtId="0" xfId="0" applyBorder="1" applyFont="1"/>
    <xf borderId="1837" fillId="0" fontId="5" numFmtId="0" xfId="0" applyBorder="1" applyFont="1"/>
    <xf borderId="1838" fillId="118" fontId="132" numFmtId="0" xfId="0" applyAlignment="1" applyBorder="1" applyFont="1">
      <alignment horizontal="center" readingOrder="0" vertical="center"/>
    </xf>
    <xf borderId="1839" fillId="0" fontId="5" numFmtId="0" xfId="0" applyBorder="1" applyFont="1"/>
    <xf borderId="1840" fillId="0" fontId="5" numFmtId="0" xfId="0" applyBorder="1" applyFont="1"/>
    <xf borderId="1841" fillId="118" fontId="132" numFmtId="0" xfId="0" applyAlignment="1" applyBorder="1" applyFont="1">
      <alignment horizontal="center" readingOrder="0" vertical="center"/>
    </xf>
    <xf borderId="1842" fillId="0" fontId="5" numFmtId="0" xfId="0" applyBorder="1" applyFont="1"/>
    <xf borderId="1834" fillId="118" fontId="132" numFmtId="0" xfId="0" applyAlignment="1" applyBorder="1" applyFont="1">
      <alignment horizontal="center" readingOrder="0" vertical="center"/>
    </xf>
    <xf borderId="1843" fillId="0" fontId="5" numFmtId="0" xfId="0" applyBorder="1" applyFont="1"/>
    <xf borderId="1837" fillId="118" fontId="132" numFmtId="0" xfId="0" applyAlignment="1" applyBorder="1" applyFont="1">
      <alignment horizontal="center" readingOrder="0" vertical="center"/>
    </xf>
    <xf borderId="1844" fillId="118" fontId="132" numFmtId="0" xfId="0" applyAlignment="1" applyBorder="1" applyFont="1">
      <alignment horizontal="center" readingOrder="0" vertical="center"/>
    </xf>
    <xf borderId="1845" fillId="0" fontId="5" numFmtId="0" xfId="0" applyBorder="1" applyFont="1"/>
    <xf borderId="1846" fillId="0" fontId="5" numFmtId="0" xfId="0" applyBorder="1" applyFont="1"/>
    <xf borderId="1847" fillId="118" fontId="132" numFmtId="0" xfId="0" applyAlignment="1" applyBorder="1" applyFont="1">
      <alignment horizontal="center" readingOrder="0" vertical="center"/>
    </xf>
    <xf borderId="1848" fillId="0" fontId="5" numFmtId="0" xfId="0" applyBorder="1" applyFont="1"/>
    <xf borderId="1849" fillId="0" fontId="5" numFmtId="0" xfId="0" applyBorder="1" applyFont="1"/>
    <xf borderId="1802" fillId="117" fontId="160" numFmtId="0" xfId="0" applyAlignment="1" applyBorder="1" applyFont="1">
      <alignment horizontal="center" vertical="top"/>
    </xf>
    <xf borderId="1802" fillId="117" fontId="143" numFmtId="0" xfId="0" applyAlignment="1" applyBorder="1" applyFont="1">
      <alignment horizontal="center" vertical="center"/>
    </xf>
    <xf borderId="1802" fillId="117" fontId="161" numFmtId="0" xfId="0" applyAlignment="1" applyBorder="1" applyFont="1">
      <alignment horizontal="center" vertical="center"/>
    </xf>
    <xf borderId="378" fillId="77" fontId="115" numFmtId="0" xfId="0" applyAlignment="1" applyBorder="1" applyFont="1">
      <alignment horizontal="center" readingOrder="0" vertical="top"/>
    </xf>
    <xf borderId="1850" fillId="117" fontId="116" numFmtId="0" xfId="0" applyAlignment="1" applyBorder="1" applyFont="1">
      <alignment horizontal="center" vertical="center"/>
    </xf>
    <xf borderId="1851" fillId="117" fontId="140" numFmtId="0" xfId="0" applyAlignment="1" applyBorder="1" applyFont="1">
      <alignment horizontal="center" vertical="center"/>
    </xf>
    <xf borderId="1802" fillId="117" fontId="140" numFmtId="0" xfId="0" applyAlignment="1" applyBorder="1" applyFont="1">
      <alignment horizontal="center" vertical="center"/>
    </xf>
    <xf borderId="1806" fillId="117" fontId="162" numFmtId="0" xfId="0" applyAlignment="1" applyBorder="1" applyFont="1">
      <alignment horizontal="center" vertical="center"/>
    </xf>
    <xf borderId="1852" fillId="77" fontId="115" numFmtId="0" xfId="0" applyAlignment="1" applyBorder="1" applyFont="1">
      <alignment horizontal="center" readingOrder="0" vertical="center"/>
    </xf>
    <xf borderId="1853" fillId="77" fontId="115" numFmtId="0" xfId="0" applyAlignment="1" applyBorder="1" applyFont="1">
      <alignment horizontal="center" readingOrder="0" vertical="center"/>
    </xf>
    <xf borderId="1854" fillId="77" fontId="115" numFmtId="0" xfId="0" applyAlignment="1" applyBorder="1" applyFont="1">
      <alignment horizontal="left" readingOrder="0" vertical="center"/>
    </xf>
    <xf borderId="1855" fillId="0" fontId="5" numFmtId="0" xfId="0" applyBorder="1" applyFont="1"/>
    <xf borderId="1856" fillId="77" fontId="115" numFmtId="0" xfId="0" applyAlignment="1" applyBorder="1" applyFont="1">
      <alignment horizontal="center" readingOrder="0" vertical="center"/>
    </xf>
    <xf borderId="1857" fillId="77" fontId="115" numFmtId="0" xfId="0" applyAlignment="1" applyBorder="1" applyFont="1">
      <alignment horizontal="center" readingOrder="0" vertical="center"/>
    </xf>
    <xf borderId="1858" fillId="77" fontId="115" numFmtId="0" xfId="0" applyAlignment="1" applyBorder="1" applyFont="1">
      <alignment horizontal="left" readingOrder="0" vertical="center"/>
    </xf>
    <xf borderId="1859" fillId="0" fontId="5" numFmtId="0" xfId="0" applyBorder="1" applyFont="1"/>
    <xf borderId="1860" fillId="77" fontId="115" numFmtId="0" xfId="0" applyAlignment="1" applyBorder="1" applyFont="1">
      <alignment horizontal="center" readingOrder="0" vertical="center"/>
    </xf>
    <xf borderId="1861" fillId="77" fontId="115" numFmtId="0" xfId="0" applyAlignment="1" applyBorder="1" applyFont="1">
      <alignment horizontal="center" readingOrder="0" vertical="center"/>
    </xf>
    <xf borderId="1862" fillId="77" fontId="115" numFmtId="0" xfId="0" applyAlignment="1" applyBorder="1" applyFont="1">
      <alignment horizontal="left" readingOrder="0" vertical="center"/>
    </xf>
    <xf borderId="1863" fillId="0" fontId="5" numFmtId="0" xfId="0" applyBorder="1" applyFont="1"/>
    <xf borderId="395" fillId="77" fontId="115" numFmtId="0" xfId="0" applyAlignment="1" applyBorder="1" applyFont="1">
      <alignment horizontal="right" readingOrder="0" vertical="center"/>
    </xf>
    <xf borderId="1864" fillId="117" fontId="154" numFmtId="0" xfId="0" applyAlignment="1" applyBorder="1" applyFont="1">
      <alignment horizontal="center" vertical="center"/>
    </xf>
    <xf borderId="1865" fillId="117" fontId="102" numFmtId="0" xfId="0" applyAlignment="1" applyBorder="1" applyFont="1">
      <alignment horizontal="right" readingOrder="0" vertical="center"/>
    </xf>
    <xf borderId="1866" fillId="117" fontId="33" numFmtId="0" xfId="0" applyAlignment="1" applyBorder="1" applyFont="1">
      <alignment horizontal="center" readingOrder="0" vertical="center"/>
    </xf>
    <xf borderId="1865" fillId="117" fontId="33" numFmtId="0" xfId="0" applyAlignment="1" applyBorder="1" applyFont="1">
      <alignment horizontal="center" readingOrder="0" vertical="center"/>
    </xf>
    <xf borderId="1867" fillId="117" fontId="33" numFmtId="0" xfId="0" applyAlignment="1" applyBorder="1" applyFont="1">
      <alignment horizontal="center" readingOrder="0" vertical="center"/>
    </xf>
    <xf borderId="1868" fillId="117" fontId="154" numFmtId="0" xfId="0" applyAlignment="1" applyBorder="1" applyFont="1">
      <alignment horizontal="center" vertical="center"/>
    </xf>
    <xf borderId="200" fillId="12" fontId="104" numFmtId="0" xfId="0" applyAlignment="1" applyBorder="1" applyFont="1">
      <alignment horizontal="right" vertical="center"/>
    </xf>
    <xf borderId="1869" fillId="119" fontId="154" numFmtId="0" xfId="0" applyAlignment="1" applyBorder="1" applyFill="1" applyFont="1">
      <alignment horizontal="center" vertical="center"/>
    </xf>
    <xf borderId="1870" fillId="119" fontId="154" numFmtId="0" xfId="0" applyAlignment="1" applyBorder="1" applyFont="1">
      <alignment horizontal="center" vertical="center"/>
    </xf>
    <xf borderId="1870" fillId="119" fontId="104" numFmtId="0" xfId="0" applyAlignment="1" applyBorder="1" applyFont="1">
      <alignment horizontal="right" vertical="center"/>
    </xf>
    <xf borderId="1871" fillId="119" fontId="154" numFmtId="0" xfId="0" applyAlignment="1" applyBorder="1" applyFont="1">
      <alignment horizontal="center" vertical="center"/>
    </xf>
    <xf borderId="1872" fillId="120" fontId="154" numFmtId="0" xfId="0" applyAlignment="1" applyBorder="1" applyFill="1" applyFont="1">
      <alignment horizontal="center" vertical="center"/>
    </xf>
    <xf borderId="1873" fillId="120" fontId="104" numFmtId="0" xfId="0" applyAlignment="1" applyBorder="1" applyFont="1">
      <alignment horizontal="right" vertical="center"/>
    </xf>
    <xf borderId="1873" fillId="120" fontId="154" numFmtId="0" xfId="0" applyAlignment="1" applyBorder="1" applyFont="1">
      <alignment horizontal="center" vertical="center"/>
    </xf>
    <xf borderId="1874" fillId="120" fontId="154" numFmtId="0" xfId="0" applyAlignment="1" applyBorder="1" applyFont="1">
      <alignment horizontal="center" vertical="center"/>
    </xf>
    <xf borderId="1875" fillId="120" fontId="154" numFmtId="0" xfId="0" applyAlignment="1" applyBorder="1" applyFont="1">
      <alignment horizontal="center" vertical="center"/>
    </xf>
    <xf borderId="1876" fillId="119" fontId="154" numFmtId="0" xfId="0" applyAlignment="1" applyBorder="1" applyFont="1">
      <alignment horizontal="center" vertical="center"/>
    </xf>
    <xf borderId="1871" fillId="119" fontId="154" numFmtId="0" xfId="0" applyAlignment="1" applyBorder="1" applyFont="1">
      <alignment horizontal="center"/>
    </xf>
    <xf borderId="1877" fillId="120" fontId="154" numFmtId="0" xfId="0" applyAlignment="1" applyBorder="1" applyFont="1">
      <alignment horizontal="center"/>
    </xf>
    <xf borderId="339" fillId="121" fontId="104" numFmtId="0" xfId="0" applyAlignment="1" applyBorder="1" applyFill="1" applyFont="1">
      <alignment horizontal="center" vertical="center"/>
    </xf>
    <xf borderId="1878" fillId="120" fontId="154" numFmtId="0" xfId="0" applyAlignment="1" applyBorder="1" applyFont="1">
      <alignment horizontal="center"/>
    </xf>
    <xf borderId="378" fillId="121" fontId="131" numFmtId="0" xfId="0" applyAlignment="1" applyBorder="1" applyFont="1">
      <alignment horizontal="center" vertical="center"/>
    </xf>
    <xf borderId="1879" fillId="120" fontId="132" numFmtId="0" xfId="0" applyAlignment="1" applyBorder="1" applyFont="1">
      <alignment horizontal="center" vertical="center"/>
    </xf>
    <xf borderId="1879" fillId="120" fontId="132" numFmtId="0" xfId="0" applyAlignment="1" applyBorder="1" applyFont="1">
      <alignment horizontal="center"/>
    </xf>
    <xf borderId="1880" fillId="120" fontId="154" numFmtId="0" xfId="0" applyAlignment="1" applyBorder="1" applyFont="1">
      <alignment horizontal="center"/>
    </xf>
    <xf borderId="1878" fillId="120" fontId="183" numFmtId="0" xfId="0" applyAlignment="1" applyBorder="1" applyFont="1">
      <alignment horizontal="center" readingOrder="0" vertical="center"/>
    </xf>
    <xf borderId="1881" fillId="0" fontId="5" numFmtId="0" xfId="0" applyBorder="1" applyFont="1"/>
    <xf borderId="1882" fillId="0" fontId="5" numFmtId="0" xfId="0" applyBorder="1" applyFont="1"/>
    <xf borderId="1883" fillId="120" fontId="154" numFmtId="0" xfId="0" applyAlignment="1" applyBorder="1" applyFont="1">
      <alignment horizontal="center"/>
    </xf>
    <xf borderId="1884" fillId="120" fontId="154" numFmtId="0" xfId="0" applyAlignment="1" applyBorder="1" applyFont="1">
      <alignment horizontal="center"/>
    </xf>
    <xf borderId="1876" fillId="119" fontId="154" numFmtId="0" xfId="0" applyAlignment="1" applyBorder="1" applyFont="1">
      <alignment horizontal="center"/>
    </xf>
    <xf borderId="1871" fillId="119" fontId="132" numFmtId="0" xfId="0" applyAlignment="1" applyBorder="1" applyFont="1">
      <alignment horizontal="center"/>
    </xf>
    <xf borderId="1877" fillId="120" fontId="132" numFmtId="0" xfId="0" applyAlignment="1" applyBorder="1" applyFont="1">
      <alignment horizontal="center"/>
    </xf>
    <xf borderId="885" fillId="120" fontId="104" numFmtId="0" xfId="0" applyAlignment="1" applyBorder="1" applyFont="1">
      <alignment horizontal="right" readingOrder="0" vertical="center"/>
    </xf>
    <xf borderId="1881" fillId="120" fontId="132" numFmtId="0" xfId="0" applyAlignment="1" applyBorder="1" applyFont="1">
      <alignment horizontal="center"/>
    </xf>
    <xf borderId="1885" fillId="120" fontId="130" numFmtId="0" xfId="0" applyAlignment="1" applyBorder="1" applyFont="1">
      <alignment horizontal="center" readingOrder="0" vertical="center"/>
    </xf>
    <xf borderId="1886" fillId="0" fontId="5" numFmtId="0" xfId="0" applyBorder="1" applyFont="1"/>
    <xf borderId="1887" fillId="0" fontId="5" numFmtId="0" xfId="0" applyBorder="1" applyFont="1"/>
    <xf borderId="1888" fillId="0" fontId="5" numFmtId="0" xfId="0" applyBorder="1" applyFont="1"/>
    <xf borderId="1878" fillId="120" fontId="186" numFmtId="0" xfId="0" applyAlignment="1" applyBorder="1" applyFont="1">
      <alignment horizontal="center" readingOrder="0" vertical="center"/>
    </xf>
    <xf borderId="1889" fillId="0" fontId="5" numFmtId="0" xfId="0" applyBorder="1" applyFont="1"/>
    <xf borderId="1884" fillId="120" fontId="132" numFmtId="0" xfId="0" applyAlignment="1" applyBorder="1" applyFont="1">
      <alignment horizontal="center"/>
    </xf>
    <xf borderId="1876" fillId="119" fontId="132" numFmtId="0" xfId="0" applyAlignment="1" applyBorder="1" applyFont="1">
      <alignment horizontal="center"/>
    </xf>
    <xf borderId="1871" fillId="119" fontId="158" numFmtId="0" xfId="0" applyAlignment="1" applyBorder="1" applyFont="1">
      <alignment horizontal="center"/>
    </xf>
    <xf borderId="1877" fillId="120" fontId="158" numFmtId="0" xfId="0" applyAlignment="1" applyBorder="1" applyFont="1">
      <alignment horizontal="center"/>
    </xf>
    <xf borderId="1881" fillId="120" fontId="158" numFmtId="0" xfId="0" applyAlignment="1" applyBorder="1" applyFont="1">
      <alignment horizontal="center"/>
    </xf>
    <xf borderId="1890" fillId="120" fontId="146" numFmtId="0" xfId="0" applyAlignment="1" applyBorder="1" applyFont="1">
      <alignment horizontal="center" readingOrder="0" vertical="top"/>
    </xf>
    <xf borderId="1891" fillId="0" fontId="5" numFmtId="0" xfId="0" applyBorder="1" applyFont="1"/>
    <xf borderId="1892" fillId="0" fontId="5" numFmtId="0" xfId="0" applyBorder="1" applyFont="1"/>
    <xf borderId="1878" fillId="120" fontId="187" numFmtId="0" xfId="0" applyAlignment="1" applyBorder="1" applyFont="1">
      <alignment horizontal="center" readingOrder="0" vertical="center"/>
    </xf>
    <xf borderId="1884" fillId="120" fontId="158" numFmtId="0" xfId="0" applyAlignment="1" applyBorder="1" applyFont="1">
      <alignment horizontal="center"/>
    </xf>
    <xf borderId="1876" fillId="119" fontId="158" numFmtId="0" xfId="0" applyAlignment="1" applyBorder="1" applyFont="1">
      <alignment horizontal="center"/>
    </xf>
    <xf borderId="1882" fillId="120" fontId="154" numFmtId="0" xfId="0" applyAlignment="1" applyBorder="1" applyFont="1">
      <alignment horizontal="center"/>
    </xf>
    <xf borderId="1893" fillId="120" fontId="132" numFmtId="0" xfId="0" applyAlignment="1" applyBorder="1" applyFont="1">
      <alignment horizontal="center" vertical="center"/>
    </xf>
    <xf borderId="1894" fillId="120" fontId="132" numFmtId="0" xfId="0" applyAlignment="1" applyBorder="1" applyFont="1">
      <alignment horizontal="right" vertical="top"/>
    </xf>
    <xf borderId="1894" fillId="120" fontId="132" numFmtId="0" xfId="0" applyAlignment="1" applyBorder="1" applyFont="1">
      <alignment horizontal="left" vertical="top"/>
    </xf>
    <xf borderId="1895" fillId="120" fontId="132" numFmtId="0" xfId="0" applyAlignment="1" applyBorder="1" applyFont="1">
      <alignment horizontal="center" vertical="center"/>
    </xf>
    <xf borderId="1896" fillId="120" fontId="132" numFmtId="0" xfId="0" applyAlignment="1" applyBorder="1" applyFont="1">
      <alignment horizontal="center" vertical="top"/>
    </xf>
    <xf borderId="1897" fillId="0" fontId="5" numFmtId="0" xfId="0" applyBorder="1" applyFont="1"/>
    <xf borderId="1898" fillId="120" fontId="104" numFmtId="0" xfId="0" applyAlignment="1" applyBorder="1" applyFont="1">
      <alignment horizontal="right" vertical="center"/>
    </xf>
    <xf borderId="1899" fillId="120" fontId="154" numFmtId="0" xfId="0" applyAlignment="1" applyBorder="1" applyFont="1">
      <alignment horizontal="center"/>
    </xf>
    <xf borderId="1900" fillId="120" fontId="132" numFmtId="0" xfId="0" applyAlignment="1" applyBorder="1" applyFont="1">
      <alignment horizontal="center" vertical="center"/>
    </xf>
    <xf borderId="1901" fillId="120" fontId="132" numFmtId="0" xfId="0" applyAlignment="1" applyBorder="1" applyFont="1">
      <alignment horizontal="center" vertical="center"/>
    </xf>
    <xf borderId="1902" fillId="120" fontId="132" numFmtId="0" xfId="0" applyAlignment="1" applyBorder="1" applyFont="1">
      <alignment horizontal="center" vertical="center"/>
    </xf>
    <xf borderId="1899" fillId="120" fontId="154" numFmtId="0" xfId="0" applyAlignment="1" applyBorder="1" applyFont="1">
      <alignment horizontal="center"/>
    </xf>
    <xf borderId="1903" fillId="120" fontId="132" numFmtId="0" xfId="0" applyAlignment="1" applyBorder="1" applyFont="1">
      <alignment horizontal="center" readingOrder="0" vertical="center"/>
    </xf>
    <xf borderId="1904" fillId="0" fontId="5" numFmtId="0" xfId="0" applyBorder="1" applyFont="1"/>
    <xf borderId="1905" fillId="0" fontId="5" numFmtId="0" xfId="0" applyBorder="1" applyFont="1"/>
    <xf borderId="1883" fillId="120" fontId="104" numFmtId="0" xfId="0" applyAlignment="1" applyBorder="1" applyFont="1">
      <alignment horizontal="right"/>
    </xf>
    <xf borderId="1906" fillId="120" fontId="132" numFmtId="0" xfId="0" applyAlignment="1" applyBorder="1" applyFont="1">
      <alignment horizontal="center" readingOrder="0" vertical="center"/>
    </xf>
    <xf borderId="1907" fillId="0" fontId="5" numFmtId="0" xfId="0" applyBorder="1" applyFont="1"/>
    <xf borderId="1908" fillId="120" fontId="132" numFmtId="0" xfId="0" applyAlignment="1" applyBorder="1" applyFont="1">
      <alignment horizontal="center" readingOrder="0" vertical="center"/>
    </xf>
    <xf borderId="1879" fillId="0" fontId="5" numFmtId="0" xfId="0" applyBorder="1" applyFont="1"/>
    <xf borderId="1880" fillId="0" fontId="5" numFmtId="0" xfId="0" applyBorder="1" applyFont="1"/>
    <xf borderId="1909" fillId="120" fontId="132" numFmtId="0" xfId="0" applyAlignment="1" applyBorder="1" applyFont="1">
      <alignment horizontal="center" vertical="center"/>
    </xf>
    <xf borderId="1909" fillId="120" fontId="173" numFmtId="0" xfId="0" applyAlignment="1" applyBorder="1" applyFont="1">
      <alignment horizontal="center" vertical="center"/>
    </xf>
    <xf borderId="1898" fillId="0" fontId="5" numFmtId="0" xfId="0" applyBorder="1" applyFont="1"/>
    <xf borderId="1910" fillId="0" fontId="5" numFmtId="0" xfId="0" applyBorder="1" applyFont="1"/>
    <xf borderId="1911" fillId="120" fontId="132" numFmtId="0" xfId="0" applyAlignment="1" applyBorder="1" applyFont="1">
      <alignment horizontal="center" vertical="center"/>
    </xf>
    <xf borderId="1899" fillId="120" fontId="104" numFmtId="0" xfId="0" applyAlignment="1" applyBorder="1" applyFont="1">
      <alignment horizontal="right" vertical="center"/>
    </xf>
    <xf borderId="1884" fillId="120" fontId="132" numFmtId="0" xfId="0" applyAlignment="1" applyBorder="1" applyFont="1">
      <alignment horizontal="center" vertical="center"/>
    </xf>
    <xf borderId="1912" fillId="120" fontId="132" numFmtId="0" xfId="0" applyAlignment="1" applyBorder="1" applyFont="1">
      <alignment horizontal="center" readingOrder="0" vertical="center"/>
    </xf>
    <xf borderId="1913" fillId="0" fontId="5" numFmtId="0" xfId="0" applyBorder="1" applyFont="1"/>
    <xf borderId="1914" fillId="0" fontId="5" numFmtId="0" xfId="0" applyBorder="1" applyFont="1"/>
    <xf borderId="1915" fillId="0" fontId="5" numFmtId="0" xfId="0" applyBorder="1" applyFont="1"/>
    <xf borderId="1916" fillId="0" fontId="5" numFmtId="0" xfId="0" applyBorder="1" applyFont="1"/>
    <xf borderId="1917" fillId="120" fontId="132" numFmtId="0" xfId="0" applyAlignment="1" applyBorder="1" applyFont="1">
      <alignment horizontal="center" vertical="center"/>
    </xf>
    <xf borderId="1918" fillId="0" fontId="5" numFmtId="0" xfId="0" applyBorder="1" applyFont="1"/>
    <xf borderId="1871" fillId="119" fontId="159" numFmtId="0" xfId="0" applyAlignment="1" applyBorder="1" applyFont="1">
      <alignment horizontal="center" vertical="center"/>
    </xf>
    <xf borderId="1877" fillId="120" fontId="153" numFmtId="0" xfId="0" applyAlignment="1" applyBorder="1" applyFont="1">
      <alignment horizontal="center" vertical="center"/>
    </xf>
    <xf borderId="1899" fillId="120" fontId="102" numFmtId="0" xfId="0" applyAlignment="1" applyBorder="1" applyFont="1">
      <alignment horizontal="right" vertical="center"/>
    </xf>
    <xf borderId="1899" fillId="120" fontId="160" numFmtId="0" xfId="0" applyAlignment="1" applyBorder="1" applyFont="1">
      <alignment horizontal="center" vertical="center"/>
    </xf>
    <xf borderId="1898" fillId="120" fontId="160" numFmtId="0" xfId="0" applyAlignment="1" applyBorder="1" applyFont="1">
      <alignment horizontal="center" vertical="top"/>
    </xf>
    <xf borderId="1889" fillId="120" fontId="160" numFmtId="0" xfId="0" applyAlignment="1" applyBorder="1" applyFont="1">
      <alignment horizontal="center" vertical="top"/>
    </xf>
    <xf borderId="1899" fillId="120" fontId="160" numFmtId="0" xfId="0" applyAlignment="1" applyBorder="1" applyFont="1">
      <alignment horizontal="center" vertical="top"/>
    </xf>
    <xf borderId="1899" fillId="120" fontId="143" numFmtId="0" xfId="0" applyAlignment="1" applyBorder="1" applyFont="1">
      <alignment horizontal="center" vertical="center"/>
    </xf>
    <xf borderId="1899" fillId="120" fontId="161" numFmtId="0" xfId="0" applyAlignment="1" applyBorder="1" applyFont="1">
      <alignment horizontal="center" vertical="center"/>
    </xf>
    <xf borderId="1884" fillId="120" fontId="153" numFmtId="0" xfId="0" applyAlignment="1" applyBorder="1" applyFont="1">
      <alignment horizontal="center" vertical="center"/>
    </xf>
    <xf borderId="1876" fillId="119" fontId="153" numFmtId="0" xfId="0" applyAlignment="1" applyBorder="1" applyFont="1">
      <alignment horizontal="center" vertical="center"/>
    </xf>
    <xf borderId="1871" fillId="119" fontId="157" numFmtId="0" xfId="0" applyAlignment="1" applyBorder="1" applyFont="1">
      <alignment horizontal="center" readingOrder="0" vertical="center"/>
    </xf>
    <xf borderId="1877" fillId="120" fontId="162" numFmtId="0" xfId="0" applyAlignment="1" applyBorder="1" applyFont="1">
      <alignment horizontal="center" vertical="center"/>
    </xf>
    <xf borderId="1899" fillId="120" fontId="140" numFmtId="0" xfId="0" applyAlignment="1" applyBorder="1" applyFont="1">
      <alignment horizontal="center" vertical="center"/>
    </xf>
    <xf borderId="378" fillId="16" fontId="138" numFmtId="0" xfId="0" applyAlignment="1" applyBorder="1" applyFont="1">
      <alignment horizontal="center" readingOrder="0" vertical="top"/>
    </xf>
    <xf borderId="1878" fillId="120" fontId="139" numFmtId="0" xfId="0" applyAlignment="1" applyBorder="1" applyFont="1">
      <alignment horizontal="center" vertical="center"/>
    </xf>
    <xf borderId="1899" fillId="120" fontId="139" numFmtId="0" xfId="0" applyAlignment="1" applyBorder="1" applyFont="1">
      <alignment horizontal="center" vertical="top"/>
    </xf>
    <xf borderId="1899" fillId="120" fontId="162" numFmtId="0" xfId="0" applyAlignment="1" applyBorder="1" applyFont="1">
      <alignment horizontal="center" vertical="center"/>
    </xf>
    <xf borderId="1884" fillId="120" fontId="162" numFmtId="0" xfId="0" applyAlignment="1" applyBorder="1" applyFont="1">
      <alignment horizontal="center" vertical="center"/>
    </xf>
    <xf borderId="1876" fillId="119" fontId="162" numFmtId="0" xfId="0" applyAlignment="1" applyBorder="1" applyFont="1">
      <alignment horizontal="center" vertical="center"/>
    </xf>
    <xf borderId="1919" fillId="16" fontId="138" numFmtId="0" xfId="0" applyAlignment="1" applyBorder="1" applyFont="1">
      <alignment horizontal="center" readingOrder="0" vertical="center"/>
    </xf>
    <xf borderId="1920" fillId="16" fontId="138" numFmtId="0" xfId="0" applyAlignment="1" applyBorder="1" applyFont="1">
      <alignment horizontal="center" readingOrder="0" vertical="center"/>
    </xf>
    <xf borderId="1921" fillId="16" fontId="138" numFmtId="0" xfId="0" applyAlignment="1" applyBorder="1" applyFont="1">
      <alignment horizontal="left" readingOrder="0" vertical="center"/>
    </xf>
    <xf borderId="1922" fillId="0" fontId="5" numFmtId="0" xfId="0" applyBorder="1" applyFont="1"/>
    <xf borderId="1899" fillId="120" fontId="139" numFmtId="0" xfId="0" applyAlignment="1" applyBorder="1" applyFont="1">
      <alignment horizontal="center" vertical="center"/>
    </xf>
    <xf borderId="1923" fillId="16" fontId="138" numFmtId="0" xfId="0" applyAlignment="1" applyBorder="1" applyFont="1">
      <alignment horizontal="center" readingOrder="0" vertical="center"/>
    </xf>
    <xf borderId="1924" fillId="16" fontId="138" numFmtId="0" xfId="0" applyAlignment="1" applyBorder="1" applyFont="1">
      <alignment horizontal="center" readingOrder="0" vertical="center"/>
    </xf>
    <xf borderId="1925" fillId="16" fontId="138" numFmtId="0" xfId="0" applyAlignment="1" applyBorder="1" applyFont="1">
      <alignment horizontal="left" readingOrder="0" vertical="center"/>
    </xf>
    <xf borderId="1926" fillId="0" fontId="5" numFmtId="0" xfId="0" applyBorder="1" applyFont="1"/>
    <xf borderId="1927" fillId="16" fontId="138" numFmtId="0" xfId="0" applyAlignment="1" applyBorder="1" applyFont="1">
      <alignment horizontal="center" readingOrder="0" vertical="center"/>
    </xf>
    <xf borderId="1928" fillId="16" fontId="138" numFmtId="0" xfId="0" applyAlignment="1" applyBorder="1" applyFont="1">
      <alignment horizontal="center" readingOrder="0" vertical="center"/>
    </xf>
    <xf borderId="1929" fillId="16" fontId="138" numFmtId="0" xfId="0" applyAlignment="1" applyBorder="1" applyFont="1">
      <alignment horizontal="left" readingOrder="0" vertical="center"/>
    </xf>
    <xf borderId="1930" fillId="0" fontId="5" numFmtId="0" xfId="0" applyBorder="1" applyFont="1"/>
    <xf borderId="395" fillId="16" fontId="138" numFmtId="0" xfId="0" applyAlignment="1" applyBorder="1" applyFont="1">
      <alignment horizontal="right" readingOrder="0" vertical="center"/>
    </xf>
    <xf borderId="1931" fillId="120" fontId="154" numFmtId="0" xfId="0" applyAlignment="1" applyBorder="1" applyFont="1">
      <alignment horizontal="center"/>
    </xf>
    <xf borderId="1932" fillId="120" fontId="104" numFmtId="0" xfId="0" applyAlignment="1" applyBorder="1" applyFont="1">
      <alignment horizontal="right"/>
    </xf>
    <xf borderId="1932" fillId="120" fontId="154" numFmtId="0" xfId="0" applyAlignment="1" applyBorder="1" applyFont="1">
      <alignment horizontal="center"/>
    </xf>
    <xf borderId="1932" fillId="120" fontId="154" numFmtId="0" xfId="0" applyAlignment="1" applyBorder="1" applyFont="1">
      <alignment horizontal="center" readingOrder="0" vertical="center"/>
    </xf>
    <xf borderId="1932" fillId="120" fontId="154" numFmtId="0" xfId="0" applyAlignment="1" applyBorder="1" applyFont="1">
      <alignment horizontal="center" vertical="center"/>
    </xf>
    <xf borderId="1933" fillId="120" fontId="154" numFmtId="0" xfId="0" applyAlignment="1" applyBorder="1" applyFont="1">
      <alignment horizontal="center" readingOrder="0" vertical="center"/>
    </xf>
    <xf borderId="1932" fillId="120" fontId="154" numFmtId="0" xfId="0" applyAlignment="1" applyBorder="1" applyFont="1">
      <alignment horizontal="center"/>
    </xf>
    <xf borderId="1932" fillId="120" fontId="183" numFmtId="0" xfId="0" applyAlignment="1" applyBorder="1" applyFont="1">
      <alignment horizontal="center" readingOrder="0" vertical="center"/>
    </xf>
    <xf borderId="1917" fillId="120" fontId="154" numFmtId="0" xfId="0" applyAlignment="1" applyBorder="1" applyFont="1">
      <alignment horizontal="center"/>
    </xf>
    <xf borderId="1934" fillId="122" fontId="154" numFmtId="0" xfId="0" applyAlignment="1" applyBorder="1" applyFill="1" applyFont="1">
      <alignment horizontal="center" vertical="center"/>
    </xf>
    <xf borderId="1935" fillId="122" fontId="102" numFmtId="0" xfId="0" applyAlignment="1" applyBorder="1" applyFont="1">
      <alignment horizontal="right" readingOrder="0" vertical="center"/>
    </xf>
    <xf borderId="1935" fillId="122" fontId="33" numFmtId="0" xfId="0" applyAlignment="1" applyBorder="1" applyFont="1">
      <alignment horizontal="center" readingOrder="0" vertical="center"/>
    </xf>
    <xf borderId="1936" fillId="122" fontId="33" numFmtId="0" xfId="0" applyAlignment="1" applyBorder="1" applyFont="1">
      <alignment horizontal="center" readingOrder="0" vertical="center"/>
    </xf>
    <xf borderId="1937" fillId="122" fontId="154" numFmtId="0" xfId="0" applyAlignment="1" applyBorder="1" applyFont="1">
      <alignment horizontal="center" vertical="center"/>
    </xf>
    <xf borderId="1938" fillId="122" fontId="154" numFmtId="0" xfId="0" applyAlignment="1" applyBorder="1" applyFont="1">
      <alignment horizontal="center"/>
    </xf>
    <xf borderId="339" fillId="17" fontId="104" numFmtId="0" xfId="0" applyAlignment="1" applyBorder="1" applyFont="1">
      <alignment horizontal="center" vertical="center"/>
    </xf>
    <xf borderId="1939" fillId="122" fontId="154" numFmtId="0" xfId="0" applyAlignment="1" applyBorder="1" applyFont="1">
      <alignment horizontal="center"/>
    </xf>
    <xf borderId="378" fillId="17" fontId="131" numFmtId="0" xfId="0" applyAlignment="1" applyBorder="1" applyFont="1">
      <alignment horizontal="center" vertical="center"/>
    </xf>
    <xf borderId="1940" fillId="122" fontId="132" numFmtId="0" xfId="0" applyAlignment="1" applyBorder="1" applyFont="1">
      <alignment horizontal="center" vertical="center"/>
    </xf>
    <xf borderId="1941" fillId="122" fontId="154" numFmtId="0" xfId="0" applyAlignment="1" applyBorder="1" applyFont="1">
      <alignment horizontal="center"/>
    </xf>
    <xf borderId="1939" fillId="122" fontId="154" numFmtId="0" xfId="0" applyAlignment="1" applyBorder="1" applyFont="1">
      <alignment horizontal="center" vertical="center"/>
    </xf>
    <xf borderId="1942" fillId="0" fontId="5" numFmtId="0" xfId="0" applyBorder="1" applyFont="1"/>
    <xf borderId="1943" fillId="0" fontId="5" numFmtId="0" xfId="0" applyBorder="1" applyFont="1"/>
    <xf borderId="1944" fillId="122" fontId="154" numFmtId="0" xfId="0" applyAlignment="1" applyBorder="1" applyFont="1">
      <alignment horizontal="center" vertical="center"/>
    </xf>
    <xf borderId="1944" fillId="122" fontId="154" numFmtId="0" xfId="0" applyAlignment="1" applyBorder="1" applyFont="1">
      <alignment horizontal="center"/>
    </xf>
    <xf borderId="1945" fillId="122" fontId="154" numFmtId="0" xfId="0" applyAlignment="1" applyBorder="1" applyFont="1">
      <alignment horizontal="center"/>
    </xf>
    <xf borderId="1938" fillId="122" fontId="132" numFmtId="0" xfId="0" applyAlignment="1" applyBorder="1" applyFont="1">
      <alignment horizontal="center"/>
    </xf>
    <xf borderId="885" fillId="122" fontId="104" numFmtId="0" xfId="0" applyAlignment="1" applyBorder="1" applyFont="1">
      <alignment horizontal="right" readingOrder="0" vertical="center"/>
    </xf>
    <xf borderId="1939" fillId="122" fontId="132" numFmtId="0" xfId="0" applyAlignment="1" applyBorder="1" applyFont="1">
      <alignment horizontal="center"/>
    </xf>
    <xf borderId="1946" fillId="122" fontId="130" numFmtId="0" xfId="0" applyAlignment="1" applyBorder="1" applyFont="1">
      <alignment horizontal="center" readingOrder="0" vertical="center"/>
    </xf>
    <xf borderId="1947" fillId="0" fontId="5" numFmtId="0" xfId="0" applyBorder="1" applyFont="1"/>
    <xf borderId="1948" fillId="0" fontId="5" numFmtId="0" xfId="0" applyBorder="1" applyFont="1"/>
    <xf borderId="1949" fillId="0" fontId="5" numFmtId="0" xfId="0" applyBorder="1" applyFont="1"/>
    <xf borderId="1939" fillId="122" fontId="132" numFmtId="0" xfId="0" applyAlignment="1" applyBorder="1" applyFont="1">
      <alignment horizontal="center" vertical="center"/>
    </xf>
    <xf borderId="1936" fillId="0" fontId="5" numFmtId="0" xfId="0" applyBorder="1" applyFont="1"/>
    <xf borderId="1945" fillId="122" fontId="132" numFmtId="0" xfId="0" applyAlignment="1" applyBorder="1" applyFont="1">
      <alignment horizontal="center"/>
    </xf>
    <xf borderId="1938" fillId="122" fontId="158" numFmtId="0" xfId="0" applyAlignment="1" applyBorder="1" applyFont="1">
      <alignment horizontal="center"/>
    </xf>
    <xf borderId="1939" fillId="122" fontId="158" numFmtId="0" xfId="0" applyAlignment="1" applyBorder="1" applyFont="1">
      <alignment horizontal="center"/>
    </xf>
    <xf borderId="1950" fillId="122" fontId="146" numFmtId="0" xfId="0" applyAlignment="1" applyBorder="1" applyFont="1">
      <alignment horizontal="center" readingOrder="0" vertical="top"/>
    </xf>
    <xf borderId="1951" fillId="0" fontId="5" numFmtId="0" xfId="0" applyBorder="1" applyFont="1"/>
    <xf borderId="1952" fillId="0" fontId="5" numFmtId="0" xfId="0" applyBorder="1" applyFont="1"/>
    <xf borderId="1939" fillId="122" fontId="158" numFmtId="0" xfId="0" applyAlignment="1" applyBorder="1" applyFont="1">
      <alignment horizontal="center" vertical="center"/>
    </xf>
    <xf borderId="1945" fillId="122" fontId="158" numFmtId="0" xfId="0" applyAlignment="1" applyBorder="1" applyFont="1">
      <alignment horizontal="center"/>
    </xf>
    <xf borderId="1953" fillId="122" fontId="132" numFmtId="0" xfId="0" applyAlignment="1" applyBorder="1" applyFont="1">
      <alignment horizontal="center" vertical="center"/>
    </xf>
    <xf borderId="1954" fillId="122" fontId="132" numFmtId="0" xfId="0" applyAlignment="1" applyBorder="1" applyFont="1">
      <alignment horizontal="center" vertical="top"/>
    </xf>
    <xf borderId="1955" fillId="0" fontId="5" numFmtId="0" xfId="0" applyBorder="1" applyFont="1"/>
    <xf borderId="1956" fillId="122" fontId="132" numFmtId="0" xfId="0" applyAlignment="1" applyBorder="1" applyFont="1">
      <alignment horizontal="center" vertical="top"/>
    </xf>
    <xf borderId="1957" fillId="122" fontId="104" numFmtId="0" xfId="0" applyAlignment="1" applyBorder="1" applyFont="1">
      <alignment horizontal="right" vertical="center"/>
    </xf>
    <xf borderId="1958" fillId="122" fontId="132" numFmtId="0" xfId="0" applyAlignment="1" applyBorder="1" applyFont="1">
      <alignment horizontal="center" vertical="center"/>
    </xf>
    <xf borderId="1959" fillId="122" fontId="132" numFmtId="0" xfId="0" applyAlignment="1" applyBorder="1" applyFont="1">
      <alignment horizontal="center" vertical="top"/>
    </xf>
    <xf borderId="1960" fillId="122" fontId="132" numFmtId="0" xfId="0" applyAlignment="1" applyBorder="1" applyFont="1">
      <alignment horizontal="center" vertical="top"/>
    </xf>
    <xf borderId="1957" fillId="122" fontId="154" numFmtId="0" xfId="0" applyAlignment="1" applyBorder="1" applyFont="1">
      <alignment horizontal="center" vertical="center"/>
    </xf>
    <xf borderId="1961" fillId="122" fontId="132" numFmtId="0" xfId="0" applyAlignment="1" applyBorder="1" applyFont="1">
      <alignment horizontal="center" readingOrder="0" vertical="center"/>
    </xf>
    <xf borderId="1962" fillId="0" fontId="5" numFmtId="0" xfId="0" applyBorder="1" applyFont="1"/>
    <xf borderId="1963" fillId="0" fontId="5" numFmtId="0" xfId="0" applyBorder="1" applyFont="1"/>
    <xf borderId="1944" fillId="122" fontId="104" numFmtId="0" xfId="0" applyAlignment="1" applyBorder="1" applyFont="1">
      <alignment horizontal="right"/>
    </xf>
    <xf borderId="1964" fillId="122" fontId="132" numFmtId="0" xfId="0" applyAlignment="1" applyBorder="1" applyFont="1">
      <alignment horizontal="center" readingOrder="0" vertical="center"/>
    </xf>
    <xf borderId="1965" fillId="0" fontId="5" numFmtId="0" xfId="0" applyBorder="1" applyFont="1"/>
    <xf borderId="1966" fillId="122" fontId="132" numFmtId="0" xfId="0" applyAlignment="1" applyBorder="1" applyFont="1">
      <alignment horizontal="center" readingOrder="0" vertical="center"/>
    </xf>
    <xf borderId="1940" fillId="0" fontId="5" numFmtId="0" xfId="0" applyBorder="1" applyFont="1"/>
    <xf borderId="1941" fillId="0" fontId="5" numFmtId="0" xfId="0" applyBorder="1" applyFont="1"/>
    <xf borderId="1967" fillId="122" fontId="132" numFmtId="0" xfId="0" applyAlignment="1" applyBorder="1" applyFont="1">
      <alignment horizontal="center" vertical="center"/>
    </xf>
    <xf borderId="1935" fillId="0" fontId="5" numFmtId="0" xfId="0" applyBorder="1" applyFont="1"/>
    <xf borderId="1968" fillId="0" fontId="5" numFmtId="0" xfId="0" applyBorder="1" applyFont="1"/>
    <xf borderId="1969" fillId="122" fontId="132" numFmtId="0" xfId="0" applyAlignment="1" applyBorder="1" applyFont="1">
      <alignment horizontal="center" vertical="center"/>
    </xf>
    <xf borderId="1945" fillId="122" fontId="132" numFmtId="0" xfId="0" applyAlignment="1" applyBorder="1" applyFont="1">
      <alignment horizontal="center" vertical="center"/>
    </xf>
    <xf borderId="1970" fillId="122" fontId="132" numFmtId="0" xfId="0" applyAlignment="1" applyBorder="1" applyFont="1">
      <alignment horizontal="center" readingOrder="0" vertical="center"/>
    </xf>
    <xf borderId="1971" fillId="0" fontId="5" numFmtId="0" xfId="0" applyBorder="1" applyFont="1"/>
    <xf borderId="1972" fillId="0" fontId="5" numFmtId="0" xfId="0" applyBorder="1" applyFont="1"/>
    <xf borderId="1973" fillId="122" fontId="132" numFmtId="0" xfId="0" applyAlignment="1" applyBorder="1" applyFont="1">
      <alignment horizontal="center" vertical="center"/>
    </xf>
    <xf borderId="1974" fillId="0" fontId="5" numFmtId="0" xfId="0" applyBorder="1" applyFont="1"/>
    <xf borderId="1975" fillId="0" fontId="5" numFmtId="0" xfId="0" applyBorder="1" applyFont="1"/>
    <xf borderId="1938" fillId="122" fontId="153" numFmtId="0" xfId="0" applyAlignment="1" applyBorder="1" applyFont="1">
      <alignment horizontal="center" vertical="center"/>
    </xf>
    <xf borderId="1957" fillId="122" fontId="102" numFmtId="0" xfId="0" applyAlignment="1" applyBorder="1" applyFont="1">
      <alignment horizontal="right" vertical="center"/>
    </xf>
    <xf borderId="1957" fillId="122" fontId="160" numFmtId="0" xfId="0" applyAlignment="1" applyBorder="1" applyFont="1">
      <alignment horizontal="center" vertical="center"/>
    </xf>
    <xf borderId="1935" fillId="122" fontId="160" numFmtId="0" xfId="0" applyAlignment="1" applyBorder="1" applyFont="1">
      <alignment horizontal="center" vertical="top"/>
    </xf>
    <xf borderId="1936" fillId="122" fontId="160" numFmtId="0" xfId="0" applyAlignment="1" applyBorder="1" applyFont="1">
      <alignment horizontal="center" vertical="top"/>
    </xf>
    <xf borderId="1957" fillId="122" fontId="160" numFmtId="0" xfId="0" applyAlignment="1" applyBorder="1" applyFont="1">
      <alignment horizontal="center" vertical="top"/>
    </xf>
    <xf borderId="1957" fillId="122" fontId="143" numFmtId="0" xfId="0" applyAlignment="1" applyBorder="1" applyFont="1">
      <alignment horizontal="center" vertical="center"/>
    </xf>
    <xf borderId="1957" fillId="122" fontId="161" numFmtId="0" xfId="0" applyAlignment="1" applyBorder="1" applyFont="1">
      <alignment horizontal="center" vertical="center"/>
    </xf>
    <xf borderId="1945" fillId="122" fontId="153" numFmtId="0" xfId="0" applyAlignment="1" applyBorder="1" applyFont="1">
      <alignment horizontal="center" vertical="center"/>
    </xf>
    <xf borderId="1938" fillId="122" fontId="162" numFmtId="0" xfId="0" applyAlignment="1" applyBorder="1" applyFont="1">
      <alignment horizontal="center" vertical="center"/>
    </xf>
    <xf borderId="1957" fillId="122" fontId="140" numFmtId="0" xfId="0" applyAlignment="1" applyBorder="1" applyFont="1">
      <alignment horizontal="center" vertical="center"/>
    </xf>
    <xf borderId="378" fillId="17" fontId="138" numFmtId="0" xfId="0" applyAlignment="1" applyBorder="1" applyFont="1">
      <alignment horizontal="center" readingOrder="0" vertical="top"/>
    </xf>
    <xf borderId="1939" fillId="122" fontId="139" numFmtId="0" xfId="0" applyAlignment="1" applyBorder="1" applyFont="1">
      <alignment horizontal="center" vertical="center"/>
    </xf>
    <xf borderId="1957" fillId="122" fontId="171" numFmtId="0" xfId="0" applyAlignment="1" applyBorder="1" applyFont="1">
      <alignment horizontal="center" readingOrder="0" vertical="bottom"/>
    </xf>
    <xf borderId="1957" fillId="122" fontId="162" numFmtId="0" xfId="0" applyAlignment="1" applyBorder="1" applyFont="1">
      <alignment horizontal="center" vertical="center"/>
    </xf>
    <xf borderId="1945" fillId="122" fontId="162" numFmtId="0" xfId="0" applyAlignment="1" applyBorder="1" applyFont="1">
      <alignment horizontal="center" vertical="center"/>
    </xf>
    <xf borderId="1976" fillId="17" fontId="138" numFmtId="0" xfId="0" applyAlignment="1" applyBorder="1" applyFont="1">
      <alignment horizontal="center" readingOrder="0" vertical="center"/>
    </xf>
    <xf borderId="1977" fillId="17" fontId="138" numFmtId="0" xfId="0" applyAlignment="1" applyBorder="1" applyFont="1">
      <alignment horizontal="center" readingOrder="0" vertical="center"/>
    </xf>
    <xf borderId="1978" fillId="17" fontId="138" numFmtId="0" xfId="0" applyAlignment="1" applyBorder="1" applyFont="1">
      <alignment horizontal="left" readingOrder="0" vertical="center"/>
    </xf>
    <xf borderId="1979" fillId="0" fontId="5" numFmtId="0" xfId="0" applyBorder="1" applyFont="1"/>
    <xf borderId="1957" fillId="122" fontId="139" numFmtId="0" xfId="0" applyAlignment="1" applyBorder="1" applyFont="1">
      <alignment horizontal="center" vertical="center"/>
    </xf>
    <xf borderId="1957" fillId="122" fontId="171" numFmtId="0" xfId="0" applyAlignment="1" applyBorder="1" applyFont="1">
      <alignment horizontal="center" readingOrder="0" vertical="center"/>
    </xf>
    <xf borderId="1980" fillId="17" fontId="138" numFmtId="0" xfId="0" applyAlignment="1" applyBorder="1" applyFont="1">
      <alignment horizontal="center" readingOrder="0" vertical="center"/>
    </xf>
    <xf borderId="1981" fillId="17" fontId="138" numFmtId="0" xfId="0" applyAlignment="1" applyBorder="1" applyFont="1">
      <alignment horizontal="center" readingOrder="0" vertical="center"/>
    </xf>
    <xf borderId="1982" fillId="17" fontId="138" numFmtId="0" xfId="0" applyAlignment="1" applyBorder="1" applyFont="1">
      <alignment horizontal="left" readingOrder="0" vertical="center"/>
    </xf>
    <xf borderId="1983" fillId="0" fontId="5" numFmtId="0" xfId="0" applyBorder="1" applyFont="1"/>
    <xf borderId="1957" fillId="122" fontId="130" numFmtId="0" xfId="0" applyAlignment="1" applyBorder="1" applyFont="1">
      <alignment horizontal="center" readingOrder="0" vertical="top"/>
    </xf>
    <xf borderId="1944" fillId="122" fontId="171" numFmtId="0" xfId="0" applyAlignment="1" applyBorder="1" applyFont="1">
      <alignment horizontal="center" vertical="center"/>
    </xf>
    <xf borderId="1984" fillId="17" fontId="138" numFmtId="0" xfId="0" applyAlignment="1" applyBorder="1" applyFont="1">
      <alignment horizontal="center" readingOrder="0" vertical="center"/>
    </xf>
    <xf borderId="1985" fillId="17" fontId="138" numFmtId="0" xfId="0" applyAlignment="1" applyBorder="1" applyFont="1">
      <alignment horizontal="center" readingOrder="0" vertical="center"/>
    </xf>
    <xf borderId="1986" fillId="17" fontId="138" numFmtId="0" xfId="0" applyAlignment="1" applyBorder="1" applyFont="1">
      <alignment horizontal="left" readingOrder="0" vertical="center"/>
    </xf>
    <xf borderId="1987" fillId="0" fontId="5" numFmtId="0" xfId="0" applyBorder="1" applyFont="1"/>
    <xf borderId="395" fillId="17" fontId="138" numFmtId="0" xfId="0" applyAlignment="1" applyBorder="1" applyFont="1">
      <alignment horizontal="right" readingOrder="0" vertical="center"/>
    </xf>
    <xf borderId="1988" fillId="122" fontId="154" numFmtId="0" xfId="0" applyAlignment="1" applyBorder="1" applyFont="1">
      <alignment horizontal="center"/>
    </xf>
    <xf borderId="1989" fillId="122" fontId="104" numFmtId="0" xfId="0" applyAlignment="1" applyBorder="1" applyFont="1">
      <alignment horizontal="right"/>
    </xf>
    <xf borderId="1989" fillId="122" fontId="154" numFmtId="0" xfId="0" applyAlignment="1" applyBorder="1" applyFont="1">
      <alignment horizontal="center"/>
    </xf>
    <xf borderId="1989" fillId="122" fontId="154" numFmtId="0" xfId="0" applyAlignment="1" applyBorder="1" applyFont="1">
      <alignment horizontal="center" readingOrder="0" vertical="center"/>
    </xf>
    <xf borderId="1989" fillId="122" fontId="154" numFmtId="0" xfId="0" applyAlignment="1" applyBorder="1" applyFont="1">
      <alignment horizontal="center" vertical="center"/>
    </xf>
    <xf borderId="1990" fillId="122" fontId="154" numFmtId="0" xfId="0" applyAlignment="1" applyBorder="1" applyFont="1">
      <alignment horizontal="center" readingOrder="0" vertical="center"/>
    </xf>
    <xf borderId="1989" fillId="122" fontId="154" numFmtId="0" xfId="0" applyAlignment="1" applyBorder="1" applyFont="1">
      <alignment horizontal="center"/>
    </xf>
    <xf borderId="1989" fillId="122" fontId="140" numFmtId="0" xfId="0" applyAlignment="1" applyBorder="1" applyFont="1">
      <alignment horizontal="center" vertical="center"/>
    </xf>
    <xf borderId="1989" fillId="122" fontId="162" numFmtId="0" xfId="0" applyAlignment="1" applyBorder="1" applyFont="1">
      <alignment horizontal="center" vertical="center"/>
    </xf>
    <xf borderId="1989" fillId="122" fontId="154" numFmtId="0" xfId="0" applyAlignment="1" applyBorder="1" applyFont="1">
      <alignment horizontal="center" vertical="center"/>
    </xf>
    <xf borderId="1973" fillId="122" fontId="154" numFmtId="0" xfId="0" applyAlignment="1" applyBorder="1" applyFont="1">
      <alignment horizontal="center"/>
    </xf>
    <xf borderId="1991" fillId="123" fontId="154" numFmtId="0" xfId="0" applyAlignment="1" applyBorder="1" applyFill="1" applyFont="1">
      <alignment horizontal="center" vertical="center"/>
    </xf>
    <xf borderId="1992" fillId="123" fontId="102" numFmtId="0" xfId="0" applyAlignment="1" applyBorder="1" applyFont="1">
      <alignment horizontal="right" readingOrder="0" vertical="center"/>
    </xf>
    <xf borderId="1992" fillId="123" fontId="33" numFmtId="0" xfId="0" applyAlignment="1" applyBorder="1" applyFont="1">
      <alignment horizontal="center" readingOrder="0" vertical="center"/>
    </xf>
    <xf borderId="1993" fillId="123" fontId="154" numFmtId="0" xfId="0" applyAlignment="1" applyBorder="1" applyFont="1">
      <alignment horizontal="center" vertical="center"/>
    </xf>
    <xf borderId="1994" fillId="123" fontId="154" numFmtId="0" xfId="0" applyAlignment="1" applyBorder="1" applyFont="1">
      <alignment horizontal="center" vertical="center"/>
    </xf>
    <xf borderId="339" fillId="18" fontId="104" numFmtId="0" xfId="0" applyAlignment="1" applyBorder="1" applyFont="1">
      <alignment horizontal="center" vertical="center"/>
    </xf>
    <xf borderId="1995" fillId="123" fontId="156" numFmtId="0" xfId="0" applyAlignment="1" applyBorder="1" applyFont="1">
      <alignment horizontal="center" vertical="center"/>
    </xf>
    <xf borderId="1066" fillId="18" fontId="131" numFmtId="0" xfId="0" applyAlignment="1" applyBorder="1" applyFont="1">
      <alignment horizontal="center" vertical="center"/>
    </xf>
    <xf borderId="1996" fillId="123" fontId="132" numFmtId="0" xfId="0" applyAlignment="1" applyBorder="1" applyFont="1">
      <alignment horizontal="center" vertical="center"/>
    </xf>
    <xf borderId="1997" fillId="123" fontId="154" numFmtId="0" xfId="0" applyAlignment="1" applyBorder="1" applyFont="1">
      <alignment horizontal="center" vertical="center"/>
    </xf>
    <xf borderId="1995" fillId="123" fontId="154" numFmtId="0" xfId="0" applyAlignment="1" applyBorder="1" applyFont="1">
      <alignment horizontal="center" vertical="center"/>
    </xf>
    <xf borderId="1998" fillId="0" fontId="5" numFmtId="0" xfId="0" applyBorder="1" applyFont="1"/>
    <xf borderId="1999" fillId="0" fontId="5" numFmtId="0" xfId="0" applyBorder="1" applyFont="1"/>
    <xf borderId="2000" fillId="123" fontId="154" numFmtId="0" xfId="0" applyAlignment="1" applyBorder="1" applyFont="1">
      <alignment horizontal="center" vertical="center"/>
    </xf>
    <xf borderId="2001" fillId="123" fontId="154" numFmtId="0" xfId="0" applyAlignment="1" applyBorder="1" applyFont="1">
      <alignment horizontal="center" vertical="center"/>
    </xf>
    <xf borderId="1871" fillId="119" fontId="132" numFmtId="0" xfId="0" applyAlignment="1" applyBorder="1" applyFont="1">
      <alignment horizontal="center" vertical="center"/>
    </xf>
    <xf borderId="1994" fillId="123" fontId="132" numFmtId="0" xfId="0" applyAlignment="1" applyBorder="1" applyFont="1">
      <alignment horizontal="center" vertical="center"/>
    </xf>
    <xf borderId="885" fillId="123" fontId="104" numFmtId="0" xfId="0" applyAlignment="1" applyBorder="1" applyFont="1">
      <alignment horizontal="right" readingOrder="0" vertical="center"/>
    </xf>
    <xf borderId="1995" fillId="123" fontId="132" numFmtId="0" xfId="0" applyAlignment="1" applyBorder="1" applyFont="1">
      <alignment horizontal="center" readingOrder="0" vertical="center"/>
    </xf>
    <xf borderId="2002" fillId="123" fontId="130" numFmtId="0" xfId="0" applyAlignment="1" applyBorder="1" applyFont="1">
      <alignment horizontal="center" readingOrder="0" vertical="center"/>
    </xf>
    <xf borderId="2003" fillId="0" fontId="5" numFmtId="0" xfId="0" applyBorder="1" applyFont="1"/>
    <xf borderId="2004" fillId="0" fontId="5" numFmtId="0" xfId="0" applyBorder="1" applyFont="1"/>
    <xf borderId="2005" fillId="0" fontId="5" numFmtId="0" xfId="0" applyBorder="1" applyFont="1"/>
    <xf borderId="1995" fillId="123" fontId="132" numFmtId="0" xfId="0" applyAlignment="1" applyBorder="1" applyFont="1">
      <alignment horizontal="center" vertical="center"/>
    </xf>
    <xf borderId="2006" fillId="0" fontId="5" numFmtId="0" xfId="0" applyBorder="1" applyFont="1"/>
    <xf borderId="2001" fillId="123" fontId="132" numFmtId="0" xfId="0" applyAlignment="1" applyBorder="1" applyFont="1">
      <alignment horizontal="center" vertical="center"/>
    </xf>
    <xf borderId="1876" fillId="119" fontId="132" numFmtId="0" xfId="0" applyAlignment="1" applyBorder="1" applyFont="1">
      <alignment horizontal="center" vertical="center"/>
    </xf>
    <xf borderId="1871" fillId="119" fontId="158" numFmtId="0" xfId="0" applyAlignment="1" applyBorder="1" applyFont="1">
      <alignment horizontal="center" vertical="center"/>
    </xf>
    <xf borderId="1994" fillId="123" fontId="158" numFmtId="0" xfId="0" applyAlignment="1" applyBorder="1" applyFont="1">
      <alignment horizontal="center" vertical="center"/>
    </xf>
    <xf borderId="1995" fillId="123" fontId="158" numFmtId="0" xfId="0" applyAlignment="1" applyBorder="1" applyFont="1">
      <alignment horizontal="center" readingOrder="0" vertical="center"/>
    </xf>
    <xf borderId="2007" fillId="123" fontId="146" numFmtId="0" xfId="0" applyAlignment="1" applyBorder="1" applyFont="1">
      <alignment horizontal="center" readingOrder="0" vertical="top"/>
    </xf>
    <xf borderId="2008" fillId="0" fontId="5" numFmtId="0" xfId="0" applyBorder="1" applyFont="1"/>
    <xf borderId="2009" fillId="0" fontId="5" numFmtId="0" xfId="0" applyBorder="1" applyFont="1"/>
    <xf borderId="1995" fillId="123" fontId="158" numFmtId="0" xfId="0" applyAlignment="1" applyBorder="1" applyFont="1">
      <alignment horizontal="center" vertical="center"/>
    </xf>
    <xf borderId="2001" fillId="123" fontId="158" numFmtId="0" xfId="0" applyAlignment="1" applyBorder="1" applyFont="1">
      <alignment horizontal="center" vertical="center"/>
    </xf>
    <xf borderId="1876" fillId="119" fontId="158" numFmtId="0" xfId="0" applyAlignment="1" applyBorder="1" applyFont="1">
      <alignment horizontal="center" vertical="center"/>
    </xf>
    <xf borderId="2010" fillId="123" fontId="154" numFmtId="0" xfId="0" applyAlignment="1" applyBorder="1" applyFont="1">
      <alignment horizontal="center" vertical="center"/>
    </xf>
    <xf borderId="2011" fillId="123" fontId="132" numFmtId="0" xfId="0" applyAlignment="1" applyBorder="1" applyFont="1">
      <alignment horizontal="center" vertical="center"/>
    </xf>
    <xf borderId="2012" fillId="123" fontId="132" numFmtId="0" xfId="0" applyAlignment="1" applyBorder="1" applyFont="1">
      <alignment horizontal="center" vertical="top"/>
    </xf>
    <xf borderId="2013" fillId="0" fontId="5" numFmtId="0" xfId="0" applyBorder="1" applyFont="1"/>
    <xf borderId="2014" fillId="123" fontId="132" numFmtId="0" xfId="0" applyAlignment="1" applyBorder="1" applyFont="1">
      <alignment horizontal="center" vertical="top"/>
    </xf>
    <xf borderId="2015" fillId="123" fontId="132" numFmtId="0" xfId="0" applyAlignment="1" applyBorder="1" applyFont="1">
      <alignment horizontal="right" vertical="top"/>
    </xf>
    <xf borderId="2015" fillId="123" fontId="132" numFmtId="0" xfId="0" applyAlignment="1" applyBorder="1" applyFont="1">
      <alignment horizontal="left" vertical="top"/>
    </xf>
    <xf borderId="2010" fillId="123" fontId="104" numFmtId="0" xfId="0" applyAlignment="1" applyBorder="1" applyFont="1">
      <alignment horizontal="right" vertical="center"/>
    </xf>
    <xf borderId="2016" fillId="123" fontId="132" numFmtId="0" xfId="0" applyAlignment="1" applyBorder="1" applyFont="1">
      <alignment horizontal="center" vertical="center"/>
    </xf>
    <xf borderId="2017" fillId="123" fontId="132" numFmtId="0" xfId="0" applyAlignment="1" applyBorder="1" applyFont="1">
      <alignment horizontal="center" vertical="top"/>
    </xf>
    <xf borderId="2018" fillId="123" fontId="132" numFmtId="0" xfId="0" applyAlignment="1" applyBorder="1" applyFont="1">
      <alignment horizontal="center" vertical="top"/>
    </xf>
    <xf borderId="2019" fillId="123" fontId="132" numFmtId="0" xfId="0" applyAlignment="1" applyBorder="1" applyFont="1">
      <alignment horizontal="center" readingOrder="0" vertical="center"/>
    </xf>
    <xf borderId="2020" fillId="0" fontId="5" numFmtId="0" xfId="0" applyBorder="1" applyFont="1"/>
    <xf borderId="2021" fillId="0" fontId="5" numFmtId="0" xfId="0" applyBorder="1" applyFont="1"/>
    <xf borderId="2000" fillId="123" fontId="104" numFmtId="0" xfId="0" applyAlignment="1" applyBorder="1" applyFont="1">
      <alignment horizontal="right"/>
    </xf>
    <xf borderId="2022" fillId="123" fontId="132" numFmtId="0" xfId="0" applyAlignment="1" applyBorder="1" applyFont="1">
      <alignment horizontal="center" readingOrder="0" vertical="center"/>
    </xf>
    <xf borderId="2023" fillId="0" fontId="5" numFmtId="0" xfId="0" applyBorder="1" applyFont="1"/>
    <xf borderId="2024" fillId="123" fontId="132" numFmtId="0" xfId="0" applyAlignment="1" applyBorder="1" applyFont="1">
      <alignment horizontal="center" readingOrder="0" vertical="center"/>
    </xf>
    <xf borderId="1996" fillId="0" fontId="5" numFmtId="0" xfId="0" applyBorder="1" applyFont="1"/>
    <xf borderId="1997" fillId="0" fontId="5" numFmtId="0" xfId="0" applyBorder="1" applyFont="1"/>
    <xf borderId="2025" fillId="123" fontId="132" numFmtId="0" xfId="0" applyAlignment="1" applyBorder="1" applyFont="1">
      <alignment horizontal="center" readingOrder="0" vertical="center"/>
    </xf>
    <xf borderId="1992" fillId="0" fontId="5" numFmtId="0" xfId="0" applyBorder="1" applyFont="1"/>
    <xf borderId="2026" fillId="0" fontId="5" numFmtId="0" xfId="0" applyBorder="1" applyFont="1"/>
    <xf borderId="2021" fillId="123" fontId="132" numFmtId="0" xfId="0" applyAlignment="1" applyBorder="1" applyFont="1">
      <alignment horizontal="center" readingOrder="0" vertical="center"/>
    </xf>
    <xf borderId="2023" fillId="123" fontId="132" numFmtId="0" xfId="0" applyAlignment="1" applyBorder="1" applyFont="1">
      <alignment horizontal="center" readingOrder="0" vertical="center"/>
    </xf>
    <xf borderId="2027" fillId="123" fontId="132" numFmtId="0" xfId="0" applyAlignment="1" applyBorder="1" applyFont="1">
      <alignment horizontal="center" readingOrder="0" vertical="center"/>
    </xf>
    <xf borderId="2028" fillId="0" fontId="5" numFmtId="0" xfId="0" applyBorder="1" applyFont="1"/>
    <xf borderId="2029" fillId="0" fontId="5" numFmtId="0" xfId="0" applyBorder="1" applyFont="1"/>
    <xf borderId="2030" fillId="123" fontId="132" numFmtId="0" xfId="0" applyAlignment="1" applyBorder="1" applyFont="1">
      <alignment horizontal="center" readingOrder="0" vertical="center"/>
    </xf>
    <xf borderId="2031" fillId="0" fontId="5" numFmtId="0" xfId="0" applyBorder="1" applyFont="1"/>
    <xf borderId="2032" fillId="0" fontId="5" numFmtId="0" xfId="0" applyBorder="1" applyFont="1"/>
    <xf borderId="1994" fillId="123" fontId="153" numFmtId="0" xfId="0" applyAlignment="1" applyBorder="1" applyFont="1">
      <alignment horizontal="center" vertical="center"/>
    </xf>
    <xf borderId="2010" fillId="123" fontId="102" numFmtId="0" xfId="0" applyAlignment="1" applyBorder="1" applyFont="1">
      <alignment horizontal="right" vertical="center"/>
    </xf>
    <xf borderId="2010" fillId="123" fontId="160" numFmtId="0" xfId="0" applyAlignment="1" applyBorder="1" applyFont="1">
      <alignment horizontal="center" vertical="center"/>
    </xf>
    <xf borderId="1992" fillId="123" fontId="160" numFmtId="0" xfId="0" applyAlignment="1" applyBorder="1" applyFont="1">
      <alignment horizontal="center" vertical="top"/>
    </xf>
    <xf borderId="2010" fillId="123" fontId="160" numFmtId="0" xfId="0" applyAlignment="1" applyBorder="1" applyFont="1">
      <alignment horizontal="center" vertical="top"/>
    </xf>
    <xf borderId="2006" fillId="123" fontId="160" numFmtId="0" xfId="0" applyAlignment="1" applyBorder="1" applyFont="1">
      <alignment horizontal="center" vertical="top"/>
    </xf>
    <xf borderId="2010" fillId="123" fontId="143" numFmtId="0" xfId="0" applyAlignment="1" applyBorder="1" applyFont="1">
      <alignment horizontal="center" vertical="center"/>
    </xf>
    <xf borderId="2010" fillId="123" fontId="161" numFmtId="0" xfId="0" applyAlignment="1" applyBorder="1" applyFont="1">
      <alignment horizontal="center" vertical="center"/>
    </xf>
    <xf borderId="2001" fillId="123" fontId="153" numFmtId="0" xfId="0" applyAlignment="1" applyBorder="1" applyFont="1">
      <alignment horizontal="center" vertical="center"/>
    </xf>
    <xf borderId="1994" fillId="123" fontId="162" numFmtId="0" xfId="0" applyAlignment="1" applyBorder="1" applyFont="1">
      <alignment horizontal="center" vertical="center"/>
    </xf>
    <xf borderId="2010" fillId="123" fontId="140" numFmtId="0" xfId="0" applyAlignment="1" applyBorder="1" applyFont="1">
      <alignment horizontal="center" vertical="center"/>
    </xf>
    <xf borderId="1995" fillId="123" fontId="139" numFmtId="0" xfId="0" applyAlignment="1" applyBorder="1" applyFont="1">
      <alignment horizontal="center" vertical="center"/>
    </xf>
    <xf borderId="2010" fillId="123" fontId="162" numFmtId="0" xfId="0" applyAlignment="1" applyBorder="1" applyFont="1">
      <alignment horizontal="center" vertical="center"/>
    </xf>
    <xf borderId="2010" fillId="123" fontId="171" numFmtId="0" xfId="0" applyAlignment="1" applyBorder="1" applyFont="1">
      <alignment horizontal="center" readingOrder="0" vertical="bottom"/>
    </xf>
    <xf borderId="2001" fillId="123" fontId="162" numFmtId="0" xfId="0" applyAlignment="1" applyBorder="1" applyFont="1">
      <alignment horizontal="center" vertical="center"/>
    </xf>
    <xf borderId="2010" fillId="123" fontId="139" numFmtId="0" xfId="0" applyAlignment="1" applyBorder="1" applyFont="1">
      <alignment horizontal="center" vertical="center"/>
    </xf>
    <xf borderId="2010" fillId="123" fontId="171" numFmtId="0" xfId="0" applyAlignment="1" applyBorder="1" applyFont="1">
      <alignment horizontal="center" readingOrder="0" vertical="center"/>
    </xf>
    <xf borderId="1999" fillId="123" fontId="139" numFmtId="0" xfId="0" applyAlignment="1" applyBorder="1" applyFont="1">
      <alignment horizontal="center" vertical="center"/>
    </xf>
    <xf borderId="2010" fillId="123" fontId="130" numFmtId="0" xfId="0" applyAlignment="1" applyBorder="1" applyFont="1">
      <alignment horizontal="center" readingOrder="0" vertical="top"/>
    </xf>
    <xf borderId="2000" fillId="123" fontId="171" numFmtId="0" xfId="0" applyAlignment="1" applyBorder="1" applyFont="1">
      <alignment horizontal="center" vertical="center"/>
    </xf>
    <xf borderId="2033" fillId="18" fontId="138" numFmtId="0" xfId="0" applyAlignment="1" applyBorder="1" applyFont="1">
      <alignment horizontal="left" readingOrder="0" vertical="center"/>
    </xf>
    <xf borderId="2034" fillId="0" fontId="5" numFmtId="0" xfId="0" applyBorder="1" applyFont="1"/>
    <xf borderId="2035" fillId="123" fontId="154" numFmtId="0" xfId="0" applyAlignment="1" applyBorder="1" applyFont="1">
      <alignment horizontal="center" vertical="center"/>
    </xf>
    <xf borderId="2036" fillId="123" fontId="104" numFmtId="0" xfId="0" applyAlignment="1" applyBorder="1" applyFont="1">
      <alignment horizontal="right" vertical="center"/>
    </xf>
    <xf borderId="2036" fillId="123" fontId="154" numFmtId="0" xfId="0" applyAlignment="1" applyBorder="1" applyFont="1">
      <alignment horizontal="center" vertical="center"/>
    </xf>
    <xf borderId="2036" fillId="123" fontId="154" numFmtId="0" xfId="0" applyAlignment="1" applyBorder="1" applyFont="1">
      <alignment horizontal="center" readingOrder="0" vertical="center"/>
    </xf>
    <xf borderId="2037" fillId="123" fontId="154" numFmtId="0" xfId="0" applyAlignment="1" applyBorder="1" applyFont="1">
      <alignment horizontal="center" readingOrder="0" vertical="center"/>
    </xf>
    <xf borderId="2038" fillId="123" fontId="154" numFmtId="0" xfId="0" applyAlignment="1" applyBorder="1" applyFont="1">
      <alignment horizontal="center" vertical="center"/>
    </xf>
    <xf borderId="1879" fillId="120" fontId="154" numFmtId="0" xfId="0" applyAlignment="1" applyBorder="1" applyFont="1">
      <alignment horizontal="center"/>
    </xf>
    <xf borderId="1883" fillId="120" fontId="160" numFmtId="0" xfId="0" applyAlignment="1" applyBorder="1" applyFont="1">
      <alignment horizontal="center" vertical="top"/>
    </xf>
    <xf borderId="1878" fillId="120" fontId="140" numFmtId="0" xfId="0" applyAlignment="1" applyBorder="1" applyFont="1">
      <alignment horizontal="center" vertical="center"/>
    </xf>
    <xf borderId="1881" fillId="120" fontId="139" numFmtId="0" xfId="0" applyAlignment="1" applyBorder="1" applyFont="1">
      <alignment horizontal="center" vertical="center"/>
    </xf>
    <xf borderId="1881" fillId="120" fontId="139" numFmtId="0" xfId="0" applyAlignment="1" applyBorder="1" applyFont="1">
      <alignment horizontal="center" vertical="top"/>
    </xf>
    <xf borderId="1882" fillId="120" fontId="162" numFmtId="0" xfId="0" applyAlignment="1" applyBorder="1" applyFont="1">
      <alignment horizontal="center" vertical="center"/>
    </xf>
    <xf borderId="1882" fillId="120" fontId="139" numFmtId="0" xfId="0" applyAlignment="1" applyBorder="1" applyFont="1">
      <alignment horizontal="center" vertical="center"/>
    </xf>
    <xf borderId="1933" fillId="120" fontId="183" numFmtId="0" xfId="0" applyAlignment="1" applyBorder="1" applyFont="1">
      <alignment horizontal="center" readingOrder="0" vertical="center"/>
    </xf>
    <xf borderId="2039" fillId="124" fontId="154" numFmtId="0" xfId="0" applyAlignment="1" applyBorder="1" applyFill="1" applyFont="1">
      <alignment horizontal="center"/>
    </xf>
    <xf borderId="2040" fillId="124" fontId="104" numFmtId="0" xfId="0" applyAlignment="1" applyBorder="1" applyFont="1">
      <alignment horizontal="right"/>
    </xf>
    <xf borderId="2040" fillId="124" fontId="154" numFmtId="0" xfId="0" applyAlignment="1" applyBorder="1" applyFont="1">
      <alignment horizontal="center"/>
    </xf>
    <xf borderId="2040" fillId="124" fontId="154" numFmtId="0" xfId="0" applyAlignment="1" applyBorder="1" applyFont="1">
      <alignment horizontal="center" readingOrder="0" vertical="center"/>
    </xf>
    <xf borderId="2040" fillId="124" fontId="154" numFmtId="0" xfId="0" applyAlignment="1" applyBorder="1" applyFont="1">
      <alignment horizontal="center" vertical="center"/>
    </xf>
    <xf borderId="2040" fillId="124" fontId="154" numFmtId="0" xfId="0" applyAlignment="1" applyBorder="1" applyFont="1">
      <alignment horizontal="center"/>
    </xf>
    <xf borderId="2040" fillId="124" fontId="154" numFmtId="0" xfId="0" applyAlignment="1" applyBorder="1" applyFont="1">
      <alignment horizontal="center" vertical="center"/>
    </xf>
    <xf borderId="2041" fillId="124" fontId="154" numFmtId="0" xfId="0" applyAlignment="1" applyBorder="1" applyFont="1">
      <alignment horizontal="center"/>
    </xf>
    <xf borderId="2042" fillId="124" fontId="154" numFmtId="0" xfId="0" applyAlignment="1" applyBorder="1" applyFont="1">
      <alignment horizontal="center" vertical="center"/>
    </xf>
    <xf borderId="2043" fillId="124" fontId="104" numFmtId="0" xfId="0" applyAlignment="1" applyBorder="1" applyFont="1">
      <alignment horizontal="right" vertical="center"/>
    </xf>
    <xf borderId="2043" fillId="124" fontId="154" numFmtId="0" xfId="0" applyAlignment="1" applyBorder="1" applyFont="1">
      <alignment horizontal="center" vertical="center"/>
    </xf>
    <xf borderId="2044" fillId="124" fontId="188" numFmtId="0" xfId="0" applyAlignment="1" applyBorder="1" applyFont="1">
      <alignment horizontal="left" readingOrder="0" vertical="center"/>
    </xf>
    <xf borderId="2045" fillId="0" fontId="5" numFmtId="0" xfId="0" applyBorder="1" applyFont="1"/>
    <xf borderId="2046" fillId="0" fontId="5" numFmtId="0" xfId="0" applyBorder="1" applyFont="1"/>
    <xf borderId="2047" fillId="124" fontId="154" numFmtId="0" xfId="0" applyAlignment="1" applyBorder="1" applyFont="1">
      <alignment horizontal="center" vertical="center"/>
    </xf>
    <xf borderId="339" fillId="22" fontId="104" numFmtId="0" xfId="0" applyAlignment="1" applyBorder="1" applyFont="1">
      <alignment horizontal="center" vertical="center"/>
    </xf>
    <xf borderId="2048" fillId="124" fontId="156" numFmtId="0" xfId="0" applyAlignment="1" applyBorder="1" applyFont="1">
      <alignment horizontal="center" vertical="center"/>
    </xf>
    <xf borderId="378" fillId="22" fontId="131" numFmtId="0" xfId="0" applyAlignment="1" applyBorder="1" applyFont="1">
      <alignment horizontal="center" vertical="center"/>
    </xf>
    <xf borderId="2045" fillId="124" fontId="132" numFmtId="0" xfId="0" applyAlignment="1" applyBorder="1" applyFont="1">
      <alignment horizontal="center" vertical="center"/>
    </xf>
    <xf borderId="2045" fillId="124" fontId="154" numFmtId="0" xfId="0" applyAlignment="1" applyBorder="1" applyFont="1">
      <alignment horizontal="center" vertical="center"/>
    </xf>
    <xf borderId="2046" fillId="124" fontId="154" numFmtId="0" xfId="0" applyAlignment="1" applyBorder="1" applyFont="1">
      <alignment horizontal="center" vertical="center"/>
    </xf>
    <xf borderId="2048" fillId="124" fontId="154" numFmtId="0" xfId="0" applyAlignment="1" applyBorder="1" applyFont="1">
      <alignment horizontal="center" vertical="center"/>
    </xf>
    <xf borderId="2049" fillId="0" fontId="5" numFmtId="0" xfId="0" applyBorder="1" applyFont="1"/>
    <xf borderId="2050" fillId="0" fontId="5" numFmtId="0" xfId="0" applyBorder="1" applyFont="1"/>
    <xf borderId="2042" fillId="124" fontId="132" numFmtId="0" xfId="0" applyAlignment="1" applyBorder="1" applyFont="1">
      <alignment horizontal="center" vertical="center"/>
    </xf>
    <xf borderId="885" fillId="124" fontId="104" numFmtId="0" xfId="0" applyAlignment="1" applyBorder="1" applyFont="1">
      <alignment horizontal="right" readingOrder="0" vertical="center"/>
    </xf>
    <xf borderId="2048" fillId="124" fontId="132" numFmtId="0" xfId="0" applyAlignment="1" applyBorder="1" applyFont="1">
      <alignment horizontal="center" readingOrder="0" vertical="center"/>
    </xf>
    <xf borderId="2051" fillId="124" fontId="130" numFmtId="0" xfId="0" applyAlignment="1" applyBorder="1" applyFont="1">
      <alignment horizontal="center" readingOrder="0" vertical="center"/>
    </xf>
    <xf borderId="2052" fillId="0" fontId="5" numFmtId="0" xfId="0" applyBorder="1" applyFont="1"/>
    <xf borderId="2053" fillId="0" fontId="5" numFmtId="0" xfId="0" applyBorder="1" applyFont="1"/>
    <xf borderId="2054" fillId="0" fontId="5" numFmtId="0" xfId="0" applyBorder="1" applyFont="1"/>
    <xf borderId="2048" fillId="124" fontId="132" numFmtId="0" xfId="0" applyAlignment="1" applyBorder="1" applyFont="1">
      <alignment horizontal="center" vertical="center"/>
    </xf>
    <xf borderId="2047" fillId="124" fontId="132" numFmtId="0" xfId="0" applyAlignment="1" applyBorder="1" applyFont="1">
      <alignment horizontal="center" vertical="center"/>
    </xf>
    <xf borderId="2042" fillId="124" fontId="158" numFmtId="0" xfId="0" applyAlignment="1" applyBorder="1" applyFont="1">
      <alignment horizontal="center" vertical="center"/>
    </xf>
    <xf borderId="2048" fillId="124" fontId="158" numFmtId="0" xfId="0" applyAlignment="1" applyBorder="1" applyFont="1">
      <alignment horizontal="center" readingOrder="0" vertical="center"/>
    </xf>
    <xf borderId="2055" fillId="124" fontId="146" numFmtId="0" xfId="0" applyAlignment="1" applyBorder="1" applyFont="1">
      <alignment horizontal="center" readingOrder="0" vertical="top"/>
    </xf>
    <xf borderId="2056" fillId="0" fontId="5" numFmtId="0" xfId="0" applyBorder="1" applyFont="1"/>
    <xf borderId="2057" fillId="0" fontId="5" numFmtId="0" xfId="0" applyBorder="1" applyFont="1"/>
    <xf borderId="2048" fillId="124" fontId="158" numFmtId="0" xfId="0" applyAlignment="1" applyBorder="1" applyFont="1">
      <alignment horizontal="center" vertical="center"/>
    </xf>
    <xf borderId="2047" fillId="124" fontId="158" numFmtId="0" xfId="0" applyAlignment="1" applyBorder="1" applyFont="1">
      <alignment horizontal="center" vertical="center"/>
    </xf>
    <xf borderId="2058" fillId="124" fontId="132" numFmtId="0" xfId="0" applyAlignment="1" applyBorder="1" applyFont="1">
      <alignment horizontal="center" vertical="center"/>
    </xf>
    <xf borderId="2059" fillId="124" fontId="132" numFmtId="0" xfId="0" applyAlignment="1" applyBorder="1" applyFont="1">
      <alignment horizontal="center" vertical="top"/>
    </xf>
    <xf borderId="2060" fillId="0" fontId="5" numFmtId="0" xfId="0" applyBorder="1" applyFont="1"/>
    <xf borderId="2061" fillId="124" fontId="132" numFmtId="0" xfId="0" applyAlignment="1" applyBorder="1" applyFont="1">
      <alignment horizontal="center" vertical="top"/>
    </xf>
    <xf borderId="2062" fillId="124" fontId="132" numFmtId="0" xfId="0" applyAlignment="1" applyBorder="1" applyFont="1">
      <alignment horizontal="right" vertical="top"/>
    </xf>
    <xf borderId="2062" fillId="124" fontId="132" numFmtId="0" xfId="0" applyAlignment="1" applyBorder="1" applyFont="1">
      <alignment horizontal="left" vertical="top"/>
    </xf>
    <xf borderId="2063" fillId="124" fontId="132" numFmtId="0" xfId="0" applyAlignment="1" applyBorder="1" applyFont="1">
      <alignment horizontal="center" vertical="center"/>
    </xf>
    <xf borderId="2064" fillId="124" fontId="132" numFmtId="0" xfId="0" applyAlignment="1" applyBorder="1" applyFont="1">
      <alignment horizontal="center" vertical="top"/>
    </xf>
    <xf borderId="2065" fillId="124" fontId="132" numFmtId="0" xfId="0" applyAlignment="1" applyBorder="1" applyFont="1">
      <alignment horizontal="center" vertical="top"/>
    </xf>
    <xf borderId="2066" fillId="124" fontId="132" numFmtId="0" xfId="0" applyAlignment="1" applyBorder="1" applyFont="1">
      <alignment horizontal="center" readingOrder="0" vertical="center"/>
    </xf>
    <xf borderId="2067" fillId="0" fontId="5" numFmtId="0" xfId="0" applyBorder="1" applyFont="1"/>
    <xf borderId="2068" fillId="0" fontId="5" numFmtId="0" xfId="0" applyBorder="1" applyFont="1"/>
    <xf borderId="2069" fillId="124" fontId="104" numFmtId="0" xfId="0" applyAlignment="1" applyBorder="1" applyFont="1">
      <alignment horizontal="right"/>
    </xf>
    <xf borderId="2070" fillId="124" fontId="132" numFmtId="0" xfId="0" applyAlignment="1" applyBorder="1" applyFont="1">
      <alignment horizontal="center" readingOrder="0" vertical="center"/>
    </xf>
    <xf borderId="2071" fillId="0" fontId="5" numFmtId="0" xfId="0" applyBorder="1" applyFont="1"/>
    <xf borderId="2072" fillId="0" fontId="5" numFmtId="0" xfId="0" applyBorder="1" applyFont="1"/>
    <xf borderId="2073" fillId="124" fontId="132" numFmtId="0" xfId="0" applyAlignment="1" applyBorder="1" applyFont="1">
      <alignment horizontal="center" readingOrder="0" vertical="center"/>
    </xf>
    <xf borderId="2074" fillId="124" fontId="132" numFmtId="0" xfId="0" applyAlignment="1" applyBorder="1" applyFont="1">
      <alignment horizontal="center" readingOrder="0" vertical="center"/>
    </xf>
    <xf borderId="2040" fillId="0" fontId="5" numFmtId="0" xfId="0" applyBorder="1" applyFont="1"/>
    <xf borderId="2075" fillId="0" fontId="5" numFmtId="0" xfId="0" applyBorder="1" applyFont="1"/>
    <xf borderId="2076" fillId="124" fontId="132" numFmtId="0" xfId="0" applyAlignment="1" applyBorder="1" applyFont="1">
      <alignment horizontal="center" readingOrder="0" vertical="center"/>
    </xf>
    <xf borderId="2047" fillId="124" fontId="132" numFmtId="0" xfId="0" applyAlignment="1" applyBorder="1" applyFont="1">
      <alignment horizontal="center" readingOrder="0" vertical="center"/>
    </xf>
    <xf borderId="2077" fillId="124" fontId="132" numFmtId="0" xfId="0" applyAlignment="1" applyBorder="1" applyFont="1">
      <alignment horizontal="center" readingOrder="0" vertical="center"/>
    </xf>
    <xf borderId="2078" fillId="0" fontId="5" numFmtId="0" xfId="0" applyBorder="1" applyFont="1"/>
    <xf borderId="2079" fillId="0" fontId="5" numFmtId="0" xfId="0" applyBorder="1" applyFont="1"/>
    <xf borderId="2080" fillId="124" fontId="132" numFmtId="0" xfId="0" applyAlignment="1" applyBorder="1" applyFont="1">
      <alignment horizontal="center" readingOrder="0" vertical="center"/>
    </xf>
    <xf borderId="2081" fillId="0" fontId="5" numFmtId="0" xfId="0" applyBorder="1" applyFont="1"/>
    <xf borderId="2082" fillId="0" fontId="5" numFmtId="0" xfId="0" applyBorder="1" applyFont="1"/>
    <xf borderId="2042" fillId="124" fontId="153" numFmtId="0" xfId="0" applyAlignment="1" applyBorder="1" applyFont="1">
      <alignment horizontal="center" vertical="center"/>
    </xf>
    <xf borderId="2043" fillId="124" fontId="102" numFmtId="0" xfId="0" applyAlignment="1" applyBorder="1" applyFont="1">
      <alignment horizontal="right" vertical="center"/>
    </xf>
    <xf borderId="2043" fillId="124" fontId="160" numFmtId="0" xfId="0" applyAlignment="1" applyBorder="1" applyFont="1">
      <alignment horizontal="center" vertical="center"/>
    </xf>
    <xf borderId="2040" fillId="124" fontId="160" numFmtId="0" xfId="0" applyAlignment="1" applyBorder="1" applyFont="1">
      <alignment horizontal="center" vertical="top"/>
    </xf>
    <xf borderId="2043" fillId="124" fontId="160" numFmtId="0" xfId="0" applyAlignment="1" applyBorder="1" applyFont="1">
      <alignment horizontal="center" vertical="top"/>
    </xf>
    <xf borderId="2072" fillId="124" fontId="160" numFmtId="0" xfId="0" applyAlignment="1" applyBorder="1" applyFont="1">
      <alignment horizontal="center" vertical="top"/>
    </xf>
    <xf borderId="2043" fillId="124" fontId="161" numFmtId="0" xfId="0" applyAlignment="1" applyBorder="1" applyFont="1">
      <alignment horizontal="center" vertical="center"/>
    </xf>
    <xf borderId="2047" fillId="124" fontId="153" numFmtId="0" xfId="0" applyAlignment="1" applyBorder="1" applyFont="1">
      <alignment horizontal="center" vertical="center"/>
    </xf>
    <xf borderId="2042" fillId="124" fontId="162" numFmtId="0" xfId="0" applyAlignment="1" applyBorder="1" applyFont="1">
      <alignment horizontal="center" vertical="center"/>
    </xf>
    <xf borderId="2043" fillId="124" fontId="140" numFmtId="0" xfId="0" applyAlignment="1" applyBorder="1" applyFont="1">
      <alignment horizontal="center" vertical="center"/>
    </xf>
    <xf borderId="378" fillId="125" fontId="138" numFmtId="0" xfId="0" applyAlignment="1" applyBorder="1" applyFill="1" applyFont="1">
      <alignment horizontal="center" readingOrder="0" vertical="top"/>
    </xf>
    <xf borderId="2048" fillId="124" fontId="139" numFmtId="0" xfId="0" applyAlignment="1" applyBorder="1" applyFont="1">
      <alignment horizontal="center" vertical="center"/>
    </xf>
    <xf borderId="2048" fillId="124" fontId="162" numFmtId="0" xfId="0" applyAlignment="1" applyBorder="1" applyFont="1">
      <alignment horizontal="center" vertical="center"/>
    </xf>
    <xf borderId="2043" fillId="124" fontId="162" numFmtId="0" xfId="0" applyAlignment="1" applyBorder="1" applyFont="1">
      <alignment horizontal="center" vertical="center"/>
    </xf>
    <xf borderId="2047" fillId="124" fontId="162" numFmtId="0" xfId="0" applyAlignment="1" applyBorder="1" applyFont="1">
      <alignment horizontal="center" vertical="center"/>
    </xf>
    <xf borderId="2083" fillId="125" fontId="138" numFmtId="0" xfId="0" applyAlignment="1" applyBorder="1" applyFont="1">
      <alignment horizontal="center" readingOrder="0" vertical="center"/>
    </xf>
    <xf borderId="2084" fillId="125" fontId="138" numFmtId="0" xfId="0" applyAlignment="1" applyBorder="1" applyFont="1">
      <alignment horizontal="center" readingOrder="0" vertical="center"/>
    </xf>
    <xf borderId="2085" fillId="125" fontId="138" numFmtId="0" xfId="0" applyAlignment="1" applyBorder="1" applyFont="1">
      <alignment horizontal="left" readingOrder="0" vertical="center"/>
    </xf>
    <xf borderId="2086" fillId="0" fontId="5" numFmtId="0" xfId="0" applyBorder="1" applyFont="1"/>
    <xf borderId="2043" fillId="124" fontId="139" numFmtId="0" xfId="0" applyAlignment="1" applyBorder="1" applyFont="1">
      <alignment horizontal="center" vertical="center"/>
    </xf>
    <xf borderId="2043" fillId="124" fontId="189" numFmtId="0" xfId="0" applyAlignment="1" applyBorder="1" applyFont="1">
      <alignment horizontal="center" vertical="center"/>
    </xf>
    <xf borderId="2087" fillId="125" fontId="138" numFmtId="0" xfId="0" applyAlignment="1" applyBorder="1" applyFont="1">
      <alignment horizontal="center" readingOrder="0" vertical="center"/>
    </xf>
    <xf borderId="2088" fillId="125" fontId="138" numFmtId="0" xfId="0" applyAlignment="1" applyBorder="1" applyFont="1">
      <alignment horizontal="center" readingOrder="0" vertical="center"/>
    </xf>
    <xf borderId="2089" fillId="125" fontId="138" numFmtId="0" xfId="0" applyAlignment="1" applyBorder="1" applyFont="1">
      <alignment horizontal="left" readingOrder="0" vertical="center"/>
    </xf>
    <xf borderId="2090" fillId="0" fontId="5" numFmtId="0" xfId="0" applyBorder="1" applyFont="1"/>
    <xf borderId="2050" fillId="124" fontId="139" numFmtId="0" xfId="0" applyAlignment="1" applyBorder="1" applyFont="1">
      <alignment horizontal="center" vertical="center"/>
    </xf>
    <xf borderId="2091" fillId="125" fontId="138" numFmtId="0" xfId="0" applyAlignment="1" applyBorder="1" applyFont="1">
      <alignment horizontal="center" readingOrder="0" vertical="center"/>
    </xf>
    <xf borderId="2092" fillId="125" fontId="138" numFmtId="0" xfId="0" applyAlignment="1" applyBorder="1" applyFont="1">
      <alignment horizontal="center" readingOrder="0" vertical="center"/>
    </xf>
    <xf borderId="395" fillId="125" fontId="138" numFmtId="0" xfId="0" applyAlignment="1" applyBorder="1" applyFont="1">
      <alignment horizontal="right" readingOrder="0" vertical="center"/>
    </xf>
    <xf borderId="2048" fillId="124" fontId="189" numFmtId="0" xfId="0" applyAlignment="1" applyBorder="1" applyFont="1">
      <alignment horizontal="center" vertical="center"/>
    </xf>
    <xf borderId="2093" fillId="124" fontId="154" numFmtId="0" xfId="0" applyAlignment="1" applyBorder="1" applyFont="1">
      <alignment horizontal="center" vertical="center"/>
    </xf>
    <xf borderId="2094" fillId="124" fontId="102" numFmtId="0" xfId="0" applyAlignment="1" applyBorder="1" applyFont="1">
      <alignment horizontal="right" readingOrder="0" vertical="center"/>
    </xf>
    <xf borderId="2094" fillId="124" fontId="33" numFmtId="0" xfId="0" applyAlignment="1" applyBorder="1" applyFont="1">
      <alignment horizontal="center" readingOrder="0" vertical="center"/>
    </xf>
    <xf borderId="2095" fillId="124" fontId="33" numFmtId="0" xfId="0" applyAlignment="1" applyBorder="1" applyFont="1">
      <alignment horizontal="center" readingOrder="0" vertical="center"/>
    </xf>
    <xf borderId="2080" fillId="124" fontId="154" numFmtId="0" xfId="0" applyAlignment="1" applyBorder="1" applyFont="1">
      <alignment horizontal="center" vertical="center"/>
    </xf>
    <xf borderId="1995" fillId="123" fontId="190" numFmtId="0" xfId="0" applyAlignment="1" applyBorder="1" applyFont="1">
      <alignment horizontal="left" readingOrder="0" vertical="center"/>
    </xf>
    <xf borderId="2010" fillId="123" fontId="156" numFmtId="0" xfId="0" applyAlignment="1" applyBorder="1" applyFont="1">
      <alignment horizontal="center" vertical="center"/>
    </xf>
    <xf borderId="2000" fillId="123" fontId="132" numFmtId="0" xfId="0" applyAlignment="1" applyBorder="1" applyFont="1">
      <alignment horizontal="center" vertical="center"/>
    </xf>
    <xf borderId="2010" fillId="123" fontId="132" numFmtId="0" xfId="0" applyAlignment="1" applyBorder="1" applyFont="1">
      <alignment horizontal="center" readingOrder="0" vertical="center"/>
    </xf>
    <xf borderId="2010" fillId="123" fontId="158" numFmtId="0" xfId="0" applyAlignment="1" applyBorder="1" applyFont="1">
      <alignment horizontal="center" readingOrder="0" vertical="center"/>
    </xf>
    <xf borderId="2000" fillId="123" fontId="160" numFmtId="0" xfId="0" applyAlignment="1" applyBorder="1" applyFont="1">
      <alignment horizontal="center" vertical="top"/>
    </xf>
    <xf borderId="1995" fillId="123" fontId="140" numFmtId="0" xfId="0" applyAlignment="1" applyBorder="1" applyFont="1">
      <alignment horizontal="center" vertical="center"/>
    </xf>
    <xf borderId="2096" fillId="120" fontId="154" numFmtId="0" xfId="0" applyAlignment="1" applyBorder="1" applyFont="1">
      <alignment horizontal="center" vertical="center"/>
    </xf>
    <xf borderId="2097" fillId="120" fontId="104" numFmtId="0" xfId="0" applyAlignment="1" applyBorder="1" applyFont="1">
      <alignment horizontal="right" vertical="center"/>
    </xf>
    <xf borderId="2097" fillId="120" fontId="154" numFmtId="0" xfId="0" applyAlignment="1" applyBorder="1" applyFont="1">
      <alignment horizontal="center" vertical="center"/>
    </xf>
    <xf borderId="2098" fillId="120" fontId="154" numFmtId="0" xfId="0" applyAlignment="1" applyBorder="1" applyFont="1">
      <alignment horizontal="center" vertical="center"/>
    </xf>
    <xf borderId="1877" fillId="120" fontId="154" numFmtId="0" xfId="0" applyAlignment="1" applyBorder="1" applyFont="1">
      <alignment horizontal="center" vertical="center"/>
    </xf>
    <xf borderId="2099" fillId="120" fontId="104" numFmtId="0" xfId="0" applyAlignment="1" applyBorder="1" applyFont="1">
      <alignment horizontal="right" vertical="center"/>
    </xf>
    <xf borderId="2099" fillId="120" fontId="154" numFmtId="0" xfId="0" applyAlignment="1" applyBorder="1" applyFont="1">
      <alignment horizontal="center" vertical="center"/>
    </xf>
    <xf borderId="2100" fillId="120" fontId="191" numFmtId="0" xfId="0" applyAlignment="1" applyBorder="1" applyFont="1">
      <alignment horizontal="left" readingOrder="0" vertical="center"/>
    </xf>
    <xf borderId="1884" fillId="120" fontId="154" numFmtId="0" xfId="0" applyAlignment="1" applyBorder="1" applyFont="1">
      <alignment horizontal="center" vertical="center"/>
    </xf>
    <xf borderId="0" fillId="120" fontId="132" numFmtId="0" xfId="0" applyAlignment="1" applyFont="1">
      <alignment horizontal="center" vertical="center"/>
    </xf>
    <xf borderId="0" fillId="120" fontId="132" numFmtId="0" xfId="0" applyAlignment="1" applyFont="1">
      <alignment horizontal="center"/>
    </xf>
    <xf borderId="2101" fillId="126" fontId="154" numFmtId="0" xfId="0" applyAlignment="1" applyBorder="1" applyFill="1" applyFont="1">
      <alignment horizontal="center" vertical="center"/>
    </xf>
    <xf borderId="2102" fillId="126" fontId="102" numFmtId="0" xfId="0" applyAlignment="1" applyBorder="1" applyFont="1">
      <alignment horizontal="right" readingOrder="0" vertical="center"/>
    </xf>
    <xf borderId="2102" fillId="126" fontId="33" numFmtId="0" xfId="0" applyAlignment="1" applyBorder="1" applyFont="1">
      <alignment horizontal="center" readingOrder="0" vertical="center"/>
    </xf>
    <xf borderId="2103" fillId="126" fontId="154" numFmtId="0" xfId="0" applyAlignment="1" applyBorder="1" applyFont="1">
      <alignment horizontal="center" vertical="center"/>
    </xf>
    <xf borderId="2104" fillId="126" fontId="154" numFmtId="0" xfId="0" applyAlignment="1" applyBorder="1" applyFont="1">
      <alignment horizontal="center" vertical="center"/>
    </xf>
    <xf borderId="2105" fillId="126" fontId="104" numFmtId="0" xfId="0" applyAlignment="1" applyBorder="1" applyFont="1">
      <alignment horizontal="right" vertical="center"/>
    </xf>
    <xf borderId="2105" fillId="126" fontId="154" numFmtId="0" xfId="0" applyAlignment="1" applyBorder="1" applyFont="1">
      <alignment horizontal="center" vertical="center"/>
    </xf>
    <xf borderId="2106" fillId="126" fontId="192" numFmtId="0" xfId="0" applyAlignment="1" applyBorder="1" applyFont="1">
      <alignment horizontal="left" readingOrder="0" vertical="center"/>
    </xf>
    <xf borderId="2107" fillId="0" fontId="5" numFmtId="0" xfId="0" applyBorder="1" applyFont="1"/>
    <xf borderId="2108" fillId="0" fontId="5" numFmtId="0" xfId="0" applyBorder="1" applyFont="1"/>
    <xf borderId="2109" fillId="126" fontId="154" numFmtId="0" xfId="0" applyAlignment="1" applyBorder="1" applyFont="1">
      <alignment horizontal="center" vertical="center"/>
    </xf>
    <xf borderId="339" fillId="25" fontId="104" numFmtId="0" xfId="0" applyAlignment="1" applyBorder="1" applyFont="1">
      <alignment horizontal="center" vertical="center"/>
    </xf>
    <xf borderId="2105" fillId="126" fontId="156" numFmtId="0" xfId="0" applyAlignment="1" applyBorder="1" applyFont="1">
      <alignment horizontal="center" vertical="center"/>
    </xf>
    <xf borderId="1066" fillId="25" fontId="131" numFmtId="0" xfId="0" applyAlignment="1" applyBorder="1" applyFont="1">
      <alignment horizontal="center" vertical="center"/>
    </xf>
    <xf borderId="2110" fillId="126" fontId="132" numFmtId="0" xfId="0" applyAlignment="1" applyBorder="1" applyFont="1">
      <alignment horizontal="center" vertical="center"/>
    </xf>
    <xf borderId="2110" fillId="126" fontId="154" numFmtId="0" xfId="0" applyAlignment="1" applyBorder="1" applyFont="1">
      <alignment horizontal="center" vertical="center"/>
    </xf>
    <xf borderId="2106" fillId="126" fontId="154" numFmtId="0" xfId="0" applyAlignment="1" applyBorder="1" applyFont="1">
      <alignment horizontal="center" vertical="center"/>
    </xf>
    <xf borderId="2104" fillId="126" fontId="132" numFmtId="0" xfId="0" applyAlignment="1" applyBorder="1" applyFont="1">
      <alignment horizontal="center" vertical="center"/>
    </xf>
    <xf borderId="885" fillId="126" fontId="104" numFmtId="0" xfId="0" applyAlignment="1" applyBorder="1" applyFont="1">
      <alignment horizontal="right" readingOrder="0" vertical="center"/>
    </xf>
    <xf borderId="2105" fillId="126" fontId="132" numFmtId="0" xfId="0" applyAlignment="1" applyBorder="1" applyFont="1">
      <alignment horizontal="center" readingOrder="0" vertical="center"/>
    </xf>
    <xf borderId="2111" fillId="126" fontId="130" numFmtId="0" xfId="0" applyAlignment="1" applyBorder="1" applyFont="1">
      <alignment horizontal="center" readingOrder="0" vertical="center"/>
    </xf>
    <xf borderId="2112" fillId="0" fontId="5" numFmtId="0" xfId="0" applyBorder="1" applyFont="1"/>
    <xf borderId="2113" fillId="0" fontId="5" numFmtId="0" xfId="0" applyBorder="1" applyFont="1"/>
    <xf borderId="2114" fillId="0" fontId="5" numFmtId="0" xfId="0" applyBorder="1" applyFont="1"/>
    <xf borderId="2106" fillId="126" fontId="132" numFmtId="0" xfId="0" applyAlignment="1" applyBorder="1" applyFont="1">
      <alignment horizontal="center" vertical="center"/>
    </xf>
    <xf borderId="2109" fillId="126" fontId="132" numFmtId="0" xfId="0" applyAlignment="1" applyBorder="1" applyFont="1">
      <alignment horizontal="center" vertical="center"/>
    </xf>
    <xf borderId="2104" fillId="126" fontId="158" numFmtId="0" xfId="0" applyAlignment="1" applyBorder="1" applyFont="1">
      <alignment horizontal="center" vertical="center"/>
    </xf>
    <xf borderId="2105" fillId="126" fontId="158" numFmtId="0" xfId="0" applyAlignment="1" applyBorder="1" applyFont="1">
      <alignment horizontal="center" readingOrder="0" vertical="center"/>
    </xf>
    <xf borderId="2115" fillId="126" fontId="146" numFmtId="0" xfId="0" applyAlignment="1" applyBorder="1" applyFont="1">
      <alignment horizontal="center" readingOrder="0" vertical="top"/>
    </xf>
    <xf borderId="2116" fillId="0" fontId="5" numFmtId="0" xfId="0" applyBorder="1" applyFont="1"/>
    <xf borderId="2117" fillId="0" fontId="5" numFmtId="0" xfId="0" applyBorder="1" applyFont="1"/>
    <xf borderId="2106" fillId="126" fontId="158" numFmtId="0" xfId="0" applyAlignment="1" applyBorder="1" applyFont="1">
      <alignment horizontal="center" vertical="center"/>
    </xf>
    <xf borderId="2109" fillId="126" fontId="158" numFmtId="0" xfId="0" applyAlignment="1" applyBorder="1" applyFont="1">
      <alignment horizontal="center" vertical="center"/>
    </xf>
    <xf borderId="2118" fillId="126" fontId="132" numFmtId="0" xfId="0" applyAlignment="1" applyBorder="1" applyFont="1">
      <alignment horizontal="center" vertical="center"/>
    </xf>
    <xf borderId="2119" fillId="126" fontId="132" numFmtId="0" xfId="0" applyAlignment="1" applyBorder="1" applyFont="1">
      <alignment horizontal="center" vertical="top"/>
    </xf>
    <xf borderId="2120" fillId="0" fontId="5" numFmtId="0" xfId="0" applyBorder="1" applyFont="1"/>
    <xf borderId="2121" fillId="126" fontId="132" numFmtId="0" xfId="0" applyAlignment="1" applyBorder="1" applyFont="1">
      <alignment horizontal="center" vertical="top"/>
    </xf>
    <xf borderId="2122" fillId="126" fontId="132" numFmtId="0" xfId="0" applyAlignment="1" applyBorder="1" applyFont="1">
      <alignment horizontal="center" vertical="top"/>
    </xf>
    <xf borderId="2123" fillId="126" fontId="132" numFmtId="0" xfId="0" applyAlignment="1" applyBorder="1" applyFont="1">
      <alignment horizontal="center" vertical="center"/>
    </xf>
    <xf borderId="2124" fillId="126" fontId="132" numFmtId="0" xfId="0" applyAlignment="1" applyBorder="1" applyFont="1">
      <alignment horizontal="center" vertical="top"/>
    </xf>
    <xf borderId="2125" fillId="126" fontId="132" numFmtId="0" xfId="0" applyAlignment="1" applyBorder="1" applyFont="1">
      <alignment horizontal="center" vertical="top"/>
    </xf>
    <xf borderId="2126" fillId="126" fontId="132" numFmtId="0" xfId="0" applyAlignment="1" applyBorder="1" applyFont="1">
      <alignment horizontal="center" readingOrder="0" vertical="center"/>
    </xf>
    <xf borderId="2127" fillId="0" fontId="5" numFmtId="0" xfId="0" applyBorder="1" applyFont="1"/>
    <xf borderId="2128" fillId="0" fontId="5" numFmtId="0" xfId="0" applyBorder="1" applyFont="1"/>
    <xf borderId="2110" fillId="126" fontId="104" numFmtId="0" xfId="0" applyAlignment="1" applyBorder="1" applyFont="1">
      <alignment horizontal="right"/>
    </xf>
    <xf borderId="2129" fillId="126" fontId="132" numFmtId="0" xfId="0" applyAlignment="1" applyBorder="1" applyFont="1">
      <alignment horizontal="center" readingOrder="0" vertical="center"/>
    </xf>
    <xf borderId="2130" fillId="0" fontId="5" numFmtId="0" xfId="0" applyBorder="1" applyFont="1"/>
    <xf borderId="2131" fillId="126" fontId="132" numFmtId="0" xfId="0" applyAlignment="1" applyBorder="1" applyFont="1">
      <alignment horizontal="center" readingOrder="0" vertical="center"/>
    </xf>
    <xf borderId="2132" fillId="0" fontId="5" numFmtId="0" xfId="0" applyBorder="1" applyFont="1"/>
    <xf borderId="2133" fillId="0" fontId="5" numFmtId="0" xfId="0" applyBorder="1" applyFont="1"/>
    <xf borderId="2134" fillId="126" fontId="132" numFmtId="0" xfId="0" applyAlignment="1" applyBorder="1" applyFont="1">
      <alignment horizontal="center" readingOrder="0" vertical="center"/>
    </xf>
    <xf borderId="2102" fillId="0" fontId="5" numFmtId="0" xfId="0" applyBorder="1" applyFont="1"/>
    <xf borderId="2135" fillId="0" fontId="5" numFmtId="0" xfId="0" applyBorder="1" applyFont="1"/>
    <xf borderId="2136" fillId="126" fontId="132" numFmtId="0" xfId="0" applyAlignment="1" applyBorder="1" applyFont="1">
      <alignment horizontal="center" readingOrder="0" vertical="center"/>
    </xf>
    <xf borderId="2137" fillId="126" fontId="132" numFmtId="0" xfId="0" applyAlignment="1" applyBorder="1" applyFont="1">
      <alignment horizontal="center" readingOrder="0" vertical="center"/>
    </xf>
    <xf borderId="2138" fillId="126" fontId="132" numFmtId="0" xfId="0" applyAlignment="1" applyBorder="1" applyFont="1">
      <alignment horizontal="center" readingOrder="0" vertical="center"/>
    </xf>
    <xf borderId="2139" fillId="0" fontId="5" numFmtId="0" xfId="0" applyBorder="1" applyFont="1"/>
    <xf borderId="2140" fillId="0" fontId="5" numFmtId="0" xfId="0" applyBorder="1" applyFont="1"/>
    <xf borderId="2141" fillId="126" fontId="132" numFmtId="0" xfId="0" applyAlignment="1" applyBorder="1" applyFont="1">
      <alignment horizontal="center" readingOrder="0" vertical="center"/>
    </xf>
    <xf borderId="2104" fillId="126" fontId="153" numFmtId="0" xfId="0" applyAlignment="1" applyBorder="1" applyFont="1">
      <alignment horizontal="center" vertical="center"/>
    </xf>
    <xf borderId="2105" fillId="126" fontId="102" numFmtId="0" xfId="0" applyAlignment="1" applyBorder="1" applyFont="1">
      <alignment horizontal="right" vertical="center"/>
    </xf>
    <xf borderId="2105" fillId="126" fontId="160" numFmtId="0" xfId="0" applyAlignment="1" applyBorder="1" applyFont="1">
      <alignment horizontal="center" vertical="center"/>
    </xf>
    <xf borderId="2105" fillId="126" fontId="160" numFmtId="0" xfId="0" applyAlignment="1" applyBorder="1" applyFont="1">
      <alignment horizontal="center" vertical="top"/>
    </xf>
    <xf borderId="2110" fillId="126" fontId="160" numFmtId="0" xfId="0" applyAlignment="1" applyBorder="1" applyFont="1">
      <alignment horizontal="center" vertical="top"/>
    </xf>
    <xf borderId="2105" fillId="126" fontId="143" numFmtId="0" xfId="0" applyAlignment="1" applyBorder="1" applyFont="1">
      <alignment horizontal="center" vertical="center"/>
    </xf>
    <xf borderId="2105" fillId="126" fontId="161" numFmtId="0" xfId="0" applyAlignment="1" applyBorder="1" applyFont="1">
      <alignment horizontal="center" vertical="center"/>
    </xf>
    <xf borderId="2109" fillId="126" fontId="153" numFmtId="0" xfId="0" applyAlignment="1" applyBorder="1" applyFont="1">
      <alignment horizontal="center" vertical="center"/>
    </xf>
    <xf borderId="2104" fillId="126" fontId="162" numFmtId="0" xfId="0" applyAlignment="1" applyBorder="1" applyFont="1">
      <alignment horizontal="center" vertical="center"/>
    </xf>
    <xf borderId="2105" fillId="126" fontId="140" numFmtId="0" xfId="0" applyAlignment="1" applyBorder="1" applyFont="1">
      <alignment horizontal="center" vertical="center"/>
    </xf>
    <xf borderId="378" fillId="25" fontId="138" numFmtId="0" xfId="0" applyAlignment="1" applyBorder="1" applyFont="1">
      <alignment horizontal="center" readingOrder="0" vertical="top"/>
    </xf>
    <xf borderId="2106" fillId="126" fontId="139" numFmtId="0" xfId="0" applyAlignment="1" applyBorder="1" applyFont="1">
      <alignment horizontal="center" vertical="center"/>
    </xf>
    <xf borderId="2105" fillId="126" fontId="139" numFmtId="0" xfId="0" applyAlignment="1" applyBorder="1" applyFont="1">
      <alignment horizontal="center" vertical="top"/>
    </xf>
    <xf borderId="2105" fillId="126" fontId="104" numFmtId="0" xfId="0" applyAlignment="1" applyBorder="1" applyFont="1">
      <alignment horizontal="right" readingOrder="0" vertical="bottom"/>
    </xf>
    <xf borderId="2105" fillId="126" fontId="162" numFmtId="0" xfId="0" applyAlignment="1" applyBorder="1" applyFont="1">
      <alignment horizontal="center" vertical="center"/>
    </xf>
    <xf borderId="2109" fillId="126" fontId="162" numFmtId="0" xfId="0" applyAlignment="1" applyBorder="1" applyFont="1">
      <alignment horizontal="center" vertical="center"/>
    </xf>
    <xf borderId="2142" fillId="25" fontId="138" numFmtId="0" xfId="0" applyAlignment="1" applyBorder="1" applyFont="1">
      <alignment horizontal="center" readingOrder="0" vertical="center"/>
    </xf>
    <xf borderId="2143" fillId="25" fontId="138" numFmtId="0" xfId="0" applyAlignment="1" applyBorder="1" applyFont="1">
      <alignment horizontal="center" readingOrder="0" vertical="center"/>
    </xf>
    <xf borderId="2144" fillId="25" fontId="138" numFmtId="0" xfId="0" applyAlignment="1" applyBorder="1" applyFont="1">
      <alignment horizontal="left" readingOrder="0" vertical="center"/>
    </xf>
    <xf borderId="2145" fillId="0" fontId="5" numFmtId="0" xfId="0" applyBorder="1" applyFont="1"/>
    <xf borderId="2105" fillId="126" fontId="139" numFmtId="0" xfId="0" applyAlignment="1" applyBorder="1" applyFont="1">
      <alignment horizontal="center" vertical="center"/>
    </xf>
    <xf borderId="2105" fillId="126" fontId="104" numFmtId="0" xfId="0" applyAlignment="1" applyBorder="1" applyFont="1">
      <alignment horizontal="right" readingOrder="0" vertical="center"/>
    </xf>
    <xf borderId="2146" fillId="25" fontId="138" numFmtId="0" xfId="0" applyAlignment="1" applyBorder="1" applyFont="1">
      <alignment horizontal="center" readingOrder="0" vertical="center"/>
    </xf>
    <xf borderId="2147" fillId="25" fontId="138" numFmtId="0" xfId="0" applyAlignment="1" applyBorder="1" applyFont="1">
      <alignment horizontal="center" readingOrder="0" vertical="center"/>
    </xf>
    <xf borderId="2148" fillId="25" fontId="138" numFmtId="0" xfId="0" applyAlignment="1" applyBorder="1" applyFont="1">
      <alignment horizontal="left" readingOrder="0" vertical="center"/>
    </xf>
    <xf borderId="2149" fillId="0" fontId="5" numFmtId="0" xfId="0" applyBorder="1" applyFont="1"/>
    <xf borderId="2105" fillId="126" fontId="102" numFmtId="0" xfId="0" applyAlignment="1" applyBorder="1" applyFont="1">
      <alignment horizontal="right" readingOrder="0" vertical="top"/>
    </xf>
    <xf borderId="2110" fillId="126" fontId="104" numFmtId="0" xfId="0" applyAlignment="1" applyBorder="1" applyFont="1">
      <alignment horizontal="right" vertical="center"/>
    </xf>
    <xf borderId="2150" fillId="25" fontId="138" numFmtId="0" xfId="0" applyAlignment="1" applyBorder="1" applyFont="1">
      <alignment horizontal="center" readingOrder="0" vertical="center"/>
    </xf>
    <xf borderId="2151" fillId="25" fontId="138" numFmtId="0" xfId="0" applyAlignment="1" applyBorder="1" applyFont="1">
      <alignment horizontal="center" readingOrder="0" vertical="center"/>
    </xf>
    <xf borderId="2152" fillId="25" fontId="138" numFmtId="0" xfId="0" applyAlignment="1" applyBorder="1" applyFont="1">
      <alignment horizontal="left" readingOrder="0" vertical="center"/>
    </xf>
    <xf borderId="2153" fillId="0" fontId="5" numFmtId="0" xfId="0" applyBorder="1" applyFont="1"/>
    <xf borderId="395" fillId="25" fontId="138" numFmtId="0" xfId="0" applyAlignment="1" applyBorder="1" applyFont="1">
      <alignment horizontal="right" readingOrder="0" vertical="center"/>
    </xf>
    <xf borderId="2154" fillId="126" fontId="154" numFmtId="0" xfId="0" applyAlignment="1" applyBorder="1" applyFont="1">
      <alignment horizontal="center" vertical="center"/>
    </xf>
    <xf borderId="2155" fillId="126" fontId="102" numFmtId="0" xfId="0" applyAlignment="1" applyBorder="1" applyFont="1">
      <alignment horizontal="right" readingOrder="0" vertical="center"/>
    </xf>
    <xf borderId="2155" fillId="126" fontId="33" numFmtId="0" xfId="0" applyAlignment="1" applyBorder="1" applyFont="1">
      <alignment horizontal="center" readingOrder="0" vertical="center"/>
    </xf>
    <xf borderId="2156" fillId="126" fontId="33" numFmtId="0" xfId="0" applyAlignment="1" applyBorder="1" applyFont="1">
      <alignment horizontal="center" readingOrder="0" vertical="center"/>
    </xf>
    <xf borderId="2157" fillId="126" fontId="154" numFmtId="0" xfId="0" applyAlignment="1" applyBorder="1" applyFont="1">
      <alignment horizontal="center" vertical="center"/>
    </xf>
    <xf borderId="2158" fillId="127" fontId="154" numFmtId="0" xfId="0" applyAlignment="1" applyBorder="1" applyFill="1" applyFont="1">
      <alignment horizontal="center" vertical="center"/>
    </xf>
    <xf borderId="2159" fillId="127" fontId="102" numFmtId="0" xfId="0" applyAlignment="1" applyBorder="1" applyFont="1">
      <alignment horizontal="right" readingOrder="0" vertical="center"/>
    </xf>
    <xf borderId="2160" fillId="127" fontId="154" numFmtId="0" xfId="0" applyAlignment="1" applyBorder="1" applyFont="1">
      <alignment horizontal="center" vertical="center"/>
    </xf>
    <xf borderId="2161" fillId="127" fontId="154" numFmtId="0" xfId="0" applyAlignment="1" applyBorder="1" applyFont="1">
      <alignment horizontal="center" vertical="center"/>
    </xf>
    <xf borderId="339" fillId="26" fontId="104" numFmtId="0" xfId="0" applyAlignment="1" applyBorder="1" applyFont="1">
      <alignment horizontal="center" vertical="center"/>
    </xf>
    <xf borderId="2162" fillId="127" fontId="156" numFmtId="0" xfId="0" applyAlignment="1" applyBorder="1" applyFont="1">
      <alignment horizontal="center" vertical="center"/>
    </xf>
    <xf borderId="1066" fillId="26" fontId="131" numFmtId="0" xfId="0" applyAlignment="1" applyBorder="1" applyFont="1">
      <alignment horizontal="center" vertical="center"/>
    </xf>
    <xf borderId="2163" fillId="127" fontId="132" numFmtId="0" xfId="0" applyAlignment="1" applyBorder="1" applyFont="1">
      <alignment horizontal="center" vertical="center"/>
    </xf>
    <xf borderId="2163" fillId="127" fontId="154" numFmtId="0" xfId="0" applyAlignment="1" applyBorder="1" applyFont="1">
      <alignment horizontal="center" vertical="center"/>
    </xf>
    <xf borderId="2164" fillId="127" fontId="154" numFmtId="0" xfId="0" applyAlignment="1" applyBorder="1" applyFont="1">
      <alignment horizontal="center" vertical="center"/>
    </xf>
    <xf borderId="2165" fillId="0" fontId="5" numFmtId="0" xfId="0" applyBorder="1" applyFont="1"/>
    <xf borderId="2166" fillId="0" fontId="5" numFmtId="0" xfId="0" applyBorder="1" applyFont="1"/>
    <xf borderId="2167" fillId="127" fontId="154" numFmtId="0" xfId="0" applyAlignment="1" applyBorder="1" applyFont="1">
      <alignment horizontal="center" vertical="center"/>
    </xf>
    <xf borderId="2161" fillId="127" fontId="132" numFmtId="0" xfId="0" applyAlignment="1" applyBorder="1" applyFont="1">
      <alignment horizontal="center" vertical="center"/>
    </xf>
    <xf borderId="885" fillId="127" fontId="104" numFmtId="0" xfId="0" applyAlignment="1" applyBorder="1" applyFont="1">
      <alignment horizontal="right" readingOrder="0" vertical="center"/>
    </xf>
    <xf borderId="2162" fillId="127" fontId="132" numFmtId="0" xfId="0" applyAlignment="1" applyBorder="1" applyFont="1">
      <alignment horizontal="center" readingOrder="0" vertical="center"/>
    </xf>
    <xf borderId="2168" fillId="127" fontId="130" numFmtId="0" xfId="0" applyAlignment="1" applyBorder="1" applyFont="1">
      <alignment horizontal="center" readingOrder="0" vertical="center"/>
    </xf>
    <xf borderId="2169" fillId="0" fontId="5" numFmtId="0" xfId="0" applyBorder="1" applyFont="1"/>
    <xf borderId="2170" fillId="0" fontId="5" numFmtId="0" xfId="0" applyBorder="1" applyFont="1"/>
    <xf borderId="2171" fillId="0" fontId="5" numFmtId="0" xfId="0" applyBorder="1" applyFont="1"/>
    <xf borderId="2164" fillId="127" fontId="132" numFmtId="0" xfId="0" applyAlignment="1" applyBorder="1" applyFont="1">
      <alignment horizontal="center" vertical="center"/>
    </xf>
    <xf borderId="2167" fillId="127" fontId="132" numFmtId="0" xfId="0" applyAlignment="1" applyBorder="1" applyFont="1">
      <alignment horizontal="center" vertical="center"/>
    </xf>
    <xf borderId="2161" fillId="127" fontId="158" numFmtId="0" xfId="0" applyAlignment="1" applyBorder="1" applyFont="1">
      <alignment horizontal="center" vertical="center"/>
    </xf>
    <xf borderId="2162" fillId="127" fontId="158" numFmtId="0" xfId="0" applyAlignment="1" applyBorder="1" applyFont="1">
      <alignment horizontal="center" readingOrder="0" vertical="center"/>
    </xf>
    <xf borderId="2172" fillId="127" fontId="146" numFmtId="0" xfId="0" applyAlignment="1" applyBorder="1" applyFont="1">
      <alignment horizontal="center" readingOrder="0" vertical="top"/>
    </xf>
    <xf borderId="2173" fillId="0" fontId="5" numFmtId="0" xfId="0" applyBorder="1" applyFont="1"/>
    <xf borderId="2174" fillId="0" fontId="5" numFmtId="0" xfId="0" applyBorder="1" applyFont="1"/>
    <xf borderId="2164" fillId="127" fontId="158" numFmtId="0" xfId="0" applyAlignment="1" applyBorder="1" applyFont="1">
      <alignment horizontal="center" vertical="center"/>
    </xf>
    <xf borderId="2167" fillId="127" fontId="158" numFmtId="0" xfId="0" applyAlignment="1" applyBorder="1" applyFont="1">
      <alignment horizontal="center" vertical="center"/>
    </xf>
    <xf borderId="2162" fillId="127" fontId="154" numFmtId="0" xfId="0" applyAlignment="1" applyBorder="1" applyFont="1">
      <alignment horizontal="center" vertical="center"/>
    </xf>
    <xf borderId="2175" fillId="127" fontId="132" numFmtId="0" xfId="0" applyAlignment="1" applyBorder="1" applyFont="1">
      <alignment horizontal="center" vertical="center"/>
    </xf>
    <xf borderId="2176" fillId="127" fontId="132" numFmtId="0" xfId="0" applyAlignment="1" applyBorder="1" applyFont="1">
      <alignment horizontal="center" vertical="top"/>
    </xf>
    <xf borderId="2177" fillId="0" fontId="5" numFmtId="0" xfId="0" applyBorder="1" applyFont="1"/>
    <xf borderId="2178" fillId="127" fontId="132" numFmtId="0" xfId="0" applyAlignment="1" applyBorder="1" applyFont="1">
      <alignment horizontal="center" vertical="top"/>
    </xf>
    <xf borderId="2179" fillId="127" fontId="132" numFmtId="0" xfId="0" applyAlignment="1" applyBorder="1" applyFont="1">
      <alignment horizontal="right" vertical="top"/>
    </xf>
    <xf borderId="2179" fillId="127" fontId="132" numFmtId="0" xfId="0" applyAlignment="1" applyBorder="1" applyFont="1">
      <alignment horizontal="left" vertical="top"/>
    </xf>
    <xf borderId="2162" fillId="127" fontId="104" numFmtId="0" xfId="0" applyAlignment="1" applyBorder="1" applyFont="1">
      <alignment horizontal="right" vertical="center"/>
    </xf>
    <xf borderId="2180" fillId="127" fontId="132" numFmtId="0" xfId="0" applyAlignment="1" applyBorder="1" applyFont="1">
      <alignment horizontal="center" vertical="center"/>
    </xf>
    <xf borderId="2181" fillId="127" fontId="132" numFmtId="0" xfId="0" applyAlignment="1" applyBorder="1" applyFont="1">
      <alignment horizontal="center" vertical="top"/>
    </xf>
    <xf borderId="2182" fillId="127" fontId="132" numFmtId="0" xfId="0" applyAlignment="1" applyBorder="1" applyFont="1">
      <alignment horizontal="center" vertical="top"/>
    </xf>
    <xf borderId="2183" fillId="127" fontId="132" numFmtId="0" xfId="0" applyAlignment="1" applyBorder="1" applyFont="1">
      <alignment horizontal="center" readingOrder="0" vertical="center"/>
    </xf>
    <xf borderId="2184" fillId="0" fontId="5" numFmtId="0" xfId="0" applyBorder="1" applyFont="1"/>
    <xf borderId="2185" fillId="0" fontId="5" numFmtId="0" xfId="0" applyBorder="1" applyFont="1"/>
    <xf borderId="2163" fillId="127" fontId="104" numFmtId="0" xfId="0" applyAlignment="1" applyBorder="1" applyFont="1">
      <alignment horizontal="right"/>
    </xf>
    <xf borderId="2186" fillId="127" fontId="132" numFmtId="0" xfId="0" applyAlignment="1" applyBorder="1" applyFont="1">
      <alignment horizontal="center" readingOrder="0" vertical="center"/>
    </xf>
    <xf borderId="2187" fillId="0" fontId="5" numFmtId="0" xfId="0" applyBorder="1" applyFont="1"/>
    <xf borderId="2188" fillId="127" fontId="132" numFmtId="0" xfId="0" applyAlignment="1" applyBorder="1" applyFont="1">
      <alignment horizontal="center" readingOrder="0" vertical="center"/>
    </xf>
    <xf borderId="2189" fillId="0" fontId="5" numFmtId="0" xfId="0" applyBorder="1" applyFont="1"/>
    <xf borderId="2190" fillId="0" fontId="5" numFmtId="0" xfId="0" applyBorder="1" applyFont="1"/>
    <xf borderId="2191" fillId="127" fontId="132" numFmtId="0" xfId="0" applyAlignment="1" applyBorder="1" applyFont="1">
      <alignment horizontal="center" readingOrder="0" vertical="center"/>
    </xf>
    <xf borderId="2159" fillId="0" fontId="5" numFmtId="0" xfId="0" applyBorder="1" applyFont="1"/>
    <xf borderId="2192" fillId="0" fontId="5" numFmtId="0" xfId="0" applyBorder="1" applyFont="1"/>
    <xf borderId="2193" fillId="127" fontId="132" numFmtId="0" xfId="0" applyAlignment="1" applyBorder="1" applyFont="1">
      <alignment horizontal="center" readingOrder="0" vertical="center"/>
    </xf>
    <xf borderId="2194" fillId="127" fontId="132" numFmtId="0" xfId="0" applyAlignment="1" applyBorder="1" applyFont="1">
      <alignment horizontal="center" readingOrder="0" vertical="center"/>
    </xf>
    <xf borderId="2195" fillId="127" fontId="132" numFmtId="0" xfId="0" applyAlignment="1" applyBorder="1" applyFont="1">
      <alignment horizontal="center" readingOrder="0" vertical="center"/>
    </xf>
    <xf borderId="2196" fillId="0" fontId="5" numFmtId="0" xfId="0" applyBorder="1" applyFont="1"/>
    <xf borderId="2197" fillId="0" fontId="5" numFmtId="0" xfId="0" applyBorder="1" applyFont="1"/>
    <xf borderId="2198" fillId="127" fontId="132" numFmtId="0" xfId="0" applyAlignment="1" applyBorder="1" applyFont="1">
      <alignment horizontal="center" readingOrder="0" vertical="center"/>
    </xf>
    <xf borderId="2161" fillId="127" fontId="153" numFmtId="0" xfId="0" applyAlignment="1" applyBorder="1" applyFont="1">
      <alignment horizontal="center" vertical="center"/>
    </xf>
    <xf borderId="2162" fillId="127" fontId="102" numFmtId="0" xfId="0" applyAlignment="1" applyBorder="1" applyFont="1">
      <alignment horizontal="right" vertical="center"/>
    </xf>
    <xf borderId="2162" fillId="127" fontId="160" numFmtId="0" xfId="0" applyAlignment="1" applyBorder="1" applyFont="1">
      <alignment horizontal="center" vertical="center"/>
    </xf>
    <xf borderId="2162" fillId="127" fontId="160" numFmtId="0" xfId="0" applyAlignment="1" applyBorder="1" applyFont="1">
      <alignment horizontal="center" vertical="top"/>
    </xf>
    <xf borderId="2163" fillId="127" fontId="160" numFmtId="0" xfId="0" applyAlignment="1" applyBorder="1" applyFont="1">
      <alignment horizontal="center" vertical="top"/>
    </xf>
    <xf borderId="2162" fillId="127" fontId="143" numFmtId="0" xfId="0" applyAlignment="1" applyBorder="1" applyFont="1">
      <alignment horizontal="center" vertical="center"/>
    </xf>
    <xf borderId="2162" fillId="127" fontId="161" numFmtId="0" xfId="0" applyAlignment="1" applyBorder="1" applyFont="1">
      <alignment horizontal="center" vertical="center"/>
    </xf>
    <xf borderId="2167" fillId="127" fontId="153" numFmtId="0" xfId="0" applyAlignment="1" applyBorder="1" applyFont="1">
      <alignment horizontal="center" vertical="center"/>
    </xf>
    <xf borderId="2161" fillId="127" fontId="162" numFmtId="0" xfId="0" applyAlignment="1" applyBorder="1" applyFont="1">
      <alignment horizontal="center" vertical="center"/>
    </xf>
    <xf borderId="2162" fillId="127" fontId="140" numFmtId="0" xfId="0" applyAlignment="1" applyBorder="1" applyFont="1">
      <alignment horizontal="center" vertical="center"/>
    </xf>
    <xf borderId="378" fillId="26" fontId="138" numFmtId="0" xfId="0" applyAlignment="1" applyBorder="1" applyFont="1">
      <alignment horizontal="center" readingOrder="0" vertical="top"/>
    </xf>
    <xf borderId="2164" fillId="127" fontId="140" numFmtId="0" xfId="0" applyAlignment="1" applyBorder="1" applyFont="1">
      <alignment horizontal="center" vertical="center"/>
    </xf>
    <xf borderId="2162" fillId="127" fontId="139" numFmtId="0" xfId="0" applyAlignment="1" applyBorder="1" applyFont="1">
      <alignment horizontal="center" vertical="top"/>
    </xf>
    <xf borderId="2162" fillId="127" fontId="104" numFmtId="0" xfId="0" applyAlignment="1" applyBorder="1" applyFont="1">
      <alignment horizontal="right" readingOrder="0" vertical="bottom"/>
    </xf>
    <xf borderId="2162" fillId="127" fontId="162" numFmtId="0" xfId="0" applyAlignment="1" applyBorder="1" applyFont="1">
      <alignment horizontal="center" vertical="center"/>
    </xf>
    <xf borderId="2167" fillId="127" fontId="162" numFmtId="0" xfId="0" applyAlignment="1" applyBorder="1" applyFont="1">
      <alignment horizontal="center" vertical="center"/>
    </xf>
    <xf borderId="2199" fillId="26" fontId="138" numFmtId="0" xfId="0" applyAlignment="1" applyBorder="1" applyFont="1">
      <alignment horizontal="center" readingOrder="0" vertical="center"/>
    </xf>
    <xf borderId="2200" fillId="26" fontId="138" numFmtId="0" xfId="0" applyAlignment="1" applyBorder="1" applyFont="1">
      <alignment horizontal="center" readingOrder="0" vertical="center"/>
    </xf>
    <xf borderId="2201" fillId="26" fontId="138" numFmtId="0" xfId="0" applyAlignment="1" applyBorder="1" applyFont="1">
      <alignment horizontal="left" readingOrder="0" vertical="center"/>
    </xf>
    <xf borderId="2202" fillId="0" fontId="5" numFmtId="0" xfId="0" applyBorder="1" applyFont="1"/>
    <xf borderId="2162" fillId="127" fontId="139" numFmtId="0" xfId="0" applyAlignment="1" applyBorder="1" applyFont="1">
      <alignment horizontal="center" vertical="center"/>
    </xf>
    <xf borderId="2162" fillId="127" fontId="104" numFmtId="0" xfId="0" applyAlignment="1" applyBorder="1" applyFont="1">
      <alignment horizontal="right" readingOrder="0" vertical="center"/>
    </xf>
    <xf borderId="2203" fillId="26" fontId="138" numFmtId="0" xfId="0" applyAlignment="1" applyBorder="1" applyFont="1">
      <alignment horizontal="center" readingOrder="0" vertical="center"/>
    </xf>
    <xf borderId="2204" fillId="26" fontId="138" numFmtId="0" xfId="0" applyAlignment="1" applyBorder="1" applyFont="1">
      <alignment horizontal="center" readingOrder="0" vertical="center"/>
    </xf>
    <xf borderId="2205" fillId="26" fontId="138" numFmtId="0" xfId="0" applyAlignment="1" applyBorder="1" applyFont="1">
      <alignment horizontal="left" readingOrder="0" vertical="center"/>
    </xf>
    <xf borderId="2206" fillId="0" fontId="5" numFmtId="0" xfId="0" applyBorder="1" applyFont="1"/>
    <xf borderId="2162" fillId="127" fontId="102" numFmtId="0" xfId="0" applyAlignment="1" applyBorder="1" applyFont="1">
      <alignment horizontal="right" readingOrder="0" vertical="top"/>
    </xf>
    <xf borderId="2163" fillId="127" fontId="104" numFmtId="0" xfId="0" applyAlignment="1" applyBorder="1" applyFont="1">
      <alignment horizontal="right" vertical="top"/>
    </xf>
    <xf borderId="2207" fillId="26" fontId="138" numFmtId="0" xfId="0" applyAlignment="1" applyBorder="1" applyFont="1">
      <alignment horizontal="center" readingOrder="0" vertical="center"/>
    </xf>
    <xf borderId="2208" fillId="26" fontId="138" numFmtId="0" xfId="0" applyAlignment="1" applyBorder="1" applyFont="1">
      <alignment horizontal="center" readingOrder="0" vertical="center"/>
    </xf>
    <xf borderId="2209" fillId="26" fontId="138" numFmtId="0" xfId="0" applyAlignment="1" applyBorder="1" applyFont="1">
      <alignment horizontal="left" readingOrder="0" vertical="center"/>
    </xf>
    <xf borderId="2210" fillId="0" fontId="5" numFmtId="0" xfId="0" applyBorder="1" applyFont="1"/>
    <xf borderId="395" fillId="26" fontId="138" numFmtId="0" xfId="0" applyAlignment="1" applyBorder="1" applyFont="1">
      <alignment horizontal="right" readingOrder="0" vertical="center"/>
    </xf>
    <xf borderId="2211" fillId="127" fontId="162" numFmtId="0" xfId="0" applyAlignment="1" applyBorder="1" applyFont="1">
      <alignment horizontal="center" vertical="center"/>
    </xf>
    <xf borderId="2163" fillId="127" fontId="140" numFmtId="0" xfId="0" applyAlignment="1" applyBorder="1" applyFont="1">
      <alignment horizontal="center" vertical="center"/>
    </xf>
    <xf borderId="395" fillId="26" fontId="139" numFmtId="0" xfId="0" applyAlignment="1" applyBorder="1" applyFont="1">
      <alignment horizontal="right" readingOrder="0" vertical="center"/>
    </xf>
    <xf borderId="2212" fillId="127" fontId="140" numFmtId="0" xfId="0" applyAlignment="1" applyBorder="1" applyFont="1">
      <alignment horizontal="center" vertical="center"/>
    </xf>
    <xf borderId="2163" fillId="127" fontId="162" numFmtId="0" xfId="0" applyAlignment="1" applyBorder="1" applyFont="1">
      <alignment horizontal="center" vertical="center"/>
    </xf>
    <xf borderId="2163" fillId="127" fontId="139" numFmtId="0" xfId="0" applyAlignment="1" applyBorder="1" applyFont="1">
      <alignment horizontal="center" vertical="center"/>
    </xf>
    <xf borderId="2213" fillId="127" fontId="162" numFmtId="0" xfId="0" applyAlignment="1" applyBorder="1" applyFont="1">
      <alignment horizontal="center" vertical="center"/>
    </xf>
    <xf borderId="2214" fillId="127" fontId="154" numFmtId="0" xfId="0" applyAlignment="1" applyBorder="1" applyFont="1">
      <alignment horizontal="center" vertical="center"/>
    </xf>
    <xf borderId="2215" fillId="127" fontId="104" numFmtId="0" xfId="0" applyAlignment="1" applyBorder="1" applyFont="1">
      <alignment horizontal="right" vertical="center"/>
    </xf>
    <xf borderId="2215" fillId="127" fontId="154" numFmtId="0" xfId="0" applyAlignment="1" applyBorder="1" applyFont="1">
      <alignment horizontal="center" vertical="center"/>
    </xf>
    <xf borderId="2215" fillId="127" fontId="132" numFmtId="0" xfId="0" applyAlignment="1" applyBorder="1" applyFont="1">
      <alignment horizontal="center" readingOrder="0" vertical="center"/>
    </xf>
    <xf borderId="2215" fillId="127" fontId="132" numFmtId="0" xfId="0" applyAlignment="1" applyBorder="1" applyFont="1">
      <alignment horizontal="center" vertical="center"/>
    </xf>
    <xf borderId="2216" fillId="127" fontId="154" numFmtId="0" xfId="0" applyAlignment="1" applyBorder="1" applyFont="1">
      <alignment horizontal="center" vertical="center"/>
    </xf>
    <xf borderId="2171" fillId="127" fontId="102" numFmtId="0" xfId="0" applyAlignment="1" applyBorder="1" applyFont="1">
      <alignment horizontal="right" readingOrder="0" vertical="center"/>
    </xf>
    <xf borderId="2164" fillId="127" fontId="193" numFmtId="0" xfId="0" applyAlignment="1" applyBorder="1" applyFont="1">
      <alignment horizontal="left" readingOrder="0" vertical="center"/>
    </xf>
    <xf borderId="2217" fillId="127" fontId="154" numFmtId="0" xfId="0" applyAlignment="1" applyBorder="1" applyFont="1">
      <alignment horizontal="center" vertical="center"/>
    </xf>
    <xf borderId="2164" fillId="127" fontId="156" numFmtId="0" xfId="0" applyAlignment="1" applyBorder="1" applyFont="1">
      <alignment horizontal="center" vertical="center"/>
    </xf>
    <xf borderId="2189" fillId="127" fontId="132" numFmtId="0" xfId="0" applyAlignment="1" applyBorder="1" applyFont="1">
      <alignment horizontal="center" vertical="center"/>
    </xf>
    <xf borderId="2189" fillId="127" fontId="154" numFmtId="0" xfId="0" applyAlignment="1" applyBorder="1" applyFont="1">
      <alignment horizontal="center" vertical="center"/>
    </xf>
    <xf borderId="2190" fillId="127" fontId="154" numFmtId="0" xfId="0" applyAlignment="1" applyBorder="1" applyFont="1">
      <alignment horizontal="center" vertical="center"/>
    </xf>
    <xf borderId="2164" fillId="127" fontId="132" numFmtId="0" xfId="0" applyAlignment="1" applyBorder="1" applyFont="1">
      <alignment horizontal="center" readingOrder="0" vertical="center"/>
    </xf>
    <xf borderId="2218" fillId="0" fontId="5" numFmtId="0" xfId="0" applyBorder="1" applyFont="1"/>
    <xf borderId="2164" fillId="127" fontId="158" numFmtId="0" xfId="0" applyAlignment="1" applyBorder="1" applyFont="1">
      <alignment horizontal="center" readingOrder="0" vertical="center"/>
    </xf>
    <xf borderId="2219" fillId="0" fontId="5" numFmtId="0" xfId="0" applyBorder="1" applyFont="1"/>
    <xf borderId="2220" fillId="0" fontId="5" numFmtId="0" xfId="0" applyBorder="1" applyFont="1"/>
    <xf borderId="2159" fillId="127" fontId="160" numFmtId="0" xfId="0" applyAlignment="1" applyBorder="1" applyFont="1">
      <alignment horizontal="center" vertical="top"/>
    </xf>
    <xf borderId="2171" fillId="127" fontId="160" numFmtId="0" xfId="0" applyAlignment="1" applyBorder="1" applyFont="1">
      <alignment horizontal="center" vertical="top"/>
    </xf>
    <xf borderId="2221" fillId="127" fontId="132" numFmtId="0" xfId="0" applyAlignment="1" applyBorder="1" applyFont="1">
      <alignment horizontal="center" readingOrder="0" vertical="center"/>
    </xf>
    <xf borderId="2222" fillId="128" fontId="154" numFmtId="0" xfId="0" applyAlignment="1" applyBorder="1" applyFill="1" applyFont="1">
      <alignment horizontal="center" vertical="center"/>
    </xf>
    <xf borderId="2223" fillId="128" fontId="102" numFmtId="0" xfId="0" applyAlignment="1" applyBorder="1" applyFont="1">
      <alignment horizontal="right" readingOrder="0" vertical="center"/>
    </xf>
    <xf borderId="2224" fillId="128" fontId="154" numFmtId="0" xfId="0" applyAlignment="1" applyBorder="1" applyFont="1">
      <alignment horizontal="center" vertical="center"/>
    </xf>
    <xf borderId="2225" fillId="128" fontId="154" numFmtId="0" xfId="0" applyAlignment="1" applyBorder="1" applyFont="1">
      <alignment horizontal="center" vertical="center"/>
    </xf>
    <xf borderId="2226" fillId="128" fontId="104" numFmtId="0" xfId="0" applyAlignment="1" applyBorder="1" applyFont="1">
      <alignment horizontal="right" vertical="center"/>
    </xf>
    <xf borderId="2226" fillId="128" fontId="154" numFmtId="0" xfId="0" applyAlignment="1" applyBorder="1" applyFont="1">
      <alignment horizontal="center" vertical="center"/>
    </xf>
    <xf borderId="2227" fillId="128" fontId="194" numFmtId="0" xfId="0" applyAlignment="1" applyBorder="1" applyFont="1">
      <alignment horizontal="left" readingOrder="0" vertical="center"/>
    </xf>
    <xf borderId="2228" fillId="0" fontId="5" numFmtId="0" xfId="0" applyBorder="1" applyFont="1"/>
    <xf borderId="2229" fillId="0" fontId="5" numFmtId="0" xfId="0" applyBorder="1" applyFont="1"/>
    <xf borderId="2230" fillId="128" fontId="154" numFmtId="0" xfId="0" applyAlignment="1" applyBorder="1" applyFont="1">
      <alignment horizontal="center" vertical="center"/>
    </xf>
    <xf borderId="2231" fillId="128" fontId="156" numFmtId="0" xfId="0" applyAlignment="1" applyBorder="1" applyFont="1">
      <alignment horizontal="center" vertical="center"/>
    </xf>
    <xf borderId="2228" fillId="128" fontId="132" numFmtId="0" xfId="0" applyAlignment="1" applyBorder="1" applyFont="1">
      <alignment horizontal="center" vertical="center"/>
    </xf>
    <xf borderId="1066" fillId="32" fontId="131" numFmtId="0" xfId="0" applyAlignment="1" applyBorder="1" applyFont="1">
      <alignment horizontal="center" vertical="center"/>
    </xf>
    <xf borderId="2229" fillId="128" fontId="154" numFmtId="0" xfId="0" applyAlignment="1" applyBorder="1" applyFont="1">
      <alignment horizontal="center" vertical="center"/>
    </xf>
    <xf borderId="2231" fillId="128" fontId="154" numFmtId="0" xfId="0" applyAlignment="1" applyBorder="1" applyFont="1">
      <alignment horizontal="center" vertical="center"/>
    </xf>
    <xf borderId="2232" fillId="0" fontId="5" numFmtId="0" xfId="0" applyBorder="1" applyFont="1"/>
    <xf borderId="2233" fillId="0" fontId="5" numFmtId="0" xfId="0" applyBorder="1" applyFont="1"/>
    <xf borderId="2225" fillId="128" fontId="132" numFmtId="0" xfId="0" applyAlignment="1" applyBorder="1" applyFont="1">
      <alignment horizontal="center" vertical="center"/>
    </xf>
    <xf borderId="1688" fillId="128" fontId="104" numFmtId="0" xfId="0" applyAlignment="1" applyBorder="1" applyFont="1">
      <alignment horizontal="right" readingOrder="0" vertical="center"/>
    </xf>
    <xf borderId="2231" fillId="128" fontId="132" numFmtId="0" xfId="0" applyAlignment="1" applyBorder="1" applyFont="1">
      <alignment horizontal="center" readingOrder="0" vertical="center"/>
    </xf>
    <xf borderId="2234" fillId="129" fontId="130" numFmtId="0" xfId="0" applyAlignment="1" applyBorder="1" applyFill="1" applyFont="1">
      <alignment horizontal="center" readingOrder="0" vertical="center"/>
    </xf>
    <xf borderId="2235" fillId="0" fontId="5" numFmtId="0" xfId="0" applyBorder="1" applyFont="1"/>
    <xf borderId="2236" fillId="0" fontId="5" numFmtId="0" xfId="0" applyBorder="1" applyFont="1"/>
    <xf borderId="2237" fillId="0" fontId="5" numFmtId="0" xfId="0" applyBorder="1" applyFont="1"/>
    <xf borderId="2226" fillId="128" fontId="132" numFmtId="0" xfId="0" applyAlignment="1" applyBorder="1" applyFont="1">
      <alignment horizontal="center" vertical="center"/>
    </xf>
    <xf borderId="2230" fillId="128" fontId="132" numFmtId="0" xfId="0" applyAlignment="1" applyBorder="1" applyFont="1">
      <alignment horizontal="center" vertical="center"/>
    </xf>
    <xf borderId="2225" fillId="128" fontId="158" numFmtId="0" xfId="0" applyAlignment="1" applyBorder="1" applyFont="1">
      <alignment horizontal="center" vertical="center"/>
    </xf>
    <xf borderId="2231" fillId="128" fontId="158" numFmtId="0" xfId="0" applyAlignment="1" applyBorder="1" applyFont="1">
      <alignment horizontal="center" readingOrder="0" vertical="center"/>
    </xf>
    <xf borderId="2238" fillId="129" fontId="146" numFmtId="0" xfId="0" applyAlignment="1" applyBorder="1" applyFont="1">
      <alignment horizontal="center" readingOrder="0" vertical="top"/>
    </xf>
    <xf borderId="2239" fillId="0" fontId="5" numFmtId="0" xfId="0" applyBorder="1" applyFont="1"/>
    <xf borderId="2240" fillId="0" fontId="5" numFmtId="0" xfId="0" applyBorder="1" applyFont="1"/>
    <xf borderId="2231" fillId="128" fontId="158" numFmtId="0" xfId="0" applyAlignment="1" applyBorder="1" applyFont="1">
      <alignment horizontal="center" vertical="center"/>
    </xf>
    <xf borderId="2230" fillId="128" fontId="158" numFmtId="0" xfId="0" applyAlignment="1" applyBorder="1" applyFont="1">
      <alignment horizontal="center" vertical="center"/>
    </xf>
    <xf borderId="2241" fillId="129" fontId="132" numFmtId="0" xfId="0" applyAlignment="1" applyBorder="1" applyFont="1">
      <alignment horizontal="center" vertical="center"/>
    </xf>
    <xf borderId="2242" fillId="129" fontId="132" numFmtId="0" xfId="0" applyAlignment="1" applyBorder="1" applyFont="1">
      <alignment horizontal="right" vertical="top"/>
    </xf>
    <xf borderId="2242" fillId="129" fontId="132" numFmtId="0" xfId="0" applyAlignment="1" applyBorder="1" applyFont="1">
      <alignment horizontal="left" vertical="top"/>
    </xf>
    <xf borderId="2243" fillId="129" fontId="132" numFmtId="0" xfId="0" applyAlignment="1" applyBorder="1" applyFont="1">
      <alignment horizontal="center" vertical="top"/>
    </xf>
    <xf borderId="2244" fillId="129" fontId="132" numFmtId="0" xfId="0" applyAlignment="1" applyBorder="1" applyFont="1">
      <alignment horizontal="center" vertical="top"/>
    </xf>
    <xf borderId="2245" fillId="0" fontId="5" numFmtId="0" xfId="0" applyBorder="1" applyFont="1"/>
    <xf borderId="2246" fillId="129" fontId="132" numFmtId="0" xfId="0" applyAlignment="1" applyBorder="1" applyFont="1">
      <alignment horizontal="center" vertical="center"/>
    </xf>
    <xf borderId="2247" fillId="129" fontId="132" numFmtId="0" xfId="0" applyAlignment="1" applyBorder="1" applyFont="1">
      <alignment horizontal="center" vertical="top"/>
    </xf>
    <xf borderId="2248" fillId="129" fontId="132" numFmtId="0" xfId="0" applyAlignment="1" applyBorder="1" applyFont="1">
      <alignment horizontal="center" vertical="top"/>
    </xf>
    <xf borderId="2249" fillId="129" fontId="132" numFmtId="0" xfId="0" applyAlignment="1" applyBorder="1" applyFont="1">
      <alignment horizontal="center" readingOrder="0" vertical="center"/>
    </xf>
    <xf borderId="2250" fillId="0" fontId="5" numFmtId="0" xfId="0" applyBorder="1" applyFont="1"/>
    <xf borderId="2251" fillId="0" fontId="5" numFmtId="0" xfId="0" applyBorder="1" applyFont="1"/>
    <xf borderId="2252" fillId="129" fontId="132" numFmtId="0" xfId="0" applyAlignment="1" applyBorder="1" applyFont="1">
      <alignment horizontal="center" readingOrder="0" vertical="center"/>
    </xf>
    <xf borderId="2253" fillId="0" fontId="5" numFmtId="0" xfId="0" applyBorder="1" applyFont="1"/>
    <xf borderId="2254" fillId="0" fontId="5" numFmtId="0" xfId="0" applyBorder="1" applyFont="1"/>
    <xf borderId="2226" fillId="128" fontId="104" numFmtId="0" xfId="0" applyAlignment="1" applyBorder="1" applyFont="1">
      <alignment horizontal="right"/>
    </xf>
    <xf borderId="2255" fillId="129" fontId="132" numFmtId="0" xfId="0" applyAlignment="1" applyBorder="1" applyFont="1">
      <alignment horizontal="center" readingOrder="0" vertical="center"/>
    </xf>
    <xf borderId="2256" fillId="0" fontId="5" numFmtId="0" xfId="0" applyBorder="1" applyFont="1"/>
    <xf borderId="2257" fillId="0" fontId="5" numFmtId="0" xfId="0" applyBorder="1" applyFont="1"/>
    <xf borderId="2258" fillId="129" fontId="132" numFmtId="0" xfId="0" applyAlignment="1" applyBorder="1" applyFont="1">
      <alignment horizontal="center" readingOrder="0" vertical="center"/>
    </xf>
    <xf borderId="2259" fillId="0" fontId="5" numFmtId="0" xfId="0" applyBorder="1" applyFont="1"/>
    <xf borderId="2251" fillId="129" fontId="132" numFmtId="0" xfId="0" applyAlignment="1" applyBorder="1" applyFont="1">
      <alignment horizontal="center" readingOrder="0" vertical="center"/>
    </xf>
    <xf borderId="2260" fillId="0" fontId="5" numFmtId="0" xfId="0" applyBorder="1" applyFont="1"/>
    <xf borderId="2254" fillId="129" fontId="132" numFmtId="0" xfId="0" applyAlignment="1" applyBorder="1" applyFont="1">
      <alignment horizontal="center" readingOrder="0" vertical="center"/>
    </xf>
    <xf borderId="2261" fillId="0" fontId="5" numFmtId="0" xfId="0" applyBorder="1" applyFont="1"/>
    <xf borderId="2262" fillId="129" fontId="132" numFmtId="0" xfId="0" applyAlignment="1" applyBorder="1" applyFont="1">
      <alignment horizontal="center" readingOrder="0" vertical="center"/>
    </xf>
    <xf borderId="2263" fillId="0" fontId="5" numFmtId="0" xfId="0" applyBorder="1" applyFont="1"/>
    <xf borderId="2264" fillId="0" fontId="5" numFmtId="0" xfId="0" applyBorder="1" applyFont="1"/>
    <xf borderId="2265" fillId="129" fontId="132" numFmtId="0" xfId="0" applyAlignment="1" applyBorder="1" applyFont="1">
      <alignment horizontal="center" readingOrder="0" vertical="center"/>
    </xf>
    <xf borderId="2266" fillId="0" fontId="5" numFmtId="0" xfId="0" applyBorder="1" applyFont="1"/>
    <xf borderId="2225" fillId="128" fontId="153" numFmtId="0" xfId="0" applyAlignment="1" applyBorder="1" applyFont="1">
      <alignment horizontal="center" vertical="center"/>
    </xf>
    <xf borderId="2226" fillId="128" fontId="102" numFmtId="0" xfId="0" applyAlignment="1" applyBorder="1" applyFont="1">
      <alignment horizontal="right" vertical="center"/>
    </xf>
    <xf borderId="2226" fillId="128" fontId="160" numFmtId="0" xfId="0" applyAlignment="1" applyBorder="1" applyFont="1">
      <alignment horizontal="center" vertical="center"/>
    </xf>
    <xf borderId="2267" fillId="128" fontId="160" numFmtId="0" xfId="0" applyAlignment="1" applyBorder="1" applyFont="1">
      <alignment horizontal="center" vertical="top"/>
    </xf>
    <xf borderId="2226" fillId="128" fontId="160" numFmtId="0" xfId="0" applyAlignment="1" applyBorder="1" applyFont="1">
      <alignment horizontal="center" vertical="top"/>
    </xf>
    <xf borderId="2268" fillId="128" fontId="160" numFmtId="0" xfId="0" applyAlignment="1" applyBorder="1" applyFont="1">
      <alignment horizontal="center" vertical="top"/>
    </xf>
    <xf borderId="2267" fillId="128" fontId="160" numFmtId="0" xfId="0" applyAlignment="1" applyBorder="1" applyFont="1">
      <alignment horizontal="center" vertical="center"/>
    </xf>
    <xf borderId="2267" fillId="128" fontId="143" numFmtId="0" xfId="0" applyAlignment="1" applyBorder="1" applyFont="1">
      <alignment horizontal="center" vertical="center"/>
    </xf>
    <xf borderId="2268" fillId="128" fontId="161" numFmtId="0" xfId="0" applyAlignment="1" applyBorder="1" applyFont="1">
      <alignment horizontal="center" vertical="center"/>
    </xf>
    <xf borderId="2226" fillId="128" fontId="161" numFmtId="0" xfId="0" applyAlignment="1" applyBorder="1" applyFont="1">
      <alignment horizontal="center" vertical="center"/>
    </xf>
    <xf borderId="2230" fillId="128" fontId="153" numFmtId="0" xfId="0" applyAlignment="1" applyBorder="1" applyFont="1">
      <alignment horizontal="center" vertical="center"/>
    </xf>
    <xf borderId="1871" fillId="119" fontId="139" numFmtId="0" xfId="0" applyAlignment="1" applyBorder="1" applyFont="1">
      <alignment horizontal="center" readingOrder="0" vertical="center"/>
    </xf>
    <xf borderId="2225" fillId="128" fontId="189" numFmtId="0" xfId="0" applyAlignment="1" applyBorder="1" applyFont="1">
      <alignment horizontal="center" vertical="center"/>
    </xf>
    <xf borderId="2226" fillId="128" fontId="148" numFmtId="0" xfId="0" applyAlignment="1" applyBorder="1" applyFont="1">
      <alignment horizontal="right" vertical="center"/>
    </xf>
    <xf borderId="2231" fillId="128" fontId="139" numFmtId="0" xfId="0" applyAlignment="1" applyBorder="1" applyFont="1">
      <alignment horizontal="center" vertical="center"/>
    </xf>
    <xf borderId="378" fillId="32" fontId="138" numFmtId="0" xfId="0" applyAlignment="1" applyBorder="1" applyFont="1">
      <alignment horizontal="center" readingOrder="0" vertical="top"/>
    </xf>
    <xf borderId="2232" fillId="128" fontId="139" numFmtId="0" xfId="0" applyAlignment="1" applyBorder="1" applyFont="1">
      <alignment horizontal="center" vertical="top"/>
    </xf>
    <xf borderId="2231" fillId="128" fontId="189" numFmtId="0" xfId="0" applyAlignment="1" applyBorder="1" applyFont="1">
      <alignment horizontal="center" vertical="center"/>
    </xf>
    <xf borderId="2233" fillId="128" fontId="189" numFmtId="0" xfId="0" applyAlignment="1" applyBorder="1" applyFont="1">
      <alignment horizontal="center" vertical="center"/>
    </xf>
    <xf borderId="2226" fillId="128" fontId="195" numFmtId="0" xfId="0" applyAlignment="1" applyBorder="1" applyFont="1">
      <alignment horizontal="right" readingOrder="0" vertical="bottom"/>
    </xf>
    <xf borderId="2226" fillId="128" fontId="195" numFmtId="0" xfId="0" applyAlignment="1" applyBorder="1" applyFont="1">
      <alignment horizontal="right" readingOrder="0" vertical="center"/>
    </xf>
    <xf borderId="2226" fillId="128" fontId="189" numFmtId="0" xfId="0" applyAlignment="1" applyBorder="1" applyFont="1">
      <alignment horizontal="center" vertical="center"/>
    </xf>
    <xf borderId="2230" fillId="128" fontId="189" numFmtId="0" xfId="0" applyAlignment="1" applyBorder="1" applyFont="1">
      <alignment horizontal="center" vertical="center"/>
    </xf>
    <xf borderId="1876" fillId="119" fontId="189" numFmtId="0" xfId="0" applyAlignment="1" applyBorder="1" applyFont="1">
      <alignment horizontal="center" vertical="center"/>
    </xf>
    <xf borderId="2226" fillId="128" fontId="139" numFmtId="0" xfId="0" applyAlignment="1" applyBorder="1" applyFont="1">
      <alignment horizontal="center" vertical="center"/>
    </xf>
    <xf borderId="2269" fillId="32" fontId="138" numFmtId="0" xfId="0" applyAlignment="1" applyBorder="1" applyFont="1">
      <alignment horizontal="center" readingOrder="0" vertical="center"/>
    </xf>
    <xf borderId="2270" fillId="32" fontId="138" numFmtId="0" xfId="0" applyAlignment="1" applyBorder="1" applyFont="1">
      <alignment horizontal="center" readingOrder="0" vertical="center"/>
    </xf>
    <xf borderId="2271" fillId="32" fontId="138" numFmtId="0" xfId="0" applyAlignment="1" applyBorder="1" applyFont="1">
      <alignment horizontal="left" readingOrder="0" vertical="center"/>
    </xf>
    <xf borderId="2272" fillId="0" fontId="5" numFmtId="0" xfId="0" applyBorder="1" applyFont="1"/>
    <xf borderId="2226" fillId="128" fontId="148" numFmtId="0" xfId="0" applyAlignment="1" applyBorder="1" applyFont="1">
      <alignment horizontal="right" readingOrder="0" vertical="top"/>
    </xf>
    <xf borderId="2273" fillId="32" fontId="138" numFmtId="0" xfId="0" applyAlignment="1" applyBorder="1" applyFont="1">
      <alignment horizontal="center" readingOrder="0" vertical="center"/>
    </xf>
    <xf borderId="2274" fillId="32" fontId="138" numFmtId="0" xfId="0" applyAlignment="1" applyBorder="1" applyFont="1">
      <alignment horizontal="center" readingOrder="0" vertical="center"/>
    </xf>
    <xf borderId="2275" fillId="32" fontId="138" numFmtId="0" xfId="0" applyAlignment="1" applyBorder="1" applyFont="1">
      <alignment horizontal="left" readingOrder="0" vertical="center"/>
    </xf>
    <xf borderId="2276" fillId="0" fontId="5" numFmtId="0" xfId="0" applyBorder="1" applyFont="1"/>
    <xf borderId="2268" fillId="128" fontId="195" numFmtId="0" xfId="0" applyAlignment="1" applyBorder="1" applyFont="1">
      <alignment horizontal="right" vertical="top"/>
    </xf>
    <xf borderId="2268" fillId="128" fontId="195" numFmtId="0" xfId="0" applyAlignment="1" applyBorder="1" applyFont="1">
      <alignment horizontal="right" vertical="center"/>
    </xf>
    <xf borderId="2267" fillId="0" fontId="5" numFmtId="0" xfId="0" applyBorder="1" applyFont="1"/>
    <xf borderId="2223" fillId="0" fontId="5" numFmtId="0" xfId="0" applyBorder="1" applyFont="1"/>
    <xf borderId="2277" fillId="32" fontId="138" numFmtId="0" xfId="0" applyAlignment="1" applyBorder="1" applyFont="1">
      <alignment horizontal="center" readingOrder="0" vertical="center"/>
    </xf>
    <xf borderId="2278" fillId="32" fontId="138" numFmtId="0" xfId="0" applyAlignment="1" applyBorder="1" applyFont="1">
      <alignment horizontal="center" readingOrder="0" vertical="center"/>
    </xf>
    <xf borderId="2279" fillId="32" fontId="138" numFmtId="0" xfId="0" applyAlignment="1" applyBorder="1" applyFont="1">
      <alignment horizontal="left" readingOrder="0" vertical="center"/>
    </xf>
    <xf borderId="2280" fillId="0" fontId="5" numFmtId="0" xfId="0" applyBorder="1" applyFont="1"/>
    <xf borderId="400" fillId="16" fontId="138" numFmtId="0" xfId="0" applyAlignment="1" applyBorder="1" applyFont="1">
      <alignment horizontal="right" readingOrder="0" vertical="center"/>
    </xf>
    <xf borderId="395" fillId="32" fontId="138" numFmtId="0" xfId="0" applyAlignment="1" applyBorder="1" applyFont="1">
      <alignment horizontal="right" readingOrder="0" vertical="center"/>
    </xf>
    <xf borderId="400" fillId="32" fontId="138" numFmtId="0" xfId="0" applyAlignment="1" applyBorder="1" applyFont="1">
      <alignment horizontal="right" readingOrder="0" vertical="center"/>
    </xf>
    <xf borderId="2281" fillId="128" fontId="189" numFmtId="0" xfId="0" applyAlignment="1" applyBorder="1" applyFont="1">
      <alignment horizontal="center" vertical="center"/>
    </xf>
    <xf borderId="2227" fillId="128" fontId="139" numFmtId="0" xfId="0" applyAlignment="1" applyBorder="1" applyFont="1">
      <alignment horizontal="center" vertical="center"/>
    </xf>
    <xf borderId="405" fillId="16" fontId="138" numFmtId="0" xfId="0" applyAlignment="1" applyBorder="1" applyFont="1">
      <alignment horizontal="right" readingOrder="0" vertical="center"/>
    </xf>
    <xf borderId="2268" fillId="128" fontId="139" numFmtId="0" xfId="0" applyAlignment="1" applyBorder="1" applyFont="1">
      <alignment horizontal="center" vertical="center"/>
    </xf>
    <xf borderId="405" fillId="32" fontId="138" numFmtId="0" xfId="0" applyAlignment="1" applyBorder="1" applyFont="1">
      <alignment horizontal="right" readingOrder="0" vertical="center"/>
    </xf>
    <xf borderId="2227" fillId="128" fontId="189" numFmtId="0" xfId="0" applyAlignment="1" applyBorder="1" applyFont="1">
      <alignment horizontal="center" vertical="center"/>
    </xf>
    <xf borderId="2223" fillId="128" fontId="148" numFmtId="0" xfId="0" applyAlignment="1" applyBorder="1" applyFont="1">
      <alignment horizontal="right" vertical="center"/>
    </xf>
    <xf borderId="2268" fillId="128" fontId="189" numFmtId="0" xfId="0" applyAlignment="1" applyBorder="1" applyFont="1">
      <alignment horizontal="center" vertical="center"/>
    </xf>
    <xf borderId="2282" fillId="128" fontId="189" numFmtId="0" xfId="0" applyAlignment="1" applyBorder="1" applyFont="1">
      <alignment horizontal="center" vertical="center"/>
    </xf>
    <xf borderId="2283" fillId="128" fontId="154" numFmtId="0" xfId="0" applyAlignment="1" applyBorder="1" applyFont="1">
      <alignment horizontal="center" vertical="center"/>
    </xf>
    <xf borderId="2284" fillId="128" fontId="104" numFmtId="0" xfId="0" applyAlignment="1" applyBorder="1" applyFont="1">
      <alignment horizontal="right" vertical="top"/>
    </xf>
    <xf borderId="2284" fillId="128" fontId="154" numFmtId="0" xfId="0" applyAlignment="1" applyBorder="1" applyFont="1">
      <alignment horizontal="center" vertical="center"/>
    </xf>
    <xf borderId="2284" fillId="128" fontId="132" numFmtId="0" xfId="0" applyAlignment="1" applyBorder="1" applyFont="1">
      <alignment horizontal="center" vertical="center"/>
    </xf>
    <xf borderId="2285" fillId="128" fontId="132" numFmtId="0" xfId="0" applyAlignment="1" applyBorder="1" applyFont="1">
      <alignment horizontal="center" readingOrder="0" vertical="center"/>
    </xf>
    <xf borderId="2284" fillId="128" fontId="132" numFmtId="0" xfId="0" applyAlignment="1" applyBorder="1" applyFont="1">
      <alignment horizontal="center" vertical="center"/>
    </xf>
    <xf borderId="2284" fillId="128" fontId="132" numFmtId="0" xfId="0" applyAlignment="1" applyBorder="1" applyFont="1">
      <alignment horizontal="center" readingOrder="0" vertical="center"/>
    </xf>
    <xf borderId="2286" fillId="128" fontId="154" numFmtId="0" xfId="0" applyAlignment="1" applyBorder="1" applyFont="1">
      <alignment horizontal="center" vertical="center"/>
    </xf>
    <xf borderId="2287" fillId="130" fontId="154" numFmtId="0" xfId="0" applyAlignment="1" applyBorder="1" applyFill="1" applyFont="1">
      <alignment horizontal="center" vertical="center"/>
    </xf>
    <xf borderId="2288" fillId="130" fontId="102" numFmtId="0" xfId="0" applyAlignment="1" applyBorder="1" applyFont="1">
      <alignment horizontal="right" readingOrder="0" vertical="center"/>
    </xf>
    <xf borderId="2289" fillId="130" fontId="154" numFmtId="0" xfId="0" applyAlignment="1" applyBorder="1" applyFont="1">
      <alignment horizontal="center" vertical="center"/>
    </xf>
    <xf borderId="2290" fillId="130" fontId="154" numFmtId="0" xfId="0" applyAlignment="1" applyBorder="1" applyFont="1">
      <alignment horizontal="center" vertical="center"/>
    </xf>
    <xf borderId="2291" fillId="130" fontId="104" numFmtId="0" xfId="0" applyAlignment="1" applyBorder="1" applyFont="1">
      <alignment horizontal="right" vertical="center"/>
    </xf>
    <xf borderId="2291" fillId="130" fontId="154" numFmtId="0" xfId="0" applyAlignment="1" applyBorder="1" applyFont="1">
      <alignment horizontal="center" vertical="center"/>
    </xf>
    <xf borderId="2292" fillId="130" fontId="196" numFmtId="0" xfId="0" applyAlignment="1" applyBorder="1" applyFont="1">
      <alignment horizontal="left" readingOrder="0" vertical="center"/>
    </xf>
    <xf borderId="2293" fillId="0" fontId="5" numFmtId="0" xfId="0" applyBorder="1" applyFont="1"/>
    <xf borderId="2294" fillId="0" fontId="5" numFmtId="0" xfId="0" applyBorder="1" applyFont="1"/>
    <xf borderId="2295" fillId="130" fontId="154" numFmtId="0" xfId="0" applyAlignment="1" applyBorder="1" applyFont="1">
      <alignment horizontal="center" vertical="center"/>
    </xf>
    <xf borderId="339" fillId="131" fontId="104" numFmtId="0" xfId="0" applyAlignment="1" applyBorder="1" applyFill="1" applyFont="1">
      <alignment horizontal="center" vertical="center"/>
    </xf>
    <xf borderId="2296" fillId="130" fontId="156" numFmtId="0" xfId="0" applyAlignment="1" applyBorder="1" applyFont="1">
      <alignment horizontal="center" vertical="center"/>
    </xf>
    <xf borderId="1066" fillId="30" fontId="131" numFmtId="0" xfId="0" applyAlignment="1" applyBorder="1" applyFont="1">
      <alignment horizontal="center" vertical="center"/>
    </xf>
    <xf borderId="2293" fillId="130" fontId="132" numFmtId="0" xfId="0" applyAlignment="1" applyBorder="1" applyFont="1">
      <alignment horizontal="center" vertical="center"/>
    </xf>
    <xf borderId="1066" fillId="132" fontId="131" numFmtId="0" xfId="0" applyAlignment="1" applyBorder="1" applyFill="1" applyFont="1">
      <alignment horizontal="center" vertical="center"/>
    </xf>
    <xf borderId="2293" fillId="130" fontId="154" numFmtId="0" xfId="0" applyAlignment="1" applyBorder="1" applyFont="1">
      <alignment horizontal="center" vertical="center"/>
    </xf>
    <xf borderId="2297" fillId="130" fontId="154" numFmtId="0" xfId="0" applyAlignment="1" applyBorder="1" applyFont="1">
      <alignment horizontal="center" vertical="center"/>
    </xf>
    <xf borderId="2290" fillId="130" fontId="132" numFmtId="0" xfId="0" applyAlignment="1" applyBorder="1" applyFont="1">
      <alignment horizontal="center" vertical="center"/>
    </xf>
    <xf borderId="1688" fillId="133" fontId="104" numFmtId="0" xfId="0" applyAlignment="1" applyBorder="1" applyFill="1" applyFont="1">
      <alignment horizontal="right" readingOrder="0" vertical="center"/>
    </xf>
    <xf borderId="2296" fillId="130" fontId="132" numFmtId="0" xfId="0" applyAlignment="1" applyBorder="1" applyFont="1">
      <alignment horizontal="center" readingOrder="0" vertical="center"/>
    </xf>
    <xf borderId="2298" fillId="133" fontId="130" numFmtId="0" xfId="0" applyAlignment="1" applyBorder="1" applyFont="1">
      <alignment horizontal="center" readingOrder="0" vertical="center"/>
    </xf>
    <xf borderId="2299" fillId="0" fontId="5" numFmtId="0" xfId="0" applyBorder="1" applyFont="1"/>
    <xf borderId="2300" fillId="0" fontId="5" numFmtId="0" xfId="0" applyBorder="1" applyFont="1"/>
    <xf borderId="2301" fillId="130" fontId="130" numFmtId="0" xfId="0" applyAlignment="1" applyBorder="1" applyFont="1">
      <alignment horizontal="center" readingOrder="0" vertical="center"/>
    </xf>
    <xf borderId="2302" fillId="0" fontId="5" numFmtId="0" xfId="0" applyBorder="1" applyFont="1"/>
    <xf borderId="2303" fillId="0" fontId="5" numFmtId="0" xfId="0" applyBorder="1" applyFont="1"/>
    <xf borderId="2297" fillId="130" fontId="132" numFmtId="0" xfId="0" applyAlignment="1" applyBorder="1" applyFont="1">
      <alignment horizontal="center" vertical="center"/>
    </xf>
    <xf borderId="2290" fillId="130" fontId="158" numFmtId="0" xfId="0" applyAlignment="1" applyBorder="1" applyFont="1">
      <alignment horizontal="center" vertical="center"/>
    </xf>
    <xf borderId="2296" fillId="130" fontId="158" numFmtId="0" xfId="0" applyAlignment="1" applyBorder="1" applyFont="1">
      <alignment horizontal="center" readingOrder="0" vertical="center"/>
    </xf>
    <xf borderId="2304" fillId="133" fontId="146" numFmtId="0" xfId="0" applyAlignment="1" applyBorder="1" applyFont="1">
      <alignment horizontal="center" readingOrder="0" vertical="top"/>
    </xf>
    <xf borderId="2305" fillId="0" fontId="5" numFmtId="0" xfId="0" applyBorder="1" applyFont="1"/>
    <xf borderId="2306" fillId="0" fontId="5" numFmtId="0" xfId="0" applyBorder="1" applyFont="1"/>
    <xf borderId="2307" fillId="130" fontId="146" numFmtId="0" xfId="0" applyAlignment="1" applyBorder="1" applyFont="1">
      <alignment horizontal="center" readingOrder="0" vertical="top"/>
    </xf>
    <xf borderId="2308" fillId="0" fontId="5" numFmtId="0" xfId="0" applyBorder="1" applyFont="1"/>
    <xf borderId="2309" fillId="0" fontId="5" numFmtId="0" xfId="0" applyBorder="1" applyFont="1"/>
    <xf borderId="2297" fillId="130" fontId="158" numFmtId="0" xfId="0" applyAlignment="1" applyBorder="1" applyFont="1">
      <alignment horizontal="center" vertical="center"/>
    </xf>
    <xf borderId="2310" fillId="133" fontId="132" numFmtId="0" xfId="0" applyAlignment="1" applyBorder="1" applyFont="1">
      <alignment horizontal="center" vertical="center"/>
    </xf>
    <xf borderId="2311" fillId="133" fontId="132" numFmtId="0" xfId="0" applyAlignment="1" applyBorder="1" applyFont="1">
      <alignment horizontal="right" vertical="top"/>
    </xf>
    <xf borderId="2311" fillId="133" fontId="132" numFmtId="0" xfId="0" applyAlignment="1" applyBorder="1" applyFont="1">
      <alignment horizontal="left" vertical="top"/>
    </xf>
    <xf borderId="2312" fillId="133" fontId="132" numFmtId="0" xfId="0" applyAlignment="1" applyBorder="1" applyFont="1">
      <alignment horizontal="center" vertical="top"/>
    </xf>
    <xf borderId="2313" fillId="133" fontId="132" numFmtId="0" xfId="0" applyAlignment="1" applyBorder="1" applyFont="1">
      <alignment horizontal="center" vertical="top"/>
    </xf>
    <xf borderId="2314" fillId="0" fontId="5" numFmtId="0" xfId="0" applyBorder="1" applyFont="1"/>
    <xf borderId="2315" fillId="130" fontId="132" numFmtId="0" xfId="0" applyAlignment="1" applyBorder="1" applyFont="1">
      <alignment horizontal="center" vertical="center"/>
    </xf>
    <xf borderId="2316" fillId="130" fontId="132" numFmtId="0" xfId="0" applyAlignment="1" applyBorder="1" applyFont="1">
      <alignment horizontal="right" vertical="top"/>
    </xf>
    <xf borderId="2316" fillId="130" fontId="132" numFmtId="0" xfId="0" applyAlignment="1" applyBorder="1" applyFont="1">
      <alignment horizontal="left" vertical="top"/>
    </xf>
    <xf borderId="2317" fillId="130" fontId="132" numFmtId="0" xfId="0" applyAlignment="1" applyBorder="1" applyFont="1">
      <alignment horizontal="center" vertical="top"/>
    </xf>
    <xf borderId="2318" fillId="133" fontId="132" numFmtId="0" xfId="0" applyAlignment="1" applyBorder="1" applyFont="1">
      <alignment horizontal="center" vertical="center"/>
    </xf>
    <xf borderId="2319" fillId="133" fontId="132" numFmtId="0" xfId="0" applyAlignment="1" applyBorder="1" applyFont="1">
      <alignment horizontal="center" vertical="top"/>
    </xf>
    <xf borderId="2320" fillId="133" fontId="132" numFmtId="0" xfId="0" applyAlignment="1" applyBorder="1" applyFont="1">
      <alignment horizontal="center" vertical="top"/>
    </xf>
    <xf borderId="2321" fillId="130" fontId="132" numFmtId="0" xfId="0" applyAlignment="1" applyBorder="1" applyFont="1">
      <alignment horizontal="center" vertical="center"/>
    </xf>
    <xf borderId="2322" fillId="130" fontId="132" numFmtId="0" xfId="0" applyAlignment="1" applyBorder="1" applyFont="1">
      <alignment horizontal="center" vertical="top"/>
    </xf>
    <xf borderId="2323" fillId="130" fontId="132" numFmtId="0" xfId="0" applyAlignment="1" applyBorder="1" applyFont="1">
      <alignment horizontal="center" vertical="top"/>
    </xf>
    <xf borderId="2296" fillId="130" fontId="154" numFmtId="0" xfId="0" applyAlignment="1" applyBorder="1" applyFont="1">
      <alignment horizontal="center" vertical="center"/>
    </xf>
    <xf borderId="2324" fillId="133" fontId="132" numFmtId="0" xfId="0" applyAlignment="1" applyBorder="1" applyFont="1">
      <alignment horizontal="center" readingOrder="0" vertical="center"/>
    </xf>
    <xf borderId="2325" fillId="0" fontId="5" numFmtId="0" xfId="0" applyBorder="1" applyFont="1"/>
    <xf borderId="2326" fillId="0" fontId="5" numFmtId="0" xfId="0" applyBorder="1" applyFont="1"/>
    <xf borderId="2327" fillId="130" fontId="132" numFmtId="0" xfId="0" applyAlignment="1" applyBorder="1" applyFont="1">
      <alignment horizontal="center" readingOrder="0" vertical="center"/>
    </xf>
    <xf borderId="2328" fillId="0" fontId="5" numFmtId="0" xfId="0" applyBorder="1" applyFont="1"/>
    <xf borderId="2329" fillId="0" fontId="5" numFmtId="0" xfId="0" applyBorder="1" applyFont="1"/>
    <xf borderId="2330" fillId="133" fontId="132" numFmtId="0" xfId="0" applyAlignment="1" applyBorder="1" applyFont="1">
      <alignment horizontal="center" readingOrder="0" vertical="center"/>
    </xf>
    <xf borderId="2331" fillId="0" fontId="5" numFmtId="0" xfId="0" applyBorder="1" applyFont="1"/>
    <xf borderId="2332" fillId="0" fontId="5" numFmtId="0" xfId="0" applyBorder="1" applyFont="1"/>
    <xf borderId="2333" fillId="130" fontId="132" numFmtId="0" xfId="0" applyAlignment="1" applyBorder="1" applyFont="1">
      <alignment horizontal="center" readingOrder="0" vertical="center"/>
    </xf>
    <xf borderId="2334" fillId="0" fontId="5" numFmtId="0" xfId="0" applyBorder="1" applyFont="1"/>
    <xf borderId="2335" fillId="0" fontId="5" numFmtId="0" xfId="0" applyBorder="1" applyFont="1"/>
    <xf borderId="2291" fillId="130" fontId="104" numFmtId="0" xfId="0" applyAlignment="1" applyBorder="1" applyFont="1">
      <alignment horizontal="right"/>
    </xf>
    <xf borderId="2336" fillId="133" fontId="132" numFmtId="0" xfId="0" applyAlignment="1" applyBorder="1" applyFont="1">
      <alignment horizontal="center" readingOrder="0" vertical="center"/>
    </xf>
    <xf borderId="2337" fillId="0" fontId="5" numFmtId="0" xfId="0" applyBorder="1" applyFont="1"/>
    <xf borderId="2338" fillId="0" fontId="5" numFmtId="0" xfId="0" applyBorder="1" applyFont="1"/>
    <xf borderId="2339" fillId="133" fontId="132" numFmtId="0" xfId="0" applyAlignment="1" applyBorder="1" applyFont="1">
      <alignment horizontal="center" readingOrder="0" vertical="center"/>
    </xf>
    <xf borderId="2340" fillId="130" fontId="132" numFmtId="0" xfId="0" applyAlignment="1" applyBorder="1" applyFont="1">
      <alignment horizontal="center" readingOrder="0" vertical="center"/>
    </xf>
    <xf borderId="2341" fillId="130" fontId="132" numFmtId="0" xfId="0" applyAlignment="1" applyBorder="1" applyFont="1">
      <alignment horizontal="center" readingOrder="0" vertical="center"/>
    </xf>
    <xf borderId="2342" fillId="0" fontId="5" numFmtId="0" xfId="0" applyBorder="1" applyFont="1"/>
    <xf borderId="2326" fillId="133" fontId="132" numFmtId="0" xfId="0" applyAlignment="1" applyBorder="1" applyFont="1">
      <alignment horizontal="center" readingOrder="0" vertical="center"/>
    </xf>
    <xf borderId="2343" fillId="0" fontId="5" numFmtId="0" xfId="0" applyBorder="1" applyFont="1"/>
    <xf borderId="2329" fillId="130" fontId="132" numFmtId="0" xfId="0" applyAlignment="1" applyBorder="1" applyFont="1">
      <alignment horizontal="center" readingOrder="0" vertical="center"/>
    </xf>
    <xf borderId="2344" fillId="0" fontId="5" numFmtId="0" xfId="0" applyBorder="1" applyFont="1"/>
    <xf borderId="2332" fillId="133" fontId="132" numFmtId="0" xfId="0" applyAlignment="1" applyBorder="1" applyFont="1">
      <alignment horizontal="center" readingOrder="0" vertical="center"/>
    </xf>
    <xf borderId="2345" fillId="0" fontId="5" numFmtId="0" xfId="0" applyBorder="1" applyFont="1"/>
    <xf borderId="2335" fillId="130" fontId="132" numFmtId="0" xfId="0" applyAlignment="1" applyBorder="1" applyFont="1">
      <alignment horizontal="center" readingOrder="0" vertical="center"/>
    </xf>
    <xf borderId="2346" fillId="133" fontId="132" numFmtId="0" xfId="0" applyAlignment="1" applyBorder="1" applyFont="1">
      <alignment horizontal="center" readingOrder="0" vertical="center"/>
    </xf>
    <xf borderId="2347" fillId="0" fontId="5" numFmtId="0" xfId="0" applyBorder="1" applyFont="1"/>
    <xf borderId="2348" fillId="0" fontId="5" numFmtId="0" xfId="0" applyBorder="1" applyFont="1"/>
    <xf borderId="2349" fillId="133" fontId="132" numFmtId="0" xfId="0" applyAlignment="1" applyBorder="1" applyFont="1">
      <alignment horizontal="center" readingOrder="0" vertical="center"/>
    </xf>
    <xf borderId="2350" fillId="0" fontId="5" numFmtId="0" xfId="0" applyBorder="1" applyFont="1"/>
    <xf borderId="2351" fillId="130" fontId="132" numFmtId="0" xfId="0" applyAlignment="1" applyBorder="1" applyFont="1">
      <alignment horizontal="center" readingOrder="0" vertical="center"/>
    </xf>
    <xf borderId="2352" fillId="0" fontId="5" numFmtId="0" xfId="0" applyBorder="1" applyFont="1"/>
    <xf borderId="2353" fillId="0" fontId="5" numFmtId="0" xfId="0" applyBorder="1" applyFont="1"/>
    <xf borderId="2354" fillId="130" fontId="132" numFmtId="0" xfId="0" applyAlignment="1" applyBorder="1" applyFont="1">
      <alignment horizontal="center" readingOrder="0" vertical="center"/>
    </xf>
    <xf borderId="2290" fillId="130" fontId="153" numFmtId="0" xfId="0" applyAlignment="1" applyBorder="1" applyFont="1">
      <alignment horizontal="center" vertical="center"/>
    </xf>
    <xf borderId="2291" fillId="130" fontId="102" numFmtId="0" xfId="0" applyAlignment="1" applyBorder="1" applyFont="1">
      <alignment horizontal="right" vertical="center"/>
    </xf>
    <xf borderId="2291" fillId="130" fontId="160" numFmtId="0" xfId="0" applyAlignment="1" applyBorder="1" applyFont="1">
      <alignment horizontal="center" vertical="center"/>
    </xf>
    <xf borderId="2288" fillId="130" fontId="160" numFmtId="0" xfId="0" applyAlignment="1" applyBorder="1" applyFont="1">
      <alignment horizontal="center" vertical="top"/>
    </xf>
    <xf borderId="2291" fillId="130" fontId="160" numFmtId="0" xfId="0" applyAlignment="1" applyBorder="1" applyFont="1">
      <alignment horizontal="center" vertical="top"/>
    </xf>
    <xf borderId="2355" fillId="130" fontId="160" numFmtId="0" xfId="0" applyAlignment="1" applyBorder="1" applyFont="1">
      <alignment horizontal="center" vertical="top"/>
    </xf>
    <xf borderId="2356" fillId="130" fontId="160" numFmtId="0" xfId="0" applyAlignment="1" applyBorder="1" applyFont="1">
      <alignment horizontal="center" vertical="top"/>
    </xf>
    <xf borderId="2355" fillId="130" fontId="160" numFmtId="0" xfId="0" applyAlignment="1" applyBorder="1" applyFont="1">
      <alignment horizontal="center" vertical="center"/>
    </xf>
    <xf borderId="2355" fillId="130" fontId="143" numFmtId="0" xfId="0" applyAlignment="1" applyBorder="1" applyFont="1">
      <alignment horizontal="center" vertical="center"/>
    </xf>
    <xf borderId="2356" fillId="130" fontId="161" numFmtId="0" xfId="0" applyAlignment="1" applyBorder="1" applyFont="1">
      <alignment horizontal="center" vertical="center"/>
    </xf>
    <xf borderId="2291" fillId="130" fontId="161" numFmtId="0" xfId="0" applyAlignment="1" applyBorder="1" applyFont="1">
      <alignment horizontal="center" vertical="center"/>
    </xf>
    <xf borderId="2295" fillId="130" fontId="153" numFmtId="0" xfId="0" applyAlignment="1" applyBorder="1" applyFont="1">
      <alignment horizontal="center" vertical="center"/>
    </xf>
    <xf borderId="2290" fillId="130" fontId="189" numFmtId="0" xfId="0" applyAlignment="1" applyBorder="1" applyFont="1">
      <alignment horizontal="center" vertical="center"/>
    </xf>
    <xf borderId="2291" fillId="130" fontId="148" numFmtId="0" xfId="0" applyAlignment="1" applyBorder="1" applyFont="1">
      <alignment horizontal="right" vertical="center"/>
    </xf>
    <xf borderId="2291" fillId="130" fontId="139" numFmtId="0" xfId="0" applyAlignment="1" applyBorder="1" applyFont="1">
      <alignment horizontal="center" vertical="center"/>
    </xf>
    <xf borderId="378" fillId="30" fontId="138" numFmtId="0" xfId="0" applyAlignment="1" applyBorder="1" applyFont="1">
      <alignment horizontal="center" readingOrder="0" vertical="top"/>
    </xf>
    <xf borderId="2296" fillId="130" fontId="139" numFmtId="0" xfId="0" applyAlignment="1" applyBorder="1" applyFont="1">
      <alignment horizontal="center" vertical="center"/>
    </xf>
    <xf borderId="2296" fillId="130" fontId="139" numFmtId="0" xfId="0" applyAlignment="1" applyBorder="1" applyFont="1">
      <alignment horizontal="center" vertical="top"/>
    </xf>
    <xf borderId="378" fillId="132" fontId="138" numFmtId="0" xfId="0" applyAlignment="1" applyBorder="1" applyFont="1">
      <alignment horizontal="center" readingOrder="0" vertical="top"/>
    </xf>
    <xf borderId="2334" fillId="130" fontId="189" numFmtId="0" xfId="0" applyAlignment="1" applyBorder="1" applyFont="1">
      <alignment horizontal="center" vertical="center"/>
    </xf>
    <xf borderId="2297" fillId="130" fontId="189" numFmtId="0" xfId="0" applyAlignment="1" applyBorder="1" applyFont="1">
      <alignment horizontal="center" vertical="center"/>
    </xf>
    <xf borderId="2357" fillId="30" fontId="138" numFmtId="0" xfId="0" applyAlignment="1" applyBorder="1" applyFont="1">
      <alignment horizontal="center" readingOrder="0" vertical="center"/>
    </xf>
    <xf borderId="2358" fillId="30" fontId="138" numFmtId="0" xfId="0" applyAlignment="1" applyBorder="1" applyFont="1">
      <alignment horizontal="center" readingOrder="0" vertical="center"/>
    </xf>
    <xf borderId="2359" fillId="30" fontId="138" numFmtId="0" xfId="0" applyAlignment="1" applyBorder="1" applyFont="1">
      <alignment horizontal="left" readingOrder="0" vertical="center"/>
    </xf>
    <xf borderId="2360" fillId="0" fontId="5" numFmtId="0" xfId="0" applyBorder="1" applyFont="1"/>
    <xf borderId="2361" fillId="132" fontId="138" numFmtId="0" xfId="0" applyAlignment="1" applyBorder="1" applyFont="1">
      <alignment horizontal="center" readingOrder="0" vertical="center"/>
    </xf>
    <xf borderId="2362" fillId="132" fontId="138" numFmtId="0" xfId="0" applyAlignment="1" applyBorder="1" applyFont="1">
      <alignment horizontal="center" readingOrder="0" vertical="center"/>
    </xf>
    <xf borderId="2363" fillId="132" fontId="138" numFmtId="0" xfId="0" applyAlignment="1" applyBorder="1" applyFont="1">
      <alignment horizontal="left" readingOrder="0" vertical="center"/>
    </xf>
    <xf borderId="2364" fillId="0" fontId="5" numFmtId="0" xfId="0" applyBorder="1" applyFont="1"/>
    <xf borderId="2291" fillId="130" fontId="189" numFmtId="0" xfId="0" applyAlignment="1" applyBorder="1" applyFont="1">
      <alignment horizontal="center" vertical="center"/>
    </xf>
    <xf borderId="2345" fillId="130" fontId="189" numFmtId="0" xfId="0" applyAlignment="1" applyBorder="1" applyFont="1">
      <alignment horizontal="center" vertical="center"/>
    </xf>
    <xf borderId="2365" fillId="30" fontId="138" numFmtId="0" xfId="0" applyAlignment="1" applyBorder="1" applyFont="1">
      <alignment horizontal="center" readingOrder="0" vertical="center"/>
    </xf>
    <xf borderId="2366" fillId="30" fontId="138" numFmtId="0" xfId="0" applyAlignment="1" applyBorder="1" applyFont="1">
      <alignment horizontal="center" readingOrder="0" vertical="center"/>
    </xf>
    <xf borderId="2367" fillId="30" fontId="138" numFmtId="0" xfId="0" applyAlignment="1" applyBorder="1" applyFont="1">
      <alignment horizontal="left" readingOrder="0" vertical="center"/>
    </xf>
    <xf borderId="2368" fillId="0" fontId="5" numFmtId="0" xfId="0" applyBorder="1" applyFont="1"/>
    <xf borderId="2369" fillId="132" fontId="138" numFmtId="0" xfId="0" applyAlignment="1" applyBorder="1" applyFont="1">
      <alignment horizontal="center" readingOrder="0" vertical="center"/>
    </xf>
    <xf borderId="2370" fillId="132" fontId="138" numFmtId="0" xfId="0" applyAlignment="1" applyBorder="1" applyFont="1">
      <alignment horizontal="center" readingOrder="0" vertical="center"/>
    </xf>
    <xf borderId="2371" fillId="132" fontId="138" numFmtId="0" xfId="0" applyAlignment="1" applyBorder="1" applyFont="1">
      <alignment horizontal="left" readingOrder="0" vertical="center"/>
    </xf>
    <xf borderId="2372" fillId="0" fontId="5" numFmtId="0" xfId="0" applyBorder="1" applyFont="1"/>
    <xf borderId="2373" fillId="30" fontId="138" numFmtId="0" xfId="0" applyAlignment="1" applyBorder="1" applyFont="1">
      <alignment horizontal="center" readingOrder="0" vertical="center"/>
    </xf>
    <xf borderId="2374" fillId="30" fontId="138" numFmtId="0" xfId="0" applyAlignment="1" applyBorder="1" applyFont="1">
      <alignment horizontal="center" readingOrder="0" vertical="center"/>
    </xf>
    <xf borderId="2375" fillId="30" fontId="138" numFmtId="0" xfId="0" applyAlignment="1" applyBorder="1" applyFont="1">
      <alignment horizontal="left" readingOrder="0" vertical="center"/>
    </xf>
    <xf borderId="2376" fillId="0" fontId="5" numFmtId="0" xfId="0" applyBorder="1" applyFont="1"/>
    <xf borderId="2377" fillId="132" fontId="138" numFmtId="0" xfId="0" applyAlignment="1" applyBorder="1" applyFont="1">
      <alignment horizontal="center" readingOrder="0" vertical="center"/>
    </xf>
    <xf borderId="2378" fillId="132" fontId="138" numFmtId="0" xfId="0" applyAlignment="1" applyBorder="1" applyFont="1">
      <alignment horizontal="center" readingOrder="0" vertical="center"/>
    </xf>
    <xf borderId="2379" fillId="132" fontId="138" numFmtId="0" xfId="0" applyAlignment="1" applyBorder="1" applyFont="1">
      <alignment horizontal="left" readingOrder="0" vertical="center"/>
    </xf>
    <xf borderId="2380" fillId="0" fontId="5" numFmtId="0" xfId="0" applyBorder="1" applyFont="1"/>
    <xf borderId="395" fillId="30" fontId="138" numFmtId="0" xfId="0" applyAlignment="1" applyBorder="1" applyFont="1">
      <alignment horizontal="right" readingOrder="0" vertical="center"/>
    </xf>
    <xf borderId="395" fillId="132" fontId="138" numFmtId="0" xfId="0" applyAlignment="1" applyBorder="1" applyFont="1">
      <alignment horizontal="right" readingOrder="0" vertical="center"/>
    </xf>
    <xf borderId="2296" fillId="130" fontId="189" numFmtId="0" xfId="0" applyAlignment="1" applyBorder="1" applyFont="1">
      <alignment horizontal="center" vertical="center"/>
    </xf>
    <xf borderId="2295" fillId="130" fontId="189" numFmtId="0" xfId="0" applyAlignment="1" applyBorder="1" applyFont="1">
      <alignment horizontal="center" vertical="center"/>
    </xf>
    <xf borderId="2381" fillId="130" fontId="154" numFmtId="0" xfId="0" applyAlignment="1" applyBorder="1" applyFont="1">
      <alignment horizontal="center" vertical="center"/>
    </xf>
    <xf borderId="2382" fillId="130" fontId="104" numFmtId="0" xfId="0" applyAlignment="1" applyBorder="1" applyFont="1">
      <alignment horizontal="right" vertical="top"/>
    </xf>
    <xf borderId="2382" fillId="130" fontId="154" numFmtId="0" xfId="0" applyAlignment="1" applyBorder="1" applyFont="1">
      <alignment horizontal="center" vertical="center"/>
    </xf>
    <xf borderId="2382" fillId="130" fontId="132" numFmtId="0" xfId="0" applyAlignment="1" applyBorder="1" applyFont="1">
      <alignment horizontal="center" readingOrder="0" vertical="center"/>
    </xf>
    <xf borderId="2382" fillId="130" fontId="132" numFmtId="0" xfId="0" applyAlignment="1" applyBorder="1" applyFont="1">
      <alignment horizontal="center" vertical="center"/>
    </xf>
    <xf borderId="2383" fillId="130" fontId="132" numFmtId="0" xfId="0" applyAlignment="1" applyBorder="1" applyFont="1">
      <alignment horizontal="center" readingOrder="0" vertical="center"/>
    </xf>
    <xf borderId="2383" fillId="130" fontId="154" numFmtId="0" xfId="0" applyAlignment="1" applyBorder="1" applyFont="1">
      <alignment horizontal="center" vertical="center"/>
    </xf>
    <xf borderId="2384" fillId="130" fontId="154" numFmtId="0" xfId="0" applyAlignment="1" applyBorder="1" applyFont="1">
      <alignment horizontal="center" vertical="center"/>
    </xf>
    <xf borderId="2385" fillId="129" fontId="154" numFmtId="0" xfId="0" applyAlignment="1" applyBorder="1" applyFont="1">
      <alignment horizontal="center" vertical="center"/>
    </xf>
    <xf borderId="2386" fillId="129" fontId="102" numFmtId="0" xfId="0" applyAlignment="1" applyBorder="1" applyFont="1">
      <alignment horizontal="right" readingOrder="0" vertical="center"/>
    </xf>
    <xf borderId="2387" fillId="129" fontId="102" numFmtId="0" xfId="0" applyAlignment="1" applyBorder="1" applyFont="1">
      <alignment horizontal="right" readingOrder="0" vertical="center"/>
    </xf>
    <xf borderId="2388" fillId="129" fontId="102" numFmtId="0" xfId="0" applyAlignment="1" applyBorder="1" applyFont="1">
      <alignment horizontal="right" readingOrder="0" vertical="center"/>
    </xf>
    <xf borderId="2389" fillId="129" fontId="154" numFmtId="0" xfId="0" applyAlignment="1" applyBorder="1" applyFont="1">
      <alignment horizontal="center" vertical="center"/>
    </xf>
    <xf borderId="2390" fillId="129" fontId="154" numFmtId="0" xfId="0" applyAlignment="1" applyBorder="1" applyFont="1">
      <alignment horizontal="center" vertical="center"/>
    </xf>
    <xf borderId="339" fillId="32" fontId="104" numFmtId="0" xfId="0" applyAlignment="1" applyBorder="1" applyFont="1">
      <alignment horizontal="center" vertical="center"/>
    </xf>
    <xf borderId="2391" fillId="129" fontId="156" numFmtId="0" xfId="0" applyAlignment="1" applyBorder="1" applyFont="1">
      <alignment horizontal="center" vertical="center"/>
    </xf>
    <xf borderId="2253" fillId="129" fontId="156" numFmtId="0" xfId="0" applyAlignment="1" applyBorder="1" applyFont="1">
      <alignment horizontal="center" vertical="center"/>
    </xf>
    <xf borderId="2256" fillId="129" fontId="154" numFmtId="0" xfId="0" applyAlignment="1" applyBorder="1" applyFont="1">
      <alignment horizontal="center" vertical="center"/>
    </xf>
    <xf borderId="2257" fillId="129" fontId="154" numFmtId="0" xfId="0" applyAlignment="1" applyBorder="1" applyFont="1">
      <alignment horizontal="center" vertical="center"/>
    </xf>
    <xf borderId="2392" fillId="129" fontId="154" numFmtId="0" xfId="0" applyAlignment="1" applyBorder="1" applyFont="1">
      <alignment horizontal="center" vertical="center"/>
    </xf>
    <xf borderId="2393" fillId="129" fontId="154" numFmtId="0" xfId="0" applyAlignment="1" applyBorder="1" applyFont="1">
      <alignment horizontal="center" vertical="center"/>
    </xf>
    <xf borderId="2390" fillId="129" fontId="132" numFmtId="0" xfId="0" applyAlignment="1" applyBorder="1" applyFont="1">
      <alignment horizontal="center" vertical="center"/>
    </xf>
    <xf borderId="885" fillId="129" fontId="104" numFmtId="0" xfId="0" applyAlignment="1" applyBorder="1" applyFont="1">
      <alignment horizontal="right" readingOrder="0" vertical="center"/>
    </xf>
    <xf borderId="2391" fillId="129" fontId="132" numFmtId="0" xfId="0" applyAlignment="1" applyBorder="1" applyFont="1">
      <alignment horizontal="center" readingOrder="0" vertical="center"/>
    </xf>
    <xf borderId="2253" fillId="129" fontId="132" numFmtId="0" xfId="0" applyAlignment="1" applyBorder="1" applyFont="1">
      <alignment horizontal="center" readingOrder="0" vertical="center"/>
    </xf>
    <xf borderId="2394" fillId="0" fontId="5" numFmtId="0" xfId="0" applyBorder="1" applyFont="1"/>
    <xf borderId="2392" fillId="129" fontId="132" numFmtId="0" xfId="0" applyAlignment="1" applyBorder="1" applyFont="1">
      <alignment horizontal="center" vertical="center"/>
    </xf>
    <xf borderId="2393" fillId="129" fontId="132" numFmtId="0" xfId="0" applyAlignment="1" applyBorder="1" applyFont="1">
      <alignment horizontal="center" vertical="center"/>
    </xf>
    <xf borderId="2390" fillId="129" fontId="158" numFmtId="0" xfId="0" applyAlignment="1" applyBorder="1" applyFont="1">
      <alignment horizontal="center" vertical="center"/>
    </xf>
    <xf borderId="2391" fillId="129" fontId="158" numFmtId="0" xfId="0" applyAlignment="1" applyBorder="1" applyFont="1">
      <alignment horizontal="center" readingOrder="0" vertical="center"/>
    </xf>
    <xf borderId="2253" fillId="129" fontId="158" numFmtId="0" xfId="0" applyAlignment="1" applyBorder="1" applyFont="1">
      <alignment horizontal="center" readingOrder="0" vertical="center"/>
    </xf>
    <xf borderId="2392" fillId="129" fontId="158" numFmtId="0" xfId="0" applyAlignment="1" applyBorder="1" applyFont="1">
      <alignment horizontal="center" vertical="center"/>
    </xf>
    <xf borderId="2393" fillId="129" fontId="158" numFmtId="0" xfId="0" applyAlignment="1" applyBorder="1" applyFont="1">
      <alignment horizontal="center" vertical="center"/>
    </xf>
    <xf borderId="2395" fillId="129" fontId="154" numFmtId="0" xfId="0" applyAlignment="1" applyBorder="1" applyFont="1">
      <alignment horizontal="center" vertical="center"/>
    </xf>
    <xf borderId="2396" fillId="129" fontId="154" numFmtId="0" xfId="0" applyAlignment="1" applyBorder="1" applyFont="1">
      <alignment horizontal="center" vertical="center"/>
    </xf>
    <xf borderId="2397" fillId="129" fontId="104" numFmtId="0" xfId="0" applyAlignment="1" applyBorder="1" applyFont="1">
      <alignment horizontal="right" vertical="center"/>
    </xf>
    <xf borderId="2398" fillId="129" fontId="154" numFmtId="0" xfId="0" applyAlignment="1" applyBorder="1" applyFont="1">
      <alignment horizontal="center" vertical="center"/>
    </xf>
    <xf borderId="2399" fillId="129" fontId="154" numFmtId="0" xfId="0" applyAlignment="1" applyBorder="1" applyFont="1">
      <alignment horizontal="center" vertical="center"/>
    </xf>
    <xf borderId="2399" fillId="129" fontId="104" numFmtId="0" xfId="0" applyAlignment="1" applyBorder="1" applyFont="1">
      <alignment horizontal="right" vertical="center"/>
    </xf>
    <xf borderId="2253" fillId="129" fontId="154" numFmtId="0" xfId="0" applyAlignment="1" applyBorder="1" applyFont="1">
      <alignment horizontal="center" vertical="center"/>
    </xf>
    <xf borderId="2400" fillId="129" fontId="104" numFmtId="0" xfId="0" applyAlignment="1" applyBorder="1" applyFont="1">
      <alignment horizontal="right"/>
    </xf>
    <xf borderId="2388" fillId="0" fontId="5" numFmtId="0" xfId="0" applyBorder="1" applyFont="1"/>
    <xf borderId="2387" fillId="0" fontId="5" numFmtId="0" xfId="0" applyBorder="1" applyFont="1"/>
    <xf borderId="2265" fillId="0" fontId="5" numFmtId="0" xfId="0" applyBorder="1" applyFont="1"/>
    <xf borderId="2401" fillId="0" fontId="5" numFmtId="0" xfId="0" applyBorder="1" applyFont="1"/>
    <xf borderId="2402" fillId="0" fontId="5" numFmtId="0" xfId="0" applyBorder="1" applyFont="1"/>
    <xf borderId="2396" fillId="129" fontId="153" numFmtId="0" xfId="0" applyAlignment="1" applyBorder="1" applyFont="1">
      <alignment horizontal="center" vertical="center"/>
    </xf>
    <xf borderId="2399" fillId="129" fontId="102" numFmtId="0" xfId="0" applyAlignment="1" applyBorder="1" applyFont="1">
      <alignment horizontal="right" vertical="center"/>
    </xf>
    <xf borderId="2399" fillId="129" fontId="160" numFmtId="0" xfId="0" applyAlignment="1" applyBorder="1" applyFont="1">
      <alignment horizontal="center" vertical="center"/>
    </xf>
    <xf borderId="2388" fillId="129" fontId="160" numFmtId="0" xfId="0" applyAlignment="1" applyBorder="1" applyFont="1">
      <alignment horizontal="center" vertical="top"/>
    </xf>
    <xf borderId="2403" fillId="129" fontId="160" numFmtId="0" xfId="0" applyAlignment="1" applyBorder="1" applyFont="1">
      <alignment horizontal="center" vertical="top"/>
    </xf>
    <xf borderId="2386" fillId="129" fontId="160" numFmtId="0" xfId="0" applyAlignment="1" applyBorder="1" applyFont="1">
      <alignment horizontal="center" vertical="top"/>
    </xf>
    <xf borderId="2399" fillId="129" fontId="161" numFmtId="0" xfId="0" applyAlignment="1" applyBorder="1" applyFont="1">
      <alignment horizontal="center" vertical="center"/>
    </xf>
    <xf borderId="2393" fillId="129" fontId="153" numFmtId="0" xfId="0" applyAlignment="1" applyBorder="1" applyFont="1">
      <alignment horizontal="center" vertical="center"/>
    </xf>
    <xf borderId="2396" fillId="129" fontId="162" numFmtId="0" xfId="0" applyAlignment="1" applyBorder="1" applyFont="1">
      <alignment horizontal="center" vertical="center"/>
    </xf>
    <xf borderId="2392" fillId="129" fontId="140" numFmtId="0" xfId="0" applyAlignment="1" applyBorder="1" applyFont="1">
      <alignment horizontal="center" vertical="center"/>
    </xf>
    <xf borderId="2404" fillId="129" fontId="162" numFmtId="0" xfId="0" applyAlignment="1" applyBorder="1" applyFont="1">
      <alignment horizontal="center" vertical="center"/>
    </xf>
    <xf borderId="2399" fillId="129" fontId="162" numFmtId="0" xfId="0" applyAlignment="1" applyBorder="1" applyFont="1">
      <alignment horizontal="center" vertical="center"/>
    </xf>
    <xf borderId="2393" fillId="129" fontId="162" numFmtId="0" xfId="0" applyAlignment="1" applyBorder="1" applyFont="1">
      <alignment horizontal="center" vertical="center"/>
    </xf>
    <xf borderId="2398" fillId="129" fontId="140" numFmtId="0" xfId="0" applyAlignment="1" applyBorder="1" applyFont="1">
      <alignment horizontal="center" vertical="center"/>
    </xf>
    <xf borderId="2390" fillId="129" fontId="162" numFmtId="0" xfId="0" applyAlignment="1" applyBorder="1" applyFont="1">
      <alignment horizontal="center" vertical="center"/>
    </xf>
    <xf borderId="2391" fillId="129" fontId="140" numFmtId="0" xfId="0" applyAlignment="1" applyBorder="1" applyFont="1">
      <alignment horizontal="center" vertical="center"/>
    </xf>
    <xf borderId="2405" fillId="129" fontId="162" numFmtId="0" xfId="0" applyAlignment="1" applyBorder="1" applyFont="1">
      <alignment horizontal="center" vertical="center"/>
    </xf>
    <xf borderId="2256" fillId="129" fontId="140" numFmtId="0" xfId="0" applyAlignment="1" applyBorder="1" applyFont="1">
      <alignment horizontal="center" vertical="center"/>
    </xf>
    <xf borderId="2400" fillId="129" fontId="162" numFmtId="0" xfId="0" applyAlignment="1" applyBorder="1" applyFont="1">
      <alignment horizontal="center" vertical="center"/>
    </xf>
    <xf borderId="2257" fillId="129" fontId="162" numFmtId="0" xfId="0" applyAlignment="1" applyBorder="1" applyFont="1">
      <alignment horizontal="center" vertical="center"/>
    </xf>
    <xf borderId="2406" fillId="129" fontId="162" numFmtId="0" xfId="0" applyAlignment="1" applyBorder="1" applyFont="1">
      <alignment horizontal="center" vertical="center"/>
    </xf>
    <xf borderId="2407" fillId="129" fontId="154" numFmtId="0" xfId="0" applyAlignment="1" applyBorder="1" applyFont="1">
      <alignment horizontal="center" vertical="center"/>
    </xf>
    <xf borderId="2408" fillId="129" fontId="104" numFmtId="0" xfId="0" applyAlignment="1" applyBorder="1" applyFont="1">
      <alignment horizontal="right" vertical="center"/>
    </xf>
    <xf borderId="2409" fillId="129" fontId="154" numFmtId="0" xfId="0" applyAlignment="1" applyBorder="1" applyFont="1">
      <alignment horizontal="center" vertical="center"/>
    </xf>
    <xf borderId="2409" fillId="129" fontId="132" numFmtId="0" xfId="0" applyAlignment="1" applyBorder="1" applyFont="1">
      <alignment horizontal="center" readingOrder="0" vertical="center"/>
    </xf>
    <xf borderId="2410" fillId="129" fontId="154" numFmtId="0" xfId="0" applyAlignment="1" applyBorder="1" applyFont="1">
      <alignment horizontal="center" vertical="center"/>
    </xf>
    <xf borderId="2411" fillId="26" fontId="131" numFmtId="0" xfId="0" applyAlignment="1" applyBorder="1" applyFont="1">
      <alignment horizontal="center" vertical="center"/>
    </xf>
    <xf borderId="2412" fillId="0" fontId="5" numFmtId="0" xfId="0" applyBorder="1" applyFont="1"/>
    <xf borderId="2164" fillId="127" fontId="139" numFmtId="0" xfId="0" applyAlignment="1" applyBorder="1" applyFont="1">
      <alignment horizontal="center" vertical="top"/>
    </xf>
    <xf borderId="2164" fillId="127" fontId="139" numFmtId="0" xfId="0" applyAlignment="1" applyBorder="1" applyFont="1">
      <alignment horizontal="center" vertical="center"/>
    </xf>
    <xf borderId="2171" fillId="127" fontId="162" numFmtId="0" xfId="0" applyAlignment="1" applyBorder="1" applyFont="1">
      <alignment horizontal="center" vertical="center"/>
    </xf>
    <xf borderId="2171" fillId="127" fontId="140" numFmtId="0" xfId="0" applyAlignment="1" applyBorder="1" applyFont="1">
      <alignment horizontal="center" vertical="center"/>
    </xf>
    <xf borderId="405" fillId="26" fontId="139" numFmtId="0" xfId="0" applyAlignment="1" applyBorder="1" applyFont="1">
      <alignment horizontal="right" readingOrder="0" vertical="center"/>
    </xf>
    <xf borderId="2413" fillId="0" fontId="5" numFmtId="0" xfId="0" applyBorder="1" applyFont="1"/>
    <xf borderId="2414" fillId="26" fontId="138" numFmtId="0" xfId="0" applyAlignment="1" applyBorder="1" applyFont="1">
      <alignment horizontal="left" readingOrder="0" vertical="center"/>
    </xf>
    <xf borderId="2415" fillId="0" fontId="5" numFmtId="0" xfId="0" applyBorder="1" applyFont="1"/>
    <xf borderId="400" fillId="26" fontId="138" numFmtId="0" xfId="0" applyAlignment="1" applyBorder="1" applyFont="1">
      <alignment horizontal="right" readingOrder="0" vertical="center"/>
    </xf>
    <xf borderId="405" fillId="26" fontId="138" numFmtId="0" xfId="0" applyAlignment="1" applyBorder="1" applyFont="1">
      <alignment horizontal="right" readingOrder="0" vertical="center"/>
    </xf>
    <xf borderId="2416" fillId="134" fontId="154" numFmtId="0" xfId="0" applyAlignment="1" applyBorder="1" applyFill="1" applyFont="1">
      <alignment horizontal="center" vertical="center"/>
    </xf>
    <xf borderId="741" fillId="134" fontId="102" numFmtId="0" xfId="0" applyAlignment="1" applyBorder="1" applyFont="1">
      <alignment horizontal="right" readingOrder="0" vertical="center"/>
    </xf>
    <xf borderId="2417" fillId="134" fontId="102" numFmtId="0" xfId="0" applyAlignment="1" applyBorder="1" applyFont="1">
      <alignment horizontal="right" readingOrder="0" vertical="center"/>
    </xf>
    <xf borderId="2418" fillId="134" fontId="154" numFmtId="0" xfId="0" applyAlignment="1" applyBorder="1" applyFont="1">
      <alignment horizontal="center" vertical="center"/>
    </xf>
    <xf borderId="2419" fillId="134" fontId="104" numFmtId="0" xfId="0" applyAlignment="1" applyBorder="1" applyFont="1">
      <alignment horizontal="right" vertical="center"/>
    </xf>
    <xf borderId="2420" fillId="134" fontId="197" numFmtId="0" xfId="0" applyAlignment="1" applyBorder="1" applyFont="1">
      <alignment horizontal="left" readingOrder="0" vertical="center"/>
    </xf>
    <xf borderId="592" fillId="0" fontId="5" numFmtId="0" xfId="0" applyBorder="1" applyFont="1"/>
    <xf borderId="2421" fillId="0" fontId="5" numFmtId="0" xfId="0" applyBorder="1" applyFont="1"/>
    <xf borderId="2422" fillId="134" fontId="154" numFmtId="0" xfId="0" applyAlignment="1" applyBorder="1" applyFont="1">
      <alignment horizontal="center" vertical="center"/>
    </xf>
    <xf borderId="339" fillId="35" fontId="104" numFmtId="0" xfId="0" applyAlignment="1" applyBorder="1" applyFont="1">
      <alignment horizontal="center" vertical="center"/>
    </xf>
    <xf borderId="2423" fillId="134" fontId="156" numFmtId="0" xfId="0" applyAlignment="1" applyBorder="1" applyFont="1">
      <alignment horizontal="center" vertical="center"/>
    </xf>
    <xf borderId="2411" fillId="35" fontId="131" numFmtId="0" xfId="0" applyAlignment="1" applyBorder="1" applyFont="1">
      <alignment horizontal="center" vertical="center"/>
    </xf>
    <xf borderId="592" fillId="134" fontId="156" numFmtId="0" xfId="0" applyAlignment="1" applyBorder="1" applyFont="1">
      <alignment horizontal="center" vertical="center"/>
    </xf>
    <xf borderId="2420" fillId="134" fontId="154" numFmtId="0" xfId="0" applyAlignment="1" applyBorder="1" applyFont="1">
      <alignment horizontal="center" vertical="center"/>
    </xf>
    <xf borderId="2424" fillId="134" fontId="154" numFmtId="0" xfId="0" applyAlignment="1" applyBorder="1" applyFont="1">
      <alignment horizontal="center" vertical="center"/>
    </xf>
    <xf borderId="2422" fillId="134" fontId="132" numFmtId="0" xfId="0" applyAlignment="1" applyBorder="1" applyFont="1">
      <alignment horizontal="center" vertical="center"/>
    </xf>
    <xf borderId="885" fillId="134" fontId="104" numFmtId="0" xfId="0" applyAlignment="1" applyBorder="1" applyFont="1">
      <alignment horizontal="right" readingOrder="0" vertical="center"/>
    </xf>
    <xf borderId="2423" fillId="134" fontId="132" numFmtId="0" xfId="0" applyAlignment="1" applyBorder="1" applyFont="1">
      <alignment horizontal="center" readingOrder="0" vertical="center"/>
    </xf>
    <xf borderId="2425" fillId="134" fontId="130" numFmtId="0" xfId="0" applyAlignment="1" applyBorder="1" applyFont="1">
      <alignment horizontal="center" readingOrder="0" vertical="center"/>
    </xf>
    <xf borderId="2426" fillId="0" fontId="5" numFmtId="0" xfId="0" applyBorder="1" applyFont="1"/>
    <xf borderId="2427" fillId="0" fontId="5" numFmtId="0" xfId="0" applyBorder="1" applyFont="1"/>
    <xf borderId="592" fillId="134" fontId="132" numFmtId="0" xfId="0" applyAlignment="1" applyBorder="1" applyFont="1">
      <alignment horizontal="center" readingOrder="0" vertical="center"/>
    </xf>
    <xf borderId="2420" fillId="134" fontId="132" numFmtId="0" xfId="0" applyAlignment="1" applyBorder="1" applyFont="1">
      <alignment horizontal="center" vertical="center"/>
    </xf>
    <xf borderId="743" fillId="0" fontId="5" numFmtId="0" xfId="0" applyBorder="1" applyFont="1"/>
    <xf borderId="2418" fillId="134" fontId="132" numFmtId="0" xfId="0" applyAlignment="1" applyBorder="1" applyFont="1">
      <alignment horizontal="center" vertical="center"/>
    </xf>
    <xf borderId="2422" fillId="134" fontId="158" numFmtId="0" xfId="0" applyAlignment="1" applyBorder="1" applyFont="1">
      <alignment horizontal="center" vertical="center"/>
    </xf>
    <xf borderId="2423" fillId="134" fontId="158" numFmtId="0" xfId="0" applyAlignment="1" applyBorder="1" applyFont="1">
      <alignment horizontal="center" readingOrder="0" vertical="center"/>
    </xf>
    <xf borderId="2428" fillId="134" fontId="146" numFmtId="0" xfId="0" applyAlignment="1" applyBorder="1" applyFont="1">
      <alignment horizontal="center" readingOrder="0" vertical="top"/>
    </xf>
    <xf borderId="2429" fillId="0" fontId="5" numFmtId="0" xfId="0" applyBorder="1" applyFont="1"/>
    <xf borderId="2430" fillId="0" fontId="5" numFmtId="0" xfId="0" applyBorder="1" applyFont="1"/>
    <xf borderId="592" fillId="134" fontId="158" numFmtId="0" xfId="0" applyAlignment="1" applyBorder="1" applyFont="1">
      <alignment horizontal="center" readingOrder="0" vertical="center"/>
    </xf>
    <xf borderId="2420" fillId="134" fontId="158" numFmtId="0" xfId="0" applyAlignment="1" applyBorder="1" applyFont="1">
      <alignment horizontal="center" vertical="center"/>
    </xf>
    <xf borderId="2418" fillId="134" fontId="158" numFmtId="0" xfId="0" applyAlignment="1" applyBorder="1" applyFont="1">
      <alignment horizontal="center" vertical="center"/>
    </xf>
    <xf borderId="2431" fillId="134" fontId="154" numFmtId="0" xfId="0" applyAlignment="1" applyBorder="1" applyFont="1">
      <alignment horizontal="center" vertical="center"/>
    </xf>
    <xf borderId="2432" fillId="134" fontId="132" numFmtId="0" xfId="0" applyAlignment="1" applyBorder="1" applyFont="1">
      <alignment horizontal="center" vertical="center"/>
    </xf>
    <xf borderId="2433" fillId="134" fontId="132" numFmtId="0" xfId="0" applyAlignment="1" applyBorder="1" applyFont="1">
      <alignment horizontal="center" vertical="top"/>
    </xf>
    <xf borderId="2434" fillId="0" fontId="5" numFmtId="0" xfId="0" applyBorder="1" applyFont="1"/>
    <xf borderId="2435" fillId="134" fontId="132" numFmtId="0" xfId="0" applyAlignment="1" applyBorder="1" applyFont="1">
      <alignment horizontal="center" vertical="top"/>
    </xf>
    <xf borderId="2436" fillId="134" fontId="132" numFmtId="0" xfId="0" applyAlignment="1" applyBorder="1" applyFont="1">
      <alignment horizontal="right" vertical="top"/>
    </xf>
    <xf borderId="2436" fillId="134" fontId="132" numFmtId="0" xfId="0" applyAlignment="1" applyBorder="1" applyFont="1">
      <alignment horizontal="left" vertical="top"/>
    </xf>
    <xf borderId="2437" fillId="134" fontId="104" numFmtId="0" xfId="0" applyAlignment="1" applyBorder="1" applyFont="1">
      <alignment horizontal="right" vertical="center"/>
    </xf>
    <xf borderId="2438" fillId="134" fontId="154" numFmtId="0" xfId="0" applyAlignment="1" applyBorder="1" applyFont="1">
      <alignment horizontal="center" vertical="center"/>
    </xf>
    <xf borderId="2439" fillId="134" fontId="132" numFmtId="0" xfId="0" applyAlignment="1" applyBorder="1" applyFont="1">
      <alignment horizontal="center" vertical="center"/>
    </xf>
    <xf borderId="2440" fillId="134" fontId="132" numFmtId="0" xfId="0" applyAlignment="1" applyBorder="1" applyFont="1">
      <alignment horizontal="center" vertical="top"/>
    </xf>
    <xf borderId="2441" fillId="134" fontId="132" numFmtId="0" xfId="0" applyAlignment="1" applyBorder="1" applyFont="1">
      <alignment horizontal="center" vertical="top"/>
    </xf>
    <xf borderId="2419" fillId="134" fontId="154" numFmtId="0" xfId="0" applyAlignment="1" applyBorder="1" applyFont="1">
      <alignment horizontal="center" vertical="center"/>
    </xf>
    <xf borderId="2442" fillId="134" fontId="132" numFmtId="0" xfId="0" applyAlignment="1" applyBorder="1" applyFont="1">
      <alignment horizontal="center" readingOrder="0" vertical="center"/>
    </xf>
    <xf borderId="2443" fillId="0" fontId="5" numFmtId="0" xfId="0" applyBorder="1" applyFont="1"/>
    <xf borderId="2444" fillId="0" fontId="5" numFmtId="0" xfId="0" applyBorder="1" applyFont="1"/>
    <xf borderId="592" fillId="134" fontId="154" numFmtId="0" xfId="0" applyAlignment="1" applyBorder="1" applyFont="1">
      <alignment horizontal="center" vertical="center"/>
    </xf>
    <xf borderId="744" fillId="134" fontId="104" numFmtId="0" xfId="0" applyAlignment="1" applyBorder="1" applyFont="1">
      <alignment horizontal="right"/>
    </xf>
    <xf borderId="2445" fillId="134" fontId="132" numFmtId="0" xfId="0" applyAlignment="1" applyBorder="1" applyFont="1">
      <alignment horizontal="center" readingOrder="0" vertical="center"/>
    </xf>
    <xf borderId="2446" fillId="0" fontId="5" numFmtId="0" xfId="0" applyBorder="1" applyFont="1"/>
    <xf borderId="741" fillId="0" fontId="5" numFmtId="0" xfId="0" applyBorder="1" applyFont="1"/>
    <xf borderId="2447" fillId="134" fontId="132" numFmtId="0" xfId="0" applyAlignment="1" applyBorder="1" applyFont="1">
      <alignment horizontal="center" readingOrder="0" vertical="center"/>
    </xf>
    <xf borderId="2448" fillId="0" fontId="5" numFmtId="0" xfId="0" applyBorder="1" applyFont="1"/>
    <xf borderId="2424" fillId="0" fontId="5" numFmtId="0" xfId="0" applyBorder="1" applyFont="1"/>
    <xf borderId="2449" fillId="134" fontId="132" numFmtId="0" xfId="0" applyAlignment="1" applyBorder="1" applyFont="1">
      <alignment horizontal="center" readingOrder="0" vertical="center"/>
    </xf>
    <xf borderId="2417" fillId="0" fontId="5" numFmtId="0" xfId="0" applyBorder="1" applyFont="1"/>
    <xf borderId="2450" fillId="0" fontId="5" numFmtId="0" xfId="0" applyBorder="1" applyFont="1"/>
    <xf borderId="2451" fillId="134" fontId="132" numFmtId="0" xfId="0" applyAlignment="1" applyBorder="1" applyFont="1">
      <alignment horizontal="center" readingOrder="0" vertical="center"/>
    </xf>
    <xf borderId="2452" fillId="134" fontId="132" numFmtId="0" xfId="0" applyAlignment="1" applyBorder="1" applyFont="1">
      <alignment horizontal="center" readingOrder="0" vertical="center"/>
    </xf>
    <xf borderId="2453" fillId="134" fontId="132" numFmtId="0" xfId="0" applyAlignment="1" applyBorder="1" applyFont="1">
      <alignment horizontal="center" readingOrder="0" vertical="center"/>
    </xf>
    <xf borderId="2454" fillId="0" fontId="5" numFmtId="0" xfId="0" applyBorder="1" applyFont="1"/>
    <xf borderId="2455" fillId="0" fontId="5" numFmtId="0" xfId="0" applyBorder="1" applyFont="1"/>
    <xf borderId="2456" fillId="134" fontId="132" numFmtId="0" xfId="0" applyAlignment="1" applyBorder="1" applyFont="1">
      <alignment horizontal="center" readingOrder="0" vertical="center"/>
    </xf>
    <xf borderId="2457" fillId="0" fontId="5" numFmtId="0" xfId="0" applyBorder="1" applyFont="1"/>
    <xf borderId="2416" fillId="134" fontId="153" numFmtId="0" xfId="0" applyAlignment="1" applyBorder="1" applyFont="1">
      <alignment horizontal="center" vertical="center"/>
    </xf>
    <xf borderId="2419" fillId="134" fontId="102" numFmtId="0" xfId="0" applyAlignment="1" applyBorder="1" applyFont="1">
      <alignment horizontal="right" vertical="center"/>
    </xf>
    <xf borderId="2419" fillId="134" fontId="160" numFmtId="0" xfId="0" applyAlignment="1" applyBorder="1" applyFont="1">
      <alignment horizontal="center" vertical="center"/>
    </xf>
    <xf borderId="741" fillId="134" fontId="160" numFmtId="0" xfId="0" applyAlignment="1" applyBorder="1" applyFont="1">
      <alignment horizontal="center" vertical="top"/>
    </xf>
    <xf borderId="2458" fillId="134" fontId="160" numFmtId="0" xfId="0" applyAlignment="1" applyBorder="1" applyFont="1">
      <alignment horizontal="center" vertical="top"/>
    </xf>
    <xf borderId="2459" fillId="134" fontId="160" numFmtId="0" xfId="0" applyAlignment="1" applyBorder="1" applyFont="1">
      <alignment horizontal="center" vertical="top"/>
    </xf>
    <xf borderId="2419" fillId="134" fontId="161" numFmtId="0" xfId="0" applyAlignment="1" applyBorder="1" applyFont="1">
      <alignment horizontal="center" vertical="center"/>
    </xf>
    <xf borderId="2418" fillId="134" fontId="153" numFmtId="0" xfId="0" applyAlignment="1" applyBorder="1" applyFont="1">
      <alignment horizontal="center" vertical="center"/>
    </xf>
    <xf borderId="2416" fillId="134" fontId="162" numFmtId="0" xfId="0" applyAlignment="1" applyBorder="1" applyFont="1">
      <alignment horizontal="center" vertical="center"/>
    </xf>
    <xf borderId="2420" fillId="134" fontId="140" numFmtId="0" xfId="0" applyAlignment="1" applyBorder="1" applyFont="1">
      <alignment horizontal="center" vertical="center"/>
    </xf>
    <xf borderId="378" fillId="35" fontId="138" numFmtId="0" xfId="0" applyAlignment="1" applyBorder="1" applyFont="1">
      <alignment horizontal="center" readingOrder="0" vertical="top"/>
    </xf>
    <xf borderId="2419" fillId="134" fontId="162" numFmtId="0" xfId="0" applyAlignment="1" applyBorder="1" applyFont="1">
      <alignment horizontal="center" vertical="center"/>
    </xf>
    <xf borderId="2421" fillId="134" fontId="162" numFmtId="0" xfId="0" applyAlignment="1" applyBorder="1" applyFont="1">
      <alignment horizontal="center" vertical="center"/>
    </xf>
    <xf borderId="2418" fillId="134" fontId="162" numFmtId="0" xfId="0" applyAlignment="1" applyBorder="1" applyFont="1">
      <alignment horizontal="center" vertical="center"/>
    </xf>
    <xf borderId="2438" fillId="134" fontId="140" numFmtId="0" xfId="0" applyAlignment="1" applyBorder="1" applyFont="1">
      <alignment horizontal="center" vertical="center"/>
    </xf>
    <xf borderId="2460" fillId="35" fontId="138" numFmtId="0" xfId="0" applyAlignment="1" applyBorder="1" applyFont="1">
      <alignment horizontal="center" readingOrder="0" vertical="center"/>
    </xf>
    <xf borderId="2461" fillId="35" fontId="138" numFmtId="0" xfId="0" applyAlignment="1" applyBorder="1" applyFont="1">
      <alignment horizontal="center" readingOrder="0" vertical="center"/>
    </xf>
    <xf borderId="2462" fillId="35" fontId="138" numFmtId="0" xfId="0" applyAlignment="1" applyBorder="1" applyFont="1">
      <alignment horizontal="left" readingOrder="0" vertical="center"/>
    </xf>
    <xf borderId="2463" fillId="0" fontId="5" numFmtId="0" xfId="0" applyBorder="1" applyFont="1"/>
    <xf borderId="2464" fillId="35" fontId="138" numFmtId="0" xfId="0" applyAlignment="1" applyBorder="1" applyFont="1">
      <alignment horizontal="center" readingOrder="0" vertical="center"/>
    </xf>
    <xf borderId="2465" fillId="35" fontId="138" numFmtId="0" xfId="0" applyAlignment="1" applyBorder="1" applyFont="1">
      <alignment horizontal="center" readingOrder="0" vertical="center"/>
    </xf>
    <xf borderId="2466" fillId="35" fontId="138" numFmtId="0" xfId="0" applyAlignment="1" applyBorder="1" applyFont="1">
      <alignment horizontal="left" readingOrder="0" vertical="center"/>
    </xf>
    <xf borderId="2467" fillId="0" fontId="5" numFmtId="0" xfId="0" applyBorder="1" applyFont="1"/>
    <xf borderId="2468" fillId="35" fontId="138" numFmtId="0" xfId="0" applyAlignment="1" applyBorder="1" applyFont="1">
      <alignment horizontal="center" readingOrder="0" vertical="center"/>
    </xf>
    <xf borderId="2469" fillId="35" fontId="138" numFmtId="0" xfId="0" applyAlignment="1" applyBorder="1" applyFont="1">
      <alignment horizontal="center" readingOrder="0" vertical="center"/>
    </xf>
    <xf borderId="2470" fillId="35" fontId="138" numFmtId="0" xfId="0" applyAlignment="1" applyBorder="1" applyFont="1">
      <alignment horizontal="left" readingOrder="0" vertical="center"/>
    </xf>
    <xf borderId="2471" fillId="0" fontId="5" numFmtId="0" xfId="0" applyBorder="1" applyFont="1"/>
    <xf borderId="395" fillId="35" fontId="138" numFmtId="0" xfId="0" applyAlignment="1" applyBorder="1" applyFont="1">
      <alignment horizontal="right" readingOrder="0" vertical="center"/>
    </xf>
    <xf borderId="400" fillId="35" fontId="138" numFmtId="0" xfId="0" applyAlignment="1" applyBorder="1" applyFont="1">
      <alignment horizontal="right" readingOrder="0" vertical="center"/>
    </xf>
    <xf borderId="2472" fillId="134" fontId="162" numFmtId="0" xfId="0" applyAlignment="1" applyBorder="1" applyFont="1">
      <alignment horizontal="center" vertical="center"/>
    </xf>
    <xf borderId="405" fillId="35" fontId="138" numFmtId="0" xfId="0" applyAlignment="1" applyBorder="1" applyFont="1">
      <alignment horizontal="right" readingOrder="0" vertical="center"/>
    </xf>
    <xf borderId="2417" fillId="134" fontId="102" numFmtId="0" xfId="0" applyAlignment="1" applyBorder="1" applyFont="1">
      <alignment horizontal="right" vertical="center"/>
    </xf>
    <xf borderId="2473" fillId="134" fontId="154" numFmtId="0" xfId="0" applyAlignment="1" applyBorder="1" applyFont="1">
      <alignment horizontal="center" vertical="center"/>
    </xf>
    <xf borderId="2474" fillId="134" fontId="104" numFmtId="0" xfId="0" applyAlignment="1" applyBorder="1" applyFont="1">
      <alignment horizontal="right" vertical="center"/>
    </xf>
    <xf borderId="2474" fillId="134" fontId="154" numFmtId="0" xfId="0" applyAlignment="1" applyBorder="1" applyFont="1">
      <alignment horizontal="center" vertical="center"/>
    </xf>
    <xf borderId="2475" fillId="134" fontId="132" numFmtId="0" xfId="0" applyAlignment="1" applyBorder="1" applyFont="1">
      <alignment horizontal="center" readingOrder="0" vertical="center"/>
    </xf>
    <xf borderId="2476" fillId="134" fontId="154" numFmtId="0" xfId="0" applyAlignment="1" applyBorder="1" applyFont="1">
      <alignment horizontal="center" vertical="center"/>
    </xf>
    <xf borderId="2477" fillId="125" fontId="138" numFmtId="0" xfId="0" applyAlignment="1" applyBorder="1" applyFont="1">
      <alignment horizontal="left" readingOrder="0" vertical="center"/>
    </xf>
    <xf borderId="2478" fillId="0" fontId="5" numFmtId="0" xfId="0" applyBorder="1" applyFont="1"/>
    <xf borderId="2048" fillId="124" fontId="140" numFmtId="0" xfId="0" applyAlignment="1" applyBorder="1" applyFont="1">
      <alignment horizontal="center" vertical="center"/>
    </xf>
    <xf borderId="400" fillId="125" fontId="138" numFmtId="0" xfId="0" applyAlignment="1" applyBorder="1" applyFont="1">
      <alignment horizontal="right" readingOrder="0" vertical="center"/>
    </xf>
    <xf borderId="2479" fillId="124" fontId="162" numFmtId="0" xfId="0" applyAlignment="1" applyBorder="1" applyFont="1">
      <alignment horizontal="center" vertical="center"/>
    </xf>
    <xf borderId="2069" fillId="124" fontId="140" numFmtId="0" xfId="0" applyAlignment="1" applyBorder="1" applyFont="1">
      <alignment horizontal="center" vertical="center"/>
    </xf>
    <xf borderId="405" fillId="125" fontId="138" numFmtId="0" xfId="0" applyAlignment="1" applyBorder="1" applyFont="1">
      <alignment horizontal="right" readingOrder="0" vertical="center"/>
    </xf>
    <xf borderId="2044" fillId="124" fontId="139" numFmtId="0" xfId="0" applyAlignment="1" applyBorder="1" applyFont="1">
      <alignment horizontal="center" vertical="center"/>
    </xf>
    <xf borderId="2044" fillId="124" fontId="189" numFmtId="0" xfId="0" applyAlignment="1" applyBorder="1" applyFont="1">
      <alignment horizontal="center" vertical="center"/>
    </xf>
    <xf borderId="2044" fillId="124" fontId="162" numFmtId="0" xfId="0" applyAlignment="1" applyBorder="1" applyFont="1">
      <alignment horizontal="center" vertical="center"/>
    </xf>
    <xf borderId="2069" fillId="124" fontId="162" numFmtId="0" xfId="0" applyAlignment="1" applyBorder="1" applyFont="1">
      <alignment horizontal="center" vertical="center"/>
    </xf>
    <xf borderId="2074" fillId="124" fontId="162" numFmtId="0" xfId="0" applyAlignment="1" applyBorder="1" applyFont="1">
      <alignment horizontal="center" vertical="center"/>
    </xf>
    <xf borderId="2480" fillId="122" fontId="154" numFmtId="0" xfId="0" applyAlignment="1" applyBorder="1" applyFont="1">
      <alignment horizontal="center" vertical="center"/>
    </xf>
    <xf borderId="2481" fillId="122" fontId="104" numFmtId="0" xfId="0" applyAlignment="1" applyBorder="1" applyFont="1">
      <alignment horizontal="right" vertical="center"/>
    </xf>
    <xf borderId="2482" fillId="122" fontId="198" numFmtId="0" xfId="0" applyAlignment="1" applyBorder="1" applyFont="1">
      <alignment horizontal="left" readingOrder="0" vertical="center"/>
    </xf>
    <xf borderId="1967" fillId="122" fontId="154" numFmtId="0" xfId="0" applyAlignment="1" applyBorder="1" applyFont="1">
      <alignment horizontal="center" vertical="center"/>
    </xf>
    <xf borderId="1940" fillId="122" fontId="154" numFmtId="0" xfId="0" applyAlignment="1" applyBorder="1" applyFont="1">
      <alignment horizontal="center"/>
    </xf>
    <xf borderId="1940" fillId="122" fontId="154" numFmtId="0" xfId="0" applyAlignment="1" applyBorder="1" applyFont="1">
      <alignment horizontal="center" vertical="center"/>
    </xf>
    <xf borderId="1941" fillId="122" fontId="154" numFmtId="0" xfId="0" applyAlignment="1" applyBorder="1" applyFont="1">
      <alignment horizontal="center" vertical="center"/>
    </xf>
    <xf borderId="2483" fillId="122" fontId="146" numFmtId="0" xfId="0" applyAlignment="1" applyBorder="1" applyFont="1">
      <alignment horizontal="center" readingOrder="0" vertical="top"/>
    </xf>
    <xf borderId="2484" fillId="0" fontId="5" numFmtId="0" xfId="0" applyBorder="1" applyFont="1"/>
    <xf borderId="2485" fillId="122" fontId="132" numFmtId="0" xfId="0" applyAlignment="1" applyBorder="1" applyFont="1">
      <alignment horizontal="right" vertical="top"/>
    </xf>
    <xf borderId="2485" fillId="122" fontId="132" numFmtId="0" xfId="0" applyAlignment="1" applyBorder="1" applyFont="1">
      <alignment horizontal="left" vertical="top"/>
    </xf>
    <xf borderId="1939" fillId="122" fontId="140" numFmtId="0" xfId="0" applyAlignment="1" applyBorder="1" applyFont="1">
      <alignment horizontal="center" vertical="center"/>
    </xf>
    <xf borderId="1939" fillId="122" fontId="160" numFmtId="0" xfId="0" applyAlignment="1" applyBorder="1" applyFont="1">
      <alignment horizontal="center" vertical="center"/>
    </xf>
    <xf borderId="1939" fillId="122" fontId="162" numFmtId="0" xfId="0" applyAlignment="1" applyBorder="1" applyFont="1">
      <alignment horizontal="center" vertical="center"/>
    </xf>
    <xf borderId="400" fillId="17" fontId="138" numFmtId="0" xfId="0" applyAlignment="1" applyBorder="1" applyFont="1">
      <alignment horizontal="right" readingOrder="0" vertical="center"/>
    </xf>
    <xf borderId="2480" fillId="122" fontId="162" numFmtId="0" xfId="0" applyAlignment="1" applyBorder="1" applyFont="1">
      <alignment horizontal="center" vertical="center"/>
    </xf>
    <xf borderId="2482" fillId="122" fontId="140" numFmtId="0" xfId="0" applyAlignment="1" applyBorder="1" applyFont="1">
      <alignment horizontal="center" vertical="center"/>
    </xf>
    <xf borderId="2482" fillId="122" fontId="139" numFmtId="0" xfId="0" applyAlignment="1" applyBorder="1" applyFont="1">
      <alignment horizontal="center" vertical="center"/>
    </xf>
    <xf borderId="405" fillId="17" fontId="138" numFmtId="0" xfId="0" applyAlignment="1" applyBorder="1" applyFont="1">
      <alignment horizontal="right" readingOrder="0" vertical="center"/>
    </xf>
    <xf borderId="2482" fillId="122" fontId="162" numFmtId="0" xfId="0" applyAlignment="1" applyBorder="1" applyFont="1">
      <alignment horizontal="center" vertical="center"/>
    </xf>
    <xf borderId="1944" fillId="122" fontId="162" numFmtId="0" xfId="0" applyAlignment="1" applyBorder="1" applyFont="1">
      <alignment horizontal="center" vertical="center"/>
    </xf>
    <xf borderId="1967" fillId="122" fontId="162" numFmtId="0" xfId="0" applyAlignment="1" applyBorder="1" applyFont="1">
      <alignment horizontal="center" vertical="center"/>
    </xf>
    <xf borderId="1990" fillId="122" fontId="154" numFmtId="0" xfId="0" applyAlignment="1" applyBorder="1" applyFont="1">
      <alignment horizontal="center" vertical="center"/>
    </xf>
    <xf borderId="2486" fillId="135" fontId="154" numFmtId="0" xfId="0" applyAlignment="1" applyBorder="1" applyFill="1" applyFont="1">
      <alignment horizontal="center" vertical="center"/>
    </xf>
    <xf borderId="2487" fillId="135" fontId="33" numFmtId="0" xfId="0" applyAlignment="1" applyBorder="1" applyFont="1">
      <alignment horizontal="center" readingOrder="0" vertical="center"/>
    </xf>
    <xf borderId="2488" fillId="135" fontId="154" numFmtId="0" xfId="0" applyAlignment="1" applyBorder="1" applyFont="1">
      <alignment horizontal="center" vertical="center"/>
    </xf>
    <xf borderId="2489" fillId="135" fontId="162" numFmtId="0" xfId="0" applyAlignment="1" applyBorder="1" applyFont="1">
      <alignment horizontal="center" vertical="center"/>
    </xf>
    <xf borderId="2490" fillId="135" fontId="102" numFmtId="0" xfId="0" applyAlignment="1" applyBorder="1" applyFont="1">
      <alignment horizontal="right" vertical="center"/>
    </xf>
    <xf borderId="2491" fillId="135" fontId="199" numFmtId="0" xfId="0" applyAlignment="1" applyBorder="1" applyFont="1">
      <alignment horizontal="left" readingOrder="0" vertical="center"/>
    </xf>
    <xf borderId="2492" fillId="0" fontId="5" numFmtId="0" xfId="0" applyBorder="1" applyFont="1"/>
    <xf borderId="2493" fillId="0" fontId="5" numFmtId="0" xfId="0" applyBorder="1" applyFont="1"/>
    <xf borderId="2489" fillId="135" fontId="154" numFmtId="0" xfId="0" applyAlignment="1" applyBorder="1" applyFont="1">
      <alignment horizontal="center" vertical="center"/>
    </xf>
    <xf borderId="339" fillId="41" fontId="104" numFmtId="0" xfId="0" applyAlignment="1" applyBorder="1" applyFont="1">
      <alignment horizontal="center" vertical="center"/>
    </xf>
    <xf borderId="2494" fillId="135" fontId="156" numFmtId="0" xfId="0" applyAlignment="1" applyBorder="1" applyFont="1">
      <alignment horizontal="center" vertical="center"/>
    </xf>
    <xf borderId="1066" fillId="41" fontId="131" numFmtId="0" xfId="0" applyAlignment="1" applyBorder="1" applyFont="1">
      <alignment horizontal="center" vertical="center"/>
    </xf>
    <xf borderId="2495" fillId="135" fontId="132" numFmtId="0" xfId="0" applyAlignment="1" applyBorder="1" applyFont="1">
      <alignment horizontal="center" vertical="center"/>
    </xf>
    <xf borderId="2496" fillId="135" fontId="132" numFmtId="0" xfId="0" applyAlignment="1" applyBorder="1" applyFont="1">
      <alignment horizontal="center" vertical="center"/>
    </xf>
    <xf borderId="2494" fillId="135" fontId="102" numFmtId="0" xfId="0" applyAlignment="1" applyBorder="1" applyFont="1">
      <alignment horizontal="right" vertical="center"/>
    </xf>
    <xf borderId="2495" fillId="0" fontId="5" numFmtId="0" xfId="0" applyBorder="1" applyFont="1"/>
    <xf borderId="2496" fillId="0" fontId="5" numFmtId="0" xfId="0" applyBorder="1" applyFont="1"/>
    <xf borderId="2497" fillId="135" fontId="154" numFmtId="0" xfId="0" applyAlignment="1" applyBorder="1" applyFont="1">
      <alignment horizontal="center" vertical="center"/>
    </xf>
    <xf borderId="2489" fillId="135" fontId="132" numFmtId="0" xfId="0" applyAlignment="1" applyBorder="1" applyFont="1">
      <alignment horizontal="center" vertical="center"/>
    </xf>
    <xf borderId="885" fillId="135" fontId="104" numFmtId="0" xfId="0" applyAlignment="1" applyBorder="1" applyFont="1">
      <alignment horizontal="right" readingOrder="0" vertical="center"/>
    </xf>
    <xf borderId="2494" fillId="135" fontId="132" numFmtId="0" xfId="0" applyAlignment="1" applyBorder="1" applyFont="1">
      <alignment horizontal="center" readingOrder="0" vertical="center"/>
    </xf>
    <xf borderId="2498" fillId="135" fontId="130" numFmtId="0" xfId="0" applyAlignment="1" applyBorder="1" applyFont="1">
      <alignment horizontal="center" readingOrder="0" vertical="center"/>
    </xf>
    <xf borderId="2499" fillId="0" fontId="5" numFmtId="0" xfId="0" applyBorder="1" applyFont="1"/>
    <xf borderId="2500" fillId="0" fontId="5" numFmtId="0" xfId="0" applyBorder="1" applyFont="1"/>
    <xf borderId="2501" fillId="135" fontId="132" numFmtId="0" xfId="0" applyAlignment="1" applyBorder="1" applyFont="1">
      <alignment horizontal="center" vertical="center"/>
    </xf>
    <xf borderId="2494" fillId="135" fontId="154" numFmtId="0" xfId="0" applyAlignment="1" applyBorder="1" applyFont="1">
      <alignment horizontal="center" readingOrder="0" vertical="center"/>
    </xf>
    <xf borderId="2502" fillId="135" fontId="146" numFmtId="0" xfId="0" applyAlignment="1" applyBorder="1" applyFont="1">
      <alignment horizontal="center" readingOrder="0" vertical="top"/>
    </xf>
    <xf borderId="2503" fillId="0" fontId="5" numFmtId="0" xfId="0" applyBorder="1" applyFont="1"/>
    <xf borderId="2504" fillId="0" fontId="5" numFmtId="0" xfId="0" applyBorder="1" applyFont="1"/>
    <xf borderId="2501" fillId="135" fontId="154" numFmtId="0" xfId="0" applyAlignment="1" applyBorder="1" applyFont="1">
      <alignment horizontal="center" vertical="center"/>
    </xf>
    <xf borderId="2490" fillId="135" fontId="154" numFmtId="0" xfId="0" applyAlignment="1" applyBorder="1" applyFont="1">
      <alignment horizontal="center" vertical="center"/>
    </xf>
    <xf borderId="2505" fillId="135" fontId="132" numFmtId="0" xfId="0" applyAlignment="1" applyBorder="1" applyFont="1">
      <alignment horizontal="center" vertical="center"/>
    </xf>
    <xf borderId="2506" fillId="135" fontId="132" numFmtId="0" xfId="0" applyAlignment="1" applyBorder="1" applyFont="1">
      <alignment horizontal="right" vertical="top"/>
    </xf>
    <xf borderId="2506" fillId="135" fontId="132" numFmtId="0" xfId="0" applyAlignment="1" applyBorder="1" applyFont="1">
      <alignment horizontal="left" vertical="top"/>
    </xf>
    <xf borderId="2507" fillId="135" fontId="132" numFmtId="0" xfId="0" applyAlignment="1" applyBorder="1" applyFont="1">
      <alignment horizontal="center" vertical="top"/>
    </xf>
    <xf borderId="2490" fillId="135" fontId="132" numFmtId="0" xfId="0" applyAlignment="1" applyBorder="1" applyFont="1">
      <alignment horizontal="center" vertical="center"/>
    </xf>
    <xf borderId="2508" fillId="135" fontId="132" numFmtId="0" xfId="0" applyAlignment="1" applyBorder="1" applyFont="1">
      <alignment horizontal="center" vertical="top"/>
    </xf>
    <xf borderId="2509" fillId="0" fontId="5" numFmtId="0" xfId="0" applyBorder="1" applyFont="1"/>
    <xf borderId="2510" fillId="135" fontId="171" numFmtId="0" xfId="0" applyAlignment="1" applyBorder="1" applyFont="1">
      <alignment horizontal="center" vertical="center"/>
    </xf>
    <xf borderId="2511" fillId="135" fontId="132" numFmtId="0" xfId="0" applyAlignment="1" applyBorder="1" applyFont="1">
      <alignment horizontal="center" vertical="center"/>
    </xf>
    <xf borderId="2512" fillId="135" fontId="132" numFmtId="0" xfId="0" applyAlignment="1" applyBorder="1" applyFont="1">
      <alignment horizontal="center" vertical="top"/>
    </xf>
    <xf borderId="2513" fillId="135" fontId="132" numFmtId="0" xfId="0" applyAlignment="1" applyBorder="1" applyFont="1">
      <alignment horizontal="center" vertical="top"/>
    </xf>
    <xf borderId="2514" fillId="0" fontId="5" numFmtId="0" xfId="0" applyBorder="1" applyFont="1"/>
    <xf borderId="2494" fillId="135" fontId="154" numFmtId="0" xfId="0" applyAlignment="1" applyBorder="1" applyFont="1">
      <alignment horizontal="center" vertical="center"/>
    </xf>
    <xf borderId="2515" fillId="135" fontId="132" numFmtId="0" xfId="0" applyAlignment="1" applyBorder="1" applyFont="1">
      <alignment horizontal="center" readingOrder="0" vertical="center"/>
    </xf>
    <xf borderId="2516" fillId="0" fontId="5" numFmtId="0" xfId="0" applyBorder="1" applyFont="1"/>
    <xf borderId="2517" fillId="0" fontId="5" numFmtId="0" xfId="0" applyBorder="1" applyFont="1"/>
    <xf borderId="2518" fillId="135" fontId="132" numFmtId="0" xfId="0" applyAlignment="1" applyBorder="1" applyFont="1">
      <alignment horizontal="center" readingOrder="0" vertical="center"/>
    </xf>
    <xf borderId="2519" fillId="0" fontId="5" numFmtId="0" xfId="0" applyBorder="1" applyFont="1"/>
    <xf borderId="2520" fillId="135" fontId="132" numFmtId="0" xfId="0" applyAlignment="1" applyBorder="1" applyFont="1">
      <alignment horizontal="center" readingOrder="0" vertical="center"/>
    </xf>
    <xf borderId="2521" fillId="135" fontId="132" numFmtId="0" xfId="0" applyAlignment="1" applyBorder="1" applyFont="1">
      <alignment horizontal="center" readingOrder="0" vertical="center"/>
    </xf>
    <xf borderId="2494" fillId="135" fontId="132" numFmtId="0" xfId="0" applyAlignment="1" applyBorder="1" applyFont="1">
      <alignment horizontal="center" vertical="center"/>
    </xf>
    <xf borderId="2487" fillId="0" fontId="5" numFmtId="0" xfId="0" applyBorder="1" applyFont="1"/>
    <xf borderId="2522" fillId="0" fontId="5" numFmtId="0" xfId="0" applyBorder="1" applyFont="1"/>
    <xf borderId="2517" fillId="135" fontId="132" numFmtId="0" xfId="0" applyAlignment="1" applyBorder="1" applyFont="1">
      <alignment horizontal="center" readingOrder="0" vertical="center"/>
    </xf>
    <xf borderId="2490" fillId="135" fontId="171" numFmtId="0" xfId="0" applyAlignment="1" applyBorder="1" applyFont="1">
      <alignment horizontal="center" vertical="center"/>
    </xf>
    <xf borderId="2519" fillId="135" fontId="132" numFmtId="0" xfId="0" applyAlignment="1" applyBorder="1" applyFont="1">
      <alignment horizontal="center" readingOrder="0" vertical="center"/>
    </xf>
    <xf borderId="2523" fillId="135" fontId="132" numFmtId="0" xfId="0" applyAlignment="1" applyBorder="1" applyFont="1">
      <alignment horizontal="center" readingOrder="0" vertical="center"/>
    </xf>
    <xf borderId="2524" fillId="0" fontId="5" numFmtId="0" xfId="0" applyBorder="1" applyFont="1"/>
    <xf borderId="2525" fillId="0" fontId="5" numFmtId="0" xfId="0" applyBorder="1" applyFont="1"/>
    <xf borderId="2526" fillId="135" fontId="132" numFmtId="0" xfId="0" applyAlignment="1" applyBorder="1" applyFont="1">
      <alignment horizontal="center" readingOrder="0" vertical="center"/>
    </xf>
    <xf borderId="2489" fillId="135" fontId="153" numFmtId="0" xfId="0" applyAlignment="1" applyBorder="1" applyFont="1">
      <alignment horizontal="center" vertical="center"/>
    </xf>
    <xf borderId="2490" fillId="135" fontId="160" numFmtId="0" xfId="0" applyAlignment="1" applyBorder="1" applyFont="1">
      <alignment horizontal="center" vertical="center"/>
    </xf>
    <xf borderId="2487" fillId="135" fontId="160" numFmtId="0" xfId="0" applyAlignment="1" applyBorder="1" applyFont="1">
      <alignment horizontal="center" vertical="top"/>
    </xf>
    <xf borderId="2490" fillId="135" fontId="160" numFmtId="0" xfId="0" applyAlignment="1" applyBorder="1" applyFont="1">
      <alignment horizontal="center" vertical="top"/>
    </xf>
    <xf borderId="2514" fillId="135" fontId="160" numFmtId="0" xfId="0" applyAlignment="1" applyBorder="1" applyFont="1">
      <alignment horizontal="center" vertical="top"/>
    </xf>
    <xf borderId="2490" fillId="135" fontId="161" numFmtId="0" xfId="0" applyAlignment="1" applyBorder="1" applyFont="1">
      <alignment horizontal="center" vertical="center"/>
    </xf>
    <xf borderId="2497" fillId="135" fontId="153" numFmtId="0" xfId="0" applyAlignment="1" applyBorder="1" applyFont="1">
      <alignment horizontal="center" vertical="center"/>
    </xf>
    <xf borderId="2490" fillId="135" fontId="140" numFmtId="0" xfId="0" applyAlignment="1" applyBorder="1" applyFont="1">
      <alignment horizontal="center" vertical="center"/>
    </xf>
    <xf borderId="378" fillId="41" fontId="138" numFmtId="0" xfId="0" applyAlignment="1" applyBorder="1" applyFont="1">
      <alignment horizontal="center" readingOrder="0" vertical="top"/>
    </xf>
    <xf borderId="2494" fillId="135" fontId="139" numFmtId="0" xfId="0" applyAlignment="1" applyBorder="1" applyFont="1">
      <alignment horizontal="center" vertical="center"/>
    </xf>
    <xf borderId="2494" fillId="135" fontId="140" numFmtId="0" xfId="0" applyAlignment="1" applyBorder="1" applyFont="1">
      <alignment horizontal="center" vertical="center"/>
    </xf>
    <xf borderId="2494" fillId="135" fontId="160" numFmtId="0" xfId="0" applyAlignment="1" applyBorder="1" applyFont="1">
      <alignment horizontal="center" vertical="center"/>
    </xf>
    <xf borderId="2494" fillId="135" fontId="162" numFmtId="0" xfId="0" applyAlignment="1" applyBorder="1" applyFont="1">
      <alignment horizontal="center" vertical="center"/>
    </xf>
    <xf borderId="2497" fillId="135" fontId="162" numFmtId="0" xfId="0" applyAlignment="1" applyBorder="1" applyFont="1">
      <alignment horizontal="center" vertical="center"/>
    </xf>
    <xf borderId="2527" fillId="41" fontId="138" numFmtId="0" xfId="0" applyAlignment="1" applyBorder="1" applyFont="1">
      <alignment horizontal="center" readingOrder="0" vertical="center"/>
    </xf>
    <xf borderId="2528" fillId="41" fontId="138" numFmtId="0" xfId="0" applyAlignment="1" applyBorder="1" applyFont="1">
      <alignment horizontal="center" readingOrder="0" vertical="center"/>
    </xf>
    <xf borderId="2529" fillId="41" fontId="138" numFmtId="0" xfId="0" applyAlignment="1" applyBorder="1" applyFont="1">
      <alignment horizontal="left" readingOrder="0" vertical="center"/>
    </xf>
    <xf borderId="2530" fillId="0" fontId="5" numFmtId="0" xfId="0" applyBorder="1" applyFont="1"/>
    <xf borderId="2490" fillId="135" fontId="139" numFmtId="0" xfId="0" applyAlignment="1" applyBorder="1" applyFont="1">
      <alignment horizontal="center" vertical="center"/>
    </xf>
    <xf borderId="2490" fillId="135" fontId="162" numFmtId="0" xfId="0" applyAlignment="1" applyBorder="1" applyFont="1">
      <alignment horizontal="center" vertical="center"/>
    </xf>
    <xf borderId="2531" fillId="41" fontId="138" numFmtId="0" xfId="0" applyAlignment="1" applyBorder="1" applyFont="1">
      <alignment horizontal="center" readingOrder="0" vertical="center"/>
    </xf>
    <xf borderId="2532" fillId="41" fontId="138" numFmtId="0" xfId="0" applyAlignment="1" applyBorder="1" applyFont="1">
      <alignment horizontal="center" readingOrder="0" vertical="center"/>
    </xf>
    <xf borderId="2533" fillId="41" fontId="138" numFmtId="0" xfId="0" applyAlignment="1" applyBorder="1" applyFont="1">
      <alignment horizontal="left" readingOrder="0" vertical="center"/>
    </xf>
    <xf borderId="2534" fillId="0" fontId="5" numFmtId="0" xfId="0" applyBorder="1" applyFont="1"/>
    <xf borderId="2535" fillId="41" fontId="138" numFmtId="0" xfId="0" applyAlignment="1" applyBorder="1" applyFont="1">
      <alignment horizontal="center" readingOrder="0" vertical="center"/>
    </xf>
    <xf borderId="2536" fillId="41" fontId="138" numFmtId="0" xfId="0" applyAlignment="1" applyBorder="1" applyFont="1">
      <alignment horizontal="center" readingOrder="0" vertical="center"/>
    </xf>
    <xf borderId="395" fillId="41" fontId="138" numFmtId="0" xfId="0" applyAlignment="1" applyBorder="1" applyFont="1">
      <alignment horizontal="right" readingOrder="0" vertical="center"/>
    </xf>
    <xf borderId="400" fillId="41" fontId="138" numFmtId="0" xfId="0" applyAlignment="1" applyBorder="1" applyFont="1">
      <alignment horizontal="right" readingOrder="0" vertical="center"/>
    </xf>
    <xf borderId="2487" fillId="135" fontId="102" numFmtId="0" xfId="0" applyAlignment="1" applyBorder="1" applyFont="1">
      <alignment horizontal="right" vertical="center"/>
    </xf>
    <xf borderId="405" fillId="41" fontId="138" numFmtId="0" xfId="0" applyAlignment="1" applyBorder="1" applyFont="1">
      <alignment horizontal="right" readingOrder="0" vertical="center"/>
    </xf>
    <xf borderId="2537" fillId="135" fontId="154" numFmtId="0" xfId="0" applyAlignment="1" applyBorder="1" applyFont="1">
      <alignment horizontal="center" vertical="center"/>
    </xf>
    <xf borderId="2538" fillId="135" fontId="171" numFmtId="0" xfId="0" applyAlignment="1" applyBorder="1" applyFont="1">
      <alignment horizontal="center" vertical="center"/>
    </xf>
    <xf borderId="2538" fillId="135" fontId="154" numFmtId="0" xfId="0" applyAlignment="1" applyBorder="1" applyFont="1">
      <alignment horizontal="center" vertical="center"/>
    </xf>
    <xf borderId="2538" fillId="135" fontId="154" numFmtId="0" xfId="0" applyAlignment="1" applyBorder="1" applyFont="1">
      <alignment horizontal="center" readingOrder="0" vertical="center"/>
    </xf>
    <xf borderId="2539" fillId="135" fontId="154" numFmtId="0" xfId="0" applyAlignment="1" applyBorder="1" applyFont="1">
      <alignment horizontal="center" vertical="center"/>
    </xf>
    <xf borderId="2540" fillId="136" fontId="154" numFmtId="0" xfId="0" applyAlignment="1" applyBorder="1" applyFill="1" applyFont="1">
      <alignment horizontal="center" vertical="center"/>
    </xf>
    <xf borderId="2541" fillId="136" fontId="102" numFmtId="0" xfId="0" applyAlignment="1" applyBorder="1" applyFont="1">
      <alignment horizontal="right" readingOrder="0" vertical="center"/>
    </xf>
    <xf borderId="2542" fillId="136" fontId="154" numFmtId="0" xfId="0" applyAlignment="1" applyBorder="1" applyFont="1">
      <alignment horizontal="center" vertical="center"/>
    </xf>
    <xf borderId="2543" fillId="136" fontId="154" numFmtId="0" xfId="0" applyAlignment="1" applyBorder="1" applyFont="1">
      <alignment horizontal="center" vertical="center"/>
    </xf>
    <xf borderId="2544" fillId="136" fontId="104" numFmtId="0" xfId="0" applyAlignment="1" applyBorder="1" applyFont="1">
      <alignment horizontal="right" vertical="center"/>
    </xf>
    <xf borderId="2544" fillId="136" fontId="154" numFmtId="0" xfId="0" applyAlignment="1" applyBorder="1" applyFont="1">
      <alignment horizontal="center" vertical="center"/>
    </xf>
    <xf borderId="2545" fillId="136" fontId="200" numFmtId="0" xfId="0" applyAlignment="1" applyBorder="1" applyFont="1">
      <alignment horizontal="left" readingOrder="0" vertical="center"/>
    </xf>
    <xf borderId="2546" fillId="0" fontId="5" numFmtId="0" xfId="0" applyBorder="1" applyFont="1"/>
    <xf borderId="2547" fillId="0" fontId="5" numFmtId="0" xfId="0" applyBorder="1" applyFont="1"/>
    <xf borderId="2548" fillId="136" fontId="154" numFmtId="0" xfId="0" applyAlignment="1" applyBorder="1" applyFont="1">
      <alignment horizontal="center" vertical="center"/>
    </xf>
    <xf borderId="1014" fillId="42" fontId="104" numFmtId="0" xfId="0" applyAlignment="1" applyBorder="1" applyFont="1">
      <alignment horizontal="right" vertical="center"/>
    </xf>
    <xf borderId="2544" fillId="136" fontId="156" numFmtId="0" xfId="0" applyAlignment="1" applyBorder="1" applyFont="1">
      <alignment horizontal="center" vertical="center"/>
    </xf>
    <xf borderId="2411" fillId="42" fontId="156" numFmtId="0" xfId="0" applyAlignment="1" applyBorder="1" applyFont="1">
      <alignment horizontal="center" vertical="center"/>
    </xf>
    <xf borderId="2549" fillId="136" fontId="154" numFmtId="0" xfId="0" applyAlignment="1" applyBorder="1" applyFont="1">
      <alignment horizontal="center" vertical="center"/>
    </xf>
    <xf borderId="2545" fillId="136" fontId="154" numFmtId="0" xfId="0" applyAlignment="1" applyBorder="1" applyFont="1">
      <alignment horizontal="center" vertical="center"/>
    </xf>
    <xf borderId="2543" fillId="136" fontId="132" numFmtId="0" xfId="0" applyAlignment="1" applyBorder="1" applyFont="1">
      <alignment horizontal="center" vertical="center"/>
    </xf>
    <xf borderId="345" fillId="136" fontId="104" numFmtId="0" xfId="0" applyAlignment="1" applyBorder="1" applyFont="1">
      <alignment horizontal="right" readingOrder="0" vertical="center"/>
    </xf>
    <xf borderId="2544" fillId="136" fontId="132" numFmtId="0" xfId="0" applyAlignment="1" applyBorder="1" applyFont="1">
      <alignment horizontal="center" readingOrder="0" vertical="center"/>
    </xf>
    <xf borderId="2550" fillId="136" fontId="130" numFmtId="0" xfId="0" applyAlignment="1" applyBorder="1" applyFont="1">
      <alignment horizontal="center" readingOrder="0" vertical="center"/>
    </xf>
    <xf borderId="2551" fillId="0" fontId="5" numFmtId="0" xfId="0" applyBorder="1" applyFont="1"/>
    <xf borderId="2552" fillId="0" fontId="5" numFmtId="0" xfId="0" applyBorder="1" applyFont="1"/>
    <xf borderId="2553" fillId="0" fontId="5" numFmtId="0" xfId="0" applyBorder="1" applyFont="1"/>
    <xf borderId="2545" fillId="136" fontId="132" numFmtId="0" xfId="0" applyAlignment="1" applyBorder="1" applyFont="1">
      <alignment horizontal="center" vertical="center"/>
    </xf>
    <xf borderId="2548" fillId="136" fontId="132" numFmtId="0" xfId="0" applyAlignment="1" applyBorder="1" applyFont="1">
      <alignment horizontal="center" vertical="center"/>
    </xf>
    <xf borderId="2543" fillId="136" fontId="158" numFmtId="0" xfId="0" applyAlignment="1" applyBorder="1" applyFont="1">
      <alignment horizontal="center" vertical="center"/>
    </xf>
    <xf borderId="2544" fillId="136" fontId="158" numFmtId="0" xfId="0" applyAlignment="1" applyBorder="1" applyFont="1">
      <alignment horizontal="center" readingOrder="0" vertical="center"/>
    </xf>
    <xf borderId="2554" fillId="136" fontId="131" numFmtId="0" xfId="0" applyAlignment="1" applyBorder="1" applyFont="1">
      <alignment horizontal="center" readingOrder="0" vertical="top"/>
    </xf>
    <xf borderId="2555" fillId="0" fontId="5" numFmtId="0" xfId="0" applyBorder="1" applyFont="1"/>
    <xf borderId="2545" fillId="136" fontId="158" numFmtId="0" xfId="0" applyAlignment="1" applyBorder="1" applyFont="1">
      <alignment horizontal="center" vertical="center"/>
    </xf>
    <xf borderId="2548" fillId="136" fontId="158" numFmtId="0" xfId="0" applyAlignment="1" applyBorder="1" applyFont="1">
      <alignment horizontal="center" vertical="center"/>
    </xf>
    <xf borderId="2549" fillId="136" fontId="104" numFmtId="0" xfId="0" applyAlignment="1" applyBorder="1" applyFont="1">
      <alignment horizontal="right" vertical="center"/>
    </xf>
    <xf borderId="2556" fillId="136" fontId="132" numFmtId="0" xfId="0" applyAlignment="1" applyBorder="1" applyFont="1">
      <alignment horizontal="center" vertical="center"/>
    </xf>
    <xf borderId="2544" fillId="136" fontId="132" numFmtId="0" xfId="0" applyAlignment="1" applyBorder="1" applyFont="1">
      <alignment horizontal="right" vertical="top"/>
    </xf>
    <xf borderId="2544" fillId="136" fontId="132" numFmtId="0" xfId="0" applyAlignment="1" applyBorder="1" applyFont="1">
      <alignment horizontal="left" vertical="top"/>
    </xf>
    <xf borderId="2557" fillId="136" fontId="132" numFmtId="0" xfId="0" applyAlignment="1" applyBorder="1" applyFont="1">
      <alignment horizontal="center" vertical="top"/>
    </xf>
    <xf borderId="2558" fillId="136" fontId="132" numFmtId="0" xfId="0" applyAlignment="1" applyBorder="1" applyFont="1">
      <alignment horizontal="center" vertical="center"/>
    </xf>
    <xf borderId="2559" fillId="136" fontId="132" numFmtId="0" xfId="0" applyAlignment="1" applyBorder="1" applyFont="1">
      <alignment horizontal="center" vertical="top"/>
    </xf>
    <xf borderId="2560" fillId="136" fontId="132" numFmtId="0" xfId="0" applyAlignment="1" applyBorder="1" applyFont="1">
      <alignment horizontal="center" vertical="top"/>
    </xf>
    <xf borderId="2541" fillId="0" fontId="5" numFmtId="0" xfId="0" applyBorder="1" applyFont="1"/>
    <xf borderId="2561" fillId="136" fontId="132" numFmtId="0" xfId="0" applyAlignment="1" applyBorder="1" applyFont="1">
      <alignment horizontal="center" readingOrder="0" vertical="center"/>
    </xf>
    <xf borderId="2562" fillId="0" fontId="5" numFmtId="0" xfId="0" applyBorder="1" applyFont="1"/>
    <xf borderId="2563" fillId="0" fontId="5" numFmtId="0" xfId="0" applyBorder="1" applyFont="1"/>
    <xf borderId="2554" fillId="136" fontId="132" numFmtId="0" xfId="0" applyAlignment="1" applyBorder="1" applyFont="1">
      <alignment horizontal="center" readingOrder="0" vertical="center"/>
    </xf>
    <xf borderId="2564" fillId="136" fontId="132" numFmtId="0" xfId="0" applyAlignment="1" applyBorder="1" applyFont="1">
      <alignment horizontal="center" readingOrder="0" vertical="center"/>
    </xf>
    <xf borderId="2565" fillId="0" fontId="5" numFmtId="0" xfId="0" applyBorder="1" applyFont="1"/>
    <xf borderId="2566" fillId="0" fontId="5" numFmtId="0" xfId="0" applyBorder="1" applyFont="1"/>
    <xf borderId="2567" fillId="136" fontId="132" numFmtId="0" xfId="0" applyAlignment="1" applyBorder="1" applyFont="1">
      <alignment horizontal="center" readingOrder="0" vertical="center"/>
    </xf>
    <xf borderId="2561" fillId="136" fontId="132" numFmtId="0" xfId="0" applyAlignment="1" applyBorder="1" applyFont="1">
      <alignment horizontal="center" vertical="center"/>
    </xf>
    <xf borderId="2568" fillId="0" fontId="5" numFmtId="0" xfId="0" applyBorder="1" applyFont="1"/>
    <xf borderId="2563" fillId="136" fontId="132" numFmtId="0" xfId="0" applyAlignment="1" applyBorder="1" applyFont="1">
      <alignment horizontal="center" vertical="center"/>
    </xf>
    <xf borderId="2554" fillId="136" fontId="132" numFmtId="0" xfId="0" applyAlignment="1" applyBorder="1" applyFont="1">
      <alignment horizontal="center" vertical="center"/>
    </xf>
    <xf borderId="2555" fillId="136" fontId="132" numFmtId="0" xfId="0" applyAlignment="1" applyBorder="1" applyFont="1">
      <alignment horizontal="center" vertical="center"/>
    </xf>
    <xf borderId="2569" fillId="136" fontId="132" numFmtId="0" xfId="0" applyAlignment="1" applyBorder="1" applyFont="1">
      <alignment horizontal="center" vertical="center"/>
    </xf>
    <xf borderId="2570" fillId="0" fontId="5" numFmtId="0" xfId="0" applyBorder="1" applyFont="1"/>
    <xf borderId="2571" fillId="0" fontId="5" numFmtId="0" xfId="0" applyBorder="1" applyFont="1"/>
    <xf borderId="2572" fillId="136" fontId="132" numFmtId="0" xfId="0" applyAlignment="1" applyBorder="1" applyFont="1">
      <alignment horizontal="center" vertical="center"/>
    </xf>
    <xf borderId="2543" fillId="136" fontId="153" numFmtId="0" xfId="0" applyAlignment="1" applyBorder="1" applyFont="1">
      <alignment horizontal="center" vertical="center"/>
    </xf>
    <xf borderId="2544" fillId="136" fontId="102" numFmtId="0" xfId="0" applyAlignment="1" applyBorder="1" applyFont="1">
      <alignment horizontal="right" vertical="center"/>
    </xf>
    <xf borderId="2544" fillId="136" fontId="160" numFmtId="0" xfId="0" applyAlignment="1" applyBorder="1" applyFont="1">
      <alignment horizontal="center" vertical="center"/>
    </xf>
    <xf borderId="2544" fillId="136" fontId="160" numFmtId="0" xfId="0" applyAlignment="1" applyBorder="1" applyFont="1">
      <alignment horizontal="center" vertical="top"/>
    </xf>
    <xf borderId="2544" fillId="136" fontId="143" numFmtId="0" xfId="0" applyAlignment="1" applyBorder="1" applyFont="1">
      <alignment horizontal="center" vertical="center"/>
    </xf>
    <xf borderId="2544" fillId="136" fontId="161" numFmtId="0" xfId="0" applyAlignment="1" applyBorder="1" applyFont="1">
      <alignment horizontal="center" vertical="center"/>
    </xf>
    <xf borderId="2548" fillId="136" fontId="153" numFmtId="0" xfId="0" applyAlignment="1" applyBorder="1" applyFont="1">
      <alignment horizontal="center" vertical="center"/>
    </xf>
    <xf borderId="2543" fillId="136" fontId="162" numFmtId="0" xfId="0" applyAlignment="1" applyBorder="1" applyFont="1">
      <alignment horizontal="center" vertical="center"/>
    </xf>
    <xf borderId="2544" fillId="136" fontId="140" numFmtId="0" xfId="0" applyAlignment="1" applyBorder="1" applyFont="1">
      <alignment horizontal="center" vertical="center"/>
    </xf>
    <xf borderId="378" fillId="42" fontId="138" numFmtId="0" xfId="0" applyAlignment="1" applyBorder="1" applyFont="1">
      <alignment horizontal="center" readingOrder="0" vertical="top"/>
    </xf>
    <xf borderId="2544" fillId="136" fontId="162" numFmtId="0" xfId="0" applyAlignment="1" applyBorder="1" applyFont="1">
      <alignment horizontal="center" vertical="center"/>
    </xf>
    <xf borderId="2548" fillId="136" fontId="162" numFmtId="0" xfId="0" applyAlignment="1" applyBorder="1" applyFont="1">
      <alignment horizontal="center" vertical="center"/>
    </xf>
    <xf borderId="2573" fillId="42" fontId="138" numFmtId="0" xfId="0" applyAlignment="1" applyBorder="1" applyFont="1">
      <alignment horizontal="center" readingOrder="0" vertical="center"/>
    </xf>
    <xf borderId="2574" fillId="42" fontId="138" numFmtId="0" xfId="0" applyAlignment="1" applyBorder="1" applyFont="1">
      <alignment horizontal="center" readingOrder="0" vertical="center"/>
    </xf>
    <xf borderId="2575" fillId="42" fontId="138" numFmtId="0" xfId="0" applyAlignment="1" applyBorder="1" applyFont="1">
      <alignment horizontal="left" readingOrder="0" vertical="center"/>
    </xf>
    <xf borderId="2576" fillId="0" fontId="5" numFmtId="0" xfId="0" applyBorder="1" applyFont="1"/>
    <xf borderId="2577" fillId="42" fontId="138" numFmtId="0" xfId="0" applyAlignment="1" applyBorder="1" applyFont="1">
      <alignment horizontal="center" readingOrder="0" vertical="center"/>
    </xf>
    <xf borderId="2578" fillId="42" fontId="138" numFmtId="0" xfId="0" applyAlignment="1" applyBorder="1" applyFont="1">
      <alignment horizontal="center" readingOrder="0" vertical="center"/>
    </xf>
    <xf borderId="2579" fillId="42" fontId="138" numFmtId="0" xfId="0" applyAlignment="1" applyBorder="1" applyFont="1">
      <alignment horizontal="left" readingOrder="0" vertical="center"/>
    </xf>
    <xf borderId="2580" fillId="0" fontId="5" numFmtId="0" xfId="0" applyBorder="1" applyFont="1"/>
    <xf borderId="2581" fillId="42" fontId="138" numFmtId="0" xfId="0" applyAlignment="1" applyBorder="1" applyFont="1">
      <alignment horizontal="center" readingOrder="0" vertical="center"/>
    </xf>
    <xf borderId="2582" fillId="42" fontId="138" numFmtId="0" xfId="0" applyAlignment="1" applyBorder="1" applyFont="1">
      <alignment horizontal="center" readingOrder="0" vertical="center"/>
    </xf>
    <xf borderId="395" fillId="42" fontId="138" numFmtId="0" xfId="0" applyAlignment="1" applyBorder="1" applyFont="1">
      <alignment horizontal="right" readingOrder="0" vertical="center"/>
    </xf>
    <xf borderId="2583" fillId="136" fontId="162" numFmtId="0" xfId="0" applyAlignment="1" applyBorder="1" applyFont="1">
      <alignment horizontal="center" vertical="center"/>
    </xf>
    <xf borderId="2549" fillId="136" fontId="102" numFmtId="0" xfId="0" applyAlignment="1" applyBorder="1" applyFont="1">
      <alignment horizontal="right" vertical="center"/>
    </xf>
    <xf borderId="2549" fillId="136" fontId="140" numFmtId="0" xfId="0" applyAlignment="1" applyBorder="1" applyFont="1">
      <alignment horizontal="center" vertical="center"/>
    </xf>
    <xf borderId="405" fillId="42" fontId="138" numFmtId="0" xfId="0" applyAlignment="1" applyBorder="1" applyFont="1">
      <alignment horizontal="right" readingOrder="0" vertical="center"/>
    </xf>
    <xf borderId="2549" fillId="136" fontId="162" numFmtId="0" xfId="0" applyAlignment="1" applyBorder="1" applyFont="1">
      <alignment horizontal="center" vertical="center"/>
    </xf>
    <xf borderId="2584" fillId="136" fontId="162" numFmtId="0" xfId="0" applyAlignment="1" applyBorder="1" applyFont="1">
      <alignment horizontal="center" vertical="center"/>
    </xf>
    <xf borderId="2585" fillId="136" fontId="154" numFmtId="0" xfId="0" applyAlignment="1" applyBorder="1" applyFont="1">
      <alignment horizontal="center" vertical="center"/>
    </xf>
    <xf borderId="2586" fillId="136" fontId="104" numFmtId="0" xfId="0" applyAlignment="1" applyBorder="1" applyFont="1">
      <alignment horizontal="right" vertical="center"/>
    </xf>
    <xf borderId="2586" fillId="136" fontId="154" numFmtId="0" xfId="0" applyAlignment="1" applyBorder="1" applyFont="1">
      <alignment horizontal="center" vertical="center"/>
    </xf>
    <xf borderId="2587" fillId="136" fontId="132" numFmtId="0" xfId="0" applyAlignment="1" applyBorder="1" applyFont="1">
      <alignment horizontal="center" vertical="center"/>
    </xf>
    <xf borderId="2588" fillId="136" fontId="154" numFmtId="0" xfId="0" applyAlignment="1" applyBorder="1" applyFont="1">
      <alignment horizontal="center" vertical="center"/>
    </xf>
    <xf borderId="2589" fillId="137" fontId="154" numFmtId="0" xfId="0" applyAlignment="1" applyBorder="1" applyFill="1" applyFont="1">
      <alignment horizontal="center" vertical="center"/>
    </xf>
    <xf borderId="2590" fillId="137" fontId="102" numFmtId="0" xfId="0" applyAlignment="1" applyBorder="1" applyFont="1">
      <alignment horizontal="right" readingOrder="0" vertical="center"/>
    </xf>
    <xf borderId="2591" fillId="137" fontId="154" numFmtId="0" xfId="0" applyAlignment="1" applyBorder="1" applyFont="1">
      <alignment horizontal="center" vertical="center"/>
    </xf>
    <xf borderId="2592" fillId="137" fontId="154" numFmtId="0" xfId="0" applyAlignment="1" applyBorder="1" applyFont="1">
      <alignment horizontal="center" vertical="center"/>
    </xf>
    <xf borderId="2593" fillId="137" fontId="104" numFmtId="0" xfId="0" applyAlignment="1" applyBorder="1" applyFont="1">
      <alignment horizontal="right" vertical="center"/>
    </xf>
    <xf borderId="2593" fillId="137" fontId="154" numFmtId="0" xfId="0" applyAlignment="1" applyBorder="1" applyFont="1">
      <alignment horizontal="center" vertical="center"/>
    </xf>
    <xf borderId="2594" fillId="137" fontId="201" numFmtId="0" xfId="0" applyAlignment="1" applyBorder="1" applyFont="1">
      <alignment horizontal="left" readingOrder="0" vertical="center"/>
    </xf>
    <xf borderId="2595" fillId="0" fontId="5" numFmtId="0" xfId="0" applyBorder="1" applyFont="1"/>
    <xf borderId="2596" fillId="0" fontId="5" numFmtId="0" xfId="0" applyBorder="1" applyFont="1"/>
    <xf borderId="2597" fillId="137" fontId="154" numFmtId="0" xfId="0" applyAlignment="1" applyBorder="1" applyFont="1">
      <alignment horizontal="center" vertical="center"/>
    </xf>
    <xf borderId="339" fillId="138" fontId="104" numFmtId="0" xfId="0" applyAlignment="1" applyBorder="1" applyFill="1" applyFont="1">
      <alignment horizontal="center" vertical="center"/>
    </xf>
    <xf borderId="2598" fillId="137" fontId="156" numFmtId="0" xfId="0" applyAlignment="1" applyBorder="1" applyFont="1">
      <alignment horizontal="center" vertical="center"/>
    </xf>
    <xf borderId="1066" fillId="138" fontId="131" numFmtId="0" xfId="0" applyAlignment="1" applyBorder="1" applyFont="1">
      <alignment horizontal="center" vertical="center"/>
    </xf>
    <xf borderId="2595" fillId="137" fontId="132" numFmtId="0" xfId="0" applyAlignment="1" applyBorder="1" applyFont="1">
      <alignment horizontal="center" vertical="center"/>
    </xf>
    <xf borderId="2595" fillId="137" fontId="154" numFmtId="0" xfId="0" applyAlignment="1" applyBorder="1" applyFont="1">
      <alignment horizontal="center" vertical="center"/>
    </xf>
    <xf borderId="2599" fillId="137" fontId="154" numFmtId="0" xfId="0" applyAlignment="1" applyBorder="1" applyFont="1">
      <alignment horizontal="center" vertical="center"/>
    </xf>
    <xf borderId="2592" fillId="137" fontId="132" numFmtId="0" xfId="0" applyAlignment="1" applyBorder="1" applyFont="1">
      <alignment horizontal="center" vertical="center"/>
    </xf>
    <xf borderId="885" fillId="137" fontId="104" numFmtId="0" xfId="0" applyAlignment="1" applyBorder="1" applyFont="1">
      <alignment horizontal="right" readingOrder="0" vertical="center"/>
    </xf>
    <xf borderId="2598" fillId="137" fontId="132" numFmtId="0" xfId="0" applyAlignment="1" applyBorder="1" applyFont="1">
      <alignment horizontal="center" readingOrder="0" vertical="center"/>
    </xf>
    <xf borderId="2600" fillId="137" fontId="130" numFmtId="0" xfId="0" applyAlignment="1" applyBorder="1" applyFont="1">
      <alignment horizontal="center" readingOrder="0" vertical="center"/>
    </xf>
    <xf borderId="2601" fillId="0" fontId="5" numFmtId="0" xfId="0" applyBorder="1" applyFont="1"/>
    <xf borderId="2602" fillId="0" fontId="5" numFmtId="0" xfId="0" applyBorder="1" applyFont="1"/>
    <xf borderId="2599" fillId="137" fontId="132" numFmtId="0" xfId="0" applyAlignment="1" applyBorder="1" applyFont="1">
      <alignment horizontal="center" vertical="center"/>
    </xf>
    <xf borderId="2592" fillId="137" fontId="158" numFmtId="0" xfId="0" applyAlignment="1" applyBorder="1" applyFont="1">
      <alignment horizontal="center" vertical="center"/>
    </xf>
    <xf borderId="2598" fillId="137" fontId="158" numFmtId="0" xfId="0" applyAlignment="1" applyBorder="1" applyFont="1">
      <alignment horizontal="center" readingOrder="0" vertical="center"/>
    </xf>
    <xf borderId="2603" fillId="137" fontId="146" numFmtId="0" xfId="0" applyAlignment="1" applyBorder="1" applyFont="1">
      <alignment horizontal="center" readingOrder="0" vertical="top"/>
    </xf>
    <xf borderId="2604" fillId="0" fontId="5" numFmtId="0" xfId="0" applyBorder="1" applyFont="1"/>
    <xf borderId="2605" fillId="0" fontId="5" numFmtId="0" xfId="0" applyBorder="1" applyFont="1"/>
    <xf borderId="2599" fillId="137" fontId="158" numFmtId="0" xfId="0" applyAlignment="1" applyBorder="1" applyFont="1">
      <alignment horizontal="center" vertical="center"/>
    </xf>
    <xf borderId="2606" fillId="137" fontId="132" numFmtId="0" xfId="0" applyAlignment="1" applyBorder="1" applyFont="1">
      <alignment horizontal="center" vertical="center"/>
    </xf>
    <xf borderId="2607" fillId="137" fontId="132" numFmtId="0" xfId="0" applyAlignment="1" applyBorder="1" applyFont="1">
      <alignment horizontal="right" vertical="top"/>
    </xf>
    <xf borderId="2607" fillId="137" fontId="132" numFmtId="0" xfId="0" applyAlignment="1" applyBorder="1" applyFont="1">
      <alignment horizontal="left" vertical="top"/>
    </xf>
    <xf borderId="2608" fillId="137" fontId="132" numFmtId="0" xfId="0" applyAlignment="1" applyBorder="1" applyFont="1">
      <alignment horizontal="center" vertical="top"/>
    </xf>
    <xf borderId="2609" fillId="137" fontId="132" numFmtId="0" xfId="0" applyAlignment="1" applyBorder="1" applyFont="1">
      <alignment horizontal="center" vertical="top"/>
    </xf>
    <xf borderId="2610" fillId="0" fontId="5" numFmtId="0" xfId="0" applyBorder="1" applyFont="1"/>
    <xf borderId="2611" fillId="137" fontId="132" numFmtId="0" xfId="0" applyAlignment="1" applyBorder="1" applyFont="1">
      <alignment horizontal="center" vertical="center"/>
    </xf>
    <xf borderId="2612" fillId="137" fontId="132" numFmtId="0" xfId="0" applyAlignment="1" applyBorder="1" applyFont="1">
      <alignment horizontal="center" vertical="top"/>
    </xf>
    <xf borderId="2613" fillId="137" fontId="132" numFmtId="0" xfId="0" applyAlignment="1" applyBorder="1" applyFont="1">
      <alignment horizontal="center" vertical="top"/>
    </xf>
    <xf borderId="2598" fillId="137" fontId="154" numFmtId="0" xfId="0" applyAlignment="1" applyBorder="1" applyFont="1">
      <alignment horizontal="center" vertical="center"/>
    </xf>
    <xf borderId="2614" fillId="137" fontId="132" numFmtId="0" xfId="0" applyAlignment="1" applyBorder="1" applyFont="1">
      <alignment horizontal="center" readingOrder="0" vertical="center"/>
    </xf>
    <xf borderId="2615" fillId="0" fontId="5" numFmtId="0" xfId="0" applyBorder="1" applyFont="1"/>
    <xf borderId="2616" fillId="0" fontId="5" numFmtId="0" xfId="0" applyBorder="1" applyFont="1"/>
    <xf borderId="2617" fillId="137" fontId="132" numFmtId="0" xfId="0" applyAlignment="1" applyBorder="1" applyFont="1">
      <alignment horizontal="center" readingOrder="0" vertical="center"/>
    </xf>
    <xf borderId="2618" fillId="0" fontId="5" numFmtId="0" xfId="0" applyBorder="1" applyFont="1"/>
    <xf borderId="2619" fillId="0" fontId="5" numFmtId="0" xfId="0" applyBorder="1" applyFont="1"/>
    <xf borderId="2620" fillId="137" fontId="132" numFmtId="0" xfId="0" applyAlignment="1" applyBorder="1" applyFont="1">
      <alignment horizontal="center" readingOrder="0" vertical="center"/>
    </xf>
    <xf borderId="2621" fillId="137" fontId="132" numFmtId="0" xfId="0" applyAlignment="1" applyBorder="1" applyFont="1">
      <alignment horizontal="center" readingOrder="0" vertical="center"/>
    </xf>
    <xf borderId="2593" fillId="137" fontId="102" numFmtId="0" xfId="0" applyAlignment="1" applyBorder="1" applyFont="1">
      <alignment horizontal="right" vertical="center"/>
    </xf>
    <xf borderId="2622" fillId="0" fontId="5" numFmtId="0" xfId="0" applyBorder="1" applyFont="1"/>
    <xf borderId="2623" fillId="137" fontId="132" numFmtId="0" xfId="0" applyAlignment="1" applyBorder="1" applyFont="1">
      <alignment horizontal="center" readingOrder="0" vertical="center"/>
    </xf>
    <xf borderId="2624" fillId="0" fontId="5" numFmtId="0" xfId="0" applyBorder="1" applyFont="1"/>
    <xf borderId="2625" fillId="137" fontId="132" numFmtId="0" xfId="0" applyAlignment="1" applyBorder="1" applyFont="1">
      <alignment horizontal="center" readingOrder="0" vertical="center"/>
    </xf>
    <xf borderId="2626" fillId="137" fontId="132" numFmtId="0" xfId="0" applyAlignment="1" applyBorder="1" applyFont="1">
      <alignment horizontal="center" readingOrder="0" vertical="center"/>
    </xf>
    <xf borderId="2627" fillId="0" fontId="5" numFmtId="0" xfId="0" applyBorder="1" applyFont="1"/>
    <xf borderId="2628" fillId="0" fontId="5" numFmtId="0" xfId="0" applyBorder="1" applyFont="1"/>
    <xf borderId="2629" fillId="137" fontId="132" numFmtId="0" xfId="0" applyAlignment="1" applyBorder="1" applyFont="1">
      <alignment horizontal="center" readingOrder="0" vertical="center"/>
    </xf>
    <xf borderId="2630" fillId="0" fontId="5" numFmtId="0" xfId="0" applyBorder="1" applyFont="1"/>
    <xf borderId="2592" fillId="137" fontId="153" numFmtId="0" xfId="0" applyAlignment="1" applyBorder="1" applyFont="1">
      <alignment horizontal="center" vertical="center"/>
    </xf>
    <xf borderId="2593" fillId="137" fontId="160" numFmtId="0" xfId="0" applyAlignment="1" applyBorder="1" applyFont="1">
      <alignment horizontal="center" vertical="center"/>
    </xf>
    <xf borderId="2590" fillId="137" fontId="160" numFmtId="0" xfId="0" applyAlignment="1" applyBorder="1" applyFont="1">
      <alignment horizontal="center" vertical="top"/>
    </xf>
    <xf borderId="2593" fillId="137" fontId="160" numFmtId="0" xfId="0" applyAlignment="1" applyBorder="1" applyFont="1">
      <alignment horizontal="center" vertical="top"/>
    </xf>
    <xf borderId="2631" fillId="137" fontId="160" numFmtId="0" xfId="0" applyAlignment="1" applyBorder="1" applyFont="1">
      <alignment horizontal="center" vertical="top"/>
    </xf>
    <xf borderId="2631" fillId="137" fontId="160" numFmtId="0" xfId="0" applyAlignment="1" applyBorder="1" applyFont="1">
      <alignment horizontal="center" vertical="center"/>
    </xf>
    <xf borderId="2631" fillId="137" fontId="143" numFmtId="0" xfId="0" applyAlignment="1" applyBorder="1" applyFont="1">
      <alignment horizontal="center" vertical="center"/>
    </xf>
    <xf borderId="2593" fillId="137" fontId="161" numFmtId="0" xfId="0" applyAlignment="1" applyBorder="1" applyFont="1">
      <alignment horizontal="center" vertical="center"/>
    </xf>
    <xf borderId="2597" fillId="137" fontId="153" numFmtId="0" xfId="0" applyAlignment="1" applyBorder="1" applyFont="1">
      <alignment horizontal="center" vertical="center"/>
    </xf>
    <xf borderId="2592" fillId="137" fontId="162" numFmtId="0" xfId="0" applyAlignment="1" applyBorder="1" applyFont="1">
      <alignment horizontal="center" vertical="center"/>
    </xf>
    <xf borderId="2593" fillId="137" fontId="140" numFmtId="0" xfId="0" applyAlignment="1" applyBorder="1" applyFont="1">
      <alignment horizontal="center" vertical="center"/>
    </xf>
    <xf borderId="378" fillId="139" fontId="138" numFmtId="0" xfId="0" applyAlignment="1" applyBorder="1" applyFill="1" applyFont="1">
      <alignment horizontal="center" readingOrder="0" vertical="top"/>
    </xf>
    <xf borderId="2598" fillId="137" fontId="140" numFmtId="0" xfId="0" applyAlignment="1" applyBorder="1" applyFont="1">
      <alignment horizontal="center" vertical="center"/>
    </xf>
    <xf borderId="2598" fillId="137" fontId="162" numFmtId="0" xfId="0" applyAlignment="1" applyBorder="1" applyFont="1">
      <alignment horizontal="center" vertical="center"/>
    </xf>
    <xf borderId="2597" fillId="137" fontId="162" numFmtId="0" xfId="0" applyAlignment="1" applyBorder="1" applyFont="1">
      <alignment horizontal="center" vertical="center"/>
    </xf>
    <xf borderId="2632" fillId="139" fontId="138" numFmtId="0" xfId="0" applyAlignment="1" applyBorder="1" applyFont="1">
      <alignment horizontal="center" readingOrder="0" vertical="center"/>
    </xf>
    <xf borderId="2633" fillId="139" fontId="138" numFmtId="0" xfId="0" applyAlignment="1" applyBorder="1" applyFont="1">
      <alignment horizontal="center" readingOrder="0" vertical="center"/>
    </xf>
    <xf borderId="2634" fillId="139" fontId="138" numFmtId="0" xfId="0" applyAlignment="1" applyBorder="1" applyFont="1">
      <alignment horizontal="left" readingOrder="0" vertical="center"/>
    </xf>
    <xf borderId="2635" fillId="0" fontId="5" numFmtId="0" xfId="0" applyBorder="1" applyFont="1"/>
    <xf borderId="2593" fillId="137" fontId="162" numFmtId="0" xfId="0" applyAlignment="1" applyBorder="1" applyFont="1">
      <alignment horizontal="center" vertical="center"/>
    </xf>
    <xf borderId="2636" fillId="139" fontId="138" numFmtId="0" xfId="0" applyAlignment="1" applyBorder="1" applyFont="1">
      <alignment horizontal="center" readingOrder="0" vertical="center"/>
    </xf>
    <xf borderId="2637" fillId="139" fontId="138" numFmtId="0" xfId="0" applyAlignment="1" applyBorder="1" applyFont="1">
      <alignment horizontal="center" readingOrder="0" vertical="center"/>
    </xf>
    <xf borderId="2638" fillId="139" fontId="138" numFmtId="0" xfId="0" applyAlignment="1" applyBorder="1" applyFont="1">
      <alignment horizontal="left" readingOrder="0" vertical="center"/>
    </xf>
    <xf borderId="2639" fillId="0" fontId="5" numFmtId="0" xfId="0" applyBorder="1" applyFont="1"/>
    <xf borderId="2640" fillId="139" fontId="138" numFmtId="0" xfId="0" applyAlignment="1" applyBorder="1" applyFont="1">
      <alignment horizontal="center" readingOrder="0" vertical="center"/>
    </xf>
    <xf borderId="2641" fillId="139" fontId="138" numFmtId="0" xfId="0" applyAlignment="1" applyBorder="1" applyFont="1">
      <alignment horizontal="center" readingOrder="0" vertical="center"/>
    </xf>
    <xf borderId="395" fillId="139" fontId="138" numFmtId="0" xfId="0" applyAlignment="1" applyBorder="1" applyFont="1">
      <alignment horizontal="right" readingOrder="0" vertical="center"/>
    </xf>
    <xf borderId="2642" fillId="137" fontId="154" numFmtId="0" xfId="0" applyAlignment="1" applyBorder="1" applyFont="1">
      <alignment horizontal="center" vertical="center"/>
    </xf>
    <xf borderId="2643" fillId="137" fontId="102" numFmtId="0" xfId="0" applyAlignment="1" applyBorder="1" applyFont="1">
      <alignment horizontal="right" readingOrder="0" vertical="center"/>
    </xf>
    <xf borderId="2643" fillId="137" fontId="36" numFmtId="0" xfId="0" applyAlignment="1" applyBorder="1" applyFont="1">
      <alignment horizontal="center" readingOrder="0" vertical="center"/>
    </xf>
    <xf borderId="2644" fillId="137" fontId="36" numFmtId="0" xfId="0" applyAlignment="1" applyBorder="1" applyFont="1">
      <alignment horizontal="center" readingOrder="0" vertical="center"/>
    </xf>
    <xf borderId="2645" fillId="137" fontId="154" numFmtId="0" xfId="0" applyAlignment="1" applyBorder="1" applyFont="1">
      <alignment horizontal="center" vertical="center"/>
    </xf>
    <xf borderId="2212" fillId="127" fontId="202" numFmtId="0" xfId="0" applyAlignment="1" applyBorder="1" applyFont="1">
      <alignment horizontal="left" readingOrder="0" vertical="center"/>
    </xf>
    <xf borderId="2163" fillId="127" fontId="102" numFmtId="0" xfId="0" applyAlignment="1" applyBorder="1" applyFont="1">
      <alignment horizontal="right" vertical="center"/>
    </xf>
    <xf borderId="2171" fillId="127" fontId="104" numFmtId="0" xfId="0" applyAlignment="1" applyBorder="1" applyFont="1">
      <alignment horizontal="right" vertical="top"/>
    </xf>
    <xf borderId="2163" fillId="127" fontId="132" numFmtId="0" xfId="0" applyAlignment="1" applyBorder="1" applyFont="1">
      <alignment horizontal="center" readingOrder="0" vertical="center"/>
    </xf>
    <xf borderId="2646" fillId="127" fontId="154" numFmtId="0" xfId="0" applyAlignment="1" applyBorder="1" applyFont="1">
      <alignment horizontal="center" vertical="center"/>
    </xf>
    <xf borderId="2647" fillId="127" fontId="102" numFmtId="0" xfId="0" applyAlignment="1" applyBorder="1" applyFont="1">
      <alignment horizontal="right" readingOrder="0" vertical="center"/>
    </xf>
    <xf borderId="2648" fillId="127" fontId="102" numFmtId="0" xfId="0" applyAlignment="1" applyBorder="1" applyFont="1">
      <alignment horizontal="right" readingOrder="0" vertical="center"/>
    </xf>
    <xf borderId="2649" fillId="127" fontId="102" numFmtId="0" xfId="0" applyAlignment="1" applyBorder="1" applyFont="1">
      <alignment horizontal="right" readingOrder="0" vertical="center"/>
    </xf>
    <xf borderId="2650" fillId="127" fontId="154" numFmtId="0" xfId="0" applyAlignment="1" applyBorder="1" applyFont="1">
      <alignment horizontal="center" vertical="center"/>
    </xf>
    <xf borderId="2651" fillId="140" fontId="154" numFmtId="0" xfId="0" applyAlignment="1" applyBorder="1" applyFill="1" applyFont="1">
      <alignment horizontal="center" vertical="center"/>
    </xf>
    <xf borderId="2652" fillId="140" fontId="102" numFmtId="0" xfId="0" applyAlignment="1" applyBorder="1" applyFont="1">
      <alignment horizontal="right" readingOrder="0" vertical="center"/>
    </xf>
    <xf borderId="2653" fillId="140" fontId="102" numFmtId="0" xfId="0" applyAlignment="1" applyBorder="1" applyFont="1">
      <alignment horizontal="right" readingOrder="0" vertical="center"/>
    </xf>
    <xf borderId="2654" fillId="140" fontId="102" numFmtId="0" xfId="0" applyAlignment="1" applyBorder="1" applyFont="1">
      <alignment horizontal="right" readingOrder="0" vertical="center"/>
    </xf>
    <xf borderId="2655" fillId="140" fontId="154" numFmtId="0" xfId="0" applyAlignment="1" applyBorder="1" applyFont="1">
      <alignment horizontal="center" vertical="center"/>
    </xf>
    <xf borderId="2652" fillId="140" fontId="36" numFmtId="0" xfId="0" applyAlignment="1" applyBorder="1" applyFont="1">
      <alignment horizontal="center" readingOrder="0" vertical="center"/>
    </xf>
    <xf borderId="2656" fillId="140" fontId="36" numFmtId="0" xfId="0" applyAlignment="1" applyBorder="1" applyFont="1">
      <alignment horizontal="center" readingOrder="0" vertical="center"/>
    </xf>
    <xf borderId="2657" fillId="140" fontId="154" numFmtId="0" xfId="0" applyAlignment="1" applyBorder="1" applyFont="1">
      <alignment horizontal="center" vertical="center"/>
    </xf>
    <xf borderId="2658" fillId="140" fontId="104" numFmtId="0" xfId="0" applyAlignment="1" applyBorder="1" applyFont="1">
      <alignment horizontal="right" vertical="center"/>
    </xf>
    <xf borderId="2658" fillId="140" fontId="154" numFmtId="0" xfId="0" applyAlignment="1" applyBorder="1" applyFont="1">
      <alignment horizontal="center" vertical="center"/>
    </xf>
    <xf borderId="2659" fillId="140" fontId="203" numFmtId="0" xfId="0" applyAlignment="1" applyBorder="1" applyFont="1">
      <alignment horizontal="left" readingOrder="0" vertical="center"/>
    </xf>
    <xf borderId="2660" fillId="0" fontId="5" numFmtId="0" xfId="0" applyBorder="1" applyFont="1"/>
    <xf borderId="2661" fillId="0" fontId="5" numFmtId="0" xfId="0" applyBorder="1" applyFont="1"/>
    <xf borderId="2662" fillId="140" fontId="154" numFmtId="0" xfId="0" applyAlignment="1" applyBorder="1" applyFont="1">
      <alignment horizontal="center" vertical="center"/>
    </xf>
    <xf borderId="2663" fillId="141" fontId="154" numFmtId="0" xfId="0" applyAlignment="1" applyBorder="1" applyFill="1" applyFont="1">
      <alignment horizontal="center" vertical="center"/>
    </xf>
    <xf borderId="339" fillId="53" fontId="104" numFmtId="0" xfId="0" applyAlignment="1" applyBorder="1" applyFont="1">
      <alignment horizontal="center" vertical="center"/>
    </xf>
    <xf borderId="2664" fillId="140" fontId="156" numFmtId="0" xfId="0" applyAlignment="1" applyBorder="1" applyFont="1">
      <alignment horizontal="center" vertical="center"/>
    </xf>
    <xf borderId="1066" fillId="53" fontId="156" numFmtId="0" xfId="0" applyAlignment="1" applyBorder="1" applyFont="1">
      <alignment horizontal="center" vertical="center"/>
    </xf>
    <xf borderId="2660" fillId="140" fontId="154" numFmtId="0" xfId="0" applyAlignment="1" applyBorder="1" applyFont="1">
      <alignment horizontal="center" vertical="center"/>
    </xf>
    <xf borderId="2661" fillId="140" fontId="154" numFmtId="0" xfId="0" applyAlignment="1" applyBorder="1" applyFont="1">
      <alignment horizontal="center" vertical="center"/>
    </xf>
    <xf borderId="2653" fillId="140" fontId="154" numFmtId="0" xfId="0" applyAlignment="1" applyBorder="1" applyFont="1">
      <alignment horizontal="center" vertical="center"/>
    </xf>
    <xf borderId="2665" fillId="0" fontId="5" numFmtId="0" xfId="0" applyBorder="1" applyFont="1"/>
    <xf borderId="2654" fillId="0" fontId="5" numFmtId="0" xfId="0" applyBorder="1" applyFont="1"/>
    <xf borderId="2666" fillId="140" fontId="154" numFmtId="0" xfId="0" applyAlignment="1" applyBorder="1" applyFont="1">
      <alignment horizontal="center" vertical="center"/>
    </xf>
    <xf borderId="2663" fillId="141" fontId="132" numFmtId="0" xfId="0" applyAlignment="1" applyBorder="1" applyFont="1">
      <alignment horizontal="center" vertical="center"/>
    </xf>
    <xf borderId="885" fillId="140" fontId="104" numFmtId="0" xfId="0" applyAlignment="1" applyBorder="1" applyFont="1">
      <alignment horizontal="right" readingOrder="0" vertical="center"/>
    </xf>
    <xf borderId="2667" fillId="140" fontId="132" numFmtId="0" xfId="0" applyAlignment="1" applyBorder="1" applyFont="1">
      <alignment horizontal="center" readingOrder="0" vertical="center"/>
    </xf>
    <xf borderId="2668" fillId="140" fontId="130" numFmtId="0" xfId="0" applyAlignment="1" applyBorder="1" applyFont="1">
      <alignment horizontal="center" readingOrder="0" vertical="center"/>
    </xf>
    <xf borderId="2669" fillId="0" fontId="5" numFmtId="0" xfId="0" applyBorder="1" applyFont="1"/>
    <xf borderId="2670" fillId="0" fontId="5" numFmtId="0" xfId="0" applyBorder="1" applyFont="1"/>
    <xf borderId="2671" fillId="0" fontId="5" numFmtId="0" xfId="0" applyBorder="1" applyFont="1"/>
    <xf borderId="2653" fillId="140" fontId="132" numFmtId="0" xfId="0" applyAlignment="1" applyBorder="1" applyFont="1">
      <alignment horizontal="center" vertical="center"/>
    </xf>
    <xf borderId="2672" fillId="0" fontId="5" numFmtId="0" xfId="0" applyBorder="1" applyFont="1"/>
    <xf borderId="2655" fillId="140" fontId="132" numFmtId="0" xfId="0" applyAlignment="1" applyBorder="1" applyFont="1">
      <alignment horizontal="center" vertical="center"/>
    </xf>
    <xf borderId="2663" fillId="141" fontId="158" numFmtId="0" xfId="0" applyAlignment="1" applyBorder="1" applyFont="1">
      <alignment horizontal="center" vertical="center"/>
    </xf>
    <xf borderId="2667" fillId="140" fontId="158" numFmtId="0" xfId="0" applyAlignment="1" applyBorder="1" applyFont="1">
      <alignment horizontal="center" readingOrder="0" vertical="center"/>
    </xf>
    <xf borderId="2673" fillId="140" fontId="146" numFmtId="0" xfId="0" applyAlignment="1" applyBorder="1" applyFont="1">
      <alignment horizontal="center" readingOrder="0" vertical="top"/>
    </xf>
    <xf borderId="2674" fillId="0" fontId="5" numFmtId="0" xfId="0" applyBorder="1" applyFont="1"/>
    <xf borderId="2675" fillId="0" fontId="5" numFmtId="0" xfId="0" applyBorder="1" applyFont="1"/>
    <xf borderId="2653" fillId="140" fontId="158" numFmtId="0" xfId="0" applyAlignment="1" applyBorder="1" applyFont="1">
      <alignment horizontal="center" vertical="center"/>
    </xf>
    <xf borderId="2655" fillId="140" fontId="158" numFmtId="0" xfId="0" applyAlignment="1" applyBorder="1" applyFont="1">
      <alignment horizontal="center" vertical="center"/>
    </xf>
    <xf borderId="2676" fillId="140" fontId="154" numFmtId="0" xfId="0" applyAlignment="1" applyBorder="1" applyFont="1">
      <alignment horizontal="center" vertical="center"/>
    </xf>
    <xf borderId="2677" fillId="140" fontId="132" numFmtId="0" xfId="0" applyAlignment="1" applyBorder="1" applyFont="1">
      <alignment horizontal="center" vertical="center"/>
    </xf>
    <xf borderId="2678" fillId="140" fontId="132" numFmtId="0" xfId="0" applyAlignment="1" applyBorder="1" applyFont="1">
      <alignment horizontal="right" vertical="top"/>
    </xf>
    <xf borderId="2678" fillId="140" fontId="132" numFmtId="0" xfId="0" applyAlignment="1" applyBorder="1" applyFont="1">
      <alignment horizontal="left" vertical="top"/>
    </xf>
    <xf borderId="2679" fillId="140" fontId="132" numFmtId="0" xfId="0" applyAlignment="1" applyBorder="1" applyFont="1">
      <alignment horizontal="center" vertical="top"/>
    </xf>
    <xf borderId="2680" fillId="140" fontId="154" numFmtId="0" xfId="0" applyAlignment="1" applyBorder="1" applyFont="1">
      <alignment horizontal="center" vertical="center"/>
    </xf>
    <xf borderId="2681" fillId="140" fontId="104" numFmtId="0" xfId="0" applyAlignment="1" applyBorder="1" applyFont="1">
      <alignment horizontal="right" vertical="center"/>
    </xf>
    <xf borderId="2682" fillId="140" fontId="154" numFmtId="0" xfId="0" applyAlignment="1" applyBorder="1" applyFont="1">
      <alignment horizontal="center" vertical="center"/>
    </xf>
    <xf borderId="2683" fillId="140" fontId="132" numFmtId="0" xfId="0" applyAlignment="1" applyBorder="1" applyFont="1">
      <alignment horizontal="center" vertical="center"/>
    </xf>
    <xf borderId="2684" fillId="140" fontId="132" numFmtId="0" xfId="0" applyAlignment="1" applyBorder="1" applyFont="1">
      <alignment horizontal="center" vertical="top"/>
    </xf>
    <xf borderId="2685" fillId="140" fontId="132" numFmtId="0" xfId="0" applyAlignment="1" applyBorder="1" applyFont="1">
      <alignment horizontal="center" vertical="top"/>
    </xf>
    <xf borderId="2652" fillId="140" fontId="154" numFmtId="0" xfId="0" applyAlignment="1" applyBorder="1" applyFont="1">
      <alignment horizontal="center" vertical="center"/>
    </xf>
    <xf borderId="2652" fillId="140" fontId="104" numFmtId="0" xfId="0" applyAlignment="1" applyBorder="1" applyFont="1">
      <alignment horizontal="right" vertical="center"/>
    </xf>
    <xf borderId="2686" fillId="140" fontId="132" numFmtId="0" xfId="0" applyAlignment="1" applyBorder="1" applyFont="1">
      <alignment horizontal="center" readingOrder="0" vertical="center"/>
    </xf>
    <xf borderId="2687" fillId="0" fontId="5" numFmtId="0" xfId="0" applyBorder="1" applyFont="1"/>
    <xf borderId="2688" fillId="0" fontId="5" numFmtId="0" xfId="0" applyBorder="1" applyFont="1"/>
    <xf borderId="2689" fillId="140" fontId="132" numFmtId="0" xfId="0" applyAlignment="1" applyBorder="1" applyFont="1">
      <alignment horizontal="center" readingOrder="0" vertical="center"/>
    </xf>
    <xf borderId="2690" fillId="0" fontId="5" numFmtId="0" xfId="0" applyBorder="1" applyFont="1"/>
    <xf borderId="2691" fillId="140" fontId="132" numFmtId="0" xfId="0" applyAlignment="1" applyBorder="1" applyFont="1">
      <alignment horizontal="center" readingOrder="0" vertical="center"/>
    </xf>
    <xf borderId="2692" fillId="140" fontId="132" numFmtId="0" xfId="0" applyAlignment="1" applyBorder="1" applyFont="1">
      <alignment horizontal="center" readingOrder="0" vertical="center"/>
    </xf>
    <xf borderId="2652" fillId="140" fontId="102" numFmtId="0" xfId="0" applyAlignment="1" applyBorder="1" applyFont="1">
      <alignment horizontal="right" vertical="center"/>
    </xf>
    <xf borderId="2693" fillId="0" fontId="5" numFmtId="0" xfId="0" applyBorder="1" applyFont="1"/>
    <xf borderId="2694" fillId="140" fontId="132" numFmtId="0" xfId="0" applyAlignment="1" applyBorder="1" applyFont="1">
      <alignment horizontal="center" readingOrder="0" vertical="center"/>
    </xf>
    <xf borderId="2695" fillId="140" fontId="132" numFmtId="0" xfId="0" applyAlignment="1" applyBorder="1" applyFont="1">
      <alignment horizontal="center" readingOrder="0" vertical="center"/>
    </xf>
    <xf borderId="2696" fillId="140" fontId="132" numFmtId="0" xfId="0" applyAlignment="1" applyBorder="1" applyFont="1">
      <alignment horizontal="center" readingOrder="0" vertical="center"/>
    </xf>
    <xf borderId="2697" fillId="0" fontId="5" numFmtId="0" xfId="0" applyBorder="1" applyFont="1"/>
    <xf borderId="2698" fillId="0" fontId="5" numFmtId="0" xfId="0" applyBorder="1" applyFont="1"/>
    <xf borderId="2699" fillId="140" fontId="132" numFmtId="0" xfId="0" applyAlignment="1" applyBorder="1" applyFont="1">
      <alignment horizontal="center" readingOrder="0" vertical="center"/>
    </xf>
    <xf borderId="2700" fillId="0" fontId="5" numFmtId="0" xfId="0" applyBorder="1" applyFont="1"/>
    <xf borderId="2701" fillId="0" fontId="5" numFmtId="0" xfId="0" applyBorder="1" applyFont="1"/>
    <xf borderId="2656" fillId="0" fontId="5" numFmtId="0" xfId="0" applyBorder="1" applyFont="1"/>
    <xf borderId="2651" fillId="140" fontId="153" numFmtId="0" xfId="0" applyAlignment="1" applyBorder="1" applyFont="1">
      <alignment horizontal="center" vertical="center"/>
    </xf>
    <xf borderId="2652" fillId="140" fontId="160" numFmtId="0" xfId="0" applyAlignment="1" applyBorder="1" applyFont="1">
      <alignment horizontal="center" vertical="center"/>
    </xf>
    <xf borderId="2702" fillId="140" fontId="160" numFmtId="0" xfId="0" applyAlignment="1" applyBorder="1" applyFont="1">
      <alignment horizontal="center" vertical="top"/>
    </xf>
    <xf borderId="2703" fillId="140" fontId="160" numFmtId="0" xfId="0" applyAlignment="1" applyBorder="1" applyFont="1">
      <alignment horizontal="center" vertical="top"/>
    </xf>
    <xf borderId="2672" fillId="140" fontId="160" numFmtId="0" xfId="0" applyAlignment="1" applyBorder="1" applyFont="1">
      <alignment horizontal="center" vertical="top"/>
    </xf>
    <xf borderId="2652" fillId="140" fontId="160" numFmtId="0" xfId="0" applyAlignment="1" applyBorder="1" applyFont="1">
      <alignment horizontal="center" vertical="top"/>
    </xf>
    <xf borderId="2652" fillId="140" fontId="143" numFmtId="0" xfId="0" applyAlignment="1" applyBorder="1" applyFont="1">
      <alignment horizontal="center" vertical="center"/>
    </xf>
    <xf borderId="2652" fillId="140" fontId="161" numFmtId="0" xfId="0" applyAlignment="1" applyBorder="1" applyFont="1">
      <alignment horizontal="center" vertical="center"/>
    </xf>
    <xf borderId="2655" fillId="140" fontId="153" numFmtId="0" xfId="0" applyAlignment="1" applyBorder="1" applyFont="1">
      <alignment horizontal="center" vertical="center"/>
    </xf>
    <xf borderId="2651" fillId="140" fontId="162" numFmtId="0" xfId="0" applyAlignment="1" applyBorder="1" applyFont="1">
      <alignment horizontal="center" vertical="center"/>
    </xf>
    <xf borderId="2704" fillId="140" fontId="140" numFmtId="0" xfId="0" applyAlignment="1" applyBorder="1" applyFont="1">
      <alignment horizontal="center" vertical="center"/>
    </xf>
    <xf borderId="378" fillId="142" fontId="138" numFmtId="0" xfId="0" applyAlignment="1" applyBorder="1" applyFill="1" applyFont="1">
      <alignment horizontal="center" readingOrder="0" vertical="top"/>
    </xf>
    <xf borderId="2705" fillId="140" fontId="140" numFmtId="0" xfId="0" applyAlignment="1" applyBorder="1" applyFont="1">
      <alignment horizontal="center" vertical="center"/>
    </xf>
    <xf borderId="2652" fillId="140" fontId="139" numFmtId="0" xfId="0" applyAlignment="1" applyBorder="1" applyFont="1">
      <alignment horizontal="center" vertical="top"/>
    </xf>
    <xf borderId="2652" fillId="140" fontId="140" numFmtId="0" xfId="0" applyAlignment="1" applyBorder="1" applyFont="1">
      <alignment horizontal="center" vertical="center"/>
    </xf>
    <xf borderId="2652" fillId="140" fontId="104" numFmtId="0" xfId="0" applyAlignment="1" applyBorder="1" applyFont="1">
      <alignment horizontal="right" readingOrder="0" vertical="bottom"/>
    </xf>
    <xf borderId="2652" fillId="140" fontId="162" numFmtId="0" xfId="0" applyAlignment="1" applyBorder="1" applyFont="1">
      <alignment horizontal="center" vertical="center"/>
    </xf>
    <xf borderId="2655" fillId="140" fontId="162" numFmtId="0" xfId="0" applyAlignment="1" applyBorder="1" applyFont="1">
      <alignment horizontal="center" vertical="center"/>
    </xf>
    <xf borderId="2706" fillId="142" fontId="138" numFmtId="0" xfId="0" applyAlignment="1" applyBorder="1" applyFont="1">
      <alignment horizontal="center" readingOrder="0" vertical="center"/>
    </xf>
    <xf borderId="2707" fillId="142" fontId="138" numFmtId="0" xfId="0" applyAlignment="1" applyBorder="1" applyFont="1">
      <alignment horizontal="center" readingOrder="0" vertical="center"/>
    </xf>
    <xf borderId="2708" fillId="142" fontId="138" numFmtId="0" xfId="0" applyAlignment="1" applyBorder="1" applyFont="1">
      <alignment horizontal="left" readingOrder="0" vertical="center"/>
    </xf>
    <xf borderId="2709" fillId="0" fontId="5" numFmtId="0" xfId="0" applyBorder="1" applyFont="1"/>
    <xf borderId="2710" fillId="140" fontId="140" numFmtId="0" xfId="0" applyAlignment="1" applyBorder="1" applyFont="1">
      <alignment horizontal="center" vertical="center"/>
    </xf>
    <xf borderId="2711" fillId="140" fontId="140" numFmtId="0" xfId="0" applyAlignment="1" applyBorder="1" applyFont="1">
      <alignment horizontal="center" vertical="center"/>
    </xf>
    <xf borderId="2652" fillId="140" fontId="139" numFmtId="0" xfId="0" applyAlignment="1" applyBorder="1" applyFont="1">
      <alignment horizontal="center" vertical="center"/>
    </xf>
    <xf borderId="2652" fillId="140" fontId="104" numFmtId="0" xfId="0" applyAlignment="1" applyBorder="1" applyFont="1">
      <alignment horizontal="right" readingOrder="0" vertical="center"/>
    </xf>
    <xf borderId="2712" fillId="142" fontId="138" numFmtId="0" xfId="0" applyAlignment="1" applyBorder="1" applyFont="1">
      <alignment horizontal="center" readingOrder="0" vertical="center"/>
    </xf>
    <xf borderId="2713" fillId="142" fontId="138" numFmtId="0" xfId="0" applyAlignment="1" applyBorder="1" applyFont="1">
      <alignment horizontal="center" readingOrder="0" vertical="center"/>
    </xf>
    <xf borderId="2714" fillId="142" fontId="138" numFmtId="0" xfId="0" applyAlignment="1" applyBorder="1" applyFont="1">
      <alignment horizontal="left" readingOrder="0" vertical="center"/>
    </xf>
    <xf borderId="2715" fillId="0" fontId="5" numFmtId="0" xfId="0" applyBorder="1" applyFont="1"/>
    <xf borderId="2652" fillId="140" fontId="102" numFmtId="0" xfId="0" applyAlignment="1" applyBorder="1" applyFont="1">
      <alignment horizontal="right" readingOrder="0" vertical="top"/>
    </xf>
    <xf borderId="2666" fillId="140" fontId="104" numFmtId="0" xfId="0" applyAlignment="1" applyBorder="1" applyFont="1">
      <alignment horizontal="right" vertical="top"/>
    </xf>
    <xf borderId="2716" fillId="142" fontId="138" numFmtId="0" xfId="0" applyAlignment="1" applyBorder="1" applyFont="1">
      <alignment horizontal="center" readingOrder="0" vertical="center"/>
    </xf>
    <xf borderId="2717" fillId="142" fontId="138" numFmtId="0" xfId="0" applyAlignment="1" applyBorder="1" applyFont="1">
      <alignment horizontal="center" readingOrder="0" vertical="center"/>
    </xf>
    <xf borderId="2653" fillId="140" fontId="140" numFmtId="0" xfId="0" applyAlignment="1" applyBorder="1" applyFont="1">
      <alignment horizontal="center" vertical="center"/>
    </xf>
    <xf borderId="395" fillId="142" fontId="138" numFmtId="0" xfId="0" applyAlignment="1" applyBorder="1" applyFont="1">
      <alignment horizontal="right" readingOrder="0" vertical="center"/>
    </xf>
    <xf borderId="2652" fillId="140" fontId="132" numFmtId="0" xfId="0" applyAlignment="1" applyBorder="1" applyFont="1">
      <alignment horizontal="center" readingOrder="0" vertical="center"/>
    </xf>
    <xf borderId="2652" fillId="140" fontId="132" numFmtId="0" xfId="0" applyAlignment="1" applyBorder="1" applyFont="1">
      <alignment horizontal="center" vertical="center"/>
    </xf>
    <xf borderId="2656" fillId="140" fontId="132" numFmtId="0" xfId="0" applyAlignment="1" applyBorder="1" applyFont="1">
      <alignment horizontal="center" readingOrder="0" vertical="center"/>
    </xf>
    <xf borderId="2681" fillId="140" fontId="132" numFmtId="0" xfId="0" applyAlignment="1" applyBorder="1" applyFont="1">
      <alignment horizontal="center" readingOrder="0" vertical="center"/>
    </xf>
    <xf borderId="2718" fillId="140" fontId="154" numFmtId="0" xfId="0" applyAlignment="1" applyBorder="1" applyFont="1">
      <alignment horizontal="center" vertical="center"/>
    </xf>
    <xf borderId="2719" fillId="140" fontId="104" numFmtId="0" xfId="0" applyAlignment="1" applyBorder="1" applyFont="1">
      <alignment horizontal="right" vertical="center"/>
    </xf>
    <xf borderId="2719" fillId="140" fontId="154" numFmtId="0" xfId="0" applyAlignment="1" applyBorder="1" applyFont="1">
      <alignment horizontal="center" vertical="center"/>
    </xf>
    <xf borderId="2719" fillId="140" fontId="154" numFmtId="0" xfId="0" applyAlignment="1" applyBorder="1" applyFont="1">
      <alignment horizontal="center" readingOrder="0" vertical="center"/>
    </xf>
    <xf borderId="2720" fillId="140" fontId="154" numFmtId="0" xfId="0" applyAlignment="1" applyBorder="1" applyFont="1">
      <alignment horizontal="center" vertical="center"/>
    </xf>
    <xf borderId="2721" fillId="143" fontId="154" numFmtId="0" xfId="0" applyAlignment="1" applyBorder="1" applyFill="1" applyFont="1">
      <alignment horizontal="center" vertical="center"/>
    </xf>
    <xf borderId="2722" fillId="143" fontId="104" numFmtId="0" xfId="0" applyAlignment="1" applyBorder="1" applyFont="1">
      <alignment horizontal="right" vertical="center"/>
    </xf>
    <xf borderId="2722" fillId="143" fontId="154" numFmtId="0" xfId="0" applyAlignment="1" applyBorder="1" applyFont="1">
      <alignment horizontal="center" vertical="center"/>
    </xf>
    <xf borderId="2722" fillId="143" fontId="183" numFmtId="0" xfId="0" applyAlignment="1" applyBorder="1" applyFont="1">
      <alignment horizontal="center" readingOrder="0" vertical="center"/>
    </xf>
    <xf borderId="2723" fillId="143" fontId="154" numFmtId="0" xfId="0" applyAlignment="1" applyBorder="1" applyFont="1">
      <alignment horizontal="center" vertical="center"/>
    </xf>
    <xf borderId="2724" fillId="143" fontId="154" numFmtId="0" xfId="0" applyAlignment="1" applyBorder="1" applyFont="1">
      <alignment horizontal="center" vertical="center"/>
    </xf>
    <xf borderId="2725" fillId="143" fontId="104" numFmtId="0" xfId="0" applyAlignment="1" applyBorder="1" applyFont="1">
      <alignment horizontal="right" vertical="center"/>
    </xf>
    <xf borderId="2726" fillId="143" fontId="154" numFmtId="0" xfId="0" applyAlignment="1" applyBorder="1" applyFont="1">
      <alignment horizontal="center" vertical="center"/>
    </xf>
    <xf borderId="2727" fillId="143" fontId="204" numFmtId="0" xfId="0" applyAlignment="1" applyBorder="1" applyFont="1">
      <alignment horizontal="left" readingOrder="0" vertical="center"/>
    </xf>
    <xf borderId="2728" fillId="0" fontId="5" numFmtId="0" xfId="0" applyBorder="1" applyFont="1"/>
    <xf borderId="2729" fillId="0" fontId="5" numFmtId="0" xfId="0" applyBorder="1" applyFont="1"/>
    <xf borderId="2730" fillId="143" fontId="154" numFmtId="0" xfId="0" applyAlignment="1" applyBorder="1" applyFont="1">
      <alignment horizontal="center" vertical="center"/>
    </xf>
    <xf borderId="2731" fillId="143" fontId="154" numFmtId="0" xfId="0" applyAlignment="1" applyBorder="1" applyFont="1">
      <alignment horizontal="center" vertical="center"/>
    </xf>
    <xf borderId="339" fillId="54" fontId="104" numFmtId="0" xfId="0" applyAlignment="1" applyBorder="1" applyFont="1">
      <alignment horizontal="center" vertical="center"/>
    </xf>
    <xf borderId="2732" fillId="143" fontId="156" numFmtId="0" xfId="0" applyAlignment="1" applyBorder="1" applyFont="1">
      <alignment horizontal="center" vertical="center"/>
    </xf>
    <xf borderId="2411" fillId="54" fontId="131" numFmtId="0" xfId="0" applyAlignment="1" applyBorder="1" applyFont="1">
      <alignment horizontal="center" vertical="center"/>
    </xf>
    <xf borderId="2728" fillId="143" fontId="132" numFmtId="0" xfId="0" applyAlignment="1" applyBorder="1" applyFont="1">
      <alignment horizontal="center" vertical="center"/>
    </xf>
    <xf borderId="2728" fillId="143" fontId="154" numFmtId="0" xfId="0" applyAlignment="1" applyBorder="1" applyFont="1">
      <alignment horizontal="center" vertical="center"/>
    </xf>
    <xf borderId="2729" fillId="143" fontId="154" numFmtId="0" xfId="0" applyAlignment="1" applyBorder="1" applyFont="1">
      <alignment horizontal="center" vertical="center"/>
    </xf>
    <xf borderId="2733" fillId="143" fontId="154" numFmtId="0" xfId="0" applyAlignment="1" applyBorder="1" applyFont="1">
      <alignment horizontal="center" vertical="center"/>
    </xf>
    <xf borderId="2734" fillId="0" fontId="5" numFmtId="0" xfId="0" applyBorder="1" applyFont="1"/>
    <xf borderId="2735" fillId="0" fontId="5" numFmtId="0" xfId="0" applyBorder="1" applyFont="1"/>
    <xf borderId="2736" fillId="143" fontId="154" numFmtId="0" xfId="0" applyAlignment="1" applyBorder="1" applyFont="1">
      <alignment horizontal="center" vertical="center"/>
    </xf>
    <xf borderId="2731" fillId="143" fontId="132" numFmtId="0" xfId="0" applyAlignment="1" applyBorder="1" applyFont="1">
      <alignment horizontal="center" vertical="center"/>
    </xf>
    <xf borderId="885" fillId="143" fontId="104" numFmtId="0" xfId="0" applyAlignment="1" applyBorder="1" applyFont="1">
      <alignment horizontal="right" readingOrder="0" vertical="center"/>
    </xf>
    <xf borderId="2732" fillId="143" fontId="132" numFmtId="0" xfId="0" applyAlignment="1" applyBorder="1" applyFont="1">
      <alignment horizontal="center" readingOrder="0" vertical="center"/>
    </xf>
    <xf borderId="2737" fillId="143" fontId="130" numFmtId="0" xfId="0" applyAlignment="1" applyBorder="1" applyFont="1">
      <alignment horizontal="center" readingOrder="0" vertical="center"/>
    </xf>
    <xf borderId="2738" fillId="0" fontId="5" numFmtId="0" xfId="0" applyBorder="1" applyFont="1"/>
    <xf borderId="2739" fillId="0" fontId="5" numFmtId="0" xfId="0" applyBorder="1" applyFont="1"/>
    <xf borderId="2740" fillId="0" fontId="5" numFmtId="0" xfId="0" applyBorder="1" applyFont="1"/>
    <xf borderId="2733" fillId="143" fontId="132" numFmtId="0" xfId="0" applyAlignment="1" applyBorder="1" applyFont="1">
      <alignment horizontal="center" vertical="center"/>
    </xf>
    <xf borderId="2736" fillId="143" fontId="132" numFmtId="0" xfId="0" applyAlignment="1" applyBorder="1" applyFont="1">
      <alignment horizontal="center" vertical="center"/>
    </xf>
    <xf borderId="2731" fillId="143" fontId="158" numFmtId="0" xfId="0" applyAlignment="1" applyBorder="1" applyFont="1">
      <alignment horizontal="center" vertical="center"/>
    </xf>
    <xf borderId="2732" fillId="143" fontId="158" numFmtId="0" xfId="0" applyAlignment="1" applyBorder="1" applyFont="1">
      <alignment horizontal="center" readingOrder="0" vertical="center"/>
    </xf>
    <xf borderId="2741" fillId="143" fontId="146" numFmtId="0" xfId="0" applyAlignment="1" applyBorder="1" applyFont="1">
      <alignment horizontal="center" readingOrder="0" vertical="top"/>
    </xf>
    <xf borderId="2742" fillId="0" fontId="5" numFmtId="0" xfId="0" applyBorder="1" applyFont="1"/>
    <xf borderId="2743" fillId="0" fontId="5" numFmtId="0" xfId="0" applyBorder="1" applyFont="1"/>
    <xf borderId="2733" fillId="143" fontId="158" numFmtId="0" xfId="0" applyAlignment="1" applyBorder="1" applyFont="1">
      <alignment horizontal="center" vertical="center"/>
    </xf>
    <xf borderId="2736" fillId="143" fontId="158" numFmtId="0" xfId="0" applyAlignment="1" applyBorder="1" applyFont="1">
      <alignment horizontal="center" vertical="center"/>
    </xf>
    <xf borderId="2744" fillId="143" fontId="154" numFmtId="0" xfId="0" applyAlignment="1" applyBorder="1" applyFont="1">
      <alignment horizontal="center" vertical="center"/>
    </xf>
    <xf borderId="2745" fillId="143" fontId="132" numFmtId="0" xfId="0" applyAlignment="1" applyBorder="1" applyFont="1">
      <alignment horizontal="center" vertical="center"/>
    </xf>
    <xf borderId="2746" fillId="143" fontId="132" numFmtId="0" xfId="0" applyAlignment="1" applyBorder="1" applyFont="1">
      <alignment horizontal="right" vertical="top"/>
    </xf>
    <xf borderId="2746" fillId="143" fontId="132" numFmtId="0" xfId="0" applyAlignment="1" applyBorder="1" applyFont="1">
      <alignment horizontal="left" vertical="top"/>
    </xf>
    <xf borderId="2747" fillId="143" fontId="132" numFmtId="0" xfId="0" applyAlignment="1" applyBorder="1" applyFont="1">
      <alignment horizontal="center" vertical="top"/>
    </xf>
    <xf borderId="2748" fillId="143" fontId="104" numFmtId="0" xfId="0" applyAlignment="1" applyBorder="1" applyFont="1">
      <alignment horizontal="right" vertical="center"/>
    </xf>
    <xf borderId="2749" fillId="143" fontId="154" numFmtId="0" xfId="0" applyAlignment="1" applyBorder="1" applyFont="1">
      <alignment horizontal="center" vertical="center"/>
    </xf>
    <xf borderId="2750" fillId="143" fontId="132" numFmtId="0" xfId="0" applyAlignment="1" applyBorder="1" applyFont="1">
      <alignment horizontal="center" vertical="center"/>
    </xf>
    <xf borderId="2751" fillId="143" fontId="132" numFmtId="0" xfId="0" applyAlignment="1" applyBorder="1" applyFont="1">
      <alignment horizontal="center" vertical="top"/>
    </xf>
    <xf borderId="2752" fillId="143" fontId="132" numFmtId="0" xfId="0" applyAlignment="1" applyBorder="1" applyFont="1">
      <alignment horizontal="center" vertical="top"/>
    </xf>
    <xf borderId="2753" fillId="143" fontId="154" numFmtId="0" xfId="0" applyAlignment="1" applyBorder="1" applyFont="1">
      <alignment horizontal="center" vertical="center"/>
    </xf>
    <xf borderId="2753" fillId="143" fontId="104" numFmtId="0" xfId="0" applyAlignment="1" applyBorder="1" applyFont="1">
      <alignment horizontal="right" vertical="center"/>
    </xf>
    <xf borderId="2754" fillId="143" fontId="132" numFmtId="0" xfId="0" applyAlignment="1" applyBorder="1" applyFont="1">
      <alignment horizontal="center" readingOrder="0" vertical="center"/>
    </xf>
    <xf borderId="2755" fillId="0" fontId="5" numFmtId="0" xfId="0" applyBorder="1" applyFont="1"/>
    <xf borderId="2756" fillId="0" fontId="5" numFmtId="0" xfId="0" applyBorder="1" applyFont="1"/>
    <xf borderId="2757" fillId="143" fontId="132" numFmtId="0" xfId="0" applyAlignment="1" applyBorder="1" applyFont="1">
      <alignment horizontal="center" readingOrder="0" vertical="center"/>
    </xf>
    <xf borderId="2758" fillId="0" fontId="5" numFmtId="0" xfId="0" applyBorder="1" applyFont="1"/>
    <xf borderId="2759" fillId="143" fontId="132" numFmtId="0" xfId="0" applyAlignment="1" applyBorder="1" applyFont="1">
      <alignment horizontal="center" readingOrder="0" vertical="center"/>
    </xf>
    <xf borderId="2760" fillId="143" fontId="132" numFmtId="0" xfId="0" applyAlignment="1" applyBorder="1" applyFont="1">
      <alignment horizontal="center" readingOrder="0" vertical="center"/>
    </xf>
    <xf borderId="2753" fillId="143" fontId="102" numFmtId="0" xfId="0" applyAlignment="1" applyBorder="1" applyFont="1">
      <alignment horizontal="right" vertical="center"/>
    </xf>
    <xf borderId="2761" fillId="0" fontId="5" numFmtId="0" xfId="0" applyBorder="1" applyFont="1"/>
    <xf borderId="2762" fillId="143" fontId="132" numFmtId="0" xfId="0" applyAlignment="1" applyBorder="1" applyFont="1">
      <alignment horizontal="center" readingOrder="0" vertical="center"/>
    </xf>
    <xf borderId="2763" fillId="143" fontId="132" numFmtId="0" xfId="0" applyAlignment="1" applyBorder="1" applyFont="1">
      <alignment horizontal="center" readingOrder="0" vertical="center"/>
    </xf>
    <xf borderId="2764" fillId="143" fontId="132" numFmtId="0" xfId="0" applyAlignment="1" applyBorder="1" applyFont="1">
      <alignment horizontal="center" readingOrder="0" vertical="center"/>
    </xf>
    <xf borderId="2765" fillId="0" fontId="5" numFmtId="0" xfId="0" applyBorder="1" applyFont="1"/>
    <xf borderId="2766" fillId="0" fontId="5" numFmtId="0" xfId="0" applyBorder="1" applyFont="1"/>
    <xf borderId="2767" fillId="143" fontId="132" numFmtId="0" xfId="0" applyAlignment="1" applyBorder="1" applyFont="1">
      <alignment horizontal="center" readingOrder="0" vertical="center"/>
    </xf>
    <xf borderId="2768" fillId="0" fontId="5" numFmtId="0" xfId="0" applyBorder="1" applyFont="1"/>
    <xf borderId="2769" fillId="0" fontId="5" numFmtId="0" xfId="0" applyBorder="1" applyFont="1"/>
    <xf borderId="2724" fillId="143" fontId="153" numFmtId="0" xfId="0" applyAlignment="1" applyBorder="1" applyFont="1">
      <alignment horizontal="center" vertical="center"/>
    </xf>
    <xf borderId="2753" fillId="143" fontId="160" numFmtId="0" xfId="0" applyAlignment="1" applyBorder="1" applyFont="1">
      <alignment horizontal="center" vertical="center"/>
    </xf>
    <xf borderId="2770" fillId="143" fontId="160" numFmtId="0" xfId="0" applyAlignment="1" applyBorder="1" applyFont="1">
      <alignment horizontal="center" vertical="top"/>
    </xf>
    <xf borderId="2771" fillId="143" fontId="160" numFmtId="0" xfId="0" applyAlignment="1" applyBorder="1" applyFont="1">
      <alignment horizontal="center" vertical="top"/>
    </xf>
    <xf borderId="2772" fillId="143" fontId="160" numFmtId="0" xfId="0" applyAlignment="1" applyBorder="1" applyFont="1">
      <alignment horizontal="center" vertical="top"/>
    </xf>
    <xf borderId="2773" fillId="143" fontId="160" numFmtId="0" xfId="0" applyAlignment="1" applyBorder="1" applyFont="1">
      <alignment horizontal="center" vertical="top"/>
    </xf>
    <xf borderId="2753" fillId="143" fontId="160" numFmtId="0" xfId="0" applyAlignment="1" applyBorder="1" applyFont="1">
      <alignment horizontal="center" vertical="top"/>
    </xf>
    <xf borderId="2753" fillId="143" fontId="161" numFmtId="0" xfId="0" applyAlignment="1" applyBorder="1" applyFont="1">
      <alignment horizontal="center" vertical="center"/>
    </xf>
    <xf borderId="2736" fillId="143" fontId="153" numFmtId="0" xfId="0" applyAlignment="1" applyBorder="1" applyFont="1">
      <alignment horizontal="center" vertical="center"/>
    </xf>
    <xf borderId="2724" fillId="143" fontId="162" numFmtId="0" xfId="0" applyAlignment="1" applyBorder="1" applyFont="1">
      <alignment horizontal="center" vertical="center"/>
    </xf>
    <xf borderId="2774" fillId="143" fontId="140" numFmtId="0" xfId="0" applyAlignment="1" applyBorder="1" applyFont="1">
      <alignment horizontal="center" vertical="center"/>
    </xf>
    <xf borderId="378" fillId="54" fontId="138" numFmtId="0" xfId="0" applyAlignment="1" applyBorder="1" applyFont="1">
      <alignment horizontal="center" readingOrder="0" vertical="top"/>
    </xf>
    <xf borderId="2775" fillId="0" fontId="5" numFmtId="0" xfId="0" applyBorder="1" applyFont="1"/>
    <xf borderId="380" fillId="54" fontId="138" numFmtId="0" xfId="0" applyAlignment="1" applyBorder="1" applyFont="1">
      <alignment horizontal="center" readingOrder="0" vertical="top"/>
    </xf>
    <xf borderId="2776" fillId="143" fontId="140" numFmtId="0" xfId="0" applyAlignment="1" applyBorder="1" applyFont="1">
      <alignment horizontal="center" vertical="center"/>
    </xf>
    <xf borderId="2777" fillId="143" fontId="139" numFmtId="0" xfId="0" applyAlignment="1" applyBorder="1" applyFont="1">
      <alignment horizontal="center" vertical="top"/>
    </xf>
    <xf borderId="2777" fillId="143" fontId="162" numFmtId="0" xfId="0" applyAlignment="1" applyBorder="1" applyFont="1">
      <alignment horizontal="center" vertical="center"/>
    </xf>
    <xf borderId="2753" fillId="143" fontId="162" numFmtId="0" xfId="0" applyAlignment="1" applyBorder="1" applyFont="1">
      <alignment horizontal="center" vertical="center"/>
    </xf>
    <xf borderId="2736" fillId="143" fontId="162" numFmtId="0" xfId="0" applyAlignment="1" applyBorder="1" applyFont="1">
      <alignment horizontal="center" vertical="center"/>
    </xf>
    <xf borderId="2778" fillId="54" fontId="138" numFmtId="0" xfId="0" applyAlignment="1" applyBorder="1" applyFont="1">
      <alignment horizontal="center" readingOrder="0" vertical="center"/>
    </xf>
    <xf borderId="2779" fillId="54" fontId="138" numFmtId="0" xfId="0" applyAlignment="1" applyBorder="1" applyFont="1">
      <alignment horizontal="center" readingOrder="0" vertical="center"/>
    </xf>
    <xf borderId="2780" fillId="54" fontId="138" numFmtId="0" xfId="0" applyAlignment="1" applyBorder="1" applyFont="1">
      <alignment horizontal="left" readingOrder="0" vertical="center"/>
    </xf>
    <xf borderId="2781" fillId="0" fontId="5" numFmtId="0" xfId="0" applyBorder="1" applyFont="1"/>
    <xf borderId="2782" fillId="143" fontId="140" numFmtId="0" xfId="0" applyAlignment="1" applyBorder="1" applyFont="1">
      <alignment horizontal="center" vertical="center"/>
    </xf>
    <xf borderId="2783" fillId="143" fontId="140" numFmtId="0" xfId="0" applyAlignment="1" applyBorder="1" applyFont="1">
      <alignment horizontal="center" vertical="center"/>
    </xf>
    <xf borderId="2784" fillId="143" fontId="139" numFmtId="0" xfId="0" applyAlignment="1" applyBorder="1" applyFont="1">
      <alignment horizontal="center" vertical="center"/>
    </xf>
    <xf borderId="2785" fillId="143" fontId="162" numFmtId="0" xfId="0" applyAlignment="1" applyBorder="1" applyFont="1">
      <alignment horizontal="center" vertical="center"/>
    </xf>
    <xf borderId="2786" fillId="54" fontId="138" numFmtId="0" xfId="0" applyAlignment="1" applyBorder="1" applyFont="1">
      <alignment horizontal="center" readingOrder="0" vertical="center"/>
    </xf>
    <xf borderId="2787" fillId="54" fontId="138" numFmtId="0" xfId="0" applyAlignment="1" applyBorder="1" applyFont="1">
      <alignment horizontal="center" readingOrder="0" vertical="center"/>
    </xf>
    <xf borderId="2788" fillId="54" fontId="138" numFmtId="0" xfId="0" applyAlignment="1" applyBorder="1" applyFont="1">
      <alignment horizontal="left" readingOrder="0" vertical="center"/>
    </xf>
    <xf borderId="2789" fillId="0" fontId="5" numFmtId="0" xfId="0" applyBorder="1" applyFont="1"/>
    <xf borderId="2790" fillId="54" fontId="138" numFmtId="0" xfId="0" applyAlignment="1" applyBorder="1" applyFont="1">
      <alignment horizontal="center" readingOrder="0" vertical="center"/>
    </xf>
    <xf borderId="2791" fillId="54" fontId="138" numFmtId="0" xfId="0" applyAlignment="1" applyBorder="1" applyFont="1">
      <alignment horizontal="center" readingOrder="0" vertical="center"/>
    </xf>
    <xf borderId="2792" fillId="54" fontId="138" numFmtId="0" xfId="0" applyAlignment="1" applyBorder="1" applyFont="1">
      <alignment horizontal="left" readingOrder="0" vertical="center"/>
    </xf>
    <xf borderId="2793" fillId="0" fontId="5" numFmtId="0" xfId="0" applyBorder="1" applyFont="1"/>
    <xf borderId="2733" fillId="143" fontId="140" numFmtId="0" xfId="0" applyAlignment="1" applyBorder="1" applyFont="1">
      <alignment horizontal="center" vertical="center"/>
    </xf>
    <xf borderId="395" fillId="54" fontId="138" numFmtId="0" xfId="0" applyAlignment="1" applyBorder="1" applyFont="1">
      <alignment horizontal="right" readingOrder="0" vertical="center"/>
    </xf>
    <xf borderId="2777" fillId="143" fontId="139" numFmtId="0" xfId="0" applyAlignment="1" applyBorder="1" applyFont="1">
      <alignment horizontal="center" vertical="center"/>
    </xf>
    <xf borderId="400" fillId="54" fontId="138" numFmtId="0" xfId="0" applyAlignment="1" applyBorder="1" applyFont="1">
      <alignment horizontal="right" readingOrder="0" vertical="center"/>
    </xf>
    <xf borderId="2753" fillId="143" fontId="140" numFmtId="0" xfId="0" applyAlignment="1" applyBorder="1" applyFont="1">
      <alignment horizontal="center" vertical="center"/>
    </xf>
    <xf borderId="2748" fillId="143" fontId="140" numFmtId="0" xfId="0" applyAlignment="1" applyBorder="1" applyFont="1">
      <alignment horizontal="center" vertical="center"/>
    </xf>
    <xf borderId="2748" fillId="143" fontId="104" numFmtId="0" xfId="0" applyAlignment="1" applyBorder="1" applyFont="1">
      <alignment horizontal="right" vertical="top"/>
    </xf>
    <xf borderId="2748" fillId="143" fontId="162" numFmtId="0" xfId="0" applyAlignment="1" applyBorder="1" applyFont="1">
      <alignment horizontal="center" vertical="center"/>
    </xf>
    <xf borderId="2722" fillId="143" fontId="140" numFmtId="0" xfId="0" applyAlignment="1" applyBorder="1" applyFont="1">
      <alignment horizontal="center" vertical="center"/>
    </xf>
    <xf borderId="2722" fillId="143" fontId="104" numFmtId="0" xfId="0" applyAlignment="1" applyBorder="1" applyFont="1">
      <alignment horizontal="right" vertical="top"/>
    </xf>
    <xf borderId="2722" fillId="143" fontId="162" numFmtId="0" xfId="0" applyAlignment="1" applyBorder="1" applyFont="1">
      <alignment horizontal="center" vertical="center"/>
    </xf>
    <xf borderId="2794" fillId="143" fontId="162" numFmtId="0" xfId="0" applyAlignment="1" applyBorder="1" applyFont="1">
      <alignment horizontal="center" vertical="center"/>
    </xf>
    <xf borderId="2733" fillId="143" fontId="162" numFmtId="0" xfId="0" applyAlignment="1" applyBorder="1" applyFont="1">
      <alignment horizontal="center" vertical="center"/>
    </xf>
    <xf borderId="405" fillId="54" fontId="138" numFmtId="0" xfId="0" applyAlignment="1" applyBorder="1" applyFont="1">
      <alignment horizontal="right" readingOrder="0" vertical="center"/>
    </xf>
    <xf borderId="2795" fillId="143" fontId="154" numFmtId="0" xfId="0" applyAlignment="1" applyBorder="1" applyFont="1">
      <alignment horizontal="center" vertical="center"/>
    </xf>
    <xf borderId="2796" fillId="143" fontId="104" numFmtId="0" xfId="0" applyAlignment="1" applyBorder="1" applyFont="1">
      <alignment horizontal="right" vertical="center"/>
    </xf>
    <xf borderId="2796" fillId="143" fontId="154" numFmtId="0" xfId="0" applyAlignment="1" applyBorder="1" applyFont="1">
      <alignment horizontal="center" vertical="center"/>
    </xf>
    <xf borderId="2796" fillId="143" fontId="154" numFmtId="0" xfId="0" applyAlignment="1" applyBorder="1" applyFont="1">
      <alignment horizontal="center" readingOrder="0" vertical="center"/>
    </xf>
    <xf borderId="2797" fillId="143" fontId="154" numFmtId="0" xfId="0" applyAlignment="1" applyBorder="1" applyFont="1">
      <alignment horizontal="center" readingOrder="0" vertical="center"/>
    </xf>
    <xf borderId="2797" fillId="143" fontId="154" numFmtId="0" xfId="0" applyAlignment="1" applyBorder="1" applyFont="1">
      <alignment horizontal="center" vertical="center"/>
    </xf>
    <xf borderId="2798" fillId="143" fontId="154" numFmtId="0" xfId="0" applyAlignment="1" applyBorder="1" applyFont="1">
      <alignment horizontal="center" vertical="center"/>
    </xf>
    <xf borderId="2164" fillId="127" fontId="162" numFmtId="0" xfId="0" applyAlignment="1" applyBorder="1" applyFont="1">
      <alignment horizontal="center" vertical="center"/>
    </xf>
    <xf borderId="2165" fillId="127" fontId="140" numFmtId="0" xfId="0" applyAlignment="1" applyBorder="1" applyFont="1">
      <alignment horizontal="center" vertical="center"/>
    </xf>
    <xf borderId="2165" fillId="127" fontId="139" numFmtId="0" xfId="0" applyAlignment="1" applyBorder="1" applyFont="1">
      <alignment horizontal="center" vertical="top"/>
    </xf>
    <xf borderId="2166" fillId="127" fontId="162" numFmtId="0" xfId="0" applyAlignment="1" applyBorder="1" applyFont="1">
      <alignment horizontal="center" vertical="center"/>
    </xf>
    <xf borderId="2166" fillId="127" fontId="140" numFmtId="0" xfId="0" applyAlignment="1" applyBorder="1" applyFont="1">
      <alignment horizontal="center" vertical="center"/>
    </xf>
    <xf borderId="2166" fillId="127" fontId="139" numFmtId="0" xfId="0" applyAlignment="1" applyBorder="1" applyFont="1">
      <alignment horizontal="center" vertical="center"/>
    </xf>
    <xf borderId="2799" fillId="144" fontId="154" numFmtId="0" xfId="0" applyAlignment="1" applyBorder="1" applyFill="1" applyFont="1">
      <alignment horizontal="center" vertical="center"/>
    </xf>
    <xf borderId="2800" fillId="144" fontId="102" numFmtId="0" xfId="0" applyAlignment="1" applyBorder="1" applyFont="1">
      <alignment horizontal="right" readingOrder="0" vertical="center"/>
    </xf>
    <xf borderId="2801" fillId="144" fontId="154" numFmtId="0" xfId="0" applyAlignment="1" applyBorder="1" applyFont="1">
      <alignment horizontal="center" vertical="center"/>
    </xf>
    <xf borderId="2802" fillId="144" fontId="154" numFmtId="0" xfId="0" applyAlignment="1" applyBorder="1" applyFont="1">
      <alignment horizontal="center" vertical="center"/>
    </xf>
    <xf borderId="2803" fillId="144" fontId="104" numFmtId="0" xfId="0" applyAlignment="1" applyBorder="1" applyFont="1">
      <alignment horizontal="right" vertical="center"/>
    </xf>
    <xf borderId="2804" fillId="144" fontId="154" numFmtId="0" xfId="0" applyAlignment="1" applyBorder="1" applyFont="1">
      <alignment horizontal="center" vertical="center"/>
    </xf>
    <xf borderId="2805" fillId="144" fontId="205" numFmtId="0" xfId="0" applyAlignment="1" applyBorder="1" applyFont="1">
      <alignment horizontal="left" readingOrder="0" vertical="center"/>
    </xf>
    <xf borderId="2806" fillId="0" fontId="5" numFmtId="0" xfId="0" applyBorder="1" applyFont="1"/>
    <xf borderId="2807" fillId="0" fontId="5" numFmtId="0" xfId="0" applyBorder="1" applyFont="1"/>
    <xf borderId="2808" fillId="144" fontId="154" numFmtId="0" xfId="0" applyAlignment="1" applyBorder="1" applyFont="1">
      <alignment horizontal="center" vertical="center"/>
    </xf>
    <xf borderId="2809" fillId="144" fontId="154" numFmtId="0" xfId="0" applyAlignment="1" applyBorder="1" applyFont="1">
      <alignment horizontal="center" vertical="center"/>
    </xf>
    <xf borderId="339" fillId="145" fontId="104" numFmtId="0" xfId="0" applyAlignment="1" applyBorder="1" applyFill="1" applyFont="1">
      <alignment horizontal="center" vertical="center"/>
    </xf>
    <xf borderId="2810" fillId="144" fontId="156" numFmtId="0" xfId="0" applyAlignment="1" applyBorder="1" applyFont="1">
      <alignment horizontal="center" vertical="center"/>
    </xf>
    <xf borderId="1066" fillId="146" fontId="131" numFmtId="0" xfId="0" applyAlignment="1" applyBorder="1" applyFill="1" applyFont="1">
      <alignment horizontal="center" vertical="center"/>
    </xf>
    <xf borderId="2810" fillId="144" fontId="154" numFmtId="0" xfId="0" applyAlignment="1" applyBorder="1" applyFont="1">
      <alignment horizontal="center" vertical="center"/>
    </xf>
    <xf borderId="1066" fillId="47" fontId="131" numFmtId="0" xfId="0" applyAlignment="1" applyBorder="1" applyFont="1">
      <alignment horizontal="center" vertical="center"/>
    </xf>
    <xf borderId="2806" fillId="144" fontId="154" numFmtId="0" xfId="0" applyAlignment="1" applyBorder="1" applyFont="1">
      <alignment horizontal="center" vertical="center"/>
    </xf>
    <xf borderId="2811" fillId="144" fontId="154" numFmtId="0" xfId="0" applyAlignment="1" applyBorder="1" applyFont="1">
      <alignment horizontal="center" vertical="center"/>
    </xf>
    <xf borderId="2809" fillId="144" fontId="132" numFmtId="0" xfId="0" applyAlignment="1" applyBorder="1" applyFont="1">
      <alignment horizontal="center" vertical="center"/>
    </xf>
    <xf borderId="1688" fillId="144" fontId="104" numFmtId="0" xfId="0" applyAlignment="1" applyBorder="1" applyFont="1">
      <alignment horizontal="right" readingOrder="0" vertical="center"/>
    </xf>
    <xf borderId="2810" fillId="144" fontId="132" numFmtId="0" xfId="0" applyAlignment="1" applyBorder="1" applyFont="1">
      <alignment horizontal="center" readingOrder="0" vertical="center"/>
    </xf>
    <xf borderId="2812" fillId="144" fontId="130" numFmtId="0" xfId="0" applyAlignment="1" applyBorder="1" applyFont="1">
      <alignment horizontal="center" readingOrder="0" vertical="center"/>
    </xf>
    <xf borderId="2813" fillId="0" fontId="5" numFmtId="0" xfId="0" applyBorder="1" applyFont="1"/>
    <xf borderId="2814" fillId="0" fontId="5" numFmtId="0" xfId="0" applyBorder="1" applyFont="1"/>
    <xf borderId="2815" fillId="147" fontId="130" numFmtId="0" xfId="0" applyAlignment="1" applyBorder="1" applyFill="1" applyFont="1">
      <alignment horizontal="center" readingOrder="0" vertical="center"/>
    </xf>
    <xf borderId="2816" fillId="0" fontId="5" numFmtId="0" xfId="0" applyBorder="1" applyFont="1"/>
    <xf borderId="2817" fillId="0" fontId="5" numFmtId="0" xfId="0" applyBorder="1" applyFont="1"/>
    <xf borderId="2811" fillId="144" fontId="132" numFmtId="0" xfId="0" applyAlignment="1" applyBorder="1" applyFont="1">
      <alignment horizontal="center" vertical="center"/>
    </xf>
    <xf borderId="2809" fillId="144" fontId="158" numFmtId="0" xfId="0" applyAlignment="1" applyBorder="1" applyFont="1">
      <alignment horizontal="center" vertical="center"/>
    </xf>
    <xf borderId="2810" fillId="144" fontId="158" numFmtId="0" xfId="0" applyAlignment="1" applyBorder="1" applyFont="1">
      <alignment horizontal="center" vertical="center"/>
    </xf>
    <xf borderId="2818" fillId="144" fontId="146" numFmtId="0" xfId="0" applyAlignment="1" applyBorder="1" applyFont="1">
      <alignment horizontal="center" readingOrder="0" vertical="top"/>
    </xf>
    <xf borderId="2819" fillId="0" fontId="5" numFmtId="0" xfId="0" applyBorder="1" applyFont="1"/>
    <xf borderId="2820" fillId="0" fontId="5" numFmtId="0" xfId="0" applyBorder="1" applyFont="1"/>
    <xf borderId="2821" fillId="147" fontId="146" numFmtId="0" xfId="0" applyAlignment="1" applyBorder="1" applyFont="1">
      <alignment horizontal="center" readingOrder="0" vertical="top"/>
    </xf>
    <xf borderId="2822" fillId="0" fontId="5" numFmtId="0" xfId="0" applyBorder="1" applyFont="1"/>
    <xf borderId="2823" fillId="0" fontId="5" numFmtId="0" xfId="0" applyBorder="1" applyFont="1"/>
    <xf borderId="2811" fillId="144" fontId="158" numFmtId="0" xfId="0" applyAlignment="1" applyBorder="1" applyFont="1">
      <alignment horizontal="center" vertical="center"/>
    </xf>
    <xf borderId="2824" fillId="144" fontId="132" numFmtId="0" xfId="0" applyAlignment="1" applyBorder="1" applyFont="1">
      <alignment horizontal="center" vertical="center"/>
    </xf>
    <xf borderId="2825" fillId="144" fontId="132" numFmtId="0" xfId="0" applyAlignment="1" applyBorder="1" applyFont="1">
      <alignment horizontal="center" vertical="top"/>
    </xf>
    <xf borderId="2826" fillId="0" fontId="5" numFmtId="0" xfId="0" applyBorder="1" applyFont="1"/>
    <xf borderId="2827" fillId="144" fontId="132" numFmtId="0" xfId="0" applyAlignment="1" applyBorder="1" applyFont="1">
      <alignment horizontal="center" vertical="top"/>
    </xf>
    <xf borderId="2828" fillId="144" fontId="132" numFmtId="0" xfId="0" applyAlignment="1" applyBorder="1" applyFont="1">
      <alignment horizontal="right" vertical="top"/>
    </xf>
    <xf borderId="2828" fillId="144" fontId="132" numFmtId="0" xfId="0" applyAlignment="1" applyBorder="1" applyFont="1">
      <alignment horizontal="left" vertical="top"/>
    </xf>
    <xf borderId="2829" fillId="147" fontId="132" numFmtId="0" xfId="0" applyAlignment="1" applyBorder="1" applyFont="1">
      <alignment horizontal="center" vertical="center"/>
    </xf>
    <xf borderId="2830" fillId="147" fontId="132" numFmtId="0" xfId="0" applyAlignment="1" applyBorder="1" applyFont="1">
      <alignment horizontal="center" vertical="top"/>
    </xf>
    <xf borderId="2831" fillId="0" fontId="5" numFmtId="0" xfId="0" applyBorder="1" applyFont="1"/>
    <xf borderId="2832" fillId="147" fontId="132" numFmtId="0" xfId="0" applyAlignment="1" applyBorder="1" applyFont="1">
      <alignment horizontal="center" vertical="top"/>
    </xf>
    <xf borderId="2833" fillId="144" fontId="154" numFmtId="0" xfId="0" applyAlignment="1" applyBorder="1" applyFont="1">
      <alignment horizontal="center" vertical="center"/>
    </xf>
    <xf borderId="2834" fillId="144" fontId="132" numFmtId="0" xfId="0" applyAlignment="1" applyBorder="1" applyFont="1">
      <alignment horizontal="center" vertical="center"/>
    </xf>
    <xf borderId="2835" fillId="144" fontId="132" numFmtId="0" xfId="0" applyAlignment="1" applyBorder="1" applyFont="1">
      <alignment horizontal="center" vertical="top"/>
    </xf>
    <xf borderId="2836" fillId="144" fontId="132" numFmtId="0" xfId="0" applyAlignment="1" applyBorder="1" applyFont="1">
      <alignment horizontal="center" vertical="top"/>
    </xf>
    <xf borderId="2837" fillId="147" fontId="132" numFmtId="0" xfId="0" applyAlignment="1" applyBorder="1" applyFont="1">
      <alignment horizontal="center" vertical="center"/>
    </xf>
    <xf borderId="2838" fillId="147" fontId="132" numFmtId="0" xfId="0" applyAlignment="1" applyBorder="1" applyFont="1">
      <alignment horizontal="center" vertical="top"/>
    </xf>
    <xf borderId="2839" fillId="147" fontId="132" numFmtId="0" xfId="0" applyAlignment="1" applyBorder="1" applyFont="1">
      <alignment horizontal="center" vertical="top"/>
    </xf>
    <xf borderId="2840" fillId="144" fontId="132" numFmtId="0" xfId="0" applyAlignment="1" applyBorder="1" applyFont="1">
      <alignment horizontal="center" readingOrder="0" vertical="center"/>
    </xf>
    <xf borderId="2841" fillId="0" fontId="5" numFmtId="0" xfId="0" applyBorder="1" applyFont="1"/>
    <xf borderId="2842" fillId="0" fontId="5" numFmtId="0" xfId="0" applyBorder="1" applyFont="1"/>
    <xf borderId="2843" fillId="147" fontId="132" numFmtId="0" xfId="0" applyAlignment="1" applyBorder="1" applyFont="1">
      <alignment horizontal="center" readingOrder="0" vertical="center"/>
    </xf>
    <xf borderId="2844" fillId="0" fontId="5" numFmtId="0" xfId="0" applyBorder="1" applyFont="1"/>
    <xf borderId="2845" fillId="0" fontId="5" numFmtId="0" xfId="0" applyBorder="1" applyFont="1"/>
    <xf borderId="2846" fillId="144" fontId="132" numFmtId="0" xfId="0" applyAlignment="1" applyBorder="1" applyFont="1">
      <alignment horizontal="center" readingOrder="0" vertical="center"/>
    </xf>
    <xf borderId="2810" fillId="0" fontId="5" numFmtId="0" xfId="0" applyBorder="1" applyFont="1"/>
    <xf borderId="2847" fillId="0" fontId="5" numFmtId="0" xfId="0" applyBorder="1" applyFont="1"/>
    <xf borderId="2821" fillId="147" fontId="132" numFmtId="0" xfId="0" applyAlignment="1" applyBorder="1" applyFont="1">
      <alignment horizontal="center" readingOrder="0" vertical="center"/>
    </xf>
    <xf borderId="2848" fillId="144" fontId="104" numFmtId="0" xfId="0" applyAlignment="1" applyBorder="1" applyFont="1">
      <alignment horizontal="right"/>
    </xf>
    <xf borderId="2849" fillId="144" fontId="154" numFmtId="0" xfId="0" applyAlignment="1" applyBorder="1" applyFont="1">
      <alignment horizontal="center" vertical="center"/>
    </xf>
    <xf borderId="2850" fillId="144" fontId="132" numFmtId="0" xfId="0" applyAlignment="1" applyBorder="1" applyFont="1">
      <alignment horizontal="center" readingOrder="0" vertical="center"/>
    </xf>
    <xf borderId="2851" fillId="144" fontId="132" numFmtId="0" xfId="0" applyAlignment="1" applyBorder="1" applyFont="1">
      <alignment horizontal="center" readingOrder="0" vertical="center"/>
    </xf>
    <xf borderId="2852" fillId="147" fontId="132" numFmtId="0" xfId="0" applyAlignment="1" applyBorder="1" applyFont="1">
      <alignment horizontal="center" readingOrder="0" vertical="center"/>
    </xf>
    <xf borderId="2853" fillId="0" fontId="5" numFmtId="0" xfId="0" applyBorder="1" applyFont="1"/>
    <xf borderId="2854" fillId="0" fontId="5" numFmtId="0" xfId="0" applyBorder="1" applyFont="1"/>
    <xf borderId="2855" fillId="147" fontId="132" numFmtId="0" xfId="0" applyAlignment="1" applyBorder="1" applyFont="1">
      <alignment horizontal="center" readingOrder="0" vertical="center"/>
    </xf>
    <xf borderId="2804" fillId="144" fontId="104" numFmtId="0" xfId="0" applyAlignment="1" applyBorder="1" applyFont="1">
      <alignment horizontal="right"/>
    </xf>
    <xf borderId="2849" fillId="144" fontId="154" numFmtId="0" xfId="0" applyAlignment="1" applyBorder="1" applyFont="1">
      <alignment horizontal="center" vertical="center"/>
    </xf>
    <xf borderId="2856" fillId="0" fontId="5" numFmtId="0" xfId="0" applyBorder="1" applyFont="1"/>
    <xf borderId="2842" fillId="144" fontId="132" numFmtId="0" xfId="0" applyAlignment="1" applyBorder="1" applyFont="1">
      <alignment horizontal="center" readingOrder="0" vertical="center"/>
    </xf>
    <xf borderId="2857" fillId="0" fontId="5" numFmtId="0" xfId="0" applyBorder="1" applyFont="1"/>
    <xf borderId="2845" fillId="147" fontId="132" numFmtId="0" xfId="0" applyAlignment="1" applyBorder="1" applyFont="1">
      <alignment horizontal="center" readingOrder="0" vertical="center"/>
    </xf>
    <xf borderId="2804" fillId="144" fontId="104" numFmtId="0" xfId="0" applyAlignment="1" applyBorder="1" applyFont="1">
      <alignment horizontal="right" vertical="center"/>
    </xf>
    <xf borderId="2858" fillId="0" fontId="5" numFmtId="0" xfId="0" applyBorder="1" applyFont="1"/>
    <xf borderId="2847" fillId="144" fontId="132" numFmtId="0" xfId="0" applyAlignment="1" applyBorder="1" applyFont="1">
      <alignment horizontal="center" readingOrder="0" vertical="center"/>
    </xf>
    <xf borderId="2859" fillId="0" fontId="5" numFmtId="0" xfId="0" applyBorder="1" applyFont="1"/>
    <xf borderId="2823" fillId="147" fontId="132" numFmtId="0" xfId="0" applyAlignment="1" applyBorder="1" applyFont="1">
      <alignment horizontal="center" readingOrder="0" vertical="center"/>
    </xf>
    <xf borderId="2860" fillId="144" fontId="132" numFmtId="0" xfId="0" applyAlignment="1" applyBorder="1" applyFont="1">
      <alignment horizontal="center" readingOrder="0" vertical="center"/>
    </xf>
    <xf borderId="2861" fillId="0" fontId="5" numFmtId="0" xfId="0" applyBorder="1" applyFont="1"/>
    <xf borderId="2862" fillId="0" fontId="5" numFmtId="0" xfId="0" applyBorder="1" applyFont="1"/>
    <xf borderId="2863" fillId="144" fontId="132" numFmtId="0" xfId="0" applyAlignment="1" applyBorder="1" applyFont="1">
      <alignment horizontal="center" readingOrder="0" vertical="center"/>
    </xf>
    <xf borderId="2864" fillId="147" fontId="132" numFmtId="0" xfId="0" applyAlignment="1" applyBorder="1" applyFont="1">
      <alignment horizontal="center" readingOrder="0" vertical="center"/>
    </xf>
    <xf borderId="2865" fillId="0" fontId="5" numFmtId="0" xfId="0" applyBorder="1" applyFont="1"/>
    <xf borderId="2866" fillId="0" fontId="5" numFmtId="0" xfId="0" applyBorder="1" applyFont="1"/>
    <xf borderId="2867" fillId="147" fontId="132" numFmtId="0" xfId="0" applyAlignment="1" applyBorder="1" applyFont="1">
      <alignment horizontal="center" readingOrder="0" vertical="center"/>
    </xf>
    <xf borderId="2868" fillId="0" fontId="5" numFmtId="0" xfId="0" applyBorder="1" applyFont="1"/>
    <xf borderId="2802" fillId="144" fontId="153" numFmtId="0" xfId="0" applyAlignment="1" applyBorder="1" applyFont="1">
      <alignment horizontal="center" vertical="center"/>
    </xf>
    <xf borderId="2804" fillId="144" fontId="102" numFmtId="0" xfId="0" applyAlignment="1" applyBorder="1" applyFont="1">
      <alignment horizontal="right" vertical="center"/>
    </xf>
    <xf borderId="2804" fillId="144" fontId="160" numFmtId="0" xfId="0" applyAlignment="1" applyBorder="1" applyFont="1">
      <alignment horizontal="center" vertical="center"/>
    </xf>
    <xf borderId="2869" fillId="144" fontId="160" numFmtId="0" xfId="0" applyAlignment="1" applyBorder="1" applyFont="1">
      <alignment horizontal="center" vertical="top"/>
    </xf>
    <xf borderId="2870" fillId="144" fontId="160" numFmtId="0" xfId="0" applyAlignment="1" applyBorder="1" applyFont="1">
      <alignment horizontal="center" vertical="top"/>
    </xf>
    <xf borderId="2871" fillId="144" fontId="160" numFmtId="0" xfId="0" applyAlignment="1" applyBorder="1" applyFont="1">
      <alignment horizontal="center" vertical="top"/>
    </xf>
    <xf borderId="2871" fillId="144" fontId="161" numFmtId="0" xfId="0" applyAlignment="1" applyBorder="1" applyFont="1">
      <alignment horizontal="center" vertical="center"/>
    </xf>
    <xf borderId="2872" fillId="144" fontId="161" numFmtId="0" xfId="0" applyAlignment="1" applyBorder="1" applyFont="1">
      <alignment horizontal="center" vertical="center"/>
    </xf>
    <xf borderId="2804" fillId="144" fontId="161" numFmtId="0" xfId="0" applyAlignment="1" applyBorder="1" applyFont="1">
      <alignment horizontal="center" vertical="center"/>
    </xf>
    <xf borderId="2833" fillId="144" fontId="153" numFmtId="0" xfId="0" applyAlignment="1" applyBorder="1" applyFont="1">
      <alignment horizontal="center" vertical="center"/>
    </xf>
    <xf borderId="2802" fillId="144" fontId="162" numFmtId="0" xfId="0" applyAlignment="1" applyBorder="1" applyFont="1">
      <alignment horizontal="center" vertical="center"/>
    </xf>
    <xf borderId="2804" fillId="144" fontId="148" numFmtId="0" xfId="0" applyAlignment="1" applyBorder="1" applyFont="1">
      <alignment horizontal="right" vertical="center"/>
    </xf>
    <xf borderId="2873" fillId="144" fontId="140" numFmtId="0" xfId="0" applyAlignment="1" applyBorder="1" applyFont="1">
      <alignment horizontal="center" vertical="center"/>
    </xf>
    <xf borderId="378" fillId="148" fontId="138" numFmtId="0" xfId="0" applyAlignment="1" applyBorder="1" applyFill="1" applyFont="1">
      <alignment horizontal="center" readingOrder="0" vertical="top"/>
    </xf>
    <xf borderId="2849" fillId="144" fontId="160" numFmtId="0" xfId="0" applyAlignment="1" applyBorder="1" applyFont="1">
      <alignment horizontal="center" vertical="center"/>
    </xf>
    <xf borderId="2810" fillId="144" fontId="160" numFmtId="0" xfId="0" applyAlignment="1" applyBorder="1" applyFont="1">
      <alignment horizontal="center" vertical="center"/>
    </xf>
    <xf borderId="378" fillId="47" fontId="138" numFmtId="0" xfId="0" applyAlignment="1" applyBorder="1" applyFont="1">
      <alignment horizontal="center" readingOrder="0" vertical="top"/>
    </xf>
    <xf borderId="2810" fillId="144" fontId="162" numFmtId="0" xfId="0" applyAlignment="1" applyBorder="1" applyFont="1">
      <alignment horizontal="center" vertical="center"/>
    </xf>
    <xf borderId="2811" fillId="144" fontId="162" numFmtId="0" xfId="0" applyAlignment="1" applyBorder="1" applyFont="1">
      <alignment horizontal="center" vertical="center"/>
    </xf>
    <xf borderId="2874" fillId="148" fontId="138" numFmtId="0" xfId="0" applyAlignment="1" applyBorder="1" applyFont="1">
      <alignment horizontal="center" readingOrder="0" vertical="center"/>
    </xf>
    <xf borderId="2875" fillId="148" fontId="138" numFmtId="0" xfId="0" applyAlignment="1" applyBorder="1" applyFont="1">
      <alignment horizontal="center" readingOrder="0" vertical="center"/>
    </xf>
    <xf borderId="2876" fillId="148" fontId="138" numFmtId="0" xfId="0" applyAlignment="1" applyBorder="1" applyFont="1">
      <alignment horizontal="left" readingOrder="0" vertical="center"/>
    </xf>
    <xf borderId="2877" fillId="0" fontId="5" numFmtId="0" xfId="0" applyBorder="1" applyFont="1"/>
    <xf borderId="2878" fillId="144" fontId="140" numFmtId="0" xfId="0" applyAlignment="1" applyBorder="1" applyFont="1">
      <alignment horizontal="center" vertical="center"/>
    </xf>
    <xf borderId="2879" fillId="47" fontId="138" numFmtId="0" xfId="0" applyAlignment="1" applyBorder="1" applyFont="1">
      <alignment horizontal="center" readingOrder="0" vertical="center"/>
    </xf>
    <xf borderId="2880" fillId="47" fontId="138" numFmtId="0" xfId="0" applyAlignment="1" applyBorder="1" applyFont="1">
      <alignment horizontal="center" readingOrder="0" vertical="center"/>
    </xf>
    <xf borderId="2881" fillId="47" fontId="138" numFmtId="0" xfId="0" applyAlignment="1" applyBorder="1" applyFont="1">
      <alignment horizontal="left" readingOrder="0" vertical="center"/>
    </xf>
    <xf borderId="2882" fillId="0" fontId="5" numFmtId="0" xfId="0" applyBorder="1" applyFont="1"/>
    <xf borderId="2858" fillId="144" fontId="162" numFmtId="0" xfId="0" applyAlignment="1" applyBorder="1" applyFont="1">
      <alignment horizontal="center" vertical="center"/>
    </xf>
    <xf borderId="2883" fillId="148" fontId="138" numFmtId="0" xfId="0" applyAlignment="1" applyBorder="1" applyFont="1">
      <alignment horizontal="center" readingOrder="0" vertical="center"/>
    </xf>
    <xf borderId="2884" fillId="148" fontId="138" numFmtId="0" xfId="0" applyAlignment="1" applyBorder="1" applyFont="1">
      <alignment horizontal="center" readingOrder="0" vertical="center"/>
    </xf>
    <xf borderId="2885" fillId="148" fontId="138" numFmtId="0" xfId="0" applyAlignment="1" applyBorder="1" applyFont="1">
      <alignment horizontal="left" readingOrder="0" vertical="center"/>
    </xf>
    <xf borderId="2886" fillId="0" fontId="5" numFmtId="0" xfId="0" applyBorder="1" applyFont="1"/>
    <xf borderId="2887" fillId="47" fontId="138" numFmtId="0" xfId="0" applyAlignment="1" applyBorder="1" applyFont="1">
      <alignment horizontal="center" readingOrder="0" vertical="center"/>
    </xf>
    <xf borderId="2888" fillId="47" fontId="138" numFmtId="0" xfId="0" applyAlignment="1" applyBorder="1" applyFont="1">
      <alignment horizontal="center" readingOrder="0" vertical="center"/>
    </xf>
    <xf borderId="2889" fillId="47" fontId="138" numFmtId="0" xfId="0" applyAlignment="1" applyBorder="1" applyFont="1">
      <alignment horizontal="left" readingOrder="0" vertical="center"/>
    </xf>
    <xf borderId="2890" fillId="0" fontId="5" numFmtId="0" xfId="0" applyBorder="1" applyFont="1"/>
    <xf borderId="2891" fillId="148" fontId="138" numFmtId="0" xfId="0" applyAlignment="1" applyBorder="1" applyFont="1">
      <alignment horizontal="center" readingOrder="0" vertical="center"/>
    </xf>
    <xf borderId="2892" fillId="148" fontId="138" numFmtId="0" xfId="0" applyAlignment="1" applyBorder="1" applyFont="1">
      <alignment horizontal="center" readingOrder="0" vertical="center"/>
    </xf>
    <xf borderId="2893" fillId="148" fontId="138" numFmtId="0" xfId="0" applyAlignment="1" applyBorder="1" applyFont="1">
      <alignment horizontal="left" readingOrder="0" vertical="center"/>
    </xf>
    <xf borderId="2894" fillId="0" fontId="5" numFmtId="0" xfId="0" applyBorder="1" applyFont="1"/>
    <xf borderId="2895" fillId="47" fontId="138" numFmtId="0" xfId="0" applyAlignment="1" applyBorder="1" applyFont="1">
      <alignment horizontal="center" readingOrder="0" vertical="center"/>
    </xf>
    <xf borderId="2896" fillId="47" fontId="138" numFmtId="0" xfId="0" applyAlignment="1" applyBorder="1" applyFont="1">
      <alignment horizontal="center" readingOrder="0" vertical="center"/>
    </xf>
    <xf borderId="2897" fillId="47" fontId="138" numFmtId="0" xfId="0" applyAlignment="1" applyBorder="1" applyFont="1">
      <alignment horizontal="left" readingOrder="0" vertical="center"/>
    </xf>
    <xf borderId="2898" fillId="0" fontId="5" numFmtId="0" xfId="0" applyBorder="1" applyFont="1"/>
    <xf borderId="2849" fillId="144" fontId="140" numFmtId="0" xfId="0" applyAlignment="1" applyBorder="1" applyFont="1">
      <alignment horizontal="center" vertical="center"/>
    </xf>
    <xf borderId="395" fillId="148" fontId="138" numFmtId="0" xfId="0" applyAlignment="1" applyBorder="1" applyFont="1">
      <alignment horizontal="right" readingOrder="0" vertical="center"/>
    </xf>
    <xf borderId="400" fillId="148" fontId="138" numFmtId="0" xfId="0" applyAlignment="1" applyBorder="1" applyFont="1">
      <alignment horizontal="right" readingOrder="0" vertical="center"/>
    </xf>
    <xf borderId="395" fillId="47" fontId="138" numFmtId="0" xfId="0" applyAlignment="1" applyBorder="1" applyFont="1">
      <alignment horizontal="right" readingOrder="0" vertical="center"/>
    </xf>
    <xf borderId="2899" fillId="144" fontId="162" numFmtId="0" xfId="0" applyAlignment="1" applyBorder="1" applyFont="1">
      <alignment horizontal="center" vertical="center"/>
    </xf>
    <xf borderId="2833" fillId="144" fontId="162" numFmtId="0" xfId="0" applyAlignment="1" applyBorder="1" applyFont="1">
      <alignment horizontal="center" vertical="center"/>
    </xf>
    <xf borderId="405" fillId="148" fontId="138" numFmtId="0" xfId="0" applyAlignment="1" applyBorder="1" applyFont="1">
      <alignment horizontal="right" readingOrder="0" vertical="center"/>
    </xf>
    <xf borderId="2800" fillId="144" fontId="102" numFmtId="0" xfId="0" applyAlignment="1" applyBorder="1" applyFont="1">
      <alignment horizontal="right" vertical="center"/>
    </xf>
    <xf borderId="2800" fillId="144" fontId="162" numFmtId="0" xfId="0" applyAlignment="1" applyBorder="1" applyFont="1">
      <alignment horizontal="center" vertical="center"/>
    </xf>
    <xf borderId="2804" fillId="144" fontId="162" numFmtId="0" xfId="0" applyAlignment="1" applyBorder="1" applyFont="1">
      <alignment horizontal="center" vertical="center"/>
    </xf>
    <xf borderId="2900" fillId="144" fontId="154" numFmtId="0" xfId="0" applyAlignment="1" applyBorder="1" applyFont="1">
      <alignment horizontal="center" vertical="center"/>
    </xf>
    <xf borderId="2901" fillId="144" fontId="104" numFmtId="0" xfId="0" applyAlignment="1" applyBorder="1" applyFont="1">
      <alignment horizontal="right" vertical="top"/>
    </xf>
    <xf borderId="2901" fillId="144" fontId="154" numFmtId="0" xfId="0" applyAlignment="1" applyBorder="1" applyFont="1">
      <alignment horizontal="center" vertical="center"/>
    </xf>
    <xf borderId="2902" fillId="144" fontId="132" numFmtId="0" xfId="0" applyAlignment="1" applyBorder="1" applyFont="1">
      <alignment horizontal="center" readingOrder="0" vertical="center"/>
    </xf>
    <xf borderId="2903" fillId="144" fontId="140" numFmtId="0" xfId="0" applyAlignment="1" applyBorder="1" applyFont="1">
      <alignment horizontal="center" vertical="center"/>
    </xf>
    <xf borderId="2904" fillId="144" fontId="154" numFmtId="0" xfId="0" applyAlignment="1" applyBorder="1" applyFont="1">
      <alignment horizontal="center" vertical="center"/>
    </xf>
    <xf borderId="2905" fillId="143" fontId="132" numFmtId="0" xfId="0" applyAlignment="1" applyBorder="1" applyFont="1">
      <alignment horizontal="center" vertical="top"/>
    </xf>
    <xf borderId="2906" fillId="0" fontId="5" numFmtId="0" xfId="0" applyBorder="1" applyFont="1"/>
    <xf borderId="2907" fillId="12" fontId="154" numFmtId="0" xfId="0" applyAlignment="1" applyBorder="1" applyFont="1">
      <alignment horizontal="center" vertical="center"/>
    </xf>
    <xf borderId="2908" fillId="12" fontId="102" numFmtId="0" xfId="0" applyAlignment="1" applyBorder="1" applyFont="1">
      <alignment horizontal="right" readingOrder="0" vertical="center"/>
    </xf>
    <xf borderId="2909" fillId="12" fontId="154" numFmtId="0" xfId="0" applyAlignment="1" applyBorder="1" applyFont="1">
      <alignment horizontal="center" vertical="center"/>
    </xf>
    <xf borderId="2910" fillId="12" fontId="104" numFmtId="0" xfId="0" applyAlignment="1" applyBorder="1" applyFont="1">
      <alignment horizontal="right" vertical="center"/>
    </xf>
    <xf borderId="218" fillId="12" fontId="206" numFmtId="0" xfId="0" applyAlignment="1" applyBorder="1" applyFont="1">
      <alignment horizontal="left" readingOrder="0" vertical="center"/>
    </xf>
    <xf borderId="1296" fillId="0" fontId="5" numFmtId="0" xfId="0" applyBorder="1" applyFont="1"/>
    <xf borderId="1413" fillId="12" fontId="154" numFmtId="0" xfId="0" applyAlignment="1" applyBorder="1" applyFont="1">
      <alignment horizontal="center" vertical="center"/>
    </xf>
    <xf borderId="339" fillId="55" fontId="104" numFmtId="0" xfId="0" applyAlignment="1" applyBorder="1" applyFont="1">
      <alignment horizontal="center" vertical="center"/>
    </xf>
    <xf borderId="1066" fillId="55" fontId="131" numFmtId="0" xfId="0" applyAlignment="1" applyBorder="1" applyFont="1">
      <alignment horizontal="center" vertical="center"/>
    </xf>
    <xf borderId="885" fillId="12" fontId="104" numFmtId="0" xfId="0" applyAlignment="1" applyBorder="1" applyFont="1">
      <alignment horizontal="right" readingOrder="0" vertical="center"/>
    </xf>
    <xf borderId="1301" fillId="12" fontId="158" numFmtId="0" xfId="0" applyAlignment="1" applyBorder="1" applyFont="1">
      <alignment horizontal="center" vertical="center"/>
    </xf>
    <xf borderId="1292" fillId="12" fontId="158" numFmtId="0" xfId="0" applyAlignment="1" applyBorder="1" applyFont="1">
      <alignment horizontal="center" vertical="center"/>
    </xf>
    <xf borderId="2911" fillId="12" fontId="104" numFmtId="0" xfId="0" applyAlignment="1" applyBorder="1" applyFont="1">
      <alignment horizontal="right" vertical="center"/>
    </xf>
    <xf borderId="2912" fillId="12" fontId="132" numFmtId="0" xfId="0" applyAlignment="1" applyBorder="1" applyFont="1">
      <alignment horizontal="center" readingOrder="0" vertical="center"/>
    </xf>
    <xf borderId="1316" fillId="12" fontId="132" numFmtId="0" xfId="0" applyAlignment="1" applyBorder="1" applyFont="1">
      <alignment horizontal="center" readingOrder="0" vertical="center"/>
    </xf>
    <xf borderId="1318" fillId="12" fontId="132" numFmtId="0" xfId="0" applyAlignment="1" applyBorder="1" applyFont="1">
      <alignment horizontal="center" readingOrder="0" vertical="center"/>
    </xf>
    <xf borderId="2913" fillId="12" fontId="132" numFmtId="0" xfId="0" applyAlignment="1" applyBorder="1" applyFont="1">
      <alignment horizontal="center" readingOrder="0" vertical="center"/>
    </xf>
    <xf borderId="2914" fillId="12" fontId="160" numFmtId="0" xfId="0" applyAlignment="1" applyBorder="1" applyFont="1">
      <alignment horizontal="center" vertical="top"/>
    </xf>
    <xf borderId="2915" fillId="12" fontId="160" numFmtId="0" xfId="0" applyAlignment="1" applyBorder="1" applyFont="1">
      <alignment horizontal="center" vertical="top"/>
    </xf>
    <xf borderId="180" fillId="12" fontId="160" numFmtId="0" xfId="0" applyAlignment="1" applyBorder="1" applyFont="1">
      <alignment horizontal="center" vertical="top"/>
    </xf>
    <xf borderId="2916" fillId="12" fontId="160" numFmtId="0" xfId="0" applyAlignment="1" applyBorder="1" applyFont="1">
      <alignment horizontal="center" vertical="top"/>
    </xf>
    <xf borderId="2917" fillId="12" fontId="140" numFmtId="0" xfId="0" applyAlignment="1" applyBorder="1" applyFont="1">
      <alignment horizontal="center" vertical="center"/>
    </xf>
    <xf borderId="378" fillId="149" fontId="138" numFmtId="0" xfId="0" applyAlignment="1" applyBorder="1" applyFill="1" applyFont="1">
      <alignment horizontal="center" readingOrder="0" vertical="top"/>
    </xf>
    <xf borderId="2918" fillId="12" fontId="162" numFmtId="0" xfId="0" applyAlignment="1" applyBorder="1" applyFont="1">
      <alignment horizontal="center" vertical="center"/>
    </xf>
    <xf borderId="2919" fillId="12" fontId="140" numFmtId="0" xfId="0" applyAlignment="1" applyBorder="1" applyFont="1">
      <alignment horizontal="center" vertical="center"/>
    </xf>
    <xf borderId="2920" fillId="149" fontId="138" numFmtId="0" xfId="0" applyAlignment="1" applyBorder="1" applyFont="1">
      <alignment horizontal="center" readingOrder="0" vertical="center"/>
    </xf>
    <xf borderId="2921" fillId="149" fontId="138" numFmtId="0" xfId="0" applyAlignment="1" applyBorder="1" applyFont="1">
      <alignment horizontal="center" readingOrder="0" vertical="center"/>
    </xf>
    <xf borderId="2922" fillId="149" fontId="138" numFmtId="0" xfId="0" applyAlignment="1" applyBorder="1" applyFont="1">
      <alignment horizontal="left" readingOrder="0" vertical="center"/>
    </xf>
    <xf borderId="2923" fillId="0" fontId="5" numFmtId="0" xfId="0" applyBorder="1" applyFont="1"/>
    <xf borderId="2924" fillId="12" fontId="162" numFmtId="0" xfId="0" applyAlignment="1" applyBorder="1" applyFont="1">
      <alignment horizontal="center" vertical="center"/>
    </xf>
    <xf borderId="2925" fillId="149" fontId="138" numFmtId="0" xfId="0" applyAlignment="1" applyBorder="1" applyFont="1">
      <alignment horizontal="center" readingOrder="0" vertical="center"/>
    </xf>
    <xf borderId="2926" fillId="149" fontId="138" numFmtId="0" xfId="0" applyAlignment="1" applyBorder="1" applyFont="1">
      <alignment horizontal="center" readingOrder="0" vertical="center"/>
    </xf>
    <xf borderId="2927" fillId="149" fontId="138" numFmtId="0" xfId="0" applyAlignment="1" applyBorder="1" applyFont="1">
      <alignment horizontal="left" readingOrder="0" vertical="center"/>
    </xf>
    <xf borderId="2928" fillId="0" fontId="5" numFmtId="0" xfId="0" applyBorder="1" applyFont="1"/>
    <xf borderId="2929" fillId="149" fontId="138" numFmtId="0" xfId="0" applyAlignment="1" applyBorder="1" applyFont="1">
      <alignment horizontal="center" readingOrder="0" vertical="center"/>
    </xf>
    <xf borderId="2930" fillId="149" fontId="138" numFmtId="0" xfId="0" applyAlignment="1" applyBorder="1" applyFont="1">
      <alignment horizontal="center" readingOrder="0" vertical="center"/>
    </xf>
    <xf borderId="395" fillId="149" fontId="138" numFmtId="0" xfId="0" applyAlignment="1" applyBorder="1" applyFont="1">
      <alignment horizontal="right" readingOrder="0" vertical="center"/>
    </xf>
    <xf borderId="400" fillId="149" fontId="138" numFmtId="0" xfId="0" applyAlignment="1" applyBorder="1" applyFont="1">
      <alignment horizontal="right" readingOrder="0" vertical="center"/>
    </xf>
    <xf borderId="209" fillId="12" fontId="140" numFmtId="0" xfId="0" applyAlignment="1" applyBorder="1" applyFont="1">
      <alignment horizontal="center" vertical="center"/>
    </xf>
    <xf borderId="405" fillId="149" fontId="138" numFmtId="0" xfId="0" applyAlignment="1" applyBorder="1" applyFont="1">
      <alignment horizontal="right" readingOrder="0" vertical="center"/>
    </xf>
    <xf borderId="200" fillId="12" fontId="102" numFmtId="0" xfId="0" applyAlignment="1" applyBorder="1" applyFont="1">
      <alignment horizontal="right" vertical="center"/>
    </xf>
    <xf borderId="200" fillId="12" fontId="162" numFmtId="0" xfId="0" applyAlignment="1" applyBorder="1" applyFont="1">
      <alignment horizontal="center" vertical="center"/>
    </xf>
    <xf borderId="200" fillId="12" fontId="140" numFmtId="0" xfId="0" applyAlignment="1" applyBorder="1" applyFont="1">
      <alignment horizontal="center" vertical="center"/>
    </xf>
    <xf borderId="1337" fillId="12" fontId="132" numFmtId="0" xfId="0" applyAlignment="1" applyBorder="1" applyFont="1">
      <alignment horizontal="center" vertical="center"/>
    </xf>
    <xf borderId="1338" fillId="12" fontId="132" numFmtId="0" xfId="0" applyAlignment="1" applyBorder="1" applyFont="1">
      <alignment horizontal="center" readingOrder="0" vertical="center"/>
    </xf>
    <xf borderId="2931" fillId="143" fontId="162" numFmtId="0" xfId="0" applyAlignment="1" applyBorder="1" applyFont="1">
      <alignment horizontal="center" vertical="center"/>
    </xf>
    <xf borderId="2726" fillId="143" fontId="102" numFmtId="0" xfId="0" applyAlignment="1" applyBorder="1" applyFont="1">
      <alignment horizontal="right" vertical="center"/>
    </xf>
    <xf borderId="2727" fillId="143" fontId="140" numFmtId="0" xfId="0" applyAlignment="1" applyBorder="1" applyFont="1">
      <alignment horizontal="center" vertical="center"/>
    </xf>
    <xf borderId="2728" fillId="143" fontId="140" numFmtId="0" xfId="0" applyAlignment="1" applyBorder="1" applyFont="1">
      <alignment horizontal="center" vertical="center"/>
    </xf>
    <xf borderId="2772" fillId="143" fontId="140" numFmtId="0" xfId="0" applyAlignment="1" applyBorder="1" applyFont="1">
      <alignment horizontal="center" vertical="center"/>
    </xf>
    <xf borderId="2772" fillId="143" fontId="162" numFmtId="0" xfId="0" applyAlignment="1" applyBorder="1" applyFont="1">
      <alignment horizontal="center" vertical="center"/>
    </xf>
    <xf borderId="2726" fillId="143" fontId="162" numFmtId="0" xfId="0" applyAlignment="1" applyBorder="1" applyFont="1">
      <alignment horizontal="center" vertical="center"/>
    </xf>
    <xf borderId="2728" fillId="143" fontId="139" numFmtId="0" xfId="0" applyAlignment="1" applyBorder="1" applyFont="1">
      <alignment horizontal="center" vertical="center"/>
    </xf>
    <xf borderId="2730" fillId="143" fontId="162" numFmtId="0" xfId="0" applyAlignment="1" applyBorder="1" applyFont="1">
      <alignment horizontal="center" vertical="center"/>
    </xf>
    <xf borderId="1291" fillId="12" fontId="132" numFmtId="0" xfId="0" applyAlignment="1" applyBorder="1" applyFont="1">
      <alignment horizontal="center" vertical="center"/>
    </xf>
    <xf borderId="180" fillId="12" fontId="132" numFmtId="0" xfId="0" applyAlignment="1" applyBorder="1" applyFont="1">
      <alignment horizontal="center" readingOrder="0" vertical="center"/>
    </xf>
    <xf borderId="1297" fillId="12" fontId="132" numFmtId="0" xfId="0" applyAlignment="1" applyBorder="1" applyFont="1">
      <alignment horizontal="center" vertical="center"/>
    </xf>
    <xf borderId="1291" fillId="12" fontId="102" numFmtId="0" xfId="0" applyAlignment="1" applyBorder="1" applyFont="1">
      <alignment horizontal="right" readingOrder="0" vertical="center"/>
    </xf>
    <xf borderId="206" fillId="12" fontId="102" numFmtId="0" xfId="0" applyAlignment="1" applyBorder="1" applyFont="1">
      <alignment horizontal="right" readingOrder="0" vertical="center"/>
    </xf>
    <xf borderId="1291" fillId="12" fontId="183" numFmtId="0" xfId="0" applyAlignment="1" applyBorder="1" applyFont="1">
      <alignment horizontal="center" readingOrder="0" vertical="center"/>
    </xf>
    <xf borderId="200" fillId="12" fontId="132" numFmtId="0" xfId="0" applyAlignment="1" applyBorder="1" applyFont="1">
      <alignment horizontal="center" readingOrder="0" vertical="center"/>
    </xf>
    <xf borderId="200" fillId="12" fontId="132" numFmtId="0" xfId="0" applyAlignment="1" applyBorder="1" applyFont="1">
      <alignment horizontal="center" vertical="center"/>
    </xf>
    <xf borderId="1310" fillId="12" fontId="154" numFmtId="0" xfId="0" applyAlignment="1" applyBorder="1" applyFont="1">
      <alignment horizontal="right" vertical="top"/>
    </xf>
    <xf borderId="1310" fillId="12" fontId="154" numFmtId="0" xfId="0" applyAlignment="1" applyBorder="1" applyFont="1">
      <alignment horizontal="left" vertical="top"/>
    </xf>
    <xf borderId="2912" fillId="12" fontId="154" numFmtId="0" xfId="0" applyAlignment="1" applyBorder="1" applyFont="1">
      <alignment horizontal="center" readingOrder="0" vertical="center"/>
    </xf>
    <xf borderId="1316" fillId="12" fontId="154" numFmtId="0" xfId="0" applyAlignment="1" applyBorder="1" applyFont="1">
      <alignment horizontal="center" readingOrder="0" vertical="center"/>
    </xf>
    <xf borderId="1318" fillId="12" fontId="154" numFmtId="0" xfId="0" applyAlignment="1" applyBorder="1" applyFont="1">
      <alignment horizontal="center" readingOrder="0" vertical="center"/>
    </xf>
    <xf borderId="2913" fillId="12" fontId="154" numFmtId="0" xfId="0" applyAlignment="1" applyBorder="1" applyFont="1">
      <alignment horizontal="center" readingOrder="0" vertical="center"/>
    </xf>
    <xf borderId="1296" fillId="12" fontId="132" numFmtId="0" xfId="0" applyAlignment="1" applyBorder="1" applyFont="1">
      <alignment horizontal="center" vertical="center"/>
    </xf>
    <xf borderId="1307" fillId="12" fontId="154" numFmtId="0" xfId="0" applyAlignment="1" applyBorder="1" applyFont="1">
      <alignment horizontal="center" vertical="top"/>
    </xf>
    <xf borderId="180" fillId="12" fontId="143" numFmtId="0" xfId="0" applyAlignment="1" applyBorder="1" applyFont="1">
      <alignment horizontal="center" vertical="center"/>
    </xf>
    <xf borderId="2932" fillId="12" fontId="132" numFmtId="0" xfId="0" applyAlignment="1" applyBorder="1" applyFont="1">
      <alignment horizontal="center" readingOrder="0" vertical="center"/>
    </xf>
    <xf borderId="186" fillId="0" fontId="5" numFmtId="0" xfId="0" applyBorder="1" applyFont="1"/>
    <xf borderId="2933" fillId="12" fontId="132" numFmtId="0" xfId="0" applyAlignment="1" applyBorder="1" applyFont="1">
      <alignment horizontal="center" readingOrder="0" vertical="center"/>
    </xf>
    <xf borderId="2934" fillId="12" fontId="160" numFmtId="0" xfId="0" applyAlignment="1" applyBorder="1" applyFont="1">
      <alignment horizontal="center" vertical="top"/>
    </xf>
    <xf borderId="2935" fillId="12" fontId="140" numFmtId="0" xfId="0" applyAlignment="1" applyBorder="1" applyFont="1">
      <alignment horizontal="center" vertical="center"/>
    </xf>
    <xf borderId="1302" fillId="12" fontId="131" numFmtId="0" xfId="0" applyAlignment="1" applyBorder="1" applyFont="1">
      <alignment horizontal="center" readingOrder="0" vertical="top"/>
    </xf>
    <xf borderId="1404" fillId="12" fontId="158" numFmtId="0" xfId="0" applyAlignment="1" applyBorder="1" applyFont="1">
      <alignment horizontal="center" vertical="center"/>
    </xf>
    <xf borderId="2913" fillId="0" fontId="5" numFmtId="0" xfId="0" applyBorder="1" applyFont="1"/>
    <xf borderId="2936" fillId="12" fontId="160" numFmtId="0" xfId="0" applyAlignment="1" applyBorder="1" applyFont="1">
      <alignment horizontal="center" vertical="top"/>
    </xf>
    <xf borderId="2797" fillId="143" fontId="104" numFmtId="0" xfId="0" applyAlignment="1" applyBorder="1" applyFont="1">
      <alignment horizontal="right" vertical="center"/>
    </xf>
    <xf borderId="2937" fillId="150" fontId="154" numFmtId="0" xfId="0" applyAlignment="1" applyBorder="1" applyFill="1" applyFont="1">
      <alignment horizontal="center" vertical="center"/>
    </xf>
    <xf borderId="2938" fillId="150" fontId="104" numFmtId="0" xfId="0" applyAlignment="1" applyBorder="1" applyFont="1">
      <alignment horizontal="right" vertical="center"/>
    </xf>
    <xf borderId="2938" fillId="150" fontId="154" numFmtId="0" xfId="0" applyAlignment="1" applyBorder="1" applyFont="1">
      <alignment horizontal="center" vertical="center"/>
    </xf>
    <xf borderId="2938" fillId="150" fontId="183" numFmtId="0" xfId="0" applyAlignment="1" applyBorder="1" applyFont="1">
      <alignment horizontal="center" readingOrder="0" vertical="center"/>
    </xf>
    <xf borderId="2939" fillId="150" fontId="154" numFmtId="0" xfId="0" applyAlignment="1" applyBorder="1" applyFont="1">
      <alignment horizontal="center" vertical="center"/>
    </xf>
    <xf borderId="2940" fillId="150" fontId="154" numFmtId="0" xfId="0" applyAlignment="1" applyBorder="1" applyFont="1">
      <alignment horizontal="center" vertical="center"/>
    </xf>
    <xf borderId="2941" fillId="150" fontId="104" numFmtId="0" xfId="0" applyAlignment="1" applyBorder="1" applyFont="1">
      <alignment horizontal="right" vertical="center"/>
    </xf>
    <xf borderId="2941" fillId="150" fontId="154" numFmtId="0" xfId="0" applyAlignment="1" applyBorder="1" applyFont="1">
      <alignment horizontal="center" vertical="center"/>
    </xf>
    <xf borderId="2942" fillId="150" fontId="207" numFmtId="0" xfId="0" applyAlignment="1" applyBorder="1" applyFont="1">
      <alignment horizontal="left" readingOrder="0" vertical="center"/>
    </xf>
    <xf borderId="2943" fillId="0" fontId="5" numFmtId="0" xfId="0" applyBorder="1" applyFont="1"/>
    <xf borderId="2944" fillId="0" fontId="5" numFmtId="0" xfId="0" applyBorder="1" applyFont="1"/>
    <xf borderId="2945" fillId="150" fontId="154" numFmtId="0" xfId="0" applyAlignment="1" applyBorder="1" applyFont="1">
      <alignment horizontal="center" vertical="center"/>
    </xf>
    <xf borderId="2946" fillId="150" fontId="154" numFmtId="0" xfId="0" applyAlignment="1" applyBorder="1" applyFont="1">
      <alignment horizontal="center" vertical="center"/>
    </xf>
    <xf borderId="339" fillId="56" fontId="104" numFmtId="0" xfId="0" applyAlignment="1" applyBorder="1" applyFont="1">
      <alignment horizontal="center" vertical="center"/>
    </xf>
    <xf borderId="2947" fillId="150" fontId="156" numFmtId="0" xfId="0" applyAlignment="1" applyBorder="1" applyFont="1">
      <alignment horizontal="center" vertical="center"/>
    </xf>
    <xf borderId="1066" fillId="56" fontId="131" numFmtId="0" xfId="0" applyAlignment="1" applyBorder="1" applyFont="1">
      <alignment horizontal="center" vertical="center"/>
    </xf>
    <xf borderId="2943" fillId="150" fontId="154" numFmtId="0" xfId="0" applyAlignment="1" applyBorder="1" applyFont="1">
      <alignment horizontal="center" vertical="center"/>
    </xf>
    <xf borderId="2944" fillId="150" fontId="154" numFmtId="0" xfId="0" applyAlignment="1" applyBorder="1" applyFont="1">
      <alignment horizontal="center" vertical="center"/>
    </xf>
    <xf borderId="2948" fillId="150" fontId="154" numFmtId="0" xfId="0" applyAlignment="1" applyBorder="1" applyFont="1">
      <alignment horizontal="center" vertical="center"/>
    </xf>
    <xf borderId="2949" fillId="0" fontId="5" numFmtId="0" xfId="0" applyBorder="1" applyFont="1"/>
    <xf borderId="2950" fillId="0" fontId="5" numFmtId="0" xfId="0" applyBorder="1" applyFont="1"/>
    <xf borderId="2951" fillId="150" fontId="154" numFmtId="0" xfId="0" applyAlignment="1" applyBorder="1" applyFont="1">
      <alignment horizontal="center" vertical="center"/>
    </xf>
    <xf borderId="2946" fillId="150" fontId="132" numFmtId="0" xfId="0" applyAlignment="1" applyBorder="1" applyFont="1">
      <alignment horizontal="center" vertical="center"/>
    </xf>
    <xf borderId="885" fillId="150" fontId="104" numFmtId="0" xfId="0" applyAlignment="1" applyBorder="1" applyFont="1">
      <alignment horizontal="right" readingOrder="0" vertical="center"/>
    </xf>
    <xf borderId="2949" fillId="150" fontId="132" numFmtId="0" xfId="0" applyAlignment="1" applyBorder="1" applyFont="1">
      <alignment horizontal="center" readingOrder="0" vertical="center"/>
    </xf>
    <xf borderId="2952" fillId="150" fontId="130" numFmtId="0" xfId="0" applyAlignment="1" applyBorder="1" applyFont="1">
      <alignment horizontal="center" readingOrder="0" vertical="center"/>
    </xf>
    <xf borderId="2953" fillId="0" fontId="5" numFmtId="0" xfId="0" applyBorder="1" applyFont="1"/>
    <xf borderId="2954" fillId="0" fontId="5" numFmtId="0" xfId="0" applyBorder="1" applyFont="1"/>
    <xf borderId="2955" fillId="0" fontId="5" numFmtId="0" xfId="0" applyBorder="1" applyFont="1"/>
    <xf borderId="2948" fillId="150" fontId="132" numFmtId="0" xfId="0" applyAlignment="1" applyBorder="1" applyFont="1">
      <alignment horizontal="center" vertical="center"/>
    </xf>
    <xf borderId="2951" fillId="150" fontId="132" numFmtId="0" xfId="0" applyAlignment="1" applyBorder="1" applyFont="1">
      <alignment horizontal="center" vertical="center"/>
    </xf>
    <xf borderId="2946" fillId="150" fontId="158" numFmtId="0" xfId="0" applyAlignment="1" applyBorder="1" applyFont="1">
      <alignment horizontal="center" vertical="center"/>
    </xf>
    <xf borderId="2949" fillId="150" fontId="158" numFmtId="0" xfId="0" applyAlignment="1" applyBorder="1" applyFont="1">
      <alignment horizontal="center" readingOrder="0" vertical="center"/>
    </xf>
    <xf borderId="2956" fillId="150" fontId="146" numFmtId="0" xfId="0" applyAlignment="1" applyBorder="1" applyFont="1">
      <alignment horizontal="center" readingOrder="0" vertical="top"/>
    </xf>
    <xf borderId="2957" fillId="0" fontId="5" numFmtId="0" xfId="0" applyBorder="1" applyFont="1"/>
    <xf borderId="2958" fillId="0" fontId="5" numFmtId="0" xfId="0" applyBorder="1" applyFont="1"/>
    <xf borderId="2948" fillId="150" fontId="158" numFmtId="0" xfId="0" applyAlignment="1" applyBorder="1" applyFont="1">
      <alignment horizontal="center" vertical="center"/>
    </xf>
    <xf borderId="2951" fillId="150" fontId="158" numFmtId="0" xfId="0" applyAlignment="1" applyBorder="1" applyFont="1">
      <alignment horizontal="center" vertical="center"/>
    </xf>
    <xf borderId="2949" fillId="150" fontId="154" numFmtId="0" xfId="0" applyAlignment="1" applyBorder="1" applyFont="1">
      <alignment horizontal="center" vertical="center"/>
    </xf>
    <xf borderId="2959" fillId="150" fontId="132" numFmtId="0" xfId="0" applyAlignment="1" applyBorder="1" applyFont="1">
      <alignment horizontal="center" vertical="center"/>
    </xf>
    <xf borderId="2960" fillId="150" fontId="132" numFmtId="0" xfId="0" applyAlignment="1" applyBorder="1" applyFont="1">
      <alignment horizontal="center" vertical="top"/>
    </xf>
    <xf borderId="2961" fillId="0" fontId="5" numFmtId="0" xfId="0" applyBorder="1" applyFont="1"/>
    <xf borderId="2962" fillId="150" fontId="132" numFmtId="0" xfId="0" applyAlignment="1" applyBorder="1" applyFont="1">
      <alignment horizontal="center" vertical="top"/>
    </xf>
    <xf borderId="2963" fillId="150" fontId="132" numFmtId="0" xfId="0" applyAlignment="1" applyBorder="1" applyFont="1">
      <alignment horizontal="right" vertical="top"/>
    </xf>
    <xf borderId="2963" fillId="150" fontId="132" numFmtId="0" xfId="0" applyAlignment="1" applyBorder="1" applyFont="1">
      <alignment horizontal="left" vertical="top"/>
    </xf>
    <xf borderId="2964" fillId="150" fontId="104" numFmtId="0" xfId="0" applyAlignment="1" applyBorder="1" applyFont="1">
      <alignment horizontal="right" vertical="center"/>
    </xf>
    <xf borderId="2965" fillId="150" fontId="132" numFmtId="0" xfId="0" applyAlignment="1" applyBorder="1" applyFont="1">
      <alignment horizontal="center" vertical="center"/>
    </xf>
    <xf borderId="2966" fillId="150" fontId="132" numFmtId="0" xfId="0" applyAlignment="1" applyBorder="1" applyFont="1">
      <alignment horizontal="center" vertical="top"/>
    </xf>
    <xf borderId="2967" fillId="150" fontId="132" numFmtId="0" xfId="0" applyAlignment="1" applyBorder="1" applyFont="1">
      <alignment horizontal="center" vertical="top"/>
    </xf>
    <xf borderId="2968" fillId="150" fontId="154" numFmtId="0" xfId="0" applyAlignment="1" applyBorder="1" applyFont="1">
      <alignment horizontal="center" vertical="center"/>
    </xf>
    <xf borderId="2968" fillId="150" fontId="104" numFmtId="0" xfId="0" applyAlignment="1" applyBorder="1" applyFont="1">
      <alignment horizontal="right" vertical="center"/>
    </xf>
    <xf borderId="2969" fillId="150" fontId="132" numFmtId="0" xfId="0" applyAlignment="1" applyBorder="1" applyFont="1">
      <alignment horizontal="center" readingOrder="0" vertical="center"/>
    </xf>
    <xf borderId="2970" fillId="0" fontId="5" numFmtId="0" xfId="0" applyBorder="1" applyFont="1"/>
    <xf borderId="2971" fillId="0" fontId="5" numFmtId="0" xfId="0" applyBorder="1" applyFont="1"/>
    <xf borderId="2972" fillId="150" fontId="132" numFmtId="0" xfId="0" applyAlignment="1" applyBorder="1" applyFont="1">
      <alignment horizontal="center" readingOrder="0" vertical="center"/>
    </xf>
    <xf borderId="2973" fillId="0" fontId="5" numFmtId="0" xfId="0" applyBorder="1" applyFont="1"/>
    <xf borderId="2974" fillId="150" fontId="132" numFmtId="0" xfId="0" applyAlignment="1" applyBorder="1" applyFont="1">
      <alignment horizontal="center" readingOrder="0" vertical="center"/>
    </xf>
    <xf borderId="2975" fillId="150" fontId="132" numFmtId="0" xfId="0" applyAlignment="1" applyBorder="1" applyFont="1">
      <alignment horizontal="center" readingOrder="0" vertical="center"/>
    </xf>
    <xf borderId="2968" fillId="150" fontId="102" numFmtId="0" xfId="0" applyAlignment="1" applyBorder="1" applyFont="1">
      <alignment horizontal="right" vertical="center"/>
    </xf>
    <xf borderId="2948" fillId="150" fontId="154" numFmtId="0" xfId="0" applyAlignment="1" applyBorder="1" applyFont="1">
      <alignment horizontal="center" readingOrder="0" vertical="center"/>
    </xf>
    <xf borderId="2976" fillId="0" fontId="5" numFmtId="0" xfId="0" applyBorder="1" applyFont="1"/>
    <xf borderId="2977" fillId="150" fontId="132" numFmtId="0" xfId="0" applyAlignment="1" applyBorder="1" applyFont="1">
      <alignment horizontal="center" readingOrder="0" vertical="center"/>
    </xf>
    <xf borderId="2978" fillId="150" fontId="132" numFmtId="0" xfId="0" applyAlignment="1" applyBorder="1" applyFont="1">
      <alignment horizontal="center" readingOrder="0" vertical="center"/>
    </xf>
    <xf borderId="2979" fillId="150" fontId="132" numFmtId="0" xfId="0" applyAlignment="1" applyBorder="1" applyFont="1">
      <alignment horizontal="center" readingOrder="0" vertical="center"/>
    </xf>
    <xf borderId="2980" fillId="0" fontId="5" numFmtId="0" xfId="0" applyBorder="1" applyFont="1"/>
    <xf borderId="2981" fillId="0" fontId="5" numFmtId="0" xfId="0" applyBorder="1" applyFont="1"/>
    <xf borderId="2982" fillId="150" fontId="132" numFmtId="0" xfId="0" applyAlignment="1" applyBorder="1" applyFont="1">
      <alignment horizontal="center" readingOrder="0" vertical="center"/>
    </xf>
    <xf borderId="2983" fillId="0" fontId="5" numFmtId="0" xfId="0" applyBorder="1" applyFont="1"/>
    <xf borderId="2984" fillId="0" fontId="5" numFmtId="0" xfId="0" applyBorder="1" applyFont="1"/>
    <xf borderId="2940" fillId="150" fontId="153" numFmtId="0" xfId="0" applyAlignment="1" applyBorder="1" applyFont="1">
      <alignment horizontal="center" vertical="center"/>
    </xf>
    <xf borderId="2968" fillId="150" fontId="160" numFmtId="0" xfId="0" applyAlignment="1" applyBorder="1" applyFont="1">
      <alignment horizontal="center" vertical="center"/>
    </xf>
    <xf borderId="2985" fillId="150" fontId="160" numFmtId="0" xfId="0" applyAlignment="1" applyBorder="1" applyFont="1">
      <alignment horizontal="center" vertical="top"/>
    </xf>
    <xf borderId="2986" fillId="150" fontId="160" numFmtId="0" xfId="0" applyAlignment="1" applyBorder="1" applyFont="1">
      <alignment horizontal="center" vertical="top"/>
    </xf>
    <xf borderId="2987" fillId="150" fontId="160" numFmtId="0" xfId="0" applyAlignment="1" applyBorder="1" applyFont="1">
      <alignment horizontal="center" vertical="top"/>
    </xf>
    <xf borderId="2988" fillId="150" fontId="160" numFmtId="0" xfId="0" applyAlignment="1" applyBorder="1" applyFont="1">
      <alignment horizontal="center" vertical="top"/>
    </xf>
    <xf borderId="2968" fillId="150" fontId="161" numFmtId="0" xfId="0" applyAlignment="1" applyBorder="1" applyFont="1">
      <alignment horizontal="center" vertical="center"/>
    </xf>
    <xf borderId="2951" fillId="150" fontId="153" numFmtId="0" xfId="0" applyAlignment="1" applyBorder="1" applyFont="1">
      <alignment horizontal="center" vertical="center"/>
    </xf>
    <xf borderId="2940" fillId="150" fontId="162" numFmtId="0" xfId="0" applyAlignment="1" applyBorder="1" applyFont="1">
      <alignment horizontal="center" vertical="center"/>
    </xf>
    <xf borderId="2989" fillId="150" fontId="140" numFmtId="0" xfId="0" applyAlignment="1" applyBorder="1" applyFont="1">
      <alignment horizontal="center" vertical="center"/>
    </xf>
    <xf borderId="378" fillId="56" fontId="138" numFmtId="0" xfId="0" applyAlignment="1" applyBorder="1" applyFont="1">
      <alignment horizontal="center" readingOrder="0" vertical="top"/>
    </xf>
    <xf borderId="2948" fillId="150" fontId="140" numFmtId="0" xfId="0" applyAlignment="1" applyBorder="1" applyFont="1">
      <alignment horizontal="center" vertical="center"/>
    </xf>
    <xf borderId="2990" fillId="150" fontId="162" numFmtId="0" xfId="0" applyAlignment="1" applyBorder="1" applyFont="1">
      <alignment horizontal="center" vertical="center"/>
    </xf>
    <xf borderId="2968" fillId="150" fontId="162" numFmtId="0" xfId="0" applyAlignment="1" applyBorder="1" applyFont="1">
      <alignment horizontal="center" vertical="center"/>
    </xf>
    <xf borderId="2951" fillId="150" fontId="162" numFmtId="0" xfId="0" applyAlignment="1" applyBorder="1" applyFont="1">
      <alignment horizontal="center" vertical="center"/>
    </xf>
    <xf borderId="2991" fillId="56" fontId="138" numFmtId="0" xfId="0" applyAlignment="1" applyBorder="1" applyFont="1">
      <alignment horizontal="center" readingOrder="0" vertical="center"/>
    </xf>
    <xf borderId="2992" fillId="56" fontId="138" numFmtId="0" xfId="0" applyAlignment="1" applyBorder="1" applyFont="1">
      <alignment horizontal="center" readingOrder="0" vertical="center"/>
    </xf>
    <xf borderId="2993" fillId="56" fontId="138" numFmtId="0" xfId="0" applyAlignment="1" applyBorder="1" applyFont="1">
      <alignment horizontal="left" readingOrder="0" vertical="center"/>
    </xf>
    <xf borderId="2994" fillId="0" fontId="5" numFmtId="0" xfId="0" applyBorder="1" applyFont="1"/>
    <xf borderId="2995" fillId="150" fontId="162" numFmtId="0" xfId="0" applyAlignment="1" applyBorder="1" applyFont="1">
      <alignment horizontal="center" vertical="center"/>
    </xf>
    <xf borderId="2996" fillId="56" fontId="138" numFmtId="0" xfId="0" applyAlignment="1" applyBorder="1" applyFont="1">
      <alignment horizontal="center" readingOrder="0" vertical="center"/>
    </xf>
    <xf borderId="2997" fillId="56" fontId="138" numFmtId="0" xfId="0" applyAlignment="1" applyBorder="1" applyFont="1">
      <alignment horizontal="center" readingOrder="0" vertical="center"/>
    </xf>
    <xf borderId="2998" fillId="56" fontId="138" numFmtId="0" xfId="0" applyAlignment="1" applyBorder="1" applyFont="1">
      <alignment horizontal="left" readingOrder="0" vertical="center"/>
    </xf>
    <xf borderId="2999" fillId="0" fontId="5" numFmtId="0" xfId="0" applyBorder="1" applyFont="1"/>
    <xf borderId="3000" fillId="56" fontId="138" numFmtId="0" xfId="0" applyAlignment="1" applyBorder="1" applyFont="1">
      <alignment horizontal="center" readingOrder="0" vertical="center"/>
    </xf>
    <xf borderId="3001" fillId="56" fontId="138" numFmtId="0" xfId="0" applyAlignment="1" applyBorder="1" applyFont="1">
      <alignment horizontal="center" readingOrder="0" vertical="center"/>
    </xf>
    <xf borderId="3002" fillId="56" fontId="138" numFmtId="0" xfId="0" applyAlignment="1" applyBorder="1" applyFont="1">
      <alignment horizontal="left" readingOrder="0" vertical="center"/>
    </xf>
    <xf borderId="3003" fillId="0" fontId="5" numFmtId="0" xfId="0" applyBorder="1" applyFont="1"/>
    <xf borderId="395" fillId="56" fontId="138" numFmtId="0" xfId="0" applyAlignment="1" applyBorder="1" applyFont="1">
      <alignment horizontal="right" readingOrder="0" vertical="center"/>
    </xf>
    <xf borderId="3004" fillId="150" fontId="162" numFmtId="0" xfId="0" applyAlignment="1" applyBorder="1" applyFont="1">
      <alignment horizontal="center" vertical="center"/>
    </xf>
    <xf borderId="3005" fillId="150" fontId="102" numFmtId="0" xfId="0" applyAlignment="1" applyBorder="1" applyFont="1">
      <alignment horizontal="right" vertical="center"/>
    </xf>
    <xf borderId="3005" fillId="150" fontId="140" numFmtId="0" xfId="0" applyAlignment="1" applyBorder="1" applyFont="1">
      <alignment horizontal="center" vertical="center"/>
    </xf>
    <xf borderId="3006" fillId="150" fontId="102" numFmtId="0" xfId="0" applyAlignment="1" applyBorder="1" applyFont="1">
      <alignment horizontal="right" vertical="center"/>
    </xf>
    <xf borderId="3006" fillId="150" fontId="140" numFmtId="0" xfId="0" applyAlignment="1" applyBorder="1" applyFont="1">
      <alignment horizontal="center" vertical="center"/>
    </xf>
    <xf borderId="3006" fillId="150" fontId="162" numFmtId="0" xfId="0" applyAlignment="1" applyBorder="1" applyFont="1">
      <alignment horizontal="center" vertical="center"/>
    </xf>
    <xf borderId="3007" fillId="150" fontId="140" numFmtId="0" xfId="0" applyAlignment="1" applyBorder="1" applyFont="1">
      <alignment horizontal="center" vertical="center"/>
    </xf>
    <xf borderId="3007" fillId="150" fontId="162" numFmtId="0" xfId="0" applyAlignment="1" applyBorder="1" applyFont="1">
      <alignment horizontal="center" vertical="center"/>
    </xf>
    <xf borderId="3005" fillId="150" fontId="162" numFmtId="0" xfId="0" applyAlignment="1" applyBorder="1" applyFont="1">
      <alignment horizontal="center" vertical="center"/>
    </xf>
    <xf borderId="3008" fillId="150" fontId="162" numFmtId="0" xfId="0" applyAlignment="1" applyBorder="1" applyFont="1">
      <alignment horizontal="center" vertical="center"/>
    </xf>
    <xf borderId="3009" fillId="17" fontId="138" numFmtId="0" xfId="0" applyAlignment="1" applyBorder="1" applyFont="1">
      <alignment horizontal="left" readingOrder="0" vertical="center"/>
    </xf>
    <xf borderId="3010" fillId="0" fontId="5" numFmtId="0" xfId="0" applyBorder="1" applyFont="1"/>
    <xf borderId="1944" fillId="122" fontId="102" numFmtId="0" xfId="0" applyAlignment="1" applyBorder="1" applyFont="1">
      <alignment horizontal="right" vertical="center"/>
    </xf>
    <xf borderId="1944" fillId="122" fontId="140" numFmtId="0" xfId="0" applyAlignment="1" applyBorder="1" applyFont="1">
      <alignment horizontal="center" vertical="center"/>
    </xf>
    <xf borderId="1936" fillId="122" fontId="102" numFmtId="0" xfId="0" applyAlignment="1" applyBorder="1" applyFont="1">
      <alignment horizontal="right" vertical="center"/>
    </xf>
    <xf borderId="1944" fillId="122" fontId="139" numFmtId="0" xfId="0" applyAlignment="1" applyBorder="1" applyFont="1">
      <alignment horizontal="center" vertical="center"/>
    </xf>
    <xf borderId="3011" fillId="120" fontId="154" numFmtId="0" xfId="0" applyAlignment="1" applyBorder="1" applyFont="1">
      <alignment horizontal="center" vertical="center"/>
    </xf>
    <xf borderId="3012" fillId="120" fontId="102" numFmtId="0" xfId="0" applyAlignment="1" applyBorder="1" applyFont="1">
      <alignment horizontal="right" readingOrder="0" vertical="center"/>
    </xf>
    <xf borderId="1898" fillId="120" fontId="33" numFmtId="0" xfId="0" applyAlignment="1" applyBorder="1" applyFont="1">
      <alignment horizontal="center" readingOrder="0" vertical="center"/>
    </xf>
    <xf borderId="1889" fillId="120" fontId="33" numFmtId="0" xfId="0" applyAlignment="1" applyBorder="1" applyFont="1">
      <alignment horizontal="center" readingOrder="0" vertical="center"/>
    </xf>
    <xf borderId="3013" fillId="120" fontId="154" numFmtId="0" xfId="0" applyAlignment="1" applyBorder="1" applyFont="1">
      <alignment horizontal="center" vertical="center"/>
    </xf>
    <xf borderId="3014" fillId="120" fontId="154" numFmtId="0" xfId="0" applyAlignment="1" applyBorder="1" applyFont="1">
      <alignment horizontal="center"/>
    </xf>
    <xf borderId="339" fillId="57" fontId="104" numFmtId="0" xfId="0" applyAlignment="1" applyBorder="1" applyFont="1">
      <alignment horizontal="center" vertical="center"/>
    </xf>
    <xf borderId="3015" fillId="120" fontId="154" numFmtId="0" xfId="0" applyAlignment="1" applyBorder="1" applyFont="1">
      <alignment horizontal="center"/>
    </xf>
    <xf borderId="378" fillId="57" fontId="131" numFmtId="0" xfId="0" applyAlignment="1" applyBorder="1" applyFont="1">
      <alignment horizontal="center" vertical="center"/>
    </xf>
    <xf borderId="1881" fillId="120" fontId="154" numFmtId="0" xfId="0" applyAlignment="1" applyBorder="1" applyFont="1">
      <alignment horizontal="center"/>
    </xf>
    <xf borderId="1907" fillId="120" fontId="154" numFmtId="0" xfId="0" applyAlignment="1" applyBorder="1" applyFont="1">
      <alignment horizontal="center"/>
    </xf>
    <xf borderId="3014" fillId="120" fontId="132" numFmtId="0" xfId="0" applyAlignment="1" applyBorder="1" applyFont="1">
      <alignment horizontal="center"/>
    </xf>
    <xf borderId="3015" fillId="120" fontId="132" numFmtId="0" xfId="0" applyAlignment="1" applyBorder="1" applyFont="1">
      <alignment horizontal="center"/>
    </xf>
    <xf borderId="3016" fillId="120" fontId="130" numFmtId="0" xfId="0" applyAlignment="1" applyBorder="1" applyFont="1">
      <alignment horizontal="center" readingOrder="0" vertical="center"/>
    </xf>
    <xf borderId="3017" fillId="0" fontId="5" numFmtId="0" xfId="0" applyBorder="1" applyFont="1"/>
    <xf borderId="1907" fillId="120" fontId="132" numFmtId="0" xfId="0" applyAlignment="1" applyBorder="1" applyFont="1">
      <alignment horizontal="center"/>
    </xf>
    <xf borderId="3014" fillId="120" fontId="158" numFmtId="0" xfId="0" applyAlignment="1" applyBorder="1" applyFont="1">
      <alignment horizontal="center"/>
    </xf>
    <xf borderId="3015" fillId="120" fontId="158" numFmtId="0" xfId="0" applyAlignment="1" applyBorder="1" applyFont="1">
      <alignment horizontal="center"/>
    </xf>
    <xf borderId="3018" fillId="120" fontId="146" numFmtId="0" xfId="0" applyAlignment="1" applyBorder="1" applyFont="1">
      <alignment horizontal="center" readingOrder="0" vertical="top"/>
    </xf>
    <xf borderId="3019" fillId="0" fontId="5" numFmtId="0" xfId="0" applyBorder="1" applyFont="1"/>
    <xf borderId="1907" fillId="120" fontId="158" numFmtId="0" xfId="0" applyAlignment="1" applyBorder="1" applyFont="1">
      <alignment horizontal="center"/>
    </xf>
    <xf borderId="3020" fillId="120" fontId="132" numFmtId="0" xfId="0" applyAlignment="1" applyBorder="1" applyFont="1">
      <alignment horizontal="center" vertical="center"/>
    </xf>
    <xf borderId="3021" fillId="120" fontId="132" numFmtId="0" xfId="0" applyAlignment="1" applyBorder="1" applyFont="1">
      <alignment horizontal="center" vertical="top"/>
    </xf>
    <xf borderId="3022" fillId="120" fontId="154" numFmtId="0" xfId="0" applyAlignment="1" applyBorder="1" applyFont="1">
      <alignment horizontal="center"/>
    </xf>
    <xf borderId="3023" fillId="120" fontId="104" numFmtId="0" xfId="0" applyAlignment="1" applyBorder="1" applyFont="1">
      <alignment horizontal="right" vertical="center"/>
    </xf>
    <xf borderId="3024" fillId="120" fontId="132" numFmtId="0" xfId="0" applyAlignment="1" applyBorder="1" applyFont="1">
      <alignment horizontal="center" vertical="center"/>
    </xf>
    <xf borderId="1901" fillId="120" fontId="132" numFmtId="0" xfId="0" applyAlignment="1" applyBorder="1" applyFont="1">
      <alignment horizontal="center" vertical="top"/>
    </xf>
    <xf borderId="3025" fillId="120" fontId="132" numFmtId="0" xfId="0" applyAlignment="1" applyBorder="1" applyFont="1">
      <alignment horizontal="center" vertical="top"/>
    </xf>
    <xf borderId="3012" fillId="120" fontId="160" numFmtId="0" xfId="0" applyAlignment="1" applyBorder="1" applyFont="1">
      <alignment horizontal="center" vertical="top"/>
    </xf>
    <xf borderId="378" fillId="57" fontId="138" numFmtId="0" xfId="0" applyAlignment="1" applyBorder="1" applyFont="1">
      <alignment horizontal="center" readingOrder="0" vertical="top"/>
    </xf>
    <xf borderId="1907" fillId="120" fontId="162" numFmtId="0" xfId="0" applyAlignment="1" applyBorder="1" applyFont="1">
      <alignment horizontal="center" vertical="center"/>
    </xf>
    <xf borderId="3026" fillId="120" fontId="140" numFmtId="0" xfId="0" applyAlignment="1" applyBorder="1" applyFont="1">
      <alignment horizontal="center" vertical="center"/>
    </xf>
    <xf borderId="3027" fillId="57" fontId="138" numFmtId="0" xfId="0" applyAlignment="1" applyBorder="1" applyFont="1">
      <alignment horizontal="center" readingOrder="0" vertical="center"/>
    </xf>
    <xf borderId="3028" fillId="57" fontId="138" numFmtId="0" xfId="0" applyAlignment="1" applyBorder="1" applyFont="1">
      <alignment horizontal="center" readingOrder="0" vertical="center"/>
    </xf>
    <xf borderId="3029" fillId="57" fontId="138" numFmtId="0" xfId="0" applyAlignment="1" applyBorder="1" applyFont="1">
      <alignment horizontal="left" readingOrder="0" vertical="center"/>
    </xf>
    <xf borderId="3030" fillId="0" fontId="5" numFmtId="0" xfId="0" applyBorder="1" applyFont="1"/>
    <xf borderId="3031" fillId="57" fontId="138" numFmtId="0" xfId="0" applyAlignment="1" applyBorder="1" applyFont="1">
      <alignment horizontal="center" readingOrder="0" vertical="center"/>
    </xf>
    <xf borderId="3032" fillId="57" fontId="138" numFmtId="0" xfId="0" applyAlignment="1" applyBorder="1" applyFont="1">
      <alignment horizontal="center" readingOrder="0" vertical="center"/>
    </xf>
    <xf borderId="3033" fillId="57" fontId="138" numFmtId="0" xfId="0" applyAlignment="1" applyBorder="1" applyFont="1">
      <alignment horizontal="left" readingOrder="0" vertical="center"/>
    </xf>
    <xf borderId="3034" fillId="0" fontId="5" numFmtId="0" xfId="0" applyBorder="1" applyFont="1"/>
    <xf borderId="3035" fillId="120" fontId="102" numFmtId="0" xfId="0" applyAlignment="1" applyBorder="1" applyFont="1">
      <alignment horizontal="right" vertical="center"/>
    </xf>
    <xf borderId="3014" fillId="120" fontId="162" numFmtId="0" xfId="0" applyAlignment="1" applyBorder="1" applyFont="1">
      <alignment horizontal="center" vertical="center"/>
    </xf>
    <xf borderId="3036" fillId="120" fontId="140" numFmtId="0" xfId="0" applyAlignment="1" applyBorder="1" applyFont="1">
      <alignment horizontal="center" vertical="center"/>
    </xf>
    <xf borderId="3037" fillId="57" fontId="138" numFmtId="0" xfId="0" applyAlignment="1" applyBorder="1" applyFont="1">
      <alignment horizontal="center" readingOrder="0" vertical="center"/>
    </xf>
    <xf borderId="3038" fillId="57" fontId="138" numFmtId="0" xfId="0" applyAlignment="1" applyBorder="1" applyFont="1">
      <alignment horizontal="center" readingOrder="0" vertical="center"/>
    </xf>
    <xf borderId="3039" fillId="57" fontId="138" numFmtId="0" xfId="0" applyAlignment="1" applyBorder="1" applyFont="1">
      <alignment horizontal="left" readingOrder="0" vertical="center"/>
    </xf>
    <xf borderId="3040" fillId="0" fontId="5" numFmtId="0" xfId="0" applyBorder="1" applyFont="1"/>
    <xf borderId="3015" fillId="120" fontId="140" numFmtId="0" xfId="0" applyAlignment="1" applyBorder="1" applyFont="1">
      <alignment horizontal="center" vertical="center"/>
    </xf>
    <xf borderId="395" fillId="57" fontId="138" numFmtId="0" xfId="0" applyAlignment="1" applyBorder="1" applyFont="1">
      <alignment horizontal="right" readingOrder="0" vertical="center"/>
    </xf>
    <xf borderId="3022" fillId="120" fontId="162" numFmtId="0" xfId="0" applyAlignment="1" applyBorder="1" applyFont="1">
      <alignment horizontal="center" vertical="center"/>
    </xf>
    <xf borderId="3041" fillId="151" fontId="154" numFmtId="0" xfId="0" applyAlignment="1" applyBorder="1" applyFill="1" applyFont="1">
      <alignment horizontal="center" vertical="center"/>
    </xf>
    <xf borderId="3042" fillId="151" fontId="102" numFmtId="0" xfId="0" applyAlignment="1" applyBorder="1" applyFont="1">
      <alignment horizontal="right" readingOrder="0" vertical="center"/>
    </xf>
    <xf borderId="3043" fillId="151" fontId="33" numFmtId="0" xfId="0" applyAlignment="1" applyBorder="1" applyFont="1">
      <alignment horizontal="center" readingOrder="0" vertical="center"/>
    </xf>
    <xf borderId="3044" fillId="151" fontId="33" numFmtId="0" xfId="0" applyAlignment="1" applyBorder="1" applyFont="1">
      <alignment horizontal="center" readingOrder="0" vertical="center"/>
    </xf>
    <xf borderId="3045" fillId="151" fontId="154" numFmtId="0" xfId="0" applyAlignment="1" applyBorder="1" applyFont="1">
      <alignment horizontal="center" vertical="center"/>
    </xf>
    <xf borderId="3046" fillId="151" fontId="154" numFmtId="0" xfId="0" applyAlignment="1" applyBorder="1" applyFont="1">
      <alignment horizontal="center"/>
    </xf>
    <xf borderId="339" fillId="10" fontId="104" numFmtId="0" xfId="0" applyAlignment="1" applyBorder="1" applyFont="1">
      <alignment horizontal="center" vertical="center"/>
    </xf>
    <xf borderId="3047" fillId="151" fontId="154" numFmtId="0" xfId="0" applyAlignment="1" applyBorder="1" applyFont="1">
      <alignment horizontal="center"/>
    </xf>
    <xf borderId="378" fillId="10" fontId="131" numFmtId="0" xfId="0" applyAlignment="1" applyBorder="1" applyFont="1">
      <alignment horizontal="center" vertical="center"/>
    </xf>
    <xf borderId="3048" fillId="151" fontId="154" numFmtId="0" xfId="0" applyAlignment="1" applyBorder="1" applyFont="1">
      <alignment horizontal="center"/>
    </xf>
    <xf borderId="3046" fillId="151" fontId="132" numFmtId="0" xfId="0" applyAlignment="1" applyBorder="1" applyFont="1">
      <alignment horizontal="center"/>
    </xf>
    <xf borderId="885" fillId="151" fontId="104" numFmtId="0" xfId="0" applyAlignment="1" applyBorder="1" applyFont="1">
      <alignment horizontal="right" readingOrder="0" vertical="center"/>
    </xf>
    <xf borderId="3047" fillId="151" fontId="132" numFmtId="0" xfId="0" applyAlignment="1" applyBorder="1" applyFont="1">
      <alignment horizontal="center"/>
    </xf>
    <xf borderId="3049" fillId="151" fontId="130" numFmtId="0" xfId="0" applyAlignment="1" applyBorder="1" applyFont="1">
      <alignment horizontal="center" readingOrder="0" vertical="center"/>
    </xf>
    <xf borderId="3050" fillId="0" fontId="5" numFmtId="0" xfId="0" applyBorder="1" applyFont="1"/>
    <xf borderId="3051" fillId="0" fontId="5" numFmtId="0" xfId="0" applyBorder="1" applyFont="1"/>
    <xf borderId="3048" fillId="151" fontId="132" numFmtId="0" xfId="0" applyAlignment="1" applyBorder="1" applyFont="1">
      <alignment horizontal="center"/>
    </xf>
    <xf borderId="3046" fillId="151" fontId="158" numFmtId="0" xfId="0" applyAlignment="1" applyBorder="1" applyFont="1">
      <alignment horizontal="center"/>
    </xf>
    <xf borderId="3047" fillId="151" fontId="158" numFmtId="0" xfId="0" applyAlignment="1" applyBorder="1" applyFont="1">
      <alignment horizontal="center"/>
    </xf>
    <xf borderId="3052" fillId="151" fontId="146" numFmtId="0" xfId="0" applyAlignment="1" applyBorder="1" applyFont="1">
      <alignment horizontal="center" readingOrder="0" vertical="top"/>
    </xf>
    <xf borderId="3053" fillId="0" fontId="5" numFmtId="0" xfId="0" applyBorder="1" applyFont="1"/>
    <xf borderId="3054" fillId="0" fontId="5" numFmtId="0" xfId="0" applyBorder="1" applyFont="1"/>
    <xf borderId="3048" fillId="151" fontId="158" numFmtId="0" xfId="0" applyAlignment="1" applyBorder="1" applyFont="1">
      <alignment horizontal="center"/>
    </xf>
    <xf borderId="3055" fillId="151" fontId="132" numFmtId="0" xfId="0" applyAlignment="1" applyBorder="1" applyFont="1">
      <alignment horizontal="center" vertical="center"/>
    </xf>
    <xf borderId="3056" fillId="151" fontId="132" numFmtId="0" xfId="0" applyAlignment="1" applyBorder="1" applyFont="1">
      <alignment horizontal="right" vertical="top"/>
    </xf>
    <xf borderId="3056" fillId="151" fontId="132" numFmtId="0" xfId="0" applyAlignment="1" applyBorder="1" applyFont="1">
      <alignment horizontal="left" vertical="top"/>
    </xf>
    <xf borderId="3057" fillId="151" fontId="132" numFmtId="0" xfId="0" applyAlignment="1" applyBorder="1" applyFont="1">
      <alignment horizontal="center" vertical="top"/>
    </xf>
    <xf borderId="3058" fillId="151" fontId="132" numFmtId="0" xfId="0" applyAlignment="1" applyBorder="1" applyFont="1">
      <alignment horizontal="center" vertical="top"/>
    </xf>
    <xf borderId="3059" fillId="0" fontId="5" numFmtId="0" xfId="0" applyBorder="1" applyFont="1"/>
    <xf borderId="3060" fillId="151" fontId="154" numFmtId="0" xfId="0" applyAlignment="1" applyBorder="1" applyFont="1">
      <alignment horizontal="center"/>
    </xf>
    <xf borderId="3061" fillId="151" fontId="154" numFmtId="0" xfId="0" applyAlignment="1" applyBorder="1" applyFont="1">
      <alignment horizontal="center"/>
    </xf>
    <xf borderId="3062" fillId="151" fontId="104" numFmtId="0" xfId="0" applyAlignment="1" applyBorder="1" applyFont="1">
      <alignment horizontal="right" vertical="center"/>
    </xf>
    <xf borderId="3063" fillId="151" fontId="154" numFmtId="0" xfId="0" applyAlignment="1" applyBorder="1" applyFont="1">
      <alignment horizontal="center"/>
    </xf>
    <xf borderId="3064" fillId="151" fontId="132" numFmtId="0" xfId="0" applyAlignment="1" applyBorder="1" applyFont="1">
      <alignment horizontal="center" vertical="center"/>
    </xf>
    <xf borderId="3065" fillId="151" fontId="132" numFmtId="0" xfId="0" applyAlignment="1" applyBorder="1" applyFont="1">
      <alignment horizontal="center" vertical="top"/>
    </xf>
    <xf borderId="3066" fillId="151" fontId="132" numFmtId="0" xfId="0" applyAlignment="1" applyBorder="1" applyFont="1">
      <alignment horizontal="center" vertical="top"/>
    </xf>
    <xf borderId="3067" fillId="151" fontId="104" numFmtId="0" xfId="0" applyAlignment="1" applyBorder="1" applyFont="1">
      <alignment horizontal="right" vertical="center"/>
    </xf>
    <xf borderId="3068" fillId="151" fontId="132" numFmtId="0" xfId="0" applyAlignment="1" applyBorder="1" applyFont="1">
      <alignment horizontal="center" readingOrder="0" vertical="center"/>
    </xf>
    <xf borderId="3069" fillId="0" fontId="5" numFmtId="0" xfId="0" applyBorder="1" applyFont="1"/>
    <xf borderId="3070" fillId="0" fontId="5" numFmtId="0" xfId="0" applyBorder="1" applyFont="1"/>
    <xf borderId="3071" fillId="151" fontId="104" numFmtId="0" xfId="0" applyAlignment="1" applyBorder="1" applyFont="1">
      <alignment horizontal="right"/>
    </xf>
    <xf borderId="3072" fillId="151" fontId="132" numFmtId="0" xfId="0" applyAlignment="1" applyBorder="1" applyFont="1">
      <alignment horizontal="center" readingOrder="0" vertical="center"/>
    </xf>
    <xf borderId="3073" fillId="0" fontId="5" numFmtId="0" xfId="0" applyBorder="1" applyFont="1"/>
    <xf borderId="3048" fillId="0" fontId="5" numFmtId="0" xfId="0" applyBorder="1" applyFont="1"/>
    <xf borderId="3072" fillId="151" fontId="131" numFmtId="0" xfId="0" applyAlignment="1" applyBorder="1" applyFont="1">
      <alignment horizontal="center" readingOrder="0" vertical="center"/>
    </xf>
    <xf borderId="3044" fillId="0" fontId="5" numFmtId="0" xfId="0" applyBorder="1" applyFont="1"/>
    <xf borderId="3074" fillId="151" fontId="132" numFmtId="0" xfId="0" applyAlignment="1" applyBorder="1" applyFont="1">
      <alignment horizontal="center" readingOrder="0" vertical="center"/>
    </xf>
    <xf borderId="3075" fillId="0" fontId="5" numFmtId="0" xfId="0" applyBorder="1" applyFont="1"/>
    <xf borderId="3076" fillId="0" fontId="5" numFmtId="0" xfId="0" applyBorder="1" applyFont="1"/>
    <xf borderId="3077" fillId="151" fontId="132" numFmtId="0" xfId="0" applyAlignment="1" applyBorder="1" applyFont="1">
      <alignment horizontal="center" vertical="center"/>
    </xf>
    <xf borderId="3043" fillId="0" fontId="5" numFmtId="0" xfId="0" applyBorder="1" applyFont="1"/>
    <xf borderId="3078" fillId="0" fontId="5" numFmtId="0" xfId="0" applyBorder="1" applyFont="1"/>
    <xf borderId="3079" fillId="151" fontId="132" numFmtId="0" xfId="0" applyAlignment="1" applyBorder="1" applyFont="1">
      <alignment horizontal="center" vertical="center"/>
    </xf>
    <xf borderId="3080" fillId="0" fontId="5" numFmtId="0" xfId="0" applyBorder="1" applyFont="1"/>
    <xf borderId="3081" fillId="151" fontId="132" numFmtId="0" xfId="0" applyAlignment="1" applyBorder="1" applyFont="1">
      <alignment horizontal="center" vertical="center"/>
    </xf>
    <xf borderId="3082" fillId="151" fontId="132" numFmtId="0" xfId="0" applyAlignment="1" applyBorder="1" applyFont="1">
      <alignment horizontal="center" readingOrder="0" vertical="center"/>
    </xf>
    <xf borderId="3083" fillId="0" fontId="5" numFmtId="0" xfId="0" applyBorder="1" applyFont="1"/>
    <xf borderId="3084" fillId="0" fontId="5" numFmtId="0" xfId="0" applyBorder="1" applyFont="1"/>
    <xf borderId="3085" fillId="151" fontId="132" numFmtId="0" xfId="0" applyAlignment="1" applyBorder="1" applyFont="1">
      <alignment horizontal="center" vertical="center"/>
    </xf>
    <xf borderId="3061" fillId="151" fontId="153" numFmtId="0" xfId="0" applyAlignment="1" applyBorder="1" applyFont="1">
      <alignment horizontal="center" vertical="center"/>
    </xf>
    <xf borderId="3067" fillId="151" fontId="102" numFmtId="0" xfId="0" applyAlignment="1" applyBorder="1" applyFont="1">
      <alignment horizontal="right" vertical="center"/>
    </xf>
    <xf borderId="3067" fillId="151" fontId="160" numFmtId="0" xfId="0" applyAlignment="1" applyBorder="1" applyFont="1">
      <alignment horizontal="center" vertical="center"/>
    </xf>
    <xf borderId="3044" fillId="151" fontId="160" numFmtId="0" xfId="0" applyAlignment="1" applyBorder="1" applyFont="1">
      <alignment horizontal="center" vertical="top"/>
    </xf>
    <xf borderId="3042" fillId="151" fontId="160" numFmtId="0" xfId="0" applyAlignment="1" applyBorder="1" applyFont="1">
      <alignment horizontal="center" vertical="top"/>
    </xf>
    <xf borderId="3081" fillId="151" fontId="153" numFmtId="0" xfId="0" applyAlignment="1" applyBorder="1" applyFont="1">
      <alignment horizontal="center" vertical="center"/>
    </xf>
    <xf borderId="3061" fillId="151" fontId="162" numFmtId="0" xfId="0" applyAlignment="1" applyBorder="1" applyFont="1">
      <alignment horizontal="center" vertical="center"/>
    </xf>
    <xf borderId="3063" fillId="151" fontId="140" numFmtId="0" xfId="0" applyAlignment="1" applyBorder="1" applyFont="1">
      <alignment horizontal="center" vertical="center"/>
    </xf>
    <xf borderId="378" fillId="10" fontId="138" numFmtId="0" xfId="0" applyAlignment="1" applyBorder="1" applyFont="1">
      <alignment horizontal="center" readingOrder="0" vertical="top"/>
    </xf>
    <xf borderId="3048" fillId="151" fontId="162" numFmtId="0" xfId="0" applyAlignment="1" applyBorder="1" applyFont="1">
      <alignment horizontal="center" vertical="center"/>
    </xf>
    <xf borderId="3086" fillId="151" fontId="140" numFmtId="0" xfId="0" applyAlignment="1" applyBorder="1" applyFont="1">
      <alignment horizontal="center" vertical="center"/>
    </xf>
    <xf borderId="3087" fillId="10" fontId="138" numFmtId="0" xfId="0" applyAlignment="1" applyBorder="1" applyFont="1">
      <alignment horizontal="center" readingOrder="0" vertical="center"/>
    </xf>
    <xf borderId="3088" fillId="10" fontId="138" numFmtId="0" xfId="0" applyAlignment="1" applyBorder="1" applyFont="1">
      <alignment horizontal="center" readingOrder="0" vertical="center"/>
    </xf>
    <xf borderId="3089" fillId="10" fontId="138" numFmtId="0" xfId="0" applyAlignment="1" applyBorder="1" applyFont="1">
      <alignment horizontal="left" readingOrder="0" vertical="center"/>
    </xf>
    <xf borderId="3090" fillId="0" fontId="5" numFmtId="0" xfId="0" applyBorder="1" applyFont="1"/>
    <xf borderId="3091" fillId="10" fontId="138" numFmtId="0" xfId="0" applyAlignment="1" applyBorder="1" applyFont="1">
      <alignment horizontal="center" readingOrder="0" vertical="center"/>
    </xf>
    <xf borderId="3092" fillId="10" fontId="138" numFmtId="0" xfId="0" applyAlignment="1" applyBorder="1" applyFont="1">
      <alignment horizontal="center" readingOrder="0" vertical="center"/>
    </xf>
    <xf borderId="3093" fillId="10" fontId="138" numFmtId="0" xfId="0" applyAlignment="1" applyBorder="1" applyFont="1">
      <alignment horizontal="left" readingOrder="0" vertical="center"/>
    </xf>
    <xf borderId="3094" fillId="0" fontId="5" numFmtId="0" xfId="0" applyBorder="1" applyFont="1"/>
    <xf borderId="3095" fillId="151" fontId="102" numFmtId="0" xfId="0" applyAlignment="1" applyBorder="1" applyFont="1">
      <alignment horizontal="right" vertical="center"/>
    </xf>
    <xf borderId="3046" fillId="151" fontId="162" numFmtId="0" xfId="0" applyAlignment="1" applyBorder="1" applyFont="1">
      <alignment horizontal="center" vertical="center"/>
    </xf>
    <xf borderId="3096" fillId="151" fontId="140" numFmtId="0" xfId="0" applyAlignment="1" applyBorder="1" applyFont="1">
      <alignment horizontal="center" vertical="center"/>
    </xf>
    <xf borderId="3097" fillId="10" fontId="138" numFmtId="0" xfId="0" applyAlignment="1" applyBorder="1" applyFont="1">
      <alignment horizontal="center" readingOrder="0" vertical="center"/>
    </xf>
    <xf borderId="3098" fillId="10" fontId="138" numFmtId="0" xfId="0" applyAlignment="1" applyBorder="1" applyFont="1">
      <alignment horizontal="center" readingOrder="0" vertical="center"/>
    </xf>
    <xf borderId="3099" fillId="10" fontId="138" numFmtId="0" xfId="0" applyAlignment="1" applyBorder="1" applyFont="1">
      <alignment horizontal="left" readingOrder="0" vertical="center"/>
    </xf>
    <xf borderId="3100" fillId="0" fontId="5" numFmtId="0" xfId="0" applyBorder="1" applyFont="1"/>
    <xf borderId="3101" fillId="10" fontId="138" numFmtId="0" xfId="0" applyAlignment="1" applyBorder="1" applyFont="1">
      <alignment horizontal="left" readingOrder="0" vertical="center"/>
    </xf>
    <xf borderId="3102" fillId="0" fontId="5" numFmtId="0" xfId="0" applyBorder="1" applyFont="1"/>
    <xf borderId="3047" fillId="151" fontId="140" numFmtId="0" xfId="0" applyAlignment="1" applyBorder="1" applyFont="1">
      <alignment horizontal="center" vertical="center"/>
    </xf>
    <xf borderId="395" fillId="10" fontId="138" numFmtId="0" xfId="0" applyAlignment="1" applyBorder="1" applyFont="1">
      <alignment horizontal="right" readingOrder="0" vertical="center"/>
    </xf>
    <xf borderId="400" fillId="10" fontId="138" numFmtId="0" xfId="0" applyAlignment="1" applyBorder="1" applyFont="1">
      <alignment horizontal="right" readingOrder="0" vertical="center"/>
    </xf>
    <xf borderId="3060" fillId="151" fontId="162" numFmtId="0" xfId="0" applyAlignment="1" applyBorder="1" applyFont="1">
      <alignment horizontal="center" vertical="center"/>
    </xf>
    <xf borderId="3103" fillId="151" fontId="102" numFmtId="0" xfId="0" applyAlignment="1" applyBorder="1" applyFont="1">
      <alignment horizontal="right" vertical="center"/>
    </xf>
    <xf borderId="3067" fillId="151" fontId="140" numFmtId="0" xfId="0" applyAlignment="1" applyBorder="1" applyFont="1">
      <alignment horizontal="center" vertical="center"/>
    </xf>
    <xf borderId="405" fillId="10" fontId="138" numFmtId="0" xfId="0" applyAlignment="1" applyBorder="1" applyFont="1">
      <alignment horizontal="right" readingOrder="0" vertical="center"/>
    </xf>
    <xf borderId="3073" fillId="151" fontId="140" numFmtId="0" xfId="0" applyAlignment="1" applyBorder="1" applyFont="1">
      <alignment horizontal="center" vertical="center"/>
    </xf>
    <xf borderId="3080" fillId="151" fontId="140" numFmtId="0" xfId="0" applyAlignment="1" applyBorder="1" applyFont="1">
      <alignment horizontal="center" vertical="center"/>
    </xf>
    <xf borderId="3081" fillId="151" fontId="162" numFmtId="0" xfId="0" applyAlignment="1" applyBorder="1" applyFont="1">
      <alignment horizontal="center" vertical="center"/>
    </xf>
    <xf borderId="3104" fillId="151" fontId="154" numFmtId="0" xfId="0" applyAlignment="1" applyBorder="1" applyFont="1">
      <alignment horizontal="center"/>
    </xf>
    <xf borderId="3105" fillId="151" fontId="104" numFmtId="0" xfId="0" applyAlignment="1" applyBorder="1" applyFont="1">
      <alignment horizontal="right"/>
    </xf>
    <xf borderId="3105" fillId="151" fontId="154" numFmtId="0" xfId="0" applyAlignment="1" applyBorder="1" applyFont="1">
      <alignment horizontal="center"/>
    </xf>
    <xf borderId="3106" fillId="151" fontId="154" numFmtId="0" xfId="0" applyAlignment="1" applyBorder="1" applyFont="1">
      <alignment horizontal="center" readingOrder="0" vertical="center"/>
    </xf>
    <xf borderId="3107" fillId="151" fontId="154" numFmtId="0" xfId="0" applyAlignment="1" applyBorder="1" applyFont="1">
      <alignment horizontal="center" vertical="center"/>
    </xf>
    <xf borderId="3085" fillId="151" fontId="154" numFmtId="0" xfId="0" applyAlignment="1" applyBorder="1" applyFont="1">
      <alignment horizontal="center"/>
    </xf>
    <xf borderId="3108" fillId="152" fontId="132" numFmtId="0" xfId="0" applyAlignment="1" applyBorder="1" applyFill="1" applyFont="1">
      <alignment horizontal="center" vertical="center"/>
    </xf>
    <xf borderId="3109" fillId="152" fontId="132" numFmtId="0" xfId="0" applyAlignment="1" applyBorder="1" applyFont="1">
      <alignment horizontal="center" vertical="center"/>
    </xf>
    <xf borderId="3110" fillId="152" fontId="132" numFmtId="0" xfId="0" applyAlignment="1" applyBorder="1" applyFont="1">
      <alignment horizontal="center" vertical="center"/>
    </xf>
    <xf borderId="3111" fillId="152" fontId="186" numFmtId="0" xfId="0" applyAlignment="1" applyBorder="1" applyFont="1">
      <alignment horizontal="center" readingOrder="0" vertical="center"/>
    </xf>
    <xf borderId="3110" fillId="152" fontId="186" numFmtId="0" xfId="0" applyAlignment="1" applyBorder="1" applyFont="1">
      <alignment horizontal="center" readingOrder="0" vertical="center"/>
    </xf>
    <xf borderId="3112" fillId="152" fontId="132" numFmtId="0" xfId="0" applyAlignment="1" applyBorder="1" applyFont="1">
      <alignment horizontal="center" vertical="center"/>
    </xf>
    <xf borderId="2480" fillId="152" fontId="154" numFmtId="0" xfId="0" applyAlignment="1" applyBorder="1" applyFont="1">
      <alignment horizontal="center" vertical="center"/>
    </xf>
    <xf borderId="3113" fillId="152" fontId="104" numFmtId="0" xfId="0" applyAlignment="1" applyBorder="1" applyFont="1">
      <alignment horizontal="right" vertical="center"/>
    </xf>
    <xf borderId="1944" fillId="152" fontId="154" numFmtId="0" xfId="0" applyAlignment="1" applyBorder="1" applyFont="1">
      <alignment horizontal="center" vertical="center"/>
    </xf>
    <xf borderId="3114" fillId="152" fontId="208" numFmtId="0" xfId="0" applyAlignment="1" applyBorder="1" applyFont="1">
      <alignment horizontal="left" readingOrder="0" vertical="center"/>
    </xf>
    <xf borderId="3115" fillId="0" fontId="5" numFmtId="0" xfId="0" applyBorder="1" applyFont="1"/>
    <xf borderId="3116" fillId="0" fontId="5" numFmtId="0" xfId="0" applyBorder="1" applyFont="1"/>
    <xf borderId="1967" fillId="152" fontId="154" numFmtId="0" xfId="0" applyAlignment="1" applyBorder="1" applyFont="1">
      <alignment horizontal="center" vertical="center"/>
    </xf>
    <xf borderId="3117" fillId="152" fontId="132" numFmtId="0" xfId="0" applyAlignment="1" applyBorder="1" applyFont="1">
      <alignment horizontal="center" vertical="center"/>
    </xf>
    <xf borderId="339" fillId="64" fontId="104" numFmtId="0" xfId="0" applyAlignment="1" applyBorder="1" applyFont="1">
      <alignment horizontal="center" vertical="center"/>
    </xf>
    <xf borderId="3115" fillId="152" fontId="131" numFmtId="0" xfId="0" applyAlignment="1" applyBorder="1" applyFont="1">
      <alignment horizontal="center" vertical="center"/>
    </xf>
    <xf borderId="1066" fillId="64" fontId="131" numFmtId="0" xfId="0" applyAlignment="1" applyBorder="1" applyFont="1">
      <alignment horizontal="center" vertical="center"/>
    </xf>
    <xf borderId="3118" fillId="152" fontId="132" numFmtId="0" xfId="0" applyAlignment="1" applyBorder="1" applyFont="1">
      <alignment horizontal="center" vertical="center"/>
    </xf>
    <xf borderId="3119" fillId="152" fontId="132" numFmtId="0" xfId="0" applyAlignment="1" applyBorder="1" applyFont="1">
      <alignment horizontal="center" vertical="center"/>
    </xf>
    <xf borderId="885" fillId="152" fontId="104" numFmtId="0" xfId="0" applyAlignment="1" applyBorder="1" applyFont="1">
      <alignment horizontal="right" readingOrder="0" vertical="center"/>
    </xf>
    <xf borderId="3115" fillId="152" fontId="132" numFmtId="0" xfId="0" applyAlignment="1" applyBorder="1" applyFont="1">
      <alignment horizontal="center" readingOrder="0" vertical="center"/>
    </xf>
    <xf borderId="3120" fillId="152" fontId="130" numFmtId="0" xfId="0" applyAlignment="1" applyBorder="1" applyFont="1">
      <alignment horizontal="center" readingOrder="0" vertical="center"/>
    </xf>
    <xf borderId="3121" fillId="0" fontId="5" numFmtId="0" xfId="0" applyBorder="1" applyFont="1"/>
    <xf borderId="3122" fillId="0" fontId="5" numFmtId="0" xfId="0" applyBorder="1" applyFont="1"/>
    <xf borderId="3123" fillId="152" fontId="146" numFmtId="0" xfId="0" applyAlignment="1" applyBorder="1" applyFont="1">
      <alignment horizontal="center" readingOrder="0" vertical="top"/>
    </xf>
    <xf borderId="3124" fillId="0" fontId="5" numFmtId="0" xfId="0" applyBorder="1" applyFont="1"/>
    <xf borderId="3125" fillId="0" fontId="5" numFmtId="0" xfId="0" applyBorder="1" applyFont="1"/>
    <xf borderId="3115" fillId="152" fontId="132" numFmtId="0" xfId="0" applyAlignment="1" applyBorder="1" applyFont="1">
      <alignment horizontal="center" vertical="center"/>
    </xf>
    <xf borderId="3126" fillId="152" fontId="132" numFmtId="0" xfId="0" applyAlignment="1" applyBorder="1" applyFont="1">
      <alignment horizontal="center" vertical="center"/>
    </xf>
    <xf borderId="3127" fillId="152" fontId="132" numFmtId="0" xfId="0" applyAlignment="1" applyBorder="1" applyFont="1">
      <alignment horizontal="center" vertical="top"/>
    </xf>
    <xf borderId="3128" fillId="0" fontId="5" numFmtId="0" xfId="0" applyBorder="1" applyFont="1"/>
    <xf borderId="3129" fillId="152" fontId="132" numFmtId="0" xfId="0" applyAlignment="1" applyBorder="1" applyFont="1">
      <alignment horizontal="center" vertical="top"/>
    </xf>
    <xf borderId="3130" fillId="152" fontId="132" numFmtId="0" xfId="0" applyAlignment="1" applyBorder="1" applyFont="1">
      <alignment horizontal="right" vertical="top"/>
    </xf>
    <xf borderId="3130" fillId="152" fontId="132" numFmtId="0" xfId="0" applyAlignment="1" applyBorder="1" applyFont="1">
      <alignment horizontal="left" vertical="top"/>
    </xf>
    <xf borderId="3131" fillId="152" fontId="132" numFmtId="0" xfId="0" applyAlignment="1" applyBorder="1" applyFont="1">
      <alignment horizontal="center" vertical="center"/>
    </xf>
    <xf borderId="3132" fillId="152" fontId="132" numFmtId="0" xfId="0" applyAlignment="1" applyBorder="1" applyFont="1">
      <alignment horizontal="center" vertical="center"/>
    </xf>
    <xf borderId="3133" fillId="152" fontId="104" numFmtId="0" xfId="0" applyAlignment="1" applyBorder="1" applyFont="1">
      <alignment horizontal="right" vertical="center"/>
    </xf>
    <xf borderId="3114" fillId="152" fontId="132" numFmtId="0" xfId="0" applyAlignment="1" applyBorder="1" applyFont="1">
      <alignment horizontal="center" vertical="center"/>
    </xf>
    <xf borderId="3134" fillId="152" fontId="132" numFmtId="0" xfId="0" applyAlignment="1" applyBorder="1" applyFont="1">
      <alignment horizontal="center" vertical="center"/>
    </xf>
    <xf borderId="3135" fillId="152" fontId="132" numFmtId="0" xfId="0" applyAlignment="1" applyBorder="1" applyFont="1">
      <alignment horizontal="center" vertical="top"/>
    </xf>
    <xf borderId="3136" fillId="152" fontId="132" numFmtId="0" xfId="0" applyAlignment="1" applyBorder="1" applyFont="1">
      <alignment horizontal="center" vertical="top"/>
    </xf>
    <xf borderId="3137" fillId="152" fontId="132" numFmtId="0" xfId="0" applyAlignment="1" applyBorder="1" applyFont="1">
      <alignment horizontal="center" readingOrder="0" vertical="center"/>
    </xf>
    <xf borderId="3138" fillId="0" fontId="5" numFmtId="0" xfId="0" applyBorder="1" applyFont="1"/>
    <xf borderId="3139" fillId="0" fontId="5" numFmtId="0" xfId="0" applyBorder="1" applyFont="1"/>
    <xf borderId="3140" fillId="152" fontId="104" numFmtId="0" xfId="0" applyAlignment="1" applyBorder="1" applyFont="1">
      <alignment horizontal="right"/>
    </xf>
    <xf borderId="3141" fillId="152" fontId="132" numFmtId="0" xfId="0" applyAlignment="1" applyBorder="1" applyFont="1">
      <alignment horizontal="center" readingOrder="0" vertical="center"/>
    </xf>
    <xf borderId="3142" fillId="0" fontId="5" numFmtId="0" xfId="0" applyBorder="1" applyFont="1"/>
    <xf borderId="3111" fillId="0" fontId="5" numFmtId="0" xfId="0" applyBorder="1" applyFont="1"/>
    <xf borderId="3143" fillId="152" fontId="132" numFmtId="0" xfId="0" applyAlignment="1" applyBorder="1" applyFont="1">
      <alignment horizontal="center" readingOrder="0" vertical="center"/>
    </xf>
    <xf borderId="3118" fillId="0" fontId="5" numFmtId="0" xfId="0" applyBorder="1" applyFont="1"/>
    <xf borderId="3144" fillId="0" fontId="5" numFmtId="0" xfId="0" applyBorder="1" applyFont="1"/>
    <xf borderId="3145" fillId="152" fontId="132" numFmtId="0" xfId="0" applyAlignment="1" applyBorder="1" applyFont="1">
      <alignment horizontal="center" readingOrder="0" vertical="center"/>
    </xf>
    <xf borderId="3110" fillId="0" fontId="5" numFmtId="0" xfId="0" applyBorder="1" applyFont="1"/>
    <xf borderId="3146" fillId="0" fontId="5" numFmtId="0" xfId="0" applyBorder="1" applyFont="1"/>
    <xf borderId="3147" fillId="152" fontId="132" numFmtId="0" xfId="0" applyAlignment="1" applyBorder="1" applyFont="1">
      <alignment horizontal="center" readingOrder="0" vertical="center"/>
    </xf>
    <xf borderId="3148" fillId="152" fontId="132" numFmtId="0" xfId="0" applyAlignment="1" applyBorder="1" applyFont="1">
      <alignment horizontal="center" readingOrder="0" vertical="center"/>
    </xf>
    <xf borderId="3149" fillId="152" fontId="132" numFmtId="0" xfId="0" applyAlignment="1" applyBorder="1" applyFont="1">
      <alignment horizontal="center" readingOrder="0" vertical="center"/>
    </xf>
    <xf borderId="3150" fillId="0" fontId="5" numFmtId="0" xfId="0" applyBorder="1" applyFont="1"/>
    <xf borderId="3151" fillId="0" fontId="5" numFmtId="0" xfId="0" applyBorder="1" applyFont="1"/>
    <xf borderId="3152" fillId="152" fontId="132" numFmtId="0" xfId="0" applyAlignment="1" applyBorder="1" applyFont="1">
      <alignment horizontal="center" readingOrder="0" vertical="center"/>
    </xf>
    <xf borderId="3153" fillId="0" fontId="5" numFmtId="0" xfId="0" applyBorder="1" applyFont="1"/>
    <xf borderId="3132" fillId="152" fontId="153" numFmtId="0" xfId="0" applyAlignment="1" applyBorder="1" applyFont="1">
      <alignment horizontal="center" vertical="center"/>
    </xf>
    <xf borderId="3113" fillId="152" fontId="102" numFmtId="0" xfId="0" applyAlignment="1" applyBorder="1" applyFont="1">
      <alignment horizontal="right" vertical="center"/>
    </xf>
    <xf borderId="3113" fillId="152" fontId="160" numFmtId="0" xfId="0" applyAlignment="1" applyBorder="1" applyFont="1">
      <alignment horizontal="center" vertical="center"/>
    </xf>
    <xf borderId="3154" fillId="152" fontId="160" numFmtId="0" xfId="0" applyAlignment="1" applyBorder="1" applyFont="1">
      <alignment horizontal="center" vertical="top"/>
    </xf>
    <xf borderId="3155" fillId="152" fontId="160" numFmtId="0" xfId="0" applyAlignment="1" applyBorder="1" applyFont="1">
      <alignment horizontal="center" vertical="top"/>
    </xf>
    <xf borderId="3111" fillId="152" fontId="160" numFmtId="0" xfId="0" applyAlignment="1" applyBorder="1" applyFont="1">
      <alignment horizontal="center" vertical="top"/>
    </xf>
    <xf borderId="3131" fillId="152" fontId="153" numFmtId="0" xfId="0" applyAlignment="1" applyBorder="1" applyFont="1">
      <alignment horizontal="center" vertical="center"/>
    </xf>
    <xf borderId="3132" fillId="152" fontId="162" numFmtId="0" xfId="0" applyAlignment="1" applyBorder="1" applyFont="1">
      <alignment horizontal="center" vertical="center"/>
    </xf>
    <xf borderId="3156" fillId="152" fontId="140" numFmtId="0" xfId="0" applyAlignment="1" applyBorder="1" applyFont="1">
      <alignment horizontal="center" vertical="center"/>
    </xf>
    <xf borderId="378" fillId="153" fontId="138" numFmtId="0" xfId="0" applyAlignment="1" applyBorder="1" applyFill="1" applyFont="1">
      <alignment horizontal="center" readingOrder="0" vertical="top"/>
    </xf>
    <xf borderId="3114" fillId="152" fontId="140" numFmtId="0" xfId="0" applyAlignment="1" applyBorder="1" applyFont="1">
      <alignment horizontal="center" vertical="center"/>
    </xf>
    <xf borderId="3157" fillId="152" fontId="139" numFmtId="0" xfId="0" applyAlignment="1" applyBorder="1" applyFont="1">
      <alignment horizontal="center" vertical="center"/>
    </xf>
    <xf borderId="3131" fillId="152" fontId="162" numFmtId="0" xfId="0" applyAlignment="1" applyBorder="1" applyFont="1">
      <alignment horizontal="center" vertical="center"/>
    </xf>
    <xf borderId="3158" fillId="153" fontId="138" numFmtId="0" xfId="0" applyAlignment="1" applyBorder="1" applyFont="1">
      <alignment horizontal="center" readingOrder="0" vertical="center"/>
    </xf>
    <xf borderId="3159" fillId="153" fontId="138" numFmtId="0" xfId="0" applyAlignment="1" applyBorder="1" applyFont="1">
      <alignment horizontal="center" readingOrder="0" vertical="center"/>
    </xf>
    <xf borderId="3160" fillId="153" fontId="138" numFmtId="0" xfId="0" applyAlignment="1" applyBorder="1" applyFont="1">
      <alignment horizontal="left" readingOrder="0" vertical="center"/>
    </xf>
    <xf borderId="3161" fillId="0" fontId="5" numFmtId="0" xfId="0" applyBorder="1" applyFont="1"/>
    <xf borderId="3162" fillId="152" fontId="139" numFmtId="0" xfId="0" applyAlignment="1" applyBorder="1" applyFont="1">
      <alignment horizontal="center" vertical="center"/>
    </xf>
    <xf borderId="3163" fillId="153" fontId="138" numFmtId="0" xfId="0" applyAlignment="1" applyBorder="1" applyFont="1">
      <alignment horizontal="center" readingOrder="0" vertical="center"/>
    </xf>
    <xf borderId="3164" fillId="153" fontId="138" numFmtId="0" xfId="0" applyAlignment="1" applyBorder="1" applyFont="1">
      <alignment horizontal="center" readingOrder="0" vertical="center"/>
    </xf>
    <xf borderId="3165" fillId="153" fontId="138" numFmtId="0" xfId="0" applyAlignment="1" applyBorder="1" applyFont="1">
      <alignment horizontal="left" readingOrder="0" vertical="center"/>
    </xf>
    <xf borderId="3166" fillId="0" fontId="5" numFmtId="0" xfId="0" applyBorder="1" applyFont="1"/>
    <xf borderId="3167" fillId="152" fontId="102" numFmtId="0" xfId="0" applyAlignment="1" applyBorder="1" applyFont="1">
      <alignment horizontal="right" vertical="center"/>
    </xf>
    <xf borderId="3168" fillId="152" fontId="162" numFmtId="0" xfId="0" applyAlignment="1" applyBorder="1" applyFont="1">
      <alignment horizontal="center" vertical="center"/>
    </xf>
    <xf borderId="3169" fillId="152" fontId="140" numFmtId="0" xfId="0" applyAlignment="1" applyBorder="1" applyFont="1">
      <alignment horizontal="center" vertical="center"/>
    </xf>
    <xf borderId="3170" fillId="153" fontId="138" numFmtId="0" xfId="0" applyAlignment="1" applyBorder="1" applyFont="1">
      <alignment horizontal="center" readingOrder="0" vertical="center"/>
    </xf>
    <xf borderId="3171" fillId="153" fontId="138" numFmtId="0" xfId="0" applyAlignment="1" applyBorder="1" applyFont="1">
      <alignment horizontal="center" readingOrder="0" vertical="center"/>
    </xf>
    <xf borderId="395" fillId="153" fontId="138" numFmtId="0" xfId="0" applyAlignment="1" applyBorder="1" applyFont="1">
      <alignment horizontal="right" readingOrder="0" vertical="center"/>
    </xf>
    <xf borderId="3157" fillId="152" fontId="140" numFmtId="0" xfId="0" applyAlignment="1" applyBorder="1" applyFont="1">
      <alignment horizontal="center" vertical="center"/>
    </xf>
    <xf borderId="3172" fillId="152" fontId="132" numFmtId="0" xfId="0" applyAlignment="1" applyBorder="1" applyFont="1">
      <alignment horizontal="center" vertical="center"/>
    </xf>
    <xf borderId="3173" fillId="152" fontId="102" numFmtId="0" xfId="0" applyAlignment="1" applyBorder="1" applyFont="1">
      <alignment horizontal="right" vertical="center"/>
    </xf>
    <xf borderId="3174" fillId="152" fontId="102" numFmtId="0" xfId="0" applyAlignment="1" applyBorder="1" applyFont="1">
      <alignment horizontal="right" vertical="center"/>
    </xf>
    <xf borderId="3175" fillId="152" fontId="102" numFmtId="0" xfId="0" applyAlignment="1" applyBorder="1" applyFont="1">
      <alignment horizontal="right" vertical="center"/>
    </xf>
    <xf borderId="3176" fillId="152" fontId="102" numFmtId="0" xfId="0" applyAlignment="1" applyBorder="1" applyFont="1">
      <alignment horizontal="right" vertical="center"/>
    </xf>
    <xf borderId="3177" fillId="122" fontId="130" numFmtId="0" xfId="0" applyAlignment="1" applyBorder="1" applyFont="1">
      <alignment horizontal="center" readingOrder="0" vertical="center"/>
    </xf>
    <xf borderId="3178" fillId="0" fontId="5" numFmtId="0" xfId="0" applyBorder="1" applyFont="1"/>
    <xf borderId="3179" fillId="122" fontId="132" numFmtId="0" xfId="0" applyAlignment="1" applyBorder="1" applyFont="1">
      <alignment horizontal="center" vertical="center"/>
    </xf>
    <xf borderId="3180" fillId="122" fontId="132" numFmtId="0" xfId="0" applyAlignment="1" applyBorder="1" applyFont="1">
      <alignment horizontal="center" vertical="center"/>
    </xf>
    <xf borderId="3181" fillId="122" fontId="132" numFmtId="0" xfId="0" applyAlignment="1" applyBorder="1" applyFont="1">
      <alignment horizontal="center" vertical="center"/>
    </xf>
    <xf borderId="1959" fillId="122" fontId="132" numFmtId="0" xfId="0" applyAlignment="1" applyBorder="1" applyFont="1">
      <alignment horizontal="center" vertical="center"/>
    </xf>
    <xf borderId="3182" fillId="122" fontId="132" numFmtId="0" xfId="0" applyAlignment="1" applyBorder="1" applyFont="1">
      <alignment horizontal="center" vertical="center"/>
    </xf>
    <xf borderId="1990" fillId="122" fontId="140" numFmtId="0" xfId="0" applyAlignment="1" applyBorder="1" applyFont="1">
      <alignment horizontal="center" vertical="center"/>
    </xf>
    <xf borderId="1990" fillId="122" fontId="162" numFmtId="0" xfId="0" applyAlignment="1" applyBorder="1" applyFont="1">
      <alignment horizontal="center" vertical="center"/>
    </xf>
    <xf borderId="1965" fillId="122" fontId="154" numFmtId="0" xfId="0" applyAlignment="1" applyBorder="1" applyFont="1">
      <alignment horizontal="center"/>
    </xf>
    <xf borderId="1965" fillId="122" fontId="132" numFmtId="0" xfId="0" applyAlignment="1" applyBorder="1" applyFont="1">
      <alignment horizontal="center"/>
    </xf>
    <xf borderId="1965" fillId="122" fontId="158" numFmtId="0" xfId="0" applyAlignment="1" applyBorder="1" applyFont="1">
      <alignment horizontal="center"/>
    </xf>
    <xf borderId="3183" fillId="17" fontId="104" numFmtId="0" xfId="0" applyAlignment="1" applyBorder="1" applyFont="1">
      <alignment horizontal="center" vertical="center"/>
    </xf>
    <xf borderId="378" fillId="154" fontId="131" numFmtId="0" xfId="0" applyAlignment="1" applyBorder="1" applyFill="1" applyFont="1">
      <alignment horizontal="center" vertical="center"/>
    </xf>
    <xf borderId="1964" fillId="122" fontId="132" numFmtId="0" xfId="0" applyAlignment="1" applyBorder="1" applyFont="1">
      <alignment horizontal="center"/>
    </xf>
    <xf borderId="890" fillId="122" fontId="104" numFmtId="0" xfId="0" applyAlignment="1" applyBorder="1" applyFont="1">
      <alignment horizontal="right" readingOrder="0" vertical="center"/>
    </xf>
    <xf borderId="1942" fillId="122" fontId="132" numFmtId="0" xfId="0" applyAlignment="1" applyBorder="1" applyFont="1">
      <alignment horizontal="center"/>
    </xf>
    <xf borderId="3184" fillId="155" fontId="130" numFmtId="0" xfId="0" applyAlignment="1" applyBorder="1" applyFill="1" applyFont="1">
      <alignment horizontal="center" readingOrder="0" vertical="center"/>
    </xf>
    <xf borderId="3185" fillId="0" fontId="5" numFmtId="0" xfId="0" applyBorder="1" applyFont="1"/>
    <xf borderId="3186" fillId="0" fontId="5" numFmtId="0" xfId="0" applyBorder="1" applyFont="1"/>
    <xf borderId="1964" fillId="122" fontId="158" numFmtId="0" xfId="0" applyAlignment="1" applyBorder="1" applyFont="1">
      <alignment horizontal="center"/>
    </xf>
    <xf borderId="1942" fillId="122" fontId="158" numFmtId="0" xfId="0" applyAlignment="1" applyBorder="1" applyFont="1">
      <alignment horizontal="center"/>
    </xf>
    <xf borderId="3187" fillId="155" fontId="146" numFmtId="0" xfId="0" applyAlignment="1" applyBorder="1" applyFont="1">
      <alignment horizontal="center" readingOrder="0" vertical="top"/>
    </xf>
    <xf borderId="3188" fillId="0" fontId="5" numFmtId="0" xfId="0" applyBorder="1" applyFont="1"/>
    <xf borderId="3189" fillId="0" fontId="5" numFmtId="0" xfId="0" applyBorder="1" applyFont="1"/>
    <xf borderId="1964" fillId="122" fontId="154" numFmtId="0" xfId="0" applyAlignment="1" applyBorder="1" applyFont="1">
      <alignment horizontal="center"/>
    </xf>
    <xf borderId="1942" fillId="122" fontId="154" numFmtId="0" xfId="0" applyAlignment="1" applyBorder="1" applyFont="1">
      <alignment horizontal="center"/>
    </xf>
    <xf borderId="3190" fillId="155" fontId="132" numFmtId="0" xfId="0" applyAlignment="1" applyBorder="1" applyFont="1">
      <alignment horizontal="center" vertical="center"/>
    </xf>
    <xf borderId="3191" fillId="155" fontId="132" numFmtId="0" xfId="0" applyAlignment="1" applyBorder="1" applyFont="1">
      <alignment horizontal="right" vertical="top"/>
    </xf>
    <xf borderId="3191" fillId="155" fontId="132" numFmtId="0" xfId="0" applyAlignment="1" applyBorder="1" applyFont="1">
      <alignment horizontal="left" vertical="top"/>
    </xf>
    <xf borderId="3192" fillId="155" fontId="132" numFmtId="0" xfId="0" applyAlignment="1" applyBorder="1" applyFont="1">
      <alignment horizontal="center" vertical="top"/>
    </xf>
    <xf borderId="3193" fillId="155" fontId="132" numFmtId="0" xfId="0" applyAlignment="1" applyBorder="1" applyFont="1">
      <alignment horizontal="center" vertical="center"/>
    </xf>
    <xf borderId="3194" fillId="155" fontId="132" numFmtId="0" xfId="0" applyAlignment="1" applyBorder="1" applyFont="1">
      <alignment horizontal="center" vertical="top"/>
    </xf>
    <xf borderId="3195" fillId="155" fontId="132" numFmtId="0" xfId="0" applyAlignment="1" applyBorder="1" applyFont="1">
      <alignment horizontal="center" vertical="top"/>
    </xf>
    <xf borderId="3196" fillId="155" fontId="132" numFmtId="0" xfId="0" applyAlignment="1" applyBorder="1" applyFont="1">
      <alignment horizontal="center" readingOrder="0" vertical="center"/>
    </xf>
    <xf borderId="3197" fillId="0" fontId="5" numFmtId="0" xfId="0" applyBorder="1" applyFont="1"/>
    <xf borderId="3198" fillId="0" fontId="5" numFmtId="0" xfId="0" applyBorder="1" applyFont="1"/>
    <xf borderId="1935" fillId="122" fontId="104" numFmtId="0" xfId="0" applyAlignment="1" applyBorder="1" applyFont="1">
      <alignment horizontal="right" vertical="center"/>
    </xf>
    <xf borderId="3199" fillId="155" fontId="132" numFmtId="0" xfId="0" applyAlignment="1" applyBorder="1" applyFont="1">
      <alignment horizontal="center" readingOrder="0" vertical="center"/>
    </xf>
    <xf borderId="3200" fillId="0" fontId="5" numFmtId="0" xfId="0" applyBorder="1" applyFont="1"/>
    <xf borderId="3201" fillId="0" fontId="5" numFmtId="0" xfId="0" applyBorder="1" applyFont="1"/>
    <xf borderId="3202" fillId="155" fontId="132" numFmtId="0" xfId="0" applyAlignment="1" applyBorder="1" applyFont="1">
      <alignment horizontal="center" readingOrder="0" vertical="center"/>
    </xf>
    <xf borderId="3203" fillId="0" fontId="5" numFmtId="0" xfId="0" applyBorder="1" applyFont="1"/>
    <xf borderId="3204" fillId="0" fontId="5" numFmtId="0" xfId="0" applyBorder="1" applyFont="1"/>
    <xf borderId="3205" fillId="155" fontId="132" numFmtId="0" xfId="0" applyAlignment="1" applyBorder="1" applyFont="1">
      <alignment horizontal="center" vertical="center"/>
    </xf>
    <xf borderId="3206" fillId="0" fontId="5" numFmtId="0" xfId="0" applyBorder="1" applyFont="1"/>
    <xf borderId="3207" fillId="155" fontId="132" numFmtId="0" xfId="0" applyAlignment="1" applyBorder="1" applyFont="1">
      <alignment horizontal="center" vertical="center"/>
    </xf>
    <xf borderId="3208" fillId="0" fontId="5" numFmtId="0" xfId="0" applyBorder="1" applyFont="1"/>
    <xf borderId="3209" fillId="155" fontId="132" numFmtId="0" xfId="0" applyAlignment="1" applyBorder="1" applyFont="1">
      <alignment horizontal="center" vertical="center"/>
    </xf>
    <xf borderId="3210" fillId="155" fontId="132" numFmtId="0" xfId="0" applyAlignment="1" applyBorder="1" applyFont="1">
      <alignment horizontal="center" readingOrder="0" vertical="center"/>
    </xf>
    <xf borderId="3211" fillId="0" fontId="5" numFmtId="0" xfId="0" applyBorder="1" applyFont="1"/>
    <xf borderId="3212" fillId="0" fontId="5" numFmtId="0" xfId="0" applyBorder="1" applyFont="1"/>
    <xf borderId="3213" fillId="155" fontId="132" numFmtId="0" xfId="0" applyAlignment="1" applyBorder="1" applyFont="1">
      <alignment horizontal="center" vertical="center"/>
    </xf>
    <xf borderId="378" fillId="154" fontId="138" numFmtId="0" xfId="0" applyAlignment="1" applyBorder="1" applyFont="1">
      <alignment horizontal="center" readingOrder="0" vertical="top"/>
    </xf>
    <xf borderId="1942" fillId="122" fontId="162" numFmtId="0" xfId="0" applyAlignment="1" applyBorder="1" applyFont="1">
      <alignment horizontal="center" vertical="center"/>
    </xf>
    <xf borderId="1965" fillId="122" fontId="162" numFmtId="0" xfId="0" applyAlignment="1" applyBorder="1" applyFont="1">
      <alignment horizontal="center" vertical="center"/>
    </xf>
    <xf borderId="3214" fillId="154" fontId="138" numFmtId="0" xfId="0" applyAlignment="1" applyBorder="1" applyFont="1">
      <alignment horizontal="center" readingOrder="0" vertical="center"/>
    </xf>
    <xf borderId="3215" fillId="154" fontId="138" numFmtId="0" xfId="0" applyAlignment="1" applyBorder="1" applyFont="1">
      <alignment horizontal="center" readingOrder="0" vertical="center"/>
    </xf>
    <xf borderId="3216" fillId="154" fontId="138" numFmtId="0" xfId="0" applyAlignment="1" applyBorder="1" applyFont="1">
      <alignment horizontal="left" readingOrder="0" vertical="center"/>
    </xf>
    <xf borderId="3217" fillId="0" fontId="5" numFmtId="0" xfId="0" applyBorder="1" applyFont="1"/>
    <xf borderId="1943" fillId="122" fontId="162" numFmtId="0" xfId="0" applyAlignment="1" applyBorder="1" applyFont="1">
      <alignment horizontal="center" vertical="center"/>
    </xf>
    <xf borderId="3218" fillId="154" fontId="138" numFmtId="0" xfId="0" applyAlignment="1" applyBorder="1" applyFont="1">
      <alignment horizontal="center" readingOrder="0" vertical="center"/>
    </xf>
    <xf borderId="3219" fillId="154" fontId="138" numFmtId="0" xfId="0" applyAlignment="1" applyBorder="1" applyFont="1">
      <alignment horizontal="center" readingOrder="0" vertical="center"/>
    </xf>
    <xf borderId="3220" fillId="154" fontId="138" numFmtId="0" xfId="0" applyAlignment="1" applyBorder="1" applyFont="1">
      <alignment horizontal="left" readingOrder="0" vertical="center"/>
    </xf>
    <xf borderId="3221" fillId="0" fontId="5" numFmtId="0" xfId="0" applyBorder="1" applyFont="1"/>
    <xf borderId="3222" fillId="154" fontId="138" numFmtId="0" xfId="0" applyAlignment="1" applyBorder="1" applyFont="1">
      <alignment horizontal="center" readingOrder="0" vertical="center"/>
    </xf>
    <xf borderId="3223" fillId="154" fontId="138" numFmtId="0" xfId="0" applyAlignment="1" applyBorder="1" applyFont="1">
      <alignment horizontal="center" readingOrder="0" vertical="center"/>
    </xf>
    <xf borderId="3224" fillId="154" fontId="138" numFmtId="0" xfId="0" applyAlignment="1" applyBorder="1" applyFont="1">
      <alignment horizontal="left" readingOrder="0" vertical="center"/>
    </xf>
    <xf borderId="3225" fillId="0" fontId="5" numFmtId="0" xfId="0" applyBorder="1" applyFont="1"/>
    <xf borderId="395" fillId="154" fontId="138" numFmtId="0" xfId="0" applyAlignment="1" applyBorder="1" applyFont="1">
      <alignment horizontal="right" readingOrder="0" vertical="center"/>
    </xf>
    <xf borderId="3226" fillId="150" fontId="154" numFmtId="0" xfId="0" applyAlignment="1" applyBorder="1" applyFont="1">
      <alignment horizontal="center" vertical="center"/>
    </xf>
    <xf borderId="2987" fillId="0" fontId="5" numFmtId="0" xfId="0" applyBorder="1" applyFont="1"/>
    <xf borderId="2956" fillId="150" fontId="131" numFmtId="0" xfId="0" applyAlignment="1" applyBorder="1" applyFont="1">
      <alignment horizontal="center" readingOrder="0" vertical="top"/>
    </xf>
    <xf borderId="2968" fillId="150" fontId="104" numFmtId="0" xfId="0" applyAlignment="1" applyBorder="1" applyFont="1">
      <alignment horizontal="right" readingOrder="0" vertical="center"/>
    </xf>
    <xf borderId="3227" fillId="0" fontId="5" numFmtId="0" xfId="0" applyBorder="1" applyFont="1"/>
    <xf borderId="2938" fillId="0" fontId="5" numFmtId="0" xfId="0" applyBorder="1" applyFont="1"/>
    <xf borderId="2948" fillId="150" fontId="162" numFmtId="0" xfId="0" applyAlignment="1" applyBorder="1" applyFont="1">
      <alignment horizontal="center" vertical="center"/>
    </xf>
    <xf borderId="3007" fillId="150" fontId="102" numFmtId="0" xfId="0" applyAlignment="1" applyBorder="1" applyFont="1">
      <alignment horizontal="right" vertical="center"/>
    </xf>
    <xf borderId="3228" fillId="119" fontId="154" numFmtId="0" xfId="0" applyAlignment="1" applyBorder="1" applyFont="1">
      <alignment horizontal="center" vertical="center"/>
    </xf>
    <xf borderId="3228" fillId="119" fontId="104" numFmtId="0" xfId="0" applyAlignment="1" applyBorder="1" applyFont="1">
      <alignment horizontal="right" vertical="center"/>
    </xf>
    <xf borderId="1869" fillId="119" fontId="132" numFmtId="0" xfId="0" applyAlignment="1" applyBorder="1" applyFont="1">
      <alignment horizontal="center" vertical="center"/>
    </xf>
    <xf borderId="1870" fillId="119" fontId="132" numFmtId="0" xfId="0" applyAlignment="1" applyBorder="1" applyFont="1">
      <alignment horizontal="center" vertical="center"/>
    </xf>
    <xf borderId="3229" fillId="122" fontId="154" numFmtId="0" xfId="0" applyAlignment="1" applyBorder="1" applyFont="1">
      <alignment horizontal="center" vertical="center"/>
    </xf>
    <xf borderId="3230" fillId="122" fontId="102" numFmtId="0" xfId="0" applyAlignment="1" applyBorder="1" applyFont="1">
      <alignment horizontal="right" readingOrder="0" vertical="center"/>
    </xf>
    <xf borderId="3230" fillId="122" fontId="33" numFmtId="0" xfId="0" applyAlignment="1" applyBorder="1" applyFont="1">
      <alignment horizontal="center" readingOrder="0" vertical="center"/>
    </xf>
    <xf borderId="3231" fillId="122" fontId="33" numFmtId="0" xfId="0" applyAlignment="1" applyBorder="1" applyFont="1">
      <alignment horizontal="center" readingOrder="0" vertical="center"/>
    </xf>
    <xf borderId="3232" fillId="122" fontId="154" numFmtId="0" xfId="0" applyAlignment="1" applyBorder="1" applyFont="1">
      <alignment horizontal="center" vertical="center"/>
    </xf>
    <xf borderId="1942" fillId="122" fontId="132" numFmtId="0" xfId="0" applyAlignment="1" applyBorder="1" applyFont="1">
      <alignment horizontal="center" vertical="center"/>
    </xf>
    <xf borderId="1942" fillId="122" fontId="154" numFmtId="0" xfId="0" applyAlignment="1" applyBorder="1" applyFont="1">
      <alignment horizontal="center"/>
    </xf>
    <xf borderId="1942" fillId="122" fontId="154" numFmtId="0" xfId="0" applyAlignment="1" applyBorder="1" applyFont="1">
      <alignment horizontal="center" vertical="center"/>
    </xf>
    <xf borderId="0" fillId="122" fontId="132" numFmtId="0" xfId="0" applyAlignment="1" applyFont="1">
      <alignment horizontal="center" vertical="center"/>
    </xf>
    <xf borderId="0" fillId="122" fontId="154" numFmtId="0" xfId="0" applyAlignment="1" applyFont="1">
      <alignment horizontal="center"/>
    </xf>
    <xf borderId="0" fillId="122" fontId="154" numFmtId="0" xfId="0" applyAlignment="1" applyFont="1">
      <alignment horizontal="center" vertical="center"/>
    </xf>
    <xf borderId="1974" fillId="122" fontId="132" numFmtId="0" xfId="0" applyAlignment="1" applyBorder="1" applyFont="1">
      <alignment horizontal="center" vertical="center"/>
    </xf>
    <xf borderId="1974" fillId="122" fontId="154" numFmtId="0" xfId="0" applyAlignment="1" applyBorder="1" applyFont="1">
      <alignment horizontal="center"/>
    </xf>
    <xf borderId="1974" fillId="122" fontId="154" numFmtId="0" xfId="0" applyAlignment="1" applyBorder="1" applyFont="1">
      <alignment horizontal="center" vertical="center"/>
    </xf>
    <xf borderId="3233" fillId="156" fontId="132" numFmtId="0" xfId="0" applyAlignment="1" applyBorder="1" applyFill="1" applyFont="1">
      <alignment horizontal="center" vertical="center"/>
    </xf>
    <xf borderId="3234" fillId="156" fontId="106" numFmtId="0" xfId="0" applyAlignment="1" applyBorder="1" applyFont="1">
      <alignment horizontal="center" readingOrder="0" vertical="center"/>
    </xf>
    <xf borderId="3235" fillId="156" fontId="132" numFmtId="0" xfId="0" applyAlignment="1" applyBorder="1" applyFont="1">
      <alignment horizontal="center" vertical="center"/>
    </xf>
    <xf borderId="3236" fillId="156" fontId="162" numFmtId="0" xfId="0" applyAlignment="1" applyBorder="1" applyFont="1">
      <alignment horizontal="center" vertical="center"/>
    </xf>
    <xf borderId="3237" fillId="156" fontId="102" numFmtId="0" xfId="0" applyAlignment="1" applyBorder="1" applyFont="1">
      <alignment horizontal="right" vertical="center"/>
    </xf>
    <xf borderId="3238" fillId="156" fontId="209" numFmtId="0" xfId="0" applyAlignment="1" applyBorder="1" applyFont="1">
      <alignment horizontal="left" readingOrder="0" vertical="center"/>
    </xf>
    <xf borderId="3239" fillId="0" fontId="5" numFmtId="0" xfId="0" applyBorder="1" applyFont="1"/>
    <xf borderId="3240" fillId="0" fontId="5" numFmtId="0" xfId="0" applyBorder="1" applyFont="1"/>
    <xf borderId="3241" fillId="156" fontId="132" numFmtId="0" xfId="0" applyAlignment="1" applyBorder="1" applyFont="1">
      <alignment horizontal="center" vertical="center"/>
    </xf>
    <xf borderId="3236" fillId="156" fontId="132" numFmtId="0" xfId="0" applyAlignment="1" applyBorder="1" applyFont="1">
      <alignment horizontal="center" vertical="center"/>
    </xf>
    <xf borderId="339" fillId="50" fontId="104" numFmtId="0" xfId="0" applyAlignment="1" applyBorder="1" applyFont="1">
      <alignment horizontal="center" vertical="center"/>
    </xf>
    <xf borderId="3242" fillId="156" fontId="131" numFmtId="0" xfId="0" applyAlignment="1" applyBorder="1" applyFont="1">
      <alignment horizontal="center" vertical="center"/>
    </xf>
    <xf borderId="1066" fillId="50" fontId="131" numFmtId="0" xfId="0" applyAlignment="1" applyBorder="1" applyFont="1">
      <alignment horizontal="center" vertical="center"/>
    </xf>
    <xf borderId="3239" fillId="156" fontId="132" numFmtId="0" xfId="0" applyAlignment="1" applyBorder="1" applyFont="1">
      <alignment horizontal="center" vertical="center"/>
    </xf>
    <xf borderId="3243" fillId="156" fontId="132" numFmtId="0" xfId="0" applyAlignment="1" applyBorder="1" applyFont="1">
      <alignment horizontal="center" vertical="center"/>
    </xf>
    <xf borderId="885" fillId="156" fontId="104" numFmtId="0" xfId="0" applyAlignment="1" applyBorder="1" applyFont="1">
      <alignment horizontal="right" readingOrder="0" vertical="center"/>
    </xf>
    <xf borderId="3242" fillId="156" fontId="132" numFmtId="0" xfId="0" applyAlignment="1" applyBorder="1" applyFont="1">
      <alignment horizontal="center" readingOrder="0" vertical="center"/>
    </xf>
    <xf borderId="3244" fillId="156" fontId="130" numFmtId="0" xfId="0" applyAlignment="1" applyBorder="1" applyFont="1">
      <alignment horizontal="center" readingOrder="0" vertical="center"/>
    </xf>
    <xf borderId="3245" fillId="0" fontId="5" numFmtId="0" xfId="0" applyBorder="1" applyFont="1"/>
    <xf borderId="3246" fillId="0" fontId="5" numFmtId="0" xfId="0" applyBorder="1" applyFont="1"/>
    <xf borderId="3247" fillId="156" fontId="146" numFmtId="0" xfId="0" applyAlignment="1" applyBorder="1" applyFont="1">
      <alignment horizontal="center" readingOrder="0" vertical="top"/>
    </xf>
    <xf borderId="3248" fillId="0" fontId="5" numFmtId="0" xfId="0" applyBorder="1" applyFont="1"/>
    <xf borderId="3249" fillId="0" fontId="5" numFmtId="0" xfId="0" applyBorder="1" applyFont="1"/>
    <xf borderId="3237" fillId="156" fontId="132" numFmtId="0" xfId="0" applyAlignment="1" applyBorder="1" applyFont="1">
      <alignment horizontal="center" vertical="center"/>
    </xf>
    <xf borderId="3250" fillId="156" fontId="132" numFmtId="0" xfId="0" applyAlignment="1" applyBorder="1" applyFont="1">
      <alignment horizontal="center" vertical="center"/>
    </xf>
    <xf borderId="3251" fillId="156" fontId="132" numFmtId="0" xfId="0" applyAlignment="1" applyBorder="1" applyFont="1">
      <alignment horizontal="right" vertical="top"/>
    </xf>
    <xf borderId="3251" fillId="156" fontId="132" numFmtId="0" xfId="0" applyAlignment="1" applyBorder="1" applyFont="1">
      <alignment horizontal="left" vertical="top"/>
    </xf>
    <xf borderId="3252" fillId="156" fontId="132" numFmtId="0" xfId="0" applyAlignment="1" applyBorder="1" applyFont="1">
      <alignment horizontal="center" vertical="top"/>
    </xf>
    <xf borderId="3253" fillId="156" fontId="132" numFmtId="0" xfId="0" applyAlignment="1" applyBorder="1" applyFont="1">
      <alignment horizontal="center" vertical="top"/>
    </xf>
    <xf borderId="3254" fillId="0" fontId="5" numFmtId="0" xfId="0" applyBorder="1" applyFont="1"/>
    <xf borderId="3255" fillId="156" fontId="132" numFmtId="0" xfId="0" applyAlignment="1" applyBorder="1" applyFont="1">
      <alignment horizontal="center" vertical="center"/>
    </xf>
    <xf borderId="3237" fillId="156" fontId="104" numFmtId="0" xfId="0" applyAlignment="1" applyBorder="1" applyFont="1">
      <alignment horizontal="right" vertical="center"/>
    </xf>
    <xf borderId="3256" fillId="156" fontId="132" numFmtId="0" xfId="0" applyAlignment="1" applyBorder="1" applyFont="1">
      <alignment horizontal="center" vertical="center"/>
    </xf>
    <xf borderId="3257" fillId="156" fontId="132" numFmtId="0" xfId="0" applyAlignment="1" applyBorder="1" applyFont="1">
      <alignment horizontal="center" vertical="top"/>
    </xf>
    <xf borderId="3258" fillId="156" fontId="132" numFmtId="0" xfId="0" applyAlignment="1" applyBorder="1" applyFont="1">
      <alignment horizontal="center" vertical="top"/>
    </xf>
    <xf borderId="3242" fillId="156" fontId="132" numFmtId="0" xfId="0" applyAlignment="1" applyBorder="1" applyFont="1">
      <alignment horizontal="center" vertical="center"/>
    </xf>
    <xf borderId="3259" fillId="156" fontId="132" numFmtId="0" xfId="0" applyAlignment="1" applyBorder="1" applyFont="1">
      <alignment horizontal="center" readingOrder="0" vertical="center"/>
    </xf>
    <xf borderId="3260" fillId="0" fontId="5" numFmtId="0" xfId="0" applyBorder="1" applyFont="1"/>
    <xf borderId="3261" fillId="0" fontId="5" numFmtId="0" xfId="0" applyBorder="1" applyFont="1"/>
    <xf borderId="3262" fillId="156" fontId="104" numFmtId="0" xfId="0" applyAlignment="1" applyBorder="1" applyFont="1">
      <alignment horizontal="right"/>
    </xf>
    <xf borderId="3263" fillId="156" fontId="132" numFmtId="0" xfId="0" applyAlignment="1" applyBorder="1" applyFont="1">
      <alignment horizontal="center" readingOrder="0" vertical="center"/>
    </xf>
    <xf borderId="3264" fillId="0" fontId="5" numFmtId="0" xfId="0" applyBorder="1" applyFont="1"/>
    <xf borderId="3265" fillId="0" fontId="5" numFmtId="0" xfId="0" applyBorder="1" applyFont="1"/>
    <xf borderId="3266" fillId="0" fontId="5" numFmtId="0" xfId="0" applyBorder="1" applyFont="1"/>
    <xf borderId="3267" fillId="156" fontId="132" numFmtId="0" xfId="0" applyAlignment="1" applyBorder="1" applyFont="1">
      <alignment horizontal="center" readingOrder="0" vertical="center"/>
    </xf>
    <xf borderId="3268" fillId="156" fontId="132" numFmtId="0" xfId="0" applyAlignment="1" applyBorder="1" applyFont="1">
      <alignment horizontal="center" readingOrder="0" vertical="center"/>
    </xf>
    <xf borderId="3234" fillId="0" fontId="5" numFmtId="0" xfId="0" applyBorder="1" applyFont="1"/>
    <xf borderId="3269" fillId="0" fontId="5" numFmtId="0" xfId="0" applyBorder="1" applyFont="1"/>
    <xf borderId="3261" fillId="156" fontId="132" numFmtId="0" xfId="0" applyAlignment="1" applyBorder="1" applyFont="1">
      <alignment horizontal="center" readingOrder="0" vertical="center"/>
    </xf>
    <xf borderId="3270" fillId="0" fontId="5" numFmtId="0" xfId="0" applyBorder="1" applyFont="1"/>
    <xf borderId="3265" fillId="156" fontId="132" numFmtId="0" xfId="0" applyAlignment="1" applyBorder="1" applyFont="1">
      <alignment horizontal="center" readingOrder="0" vertical="center"/>
    </xf>
    <xf borderId="3271" fillId="156" fontId="132" numFmtId="0" xfId="0" applyAlignment="1" applyBorder="1" applyFont="1">
      <alignment horizontal="center" readingOrder="0" vertical="center"/>
    </xf>
    <xf borderId="3272" fillId="0" fontId="5" numFmtId="0" xfId="0" applyBorder="1" applyFont="1"/>
    <xf borderId="3273" fillId="0" fontId="5" numFmtId="0" xfId="0" applyBorder="1" applyFont="1"/>
    <xf borderId="3274" fillId="156" fontId="132" numFmtId="0" xfId="0" applyAlignment="1" applyBorder="1" applyFont="1">
      <alignment horizontal="center" readingOrder="0" vertical="center"/>
    </xf>
    <xf borderId="3275" fillId="0" fontId="5" numFmtId="0" xfId="0" applyBorder="1" applyFont="1"/>
    <xf borderId="3236" fillId="156" fontId="153" numFmtId="0" xfId="0" applyAlignment="1" applyBorder="1" applyFont="1">
      <alignment horizontal="center" vertical="center"/>
    </xf>
    <xf borderId="3237" fillId="156" fontId="160" numFmtId="0" xfId="0" applyAlignment="1" applyBorder="1" applyFont="1">
      <alignment horizontal="center" vertical="center"/>
    </xf>
    <xf borderId="3234" fillId="156" fontId="160" numFmtId="0" xfId="0" applyAlignment="1" applyBorder="1" applyFont="1">
      <alignment horizontal="center" vertical="top"/>
    </xf>
    <xf borderId="3237" fillId="156" fontId="160" numFmtId="0" xfId="0" applyAlignment="1" applyBorder="1" applyFont="1">
      <alignment horizontal="center" vertical="top"/>
    </xf>
    <xf borderId="3266" fillId="156" fontId="160" numFmtId="0" xfId="0" applyAlignment="1" applyBorder="1" applyFont="1">
      <alignment horizontal="center" vertical="top"/>
    </xf>
    <xf borderId="3237" fillId="156" fontId="161" numFmtId="0" xfId="0" applyAlignment="1" applyBorder="1" applyFont="1">
      <alignment horizontal="center" vertical="center"/>
    </xf>
    <xf borderId="3255" fillId="156" fontId="153" numFmtId="0" xfId="0" applyAlignment="1" applyBorder="1" applyFont="1">
      <alignment horizontal="center" vertical="center"/>
    </xf>
    <xf borderId="3237" fillId="156" fontId="140" numFmtId="0" xfId="0" applyAlignment="1" applyBorder="1" applyFont="1">
      <alignment horizontal="center" vertical="center"/>
    </xf>
    <xf borderId="378" fillId="157" fontId="138" numFmtId="0" xfId="0" applyAlignment="1" applyBorder="1" applyFill="1" applyFont="1">
      <alignment horizontal="center" readingOrder="0" vertical="top"/>
    </xf>
    <xf borderId="3242" fillId="156" fontId="139" numFmtId="0" xfId="0" applyAlignment="1" applyBorder="1" applyFont="1">
      <alignment horizontal="center" vertical="center"/>
    </xf>
    <xf borderId="3242" fillId="156" fontId="140" numFmtId="0" xfId="0" applyAlignment="1" applyBorder="1" applyFont="1">
      <alignment horizontal="center" vertical="center"/>
    </xf>
    <xf borderId="3242" fillId="156" fontId="160" numFmtId="0" xfId="0" applyAlignment="1" applyBorder="1" applyFont="1">
      <alignment horizontal="center" vertical="center"/>
    </xf>
    <xf borderId="3242" fillId="156" fontId="162" numFmtId="0" xfId="0" applyAlignment="1" applyBorder="1" applyFont="1">
      <alignment horizontal="center" vertical="center"/>
    </xf>
    <xf borderId="3255" fillId="156" fontId="162" numFmtId="0" xfId="0" applyAlignment="1" applyBorder="1" applyFont="1">
      <alignment horizontal="center" vertical="center"/>
    </xf>
    <xf borderId="3276" fillId="157" fontId="138" numFmtId="0" xfId="0" applyAlignment="1" applyBorder="1" applyFont="1">
      <alignment horizontal="center" readingOrder="0" vertical="center"/>
    </xf>
    <xf borderId="3277" fillId="157" fontId="138" numFmtId="0" xfId="0" applyAlignment="1" applyBorder="1" applyFont="1">
      <alignment horizontal="center" readingOrder="0" vertical="center"/>
    </xf>
    <xf borderId="3278" fillId="157" fontId="138" numFmtId="0" xfId="0" applyAlignment="1" applyBorder="1" applyFont="1">
      <alignment horizontal="left" readingOrder="0" vertical="center"/>
    </xf>
    <xf borderId="3279" fillId="0" fontId="5" numFmtId="0" xfId="0" applyBorder="1" applyFont="1"/>
    <xf borderId="3237" fillId="156" fontId="139" numFmtId="0" xfId="0" applyAlignment="1" applyBorder="1" applyFont="1">
      <alignment horizontal="center" vertical="center"/>
    </xf>
    <xf borderId="3237" fillId="156" fontId="162" numFmtId="0" xfId="0" applyAlignment="1" applyBorder="1" applyFont="1">
      <alignment horizontal="center" vertical="center"/>
    </xf>
    <xf borderId="3280" fillId="157" fontId="138" numFmtId="0" xfId="0" applyAlignment="1" applyBorder="1" applyFont="1">
      <alignment horizontal="center" readingOrder="0" vertical="center"/>
    </xf>
    <xf borderId="3281" fillId="157" fontId="138" numFmtId="0" xfId="0" applyAlignment="1" applyBorder="1" applyFont="1">
      <alignment horizontal="center" readingOrder="0" vertical="center"/>
    </xf>
    <xf borderId="3282" fillId="157" fontId="138" numFmtId="0" xfId="0" applyAlignment="1" applyBorder="1" applyFont="1">
      <alignment horizontal="left" readingOrder="0" vertical="center"/>
    </xf>
    <xf borderId="3283" fillId="0" fontId="5" numFmtId="0" xfId="0" applyBorder="1" applyFont="1"/>
    <xf borderId="3284" fillId="157" fontId="138" numFmtId="0" xfId="0" applyAlignment="1" applyBorder="1" applyFont="1">
      <alignment horizontal="center" readingOrder="0" vertical="center"/>
    </xf>
    <xf borderId="3285" fillId="157" fontId="138" numFmtId="0" xfId="0" applyAlignment="1" applyBorder="1" applyFont="1">
      <alignment horizontal="center" readingOrder="0" vertical="center"/>
    </xf>
    <xf borderId="3286" fillId="157" fontId="138" numFmtId="0" xfId="0" applyAlignment="1" applyBorder="1" applyFont="1">
      <alignment horizontal="left" readingOrder="0" vertical="center"/>
    </xf>
    <xf borderId="3287" fillId="0" fontId="5" numFmtId="0" xfId="0" applyBorder="1" applyFont="1"/>
    <xf borderId="400" fillId="157" fontId="138" numFmtId="0" xfId="0" applyAlignment="1" applyBorder="1" applyFont="1">
      <alignment horizontal="right" readingOrder="0" vertical="center"/>
    </xf>
    <xf borderId="395" fillId="157" fontId="138" numFmtId="0" xfId="0" applyAlignment="1" applyBorder="1" applyFont="1">
      <alignment horizontal="right" readingOrder="0" vertical="center"/>
    </xf>
    <xf borderId="3288" fillId="156" fontId="162" numFmtId="0" xfId="0" applyAlignment="1" applyBorder="1" applyFont="1">
      <alignment horizontal="center" vertical="center"/>
    </xf>
    <xf borderId="3262" fillId="156" fontId="140" numFmtId="0" xfId="0" applyAlignment="1" applyBorder="1" applyFont="1">
      <alignment horizontal="center" vertical="center"/>
    </xf>
    <xf borderId="405" fillId="157" fontId="138" numFmtId="0" xfId="0" applyAlignment="1" applyBorder="1" applyFont="1">
      <alignment horizontal="right" readingOrder="0" vertical="center"/>
    </xf>
    <xf borderId="408" fillId="157" fontId="138" numFmtId="0" xfId="0" applyAlignment="1" applyBorder="1" applyFont="1">
      <alignment horizontal="center" readingOrder="0" vertical="center"/>
    </xf>
    <xf borderId="3238" fillId="156" fontId="139" numFmtId="0" xfId="0" applyAlignment="1" applyBorder="1" applyFont="1">
      <alignment horizontal="center" vertical="center"/>
    </xf>
    <xf borderId="3234" fillId="156" fontId="102" numFmtId="0" xfId="0" applyAlignment="1" applyBorder="1" applyFont="1">
      <alignment horizontal="right" vertical="center"/>
    </xf>
    <xf borderId="3262" fillId="156" fontId="162" numFmtId="0" xfId="0" applyAlignment="1" applyBorder="1" applyFont="1">
      <alignment horizontal="center" vertical="center"/>
    </xf>
    <xf borderId="3238" fillId="156" fontId="162" numFmtId="0" xfId="0" applyAlignment="1" applyBorder="1" applyFont="1">
      <alignment horizontal="center" vertical="center"/>
    </xf>
    <xf borderId="3289" fillId="156" fontId="162" numFmtId="0" xfId="0" applyAlignment="1" applyBorder="1" applyFont="1">
      <alignment horizontal="center" vertical="center"/>
    </xf>
    <xf borderId="3290" fillId="156" fontId="132" numFmtId="0" xfId="0" applyAlignment="1" applyBorder="1" applyFont="1">
      <alignment horizontal="center" vertical="center"/>
    </xf>
    <xf borderId="3291" fillId="156" fontId="132" numFmtId="0" xfId="0" applyAlignment="1" applyBorder="1" applyFont="1">
      <alignment horizontal="center" vertical="center"/>
    </xf>
    <xf borderId="3291" fillId="156" fontId="132" numFmtId="0" xfId="0" applyAlignment="1" applyBorder="1" applyFont="1">
      <alignment horizontal="center" readingOrder="0" vertical="center"/>
    </xf>
    <xf borderId="3292" fillId="156" fontId="132" numFmtId="0" xfId="0" applyAlignment="1" applyBorder="1" applyFont="1">
      <alignment horizontal="center" readingOrder="0" vertical="center"/>
    </xf>
    <xf borderId="3293" fillId="156" fontId="132" numFmtId="0" xfId="0" applyAlignment="1" applyBorder="1" applyFont="1">
      <alignment horizontal="center" vertical="center"/>
    </xf>
    <xf borderId="2871" fillId="144" fontId="102" numFmtId="0" xfId="0" applyAlignment="1" applyBorder="1" applyFont="1">
      <alignment horizontal="right" readingOrder="0" vertical="center"/>
    </xf>
    <xf borderId="339" fillId="146" fontId="104" numFmtId="0" xfId="0" applyAlignment="1" applyBorder="1" applyFont="1">
      <alignment horizontal="center" vertical="center"/>
    </xf>
    <xf borderId="2858" fillId="144" fontId="154" numFmtId="0" xfId="0" applyAlignment="1" applyBorder="1" applyFont="1">
      <alignment horizontal="center" vertical="center"/>
    </xf>
    <xf borderId="2849" fillId="144" fontId="131" numFmtId="0" xfId="0" applyAlignment="1" applyBorder="1" applyFont="1">
      <alignment horizontal="center" vertical="center"/>
    </xf>
    <xf borderId="2807" fillId="144" fontId="154" numFmtId="0" xfId="0" applyAlignment="1" applyBorder="1" applyFont="1">
      <alignment horizontal="center" vertical="center"/>
    </xf>
    <xf borderId="885" fillId="144" fontId="104" numFmtId="0" xfId="0" applyAlignment="1" applyBorder="1" applyFont="1">
      <alignment horizontal="right" readingOrder="0" vertical="center"/>
    </xf>
    <xf borderId="2858" fillId="144" fontId="156" numFmtId="0" xfId="0" applyAlignment="1" applyBorder="1" applyFont="1">
      <alignment horizontal="center" vertical="center"/>
    </xf>
    <xf borderId="2849" fillId="144" fontId="130" numFmtId="0" xfId="0" applyAlignment="1" applyBorder="1" applyFont="1">
      <alignment horizontal="center" readingOrder="0" vertical="center"/>
    </xf>
    <xf borderId="3294" fillId="0" fontId="5" numFmtId="0" xfId="0" applyBorder="1" applyFont="1"/>
    <xf borderId="2849" fillId="144" fontId="132" numFmtId="0" xfId="0" applyAlignment="1" applyBorder="1" applyFont="1">
      <alignment horizontal="center" vertical="center"/>
    </xf>
    <xf borderId="2833" fillId="144" fontId="132" numFmtId="0" xfId="0" applyAlignment="1" applyBorder="1" applyFont="1">
      <alignment horizontal="center" vertical="center"/>
    </xf>
    <xf borderId="2858" fillId="144" fontId="132" numFmtId="0" xfId="0" applyAlignment="1" applyBorder="1" applyFont="1">
      <alignment horizontal="center" readingOrder="0" vertical="center"/>
    </xf>
    <xf borderId="2849" fillId="144" fontId="146" numFmtId="0" xfId="0" applyAlignment="1" applyBorder="1" applyFont="1">
      <alignment horizontal="center" readingOrder="0" vertical="top"/>
    </xf>
    <xf borderId="2849" fillId="144" fontId="158" numFmtId="0" xfId="0" applyAlignment="1" applyBorder="1" applyFont="1">
      <alignment horizontal="center" readingOrder="0" vertical="center"/>
    </xf>
    <xf borderId="2833" fillId="144" fontId="158" numFmtId="0" xfId="0" applyAlignment="1" applyBorder="1" applyFont="1">
      <alignment horizontal="center" vertical="center"/>
    </xf>
    <xf borderId="2804" fillId="144" fontId="158" numFmtId="0" xfId="0" applyAlignment="1" applyBorder="1" applyFont="1">
      <alignment horizontal="center" vertical="center"/>
    </xf>
    <xf borderId="2804" fillId="144" fontId="132" numFmtId="0" xfId="0" applyAlignment="1" applyBorder="1" applyFont="1">
      <alignment horizontal="center" vertical="center"/>
    </xf>
    <xf borderId="2849" fillId="144" fontId="132" numFmtId="0" xfId="0" applyAlignment="1" applyBorder="1" applyFont="1">
      <alignment horizontal="center" vertical="top"/>
    </xf>
    <xf borderId="2804" fillId="144" fontId="132" numFmtId="0" xfId="0" applyAlignment="1" applyBorder="1" applyFont="1">
      <alignment horizontal="center" vertical="top"/>
    </xf>
    <xf borderId="2849" fillId="144" fontId="154" numFmtId="0" xfId="0" applyAlignment="1" applyBorder="1" applyFont="1">
      <alignment horizontal="center" readingOrder="0" vertical="center"/>
    </xf>
    <xf borderId="2849" fillId="144" fontId="132" numFmtId="0" xfId="0" applyAlignment="1" applyBorder="1" applyFont="1">
      <alignment horizontal="center" readingOrder="0" vertical="center"/>
    </xf>
    <xf borderId="2804" fillId="144" fontId="132" numFmtId="0" xfId="0" applyAlignment="1" applyBorder="1" applyFont="1">
      <alignment horizontal="center" readingOrder="0" vertical="center"/>
    </xf>
    <xf borderId="2804" fillId="144" fontId="154" numFmtId="0" xfId="0" applyAlignment="1" applyBorder="1" applyFont="1">
      <alignment horizontal="center" vertical="center"/>
    </xf>
    <xf borderId="3295" fillId="0" fontId="5" numFmtId="0" xfId="0" applyBorder="1" applyFont="1"/>
    <xf borderId="2872" fillId="144" fontId="160" numFmtId="0" xfId="0" applyAlignment="1" applyBorder="1" applyFont="1">
      <alignment horizontal="center" vertical="top"/>
    </xf>
    <xf borderId="2858" fillId="144" fontId="160" numFmtId="0" xfId="0" applyAlignment="1" applyBorder="1" applyFont="1">
      <alignment horizontal="center" vertical="center"/>
    </xf>
    <xf borderId="2849" fillId="144" fontId="138" numFmtId="0" xfId="0" applyAlignment="1" applyBorder="1" applyFont="1">
      <alignment horizontal="center" readingOrder="0" vertical="top"/>
    </xf>
    <xf borderId="2804" fillId="144" fontId="138" numFmtId="0" xfId="0" applyAlignment="1" applyBorder="1" applyFont="1">
      <alignment horizontal="center" readingOrder="0" vertical="top"/>
    </xf>
    <xf borderId="2858" fillId="144" fontId="140" numFmtId="0" xfId="0" applyAlignment="1" applyBorder="1" applyFont="1">
      <alignment horizontal="center" vertical="center"/>
    </xf>
    <xf borderId="2804" fillId="144" fontId="138" numFmtId="0" xfId="0" applyAlignment="1" applyBorder="1" applyFont="1">
      <alignment horizontal="center" readingOrder="0" vertical="center"/>
    </xf>
    <xf borderId="2804" fillId="144" fontId="138" numFmtId="0" xfId="0" applyAlignment="1" applyBorder="1" applyFont="1">
      <alignment horizontal="left" readingOrder="0" vertical="center"/>
    </xf>
    <xf borderId="3296" fillId="148" fontId="138" numFmtId="0" xfId="0" applyAlignment="1" applyBorder="1" applyFont="1">
      <alignment horizontal="left" readingOrder="0" vertical="center"/>
    </xf>
    <xf borderId="3297" fillId="0" fontId="5" numFmtId="0" xfId="0" applyBorder="1" applyFont="1"/>
    <xf borderId="2804" fillId="144" fontId="140" numFmtId="0" xfId="0" applyAlignment="1" applyBorder="1" applyFont="1">
      <alignment horizontal="center" vertical="center"/>
    </xf>
    <xf borderId="2849" fillId="144" fontId="138" numFmtId="0" xfId="0" applyAlignment="1" applyBorder="1" applyFont="1">
      <alignment horizontal="right" readingOrder="0" vertical="center"/>
    </xf>
    <xf borderId="2800" fillId="144" fontId="138" numFmtId="0" xfId="0" applyAlignment="1" applyBorder="1" applyFont="1">
      <alignment horizontal="right" readingOrder="0" vertical="center"/>
    </xf>
    <xf borderId="2800" fillId="144" fontId="138" numFmtId="0" xfId="0" applyAlignment="1" applyBorder="1" applyFont="1">
      <alignment horizontal="center" readingOrder="0" vertical="center"/>
    </xf>
    <xf borderId="2804" fillId="144" fontId="104" numFmtId="0" xfId="0" applyAlignment="1" applyBorder="1" applyFont="1">
      <alignment horizontal="right" vertical="top"/>
    </xf>
    <xf borderId="2800" fillId="144" fontId="132" numFmtId="0" xfId="0" applyAlignment="1" applyBorder="1" applyFont="1">
      <alignment horizontal="center" readingOrder="0" vertical="center"/>
    </xf>
    <xf borderId="3298" fillId="144" fontId="154" numFmtId="0" xfId="0" applyAlignment="1" applyBorder="1" applyFont="1">
      <alignment horizontal="center" vertical="center"/>
    </xf>
    <xf borderId="3299" fillId="144" fontId="104" numFmtId="0" xfId="0" applyAlignment="1" applyBorder="1" applyFont="1">
      <alignment horizontal="right" vertical="top"/>
    </xf>
    <xf borderId="3299" fillId="144" fontId="154" numFmtId="0" xfId="0" applyAlignment="1" applyBorder="1" applyFont="1">
      <alignment horizontal="center" vertical="center"/>
    </xf>
    <xf borderId="3299" fillId="144" fontId="132" numFmtId="0" xfId="0" applyAlignment="1" applyBorder="1" applyFont="1">
      <alignment horizontal="center" readingOrder="0" vertical="center"/>
    </xf>
    <xf borderId="3299" fillId="144" fontId="140" numFmtId="0" xfId="0" applyAlignment="1" applyBorder="1" applyFont="1">
      <alignment horizontal="center" vertical="center"/>
    </xf>
    <xf borderId="1942" fillId="122" fontId="139" numFmtId="0" xfId="0" applyAlignment="1" applyBorder="1" applyFont="1">
      <alignment horizontal="center" vertical="center"/>
    </xf>
    <xf borderId="1942" fillId="122" fontId="140" numFmtId="0" xfId="0" applyAlignment="1" applyBorder="1" applyFont="1">
      <alignment horizontal="center" vertical="center"/>
    </xf>
    <xf borderId="1942" fillId="122" fontId="160" numFmtId="0" xfId="0" applyAlignment="1" applyBorder="1" applyFont="1">
      <alignment horizontal="center" vertical="center"/>
    </xf>
    <xf borderId="1943" fillId="122" fontId="139" numFmtId="0" xfId="0" applyAlignment="1" applyBorder="1" applyFont="1">
      <alignment horizontal="center" vertical="center"/>
    </xf>
    <xf borderId="1943" fillId="122" fontId="140" numFmtId="0" xfId="0" applyAlignment="1" applyBorder="1" applyFont="1">
      <alignment horizontal="center" vertical="center"/>
    </xf>
    <xf borderId="3300" fillId="158" fontId="132" numFmtId="0" xfId="0" applyAlignment="1" applyBorder="1" applyFill="1" applyFont="1">
      <alignment horizontal="center" vertical="center"/>
    </xf>
    <xf borderId="3301" fillId="158" fontId="132" numFmtId="0" xfId="0" applyAlignment="1" applyBorder="1" applyFont="1">
      <alignment horizontal="center" vertical="center"/>
    </xf>
    <xf borderId="3301" fillId="158" fontId="131" numFmtId="0" xfId="0" applyAlignment="1" applyBorder="1" applyFont="1">
      <alignment horizontal="center" vertical="center"/>
    </xf>
    <xf borderId="3302" fillId="158" fontId="131" numFmtId="0" xfId="0" applyAlignment="1" applyBorder="1" applyFont="1">
      <alignment horizontal="center" vertical="center"/>
    </xf>
    <xf borderId="3303" fillId="158" fontId="132" numFmtId="0" xfId="0" applyAlignment="1" applyBorder="1" applyFont="1">
      <alignment horizontal="center" vertical="center"/>
    </xf>
    <xf borderId="3304" fillId="158" fontId="132" numFmtId="0" xfId="0" applyAlignment="1" applyBorder="1" applyFont="1">
      <alignment horizontal="center" vertical="center"/>
    </xf>
    <xf borderId="339" fillId="59" fontId="104" numFmtId="0" xfId="0" applyAlignment="1" applyBorder="1" applyFont="1">
      <alignment horizontal="center" vertical="center"/>
    </xf>
    <xf borderId="3305" fillId="158" fontId="131" numFmtId="0" xfId="0" applyAlignment="1" applyBorder="1" applyFont="1">
      <alignment horizontal="center" vertical="center"/>
    </xf>
    <xf borderId="1066" fillId="59" fontId="131" numFmtId="0" xfId="0" applyAlignment="1" applyBorder="1" applyFont="1">
      <alignment horizontal="center" vertical="center"/>
    </xf>
    <xf borderId="3306" fillId="158" fontId="132" numFmtId="0" xfId="0" applyAlignment="1" applyBorder="1" applyFont="1">
      <alignment horizontal="center" vertical="center"/>
    </xf>
    <xf borderId="3307" fillId="158" fontId="132" numFmtId="0" xfId="0" applyAlignment="1" applyBorder="1" applyFont="1">
      <alignment horizontal="center" vertical="center"/>
    </xf>
    <xf borderId="885" fillId="158" fontId="104" numFmtId="0" xfId="0" applyAlignment="1" applyBorder="1" applyFont="1">
      <alignment horizontal="right" readingOrder="0" vertical="center"/>
    </xf>
    <xf borderId="3305" fillId="158" fontId="132" numFmtId="0" xfId="0" applyAlignment="1" applyBorder="1" applyFont="1">
      <alignment horizontal="center" readingOrder="0" vertical="center"/>
    </xf>
    <xf borderId="3308" fillId="158" fontId="130" numFmtId="0" xfId="0" applyAlignment="1" applyBorder="1" applyFont="1">
      <alignment horizontal="center" readingOrder="0" vertical="center"/>
    </xf>
    <xf borderId="3309" fillId="0" fontId="5" numFmtId="0" xfId="0" applyBorder="1" applyFont="1"/>
    <xf borderId="3310" fillId="0" fontId="5" numFmtId="0" xfId="0" applyBorder="1" applyFont="1"/>
    <xf borderId="3311" fillId="158" fontId="146" numFmtId="0" xfId="0" applyAlignment="1" applyBorder="1" applyFont="1">
      <alignment horizontal="center" readingOrder="0" vertical="top"/>
    </xf>
    <xf borderId="3312" fillId="0" fontId="5" numFmtId="0" xfId="0" applyBorder="1" applyFont="1"/>
    <xf borderId="3313" fillId="0" fontId="5" numFmtId="0" xfId="0" applyBorder="1" applyFont="1"/>
    <xf borderId="3314" fillId="158" fontId="132" numFmtId="0" xfId="0" applyAlignment="1" applyBorder="1" applyFont="1">
      <alignment horizontal="center" vertical="center"/>
    </xf>
    <xf borderId="3315" fillId="158" fontId="132" numFmtId="0" xfId="0" applyAlignment="1" applyBorder="1" applyFont="1">
      <alignment horizontal="center" vertical="center"/>
    </xf>
    <xf borderId="3316" fillId="158" fontId="132" numFmtId="0" xfId="0" applyAlignment="1" applyBorder="1" applyFont="1">
      <alignment horizontal="right" vertical="top"/>
    </xf>
    <xf borderId="3316" fillId="158" fontId="132" numFmtId="0" xfId="0" applyAlignment="1" applyBorder="1" applyFont="1">
      <alignment horizontal="left" vertical="top"/>
    </xf>
    <xf borderId="3317" fillId="158" fontId="132" numFmtId="0" xfId="0" applyAlignment="1" applyBorder="1" applyFont="1">
      <alignment horizontal="center" vertical="top"/>
    </xf>
    <xf borderId="3318" fillId="158" fontId="132" numFmtId="0" xfId="0" applyAlignment="1" applyBorder="1" applyFont="1">
      <alignment horizontal="center" vertical="top"/>
    </xf>
    <xf borderId="3319" fillId="0" fontId="5" numFmtId="0" xfId="0" applyBorder="1" applyFont="1"/>
    <xf borderId="3320" fillId="158" fontId="132" numFmtId="0" xfId="0" applyAlignment="1" applyBorder="1" applyFont="1">
      <alignment horizontal="center" vertical="center"/>
    </xf>
    <xf borderId="3314" fillId="158" fontId="104" numFmtId="0" xfId="0" applyAlignment="1" applyBorder="1" applyFont="1">
      <alignment horizontal="right" vertical="center"/>
    </xf>
    <xf borderId="3321" fillId="158" fontId="132" numFmtId="0" xfId="0" applyAlignment="1" applyBorder="1" applyFont="1">
      <alignment horizontal="center" vertical="center"/>
    </xf>
    <xf borderId="3322" fillId="158" fontId="132" numFmtId="0" xfId="0" applyAlignment="1" applyBorder="1" applyFont="1">
      <alignment horizontal="center" vertical="top"/>
    </xf>
    <xf borderId="3323" fillId="158" fontId="132" numFmtId="0" xfId="0" applyAlignment="1" applyBorder="1" applyFont="1">
      <alignment horizontal="center" vertical="top"/>
    </xf>
    <xf borderId="3305" fillId="158" fontId="132" numFmtId="0" xfId="0" applyAlignment="1" applyBorder="1" applyFont="1">
      <alignment horizontal="center" vertical="center"/>
    </xf>
    <xf borderId="3324" fillId="158" fontId="132" numFmtId="0" xfId="0" applyAlignment="1" applyBorder="1" applyFont="1">
      <alignment horizontal="center" readingOrder="0" vertical="center"/>
    </xf>
    <xf borderId="3325" fillId="0" fontId="5" numFmtId="0" xfId="0" applyBorder="1" applyFont="1"/>
    <xf borderId="3326" fillId="0" fontId="5" numFmtId="0" xfId="0" applyBorder="1" applyFont="1"/>
    <xf borderId="3327" fillId="158" fontId="104" numFmtId="0" xfId="0" applyAlignment="1" applyBorder="1" applyFont="1">
      <alignment horizontal="right"/>
    </xf>
    <xf borderId="3328" fillId="158" fontId="132" numFmtId="0" xfId="0" applyAlignment="1" applyBorder="1" applyFont="1">
      <alignment horizontal="center" readingOrder="0" vertical="center"/>
    </xf>
    <xf borderId="3329" fillId="0" fontId="5" numFmtId="0" xfId="0" applyBorder="1" applyFont="1"/>
    <xf borderId="3330" fillId="0" fontId="5" numFmtId="0" xfId="0" applyBorder="1" applyFont="1"/>
    <xf borderId="3302" fillId="0" fontId="5" numFmtId="0" xfId="0" applyBorder="1" applyFont="1"/>
    <xf borderId="3331" fillId="158" fontId="132" numFmtId="0" xfId="0" applyAlignment="1" applyBorder="1" applyFont="1">
      <alignment horizontal="center" vertical="center"/>
    </xf>
    <xf borderId="3306" fillId="0" fontId="5" numFmtId="0" xfId="0" applyBorder="1" applyFont="1"/>
    <xf borderId="3332" fillId="0" fontId="5" numFmtId="0" xfId="0" applyBorder="1" applyFont="1"/>
    <xf borderId="3333" fillId="158" fontId="132" numFmtId="0" xfId="0" applyAlignment="1" applyBorder="1" applyFont="1">
      <alignment horizontal="center" vertical="center"/>
    </xf>
    <xf borderId="3331" fillId="158" fontId="132" numFmtId="0" xfId="0" applyAlignment="1" applyBorder="1" applyFont="1">
      <alignment horizontal="center" readingOrder="0" vertical="center"/>
    </xf>
    <xf borderId="3301" fillId="0" fontId="5" numFmtId="0" xfId="0" applyBorder="1" applyFont="1"/>
    <xf borderId="3334" fillId="158" fontId="132" numFmtId="0" xfId="0" applyAlignment="1" applyBorder="1" applyFont="1">
      <alignment horizontal="center" readingOrder="0" vertical="center"/>
    </xf>
    <xf borderId="3335" fillId="0" fontId="5" numFmtId="0" xfId="0" applyBorder="1" applyFont="1"/>
    <xf borderId="3336" fillId="0" fontId="5" numFmtId="0" xfId="0" applyBorder="1" applyFont="1"/>
    <xf borderId="3337" fillId="158" fontId="132" numFmtId="0" xfId="0" applyAlignment="1" applyBorder="1" applyFont="1">
      <alignment horizontal="center" vertical="center"/>
    </xf>
    <xf borderId="3338" fillId="0" fontId="5" numFmtId="0" xfId="0" applyBorder="1" applyFont="1"/>
    <xf borderId="3339" fillId="158" fontId="132" numFmtId="0" xfId="0" applyAlignment="1" applyBorder="1" applyFont="1">
      <alignment horizontal="center" readingOrder="0" vertical="center"/>
    </xf>
    <xf borderId="3339" fillId="158" fontId="132" numFmtId="0" xfId="0" applyAlignment="1" applyBorder="1" applyFont="1">
      <alignment horizontal="center" vertical="center"/>
    </xf>
    <xf borderId="3340" fillId="158" fontId="132" numFmtId="0" xfId="0" applyAlignment="1" applyBorder="1" applyFont="1">
      <alignment horizontal="center" vertical="center"/>
    </xf>
    <xf borderId="3341" fillId="0" fontId="5" numFmtId="0" xfId="0" applyBorder="1" applyFont="1"/>
    <xf borderId="3342" fillId="0" fontId="5" numFmtId="0" xfId="0" applyBorder="1" applyFont="1"/>
    <xf borderId="3343" fillId="158" fontId="132" numFmtId="0" xfId="0" applyAlignment="1" applyBorder="1" applyFont="1">
      <alignment horizontal="center" vertical="center"/>
    </xf>
    <xf borderId="3344" fillId="0" fontId="5" numFmtId="0" xfId="0" applyBorder="1" applyFont="1"/>
    <xf borderId="3340" fillId="158" fontId="132" numFmtId="0" xfId="0" applyAlignment="1" applyBorder="1" applyFont="1">
      <alignment horizontal="center" readingOrder="0" vertical="center"/>
    </xf>
    <xf borderId="3304" fillId="158" fontId="153" numFmtId="0" xfId="0" applyAlignment="1" applyBorder="1" applyFont="1">
      <alignment horizontal="center" vertical="center"/>
    </xf>
    <xf borderId="3314" fillId="158" fontId="102" numFmtId="0" xfId="0" applyAlignment="1" applyBorder="1" applyFont="1">
      <alignment horizontal="right" vertical="center"/>
    </xf>
    <xf borderId="3314" fillId="158" fontId="160" numFmtId="0" xfId="0" applyAlignment="1" applyBorder="1" applyFont="1">
      <alignment horizontal="center" vertical="center"/>
    </xf>
    <xf borderId="3301" fillId="158" fontId="160" numFmtId="0" xfId="0" applyAlignment="1" applyBorder="1" applyFont="1">
      <alignment horizontal="center" vertical="top"/>
    </xf>
    <xf borderId="3314" fillId="158" fontId="160" numFmtId="0" xfId="0" applyAlignment="1" applyBorder="1" applyFont="1">
      <alignment horizontal="center" vertical="top"/>
    </xf>
    <xf borderId="3302" fillId="158" fontId="160" numFmtId="0" xfId="0" applyAlignment="1" applyBorder="1" applyFont="1">
      <alignment horizontal="center" vertical="top"/>
    </xf>
    <xf borderId="3314" fillId="158" fontId="161" numFmtId="0" xfId="0" applyAlignment="1" applyBorder="1" applyFont="1">
      <alignment horizontal="center" vertical="center"/>
    </xf>
    <xf borderId="3320" fillId="158" fontId="153" numFmtId="0" xfId="0" applyAlignment="1" applyBorder="1" applyFont="1">
      <alignment horizontal="center" vertical="center"/>
    </xf>
    <xf borderId="3304" fillId="158" fontId="162" numFmtId="0" xfId="0" applyAlignment="1" applyBorder="1" applyFont="1">
      <alignment horizontal="center" vertical="center"/>
    </xf>
    <xf borderId="3314" fillId="158" fontId="140" numFmtId="0" xfId="0" applyAlignment="1" applyBorder="1" applyFont="1">
      <alignment horizontal="center" vertical="center"/>
    </xf>
    <xf borderId="378" fillId="59" fontId="138" numFmtId="0" xfId="0" applyAlignment="1" applyBorder="1" applyFont="1">
      <alignment horizontal="center" readingOrder="0" vertical="top"/>
    </xf>
    <xf borderId="3305" fillId="158" fontId="139" numFmtId="0" xfId="0" applyAlignment="1" applyBorder="1" applyFont="1">
      <alignment horizontal="center" vertical="center"/>
    </xf>
    <xf borderId="3305" fillId="158" fontId="140" numFmtId="0" xfId="0" applyAlignment="1" applyBorder="1" applyFont="1">
      <alignment horizontal="center" vertical="center"/>
    </xf>
    <xf borderId="3305" fillId="158" fontId="160" numFmtId="0" xfId="0" applyAlignment="1" applyBorder="1" applyFont="1">
      <alignment horizontal="center" vertical="center"/>
    </xf>
    <xf borderId="3305" fillId="158" fontId="162" numFmtId="0" xfId="0" applyAlignment="1" applyBorder="1" applyFont="1">
      <alignment horizontal="center" vertical="center"/>
    </xf>
    <xf borderId="3320" fillId="158" fontId="162" numFmtId="0" xfId="0" applyAlignment="1" applyBorder="1" applyFont="1">
      <alignment horizontal="center" vertical="center"/>
    </xf>
    <xf borderId="3345" fillId="59" fontId="138" numFmtId="0" xfId="0" applyAlignment="1" applyBorder="1" applyFont="1">
      <alignment horizontal="center" readingOrder="0" vertical="center"/>
    </xf>
    <xf borderId="3346" fillId="59" fontId="138" numFmtId="0" xfId="0" applyAlignment="1" applyBorder="1" applyFont="1">
      <alignment horizontal="center" readingOrder="0" vertical="center"/>
    </xf>
    <xf borderId="3347" fillId="59" fontId="138" numFmtId="0" xfId="0" applyAlignment="1" applyBorder="1" applyFont="1">
      <alignment horizontal="left" readingOrder="0" vertical="center"/>
    </xf>
    <xf borderId="3348" fillId="0" fontId="5" numFmtId="0" xfId="0" applyBorder="1" applyFont="1"/>
    <xf borderId="3314" fillId="158" fontId="139" numFmtId="0" xfId="0" applyAlignment="1" applyBorder="1" applyFont="1">
      <alignment horizontal="center" vertical="center"/>
    </xf>
    <xf borderId="3314" fillId="158" fontId="162" numFmtId="0" xfId="0" applyAlignment="1" applyBorder="1" applyFont="1">
      <alignment horizontal="center" vertical="center"/>
    </xf>
    <xf borderId="3349" fillId="59" fontId="138" numFmtId="0" xfId="0" applyAlignment="1" applyBorder="1" applyFont="1">
      <alignment horizontal="center" readingOrder="0" vertical="center"/>
    </xf>
    <xf borderId="3350" fillId="59" fontId="138" numFmtId="0" xfId="0" applyAlignment="1" applyBorder="1" applyFont="1">
      <alignment horizontal="center" readingOrder="0" vertical="center"/>
    </xf>
    <xf borderId="3351" fillId="59" fontId="138" numFmtId="0" xfId="0" applyAlignment="1" applyBorder="1" applyFont="1">
      <alignment horizontal="left" readingOrder="0" vertical="center"/>
    </xf>
    <xf borderId="3352" fillId="0" fontId="5" numFmtId="0" xfId="0" applyBorder="1" applyFont="1"/>
    <xf borderId="3353" fillId="59" fontId="138" numFmtId="0" xfId="0" applyAlignment="1" applyBorder="1" applyFont="1">
      <alignment horizontal="center" readingOrder="0" vertical="center"/>
    </xf>
    <xf borderId="3354" fillId="59" fontId="138" numFmtId="0" xfId="0" applyAlignment="1" applyBorder="1" applyFont="1">
      <alignment horizontal="center" readingOrder="0" vertical="center"/>
    </xf>
    <xf borderId="3355" fillId="59" fontId="138" numFmtId="0" xfId="0" applyAlignment="1" applyBorder="1" applyFont="1">
      <alignment horizontal="left" readingOrder="0" vertical="center"/>
    </xf>
    <xf borderId="3356" fillId="0" fontId="5" numFmtId="0" xfId="0" applyBorder="1" applyFont="1"/>
    <xf borderId="395" fillId="59" fontId="138" numFmtId="0" xfId="0" applyAlignment="1" applyBorder="1" applyFont="1">
      <alignment horizontal="right" readingOrder="0" vertical="center"/>
    </xf>
    <xf borderId="400" fillId="59" fontId="138" numFmtId="0" xfId="0" applyAlignment="1" applyBorder="1" applyFont="1">
      <alignment horizontal="right" readingOrder="0" vertical="center"/>
    </xf>
    <xf borderId="3357" fillId="158" fontId="162" numFmtId="0" xfId="0" applyAlignment="1" applyBorder="1" applyFont="1">
      <alignment horizontal="center" vertical="center"/>
    </xf>
    <xf borderId="3327" fillId="158" fontId="140" numFmtId="0" xfId="0" applyAlignment="1" applyBorder="1" applyFont="1">
      <alignment horizontal="center" vertical="center"/>
    </xf>
    <xf borderId="3327" fillId="158" fontId="139" numFmtId="0" xfId="0" applyAlignment="1" applyBorder="1" applyFont="1">
      <alignment horizontal="center" vertical="center"/>
    </xf>
    <xf borderId="3358" fillId="158" fontId="162" numFmtId="0" xfId="0" applyAlignment="1" applyBorder="1" applyFont="1">
      <alignment horizontal="center" vertical="center"/>
    </xf>
    <xf borderId="405" fillId="59" fontId="138" numFmtId="0" xfId="0" applyAlignment="1" applyBorder="1" applyFont="1">
      <alignment horizontal="right" readingOrder="0" vertical="center"/>
    </xf>
    <xf borderId="3327" fillId="158" fontId="162" numFmtId="0" xfId="0" applyAlignment="1" applyBorder="1" applyFont="1">
      <alignment horizontal="center" vertical="center"/>
    </xf>
    <xf borderId="3333" fillId="158" fontId="162" numFmtId="0" xfId="0" applyAlignment="1" applyBorder="1" applyFont="1">
      <alignment horizontal="center" vertical="center"/>
    </xf>
    <xf borderId="3359" fillId="158" fontId="132" numFmtId="0" xfId="0" applyAlignment="1" applyBorder="1" applyFont="1">
      <alignment horizontal="center" vertical="center"/>
    </xf>
    <xf borderId="3360" fillId="158" fontId="132" numFmtId="0" xfId="0" applyAlignment="1" applyBorder="1" applyFont="1">
      <alignment horizontal="center" vertical="center"/>
    </xf>
    <xf borderId="3360" fillId="158" fontId="132" numFmtId="0" xfId="0" applyAlignment="1" applyBorder="1" applyFont="1">
      <alignment horizontal="center" vertical="center"/>
    </xf>
    <xf borderId="3361" fillId="158" fontId="132" numFmtId="0" xfId="0" applyAlignment="1" applyBorder="1" applyFont="1">
      <alignment horizontal="center" readingOrder="0" vertical="center"/>
    </xf>
    <xf borderId="3360" fillId="158" fontId="132" numFmtId="0" xfId="0" applyAlignment="1" applyBorder="1" applyFont="1">
      <alignment horizontal="center" readingOrder="0" vertical="center"/>
    </xf>
    <xf borderId="3362" fillId="158" fontId="132" numFmtId="0" xfId="0" applyAlignment="1" applyBorder="1" applyFont="1">
      <alignment horizontal="center" vertical="center"/>
    </xf>
    <xf borderId="3363" fillId="159" fontId="132" numFmtId="0" xfId="0" applyAlignment="1" applyBorder="1" applyFill="1" applyFont="1">
      <alignment horizontal="center" vertical="center"/>
    </xf>
    <xf borderId="3364" fillId="159" fontId="132" numFmtId="0" xfId="0" applyAlignment="1" applyBorder="1" applyFont="1">
      <alignment horizontal="center" vertical="center"/>
    </xf>
    <xf borderId="3364" fillId="159" fontId="132" numFmtId="0" xfId="0" applyAlignment="1" applyBorder="1" applyFont="1">
      <alignment horizontal="center" vertical="center"/>
    </xf>
    <xf borderId="3364" fillId="159" fontId="132" numFmtId="0" xfId="0" applyAlignment="1" applyBorder="1" applyFont="1">
      <alignment horizontal="center" readingOrder="0" vertical="center"/>
    </xf>
    <xf borderId="3365" fillId="159" fontId="132" numFmtId="0" xfId="0" applyAlignment="1" applyBorder="1" applyFont="1">
      <alignment horizontal="center" vertical="center"/>
    </xf>
    <xf borderId="3366" fillId="159" fontId="132" numFmtId="0" xfId="0" applyAlignment="1" applyBorder="1" applyFont="1">
      <alignment horizontal="center" vertical="center"/>
    </xf>
    <xf borderId="3367" fillId="159" fontId="106" numFmtId="0" xfId="0" applyAlignment="1" applyBorder="1" applyFont="1">
      <alignment horizontal="center" readingOrder="0" vertical="center"/>
    </xf>
    <xf borderId="3368" fillId="159" fontId="132" numFmtId="0" xfId="0" applyAlignment="1" applyBorder="1" applyFont="1">
      <alignment horizontal="center" vertical="center"/>
    </xf>
    <xf borderId="3369" fillId="159" fontId="106" numFmtId="0" xfId="0" applyAlignment="1" applyBorder="1" applyFont="1">
      <alignment horizontal="center" readingOrder="0" vertical="center"/>
    </xf>
    <xf borderId="3366" fillId="159" fontId="162" numFmtId="0" xfId="0" applyAlignment="1" applyBorder="1" applyFont="1">
      <alignment horizontal="center" vertical="center"/>
    </xf>
    <xf borderId="3367" fillId="159" fontId="102" numFmtId="0" xfId="0" applyAlignment="1" applyBorder="1" applyFont="1">
      <alignment horizontal="right" vertical="center"/>
    </xf>
    <xf borderId="3370" fillId="159" fontId="210" numFmtId="0" xfId="0" applyAlignment="1" applyBorder="1" applyFont="1">
      <alignment horizontal="left" readingOrder="0" vertical="center"/>
    </xf>
    <xf borderId="3371" fillId="0" fontId="5" numFmtId="0" xfId="0" applyBorder="1" applyFont="1"/>
    <xf borderId="3372" fillId="0" fontId="5" numFmtId="0" xfId="0" applyBorder="1" applyFont="1"/>
    <xf borderId="3373" fillId="159" fontId="132" numFmtId="0" xfId="0" applyAlignment="1" applyBorder="1" applyFont="1">
      <alignment horizontal="center" vertical="center"/>
    </xf>
    <xf borderId="3374" fillId="159" fontId="132" numFmtId="0" xfId="0" applyAlignment="1" applyBorder="1" applyFont="1">
      <alignment horizontal="center" vertical="center"/>
    </xf>
    <xf borderId="339" fillId="69" fontId="104" numFmtId="0" xfId="0" applyAlignment="1" applyBorder="1" applyFont="1">
      <alignment horizontal="center" vertical="center"/>
    </xf>
    <xf borderId="3375" fillId="159" fontId="131" numFmtId="0" xfId="0" applyAlignment="1" applyBorder="1" applyFont="1">
      <alignment horizontal="center" vertical="center"/>
    </xf>
    <xf borderId="1066" fillId="69" fontId="131" numFmtId="0" xfId="0" applyAlignment="1" applyBorder="1" applyFont="1">
      <alignment horizontal="center" vertical="center"/>
    </xf>
    <xf borderId="3371" fillId="159" fontId="132" numFmtId="0" xfId="0" applyAlignment="1" applyBorder="1" applyFont="1">
      <alignment horizontal="center" vertical="center"/>
    </xf>
    <xf borderId="885" fillId="159" fontId="104" numFmtId="0" xfId="0" applyAlignment="1" applyBorder="1" applyFont="1">
      <alignment horizontal="right" readingOrder="0" vertical="center"/>
    </xf>
    <xf borderId="3375" fillId="159" fontId="132" numFmtId="0" xfId="0" applyAlignment="1" applyBorder="1" applyFont="1">
      <alignment horizontal="center" readingOrder="0" vertical="center"/>
    </xf>
    <xf borderId="3376" fillId="159" fontId="130" numFmtId="0" xfId="0" applyAlignment="1" applyBorder="1" applyFont="1">
      <alignment horizontal="center" readingOrder="0" vertical="center"/>
    </xf>
    <xf borderId="3377" fillId="0" fontId="5" numFmtId="0" xfId="0" applyBorder="1" applyFont="1"/>
    <xf borderId="3378" fillId="0" fontId="5" numFmtId="0" xfId="0" applyBorder="1" applyFont="1"/>
    <xf borderId="3379" fillId="159" fontId="146" numFmtId="0" xfId="0" applyAlignment="1" applyBorder="1" applyFont="1">
      <alignment horizontal="center" readingOrder="0" vertical="top"/>
    </xf>
    <xf borderId="3380" fillId="0" fontId="5" numFmtId="0" xfId="0" applyBorder="1" applyFont="1"/>
    <xf borderId="3381" fillId="0" fontId="5" numFmtId="0" xfId="0" applyBorder="1" applyFont="1"/>
    <xf borderId="3382" fillId="159" fontId="132" numFmtId="0" xfId="0" applyAlignment="1" applyBorder="1" applyFont="1">
      <alignment horizontal="center" vertical="center"/>
    </xf>
    <xf borderId="3383" fillId="159" fontId="132" numFmtId="0" xfId="0" applyAlignment="1" applyBorder="1" applyFont="1">
      <alignment horizontal="center" vertical="center"/>
    </xf>
    <xf borderId="3384" fillId="159" fontId="132" numFmtId="0" xfId="0" applyAlignment="1" applyBorder="1" applyFont="1">
      <alignment horizontal="right" vertical="top"/>
    </xf>
    <xf borderId="3384" fillId="159" fontId="132" numFmtId="0" xfId="0" applyAlignment="1" applyBorder="1" applyFont="1">
      <alignment horizontal="left" vertical="top"/>
    </xf>
    <xf borderId="3385" fillId="159" fontId="132" numFmtId="0" xfId="0" applyAlignment="1" applyBorder="1" applyFont="1">
      <alignment horizontal="center" vertical="top"/>
    </xf>
    <xf borderId="3386" fillId="159" fontId="132" numFmtId="0" xfId="0" applyAlignment="1" applyBorder="1" applyFont="1">
      <alignment horizontal="center" vertical="center"/>
    </xf>
    <xf borderId="3387" fillId="159" fontId="104" numFmtId="0" xfId="0" applyAlignment="1" applyBorder="1" applyFont="1">
      <alignment horizontal="right" vertical="center"/>
    </xf>
    <xf borderId="3388" fillId="159" fontId="132" numFmtId="0" xfId="0" applyAlignment="1" applyBorder="1" applyFont="1">
      <alignment horizontal="center" vertical="center"/>
    </xf>
    <xf borderId="3389" fillId="159" fontId="132" numFmtId="0" xfId="0" applyAlignment="1" applyBorder="1" applyFont="1">
      <alignment horizontal="center" vertical="center"/>
    </xf>
    <xf borderId="3390" fillId="159" fontId="132" numFmtId="0" xfId="0" applyAlignment="1" applyBorder="1" applyFont="1">
      <alignment horizontal="center" vertical="top"/>
    </xf>
    <xf borderId="3391" fillId="159" fontId="132" numFmtId="0" xfId="0" applyAlignment="1" applyBorder="1" applyFont="1">
      <alignment horizontal="center" vertical="top"/>
    </xf>
    <xf borderId="3367" fillId="159" fontId="104" numFmtId="0" xfId="0" applyAlignment="1" applyBorder="1" applyFont="1">
      <alignment horizontal="right" vertical="center"/>
    </xf>
    <xf borderId="3392" fillId="159" fontId="132" numFmtId="0" xfId="0" applyAlignment="1" applyBorder="1" applyFont="1">
      <alignment horizontal="center" vertical="center"/>
    </xf>
    <xf borderId="3393" fillId="159" fontId="132" numFmtId="0" xfId="0" applyAlignment="1" applyBorder="1" applyFont="1">
      <alignment horizontal="center" readingOrder="0" vertical="center"/>
    </xf>
    <xf borderId="3394" fillId="0" fontId="5" numFmtId="0" xfId="0" applyBorder="1" applyFont="1"/>
    <xf borderId="3395" fillId="0" fontId="5" numFmtId="0" xfId="0" applyBorder="1" applyFont="1"/>
    <xf borderId="3396" fillId="159" fontId="104" numFmtId="0" xfId="0" applyAlignment="1" applyBorder="1" applyFont="1">
      <alignment horizontal="right"/>
    </xf>
    <xf borderId="3397" fillId="159" fontId="132" numFmtId="0" xfId="0" applyAlignment="1" applyBorder="1" applyFont="1">
      <alignment horizontal="center" readingOrder="0" vertical="center"/>
    </xf>
    <xf borderId="3398" fillId="0" fontId="5" numFmtId="0" xfId="0" applyBorder="1" applyFont="1"/>
    <xf borderId="3399" fillId="0" fontId="5" numFmtId="0" xfId="0" applyBorder="1" applyFont="1"/>
    <xf borderId="3400" fillId="0" fontId="5" numFmtId="0" xfId="0" applyBorder="1" applyFont="1"/>
    <xf borderId="3401" fillId="159" fontId="132" numFmtId="0" xfId="0" applyAlignment="1" applyBorder="1" applyFont="1">
      <alignment horizontal="center" readingOrder="0" vertical="center"/>
    </xf>
    <xf borderId="3402" fillId="159" fontId="132" numFmtId="0" xfId="0" applyAlignment="1" applyBorder="1" applyFont="1">
      <alignment horizontal="center" readingOrder="0" vertical="center"/>
    </xf>
    <xf borderId="3364" fillId="0" fontId="5" numFmtId="0" xfId="0" applyBorder="1" applyFont="1"/>
    <xf borderId="3403" fillId="0" fontId="5" numFmtId="0" xfId="0" applyBorder="1" applyFont="1"/>
    <xf borderId="3395" fillId="159" fontId="132" numFmtId="0" xfId="0" applyAlignment="1" applyBorder="1" applyFont="1">
      <alignment horizontal="center" readingOrder="0" vertical="center"/>
    </xf>
    <xf borderId="3404" fillId="0" fontId="5" numFmtId="0" xfId="0" applyBorder="1" applyFont="1"/>
    <xf borderId="3399" fillId="159" fontId="132" numFmtId="0" xfId="0" applyAlignment="1" applyBorder="1" applyFont="1">
      <alignment horizontal="center" readingOrder="0" vertical="center"/>
    </xf>
    <xf borderId="3405" fillId="159" fontId="132" numFmtId="0" xfId="0" applyAlignment="1" applyBorder="1" applyFont="1">
      <alignment horizontal="center" readingOrder="0" vertical="center"/>
    </xf>
    <xf borderId="3406" fillId="0" fontId="5" numFmtId="0" xfId="0" applyBorder="1" applyFont="1"/>
    <xf borderId="3407" fillId="0" fontId="5" numFmtId="0" xfId="0" applyBorder="1" applyFont="1"/>
    <xf borderId="3408" fillId="159" fontId="132" numFmtId="0" xfId="0" applyAlignment="1" applyBorder="1" applyFont="1">
      <alignment horizontal="center" readingOrder="0" vertical="center"/>
    </xf>
    <xf borderId="3409" fillId="0" fontId="5" numFmtId="0" xfId="0" applyBorder="1" applyFont="1"/>
    <xf borderId="3366" fillId="159" fontId="153" numFmtId="0" xfId="0" applyAlignment="1" applyBorder="1" applyFont="1">
      <alignment horizontal="center" vertical="center"/>
    </xf>
    <xf borderId="3367" fillId="159" fontId="160" numFmtId="0" xfId="0" applyAlignment="1" applyBorder="1" applyFont="1">
      <alignment horizontal="center" vertical="center"/>
    </xf>
    <xf borderId="3410" fillId="159" fontId="160" numFmtId="0" xfId="0" applyAlignment="1" applyBorder="1" applyFont="1">
      <alignment horizontal="center" vertical="top"/>
    </xf>
    <xf borderId="3411" fillId="159" fontId="160" numFmtId="0" xfId="0" applyAlignment="1" applyBorder="1" applyFont="1">
      <alignment horizontal="center" vertical="top"/>
    </xf>
    <xf borderId="3400" fillId="159" fontId="160" numFmtId="0" xfId="0" applyAlignment="1" applyBorder="1" applyFont="1">
      <alignment horizontal="center" vertical="top"/>
    </xf>
    <xf borderId="3368" fillId="159" fontId="153" numFmtId="0" xfId="0" applyAlignment="1" applyBorder="1" applyFont="1">
      <alignment horizontal="center" vertical="center"/>
    </xf>
    <xf borderId="3412" fillId="159" fontId="140" numFmtId="0" xfId="0" applyAlignment="1" applyBorder="1" applyFont="1">
      <alignment horizontal="center" vertical="center"/>
    </xf>
    <xf borderId="378" fillId="69" fontId="138" numFmtId="0" xfId="0" applyAlignment="1" applyBorder="1" applyFont="1">
      <alignment horizontal="center" readingOrder="0" vertical="top"/>
    </xf>
    <xf borderId="3413" fillId="159" fontId="139" numFmtId="0" xfId="0" applyAlignment="1" applyBorder="1" applyFont="1">
      <alignment horizontal="center" vertical="center"/>
    </xf>
    <xf borderId="3414" fillId="159" fontId="162" numFmtId="0" xfId="0" applyAlignment="1" applyBorder="1" applyFont="1">
      <alignment horizontal="center" vertical="center"/>
    </xf>
    <xf borderId="3415" fillId="69" fontId="138" numFmtId="0" xfId="0" applyAlignment="1" applyBorder="1" applyFont="1">
      <alignment horizontal="center" readingOrder="0" vertical="center"/>
    </xf>
    <xf borderId="3416" fillId="69" fontId="138" numFmtId="0" xfId="0" applyAlignment="1" applyBorder="1" applyFont="1">
      <alignment horizontal="center" readingOrder="0" vertical="center"/>
    </xf>
    <xf borderId="3417" fillId="69" fontId="138" numFmtId="0" xfId="0" applyAlignment="1" applyBorder="1" applyFont="1">
      <alignment horizontal="left" readingOrder="0" vertical="center"/>
    </xf>
    <xf borderId="3418" fillId="0" fontId="5" numFmtId="0" xfId="0" applyBorder="1" applyFont="1"/>
    <xf borderId="3419" fillId="159" fontId="139" numFmtId="0" xfId="0" applyAlignment="1" applyBorder="1" applyFont="1">
      <alignment horizontal="center" vertical="center"/>
    </xf>
    <xf borderId="3420" fillId="69" fontId="138" numFmtId="0" xfId="0" applyAlignment="1" applyBorder="1" applyFont="1">
      <alignment horizontal="center" readingOrder="0" vertical="center"/>
    </xf>
    <xf borderId="3421" fillId="69" fontId="138" numFmtId="0" xfId="0" applyAlignment="1" applyBorder="1" applyFont="1">
      <alignment horizontal="center" readingOrder="0" vertical="center"/>
    </xf>
    <xf borderId="3422" fillId="69" fontId="138" numFmtId="0" xfId="0" applyAlignment="1" applyBorder="1" applyFont="1">
      <alignment horizontal="left" readingOrder="0" vertical="center"/>
    </xf>
    <xf borderId="3423" fillId="0" fontId="5" numFmtId="0" xfId="0" applyBorder="1" applyFont="1"/>
    <xf borderId="3424" fillId="159" fontId="102" numFmtId="0" xfId="0" applyAlignment="1" applyBorder="1" applyFont="1">
      <alignment horizontal="right" vertical="center"/>
    </xf>
    <xf borderId="3419" fillId="159" fontId="140" numFmtId="0" xfId="0" applyAlignment="1" applyBorder="1" applyFont="1">
      <alignment horizontal="center" vertical="center"/>
    </xf>
    <xf borderId="3425" fillId="69" fontId="138" numFmtId="0" xfId="0" applyAlignment="1" applyBorder="1" applyFont="1">
      <alignment horizontal="center" readingOrder="0" vertical="center"/>
    </xf>
    <xf borderId="3426" fillId="69" fontId="138" numFmtId="0" xfId="0" applyAlignment="1" applyBorder="1" applyFont="1">
      <alignment horizontal="center" readingOrder="0" vertical="center"/>
    </xf>
    <xf borderId="3427" fillId="69" fontId="138" numFmtId="0" xfId="0" applyAlignment="1" applyBorder="1" applyFont="1">
      <alignment horizontal="left" readingOrder="0" vertical="center"/>
    </xf>
    <xf borderId="3428" fillId="0" fontId="5" numFmtId="0" xfId="0" applyBorder="1" applyFont="1"/>
    <xf borderId="3429" fillId="69" fontId="138" numFmtId="0" xfId="0" applyAlignment="1" applyBorder="1" applyFont="1">
      <alignment horizontal="left" readingOrder="0" vertical="center"/>
    </xf>
    <xf borderId="3430" fillId="0" fontId="5" numFmtId="0" xfId="0" applyBorder="1" applyFont="1"/>
    <xf borderId="395" fillId="69" fontId="138" numFmtId="0" xfId="0" applyAlignment="1" applyBorder="1" applyFont="1">
      <alignment horizontal="right" readingOrder="0" vertical="center"/>
    </xf>
    <xf borderId="400" fillId="69" fontId="138" numFmtId="0" xfId="0" applyAlignment="1" applyBorder="1" applyFont="1">
      <alignment horizontal="right" readingOrder="0" vertical="center"/>
    </xf>
    <xf borderId="3392" fillId="159" fontId="102" numFmtId="0" xfId="0" applyAlignment="1" applyBorder="1" applyFont="1">
      <alignment horizontal="right" vertical="center"/>
    </xf>
    <xf borderId="3364" fillId="159" fontId="102" numFmtId="0" xfId="0" applyAlignment="1" applyBorder="1" applyFont="1">
      <alignment horizontal="right" vertical="center"/>
    </xf>
    <xf borderId="3431" fillId="159" fontId="102" numFmtId="0" xfId="0" applyAlignment="1" applyBorder="1" applyFont="1">
      <alignment horizontal="right" vertical="center"/>
    </xf>
    <xf borderId="405" fillId="69" fontId="138" numFmtId="0" xfId="0" applyAlignment="1" applyBorder="1" applyFont="1">
      <alignment horizontal="right" readingOrder="0" vertical="center"/>
    </xf>
    <xf borderId="3396" fillId="159" fontId="106" numFmtId="0" xfId="0" applyAlignment="1" applyBorder="1" applyFont="1">
      <alignment horizontal="center" readingOrder="0" vertical="center"/>
    </xf>
    <xf borderId="3373" fillId="159" fontId="162" numFmtId="0" xfId="0" applyAlignment="1" applyBorder="1" applyFont="1">
      <alignment horizontal="center" vertical="center"/>
    </xf>
    <xf borderId="3432" fillId="159" fontId="132" numFmtId="0" xfId="0" applyAlignment="1" applyBorder="1" applyFont="1">
      <alignment horizontal="center" vertical="top"/>
    </xf>
    <xf borderId="3433" fillId="0" fontId="5" numFmtId="0" xfId="0" applyBorder="1" applyFont="1"/>
    <xf borderId="3392" fillId="159" fontId="140" numFmtId="0" xfId="0" applyAlignment="1" applyBorder="1" applyFont="1">
      <alignment horizontal="center" vertical="center"/>
    </xf>
    <xf borderId="3434" fillId="159" fontId="162" numFmtId="0" xfId="0" applyAlignment="1" applyBorder="1" applyFont="1">
      <alignment horizontal="center" vertical="center"/>
    </xf>
    <xf borderId="3413" fillId="159" fontId="140" numFmtId="0" xfId="0" applyAlignment="1" applyBorder="1" applyFont="1">
      <alignment horizontal="center" vertical="center"/>
    </xf>
    <xf borderId="3435" fillId="159" fontId="132" numFmtId="0" xfId="0" applyAlignment="1" applyBorder="1" applyFont="1">
      <alignment horizontal="center" vertical="center"/>
    </xf>
    <xf borderId="3436" fillId="159" fontId="132" numFmtId="0" xfId="0" applyAlignment="1" applyBorder="1" applyFont="1">
      <alignment horizontal="center" vertical="center"/>
    </xf>
    <xf borderId="3437" fillId="159" fontId="132" numFmtId="0" xfId="0" applyAlignment="1" applyBorder="1" applyFont="1">
      <alignment horizontal="center" vertical="center"/>
    </xf>
    <xf borderId="3436" fillId="159" fontId="132" numFmtId="0" xfId="0" applyAlignment="1" applyBorder="1" applyFont="1">
      <alignment horizontal="center" readingOrder="0" vertical="center"/>
    </xf>
    <xf borderId="3438" fillId="159" fontId="132" numFmtId="0" xfId="0" applyAlignment="1" applyBorder="1" applyFont="1">
      <alignment horizontal="center" vertical="center"/>
    </xf>
    <xf borderId="3144" fillId="152" fontId="132" numFmtId="0" xfId="0" applyAlignment="1" applyBorder="1" applyFont="1">
      <alignment horizontal="center" vertical="center"/>
    </xf>
    <xf borderId="3114" fillId="152" fontId="131" numFmtId="0" xfId="0" applyAlignment="1" applyBorder="1" applyFont="1">
      <alignment horizontal="center" vertical="center"/>
    </xf>
    <xf borderId="3439" fillId="0" fontId="5" numFmtId="0" xfId="0" applyBorder="1" applyFont="1"/>
    <xf borderId="3114" fillId="152" fontId="131" numFmtId="0" xfId="0" applyAlignment="1" applyBorder="1" applyFont="1">
      <alignment horizontal="center" readingOrder="0" vertical="center"/>
    </xf>
    <xf borderId="3114" fillId="152" fontId="131" numFmtId="0" xfId="0" applyAlignment="1" applyBorder="1" applyFont="1">
      <alignment horizontal="center" readingOrder="0" vertical="top"/>
    </xf>
    <xf borderId="3113" fillId="152" fontId="132" numFmtId="0" xfId="0" applyAlignment="1" applyBorder="1" applyFont="1">
      <alignment horizontal="center" vertical="center"/>
    </xf>
    <xf borderId="3113" fillId="152" fontId="132" numFmtId="0" xfId="0" applyAlignment="1" applyBorder="1" applyFont="1">
      <alignment horizontal="center" vertical="top"/>
    </xf>
    <xf borderId="3114" fillId="152" fontId="132" numFmtId="0" xfId="0" applyAlignment="1" applyBorder="1" applyFont="1">
      <alignment horizontal="center" readingOrder="0" vertical="center"/>
    </xf>
    <xf borderId="3113" fillId="152" fontId="132" numFmtId="0" xfId="0" applyAlignment="1" applyBorder="1" applyFont="1">
      <alignment horizontal="center" readingOrder="0" vertical="center"/>
    </xf>
    <xf borderId="3440" fillId="0" fontId="5" numFmtId="0" xfId="0" applyBorder="1" applyFont="1"/>
    <xf borderId="3113" fillId="152" fontId="160" numFmtId="0" xfId="0" applyAlignment="1" applyBorder="1" applyFont="1">
      <alignment horizontal="center" vertical="top"/>
    </xf>
    <xf borderId="3441" fillId="153" fontId="138" numFmtId="0" xfId="0" applyAlignment="1" applyBorder="1" applyFont="1">
      <alignment horizontal="right" readingOrder="0" vertical="center"/>
    </xf>
    <xf borderId="3442" fillId="0" fontId="5" numFmtId="0" xfId="0" applyBorder="1" applyFont="1"/>
    <xf borderId="3443" fillId="0" fontId="5" numFmtId="0" xfId="0" applyBorder="1" applyFont="1"/>
    <xf borderId="3444" fillId="152" fontId="162" numFmtId="0" xfId="0" applyAlignment="1" applyBorder="1" applyFont="1">
      <alignment horizontal="center" vertical="center"/>
    </xf>
    <xf borderId="3118" fillId="152" fontId="140" numFmtId="0" xfId="0" applyAlignment="1" applyBorder="1" applyFont="1">
      <alignment horizontal="center" vertical="center"/>
    </xf>
    <xf borderId="3144" fillId="152" fontId="139" numFmtId="0" xfId="0" applyAlignment="1" applyBorder="1" applyFont="1">
      <alignment horizontal="center" vertical="center"/>
    </xf>
    <xf borderId="3140" fillId="152" fontId="132" numFmtId="0" xfId="0" applyAlignment="1" applyBorder="1" applyFont="1">
      <alignment horizontal="center" readingOrder="0" vertical="center"/>
    </xf>
    <xf borderId="3445" fillId="152" fontId="162" numFmtId="0" xfId="0" applyAlignment="1" applyBorder="1" applyFont="1">
      <alignment horizontal="center" vertical="center"/>
    </xf>
    <xf borderId="3228" fillId="119" fontId="132" numFmtId="0" xfId="0" applyAlignment="1" applyBorder="1" applyFont="1">
      <alignment horizontal="center" vertical="center"/>
    </xf>
    <xf borderId="3446" fillId="160" fontId="211" numFmtId="0" xfId="0" applyAlignment="1" applyBorder="1" applyFill="1" applyFont="1">
      <alignment horizontal="center" vertical="center"/>
    </xf>
    <xf borderId="3447" fillId="160" fontId="154" numFmtId="0" xfId="0" applyAlignment="1" applyBorder="1" applyFont="1">
      <alignment horizontal="center" vertical="center"/>
    </xf>
    <xf borderId="3447" fillId="160" fontId="171" numFmtId="0" xfId="0" applyAlignment="1" applyBorder="1" applyFont="1">
      <alignment horizontal="center" vertical="center"/>
    </xf>
    <xf borderId="3446" fillId="160" fontId="154" numFmtId="0" xfId="0" applyAlignment="1" applyBorder="1" applyFont="1">
      <alignment horizontal="center" vertical="center"/>
    </xf>
    <xf borderId="3448" fillId="160" fontId="154" numFmtId="0" xfId="0" applyAlignment="1" applyBorder="1" applyFont="1">
      <alignment horizontal="center" vertical="center"/>
    </xf>
    <xf borderId="3449" fillId="161" fontId="154" numFmtId="0" xfId="0" applyAlignment="1" applyBorder="1" applyFill="1" applyFont="1">
      <alignment horizontal="center" vertical="center"/>
    </xf>
    <xf borderId="3450" fillId="161" fontId="171" numFmtId="0" xfId="0" applyAlignment="1" applyBorder="1" applyFont="1">
      <alignment horizontal="center" vertical="center"/>
    </xf>
    <xf borderId="3450" fillId="161" fontId="154" numFmtId="0" xfId="0" applyAlignment="1" applyBorder="1" applyFont="1">
      <alignment horizontal="center" vertical="center"/>
    </xf>
    <xf borderId="3451" fillId="161" fontId="154" numFmtId="0" xfId="0" applyAlignment="1" applyBorder="1" applyFont="1">
      <alignment horizontal="center" vertical="center"/>
    </xf>
    <xf borderId="3452" fillId="160" fontId="154" numFmtId="0" xfId="0" applyAlignment="1" applyBorder="1" applyFont="1">
      <alignment horizontal="center" vertical="center"/>
    </xf>
    <xf borderId="3453" fillId="161" fontId="154" numFmtId="0" xfId="0" applyAlignment="1" applyBorder="1" applyFont="1">
      <alignment horizontal="center" vertical="center"/>
    </xf>
    <xf borderId="942" fillId="78" fontId="212" numFmtId="0" xfId="0" applyAlignment="1" applyBorder="1" applyFont="1">
      <alignment horizontal="center" readingOrder="0" vertical="center"/>
    </xf>
    <xf borderId="3454" fillId="161" fontId="154" numFmtId="0" xfId="0" applyAlignment="1" applyBorder="1" applyFont="1">
      <alignment horizontal="center" vertical="center"/>
    </xf>
    <xf borderId="3455" fillId="161" fontId="171" numFmtId="0" xfId="0" applyAlignment="1" applyBorder="1" applyFont="1">
      <alignment horizontal="center" vertical="center"/>
    </xf>
    <xf borderId="3455" fillId="161" fontId="154" numFmtId="0" xfId="0" applyAlignment="1" applyBorder="1" applyFont="1">
      <alignment horizontal="center" vertical="center"/>
    </xf>
    <xf borderId="188" fillId="74" fontId="163" numFmtId="0" xfId="0" applyAlignment="1" applyBorder="1" applyFont="1">
      <alignment horizontal="center" readingOrder="0" vertical="center"/>
    </xf>
    <xf borderId="3455" fillId="161" fontId="183" numFmtId="0" xfId="0" applyAlignment="1" applyBorder="1" applyFont="1">
      <alignment horizontal="center" readingOrder="0" vertical="center"/>
    </xf>
    <xf borderId="3456" fillId="161" fontId="213" numFmtId="0" xfId="0" applyAlignment="1" applyBorder="1" applyFont="1">
      <alignment horizontal="left" readingOrder="0" vertical="center"/>
    </xf>
    <xf borderId="3457" fillId="0" fontId="5" numFmtId="0" xfId="0" applyBorder="1" applyFont="1"/>
    <xf borderId="3458" fillId="0" fontId="5" numFmtId="0" xfId="0" applyBorder="1" applyFont="1"/>
    <xf borderId="339" fillId="74" fontId="104" numFmtId="0" xfId="0" applyAlignment="1" applyBorder="1" applyFont="1">
      <alignment horizontal="right" vertical="center"/>
    </xf>
    <xf borderId="3459" fillId="161" fontId="156" numFmtId="0" xfId="0" applyAlignment="1" applyBorder="1" applyFont="1">
      <alignment horizontal="center" vertical="center"/>
    </xf>
    <xf borderId="1066" fillId="74" fontId="156" numFmtId="0" xfId="0" applyAlignment="1" applyBorder="1" applyFont="1">
      <alignment horizontal="center" vertical="center"/>
    </xf>
    <xf borderId="3457" fillId="161" fontId="154" numFmtId="0" xfId="0" applyAlignment="1" applyBorder="1" applyFont="1">
      <alignment horizontal="center" vertical="center"/>
    </xf>
    <xf borderId="3460" fillId="161" fontId="154" numFmtId="0" xfId="0" applyAlignment="1" applyBorder="1" applyFont="1">
      <alignment horizontal="center" vertical="center"/>
    </xf>
    <xf borderId="3448" fillId="160" fontId="132" numFmtId="0" xfId="0" applyAlignment="1" applyBorder="1" applyFont="1">
      <alignment horizontal="center" vertical="center"/>
    </xf>
    <xf borderId="3453" fillId="161" fontId="132" numFmtId="0" xfId="0" applyAlignment="1" applyBorder="1" applyFont="1">
      <alignment horizontal="center" vertical="center"/>
    </xf>
    <xf borderId="345" fillId="161" fontId="104" numFmtId="0" xfId="0" applyAlignment="1" applyBorder="1" applyFont="1">
      <alignment horizontal="right" readingOrder="0" vertical="center"/>
    </xf>
    <xf borderId="3459" fillId="161" fontId="132" numFmtId="0" xfId="0" applyAlignment="1" applyBorder="1" applyFont="1">
      <alignment horizontal="center" readingOrder="0" vertical="center"/>
    </xf>
    <xf borderId="3461" fillId="161" fontId="130" numFmtId="0" xfId="0" applyAlignment="1" applyBorder="1" applyFont="1">
      <alignment horizontal="center" readingOrder="0" vertical="center"/>
    </xf>
    <xf borderId="3462" fillId="0" fontId="5" numFmtId="0" xfId="0" applyBorder="1" applyFont="1"/>
    <xf borderId="3463" fillId="0" fontId="5" numFmtId="0" xfId="0" applyBorder="1" applyFont="1"/>
    <xf borderId="3460" fillId="161" fontId="132" numFmtId="0" xfId="0" applyAlignment="1" applyBorder="1" applyFont="1">
      <alignment horizontal="center" vertical="center"/>
    </xf>
    <xf borderId="3452" fillId="160" fontId="132" numFmtId="0" xfId="0" applyAlignment="1" applyBorder="1" applyFont="1">
      <alignment horizontal="center" vertical="center"/>
    </xf>
    <xf borderId="3448" fillId="160" fontId="146" numFmtId="0" xfId="0" applyAlignment="1" applyBorder="1" applyFont="1">
      <alignment horizontal="center" vertical="center"/>
    </xf>
    <xf borderId="3453" fillId="161" fontId="146" numFmtId="0" xfId="0" applyAlignment="1" applyBorder="1" applyFont="1">
      <alignment horizontal="center" vertical="center"/>
    </xf>
    <xf borderId="3459" fillId="161" fontId="146" numFmtId="0" xfId="0" applyAlignment="1" applyBorder="1" applyFont="1">
      <alignment horizontal="center" readingOrder="0" vertical="center"/>
    </xf>
    <xf borderId="3464" fillId="161" fontId="146" numFmtId="0" xfId="0" applyAlignment="1" applyBorder="1" applyFont="1">
      <alignment horizontal="center" readingOrder="0" vertical="top"/>
    </xf>
    <xf borderId="3465" fillId="0" fontId="5" numFmtId="0" xfId="0" applyBorder="1" applyFont="1"/>
    <xf borderId="3466" fillId="0" fontId="5" numFmtId="0" xfId="0" applyBorder="1" applyFont="1"/>
    <xf borderId="3460" fillId="161" fontId="146" numFmtId="0" xfId="0" applyAlignment="1" applyBorder="1" applyFont="1">
      <alignment horizontal="center" vertical="center"/>
    </xf>
    <xf borderId="3452" fillId="160" fontId="146" numFmtId="0" xfId="0" applyAlignment="1" applyBorder="1" applyFont="1">
      <alignment horizontal="center" vertical="center"/>
    </xf>
    <xf borderId="3467" fillId="161" fontId="104" numFmtId="0" xfId="0" applyAlignment="1" applyBorder="1" applyFont="1">
      <alignment horizontal="right" vertical="center"/>
    </xf>
    <xf borderId="3468" fillId="161" fontId="154" numFmtId="0" xfId="0" applyAlignment="1" applyBorder="1" applyFont="1">
      <alignment horizontal="center" vertical="center"/>
    </xf>
    <xf borderId="3469" fillId="161" fontId="154" numFmtId="0" xfId="0" applyAlignment="1" applyBorder="1" applyFont="1">
      <alignment horizontal="right" vertical="top"/>
    </xf>
    <xf borderId="3469" fillId="161" fontId="154" numFmtId="0" xfId="0" applyAlignment="1" applyBorder="1" applyFont="1">
      <alignment horizontal="left" vertical="top"/>
    </xf>
    <xf borderId="3470" fillId="161" fontId="154" numFmtId="0" xfId="0" applyAlignment="1" applyBorder="1" applyFont="1">
      <alignment horizontal="center" vertical="top"/>
    </xf>
    <xf borderId="3471" fillId="0" fontId="5" numFmtId="0" xfId="0" applyBorder="1" applyFont="1"/>
    <xf borderId="3472" fillId="161" fontId="154" numFmtId="0" xfId="0" applyAlignment="1" applyBorder="1" applyFont="1">
      <alignment horizontal="center" vertical="center"/>
    </xf>
    <xf borderId="3473" fillId="161" fontId="154" numFmtId="0" xfId="0" applyAlignment="1" applyBorder="1" applyFont="1">
      <alignment horizontal="center" vertical="top"/>
    </xf>
    <xf borderId="3474" fillId="161" fontId="154" numFmtId="0" xfId="0" applyAlignment="1" applyBorder="1" applyFont="1">
      <alignment horizontal="center" vertical="top"/>
    </xf>
    <xf borderId="3475" fillId="0" fontId="5" numFmtId="0" xfId="0" applyBorder="1" applyFont="1"/>
    <xf borderId="3459" fillId="161" fontId="154" numFmtId="0" xfId="0" applyAlignment="1" applyBorder="1" applyFont="1">
      <alignment horizontal="center" vertical="center"/>
    </xf>
    <xf borderId="3476" fillId="161" fontId="132" numFmtId="0" xfId="0" applyAlignment="1" applyBorder="1" applyFont="1">
      <alignment horizontal="center" readingOrder="0" vertical="center"/>
    </xf>
    <xf borderId="3477" fillId="0" fontId="5" numFmtId="0" xfId="0" applyBorder="1" applyFont="1"/>
    <xf borderId="3478" fillId="0" fontId="5" numFmtId="0" xfId="0" applyBorder="1" applyFont="1"/>
    <xf borderId="3455" fillId="161" fontId="104" numFmtId="0" xfId="0" applyAlignment="1" applyBorder="1" applyFont="1">
      <alignment horizontal="right"/>
    </xf>
    <xf borderId="3479" fillId="161" fontId="132" numFmtId="0" xfId="0" applyAlignment="1" applyBorder="1" applyFont="1">
      <alignment horizontal="center" readingOrder="0" vertical="center"/>
    </xf>
    <xf borderId="3480" fillId="0" fontId="5" numFmtId="0" xfId="0" applyBorder="1" applyFont="1"/>
    <xf borderId="3481" fillId="0" fontId="5" numFmtId="0" xfId="0" applyBorder="1" applyFont="1"/>
    <xf borderId="3482" fillId="161" fontId="132" numFmtId="0" xfId="0" applyAlignment="1" applyBorder="1" applyFont="1">
      <alignment horizontal="center" readingOrder="0" vertical="center"/>
    </xf>
    <xf borderId="3483" fillId="161" fontId="132" numFmtId="0" xfId="0" applyAlignment="1" applyBorder="1" applyFont="1">
      <alignment horizontal="center" readingOrder="0" vertical="center"/>
    </xf>
    <xf borderId="3484" fillId="0" fontId="5" numFmtId="0" xfId="0" applyBorder="1" applyFont="1"/>
    <xf borderId="3485" fillId="161" fontId="132" numFmtId="0" xfId="0" applyAlignment="1" applyBorder="1" applyFont="1">
      <alignment horizontal="center" readingOrder="0" vertical="center"/>
    </xf>
    <xf borderId="3455" fillId="161" fontId="104" numFmtId="0" xfId="0" applyAlignment="1" applyBorder="1" applyFont="1">
      <alignment horizontal="right" vertical="center"/>
    </xf>
    <xf borderId="3486" fillId="0" fontId="5" numFmtId="0" xfId="0" applyBorder="1" applyFont="1"/>
    <xf borderId="3487" fillId="161" fontId="132" numFmtId="0" xfId="0" applyAlignment="1" applyBorder="1" applyFont="1">
      <alignment horizontal="center" readingOrder="0" vertical="center"/>
    </xf>
    <xf borderId="3488" fillId="161" fontId="132" numFmtId="0" xfId="0" applyAlignment="1" applyBorder="1" applyFont="1">
      <alignment horizontal="center" readingOrder="0" vertical="center"/>
    </xf>
    <xf borderId="3489" fillId="0" fontId="5" numFmtId="0" xfId="0" applyBorder="1" applyFont="1"/>
    <xf borderId="3490" fillId="0" fontId="5" numFmtId="0" xfId="0" applyBorder="1" applyFont="1"/>
    <xf borderId="3491" fillId="161" fontId="132" numFmtId="0" xfId="0" applyAlignment="1" applyBorder="1" applyFont="1">
      <alignment horizontal="center" readingOrder="0" vertical="center"/>
    </xf>
    <xf borderId="3492" fillId="0" fontId="5" numFmtId="0" xfId="0" applyBorder="1" applyFont="1"/>
    <xf borderId="3448" fillId="160" fontId="159" numFmtId="0" xfId="0" applyAlignment="1" applyBorder="1" applyFont="1">
      <alignment horizontal="center" vertical="center"/>
    </xf>
    <xf borderId="3453" fillId="161" fontId="153" numFmtId="0" xfId="0" applyAlignment="1" applyBorder="1" applyFont="1">
      <alignment horizontal="center" vertical="center"/>
    </xf>
    <xf borderId="3455" fillId="161" fontId="102" numFmtId="0" xfId="0" applyAlignment="1" applyBorder="1" applyFont="1">
      <alignment horizontal="right" vertical="center"/>
    </xf>
    <xf borderId="3455" fillId="161" fontId="160" numFmtId="0" xfId="0" applyAlignment="1" applyBorder="1" applyFont="1">
      <alignment horizontal="center" vertical="center"/>
    </xf>
    <xf borderId="3475" fillId="161" fontId="160" numFmtId="0" xfId="0" applyAlignment="1" applyBorder="1" applyFont="1">
      <alignment horizontal="center" vertical="top"/>
    </xf>
    <xf borderId="3455" fillId="161" fontId="160" numFmtId="0" xfId="0" applyAlignment="1" applyBorder="1" applyFont="1">
      <alignment horizontal="center" vertical="top"/>
    </xf>
    <xf borderId="3471" fillId="161" fontId="160" numFmtId="0" xfId="0" applyAlignment="1" applyBorder="1" applyFont="1">
      <alignment horizontal="center" vertical="top"/>
    </xf>
    <xf borderId="3471" fillId="161" fontId="161" numFmtId="0" xfId="0" applyAlignment="1" applyBorder="1" applyFont="1">
      <alignment horizontal="center" vertical="center"/>
    </xf>
    <xf borderId="3455" fillId="161" fontId="161" numFmtId="0" xfId="0" applyAlignment="1" applyBorder="1" applyFont="1">
      <alignment horizontal="center" vertical="center"/>
    </xf>
    <xf borderId="3454" fillId="161" fontId="153" numFmtId="0" xfId="0" applyAlignment="1" applyBorder="1" applyFont="1">
      <alignment horizontal="center" vertical="center"/>
    </xf>
    <xf borderId="3452" fillId="160" fontId="153" numFmtId="0" xfId="0" applyAlignment="1" applyBorder="1" applyFont="1">
      <alignment horizontal="center" vertical="center"/>
    </xf>
    <xf borderId="3448" fillId="160" fontId="157" numFmtId="0" xfId="0" applyAlignment="1" applyBorder="1" applyFont="1">
      <alignment horizontal="center" readingOrder="0" vertical="center"/>
    </xf>
    <xf borderId="3453" fillId="161" fontId="162" numFmtId="0" xfId="0" applyAlignment="1" applyBorder="1" applyFont="1">
      <alignment horizontal="center" vertical="center"/>
    </xf>
    <xf borderId="3455" fillId="161" fontId="148" numFmtId="0" xfId="0" applyAlignment="1" applyBorder="1" applyFont="1">
      <alignment horizontal="right" vertical="center"/>
    </xf>
    <xf borderId="3455" fillId="161" fontId="140" numFmtId="0" xfId="0" applyAlignment="1" applyBorder="1" applyFont="1">
      <alignment horizontal="center" vertical="center"/>
    </xf>
    <xf borderId="378" fillId="74" fontId="138" numFmtId="0" xfId="0" applyAlignment="1" applyBorder="1" applyFont="1">
      <alignment horizontal="center" readingOrder="0" vertical="top"/>
    </xf>
    <xf borderId="3459" fillId="161" fontId="160" numFmtId="0" xfId="0" applyAlignment="1" applyBorder="1" applyFont="1">
      <alignment horizontal="center" vertical="center"/>
    </xf>
    <xf borderId="3459" fillId="161" fontId="162" numFmtId="0" xfId="0" applyAlignment="1" applyBorder="1" applyFont="1">
      <alignment horizontal="center" vertical="center"/>
    </xf>
    <xf borderId="3454" fillId="161" fontId="162" numFmtId="0" xfId="0" applyAlignment="1" applyBorder="1" applyFont="1">
      <alignment horizontal="center" vertical="center"/>
    </xf>
    <xf borderId="3452" fillId="160" fontId="162" numFmtId="0" xfId="0" applyAlignment="1" applyBorder="1" applyFont="1">
      <alignment horizontal="center" vertical="center"/>
    </xf>
    <xf borderId="3493" fillId="74" fontId="138" numFmtId="0" xfId="0" applyAlignment="1" applyBorder="1" applyFont="1">
      <alignment horizontal="center" readingOrder="0" vertical="center"/>
    </xf>
    <xf borderId="3494" fillId="74" fontId="138" numFmtId="0" xfId="0" applyAlignment="1" applyBorder="1" applyFont="1">
      <alignment horizontal="center" readingOrder="0" vertical="center"/>
    </xf>
    <xf borderId="3495" fillId="74" fontId="138" numFmtId="0" xfId="0" applyAlignment="1" applyBorder="1" applyFont="1">
      <alignment horizontal="left" readingOrder="0" vertical="center"/>
    </xf>
    <xf borderId="3496" fillId="0" fontId="5" numFmtId="0" xfId="0" applyBorder="1" applyFont="1"/>
    <xf borderId="3455" fillId="161" fontId="162" numFmtId="0" xfId="0" applyAlignment="1" applyBorder="1" applyFont="1">
      <alignment horizontal="center" vertical="center"/>
    </xf>
    <xf borderId="3497" fillId="74" fontId="138" numFmtId="0" xfId="0" applyAlignment="1" applyBorder="1" applyFont="1">
      <alignment horizontal="center" readingOrder="0" vertical="center"/>
    </xf>
    <xf borderId="3498" fillId="74" fontId="138" numFmtId="0" xfId="0" applyAlignment="1" applyBorder="1" applyFont="1">
      <alignment horizontal="center" readingOrder="0" vertical="center"/>
    </xf>
    <xf borderId="3499" fillId="74" fontId="138" numFmtId="0" xfId="0" applyAlignment="1" applyBorder="1" applyFont="1">
      <alignment horizontal="left" readingOrder="0" vertical="center"/>
    </xf>
    <xf borderId="3500" fillId="0" fontId="5" numFmtId="0" xfId="0" applyBorder="1" applyFont="1"/>
    <xf borderId="3501" fillId="74" fontId="138" numFmtId="0" xfId="0" applyAlignment="1" applyBorder="1" applyFont="1">
      <alignment horizontal="center" readingOrder="0" vertical="center"/>
    </xf>
    <xf borderId="3502" fillId="74" fontId="138" numFmtId="0" xfId="0" applyAlignment="1" applyBorder="1" applyFont="1">
      <alignment horizontal="center" readingOrder="0" vertical="center"/>
    </xf>
    <xf borderId="3503" fillId="74" fontId="138" numFmtId="0" xfId="0" applyAlignment="1" applyBorder="1" applyFont="1">
      <alignment horizontal="left" readingOrder="0" vertical="center"/>
    </xf>
    <xf borderId="3504" fillId="0" fontId="5" numFmtId="0" xfId="0" applyBorder="1" applyFont="1"/>
    <xf borderId="3505" fillId="74" fontId="138" numFmtId="0" xfId="0" applyAlignment="1" applyBorder="1" applyFont="1">
      <alignment horizontal="left" readingOrder="0" vertical="center"/>
    </xf>
    <xf borderId="3506" fillId="0" fontId="5" numFmtId="0" xfId="0" applyBorder="1" applyFont="1"/>
    <xf borderId="3459" fillId="161" fontId="140" numFmtId="0" xfId="0" applyAlignment="1" applyBorder="1" applyFont="1">
      <alignment horizontal="center" vertical="center"/>
    </xf>
    <xf borderId="400" fillId="74" fontId="138" numFmtId="0" xfId="0" applyAlignment="1" applyBorder="1" applyFont="1">
      <alignment horizontal="right" readingOrder="0" vertical="center"/>
    </xf>
    <xf borderId="395" fillId="74" fontId="138" numFmtId="0" xfId="0" applyAlignment="1" applyBorder="1" applyFont="1">
      <alignment horizontal="right" readingOrder="0" vertical="center"/>
    </xf>
    <xf borderId="405" fillId="74" fontId="138" numFmtId="0" xfId="0" applyAlignment="1" applyBorder="1" applyFont="1">
      <alignment horizontal="right" readingOrder="0" vertical="center"/>
    </xf>
    <xf borderId="408" fillId="74" fontId="138" numFmtId="0" xfId="0" applyAlignment="1" applyBorder="1" applyFont="1">
      <alignment horizontal="center" readingOrder="0" vertical="center"/>
    </xf>
    <xf borderId="3455" fillId="161" fontId="154" numFmtId="0" xfId="0" applyAlignment="1" applyBorder="1" applyFont="1">
      <alignment horizontal="center" readingOrder="0" vertical="center"/>
    </xf>
    <xf borderId="3475" fillId="161" fontId="154" numFmtId="0" xfId="0" applyAlignment="1" applyBorder="1" applyFont="1">
      <alignment horizontal="center" readingOrder="0" vertical="center"/>
    </xf>
    <xf borderId="3507" fillId="161" fontId="154" numFmtId="0" xfId="0" applyAlignment="1" applyBorder="1" applyFont="1">
      <alignment horizontal="center" vertical="center"/>
    </xf>
    <xf borderId="3467" fillId="161" fontId="171" numFmtId="0" xfId="0" applyAlignment="1" applyBorder="1" applyFont="1">
      <alignment horizontal="center" vertical="center"/>
    </xf>
    <xf borderId="3467" fillId="161" fontId="154" numFmtId="0" xfId="0" applyAlignment="1" applyBorder="1" applyFont="1">
      <alignment horizontal="center" vertical="center"/>
    </xf>
    <xf borderId="188" fillId="162" fontId="163" numFmtId="0" xfId="0" applyAlignment="1" applyBorder="1" applyFill="1" applyFont="1">
      <alignment horizontal="center" readingOrder="0" vertical="center"/>
    </xf>
    <xf borderId="3508" fillId="161" fontId="154" numFmtId="0" xfId="0" applyAlignment="1" applyBorder="1" applyFont="1">
      <alignment horizontal="center" vertical="center"/>
    </xf>
    <xf borderId="3509" fillId="163" fontId="154" numFmtId="0" xfId="0" applyAlignment="1" applyBorder="1" applyFill="1" applyFont="1">
      <alignment horizontal="center" vertical="center"/>
    </xf>
    <xf borderId="3510" fillId="163" fontId="171" numFmtId="0" xfId="0" applyAlignment="1" applyBorder="1" applyFont="1">
      <alignment horizontal="center" vertical="center"/>
    </xf>
    <xf borderId="3510" fillId="163" fontId="154" numFmtId="0" xfId="0" applyAlignment="1" applyBorder="1" applyFont="1">
      <alignment horizontal="center" vertical="center"/>
    </xf>
    <xf borderId="3511" fillId="163" fontId="154" numFmtId="0" xfId="0" applyAlignment="1" applyBorder="1" applyFont="1">
      <alignment horizontal="center" vertical="center"/>
    </xf>
    <xf borderId="3510" fillId="163" fontId="154" numFmtId="0" xfId="0" applyAlignment="1" applyBorder="1" applyFont="1">
      <alignment horizontal="center" readingOrder="0" vertical="center"/>
    </xf>
    <xf borderId="3512" fillId="163" fontId="214" numFmtId="0" xfId="0" applyAlignment="1" applyBorder="1" applyFont="1">
      <alignment horizontal="left" readingOrder="0" vertical="center"/>
    </xf>
    <xf borderId="3513" fillId="0" fontId="5" numFmtId="0" xfId="0" applyBorder="1" applyFont="1"/>
    <xf borderId="3514" fillId="0" fontId="5" numFmtId="0" xfId="0" applyBorder="1" applyFont="1"/>
    <xf borderId="339" fillId="162" fontId="104" numFmtId="0" xfId="0" applyAlignment="1" applyBorder="1" applyFont="1">
      <alignment horizontal="right" vertical="center"/>
    </xf>
    <xf borderId="3515" fillId="163" fontId="156" numFmtId="0" xfId="0" applyAlignment="1" applyBorder="1" applyFont="1">
      <alignment horizontal="center" vertical="center"/>
    </xf>
    <xf borderId="1066" fillId="162" fontId="156" numFmtId="0" xfId="0" applyAlignment="1" applyBorder="1" applyFont="1">
      <alignment horizontal="center" vertical="center"/>
    </xf>
    <xf borderId="3513" fillId="163" fontId="154" numFmtId="0" xfId="0" applyAlignment="1" applyBorder="1" applyFont="1">
      <alignment horizontal="center" vertical="center"/>
    </xf>
    <xf borderId="3516" fillId="163" fontId="154" numFmtId="0" xfId="0" applyAlignment="1" applyBorder="1" applyFont="1">
      <alignment horizontal="center" vertical="center"/>
    </xf>
    <xf borderId="3509" fillId="163" fontId="132" numFmtId="0" xfId="0" applyAlignment="1" applyBorder="1" applyFont="1">
      <alignment horizontal="center" vertical="center"/>
    </xf>
    <xf borderId="345" fillId="163" fontId="104" numFmtId="0" xfId="0" applyAlignment="1" applyBorder="1" applyFont="1">
      <alignment horizontal="right" readingOrder="0" vertical="center"/>
    </xf>
    <xf borderId="3515" fillId="163" fontId="132" numFmtId="0" xfId="0" applyAlignment="1" applyBorder="1" applyFont="1">
      <alignment horizontal="center" readingOrder="0" vertical="center"/>
    </xf>
    <xf borderId="3517" fillId="163" fontId="130" numFmtId="0" xfId="0" applyAlignment="1" applyBorder="1" applyFont="1">
      <alignment horizontal="center" readingOrder="0" vertical="center"/>
    </xf>
    <xf borderId="3518" fillId="0" fontId="5" numFmtId="0" xfId="0" applyBorder="1" applyFont="1"/>
    <xf borderId="3519" fillId="0" fontId="5" numFmtId="0" xfId="0" applyBorder="1" applyFont="1"/>
    <xf borderId="3516" fillId="163" fontId="132" numFmtId="0" xfId="0" applyAlignment="1" applyBorder="1" applyFont="1">
      <alignment horizontal="center" vertical="center"/>
    </xf>
    <xf borderId="3509" fillId="163" fontId="146" numFmtId="0" xfId="0" applyAlignment="1" applyBorder="1" applyFont="1">
      <alignment horizontal="center" vertical="center"/>
    </xf>
    <xf borderId="3515" fillId="163" fontId="146" numFmtId="0" xfId="0" applyAlignment="1" applyBorder="1" applyFont="1">
      <alignment horizontal="center" readingOrder="0" vertical="center"/>
    </xf>
    <xf borderId="3520" fillId="163" fontId="146" numFmtId="0" xfId="0" applyAlignment="1" applyBorder="1" applyFont="1">
      <alignment horizontal="center" readingOrder="0" vertical="top"/>
    </xf>
    <xf borderId="3521" fillId="0" fontId="5" numFmtId="0" xfId="0" applyBorder="1" applyFont="1"/>
    <xf borderId="3522" fillId="0" fontId="5" numFmtId="0" xfId="0" applyBorder="1" applyFont="1"/>
    <xf borderId="3516" fillId="163" fontId="146" numFmtId="0" xfId="0" applyAlignment="1" applyBorder="1" applyFont="1">
      <alignment horizontal="center" vertical="center"/>
    </xf>
    <xf borderId="3523" fillId="163" fontId="171" numFmtId="0" xfId="0" applyAlignment="1" applyBorder="1" applyFont="1">
      <alignment horizontal="center" vertical="center"/>
    </xf>
    <xf borderId="3524" fillId="163" fontId="154" numFmtId="0" xfId="0" applyAlignment="1" applyBorder="1" applyFont="1">
      <alignment horizontal="center" vertical="center"/>
    </xf>
    <xf borderId="3525" fillId="163" fontId="154" numFmtId="0" xfId="0" applyAlignment="1" applyBorder="1" applyFont="1">
      <alignment horizontal="center" vertical="top"/>
    </xf>
    <xf borderId="3526" fillId="0" fontId="5" numFmtId="0" xfId="0" applyBorder="1" applyFont="1"/>
    <xf borderId="3527" fillId="163" fontId="154" numFmtId="0" xfId="0" applyAlignment="1" applyBorder="1" applyFont="1">
      <alignment horizontal="center" vertical="top"/>
    </xf>
    <xf borderId="3528" fillId="163" fontId="154" numFmtId="0" xfId="0" applyAlignment="1" applyBorder="1" applyFont="1">
      <alignment horizontal="right" vertical="top"/>
    </xf>
    <xf borderId="3528" fillId="163" fontId="154" numFmtId="0" xfId="0" applyAlignment="1" applyBorder="1" applyFont="1">
      <alignment horizontal="left" vertical="top"/>
    </xf>
    <xf borderId="3529" fillId="0" fontId="5" numFmtId="0" xfId="0" applyBorder="1" applyFont="1"/>
    <xf borderId="3530" fillId="163" fontId="154" numFmtId="0" xfId="0" applyAlignment="1" applyBorder="1" applyFont="1">
      <alignment horizontal="center" vertical="center"/>
    </xf>
    <xf borderId="3531" fillId="163" fontId="154" numFmtId="0" xfId="0" applyAlignment="1" applyBorder="1" applyFont="1">
      <alignment horizontal="center" vertical="top"/>
    </xf>
    <xf borderId="3532" fillId="163" fontId="154" numFmtId="0" xfId="0" applyAlignment="1" applyBorder="1" applyFont="1">
      <alignment horizontal="center" vertical="top"/>
    </xf>
    <xf borderId="3515" fillId="163" fontId="154" numFmtId="0" xfId="0" applyAlignment="1" applyBorder="1" applyFont="1">
      <alignment horizontal="center" vertical="center"/>
    </xf>
    <xf borderId="3533" fillId="163" fontId="132" numFmtId="0" xfId="0" applyAlignment="1" applyBorder="1" applyFont="1">
      <alignment horizontal="center" readingOrder="0" vertical="center"/>
    </xf>
    <xf borderId="3534" fillId="0" fontId="5" numFmtId="0" xfId="0" applyBorder="1" applyFont="1"/>
    <xf borderId="3535" fillId="0" fontId="5" numFmtId="0" xfId="0" applyBorder="1" applyFont="1"/>
    <xf borderId="3536" fillId="163" fontId="132" numFmtId="0" xfId="0" applyAlignment="1" applyBorder="1" applyFont="1">
      <alignment horizontal="center" readingOrder="0" vertical="center"/>
    </xf>
    <xf borderId="3537" fillId="0" fontId="5" numFmtId="0" xfId="0" applyBorder="1" applyFont="1"/>
    <xf borderId="3538" fillId="0" fontId="5" numFmtId="0" xfId="0" applyBorder="1" applyFont="1"/>
    <xf borderId="3539" fillId="0" fontId="5" numFmtId="0" xfId="0" applyBorder="1" applyFont="1"/>
    <xf borderId="3540" fillId="163" fontId="132" numFmtId="0" xfId="0" applyAlignment="1" applyBorder="1" applyFont="1">
      <alignment horizontal="center" readingOrder="0" vertical="center"/>
    </xf>
    <xf borderId="3541" fillId="163" fontId="132" numFmtId="0" xfId="0" applyAlignment="1" applyBorder="1" applyFont="1">
      <alignment horizontal="center" readingOrder="0" vertical="center"/>
    </xf>
    <xf borderId="3542" fillId="0" fontId="5" numFmtId="0" xfId="0" applyBorder="1" applyFont="1"/>
    <xf borderId="3543" fillId="163" fontId="132" numFmtId="0" xfId="0" applyAlignment="1" applyBorder="1" applyFont="1">
      <alignment horizontal="center" readingOrder="0" vertical="center"/>
    </xf>
    <xf borderId="3544" fillId="0" fontId="5" numFmtId="0" xfId="0" applyBorder="1" applyFont="1"/>
    <xf borderId="3545" fillId="163" fontId="132" numFmtId="0" xfId="0" applyAlignment="1" applyBorder="1" applyFont="1">
      <alignment horizontal="center" readingOrder="0" vertical="center"/>
    </xf>
    <xf borderId="3546" fillId="163" fontId="132" numFmtId="0" xfId="0" applyAlignment="1" applyBorder="1" applyFont="1">
      <alignment horizontal="center" readingOrder="0" vertical="center"/>
    </xf>
    <xf borderId="3547" fillId="0" fontId="5" numFmtId="0" xfId="0" applyBorder="1" applyFont="1"/>
    <xf borderId="3548" fillId="0" fontId="5" numFmtId="0" xfId="0" applyBorder="1" applyFont="1"/>
    <xf borderId="3549" fillId="163" fontId="132" numFmtId="0" xfId="0" applyAlignment="1" applyBorder="1" applyFont="1">
      <alignment horizontal="center" readingOrder="0" vertical="center"/>
    </xf>
    <xf borderId="3550" fillId="0" fontId="5" numFmtId="0" xfId="0" applyBorder="1" applyFont="1"/>
    <xf borderId="3509" fillId="163" fontId="153" numFmtId="0" xfId="0" applyAlignment="1" applyBorder="1" applyFont="1">
      <alignment horizontal="center" vertical="center"/>
    </xf>
    <xf borderId="3510" fillId="163" fontId="102" numFmtId="0" xfId="0" applyAlignment="1" applyBorder="1" applyFont="1">
      <alignment horizontal="right" vertical="center"/>
    </xf>
    <xf borderId="3510" fillId="163" fontId="160" numFmtId="0" xfId="0" applyAlignment="1" applyBorder="1" applyFont="1">
      <alignment horizontal="center" vertical="center"/>
    </xf>
    <xf borderId="3539" fillId="163" fontId="160" numFmtId="0" xfId="0" applyAlignment="1" applyBorder="1" applyFont="1">
      <alignment horizontal="center" vertical="top"/>
    </xf>
    <xf borderId="3510" fillId="163" fontId="160" numFmtId="0" xfId="0" applyAlignment="1" applyBorder="1" applyFont="1">
      <alignment horizontal="center" vertical="top"/>
    </xf>
    <xf borderId="3529" fillId="163" fontId="160" numFmtId="0" xfId="0" applyAlignment="1" applyBorder="1" applyFont="1">
      <alignment horizontal="center" vertical="top"/>
    </xf>
    <xf borderId="3529" fillId="163" fontId="161" numFmtId="0" xfId="0" applyAlignment="1" applyBorder="1" applyFont="1">
      <alignment horizontal="center" vertical="center"/>
    </xf>
    <xf borderId="3510" fillId="163" fontId="161" numFmtId="0" xfId="0" applyAlignment="1" applyBorder="1" applyFont="1">
      <alignment horizontal="center" vertical="center"/>
    </xf>
    <xf borderId="3511" fillId="163" fontId="153" numFmtId="0" xfId="0" applyAlignment="1" applyBorder="1" applyFont="1">
      <alignment horizontal="center" vertical="center"/>
    </xf>
    <xf borderId="3509" fillId="163" fontId="162" numFmtId="0" xfId="0" applyAlignment="1" applyBorder="1" applyFont="1">
      <alignment horizontal="center" vertical="center"/>
    </xf>
    <xf borderId="3510" fillId="163" fontId="148" numFmtId="0" xfId="0" applyAlignment="1" applyBorder="1" applyFont="1">
      <alignment horizontal="right" vertical="center"/>
    </xf>
    <xf borderId="3510" fillId="163" fontId="140" numFmtId="0" xfId="0" applyAlignment="1" applyBorder="1" applyFont="1">
      <alignment horizontal="center" vertical="center"/>
    </xf>
    <xf borderId="378" fillId="162" fontId="138" numFmtId="0" xfId="0" applyAlignment="1" applyBorder="1" applyFont="1">
      <alignment horizontal="center" readingOrder="0" vertical="top"/>
    </xf>
    <xf borderId="3515" fillId="163" fontId="160" numFmtId="0" xfId="0" applyAlignment="1" applyBorder="1" applyFont="1">
      <alignment horizontal="center" vertical="center"/>
    </xf>
    <xf borderId="3515" fillId="163" fontId="162" numFmtId="0" xfId="0" applyAlignment="1" applyBorder="1" applyFont="1">
      <alignment horizontal="center" vertical="center"/>
    </xf>
    <xf borderId="3511" fillId="163" fontId="162" numFmtId="0" xfId="0" applyAlignment="1" applyBorder="1" applyFont="1">
      <alignment horizontal="center" vertical="center"/>
    </xf>
    <xf borderId="3551" fillId="162" fontId="138" numFmtId="0" xfId="0" applyAlignment="1" applyBorder="1" applyFont="1">
      <alignment horizontal="center" readingOrder="0" vertical="center"/>
    </xf>
    <xf borderId="3552" fillId="162" fontId="138" numFmtId="0" xfId="0" applyAlignment="1" applyBorder="1" applyFont="1">
      <alignment horizontal="center" readingOrder="0" vertical="center"/>
    </xf>
    <xf borderId="3553" fillId="162" fontId="138" numFmtId="0" xfId="0" applyAlignment="1" applyBorder="1" applyFont="1">
      <alignment horizontal="left" readingOrder="0" vertical="center"/>
    </xf>
    <xf borderId="3554" fillId="0" fontId="5" numFmtId="0" xfId="0" applyBorder="1" applyFont="1"/>
    <xf borderId="3510" fillId="163" fontId="162" numFmtId="0" xfId="0" applyAlignment="1" applyBorder="1" applyFont="1">
      <alignment horizontal="center" vertical="center"/>
    </xf>
    <xf borderId="3555" fillId="162" fontId="138" numFmtId="0" xfId="0" applyAlignment="1" applyBorder="1" applyFont="1">
      <alignment horizontal="center" readingOrder="0" vertical="center"/>
    </xf>
    <xf borderId="3556" fillId="162" fontId="138" numFmtId="0" xfId="0" applyAlignment="1" applyBorder="1" applyFont="1">
      <alignment horizontal="center" readingOrder="0" vertical="center"/>
    </xf>
    <xf borderId="3557" fillId="162" fontId="138" numFmtId="0" xfId="0" applyAlignment="1" applyBorder="1" applyFont="1">
      <alignment horizontal="left" readingOrder="0" vertical="center"/>
    </xf>
    <xf borderId="3558" fillId="0" fontId="5" numFmtId="0" xfId="0" applyBorder="1" applyFont="1"/>
    <xf borderId="3559" fillId="162" fontId="138" numFmtId="0" xfId="0" applyAlignment="1" applyBorder="1" applyFont="1">
      <alignment horizontal="center" readingOrder="0" vertical="center"/>
    </xf>
    <xf borderId="3560" fillId="162" fontId="138" numFmtId="0" xfId="0" applyAlignment="1" applyBorder="1" applyFont="1">
      <alignment horizontal="center" readingOrder="0" vertical="center"/>
    </xf>
    <xf borderId="3561" fillId="162" fontId="138" numFmtId="0" xfId="0" applyAlignment="1" applyBorder="1" applyFont="1">
      <alignment horizontal="left" readingOrder="0" vertical="center"/>
    </xf>
    <xf borderId="3562" fillId="0" fontId="5" numFmtId="0" xfId="0" applyBorder="1" applyFont="1"/>
    <xf borderId="3563" fillId="162" fontId="138" numFmtId="0" xfId="0" applyAlignment="1" applyBorder="1" applyFont="1">
      <alignment horizontal="left" readingOrder="0" vertical="center"/>
    </xf>
    <xf borderId="3564" fillId="0" fontId="5" numFmtId="0" xfId="0" applyBorder="1" applyFont="1"/>
    <xf borderId="3515" fillId="163" fontId="140" numFmtId="0" xfId="0" applyAlignment="1" applyBorder="1" applyFont="1">
      <alignment horizontal="center" vertical="center"/>
    </xf>
    <xf borderId="400" fillId="162" fontId="138" numFmtId="0" xfId="0" applyAlignment="1" applyBorder="1" applyFont="1">
      <alignment horizontal="right" readingOrder="0" vertical="center"/>
    </xf>
    <xf borderId="395" fillId="162" fontId="138" numFmtId="0" xfId="0" applyAlignment="1" applyBorder="1" applyFont="1">
      <alignment horizontal="right" readingOrder="0" vertical="center"/>
    </xf>
    <xf borderId="405" fillId="162" fontId="138" numFmtId="0" xfId="0" applyAlignment="1" applyBorder="1" applyFont="1">
      <alignment horizontal="right" readingOrder="0" vertical="center"/>
    </xf>
    <xf borderId="3510" fillId="163" fontId="132" numFmtId="0" xfId="0" applyAlignment="1" applyBorder="1" applyFont="1">
      <alignment horizontal="center" readingOrder="0" vertical="center"/>
    </xf>
    <xf borderId="3565" fillId="163" fontId="154" numFmtId="0" xfId="0" applyAlignment="1" applyBorder="1" applyFont="1">
      <alignment horizontal="center" vertical="center"/>
    </xf>
    <xf borderId="3566" fillId="163" fontId="171" numFmtId="0" xfId="0" applyAlignment="1" applyBorder="1" applyFont="1">
      <alignment horizontal="center" vertical="center"/>
    </xf>
    <xf borderId="3566" fillId="163" fontId="154" numFmtId="0" xfId="0" applyAlignment="1" applyBorder="1" applyFont="1">
      <alignment horizontal="center" vertical="center"/>
    </xf>
    <xf borderId="3566" fillId="163" fontId="132" numFmtId="0" xfId="0" applyAlignment="1" applyBorder="1" applyFont="1">
      <alignment horizontal="center" readingOrder="0" vertical="center"/>
    </xf>
    <xf borderId="3567" fillId="163" fontId="132" numFmtId="0" xfId="0" applyAlignment="1" applyBorder="1" applyFont="1">
      <alignment horizontal="center" readingOrder="0" vertical="center"/>
    </xf>
    <xf borderId="3568" fillId="163" fontId="154" numFmtId="0" xfId="0" applyAlignment="1" applyBorder="1" applyFont="1">
      <alignment horizontal="center" vertical="center"/>
    </xf>
    <xf borderId="3569" fillId="164" fontId="154" numFmtId="0" xfId="0" applyAlignment="1" applyBorder="1" applyFill="1" applyFont="1">
      <alignment horizontal="center" vertical="center"/>
    </xf>
    <xf borderId="3570" fillId="164" fontId="171" numFmtId="0" xfId="0" applyAlignment="1" applyBorder="1" applyFont="1">
      <alignment horizontal="center" vertical="center"/>
    </xf>
    <xf borderId="3570" fillId="164" fontId="154" numFmtId="0" xfId="0" applyAlignment="1" applyBorder="1" applyFont="1">
      <alignment horizontal="center" vertical="center"/>
    </xf>
    <xf borderId="3570" fillId="164" fontId="132" numFmtId="0" xfId="0" applyAlignment="1" applyBorder="1" applyFont="1">
      <alignment horizontal="center" readingOrder="0" vertical="center"/>
    </xf>
    <xf borderId="3571" fillId="164" fontId="154" numFmtId="0" xfId="0" applyAlignment="1" applyBorder="1" applyFont="1">
      <alignment horizontal="center" vertical="center"/>
    </xf>
    <xf borderId="3572" fillId="164" fontId="154" numFmtId="0" xfId="0" applyAlignment="1" applyBorder="1" applyFont="1">
      <alignment horizontal="center" vertical="center"/>
    </xf>
    <xf borderId="3573" fillId="164" fontId="103" numFmtId="0" xfId="0" applyAlignment="1" applyBorder="1" applyFont="1">
      <alignment horizontal="center" readingOrder="0" vertical="center"/>
    </xf>
    <xf borderId="3574" fillId="164" fontId="154" numFmtId="0" xfId="0" applyAlignment="1" applyBorder="1" applyFont="1">
      <alignment horizontal="center" vertical="center"/>
    </xf>
    <xf borderId="3573" fillId="164" fontId="171" numFmtId="0" xfId="0" applyAlignment="1" applyBorder="1" applyFont="1">
      <alignment horizontal="center" vertical="center"/>
    </xf>
    <xf borderId="3573" fillId="164" fontId="154" numFmtId="0" xfId="0" applyAlignment="1" applyBorder="1" applyFont="1">
      <alignment horizontal="center" vertical="center"/>
    </xf>
    <xf borderId="3573" fillId="164" fontId="183" numFmtId="0" xfId="0" applyAlignment="1" applyBorder="1" applyFont="1">
      <alignment horizontal="center" readingOrder="0" vertical="center"/>
    </xf>
    <xf borderId="3572" fillId="164" fontId="162" numFmtId="0" xfId="0" applyAlignment="1" applyBorder="1" applyFont="1">
      <alignment horizontal="center" vertical="center"/>
    </xf>
    <xf borderId="3573" fillId="164" fontId="148" numFmtId="0" xfId="0" applyAlignment="1" applyBorder="1" applyFont="1">
      <alignment horizontal="right" vertical="center"/>
    </xf>
    <xf borderId="3575" fillId="164" fontId="215" numFmtId="0" xfId="0" applyAlignment="1" applyBorder="1" applyFont="1">
      <alignment horizontal="left" readingOrder="0" vertical="center"/>
    </xf>
    <xf borderId="3576" fillId="0" fontId="5" numFmtId="0" xfId="0" applyBorder="1" applyFont="1"/>
    <xf borderId="3577" fillId="0" fontId="5" numFmtId="0" xfId="0" applyBorder="1" applyFont="1"/>
    <xf borderId="339" fillId="75" fontId="104" numFmtId="0" xfId="0" applyAlignment="1" applyBorder="1" applyFont="1">
      <alignment horizontal="right" vertical="center"/>
    </xf>
    <xf borderId="3578" fillId="164" fontId="156" numFmtId="0" xfId="0" applyAlignment="1" applyBorder="1" applyFont="1">
      <alignment horizontal="center" vertical="center"/>
    </xf>
    <xf borderId="1066" fillId="75" fontId="131" numFmtId="0" xfId="0" applyAlignment="1" applyBorder="1" applyFont="1">
      <alignment horizontal="center" vertical="center"/>
    </xf>
    <xf borderId="3576" fillId="164" fontId="132" numFmtId="0" xfId="0" applyAlignment="1" applyBorder="1" applyFont="1">
      <alignment horizontal="center" vertical="center"/>
    </xf>
    <xf borderId="3579" fillId="164" fontId="154" numFmtId="0" xfId="0" applyAlignment="1" applyBorder="1" applyFont="1">
      <alignment horizontal="center" vertical="center"/>
    </xf>
    <xf borderId="3572" fillId="164" fontId="132" numFmtId="0" xfId="0" applyAlignment="1" applyBorder="1" applyFont="1">
      <alignment horizontal="center" vertical="center"/>
    </xf>
    <xf borderId="345" fillId="164" fontId="104" numFmtId="0" xfId="0" applyAlignment="1" applyBorder="1" applyFont="1">
      <alignment horizontal="right" readingOrder="0" vertical="center"/>
    </xf>
    <xf borderId="3578" fillId="164" fontId="132" numFmtId="0" xfId="0" applyAlignment="1" applyBorder="1" applyFont="1">
      <alignment horizontal="center" readingOrder="0" vertical="center"/>
    </xf>
    <xf borderId="3580" fillId="164" fontId="130" numFmtId="0" xfId="0" applyAlignment="1" applyBorder="1" applyFont="1">
      <alignment horizontal="center" readingOrder="0" vertical="center"/>
    </xf>
    <xf borderId="3581" fillId="0" fontId="5" numFmtId="0" xfId="0" applyBorder="1" applyFont="1"/>
    <xf borderId="3582" fillId="0" fontId="5" numFmtId="0" xfId="0" applyBorder="1" applyFont="1"/>
    <xf borderId="3579" fillId="164" fontId="132" numFmtId="0" xfId="0" applyAlignment="1" applyBorder="1" applyFont="1">
      <alignment horizontal="center" vertical="center"/>
    </xf>
    <xf borderId="3572" fillId="164" fontId="146" numFmtId="0" xfId="0" applyAlignment="1" applyBorder="1" applyFont="1">
      <alignment horizontal="center" vertical="center"/>
    </xf>
    <xf borderId="3578" fillId="164" fontId="146" numFmtId="0" xfId="0" applyAlignment="1" applyBorder="1" applyFont="1">
      <alignment horizontal="center" readingOrder="0" vertical="center"/>
    </xf>
    <xf borderId="3583" fillId="164" fontId="146" numFmtId="0" xfId="0" applyAlignment="1" applyBorder="1" applyFont="1">
      <alignment horizontal="center" readingOrder="0" vertical="top"/>
    </xf>
    <xf borderId="3584" fillId="0" fontId="5" numFmtId="0" xfId="0" applyBorder="1" applyFont="1"/>
    <xf borderId="3585" fillId="0" fontId="5" numFmtId="0" xfId="0" applyBorder="1" applyFont="1"/>
    <xf borderId="3579" fillId="164" fontId="146" numFmtId="0" xfId="0" applyAlignment="1" applyBorder="1" applyFont="1">
      <alignment horizontal="center" vertical="center"/>
    </xf>
    <xf borderId="3586" fillId="164" fontId="171" numFmtId="0" xfId="0" applyAlignment="1" applyBorder="1" applyFont="1">
      <alignment horizontal="center" vertical="center"/>
    </xf>
    <xf borderId="3587" fillId="164" fontId="132" numFmtId="0" xfId="0" applyAlignment="1" applyBorder="1" applyFont="1">
      <alignment horizontal="center" vertical="center"/>
    </xf>
    <xf borderId="3588" fillId="164" fontId="132" numFmtId="0" xfId="0" applyAlignment="1" applyBorder="1" applyFont="1">
      <alignment horizontal="right" vertical="top"/>
    </xf>
    <xf borderId="3588" fillId="164" fontId="132" numFmtId="0" xfId="0" applyAlignment="1" applyBorder="1" applyFont="1">
      <alignment horizontal="left" vertical="top"/>
    </xf>
    <xf borderId="3589" fillId="164" fontId="132" numFmtId="0" xfId="0" applyAlignment="1" applyBorder="1" applyFont="1">
      <alignment horizontal="center" vertical="top"/>
    </xf>
    <xf borderId="3590" fillId="164" fontId="132" numFmtId="0" xfId="0" applyAlignment="1" applyBorder="1" applyFont="1">
      <alignment horizontal="center" vertical="top"/>
    </xf>
    <xf borderId="3591" fillId="0" fontId="5" numFmtId="0" xfId="0" applyBorder="1" applyFont="1"/>
    <xf borderId="3592" fillId="0" fontId="5" numFmtId="0" xfId="0" applyBorder="1" applyFont="1"/>
    <xf borderId="3593" fillId="164" fontId="132" numFmtId="0" xfId="0" applyAlignment="1" applyBorder="1" applyFont="1">
      <alignment horizontal="center" vertical="center"/>
    </xf>
    <xf borderId="3594" fillId="164" fontId="132" numFmtId="0" xfId="0" applyAlignment="1" applyBorder="1" applyFont="1">
      <alignment horizontal="center" vertical="top"/>
    </xf>
    <xf borderId="3595" fillId="164" fontId="132" numFmtId="0" xfId="0" applyAlignment="1" applyBorder="1" applyFont="1">
      <alignment horizontal="center" vertical="top"/>
    </xf>
    <xf borderId="3578" fillId="164" fontId="154" numFmtId="0" xfId="0" applyAlignment="1" applyBorder="1" applyFont="1">
      <alignment horizontal="center" vertical="center"/>
    </xf>
    <xf borderId="3596" fillId="164" fontId="132" numFmtId="0" xfId="0" applyAlignment="1" applyBorder="1" applyFont="1">
      <alignment horizontal="center" readingOrder="0" vertical="center"/>
    </xf>
    <xf borderId="3597" fillId="0" fontId="5" numFmtId="0" xfId="0" applyBorder="1" applyFont="1"/>
    <xf borderId="3598" fillId="0" fontId="5" numFmtId="0" xfId="0" applyBorder="1" applyFont="1"/>
    <xf borderId="3599" fillId="164" fontId="132" numFmtId="0" xfId="0" applyAlignment="1" applyBorder="1" applyFont="1">
      <alignment horizontal="center" readingOrder="0" vertical="center"/>
    </xf>
    <xf borderId="3600" fillId="0" fontId="5" numFmtId="0" xfId="0" applyBorder="1" applyFont="1"/>
    <xf borderId="3601" fillId="0" fontId="5" numFmtId="0" xfId="0" applyBorder="1" applyFont="1"/>
    <xf borderId="3570" fillId="0" fontId="5" numFmtId="0" xfId="0" applyBorder="1" applyFont="1"/>
    <xf borderId="3602" fillId="164" fontId="132" numFmtId="0" xfId="0" applyAlignment="1" applyBorder="1" applyFont="1">
      <alignment horizontal="center" readingOrder="0" vertical="center"/>
    </xf>
    <xf borderId="3603" fillId="164" fontId="132" numFmtId="0" xfId="0" applyAlignment="1" applyBorder="1" applyFont="1">
      <alignment horizontal="center" readingOrder="0" vertical="center"/>
    </xf>
    <xf borderId="3604" fillId="0" fontId="5" numFmtId="0" xfId="0" applyBorder="1" applyFont="1"/>
    <xf borderId="3598" fillId="164" fontId="132" numFmtId="0" xfId="0" applyAlignment="1" applyBorder="1" applyFont="1">
      <alignment horizontal="center" readingOrder="0" vertical="center"/>
    </xf>
    <xf borderId="3605" fillId="0" fontId="5" numFmtId="0" xfId="0" applyBorder="1" applyFont="1"/>
    <xf borderId="3601" fillId="164" fontId="132" numFmtId="0" xfId="0" applyAlignment="1" applyBorder="1" applyFont="1">
      <alignment horizontal="center" readingOrder="0" vertical="center"/>
    </xf>
    <xf borderId="3606" fillId="164" fontId="132" numFmtId="0" xfId="0" applyAlignment="1" applyBorder="1" applyFont="1">
      <alignment horizontal="center" readingOrder="0" vertical="center"/>
    </xf>
    <xf borderId="3607" fillId="0" fontId="5" numFmtId="0" xfId="0" applyBorder="1" applyFont="1"/>
    <xf borderId="3608" fillId="0" fontId="5" numFmtId="0" xfId="0" applyBorder="1" applyFont="1"/>
    <xf borderId="3609" fillId="164" fontId="132" numFmtId="0" xfId="0" applyAlignment="1" applyBorder="1" applyFont="1">
      <alignment horizontal="center" readingOrder="0" vertical="center"/>
    </xf>
    <xf borderId="3610" fillId="0" fontId="5" numFmtId="0" xfId="0" applyBorder="1" applyFont="1"/>
    <xf borderId="3572" fillId="164" fontId="153" numFmtId="0" xfId="0" applyAlignment="1" applyBorder="1" applyFont="1">
      <alignment horizontal="center" vertical="center"/>
    </xf>
    <xf borderId="3573" fillId="164" fontId="102" numFmtId="0" xfId="0" applyAlignment="1" applyBorder="1" applyFont="1">
      <alignment horizontal="right" vertical="center"/>
    </xf>
    <xf borderId="3573" fillId="164" fontId="160" numFmtId="0" xfId="0" applyAlignment="1" applyBorder="1" applyFont="1">
      <alignment horizontal="center" vertical="center"/>
    </xf>
    <xf borderId="3570" fillId="164" fontId="160" numFmtId="0" xfId="0" applyAlignment="1" applyBorder="1" applyFont="1">
      <alignment horizontal="center" vertical="top"/>
    </xf>
    <xf borderId="3573" fillId="164" fontId="160" numFmtId="0" xfId="0" applyAlignment="1" applyBorder="1" applyFont="1">
      <alignment horizontal="center" vertical="top"/>
    </xf>
    <xf borderId="3592" fillId="164" fontId="160" numFmtId="0" xfId="0" applyAlignment="1" applyBorder="1" applyFont="1">
      <alignment horizontal="center" vertical="top"/>
    </xf>
    <xf borderId="3592" fillId="164" fontId="161" numFmtId="0" xfId="0" applyAlignment="1" applyBorder="1" applyFont="1">
      <alignment horizontal="center" vertical="center"/>
    </xf>
    <xf borderId="3573" fillId="164" fontId="161" numFmtId="0" xfId="0" applyAlignment="1" applyBorder="1" applyFont="1">
      <alignment horizontal="center" vertical="center"/>
    </xf>
    <xf borderId="3574" fillId="164" fontId="153" numFmtId="0" xfId="0" applyAlignment="1" applyBorder="1" applyFont="1">
      <alignment horizontal="center" vertical="center"/>
    </xf>
    <xf borderId="3573" fillId="164" fontId="140" numFmtId="0" xfId="0" applyAlignment="1" applyBorder="1" applyFont="1">
      <alignment horizontal="center" vertical="center"/>
    </xf>
    <xf borderId="378" fillId="165" fontId="138" numFmtId="0" xfId="0" applyAlignment="1" applyBorder="1" applyFill="1" applyFont="1">
      <alignment horizontal="center" readingOrder="0" vertical="top"/>
    </xf>
    <xf borderId="3578" fillId="164" fontId="160" numFmtId="0" xfId="0" applyAlignment="1" applyBorder="1" applyFont="1">
      <alignment horizontal="center" vertical="center"/>
    </xf>
    <xf borderId="3578" fillId="164" fontId="162" numFmtId="0" xfId="0" applyAlignment="1" applyBorder="1" applyFont="1">
      <alignment horizontal="center" vertical="center"/>
    </xf>
    <xf borderId="3574" fillId="164" fontId="162" numFmtId="0" xfId="0" applyAlignment="1" applyBorder="1" applyFont="1">
      <alignment horizontal="center" vertical="center"/>
    </xf>
    <xf borderId="3611" fillId="165" fontId="138" numFmtId="0" xfId="0" applyAlignment="1" applyBorder="1" applyFont="1">
      <alignment horizontal="center" readingOrder="0" vertical="center"/>
    </xf>
    <xf borderId="3612" fillId="165" fontId="138" numFmtId="0" xfId="0" applyAlignment="1" applyBorder="1" applyFont="1">
      <alignment horizontal="center" readingOrder="0" vertical="center"/>
    </xf>
    <xf borderId="3613" fillId="165" fontId="138" numFmtId="0" xfId="0" applyAlignment="1" applyBorder="1" applyFont="1">
      <alignment horizontal="left" readingOrder="0" vertical="center"/>
    </xf>
    <xf borderId="3614" fillId="0" fontId="5" numFmtId="0" xfId="0" applyBorder="1" applyFont="1"/>
    <xf borderId="3573" fillId="164" fontId="162" numFmtId="0" xfId="0" applyAlignment="1" applyBorder="1" applyFont="1">
      <alignment horizontal="center" vertical="center"/>
    </xf>
    <xf borderId="3615" fillId="165" fontId="138" numFmtId="0" xfId="0" applyAlignment="1" applyBorder="1" applyFont="1">
      <alignment horizontal="center" readingOrder="0" vertical="center"/>
    </xf>
    <xf borderId="3616" fillId="165" fontId="138" numFmtId="0" xfId="0" applyAlignment="1" applyBorder="1" applyFont="1">
      <alignment horizontal="center" readingOrder="0" vertical="center"/>
    </xf>
    <xf borderId="3617" fillId="165" fontId="138" numFmtId="0" xfId="0" applyAlignment="1" applyBorder="1" applyFont="1">
      <alignment horizontal="left" readingOrder="0" vertical="center"/>
    </xf>
    <xf borderId="3618" fillId="0" fontId="5" numFmtId="0" xfId="0" applyBorder="1" applyFont="1"/>
    <xf borderId="3619" fillId="165" fontId="138" numFmtId="0" xfId="0" applyAlignment="1" applyBorder="1" applyFont="1">
      <alignment horizontal="center" readingOrder="0" vertical="center"/>
    </xf>
    <xf borderId="3620" fillId="165" fontId="138" numFmtId="0" xfId="0" applyAlignment="1" applyBorder="1" applyFont="1">
      <alignment horizontal="center" readingOrder="0" vertical="center"/>
    </xf>
    <xf borderId="3621" fillId="165" fontId="138" numFmtId="0" xfId="0" applyAlignment="1" applyBorder="1" applyFont="1">
      <alignment horizontal="left" readingOrder="0" vertical="center"/>
    </xf>
    <xf borderId="3622" fillId="0" fontId="5" numFmtId="0" xfId="0" applyBorder="1" applyFont="1"/>
    <xf borderId="395" fillId="165" fontId="138" numFmtId="0" xfId="0" applyAlignment="1" applyBorder="1" applyFont="1">
      <alignment horizontal="right" readingOrder="0" vertical="center"/>
    </xf>
    <xf borderId="3578" fillId="164" fontId="140" numFmtId="0" xfId="0" applyAlignment="1" applyBorder="1" applyFont="1">
      <alignment horizontal="center" vertical="center"/>
    </xf>
    <xf borderId="400" fillId="165" fontId="138" numFmtId="0" xfId="0" applyAlignment="1" applyBorder="1" applyFont="1">
      <alignment horizontal="right" readingOrder="0" vertical="center"/>
    </xf>
    <xf borderId="3573" fillId="164" fontId="132" numFmtId="0" xfId="0" applyAlignment="1" applyBorder="1" applyFont="1">
      <alignment horizontal="center" readingOrder="0" vertical="center"/>
    </xf>
    <xf borderId="405" fillId="165" fontId="138" numFmtId="0" xfId="0" applyAlignment="1" applyBorder="1" applyFont="1">
      <alignment horizontal="right" readingOrder="0" vertical="center"/>
    </xf>
    <xf borderId="3570" fillId="164" fontId="103" numFmtId="0" xfId="0" applyAlignment="1" applyBorder="1" applyFont="1">
      <alignment horizontal="center" readingOrder="0" vertical="center"/>
    </xf>
    <xf borderId="3586" fillId="164" fontId="183" numFmtId="0" xfId="0" applyAlignment="1" applyBorder="1" applyFont="1">
      <alignment horizontal="center" readingOrder="0" vertical="center"/>
    </xf>
    <xf borderId="3599" fillId="164" fontId="131" numFmtId="0" xfId="0" applyAlignment="1" applyBorder="1" applyFont="1">
      <alignment horizontal="center" readingOrder="0" vertical="center"/>
    </xf>
    <xf borderId="3623" fillId="164" fontId="154" numFmtId="0" xfId="0" applyAlignment="1" applyBorder="1" applyFont="1">
      <alignment horizontal="center" vertical="center"/>
    </xf>
    <xf borderId="3624" fillId="164" fontId="171" numFmtId="0" xfId="0" applyAlignment="1" applyBorder="1" applyFont="1">
      <alignment horizontal="center" vertical="center"/>
    </xf>
    <xf borderId="3624" fillId="164" fontId="154" numFmtId="0" xfId="0" applyAlignment="1" applyBorder="1" applyFont="1">
      <alignment horizontal="center" vertical="center"/>
    </xf>
    <xf borderId="3624" fillId="164" fontId="132" numFmtId="0" xfId="0" applyAlignment="1" applyBorder="1" applyFont="1">
      <alignment horizontal="center" readingOrder="0" vertical="center"/>
    </xf>
    <xf borderId="3625" fillId="164" fontId="154" numFmtId="0" xfId="0" applyAlignment="1" applyBorder="1" applyFont="1">
      <alignment horizontal="center" vertical="center"/>
    </xf>
    <xf borderId="3626" fillId="166" fontId="154" numFmtId="0" xfId="0" applyAlignment="1" applyBorder="1" applyFill="1" applyFont="1">
      <alignment horizontal="center" vertical="center"/>
    </xf>
    <xf borderId="3627" fillId="166" fontId="103" numFmtId="0" xfId="0" applyAlignment="1" applyBorder="1" applyFont="1">
      <alignment horizontal="center" readingOrder="0" vertical="center"/>
    </xf>
    <xf borderId="3628" fillId="0" fontId="5" numFmtId="0" xfId="0" applyBorder="1" applyFont="1"/>
    <xf borderId="3629" fillId="0" fontId="5" numFmtId="0" xfId="0" applyBorder="1" applyFont="1"/>
    <xf borderId="3630" fillId="166" fontId="154" numFmtId="0" xfId="0" applyAlignment="1" applyBorder="1" applyFont="1">
      <alignment horizontal="center" vertical="center"/>
    </xf>
    <xf borderId="3631" fillId="166" fontId="154" numFmtId="0" xfId="0" applyAlignment="1" applyBorder="1" applyFont="1">
      <alignment horizontal="center" vertical="center"/>
    </xf>
    <xf borderId="3632" fillId="166" fontId="171" numFmtId="0" xfId="0" applyAlignment="1" applyBorder="1" applyFont="1">
      <alignment horizontal="center" vertical="center"/>
    </xf>
    <xf borderId="3632" fillId="166" fontId="154" numFmtId="0" xfId="0" applyAlignment="1" applyBorder="1" applyFont="1">
      <alignment horizontal="center" vertical="center"/>
    </xf>
    <xf borderId="3633" fillId="166" fontId="154" numFmtId="0" xfId="0" applyAlignment="1" applyBorder="1" applyFont="1">
      <alignment horizontal="center" vertical="center"/>
    </xf>
    <xf borderId="3632" fillId="166" fontId="183" numFmtId="0" xfId="0" applyAlignment="1" applyBorder="1" applyFont="1">
      <alignment horizontal="center" readingOrder="0" vertical="center"/>
    </xf>
    <xf borderId="3631" fillId="166" fontId="162" numFmtId="0" xfId="0" applyAlignment="1" applyBorder="1" applyFont="1">
      <alignment horizontal="center" vertical="center"/>
    </xf>
    <xf borderId="3632" fillId="166" fontId="148" numFmtId="0" xfId="0" applyAlignment="1" applyBorder="1" applyFont="1">
      <alignment horizontal="right" vertical="center"/>
    </xf>
    <xf borderId="3634" fillId="166" fontId="216" numFmtId="0" xfId="0" applyAlignment="1" applyBorder="1" applyFont="1">
      <alignment horizontal="left" readingOrder="0" vertical="center"/>
    </xf>
    <xf borderId="3635" fillId="0" fontId="5" numFmtId="0" xfId="0" applyBorder="1" applyFont="1"/>
    <xf borderId="3636" fillId="0" fontId="5" numFmtId="0" xfId="0" applyBorder="1" applyFont="1"/>
    <xf borderId="339" fillId="76" fontId="104" numFmtId="0" xfId="0" applyAlignment="1" applyBorder="1" applyFont="1">
      <alignment horizontal="right" vertical="center"/>
    </xf>
    <xf borderId="3637" fillId="166" fontId="156" numFmtId="0" xfId="0" applyAlignment="1" applyBorder="1" applyFont="1">
      <alignment horizontal="center" vertical="center"/>
    </xf>
    <xf borderId="1066" fillId="76" fontId="131" numFmtId="0" xfId="0" applyAlignment="1" applyBorder="1" applyFont="1">
      <alignment horizontal="center" vertical="center"/>
    </xf>
    <xf borderId="3635" fillId="166" fontId="132" numFmtId="0" xfId="0" applyAlignment="1" applyBorder="1" applyFont="1">
      <alignment horizontal="center" vertical="center"/>
    </xf>
    <xf borderId="3638" fillId="166" fontId="154" numFmtId="0" xfId="0" applyAlignment="1" applyBorder="1" applyFont="1">
      <alignment horizontal="center" vertical="center"/>
    </xf>
    <xf borderId="3631" fillId="166" fontId="132" numFmtId="0" xfId="0" applyAlignment="1" applyBorder="1" applyFont="1">
      <alignment horizontal="center" vertical="center"/>
    </xf>
    <xf borderId="345" fillId="166" fontId="104" numFmtId="0" xfId="0" applyAlignment="1" applyBorder="1" applyFont="1">
      <alignment horizontal="right" readingOrder="0" vertical="center"/>
    </xf>
    <xf borderId="3637" fillId="166" fontId="132" numFmtId="0" xfId="0" applyAlignment="1" applyBorder="1" applyFont="1">
      <alignment horizontal="center" readingOrder="0" vertical="center"/>
    </xf>
    <xf borderId="3639" fillId="166" fontId="130" numFmtId="0" xfId="0" applyAlignment="1" applyBorder="1" applyFont="1">
      <alignment horizontal="center" readingOrder="0" vertical="center"/>
    </xf>
    <xf borderId="3640" fillId="0" fontId="5" numFmtId="0" xfId="0" applyBorder="1" applyFont="1"/>
    <xf borderId="3641" fillId="0" fontId="5" numFmtId="0" xfId="0" applyBorder="1" applyFont="1"/>
    <xf borderId="3638" fillId="166" fontId="132" numFmtId="0" xfId="0" applyAlignment="1" applyBorder="1" applyFont="1">
      <alignment horizontal="center" vertical="center"/>
    </xf>
    <xf borderId="3631" fillId="166" fontId="146" numFmtId="0" xfId="0" applyAlignment="1" applyBorder="1" applyFont="1">
      <alignment horizontal="center" vertical="center"/>
    </xf>
    <xf borderId="3637" fillId="166" fontId="146" numFmtId="0" xfId="0" applyAlignment="1" applyBorder="1" applyFont="1">
      <alignment horizontal="center" readingOrder="0" vertical="center"/>
    </xf>
    <xf borderId="3642" fillId="166" fontId="146" numFmtId="0" xfId="0" applyAlignment="1" applyBorder="1" applyFont="1">
      <alignment horizontal="center" readingOrder="0" vertical="top"/>
    </xf>
    <xf borderId="3643" fillId="0" fontId="5" numFmtId="0" xfId="0" applyBorder="1" applyFont="1"/>
    <xf borderId="3644" fillId="0" fontId="5" numFmtId="0" xfId="0" applyBorder="1" applyFont="1"/>
    <xf borderId="3638" fillId="166" fontId="146" numFmtId="0" xfId="0" applyAlignment="1" applyBorder="1" applyFont="1">
      <alignment horizontal="center" vertical="center"/>
    </xf>
    <xf borderId="3645" fillId="166" fontId="171" numFmtId="0" xfId="0" applyAlignment="1" applyBorder="1" applyFont="1">
      <alignment horizontal="center" vertical="center"/>
    </xf>
    <xf borderId="3646" fillId="166" fontId="132" numFmtId="0" xfId="0" applyAlignment="1" applyBorder="1" applyFont="1">
      <alignment horizontal="center" vertical="center"/>
    </xf>
    <xf borderId="3647" fillId="166" fontId="132" numFmtId="0" xfId="0" applyAlignment="1" applyBorder="1" applyFont="1">
      <alignment horizontal="right" vertical="top"/>
    </xf>
    <xf borderId="3647" fillId="166" fontId="132" numFmtId="0" xfId="0" applyAlignment="1" applyBorder="1" applyFont="1">
      <alignment horizontal="left" vertical="top"/>
    </xf>
    <xf borderId="3648" fillId="166" fontId="132" numFmtId="0" xfId="0" applyAlignment="1" applyBorder="1" applyFont="1">
      <alignment horizontal="center" vertical="top"/>
    </xf>
    <xf borderId="3649" fillId="0" fontId="5" numFmtId="0" xfId="0" applyBorder="1" applyFont="1"/>
    <xf borderId="3650" fillId="166" fontId="132" numFmtId="0" xfId="0" applyAlignment="1" applyBorder="1" applyFont="1">
      <alignment horizontal="center" vertical="center"/>
    </xf>
    <xf borderId="3651" fillId="166" fontId="132" numFmtId="0" xfId="0" applyAlignment="1" applyBorder="1" applyFont="1">
      <alignment horizontal="center" vertical="top"/>
    </xf>
    <xf borderId="3652" fillId="166" fontId="132" numFmtId="0" xfId="0" applyAlignment="1" applyBorder="1" applyFont="1">
      <alignment horizontal="center" vertical="top"/>
    </xf>
    <xf borderId="3637" fillId="166" fontId="154" numFmtId="0" xfId="0" applyAlignment="1" applyBorder="1" applyFont="1">
      <alignment horizontal="center" vertical="center"/>
    </xf>
    <xf borderId="3653" fillId="166" fontId="132" numFmtId="0" xfId="0" applyAlignment="1" applyBorder="1" applyFont="1">
      <alignment horizontal="center" readingOrder="0" vertical="center"/>
    </xf>
    <xf borderId="3654" fillId="0" fontId="5" numFmtId="0" xfId="0" applyBorder="1" applyFont="1"/>
    <xf borderId="3655" fillId="0" fontId="5" numFmtId="0" xfId="0" applyBorder="1" applyFont="1"/>
    <xf borderId="3656" fillId="166" fontId="132" numFmtId="0" xfId="0" applyAlignment="1" applyBorder="1" applyFont="1">
      <alignment horizontal="center" readingOrder="0" vertical="center"/>
    </xf>
    <xf borderId="3657" fillId="0" fontId="5" numFmtId="0" xfId="0" applyBorder="1" applyFont="1"/>
    <xf borderId="3658" fillId="0" fontId="5" numFmtId="0" xfId="0" applyBorder="1" applyFont="1"/>
    <xf borderId="3659" fillId="0" fontId="5" numFmtId="0" xfId="0" applyBorder="1" applyFont="1"/>
    <xf borderId="3660" fillId="166" fontId="132" numFmtId="0" xfId="0" applyAlignment="1" applyBorder="1" applyFont="1">
      <alignment horizontal="center" readingOrder="0" vertical="center"/>
    </xf>
    <xf borderId="3661" fillId="166" fontId="132" numFmtId="0" xfId="0" applyAlignment="1" applyBorder="1" applyFont="1">
      <alignment horizontal="center" readingOrder="0" vertical="center"/>
    </xf>
    <xf borderId="3662" fillId="0" fontId="5" numFmtId="0" xfId="0" applyBorder="1" applyFont="1"/>
    <xf borderId="3663" fillId="166" fontId="132" numFmtId="0" xfId="0" applyAlignment="1" applyBorder="1" applyFont="1">
      <alignment horizontal="center" readingOrder="0" vertical="center"/>
    </xf>
    <xf borderId="3664" fillId="0" fontId="5" numFmtId="0" xfId="0" applyBorder="1" applyFont="1"/>
    <xf borderId="3665" fillId="166" fontId="132" numFmtId="0" xfId="0" applyAlignment="1" applyBorder="1" applyFont="1">
      <alignment horizontal="center" readingOrder="0" vertical="center"/>
    </xf>
    <xf borderId="3666" fillId="166" fontId="132" numFmtId="0" xfId="0" applyAlignment="1" applyBorder="1" applyFont="1">
      <alignment horizontal="center" readingOrder="0" vertical="center"/>
    </xf>
    <xf borderId="3667" fillId="0" fontId="5" numFmtId="0" xfId="0" applyBorder="1" applyFont="1"/>
    <xf borderId="3668" fillId="0" fontId="5" numFmtId="0" xfId="0" applyBorder="1" applyFont="1"/>
    <xf borderId="3669" fillId="166" fontId="132" numFmtId="0" xfId="0" applyAlignment="1" applyBorder="1" applyFont="1">
      <alignment horizontal="center" readingOrder="0" vertical="center"/>
    </xf>
    <xf borderId="3631" fillId="166" fontId="153" numFmtId="0" xfId="0" applyAlignment="1" applyBorder="1" applyFont="1">
      <alignment horizontal="center" vertical="center"/>
    </xf>
    <xf borderId="3632" fillId="166" fontId="102" numFmtId="0" xfId="0" applyAlignment="1" applyBorder="1" applyFont="1">
      <alignment horizontal="right" vertical="center"/>
    </xf>
    <xf borderId="3632" fillId="166" fontId="160" numFmtId="0" xfId="0" applyAlignment="1" applyBorder="1" applyFont="1">
      <alignment horizontal="center" vertical="center"/>
    </xf>
    <xf borderId="3659" fillId="166" fontId="160" numFmtId="0" xfId="0" applyAlignment="1" applyBorder="1" applyFont="1">
      <alignment horizontal="center" vertical="top"/>
    </xf>
    <xf borderId="3632" fillId="166" fontId="160" numFmtId="0" xfId="0" applyAlignment="1" applyBorder="1" applyFont="1">
      <alignment horizontal="center" vertical="top"/>
    </xf>
    <xf borderId="3649" fillId="166" fontId="160" numFmtId="0" xfId="0" applyAlignment="1" applyBorder="1" applyFont="1">
      <alignment horizontal="center" vertical="top"/>
    </xf>
    <xf borderId="3649" fillId="166" fontId="161" numFmtId="0" xfId="0" applyAlignment="1" applyBorder="1" applyFont="1">
      <alignment horizontal="center" vertical="center"/>
    </xf>
    <xf borderId="3632" fillId="166" fontId="161" numFmtId="0" xfId="0" applyAlignment="1" applyBorder="1" applyFont="1">
      <alignment horizontal="center" vertical="center"/>
    </xf>
    <xf borderId="3633" fillId="166" fontId="153" numFmtId="0" xfId="0" applyAlignment="1" applyBorder="1" applyFont="1">
      <alignment horizontal="center" vertical="center"/>
    </xf>
    <xf borderId="3632" fillId="166" fontId="140" numFmtId="0" xfId="0" applyAlignment="1" applyBorder="1" applyFont="1">
      <alignment horizontal="center" vertical="center"/>
    </xf>
    <xf borderId="378" fillId="167" fontId="138" numFmtId="0" xfId="0" applyAlignment="1" applyBorder="1" applyFill="1" applyFont="1">
      <alignment horizontal="center" readingOrder="0" vertical="top"/>
    </xf>
    <xf borderId="3637" fillId="166" fontId="160" numFmtId="0" xfId="0" applyAlignment="1" applyBorder="1" applyFont="1">
      <alignment horizontal="center" vertical="center"/>
    </xf>
    <xf borderId="3637" fillId="166" fontId="162" numFmtId="0" xfId="0" applyAlignment="1" applyBorder="1" applyFont="1">
      <alignment horizontal="center" vertical="center"/>
    </xf>
    <xf borderId="3633" fillId="166" fontId="162" numFmtId="0" xfId="0" applyAlignment="1" applyBorder="1" applyFont="1">
      <alignment horizontal="center" vertical="center"/>
    </xf>
    <xf borderId="3670" fillId="167" fontId="138" numFmtId="0" xfId="0" applyAlignment="1" applyBorder="1" applyFont="1">
      <alignment horizontal="center" readingOrder="0" vertical="center"/>
    </xf>
    <xf borderId="3671" fillId="167" fontId="138" numFmtId="0" xfId="0" applyAlignment="1" applyBorder="1" applyFont="1">
      <alignment horizontal="center" readingOrder="0" vertical="center"/>
    </xf>
    <xf borderId="3672" fillId="167" fontId="138" numFmtId="0" xfId="0" applyAlignment="1" applyBorder="1" applyFont="1">
      <alignment horizontal="left" readingOrder="0" vertical="center"/>
    </xf>
    <xf borderId="3673" fillId="0" fontId="5" numFmtId="0" xfId="0" applyBorder="1" applyFont="1"/>
    <xf borderId="3632" fillId="166" fontId="162" numFmtId="0" xfId="0" applyAlignment="1" applyBorder="1" applyFont="1">
      <alignment horizontal="center" vertical="center"/>
    </xf>
    <xf borderId="3674" fillId="167" fontId="138" numFmtId="0" xfId="0" applyAlignment="1" applyBorder="1" applyFont="1">
      <alignment horizontal="center" readingOrder="0" vertical="center"/>
    </xf>
    <xf borderId="3675" fillId="167" fontId="138" numFmtId="0" xfId="0" applyAlignment="1" applyBorder="1" applyFont="1">
      <alignment horizontal="center" readingOrder="0" vertical="center"/>
    </xf>
    <xf borderId="3676" fillId="167" fontId="138" numFmtId="0" xfId="0" applyAlignment="1" applyBorder="1" applyFont="1">
      <alignment horizontal="left" readingOrder="0" vertical="center"/>
    </xf>
    <xf borderId="3677" fillId="0" fontId="5" numFmtId="0" xfId="0" applyBorder="1" applyFont="1"/>
    <xf borderId="3678" fillId="167" fontId="138" numFmtId="0" xfId="0" applyAlignment="1" applyBorder="1" applyFont="1">
      <alignment horizontal="center" readingOrder="0" vertical="center"/>
    </xf>
    <xf borderId="3679" fillId="167" fontId="138" numFmtId="0" xfId="0" applyAlignment="1" applyBorder="1" applyFont="1">
      <alignment horizontal="center" readingOrder="0" vertical="center"/>
    </xf>
    <xf borderId="3680" fillId="167" fontId="138" numFmtId="0" xfId="0" applyAlignment="1" applyBorder="1" applyFont="1">
      <alignment horizontal="left" readingOrder="0" vertical="center"/>
    </xf>
    <xf borderId="3681" fillId="0" fontId="5" numFmtId="0" xfId="0" applyBorder="1" applyFont="1"/>
    <xf borderId="395" fillId="167" fontId="138" numFmtId="0" xfId="0" applyAlignment="1" applyBorder="1" applyFont="1">
      <alignment horizontal="right" readingOrder="0" vertical="center"/>
    </xf>
    <xf borderId="3637" fillId="166" fontId="140" numFmtId="0" xfId="0" applyAlignment="1" applyBorder="1" applyFont="1">
      <alignment horizontal="center" vertical="center"/>
    </xf>
    <xf borderId="400" fillId="167" fontId="138" numFmtId="0" xfId="0" applyAlignment="1" applyBorder="1" applyFont="1">
      <alignment horizontal="right" readingOrder="0" vertical="center"/>
    </xf>
    <xf borderId="3682" fillId="166" fontId="162" numFmtId="0" xfId="0" applyAlignment="1" applyBorder="1" applyFont="1">
      <alignment horizontal="center" vertical="center"/>
    </xf>
    <xf borderId="3645" fillId="166" fontId="148" numFmtId="0" xfId="0" applyAlignment="1" applyBorder="1" applyFont="1">
      <alignment horizontal="right" vertical="center"/>
    </xf>
    <xf borderId="3645" fillId="166" fontId="140" numFmtId="0" xfId="0" applyAlignment="1" applyBorder="1" applyFont="1">
      <alignment horizontal="center" vertical="center"/>
    </xf>
    <xf borderId="3634" fillId="166" fontId="140" numFmtId="0" xfId="0" applyAlignment="1" applyBorder="1" applyFont="1">
      <alignment horizontal="center" vertical="center"/>
    </xf>
    <xf borderId="405" fillId="167" fontId="138" numFmtId="0" xfId="0" applyAlignment="1" applyBorder="1" applyFont="1">
      <alignment horizontal="right" readingOrder="0" vertical="center"/>
    </xf>
    <xf borderId="3634" fillId="166" fontId="162" numFmtId="0" xfId="0" applyAlignment="1" applyBorder="1" applyFont="1">
      <alignment horizontal="center" vertical="center"/>
    </xf>
    <xf borderId="3683" fillId="166" fontId="162" numFmtId="0" xfId="0" applyAlignment="1" applyBorder="1" applyFont="1">
      <alignment horizontal="center" vertical="center"/>
    </xf>
    <xf borderId="3684" fillId="166" fontId="154" numFmtId="0" xfId="0" applyAlignment="1" applyBorder="1" applyFont="1">
      <alignment horizontal="center" vertical="center"/>
    </xf>
    <xf borderId="3685" fillId="166" fontId="171" numFmtId="0" xfId="0" applyAlignment="1" applyBorder="1" applyFont="1">
      <alignment horizontal="center" vertical="center"/>
    </xf>
    <xf borderId="3685" fillId="166" fontId="154" numFmtId="0" xfId="0" applyAlignment="1" applyBorder="1" applyFont="1">
      <alignment horizontal="center" vertical="center"/>
    </xf>
    <xf borderId="3685" fillId="166" fontId="132" numFmtId="0" xfId="0" applyAlignment="1" applyBorder="1" applyFont="1">
      <alignment horizontal="center" readingOrder="0" vertical="center"/>
    </xf>
    <xf borderId="3686" fillId="166" fontId="132" numFmtId="0" xfId="0" applyAlignment="1" applyBorder="1" applyFont="1">
      <alignment horizontal="center" readingOrder="0" vertical="center"/>
    </xf>
    <xf borderId="3687" fillId="166" fontId="154" numFmtId="0" xfId="0" applyAlignment="1" applyBorder="1" applyFont="1">
      <alignment horizontal="center" vertical="center"/>
    </xf>
    <xf borderId="3645" fillId="166" fontId="183" numFmtId="0" xfId="0" applyAlignment="1" applyBorder="1" applyFont="1">
      <alignment horizontal="center" readingOrder="0" vertical="center"/>
    </xf>
    <xf borderId="3649" fillId="166" fontId="148" numFmtId="0" xfId="0" applyAlignment="1" applyBorder="1" applyFont="1">
      <alignment horizontal="right" vertical="center"/>
    </xf>
    <xf borderId="3645" fillId="166" fontId="162" numFmtId="0" xfId="0" applyAlignment="1" applyBorder="1" applyFont="1">
      <alignment horizontal="center" vertical="center"/>
    </xf>
    <xf borderId="3688" fillId="166" fontId="154" numFmtId="0" xfId="0" applyAlignment="1" applyBorder="1" applyFont="1">
      <alignment horizontal="center" vertical="center"/>
    </xf>
    <xf borderId="3689" fillId="166" fontId="171" numFmtId="0" xfId="0" applyAlignment="1" applyBorder="1" applyFont="1">
      <alignment horizontal="center" vertical="center"/>
    </xf>
    <xf borderId="3689" fillId="166" fontId="154" numFmtId="0" xfId="0" applyAlignment="1" applyBorder="1" applyFont="1">
      <alignment horizontal="center" vertical="center"/>
    </xf>
    <xf borderId="3689" fillId="166" fontId="132" numFmtId="0" xfId="0" applyAlignment="1" applyBorder="1" applyFont="1">
      <alignment horizontal="center" readingOrder="0" vertical="center"/>
    </xf>
    <xf borderId="3690" fillId="166" fontId="154" numFmtId="0" xfId="0" applyAlignment="1" applyBorder="1" applyFont="1">
      <alignment horizontal="center" vertical="center"/>
    </xf>
    <xf borderId="3691" fillId="117" fontId="103" numFmtId="0" xfId="0" applyAlignment="1" applyBorder="1" applyFont="1">
      <alignment horizontal="center" readingOrder="0" vertical="center"/>
    </xf>
    <xf borderId="1802" fillId="117" fontId="171" numFmtId="0" xfId="0" applyAlignment="1" applyBorder="1" applyFont="1">
      <alignment horizontal="center" vertical="center"/>
    </xf>
    <xf borderId="3692" fillId="117" fontId="154" numFmtId="0" xfId="0" applyAlignment="1" applyBorder="1" applyFont="1">
      <alignment horizontal="center" vertical="center"/>
    </xf>
    <xf borderId="3693" fillId="117" fontId="171" numFmtId="0" xfId="0" applyAlignment="1" applyBorder="1" applyFont="1">
      <alignment horizontal="center" vertical="center"/>
    </xf>
    <xf borderId="3693" fillId="117" fontId="154" numFmtId="0" xfId="0" applyAlignment="1" applyBorder="1" applyFont="1">
      <alignment horizontal="center" vertical="center"/>
    </xf>
    <xf borderId="1812" fillId="117" fontId="183" numFmtId="0" xfId="0" applyAlignment="1" applyBorder="1" applyFont="1">
      <alignment horizontal="center" readingOrder="0" vertical="center"/>
    </xf>
    <xf borderId="3693" fillId="117" fontId="183" numFmtId="0" xfId="0" applyAlignment="1" applyBorder="1" applyFont="1">
      <alignment horizontal="center" readingOrder="0" vertical="center"/>
    </xf>
    <xf borderId="3694" fillId="117" fontId="154" numFmtId="0" xfId="0" applyAlignment="1" applyBorder="1" applyFont="1">
      <alignment horizontal="center" vertical="center"/>
    </xf>
    <xf borderId="1803" fillId="117" fontId="217" numFmtId="0" xfId="0" applyAlignment="1" applyBorder="1" applyFont="1">
      <alignment horizontal="left" readingOrder="0" vertical="center"/>
    </xf>
    <xf borderId="3695" fillId="117" fontId="154" numFmtId="0" xfId="0" applyAlignment="1" applyBorder="1" applyFont="1">
      <alignment horizontal="center" vertical="center"/>
    </xf>
    <xf borderId="1804" fillId="117" fontId="154" numFmtId="0" xfId="0" applyAlignment="1" applyBorder="1" applyFont="1">
      <alignment horizontal="center" vertical="center"/>
    </xf>
    <xf borderId="1823" fillId="118" fontId="146" numFmtId="0" xfId="0" applyAlignment="1" applyBorder="1" applyFont="1">
      <alignment horizontal="center" readingOrder="0" vertical="top"/>
    </xf>
    <xf borderId="3696" fillId="118" fontId="132" numFmtId="0" xfId="0" applyAlignment="1" applyBorder="1" applyFont="1">
      <alignment horizontal="center" vertical="top"/>
    </xf>
    <xf borderId="3697" fillId="0" fontId="5" numFmtId="0" xfId="0" applyBorder="1" applyFont="1"/>
    <xf borderId="1850" fillId="117" fontId="140" numFmtId="0" xfId="0" applyAlignment="1" applyBorder="1" applyFont="1">
      <alignment horizontal="center" vertical="center"/>
    </xf>
    <xf borderId="1865" fillId="117" fontId="171" numFmtId="0" xfId="0" applyAlignment="1" applyBorder="1" applyFont="1">
      <alignment horizontal="center" vertical="center"/>
    </xf>
    <xf borderId="1865" fillId="117" fontId="156" numFmtId="0" xfId="0" applyAlignment="1" applyBorder="1" applyFont="1">
      <alignment horizontal="center" vertical="center"/>
    </xf>
    <xf borderId="1865" fillId="117" fontId="154" numFmtId="0" xfId="0" applyAlignment="1" applyBorder="1" applyFont="1">
      <alignment horizontal="center" vertical="center"/>
    </xf>
    <xf borderId="1867" fillId="117" fontId="156" numFmtId="0" xfId="0" applyAlignment="1" applyBorder="1" applyFont="1">
      <alignment horizontal="center" vertical="center"/>
    </xf>
    <xf borderId="1319" fillId="12" fontId="158" numFmtId="0" xfId="0" applyAlignment="1" applyBorder="1" applyFont="1">
      <alignment horizontal="center" readingOrder="0" vertical="center"/>
    </xf>
    <xf borderId="176" fillId="12" fontId="116" numFmtId="0" xfId="0" applyAlignment="1" applyBorder="1" applyFont="1">
      <alignment horizontal="center" vertical="center"/>
    </xf>
    <xf borderId="1296" fillId="12" fontId="139" numFmtId="0" xfId="0" applyAlignment="1" applyBorder="1" applyFont="1">
      <alignment horizontal="center" vertical="center"/>
    </xf>
    <xf borderId="1297" fillId="12" fontId="162" numFmtId="0" xfId="0" applyAlignment="1" applyBorder="1" applyFont="1">
      <alignment horizontal="center" vertical="center"/>
    </xf>
    <xf borderId="1784" fillId="4" fontId="115" numFmtId="0" xfId="0" applyAlignment="1" applyBorder="1" applyFont="1">
      <alignment horizontal="right" readingOrder="0" vertical="center"/>
    </xf>
    <xf borderId="176" fillId="12" fontId="139" numFmtId="0" xfId="0" applyAlignment="1" applyBorder="1" applyFont="1">
      <alignment horizontal="center" vertical="center"/>
    </xf>
    <xf borderId="196" fillId="4" fontId="115" numFmtId="0" xfId="0" applyAlignment="1" applyBorder="1" applyFont="1">
      <alignment horizontal="right"/>
    </xf>
    <xf borderId="3698" fillId="0" fontId="5" numFmtId="0" xfId="0" applyBorder="1" applyFont="1"/>
    <xf borderId="408" fillId="168" fontId="138" numFmtId="0" xfId="0" applyAlignment="1" applyBorder="1" applyFill="1" applyFont="1">
      <alignment horizontal="center"/>
    </xf>
    <xf borderId="3699" fillId="12" fontId="162" numFmtId="0" xfId="0" applyAlignment="1" applyBorder="1" applyFont="1">
      <alignment horizontal="center" vertical="center"/>
    </xf>
    <xf borderId="1297" fillId="12" fontId="102" numFmtId="0" xfId="0" applyAlignment="1" applyBorder="1" applyFont="1">
      <alignment horizontal="right" vertical="center"/>
    </xf>
    <xf borderId="218" fillId="12" fontId="140" numFmtId="0" xfId="0" applyAlignment="1" applyBorder="1" applyFont="1">
      <alignment horizontal="center" vertical="center"/>
    </xf>
    <xf borderId="196" fillId="37" fontId="115" numFmtId="0" xfId="0" applyAlignment="1" applyBorder="1" applyFont="1">
      <alignment horizontal="right" readingOrder="0" vertical="center"/>
    </xf>
    <xf borderId="3700" fillId="160" fontId="154" numFmtId="0" xfId="0" applyAlignment="1" applyBorder="1" applyFont="1">
      <alignment horizontal="center" vertical="center"/>
    </xf>
    <xf borderId="3700" fillId="160" fontId="171" numFmtId="0" xfId="0" applyAlignment="1" applyBorder="1" applyFont="1">
      <alignment horizontal="center" vertical="center"/>
    </xf>
    <xf borderId="3701" fillId="169" fontId="154" numFmtId="0" xfId="0" applyAlignment="1" applyBorder="1" applyFill="1" applyFont="1">
      <alignment horizontal="center" readingOrder="0" vertical="center"/>
    </xf>
    <xf borderId="3702" fillId="169" fontId="154" numFmtId="0" xfId="0" applyAlignment="1" applyBorder="1" applyFont="1">
      <alignment horizontal="center" vertical="center"/>
    </xf>
    <xf borderId="3702" fillId="169" fontId="171" numFmtId="0" xfId="0" applyAlignment="1" applyBorder="1" applyFont="1">
      <alignment horizontal="center" vertical="center"/>
    </xf>
    <xf borderId="3701" fillId="169" fontId="154" numFmtId="0" xfId="0" applyAlignment="1" applyBorder="1" applyFont="1">
      <alignment horizontal="center" vertical="center"/>
    </xf>
    <xf borderId="3703" fillId="169" fontId="154" numFmtId="0" xfId="0" applyAlignment="1" applyBorder="1" applyFont="1">
      <alignment horizontal="center" vertical="center"/>
    </xf>
    <xf borderId="3704" fillId="170" fontId="154" numFmtId="0" xfId="0" applyAlignment="1" applyBorder="1" applyFill="1" applyFont="1">
      <alignment horizontal="center" vertical="center"/>
    </xf>
    <xf borderId="3705" fillId="170" fontId="33" numFmtId="0" xfId="0" applyAlignment="1" applyBorder="1" applyFont="1">
      <alignment horizontal="center" readingOrder="0" vertical="center"/>
    </xf>
    <xf borderId="3706" fillId="170" fontId="154" numFmtId="0" xfId="0" applyAlignment="1" applyBorder="1" applyFont="1">
      <alignment horizontal="center" vertical="center"/>
    </xf>
    <xf borderId="3707" fillId="169" fontId="154" numFmtId="0" xfId="0" applyAlignment="1" applyBorder="1" applyFont="1">
      <alignment horizontal="center" vertical="center"/>
    </xf>
    <xf borderId="3708" fillId="170" fontId="154" numFmtId="0" xfId="0" applyAlignment="1" applyBorder="1" applyFont="1">
      <alignment horizontal="center" vertical="center"/>
    </xf>
    <xf borderId="3709" fillId="170" fontId="154" numFmtId="0" xfId="0" applyAlignment="1" applyBorder="1" applyFont="1">
      <alignment horizontal="center" vertical="center"/>
    </xf>
    <xf borderId="3710" fillId="170" fontId="154" numFmtId="0" xfId="0" applyAlignment="1" applyBorder="1" applyFont="1">
      <alignment horizontal="center" vertical="center"/>
    </xf>
    <xf borderId="3711" fillId="170" fontId="33" numFmtId="0" xfId="0" applyAlignment="1" applyBorder="1" applyFont="1">
      <alignment horizontal="center" readingOrder="0" vertical="center"/>
    </xf>
    <xf borderId="3712" fillId="170" fontId="33" numFmtId="0" xfId="0" applyAlignment="1" applyBorder="1" applyFont="1">
      <alignment horizontal="center" readingOrder="0" vertical="center"/>
    </xf>
    <xf borderId="3713" fillId="170" fontId="154" numFmtId="0" xfId="0" applyAlignment="1" applyBorder="1" applyFont="1">
      <alignment horizontal="center" vertical="center"/>
    </xf>
    <xf borderId="339" fillId="171" fontId="104" numFmtId="0" xfId="0" applyAlignment="1" applyBorder="1" applyFill="1" applyFont="1">
      <alignment horizontal="center" vertical="center"/>
    </xf>
    <xf borderId="3714" fillId="170" fontId="156" numFmtId="0" xfId="0" applyAlignment="1" applyBorder="1" applyFont="1">
      <alignment horizontal="center" vertical="center"/>
    </xf>
    <xf borderId="1066" fillId="171" fontId="131" numFmtId="0" xfId="0" applyAlignment="1" applyBorder="1" applyFont="1">
      <alignment horizontal="center" vertical="center"/>
    </xf>
    <xf borderId="3715" fillId="170" fontId="132" numFmtId="0" xfId="0" applyAlignment="1" applyBorder="1" applyFont="1">
      <alignment horizontal="center" vertical="center"/>
    </xf>
    <xf borderId="3703" fillId="169" fontId="132" numFmtId="0" xfId="0" applyAlignment="1" applyBorder="1" applyFont="1">
      <alignment horizontal="center" vertical="center"/>
    </xf>
    <xf borderId="3710" fillId="170" fontId="132" numFmtId="0" xfId="0" applyAlignment="1" applyBorder="1" applyFont="1">
      <alignment horizontal="center" vertical="center"/>
    </xf>
    <xf borderId="885" fillId="170" fontId="104" numFmtId="0" xfId="0" applyAlignment="1" applyBorder="1" applyFont="1">
      <alignment horizontal="right" readingOrder="0" vertical="center"/>
    </xf>
    <xf borderId="3714" fillId="170" fontId="132" numFmtId="0" xfId="0" applyAlignment="1" applyBorder="1" applyFont="1">
      <alignment horizontal="center" readingOrder="0" vertical="center"/>
    </xf>
    <xf borderId="3716" fillId="170" fontId="130" numFmtId="0" xfId="0" applyAlignment="1" applyBorder="1" applyFont="1">
      <alignment horizontal="center" readingOrder="0" vertical="center"/>
    </xf>
    <xf borderId="3717" fillId="0" fontId="5" numFmtId="0" xfId="0" applyBorder="1" applyFont="1"/>
    <xf borderId="3718" fillId="0" fontId="5" numFmtId="0" xfId="0" applyBorder="1" applyFont="1"/>
    <xf borderId="3709" fillId="170" fontId="132" numFmtId="0" xfId="0" applyAlignment="1" applyBorder="1" applyFont="1">
      <alignment horizontal="center" vertical="center"/>
    </xf>
    <xf borderId="3707" fillId="169" fontId="132" numFmtId="0" xfId="0" applyAlignment="1" applyBorder="1" applyFont="1">
      <alignment horizontal="center" vertical="center"/>
    </xf>
    <xf borderId="3714" fillId="170" fontId="154" numFmtId="0" xfId="0" applyAlignment="1" applyBorder="1" applyFont="1">
      <alignment horizontal="center" readingOrder="0" vertical="center"/>
    </xf>
    <xf borderId="3719" fillId="170" fontId="146" numFmtId="0" xfId="0" applyAlignment="1" applyBorder="1" applyFont="1">
      <alignment horizontal="center" readingOrder="0" vertical="top"/>
    </xf>
    <xf borderId="3720" fillId="0" fontId="5" numFmtId="0" xfId="0" applyBorder="1" applyFont="1"/>
    <xf borderId="3721" fillId="0" fontId="5" numFmtId="0" xfId="0" applyBorder="1" applyFont="1"/>
    <xf borderId="3722" fillId="170" fontId="154" numFmtId="0" xfId="0" applyAlignment="1" applyBorder="1" applyFont="1">
      <alignment horizontal="center" vertical="center"/>
    </xf>
    <xf borderId="3723" fillId="170" fontId="132" numFmtId="0" xfId="0" applyAlignment="1" applyBorder="1" applyFont="1">
      <alignment horizontal="center" vertical="center"/>
    </xf>
    <xf borderId="3724" fillId="170" fontId="132" numFmtId="0" xfId="0" applyAlignment="1" applyBorder="1" applyFont="1">
      <alignment horizontal="center" vertical="top"/>
    </xf>
    <xf borderId="3725" fillId="0" fontId="5" numFmtId="0" xfId="0" applyBorder="1" applyFont="1"/>
    <xf borderId="3726" fillId="170" fontId="132" numFmtId="0" xfId="0" applyAlignment="1" applyBorder="1" applyFont="1">
      <alignment horizontal="center" vertical="top"/>
    </xf>
    <xf borderId="3727" fillId="170" fontId="132" numFmtId="0" xfId="0" applyAlignment="1" applyBorder="1" applyFont="1">
      <alignment horizontal="right" vertical="top"/>
    </xf>
    <xf borderId="3727" fillId="170" fontId="132" numFmtId="0" xfId="0" applyAlignment="1" applyBorder="1" applyFont="1">
      <alignment horizontal="left" vertical="top"/>
    </xf>
    <xf borderId="3728" fillId="170" fontId="171" numFmtId="0" xfId="0" applyAlignment="1" applyBorder="1" applyFont="1">
      <alignment horizontal="center" vertical="center"/>
    </xf>
    <xf borderId="3729" fillId="170" fontId="132" numFmtId="0" xfId="0" applyAlignment="1" applyBorder="1" applyFont="1">
      <alignment horizontal="center" vertical="center"/>
    </xf>
    <xf borderId="3730" fillId="170" fontId="132" numFmtId="0" xfId="0" applyAlignment="1" applyBorder="1" applyFont="1">
      <alignment horizontal="center" vertical="top"/>
    </xf>
    <xf borderId="3731" fillId="170" fontId="132" numFmtId="0" xfId="0" applyAlignment="1" applyBorder="1" applyFont="1">
      <alignment horizontal="center" vertical="top"/>
    </xf>
    <xf borderId="3712" fillId="0" fontId="5" numFmtId="0" xfId="0" applyBorder="1" applyFont="1"/>
    <xf borderId="3714" fillId="170" fontId="154" numFmtId="0" xfId="0" applyAlignment="1" applyBorder="1" applyFont="1">
      <alignment horizontal="center" vertical="center"/>
    </xf>
    <xf borderId="3732" fillId="170" fontId="132" numFmtId="0" xfId="0" applyAlignment="1" applyBorder="1" applyFont="1">
      <alignment horizontal="center" readingOrder="0" vertical="center"/>
    </xf>
    <xf borderId="3733" fillId="0" fontId="5" numFmtId="0" xfId="0" applyBorder="1" applyFont="1"/>
    <xf borderId="3734" fillId="0" fontId="5" numFmtId="0" xfId="0" applyBorder="1" applyFont="1"/>
    <xf borderId="3735" fillId="170" fontId="132" numFmtId="0" xfId="0" applyAlignment="1" applyBorder="1" applyFont="1">
      <alignment horizontal="center" readingOrder="0" vertical="center"/>
    </xf>
    <xf borderId="3736" fillId="0" fontId="5" numFmtId="0" xfId="0" applyBorder="1" applyFont="1"/>
    <xf borderId="3737" fillId="0" fontId="5" numFmtId="0" xfId="0" applyBorder="1" applyFont="1"/>
    <xf borderId="3738" fillId="170" fontId="132" numFmtId="0" xfId="0" applyAlignment="1" applyBorder="1" applyFont="1">
      <alignment horizontal="center" readingOrder="0" vertical="center"/>
    </xf>
    <xf borderId="3715" fillId="0" fontId="5" numFmtId="0" xfId="0" applyBorder="1" applyFont="1"/>
    <xf borderId="3739" fillId="0" fontId="5" numFmtId="0" xfId="0" applyBorder="1" applyFont="1"/>
    <xf borderId="3740" fillId="170" fontId="132" numFmtId="0" xfId="0" applyAlignment="1" applyBorder="1" applyFont="1">
      <alignment horizontal="center" readingOrder="0" vertical="center"/>
    </xf>
    <xf borderId="3711" fillId="0" fontId="5" numFmtId="0" xfId="0" applyBorder="1" applyFont="1"/>
    <xf borderId="3741" fillId="0" fontId="5" numFmtId="0" xfId="0" applyBorder="1" applyFont="1"/>
    <xf borderId="3734" fillId="170" fontId="132" numFmtId="0" xfId="0" applyAlignment="1" applyBorder="1" applyFont="1">
      <alignment horizontal="center" readingOrder="0" vertical="center"/>
    </xf>
    <xf borderId="3722" fillId="170" fontId="171" numFmtId="0" xfId="0" applyAlignment="1" applyBorder="1" applyFont="1">
      <alignment horizontal="center" vertical="center"/>
    </xf>
    <xf borderId="3742" fillId="0" fontId="5" numFmtId="0" xfId="0" applyBorder="1" applyFont="1"/>
    <xf borderId="3737" fillId="170" fontId="132" numFmtId="0" xfId="0" applyAlignment="1" applyBorder="1" applyFont="1">
      <alignment horizontal="center" readingOrder="0" vertical="center"/>
    </xf>
    <xf borderId="3743" fillId="170" fontId="132" numFmtId="0" xfId="0" applyAlignment="1" applyBorder="1" applyFont="1">
      <alignment horizontal="center" readingOrder="0" vertical="center"/>
    </xf>
    <xf borderId="3744" fillId="0" fontId="5" numFmtId="0" xfId="0" applyBorder="1" applyFont="1"/>
    <xf borderId="3745" fillId="0" fontId="5" numFmtId="0" xfId="0" applyBorder="1" applyFont="1"/>
    <xf borderId="3746" fillId="170" fontId="132" numFmtId="0" xfId="0" applyAlignment="1" applyBorder="1" applyFont="1">
      <alignment horizontal="center" readingOrder="0" vertical="center"/>
    </xf>
    <xf borderId="3747" fillId="0" fontId="5" numFmtId="0" xfId="0" applyBorder="1" applyFont="1"/>
    <xf borderId="3703" fillId="169" fontId="157" numFmtId="0" xfId="0" applyAlignment="1" applyBorder="1" applyFont="1">
      <alignment horizontal="center" readingOrder="0" vertical="center"/>
    </xf>
    <xf borderId="3710" fillId="170" fontId="153" numFmtId="0" xfId="0" applyAlignment="1" applyBorder="1" applyFont="1">
      <alignment horizontal="center" vertical="center"/>
    </xf>
    <xf borderId="3722" fillId="170" fontId="102" numFmtId="0" xfId="0" applyAlignment="1" applyBorder="1" applyFont="1">
      <alignment horizontal="right" vertical="center"/>
    </xf>
    <xf borderId="3722" fillId="170" fontId="160" numFmtId="0" xfId="0" applyAlignment="1" applyBorder="1" applyFont="1">
      <alignment horizontal="center" vertical="center"/>
    </xf>
    <xf borderId="3711" fillId="170" fontId="160" numFmtId="0" xfId="0" applyAlignment="1" applyBorder="1" applyFont="1">
      <alignment horizontal="center" vertical="center"/>
    </xf>
    <xf borderId="3712" fillId="170" fontId="160" numFmtId="0" xfId="0" applyAlignment="1" applyBorder="1" applyFont="1">
      <alignment horizontal="center" vertical="center"/>
    </xf>
    <xf borderId="3728" fillId="170" fontId="160" numFmtId="0" xfId="0" applyAlignment="1" applyBorder="1" applyFont="1">
      <alignment horizontal="center" vertical="center"/>
    </xf>
    <xf borderId="3722" fillId="170" fontId="161" numFmtId="0" xfId="0" applyAlignment="1" applyBorder="1" applyFont="1">
      <alignment horizontal="center" vertical="center"/>
    </xf>
    <xf borderId="3713" fillId="170" fontId="153" numFmtId="0" xfId="0" applyAlignment="1" applyBorder="1" applyFont="1">
      <alignment horizontal="center" vertical="center"/>
    </xf>
    <xf borderId="3707" fillId="169" fontId="162" numFmtId="0" xfId="0" applyAlignment="1" applyBorder="1" applyFont="1">
      <alignment horizontal="center" vertical="center"/>
    </xf>
    <xf borderId="3710" fillId="170" fontId="162" numFmtId="0" xfId="0" applyAlignment="1" applyBorder="1" applyFont="1">
      <alignment horizontal="center" vertical="center"/>
    </xf>
    <xf borderId="3722" fillId="170" fontId="171" numFmtId="0" xfId="0" applyAlignment="1" applyBorder="1" applyFont="1">
      <alignment horizontal="center" readingOrder="0" vertical="bottom"/>
    </xf>
    <xf borderId="3722" fillId="170" fontId="140" numFmtId="0" xfId="0" applyAlignment="1" applyBorder="1" applyFont="1">
      <alignment horizontal="center" vertical="center"/>
    </xf>
    <xf borderId="378" fillId="171" fontId="115" numFmtId="0" xfId="0" applyAlignment="1" applyBorder="1" applyFont="1">
      <alignment horizontal="center" readingOrder="0" vertical="top"/>
    </xf>
    <xf borderId="3714" fillId="170" fontId="116" numFmtId="0" xfId="0" applyAlignment="1" applyBorder="1" applyFont="1">
      <alignment horizontal="center" vertical="center"/>
    </xf>
    <xf borderId="3736" fillId="170" fontId="139" numFmtId="0" xfId="0" applyAlignment="1" applyBorder="1" applyFont="1">
      <alignment horizontal="center" vertical="center"/>
    </xf>
    <xf borderId="3736" fillId="170" fontId="162" numFmtId="0" xfId="0" applyAlignment="1" applyBorder="1" applyFont="1">
      <alignment horizontal="center" vertical="center"/>
    </xf>
    <xf borderId="3709" fillId="170" fontId="162" numFmtId="0" xfId="0" applyAlignment="1" applyBorder="1" applyFont="1">
      <alignment horizontal="center" vertical="center"/>
    </xf>
    <xf borderId="3722" fillId="170" fontId="171" numFmtId="0" xfId="0" applyAlignment="1" applyBorder="1" applyFont="1">
      <alignment horizontal="center" readingOrder="0" vertical="center"/>
    </xf>
    <xf borderId="3748" fillId="171" fontId="115" numFmtId="0" xfId="0" applyAlignment="1" applyBorder="1" applyFont="1">
      <alignment horizontal="center" readingOrder="0" vertical="center"/>
    </xf>
    <xf borderId="3749" fillId="171" fontId="115" numFmtId="0" xfId="0" applyAlignment="1" applyBorder="1" applyFont="1">
      <alignment horizontal="center" readingOrder="0" vertical="center"/>
    </xf>
    <xf borderId="3750" fillId="171" fontId="115" numFmtId="0" xfId="0" applyAlignment="1" applyBorder="1" applyFont="1">
      <alignment horizontal="left" readingOrder="0" vertical="center"/>
    </xf>
    <xf borderId="3751" fillId="0" fontId="5" numFmtId="0" xfId="0" applyBorder="1" applyFont="1"/>
    <xf borderId="3722" fillId="170" fontId="116" numFmtId="0" xfId="0" applyAlignment="1" applyBorder="1" applyFont="1">
      <alignment horizontal="center" vertical="center"/>
    </xf>
    <xf borderId="3742" fillId="170" fontId="139" numFmtId="0" xfId="0" applyAlignment="1" applyBorder="1" applyFont="1">
      <alignment horizontal="center" vertical="center"/>
    </xf>
    <xf borderId="3742" fillId="170" fontId="162" numFmtId="0" xfId="0" applyAlignment="1" applyBorder="1" applyFont="1">
      <alignment horizontal="center" vertical="center"/>
    </xf>
    <xf borderId="3722" fillId="170" fontId="130" numFmtId="0" xfId="0" applyAlignment="1" applyBorder="1" applyFont="1">
      <alignment horizontal="center" readingOrder="0" vertical="top"/>
    </xf>
    <xf borderId="3752" fillId="171" fontId="115" numFmtId="0" xfId="0" applyAlignment="1" applyBorder="1" applyFont="1">
      <alignment horizontal="center" readingOrder="0" vertical="center"/>
    </xf>
    <xf borderId="3753" fillId="171" fontId="115" numFmtId="0" xfId="0" applyAlignment="1" applyBorder="1" applyFont="1">
      <alignment horizontal="center" readingOrder="0" vertical="center"/>
    </xf>
    <xf borderId="3754" fillId="171" fontId="115" numFmtId="0" xfId="0" applyAlignment="1" applyBorder="1" applyFont="1">
      <alignment horizontal="left" readingOrder="0" vertical="center"/>
    </xf>
    <xf borderId="3755" fillId="0" fontId="5" numFmtId="0" xfId="0" applyBorder="1" applyFont="1"/>
    <xf borderId="3756" fillId="171" fontId="115" numFmtId="0" xfId="0" applyAlignment="1" applyBorder="1" applyFont="1">
      <alignment horizontal="center" readingOrder="0" vertical="center"/>
    </xf>
    <xf borderId="3757" fillId="171" fontId="115" numFmtId="0" xfId="0" applyAlignment="1" applyBorder="1" applyFont="1">
      <alignment horizontal="center" readingOrder="0" vertical="center"/>
    </xf>
    <xf borderId="3758" fillId="171" fontId="115" numFmtId="0" xfId="0" applyAlignment="1" applyBorder="1" applyFont="1">
      <alignment horizontal="left" readingOrder="0" vertical="center"/>
    </xf>
    <xf borderId="3759" fillId="0" fontId="5" numFmtId="0" xfId="0" applyBorder="1" applyFont="1"/>
    <xf borderId="395" fillId="171" fontId="115" numFmtId="0" xfId="0" applyAlignment="1" applyBorder="1" applyFont="1">
      <alignment horizontal="right" readingOrder="0" vertical="center"/>
    </xf>
    <xf borderId="3714" fillId="170" fontId="139" numFmtId="0" xfId="0" applyAlignment="1" applyBorder="1" applyFont="1">
      <alignment horizontal="center" vertical="center"/>
    </xf>
    <xf borderId="3714" fillId="170" fontId="162" numFmtId="0" xfId="0" applyAlignment="1" applyBorder="1" applyFont="1">
      <alignment horizontal="center" vertical="center"/>
    </xf>
    <xf borderId="3722" fillId="170" fontId="162" numFmtId="0" xfId="0" applyAlignment="1" applyBorder="1" applyFont="1">
      <alignment horizontal="center" vertical="center"/>
    </xf>
    <xf borderId="400" fillId="171" fontId="115" numFmtId="0" xfId="0" applyAlignment="1" applyBorder="1" applyFont="1">
      <alignment horizontal="right" readingOrder="0" vertical="center"/>
    </xf>
    <xf borderId="3713" fillId="170" fontId="162" numFmtId="0" xfId="0" applyAlignment="1" applyBorder="1" applyFont="1">
      <alignment horizontal="center" vertical="center"/>
    </xf>
    <xf borderId="3760" fillId="170" fontId="162" numFmtId="0" xfId="0" applyAlignment="1" applyBorder="1" applyFont="1">
      <alignment horizontal="center" vertical="center"/>
    </xf>
    <xf borderId="3728" fillId="170" fontId="102" numFmtId="0" xfId="0" applyAlignment="1" applyBorder="1" applyFont="1">
      <alignment horizontal="right" vertical="center"/>
    </xf>
    <xf borderId="3728" fillId="170" fontId="140" numFmtId="0" xfId="0" applyAlignment="1" applyBorder="1" applyFont="1">
      <alignment horizontal="center" vertical="center"/>
    </xf>
    <xf borderId="3728" fillId="170" fontId="116" numFmtId="0" xfId="0" applyAlignment="1" applyBorder="1" applyFont="1">
      <alignment horizontal="center" vertical="center"/>
    </xf>
    <xf borderId="3711" fillId="170" fontId="102" numFmtId="0" xfId="0" applyAlignment="1" applyBorder="1" applyFont="1">
      <alignment horizontal="right" vertical="center"/>
    </xf>
    <xf borderId="3728" fillId="170" fontId="139" numFmtId="0" xfId="0" applyAlignment="1" applyBorder="1" applyFont="1">
      <alignment horizontal="center" vertical="center"/>
    </xf>
    <xf borderId="3728" fillId="170" fontId="162" numFmtId="0" xfId="0" applyAlignment="1" applyBorder="1" applyFont="1">
      <alignment horizontal="center" vertical="center"/>
    </xf>
    <xf borderId="405" fillId="171" fontId="115" numFmtId="0" xfId="0" applyAlignment="1" applyBorder="1" applyFont="1">
      <alignment horizontal="right" readingOrder="0" vertical="center"/>
    </xf>
    <xf borderId="408" fillId="171" fontId="115" numFmtId="0" xfId="0" applyAlignment="1" applyBorder="1" applyFont="1">
      <alignment horizontal="center" readingOrder="0" vertical="center"/>
    </xf>
    <xf borderId="3761" fillId="170" fontId="162" numFmtId="0" xfId="0" applyAlignment="1" applyBorder="1" applyFont="1">
      <alignment horizontal="center" vertical="center"/>
    </xf>
    <xf borderId="3712" fillId="170" fontId="102" numFmtId="0" xfId="0" applyAlignment="1" applyBorder="1" applyFont="1">
      <alignment horizontal="right" vertical="center"/>
    </xf>
    <xf borderId="3712" fillId="170" fontId="116" numFmtId="0" xfId="0" applyAlignment="1" applyBorder="1" applyFont="1">
      <alignment horizontal="center" vertical="center"/>
    </xf>
    <xf borderId="3712" fillId="170" fontId="139" numFmtId="0" xfId="0" applyAlignment="1" applyBorder="1" applyFont="1">
      <alignment horizontal="center" vertical="center"/>
    </xf>
    <xf borderId="3712" fillId="170" fontId="162" numFmtId="0" xfId="0" applyAlignment="1" applyBorder="1" applyFont="1">
      <alignment horizontal="center" vertical="center"/>
    </xf>
    <xf borderId="3714" fillId="170" fontId="140" numFmtId="0" xfId="0" applyAlignment="1" applyBorder="1" applyFont="1">
      <alignment horizontal="center" vertical="center"/>
    </xf>
    <xf borderId="3722" fillId="170" fontId="139" numFmtId="0" xfId="0" applyAlignment="1" applyBorder="1" applyFont="1">
      <alignment horizontal="center" vertical="center"/>
    </xf>
    <xf borderId="3762" fillId="171" fontId="115" numFmtId="0" xfId="0" applyAlignment="1" applyBorder="1" applyFont="1">
      <alignment horizontal="left" readingOrder="0" vertical="center"/>
    </xf>
    <xf borderId="3763" fillId="0" fontId="5" numFmtId="0" xfId="0" applyBorder="1" applyFont="1"/>
    <xf borderId="3764" fillId="170" fontId="139" numFmtId="0" xfId="0" applyAlignment="1" applyBorder="1" applyFont="1">
      <alignment horizontal="center" vertical="center"/>
    </xf>
    <xf borderId="3765" fillId="170" fontId="154" numFmtId="0" xfId="0" applyAlignment="1" applyBorder="1" applyFont="1">
      <alignment horizontal="center" vertical="center"/>
    </xf>
    <xf borderId="3766" fillId="170" fontId="103" numFmtId="0" xfId="0" applyAlignment="1" applyBorder="1" applyFont="1">
      <alignment horizontal="center" readingOrder="0" vertical="center"/>
    </xf>
    <xf borderId="3766" fillId="170" fontId="36" numFmtId="0" xfId="0" applyAlignment="1" applyBorder="1" applyFont="1">
      <alignment horizontal="center" readingOrder="0" vertical="center"/>
    </xf>
    <xf borderId="3767" fillId="170" fontId="36" numFmtId="0" xfId="0" applyAlignment="1" applyBorder="1" applyFont="1">
      <alignment horizontal="center" readingOrder="0" vertical="center"/>
    </xf>
    <xf borderId="3768" fillId="170" fontId="154" numFmtId="0" xfId="0" applyAlignment="1" applyBorder="1" applyFont="1">
      <alignment horizontal="center" vertical="center"/>
    </xf>
    <xf borderId="3769" fillId="89" fontId="218" numFmtId="0" xfId="0" applyAlignment="1" applyBorder="1" applyFont="1">
      <alignment horizontal="left" readingOrder="0" vertical="center"/>
    </xf>
    <xf borderId="777" fillId="89" fontId="127" numFmtId="0" xfId="0" applyAlignment="1" applyBorder="1" applyFont="1">
      <alignment horizontal="center" readingOrder="0" vertical="top"/>
    </xf>
    <xf borderId="3770" fillId="169" fontId="157" numFmtId="0" xfId="0" applyAlignment="1" applyBorder="1" applyFont="1">
      <alignment horizontal="center" readingOrder="0" vertical="center"/>
    </xf>
    <xf borderId="434" fillId="80" fontId="2" numFmtId="0" xfId="0" applyBorder="1" applyFont="1"/>
    <xf borderId="844" fillId="80" fontId="2" numFmtId="0" xfId="0" applyBorder="1" applyFont="1"/>
    <xf borderId="446" fillId="80" fontId="219" numFmtId="0" xfId="0" applyAlignment="1" applyBorder="1" applyFont="1">
      <alignment readingOrder="0"/>
    </xf>
    <xf borderId="451" fillId="80" fontId="2" numFmtId="0" xfId="0" applyBorder="1" applyFont="1"/>
    <xf borderId="451" fillId="80" fontId="93" numFmtId="0" xfId="0" applyAlignment="1" applyBorder="1" applyFont="1">
      <alignment horizontal="center" vertical="center"/>
    </xf>
    <xf borderId="451" fillId="80" fontId="101" numFmtId="0" xfId="0" applyAlignment="1" applyBorder="1" applyFont="1">
      <alignment horizontal="center" vertical="center"/>
    </xf>
    <xf borderId="430" fillId="80" fontId="127" numFmtId="0" xfId="0" applyAlignment="1" applyBorder="1" applyFont="1">
      <alignment horizontal="center" readingOrder="0" vertical="top"/>
    </xf>
    <xf borderId="451" fillId="80" fontId="105" numFmtId="0" xfId="0" applyAlignment="1" applyBorder="1" applyFont="1">
      <alignment horizontal="center" vertical="center"/>
    </xf>
    <xf borderId="3771" fillId="80" fontId="104" numFmtId="0" xfId="0" applyAlignment="1" applyBorder="1" applyFont="1">
      <alignment horizontal="center" vertical="center"/>
    </xf>
    <xf borderId="436" fillId="80" fontId="104" numFmtId="0" xfId="0" applyAlignment="1" applyBorder="1" applyFont="1">
      <alignment horizontal="right" vertical="top"/>
    </xf>
    <xf borderId="436" fillId="80" fontId="104" numFmtId="0" xfId="0" applyAlignment="1" applyBorder="1" applyFont="1">
      <alignment horizontal="left" vertical="top"/>
    </xf>
    <xf borderId="3772" fillId="80" fontId="104" numFmtId="0" xfId="0" applyAlignment="1" applyBorder="1" applyFont="1">
      <alignment horizontal="center" vertical="top"/>
    </xf>
    <xf borderId="432" fillId="80" fontId="104" numFmtId="0" xfId="0" applyAlignment="1" applyBorder="1" applyFont="1">
      <alignment horizontal="center" vertical="top"/>
    </xf>
    <xf borderId="3773" fillId="80" fontId="104" numFmtId="0" xfId="0" applyAlignment="1" applyBorder="1" applyFont="1">
      <alignment horizontal="center" vertical="center"/>
    </xf>
    <xf borderId="418" fillId="80" fontId="104" numFmtId="0" xfId="0" applyAlignment="1" applyBorder="1" applyFont="1">
      <alignment horizontal="center" vertical="top"/>
    </xf>
    <xf borderId="443" fillId="80" fontId="104" numFmtId="0" xfId="0" applyAlignment="1" applyBorder="1" applyFont="1">
      <alignment horizontal="center" vertical="top"/>
    </xf>
    <xf borderId="436" fillId="80" fontId="113" numFmtId="0" xfId="0" applyAlignment="1" applyBorder="1" applyFont="1">
      <alignment horizontal="center" vertical="center"/>
    </xf>
    <xf borderId="929" fillId="92" fontId="220" numFmtId="0" xfId="0" applyAlignment="1" applyBorder="1" applyFont="1">
      <alignment horizontal="left" readingOrder="0" vertical="center"/>
    </xf>
    <xf borderId="3774" fillId="92" fontId="154" numFmtId="0" xfId="0" applyAlignment="1" applyBorder="1" applyFont="1">
      <alignment horizontal="center" vertical="center"/>
    </xf>
    <xf borderId="3775" fillId="92" fontId="154" numFmtId="0" xfId="0" applyAlignment="1" applyBorder="1" applyFont="1">
      <alignment horizontal="center" vertical="center"/>
    </xf>
    <xf borderId="3776" fillId="92" fontId="96" numFmtId="0" xfId="0" applyAlignment="1" applyBorder="1" applyFont="1">
      <alignment horizontal="right" readingOrder="0" vertical="center"/>
    </xf>
    <xf borderId="3775" fillId="92" fontId="132" numFmtId="0" xfId="0" applyAlignment="1" applyBorder="1" applyFont="1">
      <alignment horizontal="center" vertical="center"/>
    </xf>
    <xf borderId="3775" fillId="92" fontId="158" numFmtId="0" xfId="0" applyAlignment="1" applyBorder="1" applyFont="1">
      <alignment horizontal="center" vertical="center"/>
    </xf>
    <xf borderId="3777" fillId="92" fontId="154" numFmtId="0" xfId="0" applyAlignment="1" applyBorder="1" applyFont="1">
      <alignment horizontal="center" vertical="center"/>
    </xf>
    <xf borderId="3778" fillId="92" fontId="96" numFmtId="0" xfId="0" applyAlignment="1" applyBorder="1" applyFont="1">
      <alignment horizontal="right" vertical="center"/>
    </xf>
    <xf borderId="1195" fillId="92" fontId="154" numFmtId="0" xfId="0" applyAlignment="1" applyBorder="1" applyFont="1">
      <alignment horizontal="center" vertical="center"/>
    </xf>
    <xf borderId="3779" fillId="92" fontId="96" numFmtId="0" xfId="0" applyAlignment="1" applyBorder="1" applyFont="1">
      <alignment horizontal="right" vertical="center"/>
    </xf>
    <xf borderId="3780" fillId="92" fontId="96" numFmtId="0" xfId="0" applyAlignment="1" applyBorder="1" applyFont="1">
      <alignment horizontal="right" vertical="center"/>
    </xf>
    <xf borderId="3781" fillId="0" fontId="5" numFmtId="0" xfId="0" applyBorder="1" applyFont="1"/>
    <xf borderId="3782" fillId="0" fontId="5" numFmtId="0" xfId="0" applyBorder="1" applyFont="1"/>
    <xf borderId="3783" fillId="92" fontId="154" numFmtId="0" xfId="0" applyAlignment="1" applyBorder="1" applyFont="1">
      <alignment horizontal="center" vertical="center"/>
    </xf>
    <xf borderId="3784" fillId="156" fontId="221" numFmtId="0" xfId="0" applyAlignment="1" applyBorder="1" applyFont="1">
      <alignment horizontal="left" readingOrder="0" vertical="center"/>
    </xf>
    <xf borderId="3785" fillId="0" fontId="5" numFmtId="0" xfId="0" applyBorder="1" applyFont="1"/>
    <xf borderId="345" fillId="101" fontId="96" numFmtId="0" xfId="0" applyAlignment="1" applyBorder="1" applyFont="1">
      <alignment horizontal="right" readingOrder="0" vertical="center"/>
    </xf>
    <xf borderId="3786" fillId="0" fontId="5" numFmtId="0" xfId="0" applyBorder="1" applyFont="1"/>
    <xf borderId="3776" fillId="122" fontId="104" numFmtId="0" xfId="0" applyAlignment="1" applyBorder="1" applyFont="1">
      <alignment horizontal="right" readingOrder="0" vertical="center"/>
    </xf>
    <xf borderId="1936" fillId="122" fontId="104" numFmtId="0" xfId="0" applyAlignment="1" applyBorder="1" applyFont="1">
      <alignment horizontal="right"/>
    </xf>
    <xf borderId="398" fillId="17" fontId="138" numFmtId="0" xfId="0" applyAlignment="1" applyBorder="1" applyFont="1">
      <alignment horizontal="center" readingOrder="0" vertical="center"/>
    </xf>
    <xf borderId="3787" fillId="17" fontId="138" numFmtId="0" xfId="0" applyAlignment="1" applyBorder="1" applyFont="1">
      <alignment horizontal="center" readingOrder="0" vertical="center"/>
    </xf>
    <xf borderId="345" fillId="98" fontId="96" numFmtId="0" xfId="0" applyAlignment="1" applyBorder="1" applyFont="1">
      <alignment horizontal="right" readingOrder="0" vertical="center"/>
    </xf>
    <xf borderId="398" fillId="36" fontId="138" numFmtId="0" xfId="0" applyAlignment="1" applyBorder="1" applyFont="1">
      <alignment horizontal="center" readingOrder="0" vertical="center"/>
    </xf>
    <xf borderId="398" fillId="59" fontId="138" numFmtId="0" xfId="0" applyAlignment="1" applyBorder="1" applyFont="1">
      <alignment horizontal="center" readingOrder="0" vertical="center"/>
    </xf>
    <xf borderId="3361" fillId="158" fontId="132" numFmtId="0" xfId="0" applyAlignment="1" applyBorder="1" applyFont="1">
      <alignment horizontal="center" vertical="center"/>
    </xf>
    <xf borderId="3361" fillId="158" fontId="132" numFmtId="0" xfId="0" applyAlignment="1" applyBorder="1" applyFont="1">
      <alignment horizontal="center" vertical="center"/>
    </xf>
    <xf borderId="3788" fillId="172" fontId="154" numFmtId="0" xfId="0" applyAlignment="1" applyBorder="1" applyFill="1" applyFont="1">
      <alignment horizontal="center" vertical="center"/>
    </xf>
    <xf borderId="3789" fillId="172" fontId="171" numFmtId="0" xfId="0" applyAlignment="1" applyBorder="1" applyFont="1">
      <alignment horizontal="center" vertical="center"/>
    </xf>
    <xf borderId="3789" fillId="172" fontId="156" numFmtId="0" xfId="0" applyAlignment="1" applyBorder="1" applyFont="1">
      <alignment horizontal="center" vertical="center"/>
    </xf>
    <xf borderId="3790" fillId="172" fontId="156" numFmtId="0" xfId="0" applyAlignment="1" applyBorder="1" applyFont="1">
      <alignment horizontal="center" vertical="center"/>
    </xf>
    <xf borderId="3789" fillId="172" fontId="154" numFmtId="0" xfId="0" applyAlignment="1" applyBorder="1" applyFont="1">
      <alignment horizontal="center" vertical="center"/>
    </xf>
    <xf borderId="3791" fillId="172" fontId="154" numFmtId="0" xfId="0" applyAlignment="1" applyBorder="1" applyFont="1">
      <alignment horizontal="center" vertical="center"/>
    </xf>
    <xf borderId="3792" fillId="172" fontId="154" numFmtId="0" xfId="0" applyAlignment="1" applyBorder="1" applyFont="1">
      <alignment horizontal="center" vertical="center"/>
    </xf>
    <xf borderId="339" fillId="173" fontId="104" numFmtId="0" xfId="0" applyAlignment="1" applyBorder="1" applyFill="1" applyFont="1">
      <alignment horizontal="center" vertical="center"/>
    </xf>
    <xf borderId="3793" fillId="172" fontId="156" numFmtId="0" xfId="0" applyAlignment="1" applyBorder="1" applyFont="1">
      <alignment horizontal="center" vertical="center"/>
    </xf>
    <xf borderId="1066" fillId="173" fontId="131" numFmtId="0" xfId="0" applyAlignment="1" applyBorder="1" applyFont="1">
      <alignment horizontal="center" vertical="center"/>
    </xf>
    <xf borderId="3794" fillId="172" fontId="132" numFmtId="0" xfId="0" applyAlignment="1" applyBorder="1" applyFont="1">
      <alignment horizontal="center" vertical="center"/>
    </xf>
    <xf borderId="3795" fillId="172" fontId="154" numFmtId="0" xfId="0" applyAlignment="1" applyBorder="1" applyFont="1">
      <alignment horizontal="center" vertical="center"/>
    </xf>
    <xf borderId="3793" fillId="172" fontId="154" numFmtId="0" xfId="0" applyAlignment="1" applyBorder="1" applyFont="1">
      <alignment horizontal="center" vertical="center"/>
    </xf>
    <xf borderId="3794" fillId="0" fontId="5" numFmtId="0" xfId="0" applyBorder="1" applyFont="1"/>
    <xf borderId="3795" fillId="0" fontId="5" numFmtId="0" xfId="0" applyBorder="1" applyFont="1"/>
    <xf borderId="3796" fillId="172" fontId="154" numFmtId="0" xfId="0" applyAlignment="1" applyBorder="1" applyFont="1">
      <alignment horizontal="center" vertical="center"/>
    </xf>
    <xf borderId="3797" fillId="172" fontId="154" numFmtId="0" xfId="0" applyAlignment="1" applyBorder="1" applyFont="1">
      <alignment horizontal="center" vertical="center"/>
    </xf>
    <xf borderId="3792" fillId="172" fontId="132" numFmtId="0" xfId="0" applyAlignment="1" applyBorder="1" applyFont="1">
      <alignment horizontal="center" vertical="center"/>
    </xf>
    <xf borderId="885" fillId="172" fontId="104" numFmtId="0" xfId="0" applyAlignment="1" applyBorder="1" applyFont="1">
      <alignment horizontal="right" readingOrder="0" vertical="center"/>
    </xf>
    <xf borderId="3793" fillId="172" fontId="132" numFmtId="0" xfId="0" applyAlignment="1" applyBorder="1" applyFont="1">
      <alignment horizontal="center" readingOrder="0" vertical="center"/>
    </xf>
    <xf borderId="3798" fillId="172" fontId="130" numFmtId="0" xfId="0" applyAlignment="1" applyBorder="1" applyFont="1">
      <alignment horizontal="center" readingOrder="0" vertical="center"/>
    </xf>
    <xf borderId="3799" fillId="0" fontId="5" numFmtId="0" xfId="0" applyBorder="1" applyFont="1"/>
    <xf borderId="3800" fillId="0" fontId="5" numFmtId="0" xfId="0" applyBorder="1" applyFont="1"/>
    <xf borderId="3795" fillId="172" fontId="132" numFmtId="0" xfId="0" applyAlignment="1" applyBorder="1" applyFont="1">
      <alignment horizontal="center" vertical="center"/>
    </xf>
    <xf borderId="3793" fillId="172" fontId="132" numFmtId="0" xfId="0" applyAlignment="1" applyBorder="1" applyFont="1">
      <alignment horizontal="center" vertical="center"/>
    </xf>
    <xf borderId="3796" fillId="172" fontId="132" numFmtId="0" xfId="0" applyAlignment="1" applyBorder="1" applyFont="1">
      <alignment horizontal="center" vertical="center"/>
    </xf>
    <xf borderId="3797" fillId="172" fontId="132" numFmtId="0" xfId="0" applyAlignment="1" applyBorder="1" applyFont="1">
      <alignment horizontal="center" vertical="center"/>
    </xf>
    <xf borderId="3793" fillId="172" fontId="154" numFmtId="0" xfId="0" applyAlignment="1" applyBorder="1" applyFont="1">
      <alignment horizontal="center" readingOrder="0" vertical="center"/>
    </xf>
    <xf borderId="3801" fillId="172" fontId="146" numFmtId="0" xfId="0" applyAlignment="1" applyBorder="1" applyFont="1">
      <alignment horizontal="center" readingOrder="0" vertical="top"/>
    </xf>
    <xf borderId="3802" fillId="0" fontId="5" numFmtId="0" xfId="0" applyBorder="1" applyFont="1"/>
    <xf borderId="3803" fillId="0" fontId="5" numFmtId="0" xfId="0" applyBorder="1" applyFont="1"/>
    <xf borderId="3804" fillId="172" fontId="132" numFmtId="0" xfId="0" applyAlignment="1" applyBorder="1" applyFont="1">
      <alignment horizontal="center" vertical="center"/>
    </xf>
    <xf borderId="3805" fillId="172" fontId="132" numFmtId="0" xfId="0" applyAlignment="1" applyBorder="1" applyFont="1">
      <alignment horizontal="center" vertical="top"/>
    </xf>
    <xf borderId="3806" fillId="0" fontId="5" numFmtId="0" xfId="0" applyBorder="1" applyFont="1"/>
    <xf borderId="3807" fillId="172" fontId="132" numFmtId="0" xfId="0" applyAlignment="1" applyBorder="1" applyFont="1">
      <alignment horizontal="center" vertical="top"/>
    </xf>
    <xf borderId="3808" fillId="172" fontId="132" numFmtId="0" xfId="0" applyAlignment="1" applyBorder="1" applyFont="1">
      <alignment horizontal="right" vertical="top"/>
    </xf>
    <xf borderId="3808" fillId="172" fontId="132" numFmtId="0" xfId="0" applyAlignment="1" applyBorder="1" applyFont="1">
      <alignment horizontal="left" vertical="top"/>
    </xf>
    <xf borderId="3809" fillId="172" fontId="171" numFmtId="0" xfId="0" applyAlignment="1" applyBorder="1" applyFont="1">
      <alignment horizontal="center" readingOrder="0" vertical="center"/>
    </xf>
    <xf borderId="3810" fillId="172" fontId="132" numFmtId="0" xfId="0" applyAlignment="1" applyBorder="1" applyFont="1">
      <alignment horizontal="center" vertical="center"/>
    </xf>
    <xf borderId="3811" fillId="172" fontId="132" numFmtId="0" xfId="0" applyAlignment="1" applyBorder="1" applyFont="1">
      <alignment horizontal="center" vertical="top"/>
    </xf>
    <xf borderId="3812" fillId="172" fontId="132" numFmtId="0" xfId="0" applyAlignment="1" applyBorder="1" applyFont="1">
      <alignment horizontal="center" vertical="top"/>
    </xf>
    <xf borderId="3790" fillId="0" fontId="5" numFmtId="0" xfId="0" applyBorder="1" applyFont="1"/>
    <xf borderId="3813" fillId="172" fontId="132" numFmtId="0" xfId="0" applyAlignment="1" applyBorder="1" applyFont="1">
      <alignment horizontal="center" readingOrder="0" vertical="center"/>
    </xf>
    <xf borderId="3814" fillId="0" fontId="5" numFmtId="0" xfId="0" applyBorder="1" applyFont="1"/>
    <xf borderId="3815" fillId="0" fontId="5" numFmtId="0" xfId="0" applyBorder="1" applyFont="1"/>
    <xf borderId="3816" fillId="172" fontId="132" numFmtId="0" xfId="0" applyAlignment="1" applyBorder="1" applyFont="1">
      <alignment horizontal="center" readingOrder="0" vertical="center"/>
    </xf>
    <xf borderId="3817" fillId="0" fontId="5" numFmtId="0" xfId="0" applyBorder="1" applyFont="1"/>
    <xf borderId="3818" fillId="172" fontId="132" numFmtId="0" xfId="0" applyAlignment="1" applyBorder="1" applyFont="1">
      <alignment horizontal="center" readingOrder="0" vertical="center"/>
    </xf>
    <xf borderId="3819" fillId="0" fontId="5" numFmtId="0" xfId="0" applyBorder="1" applyFont="1"/>
    <xf borderId="3820" fillId="0" fontId="5" numFmtId="0" xfId="0" applyBorder="1" applyFont="1"/>
    <xf borderId="3821" fillId="172" fontId="132" numFmtId="0" xfId="0" applyAlignment="1" applyBorder="1" applyFont="1">
      <alignment horizontal="center" readingOrder="0" vertical="center"/>
    </xf>
    <xf borderId="3789" fillId="0" fontId="5" numFmtId="0" xfId="0" applyBorder="1" applyFont="1"/>
    <xf borderId="3822" fillId="0" fontId="5" numFmtId="0" xfId="0" applyBorder="1" applyFont="1"/>
    <xf borderId="3815" fillId="172" fontId="132" numFmtId="0" xfId="0" applyAlignment="1" applyBorder="1" applyFont="1">
      <alignment horizontal="center" readingOrder="0" vertical="center"/>
    </xf>
    <xf borderId="3796" fillId="172" fontId="171" numFmtId="0" xfId="0" applyAlignment="1" applyBorder="1" applyFont="1">
      <alignment horizontal="center" vertical="center"/>
    </xf>
    <xf borderId="3817" fillId="172" fontId="132" numFmtId="0" xfId="0" applyAlignment="1" applyBorder="1" applyFont="1">
      <alignment horizontal="center" readingOrder="0" vertical="center"/>
    </xf>
    <xf borderId="3823" fillId="172" fontId="132" numFmtId="0" xfId="0" applyAlignment="1" applyBorder="1" applyFont="1">
      <alignment horizontal="center" readingOrder="0" vertical="center"/>
    </xf>
    <xf borderId="3824" fillId="0" fontId="5" numFmtId="0" xfId="0" applyBorder="1" applyFont="1"/>
    <xf borderId="3825" fillId="0" fontId="5" numFmtId="0" xfId="0" applyBorder="1" applyFont="1"/>
    <xf borderId="3826" fillId="172" fontId="132" numFmtId="0" xfId="0" applyAlignment="1" applyBorder="1" applyFont="1">
      <alignment horizontal="center" readingOrder="0" vertical="center"/>
    </xf>
    <xf borderId="3792" fillId="172" fontId="153" numFmtId="0" xfId="0" applyAlignment="1" applyBorder="1" applyFont="1">
      <alignment horizontal="center" vertical="center"/>
    </xf>
    <xf borderId="3796" fillId="172" fontId="102" numFmtId="0" xfId="0" applyAlignment="1" applyBorder="1" applyFont="1">
      <alignment horizontal="right" vertical="center"/>
    </xf>
    <xf borderId="3796" fillId="172" fontId="160" numFmtId="0" xfId="0" applyAlignment="1" applyBorder="1" applyFont="1">
      <alignment horizontal="center" vertical="center"/>
    </xf>
    <xf borderId="3789" fillId="172" fontId="160" numFmtId="0" xfId="0" applyAlignment="1" applyBorder="1" applyFont="1">
      <alignment horizontal="center" vertical="top"/>
    </xf>
    <xf borderId="3796" fillId="172" fontId="160" numFmtId="0" xfId="0" applyAlignment="1" applyBorder="1" applyFont="1">
      <alignment horizontal="center" vertical="top"/>
    </xf>
    <xf borderId="3790" fillId="172" fontId="160" numFmtId="0" xfId="0" applyAlignment="1" applyBorder="1" applyFont="1">
      <alignment horizontal="center" vertical="top"/>
    </xf>
    <xf borderId="3796" fillId="172" fontId="161" numFmtId="0" xfId="0" applyAlignment="1" applyBorder="1" applyFont="1">
      <alignment horizontal="center" vertical="center"/>
    </xf>
    <xf borderId="3797" fillId="172" fontId="153" numFmtId="0" xfId="0" applyAlignment="1" applyBorder="1" applyFont="1">
      <alignment horizontal="center" vertical="center"/>
    </xf>
    <xf borderId="3792" fillId="172" fontId="162" numFmtId="0" xfId="0" applyAlignment="1" applyBorder="1" applyFont="1">
      <alignment horizontal="center" vertical="center"/>
    </xf>
    <xf borderId="3796" fillId="172" fontId="140" numFmtId="0" xfId="0" applyAlignment="1" applyBorder="1" applyFont="1">
      <alignment horizontal="center" vertical="center"/>
    </xf>
    <xf borderId="378" fillId="173" fontId="138" numFmtId="0" xfId="0" applyAlignment="1" applyBorder="1" applyFont="1">
      <alignment horizontal="center" readingOrder="0" vertical="top"/>
    </xf>
    <xf borderId="3793" fillId="172" fontId="139" numFmtId="0" xfId="0" applyAlignment="1" applyBorder="1" applyFont="1">
      <alignment horizontal="center" vertical="center"/>
    </xf>
    <xf borderId="3793" fillId="172" fontId="140" numFmtId="0" xfId="0" applyAlignment="1" applyBorder="1" applyFont="1">
      <alignment horizontal="center" vertical="center"/>
    </xf>
    <xf borderId="3796" fillId="172" fontId="222" numFmtId="0" xfId="0" applyBorder="1" applyFont="1"/>
    <xf borderId="3797" fillId="172" fontId="162" numFmtId="0" xfId="0" applyAlignment="1" applyBorder="1" applyFont="1">
      <alignment horizontal="center" vertical="center"/>
    </xf>
    <xf borderId="3827" fillId="173" fontId="138" numFmtId="0" xfId="0" applyAlignment="1" applyBorder="1" applyFont="1">
      <alignment horizontal="center" readingOrder="0" vertical="center"/>
    </xf>
    <xf borderId="3828" fillId="173" fontId="138" numFmtId="0" xfId="0" applyAlignment="1" applyBorder="1" applyFont="1">
      <alignment horizontal="center" readingOrder="0" vertical="center"/>
    </xf>
    <xf borderId="3829" fillId="173" fontId="138" numFmtId="0" xfId="0" applyAlignment="1" applyBorder="1" applyFont="1">
      <alignment horizontal="left" readingOrder="0" vertical="center"/>
    </xf>
    <xf borderId="3830" fillId="0" fontId="5" numFmtId="0" xfId="0" applyBorder="1" applyFont="1"/>
    <xf borderId="3796" fillId="172" fontId="139" numFmtId="0" xfId="0" applyAlignment="1" applyBorder="1" applyFont="1">
      <alignment horizontal="center" vertical="center"/>
    </xf>
    <xf borderId="3796" fillId="172" fontId="162" numFmtId="0" xfId="0" applyAlignment="1" applyBorder="1" applyFont="1">
      <alignment horizontal="center" vertical="center"/>
    </xf>
    <xf borderId="3831" fillId="173" fontId="138" numFmtId="0" xfId="0" applyAlignment="1" applyBorder="1" applyFont="1">
      <alignment horizontal="center" readingOrder="0" vertical="center"/>
    </xf>
    <xf borderId="3832" fillId="173" fontId="138" numFmtId="0" xfId="0" applyAlignment="1" applyBorder="1" applyFont="1">
      <alignment horizontal="center" readingOrder="0" vertical="center"/>
    </xf>
    <xf borderId="3833" fillId="173" fontId="138" numFmtId="0" xfId="0" applyAlignment="1" applyBorder="1" applyFont="1">
      <alignment horizontal="left" readingOrder="0" vertical="center"/>
    </xf>
    <xf borderId="3834" fillId="0" fontId="5" numFmtId="0" xfId="0" applyBorder="1" applyFont="1"/>
    <xf borderId="3835" fillId="173" fontId="138" numFmtId="0" xfId="0" applyAlignment="1" applyBorder="1" applyFont="1">
      <alignment horizontal="center" readingOrder="0" vertical="center"/>
    </xf>
    <xf borderId="3836" fillId="173" fontId="138" numFmtId="0" xfId="0" applyAlignment="1" applyBorder="1" applyFont="1">
      <alignment horizontal="center" readingOrder="0" vertical="center"/>
    </xf>
    <xf borderId="3837" fillId="173" fontId="138" numFmtId="0" xfId="0" applyAlignment="1" applyBorder="1" applyFont="1">
      <alignment horizontal="left" readingOrder="0" vertical="center"/>
    </xf>
    <xf borderId="3838" fillId="0" fontId="5" numFmtId="0" xfId="0" applyBorder="1" applyFont="1"/>
    <xf borderId="395" fillId="173" fontId="138" numFmtId="0" xfId="0" applyAlignment="1" applyBorder="1" applyFont="1">
      <alignment horizontal="right" readingOrder="0" vertical="center"/>
    </xf>
    <xf borderId="398" fillId="173" fontId="138" numFmtId="0" xfId="0" applyAlignment="1" applyBorder="1" applyFont="1">
      <alignment horizontal="center" readingOrder="0" vertical="center"/>
    </xf>
    <xf borderId="3839" fillId="172" fontId="154" numFmtId="0" xfId="0" applyAlignment="1" applyBorder="1" applyFont="1">
      <alignment horizontal="center" vertical="center"/>
    </xf>
    <xf borderId="3840" fillId="172" fontId="171" numFmtId="0" xfId="0" applyAlignment="1" applyBorder="1" applyFont="1">
      <alignment horizontal="center" vertical="center"/>
    </xf>
    <xf borderId="3840" fillId="172" fontId="154" numFmtId="0" xfId="0" applyAlignment="1" applyBorder="1" applyFont="1">
      <alignment horizontal="center" vertical="center"/>
    </xf>
    <xf borderId="3840" fillId="172" fontId="132" numFmtId="0" xfId="0" applyAlignment="1" applyBorder="1" applyFont="1">
      <alignment horizontal="center" readingOrder="0" vertical="center"/>
    </xf>
    <xf borderId="3840" fillId="172" fontId="132" numFmtId="0" xfId="0" applyAlignment="1" applyBorder="1" applyFont="1">
      <alignment horizontal="center" vertical="center"/>
    </xf>
    <xf borderId="3841" fillId="172" fontId="132" numFmtId="0" xfId="0" applyAlignment="1" applyBorder="1" applyFont="1">
      <alignment horizontal="center" readingOrder="0" vertical="center"/>
    </xf>
    <xf borderId="3842" fillId="172" fontId="154" numFmtId="0" xfId="0" applyAlignment="1" applyBorder="1" applyFont="1">
      <alignment horizontal="center" vertical="center"/>
    </xf>
    <xf borderId="3843" fillId="0" fontId="5" numFmtId="0" xfId="0" applyBorder="1" applyFont="1"/>
    <xf borderId="3844" fillId="0" fontId="5" numFmtId="0" xfId="0" applyBorder="1" applyFont="1"/>
    <xf borderId="3845" fillId="172" fontId="154" numFmtId="0" xfId="0" applyAlignment="1" applyBorder="1" applyFont="1">
      <alignment horizontal="center" vertical="center"/>
    </xf>
    <xf borderId="3794" fillId="172" fontId="154" numFmtId="0" xfId="0" applyAlignment="1" applyBorder="1" applyFont="1">
      <alignment horizontal="center" vertical="center"/>
    </xf>
    <xf borderId="3793" fillId="172" fontId="160" numFmtId="0" xfId="0" applyAlignment="1" applyBorder="1" applyFont="1">
      <alignment horizontal="center" vertical="center"/>
    </xf>
    <xf borderId="400" fillId="173" fontId="138" numFmtId="0" xfId="0" applyAlignment="1" applyBorder="1" applyFont="1">
      <alignment horizontal="right" readingOrder="0" vertical="center"/>
    </xf>
    <xf borderId="3787" fillId="173" fontId="138" numFmtId="0" xfId="0" applyAlignment="1" applyBorder="1" applyFont="1">
      <alignment horizontal="center" readingOrder="0" vertical="center"/>
    </xf>
    <xf borderId="3846" fillId="172" fontId="162" numFmtId="0" xfId="0" applyAlignment="1" applyBorder="1" applyFont="1">
      <alignment horizontal="center" vertical="center"/>
    </xf>
    <xf borderId="3809" fillId="172" fontId="102" numFmtId="0" xfId="0" applyAlignment="1" applyBorder="1" applyFont="1">
      <alignment horizontal="right" vertical="center"/>
    </xf>
    <xf borderId="3809" fillId="172" fontId="140" numFmtId="0" xfId="0" applyAlignment="1" applyBorder="1" applyFont="1">
      <alignment horizontal="center" vertical="center"/>
    </xf>
    <xf borderId="3789" fillId="172" fontId="102" numFmtId="0" xfId="0" applyAlignment="1" applyBorder="1" applyFont="1">
      <alignment horizontal="right" vertical="center"/>
    </xf>
    <xf borderId="3809" fillId="172" fontId="139" numFmtId="0" xfId="0" applyAlignment="1" applyBorder="1" applyFont="1">
      <alignment horizontal="center" vertical="center"/>
    </xf>
    <xf borderId="3809" fillId="172" fontId="162" numFmtId="0" xfId="0" applyAlignment="1" applyBorder="1" applyFont="1">
      <alignment horizontal="center" vertical="center"/>
    </xf>
    <xf borderId="405" fillId="173" fontId="138" numFmtId="0" xfId="0" applyAlignment="1" applyBorder="1" applyFont="1">
      <alignment horizontal="right" readingOrder="0" vertical="center"/>
    </xf>
    <xf borderId="408" fillId="173" fontId="138" numFmtId="0" xfId="0" applyAlignment="1" applyBorder="1" applyFont="1">
      <alignment horizontal="center" readingOrder="0" vertical="center"/>
    </xf>
    <xf borderId="3809" fillId="172" fontId="154" numFmtId="0" xfId="0" applyAlignment="1" applyBorder="1" applyFont="1">
      <alignment horizontal="center" vertical="center"/>
    </xf>
    <xf borderId="3847" fillId="172" fontId="162" numFmtId="0" xfId="0" applyAlignment="1" applyBorder="1" applyFont="1">
      <alignment horizontal="center" vertical="center"/>
    </xf>
    <xf borderId="3848" fillId="174" fontId="154" numFmtId="0" xfId="0" applyAlignment="1" applyBorder="1" applyFill="1" applyFont="1">
      <alignment horizontal="center" vertical="center"/>
    </xf>
    <xf borderId="3849" fillId="174" fontId="171" numFmtId="0" xfId="0" applyAlignment="1" applyBorder="1" applyFont="1">
      <alignment horizontal="center" vertical="center"/>
    </xf>
    <xf borderId="3849" fillId="174" fontId="156" numFmtId="0" xfId="0" applyAlignment="1" applyBorder="1" applyFont="1">
      <alignment horizontal="center" vertical="center"/>
    </xf>
    <xf borderId="3850" fillId="174" fontId="156" numFmtId="0" xfId="0" applyAlignment="1" applyBorder="1" applyFont="1">
      <alignment horizontal="center" vertical="center"/>
    </xf>
    <xf borderId="3849" fillId="174" fontId="154" numFmtId="0" xfId="0" applyAlignment="1" applyBorder="1" applyFont="1">
      <alignment horizontal="center" vertical="center"/>
    </xf>
    <xf borderId="3850" fillId="174" fontId="154" numFmtId="0" xfId="0" applyAlignment="1" applyBorder="1" applyFont="1">
      <alignment horizontal="center" vertical="center"/>
    </xf>
    <xf borderId="3851" fillId="174" fontId="154" numFmtId="0" xfId="0" applyAlignment="1" applyBorder="1" applyFont="1">
      <alignment horizontal="center" vertical="center"/>
    </xf>
    <xf borderId="3852" fillId="174" fontId="154" numFmtId="0" xfId="0" applyAlignment="1" applyBorder="1" applyFont="1">
      <alignment horizontal="center" vertical="center"/>
    </xf>
    <xf borderId="339" fillId="175" fontId="104" numFmtId="0" xfId="0" applyAlignment="1" applyBorder="1" applyFill="1" applyFont="1">
      <alignment horizontal="right" vertical="center"/>
    </xf>
    <xf borderId="3853" fillId="174" fontId="156" numFmtId="0" xfId="0" applyAlignment="1" applyBorder="1" applyFont="1">
      <alignment horizontal="center" vertical="center"/>
    </xf>
    <xf borderId="1066" fillId="175" fontId="131" numFmtId="0" xfId="0" applyAlignment="1" applyBorder="1" applyFont="1">
      <alignment horizontal="center" vertical="center"/>
    </xf>
    <xf borderId="3854" fillId="174" fontId="132" numFmtId="0" xfId="0" applyAlignment="1" applyBorder="1" applyFont="1">
      <alignment horizontal="center" vertical="center"/>
    </xf>
    <xf borderId="3855" fillId="174" fontId="154" numFmtId="0" xfId="0" applyAlignment="1" applyBorder="1" applyFont="1">
      <alignment horizontal="center" vertical="center"/>
    </xf>
    <xf borderId="3852" fillId="174" fontId="132" numFmtId="0" xfId="0" applyAlignment="1" applyBorder="1" applyFont="1">
      <alignment horizontal="center" vertical="center"/>
    </xf>
    <xf borderId="345" fillId="174" fontId="104" numFmtId="0" xfId="0" applyAlignment="1" applyBorder="1" applyFont="1">
      <alignment horizontal="right" readingOrder="0" vertical="center"/>
    </xf>
    <xf borderId="3853" fillId="174" fontId="132" numFmtId="0" xfId="0" applyAlignment="1" applyBorder="1" applyFont="1">
      <alignment horizontal="center" readingOrder="0" vertical="center"/>
    </xf>
    <xf borderId="3856" fillId="174" fontId="130" numFmtId="0" xfId="0" applyAlignment="1" applyBorder="1" applyFont="1">
      <alignment horizontal="center" vertical="center"/>
    </xf>
    <xf borderId="3857" fillId="0" fontId="5" numFmtId="0" xfId="0" applyBorder="1" applyFont="1"/>
    <xf borderId="3858" fillId="0" fontId="5" numFmtId="0" xfId="0" applyBorder="1" applyFont="1"/>
    <xf borderId="3856" fillId="174" fontId="130" numFmtId="0" xfId="0" applyAlignment="1" applyBorder="1" applyFont="1">
      <alignment horizontal="center" readingOrder="0" vertical="center"/>
    </xf>
    <xf borderId="3855" fillId="174" fontId="132" numFmtId="0" xfId="0" applyAlignment="1" applyBorder="1" applyFont="1">
      <alignment horizontal="center" vertical="center"/>
    </xf>
    <xf borderId="3853" fillId="174" fontId="154" numFmtId="0" xfId="0" applyAlignment="1" applyBorder="1" applyFont="1">
      <alignment horizontal="center" readingOrder="0" vertical="center"/>
    </xf>
    <xf borderId="3859" fillId="174" fontId="146" numFmtId="0" xfId="0" applyAlignment="1" applyBorder="1" applyFont="1">
      <alignment horizontal="center" readingOrder="0" vertical="top"/>
    </xf>
    <xf borderId="3860" fillId="0" fontId="5" numFmtId="0" xfId="0" applyBorder="1" applyFont="1"/>
    <xf borderId="3861" fillId="0" fontId="5" numFmtId="0" xfId="0" applyBorder="1" applyFont="1"/>
    <xf borderId="3862" fillId="174" fontId="171" numFmtId="0" xfId="0" applyAlignment="1" applyBorder="1" applyFont="1">
      <alignment horizontal="center" vertical="center"/>
    </xf>
    <xf borderId="3863" fillId="174" fontId="154" numFmtId="0" xfId="0" applyAlignment="1" applyBorder="1" applyFont="1">
      <alignment horizontal="center" vertical="center"/>
    </xf>
    <xf borderId="3864" fillId="174" fontId="132" numFmtId="0" xfId="0" applyAlignment="1" applyBorder="1" applyFont="1">
      <alignment horizontal="center" vertical="center"/>
    </xf>
    <xf borderId="3865" fillId="174" fontId="132" numFmtId="0" xfId="0" applyAlignment="1" applyBorder="1" applyFont="1">
      <alignment horizontal="right" vertical="top"/>
    </xf>
    <xf borderId="3865" fillId="174" fontId="132" numFmtId="0" xfId="0" applyAlignment="1" applyBorder="1" applyFont="1">
      <alignment horizontal="left" vertical="top"/>
    </xf>
    <xf borderId="3866" fillId="174" fontId="132" numFmtId="0" xfId="0" applyAlignment="1" applyBorder="1" applyFont="1">
      <alignment horizontal="center" vertical="top"/>
    </xf>
    <xf borderId="3863" fillId="174" fontId="132" numFmtId="0" xfId="0" applyAlignment="1" applyBorder="1" applyFont="1">
      <alignment horizontal="center" vertical="center"/>
    </xf>
    <xf borderId="3867" fillId="174" fontId="132" numFmtId="0" xfId="0" applyAlignment="1" applyBorder="1" applyFont="1">
      <alignment horizontal="center" vertical="top"/>
    </xf>
    <xf borderId="3868" fillId="0" fontId="5" numFmtId="0" xfId="0" applyBorder="1" applyFont="1"/>
    <xf borderId="3869" fillId="174" fontId="154" numFmtId="0" xfId="0" applyAlignment="1" applyBorder="1" applyFont="1">
      <alignment horizontal="center" vertical="center"/>
    </xf>
    <xf borderId="3850" fillId="0" fontId="5" numFmtId="0" xfId="0" applyBorder="1" applyFont="1"/>
    <xf borderId="3870" fillId="174" fontId="132" numFmtId="0" xfId="0" applyAlignment="1" applyBorder="1" applyFont="1">
      <alignment horizontal="center" vertical="center"/>
    </xf>
    <xf borderId="3871" fillId="174" fontId="132" numFmtId="0" xfId="0" applyAlignment="1" applyBorder="1" applyFont="1">
      <alignment horizontal="center" vertical="top"/>
    </xf>
    <xf borderId="3872" fillId="174" fontId="132" numFmtId="0" xfId="0" applyAlignment="1" applyBorder="1" applyFont="1">
      <alignment horizontal="center" vertical="top"/>
    </xf>
    <xf borderId="3853" fillId="174" fontId="154" numFmtId="0" xfId="0" applyAlignment="1" applyBorder="1" applyFont="1">
      <alignment horizontal="center" vertical="center"/>
    </xf>
    <xf borderId="3873" fillId="174" fontId="132" numFmtId="0" xfId="0" applyAlignment="1" applyBorder="1" applyFont="1">
      <alignment horizontal="center" vertical="center"/>
    </xf>
    <xf borderId="3874" fillId="0" fontId="5" numFmtId="0" xfId="0" applyBorder="1" applyFont="1"/>
    <xf borderId="3875" fillId="0" fontId="5" numFmtId="0" xfId="0" applyBorder="1" applyFont="1"/>
    <xf borderId="3876" fillId="174" fontId="132" numFmtId="0" xfId="0" applyAlignment="1" applyBorder="1" applyFont="1">
      <alignment horizontal="center" vertical="center"/>
    </xf>
    <xf borderId="3854" fillId="0" fontId="5" numFmtId="0" xfId="0" applyBorder="1" applyFont="1"/>
    <xf borderId="3877" fillId="0" fontId="5" numFmtId="0" xfId="0" applyBorder="1" applyFont="1"/>
    <xf borderId="3876" fillId="174" fontId="132" numFmtId="0" xfId="0" applyAlignment="1" applyBorder="1" applyFont="1">
      <alignment horizontal="center" readingOrder="0" vertical="center"/>
    </xf>
    <xf borderId="3878" fillId="174" fontId="132" numFmtId="0" xfId="0" applyAlignment="1" applyBorder="1" applyFont="1">
      <alignment horizontal="center" vertical="center"/>
    </xf>
    <xf borderId="3879" fillId="0" fontId="5" numFmtId="0" xfId="0" applyBorder="1" applyFont="1"/>
    <xf borderId="3880" fillId="0" fontId="5" numFmtId="0" xfId="0" applyBorder="1" applyFont="1"/>
    <xf borderId="3881" fillId="174" fontId="132" numFmtId="0" xfId="0" applyAlignment="1" applyBorder="1" applyFont="1">
      <alignment horizontal="center" vertical="center"/>
    </xf>
    <xf borderId="3853" fillId="174" fontId="132" numFmtId="0" xfId="0" applyAlignment="1" applyBorder="1" applyFont="1">
      <alignment horizontal="center" vertical="center"/>
    </xf>
    <xf borderId="3849" fillId="0" fontId="5" numFmtId="0" xfId="0" applyBorder="1" applyFont="1"/>
    <xf borderId="3882" fillId="0" fontId="5" numFmtId="0" xfId="0" applyBorder="1" applyFont="1"/>
    <xf borderId="3883" fillId="174" fontId="132" numFmtId="0" xfId="0" applyAlignment="1" applyBorder="1" applyFont="1">
      <alignment horizontal="center" vertical="center"/>
    </xf>
    <xf borderId="3863" fillId="174" fontId="171" numFmtId="0" xfId="0" applyAlignment="1" applyBorder="1" applyFont="1">
      <alignment horizontal="center" vertical="center"/>
    </xf>
    <xf borderId="3884" fillId="0" fontId="5" numFmtId="0" xfId="0" applyBorder="1" applyFont="1"/>
    <xf borderId="3885" fillId="174" fontId="132" numFmtId="0" xfId="0" applyAlignment="1" applyBorder="1" applyFont="1">
      <alignment horizontal="center" vertical="center"/>
    </xf>
    <xf borderId="3886" fillId="174" fontId="132" numFmtId="0" xfId="0" applyAlignment="1" applyBorder="1" applyFont="1">
      <alignment horizontal="center" vertical="center"/>
    </xf>
    <xf borderId="3887" fillId="0" fontId="5" numFmtId="0" xfId="0" applyBorder="1" applyFont="1"/>
    <xf borderId="3888" fillId="0" fontId="5" numFmtId="0" xfId="0" applyBorder="1" applyFont="1"/>
    <xf borderId="3889" fillId="174" fontId="132" numFmtId="0" xfId="0" applyAlignment="1" applyBorder="1" applyFont="1">
      <alignment horizontal="center" vertical="center"/>
    </xf>
    <xf borderId="3852" fillId="174" fontId="153" numFmtId="0" xfId="0" applyAlignment="1" applyBorder="1" applyFont="1">
      <alignment horizontal="center" vertical="center"/>
    </xf>
    <xf borderId="3863" fillId="174" fontId="102" numFmtId="0" xfId="0" applyAlignment="1" applyBorder="1" applyFont="1">
      <alignment horizontal="right" vertical="center"/>
    </xf>
    <xf borderId="3863" fillId="174" fontId="160" numFmtId="0" xfId="0" applyAlignment="1" applyBorder="1" applyFont="1">
      <alignment horizontal="center" vertical="center"/>
    </xf>
    <xf borderId="3849" fillId="174" fontId="160" numFmtId="0" xfId="0" applyAlignment="1" applyBorder="1" applyFont="1">
      <alignment horizontal="center" vertical="top"/>
    </xf>
    <xf borderId="3863" fillId="174" fontId="160" numFmtId="0" xfId="0" applyAlignment="1" applyBorder="1" applyFont="1">
      <alignment horizontal="center" vertical="top"/>
    </xf>
    <xf borderId="3850" fillId="174" fontId="160" numFmtId="0" xfId="0" applyAlignment="1" applyBorder="1" applyFont="1">
      <alignment horizontal="center" vertical="top"/>
    </xf>
    <xf borderId="3869" fillId="174" fontId="153" numFmtId="0" xfId="0" applyAlignment="1" applyBorder="1" applyFont="1">
      <alignment horizontal="center" vertical="center"/>
    </xf>
    <xf borderId="3852" fillId="174" fontId="162" numFmtId="0" xfId="0" applyAlignment="1" applyBorder="1" applyFont="1">
      <alignment horizontal="center" vertical="center"/>
    </xf>
    <xf borderId="3863" fillId="174" fontId="140" numFmtId="0" xfId="0" applyAlignment="1" applyBorder="1" applyFont="1">
      <alignment horizontal="center" vertical="center"/>
    </xf>
    <xf borderId="378" fillId="176" fontId="138" numFmtId="0" xfId="0" applyAlignment="1" applyBorder="1" applyFill="1" applyFont="1">
      <alignment horizontal="center" readingOrder="0" vertical="top"/>
    </xf>
    <xf borderId="3853" fillId="174" fontId="139" numFmtId="0" xfId="0" applyAlignment="1" applyBorder="1" applyFont="1">
      <alignment horizontal="center" vertical="center"/>
    </xf>
    <xf borderId="3853" fillId="174" fontId="140" numFmtId="0" xfId="0" applyAlignment="1" applyBorder="1" applyFont="1">
      <alignment horizontal="center" vertical="center"/>
    </xf>
    <xf borderId="3853" fillId="174" fontId="160" numFmtId="0" xfId="0" applyAlignment="1" applyBorder="1" applyFont="1">
      <alignment horizontal="center" vertical="center"/>
    </xf>
    <xf borderId="3869" fillId="174" fontId="162" numFmtId="0" xfId="0" applyAlignment="1" applyBorder="1" applyFont="1">
      <alignment horizontal="center" vertical="center"/>
    </xf>
    <xf borderId="3890" fillId="176" fontId="138" numFmtId="0" xfId="0" applyAlignment="1" applyBorder="1" applyFont="1">
      <alignment horizontal="center" readingOrder="0" vertical="center"/>
    </xf>
    <xf borderId="3891" fillId="176" fontId="138" numFmtId="0" xfId="0" applyAlignment="1" applyBorder="1" applyFont="1">
      <alignment horizontal="center" readingOrder="0" vertical="center"/>
    </xf>
    <xf borderId="3892" fillId="176" fontId="138" numFmtId="0" xfId="0" applyAlignment="1" applyBorder="1" applyFont="1">
      <alignment horizontal="left" readingOrder="0" vertical="center"/>
    </xf>
    <xf borderId="3893" fillId="0" fontId="5" numFmtId="0" xfId="0" applyBorder="1" applyFont="1"/>
    <xf borderId="3863" fillId="174" fontId="139" numFmtId="0" xfId="0" applyAlignment="1" applyBorder="1" applyFont="1">
      <alignment horizontal="center" vertical="center"/>
    </xf>
    <xf borderId="3863" fillId="174" fontId="162" numFmtId="0" xfId="0" applyAlignment="1" applyBorder="1" applyFont="1">
      <alignment horizontal="center" vertical="center"/>
    </xf>
    <xf borderId="3894" fillId="176" fontId="138" numFmtId="0" xfId="0" applyAlignment="1" applyBorder="1" applyFont="1">
      <alignment horizontal="center" readingOrder="0" vertical="center"/>
    </xf>
    <xf borderId="3895" fillId="176" fontId="138" numFmtId="0" xfId="0" applyAlignment="1" applyBorder="1" applyFont="1">
      <alignment horizontal="center" readingOrder="0" vertical="center"/>
    </xf>
    <xf borderId="3896" fillId="176" fontId="138" numFmtId="0" xfId="0" applyAlignment="1" applyBorder="1" applyFont="1">
      <alignment horizontal="left" readingOrder="0" vertical="center"/>
    </xf>
    <xf borderId="3897" fillId="0" fontId="5" numFmtId="0" xfId="0" applyBorder="1" applyFont="1"/>
    <xf borderId="3898" fillId="176" fontId="138" numFmtId="0" xfId="0" applyAlignment="1" applyBorder="1" applyFont="1">
      <alignment horizontal="center" readingOrder="0" vertical="center"/>
    </xf>
    <xf borderId="3899" fillId="176" fontId="138" numFmtId="0" xfId="0" applyAlignment="1" applyBorder="1" applyFont="1">
      <alignment horizontal="center" readingOrder="0" vertical="center"/>
    </xf>
    <xf borderId="3900" fillId="176" fontId="138" numFmtId="0" xfId="0" applyAlignment="1" applyBorder="1" applyFont="1">
      <alignment horizontal="left" readingOrder="0" vertical="center"/>
    </xf>
    <xf borderId="3901" fillId="0" fontId="5" numFmtId="0" xfId="0" applyBorder="1" applyFont="1"/>
    <xf borderId="395" fillId="176" fontId="138" numFmtId="0" xfId="0" applyAlignment="1" applyBorder="1" applyFont="1">
      <alignment horizontal="right" readingOrder="0" vertical="center"/>
    </xf>
    <xf borderId="398" fillId="176" fontId="138" numFmtId="0" xfId="0" applyAlignment="1" applyBorder="1" applyFont="1">
      <alignment horizontal="center" readingOrder="0" vertical="center"/>
    </xf>
    <xf borderId="3853" fillId="174" fontId="162" numFmtId="0" xfId="0" applyAlignment="1" applyBorder="1" applyFont="1">
      <alignment horizontal="center" vertical="center"/>
    </xf>
    <xf borderId="3902" fillId="174" fontId="162" numFmtId="0" xfId="0" applyAlignment="1" applyBorder="1" applyFont="1">
      <alignment horizontal="center" vertical="center"/>
    </xf>
    <xf borderId="3903" fillId="174" fontId="102" numFmtId="0" xfId="0" applyAlignment="1" applyBorder="1" applyFont="1">
      <alignment horizontal="right" vertical="center"/>
    </xf>
    <xf borderId="3903" fillId="174" fontId="140" numFmtId="0" xfId="0" applyAlignment="1" applyBorder="1" applyFont="1">
      <alignment horizontal="center" vertical="center"/>
    </xf>
    <xf borderId="3903" fillId="174" fontId="139" numFmtId="0" xfId="0" applyAlignment="1" applyBorder="1" applyFont="1">
      <alignment horizontal="center" vertical="center"/>
    </xf>
    <xf borderId="3904" fillId="174" fontId="102" numFmtId="0" xfId="0" applyAlignment="1" applyBorder="1" applyFont="1">
      <alignment horizontal="right" vertical="center"/>
    </xf>
    <xf borderId="3903" fillId="174" fontId="162" numFmtId="0" xfId="0" applyAlignment="1" applyBorder="1" applyFont="1">
      <alignment horizontal="center" vertical="center"/>
    </xf>
    <xf borderId="3903" fillId="174" fontId="154" numFmtId="0" xfId="0" applyAlignment="1" applyBorder="1" applyFont="1">
      <alignment horizontal="center" vertical="center"/>
    </xf>
    <xf borderId="3904" fillId="174" fontId="154" numFmtId="0" xfId="0" applyAlignment="1" applyBorder="1" applyFont="1">
      <alignment horizontal="center" vertical="center"/>
    </xf>
    <xf borderId="3905" fillId="174" fontId="162" numFmtId="0" xfId="0" applyAlignment="1" applyBorder="1" applyFont="1">
      <alignment horizontal="center" vertical="center"/>
    </xf>
    <xf borderId="398" fillId="26" fontId="138" numFmtId="0" xfId="0" applyAlignment="1" applyBorder="1" applyFont="1">
      <alignment horizontal="center" readingOrder="0" vertical="center"/>
    </xf>
    <xf borderId="2221" fillId="127" fontId="154" numFmtId="0" xfId="0" applyAlignment="1" applyBorder="1" applyFont="1">
      <alignment horizontal="center" vertical="center"/>
    </xf>
    <xf borderId="3400" fillId="159" fontId="132" numFmtId="0" xfId="0" applyAlignment="1" applyBorder="1" applyFont="1">
      <alignment horizontal="center" vertical="center"/>
    </xf>
    <xf borderId="3400" fillId="159" fontId="132" numFmtId="0" xfId="0" applyAlignment="1" applyBorder="1" applyFont="1">
      <alignment horizontal="center" vertical="center"/>
    </xf>
    <xf borderId="3400" fillId="159" fontId="132" numFmtId="0" xfId="0" applyAlignment="1" applyBorder="1" applyFont="1">
      <alignment horizontal="center" readingOrder="0" vertical="center"/>
    </xf>
    <xf borderId="339" fillId="177" fontId="104" numFmtId="0" xfId="0" applyAlignment="1" applyBorder="1" applyFill="1" applyFont="1">
      <alignment horizontal="center" vertical="center"/>
    </xf>
    <xf borderId="1066" fillId="177" fontId="131" numFmtId="0" xfId="0" applyAlignment="1" applyBorder="1" applyFont="1">
      <alignment horizontal="center" vertical="center"/>
    </xf>
    <xf borderId="3392" fillId="159" fontId="104" numFmtId="0" xfId="0" applyAlignment="1" applyBorder="1" applyFont="1">
      <alignment horizontal="right"/>
    </xf>
    <xf borderId="3906" fillId="159" fontId="132" numFmtId="0" xfId="0" applyAlignment="1" applyBorder="1" applyFont="1">
      <alignment horizontal="center" vertical="center"/>
    </xf>
    <xf borderId="3907" fillId="0" fontId="5" numFmtId="0" xfId="0" applyBorder="1" applyFont="1"/>
    <xf borderId="3908" fillId="0" fontId="5" numFmtId="0" xfId="0" applyBorder="1" applyFont="1"/>
    <xf borderId="378" fillId="177" fontId="138" numFmtId="0" xfId="0" applyAlignment="1" applyBorder="1" applyFont="1">
      <alignment horizontal="center" readingOrder="0" vertical="top"/>
    </xf>
    <xf borderId="3909" fillId="177" fontId="138" numFmtId="0" xfId="0" applyAlignment="1" applyBorder="1" applyFont="1">
      <alignment horizontal="center" readingOrder="0" vertical="center"/>
    </xf>
    <xf borderId="3910" fillId="177" fontId="138" numFmtId="0" xfId="0" applyAlignment="1" applyBorder="1" applyFont="1">
      <alignment horizontal="center" readingOrder="0" vertical="center"/>
    </xf>
    <xf borderId="3911" fillId="177" fontId="138" numFmtId="0" xfId="0" applyAlignment="1" applyBorder="1" applyFont="1">
      <alignment horizontal="left" readingOrder="0" vertical="center"/>
    </xf>
    <xf borderId="3912" fillId="0" fontId="5" numFmtId="0" xfId="0" applyBorder="1" applyFont="1"/>
    <xf borderId="3913" fillId="177" fontId="138" numFmtId="0" xfId="0" applyAlignment="1" applyBorder="1" applyFont="1">
      <alignment horizontal="center" readingOrder="0" vertical="center"/>
    </xf>
    <xf borderId="3914" fillId="177" fontId="138" numFmtId="0" xfId="0" applyAlignment="1" applyBorder="1" applyFont="1">
      <alignment horizontal="center" readingOrder="0" vertical="center"/>
    </xf>
    <xf borderId="3915" fillId="177" fontId="138" numFmtId="0" xfId="0" applyAlignment="1" applyBorder="1" applyFont="1">
      <alignment horizontal="left" readingOrder="0" vertical="center"/>
    </xf>
    <xf borderId="3916" fillId="0" fontId="5" numFmtId="0" xfId="0" applyBorder="1" applyFont="1"/>
    <xf borderId="3917" fillId="177" fontId="138" numFmtId="0" xfId="0" applyAlignment="1" applyBorder="1" applyFont="1">
      <alignment horizontal="center" readingOrder="0" vertical="center"/>
    </xf>
    <xf borderId="3918" fillId="177" fontId="138" numFmtId="0" xfId="0" applyAlignment="1" applyBorder="1" applyFont="1">
      <alignment horizontal="center" readingOrder="0" vertical="center"/>
    </xf>
    <xf borderId="395" fillId="177" fontId="138" numFmtId="0" xfId="0" applyAlignment="1" applyBorder="1" applyFont="1">
      <alignment horizontal="right" readingOrder="0" vertical="center"/>
    </xf>
    <xf borderId="398" fillId="177" fontId="138" numFmtId="0" xfId="0" applyAlignment="1" applyBorder="1" applyFont="1">
      <alignment horizontal="center" readingOrder="0" vertical="center"/>
    </xf>
    <xf borderId="3435" fillId="159" fontId="162" numFmtId="0" xfId="0" applyAlignment="1" applyBorder="1" applyFont="1">
      <alignment horizontal="center" vertical="center"/>
    </xf>
    <xf borderId="3436" fillId="159" fontId="132" numFmtId="0" xfId="0" applyAlignment="1" applyBorder="1" applyFont="1">
      <alignment horizontal="center" vertical="center"/>
    </xf>
    <xf borderId="3919" fillId="159" fontId="162" numFmtId="0" xfId="0" applyAlignment="1" applyBorder="1" applyFont="1">
      <alignment horizontal="center" vertical="center"/>
    </xf>
    <xf borderId="2186" fillId="127" fontId="223" numFmtId="0" xfId="0" applyAlignment="1" applyBorder="1" applyFont="1">
      <alignment horizontal="center" readingOrder="0" vertical="center"/>
    </xf>
    <xf borderId="3796" fillId="172" fontId="156" numFmtId="0" xfId="0" applyAlignment="1" applyBorder="1" applyFont="1">
      <alignment horizontal="center" vertical="center"/>
    </xf>
    <xf borderId="3920" fillId="172" fontId="224" numFmtId="0" xfId="0" applyAlignment="1" applyBorder="1" applyFont="1">
      <alignment horizontal="left" readingOrder="0" vertical="center"/>
    </xf>
    <xf borderId="3826" fillId="0" fontId="5" numFmtId="0" xfId="0" applyBorder="1" applyFont="1"/>
    <xf borderId="3793" fillId="172" fontId="162" numFmtId="0" xfId="0" applyAlignment="1" applyBorder="1" applyFont="1">
      <alignment horizontal="center" vertical="center"/>
    </xf>
    <xf borderId="3920" fillId="172" fontId="139" numFmtId="0" xfId="0" applyAlignment="1" applyBorder="1" applyFont="1">
      <alignment horizontal="center" vertical="center"/>
    </xf>
    <xf borderId="3920" fillId="172" fontId="162" numFmtId="0" xfId="0" applyAlignment="1" applyBorder="1" applyFont="1">
      <alignment horizontal="center" vertical="center"/>
    </xf>
    <xf borderId="3921" fillId="172" fontId="154" numFmtId="0" xfId="0" applyAlignment="1" applyBorder="1" applyFont="1">
      <alignment horizontal="center" vertical="center"/>
    </xf>
    <xf borderId="3922" fillId="0" fontId="5" numFmtId="0" xfId="0" applyBorder="1" applyFont="1"/>
    <xf borderId="339" fillId="178" fontId="104" numFmtId="0" xfId="0" applyAlignment="1" applyBorder="1" applyFill="1" applyFont="1">
      <alignment horizontal="center" vertical="center"/>
    </xf>
    <xf borderId="1066" fillId="178" fontId="131" numFmtId="0" xfId="0" applyAlignment="1" applyBorder="1" applyFont="1">
      <alignment horizontal="center" vertical="center"/>
    </xf>
    <xf borderId="378" fillId="178" fontId="138" numFmtId="0" xfId="0" applyAlignment="1" applyBorder="1" applyFont="1">
      <alignment horizontal="center" readingOrder="0" vertical="top"/>
    </xf>
    <xf borderId="3923" fillId="178" fontId="138" numFmtId="0" xfId="0" applyAlignment="1" applyBorder="1" applyFont="1">
      <alignment horizontal="center" readingOrder="0" vertical="center"/>
    </xf>
    <xf borderId="3924" fillId="178" fontId="138" numFmtId="0" xfId="0" applyAlignment="1" applyBorder="1" applyFont="1">
      <alignment horizontal="center" readingOrder="0" vertical="center"/>
    </xf>
    <xf borderId="3925" fillId="178" fontId="138" numFmtId="0" xfId="0" applyAlignment="1" applyBorder="1" applyFont="1">
      <alignment horizontal="left" readingOrder="0" vertical="center"/>
    </xf>
    <xf borderId="3926" fillId="0" fontId="5" numFmtId="0" xfId="0" applyBorder="1" applyFont="1"/>
    <xf borderId="3927" fillId="178" fontId="138" numFmtId="0" xfId="0" applyAlignment="1" applyBorder="1" applyFont="1">
      <alignment horizontal="center" readingOrder="0" vertical="center"/>
    </xf>
    <xf borderId="3928" fillId="178" fontId="138" numFmtId="0" xfId="0" applyAlignment="1" applyBorder="1" applyFont="1">
      <alignment horizontal="center" readingOrder="0" vertical="center"/>
    </xf>
    <xf borderId="3929" fillId="178" fontId="138" numFmtId="0" xfId="0" applyAlignment="1" applyBorder="1" applyFont="1">
      <alignment horizontal="left" readingOrder="0" vertical="center"/>
    </xf>
    <xf borderId="3930" fillId="0" fontId="5" numFmtId="0" xfId="0" applyBorder="1" applyFont="1"/>
    <xf borderId="3931" fillId="178" fontId="138" numFmtId="0" xfId="0" applyAlignment="1" applyBorder="1" applyFont="1">
      <alignment horizontal="center" readingOrder="0" vertical="center"/>
    </xf>
    <xf borderId="3932" fillId="178" fontId="138" numFmtId="0" xfId="0" applyAlignment="1" applyBorder="1" applyFont="1">
      <alignment horizontal="center" readingOrder="0" vertical="center"/>
    </xf>
    <xf borderId="3933" fillId="178" fontId="138" numFmtId="0" xfId="0" applyAlignment="1" applyBorder="1" applyFont="1">
      <alignment horizontal="left" readingOrder="0" vertical="center"/>
    </xf>
    <xf borderId="3934" fillId="0" fontId="5" numFmtId="0" xfId="0" applyBorder="1" applyFont="1"/>
    <xf borderId="395" fillId="178" fontId="138" numFmtId="0" xfId="0" applyAlignment="1" applyBorder="1" applyFont="1">
      <alignment horizontal="right" readingOrder="0" vertical="center"/>
    </xf>
    <xf borderId="398" fillId="178" fontId="138" numFmtId="0" xfId="0" applyAlignment="1" applyBorder="1" applyFont="1">
      <alignment horizontal="center" readingOrder="0" vertical="center"/>
    </xf>
    <xf borderId="3787" fillId="69" fontId="138" numFmtId="0" xfId="0" applyAlignment="1" applyBorder="1" applyFont="1">
      <alignment horizontal="center" readingOrder="0" vertical="center"/>
    </xf>
    <xf borderId="398" fillId="69" fontId="138" numFmtId="0" xfId="0" applyAlignment="1" applyBorder="1" applyFont="1">
      <alignment horizontal="center" readingOrder="0" vertical="center"/>
    </xf>
    <xf borderId="3398" fillId="159" fontId="102" numFmtId="0" xfId="0" applyAlignment="1" applyBorder="1" applyFont="1">
      <alignment horizontal="right" vertical="center"/>
    </xf>
    <xf borderId="3935" fillId="69" fontId="138" numFmtId="0" xfId="0" applyAlignment="1" applyBorder="1" applyFont="1">
      <alignment horizontal="right" readingOrder="0" vertical="center"/>
    </xf>
    <xf borderId="3936" fillId="0" fontId="5" numFmtId="0" xfId="0" applyBorder="1" applyFont="1"/>
    <xf borderId="3937" fillId="0" fontId="5" numFmtId="0" xfId="0" applyBorder="1" applyFont="1"/>
    <xf borderId="3397" fillId="159" fontId="131" numFmtId="0" xfId="0" applyAlignment="1" applyBorder="1" applyFont="1">
      <alignment horizontal="center" readingOrder="0" vertical="center"/>
    </xf>
    <xf borderId="3816" fillId="172" fontId="131" numFmtId="0" xfId="0" applyAlignment="1" applyBorder="1" applyFont="1">
      <alignment horizontal="center" readingOrder="0" vertical="center"/>
    </xf>
    <xf borderId="2653" fillId="140" fontId="139" numFmtId="0" xfId="0" applyAlignment="1" applyBorder="1" applyFont="1">
      <alignment horizontal="center" vertical="top"/>
    </xf>
    <xf borderId="398" fillId="142" fontId="138" numFmtId="0" xfId="0" applyAlignment="1" applyBorder="1" applyFont="1">
      <alignment horizontal="center" readingOrder="0" vertical="center"/>
    </xf>
    <xf borderId="2653" fillId="140" fontId="139" numFmtId="0" xfId="0" applyAlignment="1" applyBorder="1" applyFont="1">
      <alignment horizontal="center" vertical="center"/>
    </xf>
    <xf borderId="3938" fillId="140" fontId="154" numFmtId="0" xfId="0" applyAlignment="1" applyBorder="1" applyFont="1">
      <alignment horizontal="center" readingOrder="0" vertical="center"/>
    </xf>
    <xf borderId="3938" fillId="140" fontId="154" numFmtId="0" xfId="0" applyAlignment="1" applyBorder="1" applyFont="1">
      <alignment horizontal="center" vertical="center"/>
    </xf>
    <xf borderId="953" fillId="94" fontId="156" numFmtId="0" xfId="0" applyAlignment="1" applyBorder="1" applyFont="1">
      <alignment horizontal="center" vertical="center"/>
    </xf>
    <xf borderId="3939" fillId="94" fontId="132" numFmtId="0" xfId="0" applyAlignment="1" applyBorder="1" applyFont="1">
      <alignment horizontal="center" vertical="center"/>
    </xf>
    <xf borderId="3940" fillId="94" fontId="132" numFmtId="0" xfId="0" applyAlignment="1" applyBorder="1" applyFont="1">
      <alignment horizontal="center" vertical="top"/>
    </xf>
    <xf borderId="941" fillId="94" fontId="147" numFmtId="0" xfId="0" applyAlignment="1" applyBorder="1" applyFont="1">
      <alignment horizontal="center" vertical="top"/>
    </xf>
    <xf borderId="983" fillId="0" fontId="5" numFmtId="0" xfId="0" applyBorder="1" applyFont="1"/>
    <xf borderId="3941" fillId="94" fontId="132" numFmtId="0" xfId="0" applyAlignment="1" applyBorder="1" applyFont="1">
      <alignment horizontal="center" vertical="center"/>
    </xf>
    <xf borderId="3942" fillId="94" fontId="132" numFmtId="0" xfId="0" applyAlignment="1" applyBorder="1" applyFont="1">
      <alignment horizontal="center" vertical="top"/>
    </xf>
    <xf borderId="3943" fillId="94" fontId="132" numFmtId="0" xfId="0" applyAlignment="1" applyBorder="1" applyFont="1">
      <alignment horizontal="center" vertical="top"/>
    </xf>
    <xf borderId="946" fillId="94" fontId="96" numFmtId="0" xfId="0" applyAlignment="1" applyBorder="1" applyFont="1">
      <alignment horizontal="right" readingOrder="0" vertical="center"/>
    </xf>
    <xf borderId="400" fillId="18" fontId="138" numFmtId="0" xfId="0" applyAlignment="1" applyBorder="1" applyFont="1">
      <alignment horizontal="right" readingOrder="0" vertical="center"/>
    </xf>
    <xf borderId="3787" fillId="18" fontId="138" numFmtId="0" xfId="0" applyAlignment="1" applyBorder="1" applyFont="1">
      <alignment horizontal="center" readingOrder="0" vertical="center"/>
    </xf>
    <xf borderId="398" fillId="18" fontId="138" numFmtId="0" xfId="0" applyAlignment="1" applyBorder="1" applyFont="1">
      <alignment horizontal="center" readingOrder="0" vertical="center"/>
    </xf>
    <xf borderId="3944" fillId="94" fontId="162" numFmtId="0" xfId="0" applyAlignment="1" applyBorder="1" applyFont="1">
      <alignment horizontal="center" vertical="center"/>
    </xf>
    <xf borderId="952" fillId="94" fontId="120" numFmtId="0" xfId="0" applyAlignment="1" applyBorder="1" applyFont="1">
      <alignment horizontal="right" vertical="center"/>
    </xf>
    <xf borderId="949" fillId="94" fontId="140" numFmtId="0" xfId="0" applyAlignment="1" applyBorder="1" applyFont="1">
      <alignment horizontal="center" vertical="center"/>
    </xf>
    <xf borderId="405" fillId="18" fontId="138" numFmtId="0" xfId="0" applyAlignment="1" applyBorder="1" applyFont="1">
      <alignment horizontal="right" readingOrder="0" vertical="center"/>
    </xf>
    <xf borderId="950" fillId="94" fontId="140" numFmtId="0" xfId="0" applyAlignment="1" applyBorder="1" applyFont="1">
      <alignment horizontal="center" vertical="center"/>
    </xf>
    <xf borderId="977" fillId="94" fontId="120" numFmtId="0" xfId="0" applyAlignment="1" applyBorder="1" applyFont="1">
      <alignment horizontal="right" vertical="center"/>
    </xf>
    <xf borderId="950" fillId="94" fontId="139" numFmtId="0" xfId="0" applyAlignment="1" applyBorder="1" applyFont="1">
      <alignment horizontal="center" vertical="center"/>
    </xf>
    <xf borderId="950" fillId="94" fontId="162" numFmtId="0" xfId="0" applyAlignment="1" applyBorder="1" applyFont="1">
      <alignment horizontal="center" vertical="center"/>
    </xf>
    <xf borderId="3945" fillId="179" fontId="154" numFmtId="0" xfId="0" applyAlignment="1" applyBorder="1" applyFill="1" applyFont="1">
      <alignment horizontal="center" vertical="center"/>
    </xf>
    <xf borderId="3946" fillId="179" fontId="171" numFmtId="0" xfId="0" applyAlignment="1" applyBorder="1" applyFont="1">
      <alignment horizontal="center" vertical="center"/>
    </xf>
    <xf borderId="3946" fillId="179" fontId="156" numFmtId="0" xfId="0" applyAlignment="1" applyBorder="1" applyFont="1">
      <alignment horizontal="center" vertical="center"/>
    </xf>
    <xf borderId="3947" fillId="179" fontId="156" numFmtId="0" xfId="0" applyAlignment="1" applyBorder="1" applyFont="1">
      <alignment horizontal="center" vertical="center"/>
    </xf>
    <xf borderId="3946" fillId="179" fontId="154" numFmtId="0" xfId="0" applyAlignment="1" applyBorder="1" applyFont="1">
      <alignment horizontal="center" vertical="center"/>
    </xf>
    <xf borderId="3948" fillId="179" fontId="154" numFmtId="0" xfId="0" applyAlignment="1" applyBorder="1" applyFont="1">
      <alignment horizontal="center" vertical="center"/>
    </xf>
    <xf borderId="3949" fillId="179" fontId="154" numFmtId="0" xfId="0" applyAlignment="1" applyBorder="1" applyFont="1">
      <alignment horizontal="center" vertical="center"/>
    </xf>
    <xf borderId="339" fillId="180" fontId="96" numFmtId="0" xfId="0" applyAlignment="1" applyBorder="1" applyFill="1" applyFont="1">
      <alignment horizontal="right" vertical="center"/>
    </xf>
    <xf borderId="3950" fillId="179" fontId="156" numFmtId="0" xfId="0" applyAlignment="1" applyBorder="1" applyFont="1">
      <alignment horizontal="center" vertical="center"/>
    </xf>
    <xf borderId="1066" fillId="180" fontId="131" numFmtId="0" xfId="0" applyAlignment="1" applyBorder="1" applyFont="1">
      <alignment horizontal="center" vertical="center"/>
    </xf>
    <xf borderId="3951" fillId="179" fontId="132" numFmtId="0" xfId="0" applyAlignment="1" applyBorder="1" applyFont="1">
      <alignment horizontal="center" vertical="center"/>
    </xf>
    <xf borderId="3952" fillId="179" fontId="154" numFmtId="0" xfId="0" applyAlignment="1" applyBorder="1" applyFont="1">
      <alignment horizontal="center" vertical="center"/>
    </xf>
    <xf borderId="3950" fillId="179" fontId="154" numFmtId="0" xfId="0" applyAlignment="1" applyBorder="1" applyFont="1">
      <alignment horizontal="center" vertical="center"/>
    </xf>
    <xf borderId="3951" fillId="0" fontId="5" numFmtId="0" xfId="0" applyBorder="1" applyFont="1"/>
    <xf borderId="3952" fillId="0" fontId="5" numFmtId="0" xfId="0" applyBorder="1" applyFont="1"/>
    <xf borderId="3953" fillId="179" fontId="154" numFmtId="0" xfId="0" applyAlignment="1" applyBorder="1" applyFont="1">
      <alignment horizontal="center" vertical="center"/>
    </xf>
    <xf borderId="3954" fillId="179" fontId="154" numFmtId="0" xfId="0" applyAlignment="1" applyBorder="1" applyFont="1">
      <alignment horizontal="center" vertical="center"/>
    </xf>
    <xf borderId="3949" fillId="179" fontId="132" numFmtId="0" xfId="0" applyAlignment="1" applyBorder="1" applyFont="1">
      <alignment horizontal="center" vertical="center"/>
    </xf>
    <xf borderId="885" fillId="179" fontId="96" numFmtId="0" xfId="0" applyAlignment="1" applyBorder="1" applyFont="1">
      <alignment horizontal="right" readingOrder="0" vertical="center"/>
    </xf>
    <xf borderId="3950" fillId="179" fontId="132" numFmtId="0" xfId="0" applyAlignment="1" applyBorder="1" applyFont="1">
      <alignment horizontal="center" readingOrder="0" vertical="center"/>
    </xf>
    <xf borderId="3955" fillId="179" fontId="130" numFmtId="0" xfId="0" applyAlignment="1" applyBorder="1" applyFont="1">
      <alignment horizontal="center" vertical="center"/>
    </xf>
    <xf borderId="3956" fillId="0" fontId="5" numFmtId="0" xfId="0" applyBorder="1" applyFont="1"/>
    <xf borderId="3957" fillId="0" fontId="5" numFmtId="0" xfId="0" applyBorder="1" applyFont="1"/>
    <xf borderId="3952" fillId="179" fontId="132" numFmtId="0" xfId="0" applyAlignment="1" applyBorder="1" applyFont="1">
      <alignment horizontal="center" vertical="center"/>
    </xf>
    <xf borderId="3950" fillId="179" fontId="132" numFmtId="0" xfId="0" applyAlignment="1" applyBorder="1" applyFont="1">
      <alignment horizontal="center" vertical="center"/>
    </xf>
    <xf borderId="3953" fillId="179" fontId="132" numFmtId="0" xfId="0" applyAlignment="1" applyBorder="1" applyFont="1">
      <alignment horizontal="center" vertical="center"/>
    </xf>
    <xf borderId="3954" fillId="179" fontId="132" numFmtId="0" xfId="0" applyAlignment="1" applyBorder="1" applyFont="1">
      <alignment horizontal="center" vertical="center"/>
    </xf>
    <xf borderId="3950" fillId="179" fontId="154" numFmtId="0" xfId="0" applyAlignment="1" applyBorder="1" applyFont="1">
      <alignment horizontal="center" readingOrder="0" vertical="center"/>
    </xf>
    <xf borderId="3958" fillId="179" fontId="146" numFmtId="0" xfId="0" applyAlignment="1" applyBorder="1" applyFont="1">
      <alignment horizontal="center" readingOrder="0" vertical="top"/>
    </xf>
    <xf borderId="3959" fillId="0" fontId="5" numFmtId="0" xfId="0" applyBorder="1" applyFont="1"/>
    <xf borderId="3960" fillId="0" fontId="5" numFmtId="0" xfId="0" applyBorder="1" applyFont="1"/>
    <xf borderId="3961" fillId="179" fontId="132" numFmtId="0" xfId="0" applyAlignment="1" applyBorder="1" applyFont="1">
      <alignment horizontal="center" vertical="center"/>
    </xf>
    <xf borderId="3962" fillId="179" fontId="132" numFmtId="0" xfId="0" applyAlignment="1" applyBorder="1" applyFont="1">
      <alignment horizontal="right" vertical="top"/>
    </xf>
    <xf borderId="3962" fillId="179" fontId="132" numFmtId="0" xfId="0" applyAlignment="1" applyBorder="1" applyFont="1">
      <alignment horizontal="left" vertical="top"/>
    </xf>
    <xf borderId="3963" fillId="179" fontId="132" numFmtId="0" xfId="0" applyAlignment="1" applyBorder="1" applyFont="1">
      <alignment horizontal="center" vertical="top"/>
    </xf>
    <xf borderId="3964" fillId="179" fontId="132" numFmtId="0" xfId="0" applyAlignment="1" applyBorder="1" applyFont="1">
      <alignment horizontal="center" vertical="top"/>
    </xf>
    <xf borderId="3965" fillId="0" fontId="5" numFmtId="0" xfId="0" applyBorder="1" applyFont="1"/>
    <xf borderId="3953" fillId="179" fontId="96" numFmtId="0" xfId="0" applyAlignment="1" applyBorder="1" applyFont="1">
      <alignment horizontal="right" vertical="center"/>
    </xf>
    <xf borderId="3966" fillId="179" fontId="132" numFmtId="0" xfId="0" applyAlignment="1" applyBorder="1" applyFont="1">
      <alignment horizontal="center" vertical="center"/>
    </xf>
    <xf borderId="3967" fillId="179" fontId="132" numFmtId="0" xfId="0" applyAlignment="1" applyBorder="1" applyFont="1">
      <alignment horizontal="center" vertical="top"/>
    </xf>
    <xf borderId="3968" fillId="179" fontId="132" numFmtId="0" xfId="0" applyAlignment="1" applyBorder="1" applyFont="1">
      <alignment horizontal="center" vertical="top"/>
    </xf>
    <xf borderId="3969" fillId="179" fontId="132" numFmtId="0" xfId="0" applyAlignment="1" applyBorder="1" applyFont="1">
      <alignment horizontal="center" vertical="center"/>
    </xf>
    <xf borderId="3970" fillId="0" fontId="5" numFmtId="0" xfId="0" applyBorder="1" applyFont="1"/>
    <xf borderId="3971" fillId="0" fontId="5" numFmtId="0" xfId="0" applyBorder="1" applyFont="1"/>
    <xf borderId="3972" fillId="179" fontId="132" numFmtId="0" xfId="0" applyAlignment="1" applyBorder="1" applyFont="1">
      <alignment horizontal="center" vertical="center"/>
    </xf>
    <xf borderId="3973" fillId="0" fontId="5" numFmtId="0" xfId="0" applyBorder="1" applyFont="1"/>
    <xf borderId="3972" fillId="179" fontId="131" numFmtId="0" xfId="0" applyAlignment="1" applyBorder="1" applyFont="1">
      <alignment horizontal="center" vertical="center"/>
    </xf>
    <xf borderId="3974" fillId="179" fontId="132" numFmtId="0" xfId="0" applyAlignment="1" applyBorder="1" applyFont="1">
      <alignment horizontal="center" vertical="center"/>
    </xf>
    <xf borderId="3975" fillId="0" fontId="5" numFmtId="0" xfId="0" applyBorder="1" applyFont="1"/>
    <xf borderId="3976" fillId="0" fontId="5" numFmtId="0" xfId="0" applyBorder="1" applyFont="1"/>
    <xf borderId="3977" fillId="179" fontId="132" numFmtId="0" xfId="0" applyAlignment="1" applyBorder="1" applyFont="1">
      <alignment horizontal="center" vertical="center"/>
    </xf>
    <xf borderId="3978" fillId="0" fontId="5" numFmtId="0" xfId="0" applyBorder="1" applyFont="1"/>
    <xf borderId="3979" fillId="179" fontId="132" numFmtId="0" xfId="0" applyAlignment="1" applyBorder="1" applyFont="1">
      <alignment horizontal="center" vertical="center"/>
    </xf>
    <xf borderId="3953" fillId="179" fontId="171" numFmtId="0" xfId="0" applyAlignment="1" applyBorder="1" applyFont="1">
      <alignment horizontal="center" vertical="center"/>
    </xf>
    <xf borderId="3972" fillId="179" fontId="132" numFmtId="0" xfId="0" applyAlignment="1" applyBorder="1" applyFont="1">
      <alignment horizontal="center" readingOrder="0" vertical="center"/>
    </xf>
    <xf borderId="3980" fillId="179" fontId="132" numFmtId="0" xfId="0" applyAlignment="1" applyBorder="1" applyFont="1">
      <alignment horizontal="center" vertical="center"/>
    </xf>
    <xf borderId="3981" fillId="179" fontId="132" numFmtId="0" xfId="0" applyAlignment="1" applyBorder="1" applyFont="1">
      <alignment horizontal="center" vertical="center"/>
    </xf>
    <xf borderId="3982" fillId="0" fontId="5" numFmtId="0" xfId="0" applyBorder="1" applyFont="1"/>
    <xf borderId="3983" fillId="0" fontId="5" numFmtId="0" xfId="0" applyBorder="1" applyFont="1"/>
    <xf borderId="3984" fillId="179" fontId="132" numFmtId="0" xfId="0" applyAlignment="1" applyBorder="1" applyFont="1">
      <alignment horizontal="center" vertical="center"/>
    </xf>
    <xf borderId="3949" fillId="179" fontId="153" numFmtId="0" xfId="0" applyAlignment="1" applyBorder="1" applyFont="1">
      <alignment horizontal="center" vertical="center"/>
    </xf>
    <xf borderId="3953" fillId="179" fontId="120" numFmtId="0" xfId="0" applyAlignment="1" applyBorder="1" applyFont="1">
      <alignment horizontal="right" vertical="center"/>
    </xf>
    <xf borderId="3953" fillId="179" fontId="160" numFmtId="0" xfId="0" applyAlignment="1" applyBorder="1" applyFont="1">
      <alignment horizontal="center" vertical="center"/>
    </xf>
    <xf borderId="3947" fillId="179" fontId="160" numFmtId="0" xfId="0" applyAlignment="1" applyBorder="1" applyFont="1">
      <alignment horizontal="center" vertical="center"/>
    </xf>
    <xf borderId="3953" fillId="179" fontId="143" numFmtId="0" xfId="0" applyAlignment="1" applyBorder="1" applyFont="1">
      <alignment horizontal="center" vertical="center"/>
    </xf>
    <xf borderId="3953" fillId="179" fontId="161" numFmtId="0" xfId="0" applyAlignment="1" applyBorder="1" applyFont="1">
      <alignment horizontal="center" vertical="center"/>
    </xf>
    <xf borderId="3954" fillId="179" fontId="153" numFmtId="0" xfId="0" applyAlignment="1" applyBorder="1" applyFont="1">
      <alignment horizontal="center" vertical="center"/>
    </xf>
    <xf borderId="3949" fillId="179" fontId="162" numFmtId="0" xfId="0" applyAlignment="1" applyBorder="1" applyFont="1">
      <alignment horizontal="center" vertical="center"/>
    </xf>
    <xf borderId="3950" fillId="179" fontId="140" numFmtId="0" xfId="0" applyAlignment="1" applyBorder="1" applyFont="1">
      <alignment horizontal="center" vertical="center"/>
    </xf>
    <xf borderId="378" fillId="180" fontId="138" numFmtId="0" xfId="0" applyAlignment="1" applyBorder="1" applyFont="1">
      <alignment horizontal="center" readingOrder="0" vertical="top"/>
    </xf>
    <xf borderId="3950" fillId="179" fontId="139" numFmtId="0" xfId="0" applyAlignment="1" applyBorder="1" applyFont="1">
      <alignment horizontal="center" vertical="center"/>
    </xf>
    <xf borderId="3953" fillId="179" fontId="162" numFmtId="0" xfId="0" applyAlignment="1" applyBorder="1" applyFont="1">
      <alignment horizontal="center" vertical="center"/>
    </xf>
    <xf borderId="3954" fillId="179" fontId="162" numFmtId="0" xfId="0" applyAlignment="1" applyBorder="1" applyFont="1">
      <alignment horizontal="center" vertical="center"/>
    </xf>
    <xf borderId="3953" fillId="179" fontId="140" numFmtId="0" xfId="0" applyAlignment="1" applyBorder="1" applyFont="1">
      <alignment horizontal="center" vertical="center"/>
    </xf>
    <xf borderId="3985" fillId="180" fontId="138" numFmtId="0" xfId="0" applyAlignment="1" applyBorder="1" applyFont="1">
      <alignment horizontal="center" readingOrder="0" vertical="center"/>
    </xf>
    <xf borderId="3986" fillId="180" fontId="138" numFmtId="0" xfId="0" applyAlignment="1" applyBorder="1" applyFont="1">
      <alignment horizontal="center" readingOrder="0" vertical="center"/>
    </xf>
    <xf borderId="3987" fillId="180" fontId="138" numFmtId="0" xfId="0" applyAlignment="1" applyBorder="1" applyFont="1">
      <alignment horizontal="left" readingOrder="0" vertical="center"/>
    </xf>
    <xf borderId="3988" fillId="0" fontId="5" numFmtId="0" xfId="0" applyBorder="1" applyFont="1"/>
    <xf borderId="3953" fillId="179" fontId="140" numFmtId="0" xfId="0" applyAlignment="1" applyBorder="1" applyFont="1">
      <alignment horizontal="center" vertical="center"/>
    </xf>
    <xf borderId="3953" fillId="179" fontId="139" numFmtId="0" xfId="0" applyAlignment="1" applyBorder="1" applyFont="1">
      <alignment horizontal="center" vertical="center"/>
    </xf>
    <xf borderId="3953" fillId="179" fontId="162" numFmtId="0" xfId="0" applyAlignment="1" applyBorder="1" applyFont="1">
      <alignment horizontal="center" vertical="center"/>
    </xf>
    <xf borderId="3954" fillId="179" fontId="162" numFmtId="0" xfId="0" applyAlignment="1" applyBorder="1" applyFont="1">
      <alignment horizontal="center" vertical="center"/>
    </xf>
    <xf borderId="3989" fillId="180" fontId="138" numFmtId="0" xfId="0" applyAlignment="1" applyBorder="1" applyFont="1">
      <alignment horizontal="center" readingOrder="0" vertical="center"/>
    </xf>
    <xf borderId="3990" fillId="180" fontId="138" numFmtId="0" xfId="0" applyAlignment="1" applyBorder="1" applyFont="1">
      <alignment horizontal="center" readingOrder="0" vertical="center"/>
    </xf>
    <xf borderId="3991" fillId="180" fontId="138" numFmtId="0" xfId="0" applyAlignment="1" applyBorder="1" applyFont="1">
      <alignment horizontal="left" readingOrder="0" vertical="center"/>
    </xf>
    <xf borderId="3992" fillId="0" fontId="5" numFmtId="0" xfId="0" applyBorder="1" applyFont="1"/>
    <xf borderId="3993" fillId="180" fontId="138" numFmtId="0" xfId="0" applyAlignment="1" applyBorder="1" applyFont="1">
      <alignment horizontal="center" readingOrder="0" vertical="center"/>
    </xf>
    <xf borderId="3994" fillId="180" fontId="138" numFmtId="0" xfId="0" applyAlignment="1" applyBorder="1" applyFont="1">
      <alignment horizontal="center" readingOrder="0" vertical="center"/>
    </xf>
    <xf borderId="3995" fillId="180" fontId="138" numFmtId="0" xfId="0" applyAlignment="1" applyBorder="1" applyFont="1">
      <alignment horizontal="left" readingOrder="0" vertical="center"/>
    </xf>
    <xf borderId="3996" fillId="0" fontId="5" numFmtId="0" xfId="0" applyBorder="1" applyFont="1"/>
    <xf borderId="395" fillId="180" fontId="138" numFmtId="0" xfId="0" applyAlignment="1" applyBorder="1" applyFont="1">
      <alignment horizontal="right" readingOrder="0" vertical="center"/>
    </xf>
    <xf borderId="398" fillId="180" fontId="138" numFmtId="0" xfId="0" applyAlignment="1" applyBorder="1" applyFont="1">
      <alignment horizontal="center" readingOrder="0" vertical="center"/>
    </xf>
    <xf borderId="3997" fillId="179" fontId="162" numFmtId="0" xfId="0" applyAlignment="1" applyBorder="1" applyFont="1">
      <alignment horizontal="center" vertical="center"/>
    </xf>
    <xf borderId="3998" fillId="179" fontId="120" numFmtId="0" xfId="0" applyAlignment="1" applyBorder="1" applyFont="1">
      <alignment horizontal="right" vertical="center"/>
    </xf>
    <xf borderId="3998" fillId="179" fontId="140" numFmtId="0" xfId="0" applyAlignment="1" applyBorder="1" applyFont="1">
      <alignment horizontal="center" vertical="center"/>
    </xf>
    <xf borderId="3999" fillId="179" fontId="120" numFmtId="0" xfId="0" applyAlignment="1" applyBorder="1" applyFont="1">
      <alignment horizontal="right" vertical="center"/>
    </xf>
    <xf borderId="3998" fillId="179" fontId="139" numFmtId="0" xfId="0" applyAlignment="1" applyBorder="1" applyFont="1">
      <alignment horizontal="center" vertical="center"/>
    </xf>
    <xf borderId="3998" fillId="179" fontId="162" numFmtId="0" xfId="0" applyAlignment="1" applyBorder="1" applyFont="1">
      <alignment horizontal="center" vertical="center"/>
    </xf>
    <xf borderId="4000" fillId="179" fontId="162" numFmtId="0" xfId="0" applyAlignment="1" applyBorder="1" applyFont="1">
      <alignment horizontal="center" vertical="center"/>
    </xf>
    <xf borderId="3955" fillId="179" fontId="130" numFmtId="0" xfId="0" applyAlignment="1" applyBorder="1" applyFont="1">
      <alignment horizontal="center" readingOrder="0" vertical="center"/>
    </xf>
    <xf borderId="1713" fillId="116" fontId="154" numFmtId="0" xfId="0" applyAlignment="1" applyBorder="1" applyFont="1">
      <alignment horizontal="center" vertical="center"/>
    </xf>
    <xf borderId="4001" fillId="116" fontId="154" numFmtId="0" xfId="0" applyAlignment="1" applyBorder="1" applyFont="1">
      <alignment horizontal="center" vertical="center"/>
    </xf>
    <xf borderId="4002" fillId="0" fontId="5" numFmtId="0" xfId="0" applyBorder="1" applyFont="1"/>
    <xf borderId="4003" fillId="116" fontId="162" numFmtId="0" xfId="0" applyAlignment="1" applyBorder="1" applyFont="1">
      <alignment horizontal="center" vertical="center"/>
    </xf>
    <xf borderId="1773" fillId="116" fontId="162" numFmtId="0" xfId="0" applyAlignment="1" applyBorder="1" applyFont="1">
      <alignment horizontal="center" vertical="center"/>
    </xf>
    <xf borderId="398" fillId="67" fontId="115" numFmtId="0" xfId="0" applyAlignment="1" applyBorder="1" applyFont="1">
      <alignment horizontal="center" readingOrder="0" vertical="center"/>
    </xf>
    <xf borderId="3441" fillId="67" fontId="115" numFmtId="0" xfId="0" applyAlignment="1" applyBorder="1" applyFont="1">
      <alignment horizontal="right" readingOrder="0" vertical="center"/>
    </xf>
    <xf borderId="4004" fillId="67" fontId="115" numFmtId="0" xfId="0" applyAlignment="1" applyBorder="1" applyFont="1">
      <alignment horizontal="center" readingOrder="0" vertical="center"/>
    </xf>
    <xf borderId="1774" fillId="116" fontId="102" numFmtId="0" xfId="0" applyAlignment="1" applyBorder="1" applyFont="1">
      <alignment horizontal="right" vertical="center"/>
    </xf>
    <xf borderId="1713" fillId="116" fontId="162" numFmtId="0" xfId="0" applyAlignment="1" applyBorder="1" applyFont="1">
      <alignment horizontal="center" vertical="center"/>
    </xf>
    <xf borderId="1788" fillId="116" fontId="162" numFmtId="0" xfId="0" applyAlignment="1" applyBorder="1" applyFont="1">
      <alignment horizontal="center" vertical="center"/>
    </xf>
    <xf borderId="1795" fillId="116" fontId="104" numFmtId="0" xfId="0" applyAlignment="1" applyBorder="1" applyFont="1">
      <alignment horizontal="right" vertical="center"/>
    </xf>
    <xf borderId="1480" fillId="111" fontId="104" numFmtId="0" xfId="0" applyAlignment="1" applyBorder="1" applyFont="1">
      <alignment horizontal="right" vertical="center"/>
    </xf>
    <xf borderId="4005" fillId="111" fontId="154" numFmtId="0" xfId="0" applyAlignment="1" applyBorder="1" applyFont="1">
      <alignment horizontal="center" vertical="center"/>
    </xf>
    <xf borderId="1511" fillId="111" fontId="162" numFmtId="0" xfId="0" applyAlignment="1" applyBorder="1" applyFont="1">
      <alignment horizontal="center" vertical="center"/>
    </xf>
    <xf borderId="1483" fillId="111" fontId="120" numFmtId="0" xfId="0" applyAlignment="1" applyBorder="1" applyFont="1">
      <alignment horizontal="left" readingOrder="0" vertical="center"/>
    </xf>
    <xf borderId="1763" fillId="111" fontId="225" numFmtId="0" xfId="0" applyAlignment="1" applyBorder="1" applyFont="1">
      <alignment horizontal="left" readingOrder="0" vertical="center"/>
    </xf>
    <xf borderId="4006" fillId="111" fontId="154" numFmtId="0" xfId="0" applyAlignment="1" applyBorder="1" applyFont="1">
      <alignment horizontal="center" vertical="center"/>
    </xf>
    <xf borderId="1014" fillId="23" fontId="104" numFmtId="0" xfId="0" applyAlignment="1" applyBorder="1" applyFont="1">
      <alignment horizontal="right" vertical="center"/>
    </xf>
    <xf borderId="2411" fillId="23" fontId="156" numFmtId="0" xfId="0" applyAlignment="1" applyBorder="1" applyFont="1">
      <alignment horizontal="center" vertical="center"/>
    </xf>
    <xf borderId="4007" fillId="111" fontId="154" numFmtId="0" xfId="0" applyAlignment="1" applyBorder="1" applyFont="1">
      <alignment horizontal="center" vertical="center"/>
    </xf>
    <xf borderId="4007" fillId="111" fontId="132" numFmtId="0" xfId="0" applyAlignment="1" applyBorder="1" applyFont="1">
      <alignment horizontal="center" vertical="center"/>
    </xf>
    <xf borderId="4007" fillId="111" fontId="158" numFmtId="0" xfId="0" applyAlignment="1" applyBorder="1" applyFont="1">
      <alignment horizontal="center" vertical="center"/>
    </xf>
    <xf borderId="398" fillId="23" fontId="115" numFmtId="0" xfId="0" applyAlignment="1" applyBorder="1" applyFont="1">
      <alignment horizontal="center" readingOrder="0" vertical="center"/>
    </xf>
    <xf borderId="192" fillId="96" fontId="154" numFmtId="0" xfId="0" applyAlignment="1" applyBorder="1" applyFont="1">
      <alignment horizontal="center" vertical="center"/>
    </xf>
    <xf borderId="1035" fillId="96" fontId="154" numFmtId="0" xfId="0" applyAlignment="1" applyBorder="1" applyFont="1">
      <alignment horizontal="center" vertical="center"/>
    </xf>
    <xf borderId="0" fillId="96" fontId="156" numFmtId="0" xfId="0" applyAlignment="1" applyFont="1">
      <alignment horizontal="center" vertical="center"/>
    </xf>
    <xf borderId="1009" fillId="96" fontId="156" numFmtId="0" xfId="0" applyAlignment="1" applyBorder="1" applyFont="1">
      <alignment horizontal="center" vertical="center"/>
    </xf>
    <xf borderId="1011" fillId="96" fontId="226" numFmtId="0" xfId="0" applyAlignment="1" applyBorder="1" applyFont="1">
      <alignment horizontal="left" readingOrder="0" vertical="center"/>
    </xf>
    <xf borderId="4008" fillId="96" fontId="154" numFmtId="0" xfId="0" applyAlignment="1" applyBorder="1" applyFont="1">
      <alignment horizontal="center" vertical="center"/>
    </xf>
    <xf borderId="345" fillId="96" fontId="96" numFmtId="0" xfId="0" applyAlignment="1" applyBorder="1" applyFont="1">
      <alignment horizontal="right" readingOrder="0" vertical="center"/>
    </xf>
    <xf borderId="1005" fillId="96" fontId="96" numFmtId="0" xfId="0" applyAlignment="1" applyBorder="1" applyFont="1">
      <alignment horizontal="right" vertical="center"/>
    </xf>
    <xf borderId="1027" fillId="96" fontId="147" numFmtId="0" xfId="0" applyAlignment="1" applyBorder="1" applyFont="1">
      <alignment horizontal="center" vertical="top"/>
    </xf>
    <xf borderId="1047" fillId="0" fontId="5" numFmtId="0" xfId="0" applyBorder="1" applyFont="1"/>
    <xf borderId="1023" fillId="96" fontId="131" numFmtId="0" xfId="0" applyAlignment="1" applyBorder="1" applyFont="1">
      <alignment horizontal="center" readingOrder="0" vertical="center"/>
    </xf>
    <xf borderId="4009" fillId="0" fontId="5" numFmtId="0" xfId="0" applyBorder="1" applyFont="1"/>
    <xf borderId="398" fillId="31" fontId="138" numFmtId="0" xfId="0" applyAlignment="1" applyBorder="1" applyFont="1">
      <alignment horizontal="center" readingOrder="0" vertical="center"/>
    </xf>
    <xf borderId="400" fillId="31" fontId="138" numFmtId="0" xfId="0" applyAlignment="1" applyBorder="1" applyFont="1">
      <alignment horizontal="right" readingOrder="0" vertical="center"/>
    </xf>
    <xf borderId="3787" fillId="31" fontId="138" numFmtId="0" xfId="0" applyAlignment="1" applyBorder="1" applyFont="1">
      <alignment horizontal="center" readingOrder="0" vertical="center"/>
    </xf>
    <xf borderId="4010" fillId="96" fontId="162" numFmtId="0" xfId="0" applyAlignment="1" applyBorder="1" applyFont="1">
      <alignment horizontal="center" vertical="center"/>
    </xf>
    <xf borderId="1035" fillId="96" fontId="120" numFmtId="0" xfId="0" applyAlignment="1" applyBorder="1" applyFont="1">
      <alignment horizontal="right" vertical="center"/>
    </xf>
    <xf borderId="1010" fillId="96" fontId="140" numFmtId="0" xfId="0" applyAlignment="1" applyBorder="1" applyFont="1">
      <alignment horizontal="center" vertical="center"/>
    </xf>
    <xf borderId="1005" fillId="96" fontId="120" numFmtId="0" xfId="0" applyAlignment="1" applyBorder="1" applyFont="1">
      <alignment horizontal="right" vertical="center"/>
    </xf>
    <xf borderId="405" fillId="31" fontId="138" numFmtId="0" xfId="0" applyAlignment="1" applyBorder="1" applyFont="1">
      <alignment horizontal="right" readingOrder="0" vertical="center"/>
    </xf>
    <xf borderId="1012" fillId="96" fontId="162" numFmtId="0" xfId="0" applyAlignment="1" applyBorder="1" applyFont="1">
      <alignment horizontal="center" vertical="center"/>
    </xf>
    <xf borderId="4011" fillId="96" fontId="162" numFmtId="0" xfId="0" applyAlignment="1" applyBorder="1" applyFont="1">
      <alignment horizontal="center" vertical="center"/>
    </xf>
    <xf borderId="2514" fillId="135" fontId="33" numFmtId="0" xfId="0" applyAlignment="1" applyBorder="1" applyFont="1">
      <alignment horizontal="center" readingOrder="0" vertical="center"/>
    </xf>
    <xf borderId="398" fillId="41" fontId="138" numFmtId="0" xfId="0" applyAlignment="1" applyBorder="1" applyFont="1">
      <alignment horizontal="center" readingOrder="0" vertical="center"/>
    </xf>
    <xf borderId="3787" fillId="41" fontId="138" numFmtId="0" xfId="0" applyAlignment="1" applyBorder="1" applyFont="1">
      <alignment horizontal="center" readingOrder="0" vertical="center"/>
    </xf>
    <xf borderId="4012" fillId="135" fontId="154" numFmtId="0" xfId="0" applyAlignment="1" applyBorder="1" applyFont="1">
      <alignment horizontal="center" readingOrder="0" vertical="center"/>
    </xf>
    <xf borderId="4013" fillId="12" fontId="102" numFmtId="0" xfId="0" applyAlignment="1" applyBorder="1" applyFont="1">
      <alignment horizontal="right" readingOrder="0" vertical="center"/>
    </xf>
    <xf borderId="398" fillId="149" fontId="138" numFmtId="0" xfId="0" applyAlignment="1" applyBorder="1" applyFont="1">
      <alignment horizontal="center" readingOrder="0" vertical="center"/>
    </xf>
    <xf borderId="4014" fillId="0" fontId="5" numFmtId="0" xfId="0" applyBorder="1" applyFont="1"/>
    <xf borderId="4015" fillId="149" fontId="138" numFmtId="0" xfId="0" applyAlignment="1" applyBorder="1" applyFont="1">
      <alignment horizontal="center" readingOrder="0" vertical="center"/>
    </xf>
    <xf borderId="176" fillId="12" fontId="140" numFmtId="0" xfId="0" applyAlignment="1" applyBorder="1" applyFont="1">
      <alignment horizontal="center" vertical="center"/>
    </xf>
    <xf borderId="4016" fillId="0" fontId="5" numFmtId="0" xfId="0" applyBorder="1" applyFont="1"/>
    <xf borderId="1298" fillId="12" fontId="131" numFmtId="0" xfId="0" applyAlignment="1" applyBorder="1" applyFont="1">
      <alignment horizontal="center" readingOrder="0" vertical="center"/>
    </xf>
    <xf borderId="3787" fillId="149" fontId="138" numFmtId="0" xfId="0" applyAlignment="1" applyBorder="1" applyFont="1">
      <alignment horizontal="center" readingOrder="0" vertical="center"/>
    </xf>
    <xf borderId="180" fillId="12" fontId="102" numFmtId="0" xfId="0" applyAlignment="1" applyBorder="1" applyFont="1">
      <alignment horizontal="right" vertical="center"/>
    </xf>
    <xf borderId="4017" fillId="181" fontId="154" numFmtId="0" xfId="0" applyAlignment="1" applyBorder="1" applyFill="1" applyFont="1">
      <alignment horizontal="center" vertical="center"/>
    </xf>
    <xf borderId="4018" fillId="181" fontId="33" numFmtId="0" xfId="0" applyAlignment="1" applyBorder="1" applyFont="1">
      <alignment horizontal="center" readingOrder="0" vertical="center"/>
    </xf>
    <xf borderId="4019" fillId="181" fontId="154" numFmtId="0" xfId="0" applyAlignment="1" applyBorder="1" applyFont="1">
      <alignment horizontal="center" vertical="center"/>
    </xf>
    <xf borderId="4020" fillId="181" fontId="154" numFmtId="0" xfId="0" applyAlignment="1" applyBorder="1" applyFont="1">
      <alignment horizontal="center" vertical="center"/>
    </xf>
    <xf borderId="4021" fillId="181" fontId="171" numFmtId="0" xfId="0" applyAlignment="1" applyBorder="1" applyFont="1">
      <alignment horizontal="center" vertical="center"/>
    </xf>
    <xf borderId="4021" fillId="181" fontId="154" numFmtId="0" xfId="0" applyAlignment="1" applyBorder="1" applyFont="1">
      <alignment horizontal="center" vertical="center"/>
    </xf>
    <xf borderId="4022" fillId="181" fontId="227" numFmtId="0" xfId="0" applyAlignment="1" applyBorder="1" applyFont="1">
      <alignment horizontal="left" readingOrder="0" vertical="center"/>
    </xf>
    <xf borderId="4023" fillId="0" fontId="5" numFmtId="0" xfId="0" applyBorder="1" applyFont="1"/>
    <xf borderId="4024" fillId="0" fontId="5" numFmtId="0" xfId="0" applyBorder="1" applyFont="1"/>
    <xf borderId="4025" fillId="181" fontId="154" numFmtId="0" xfId="0" applyAlignment="1" applyBorder="1" applyFont="1">
      <alignment horizontal="center" vertical="center"/>
    </xf>
    <xf borderId="339" fillId="182" fontId="104" numFmtId="0" xfId="0" applyAlignment="1" applyBorder="1" applyFill="1" applyFont="1">
      <alignment horizontal="center" vertical="center"/>
    </xf>
    <xf borderId="4026" fillId="181" fontId="156" numFmtId="0" xfId="0" applyAlignment="1" applyBorder="1" applyFont="1">
      <alignment horizontal="center" vertical="center"/>
    </xf>
    <xf borderId="1066" fillId="182" fontId="131" numFmtId="0" xfId="0" applyAlignment="1" applyBorder="1" applyFont="1">
      <alignment horizontal="center" vertical="center"/>
    </xf>
    <xf borderId="4027" fillId="181" fontId="132" numFmtId="0" xfId="0" applyAlignment="1" applyBorder="1" applyFont="1">
      <alignment horizontal="center" vertical="center"/>
    </xf>
    <xf borderId="4028" fillId="181" fontId="154" numFmtId="0" xfId="0" applyAlignment="1" applyBorder="1" applyFont="1">
      <alignment horizontal="center" vertical="center"/>
    </xf>
    <xf borderId="4020" fillId="181" fontId="132" numFmtId="0" xfId="0" applyAlignment="1" applyBorder="1" applyFont="1">
      <alignment horizontal="center" vertical="center"/>
    </xf>
    <xf borderId="885" fillId="181" fontId="104" numFmtId="0" xfId="0" applyAlignment="1" applyBorder="1" applyFont="1">
      <alignment horizontal="right" readingOrder="0" vertical="center"/>
    </xf>
    <xf borderId="4026" fillId="181" fontId="132" numFmtId="0" xfId="0" applyAlignment="1" applyBorder="1" applyFont="1">
      <alignment horizontal="center" readingOrder="0" vertical="center"/>
    </xf>
    <xf borderId="4029" fillId="181" fontId="130" numFmtId="0" xfId="0" applyAlignment="1" applyBorder="1" applyFont="1">
      <alignment horizontal="center" vertical="center"/>
    </xf>
    <xf borderId="4030" fillId="0" fontId="5" numFmtId="0" xfId="0" applyBorder="1" applyFont="1"/>
    <xf borderId="4031" fillId="0" fontId="5" numFmtId="0" xfId="0" applyBorder="1" applyFont="1"/>
    <xf borderId="4028" fillId="181" fontId="132" numFmtId="0" xfId="0" applyAlignment="1" applyBorder="1" applyFont="1">
      <alignment horizontal="center" vertical="center"/>
    </xf>
    <xf borderId="4026" fillId="181" fontId="154" numFmtId="0" xfId="0" applyAlignment="1" applyBorder="1" applyFont="1">
      <alignment horizontal="center" readingOrder="0" vertical="center"/>
    </xf>
    <xf borderId="4032" fillId="181" fontId="146" numFmtId="0" xfId="0" applyAlignment="1" applyBorder="1" applyFont="1">
      <alignment horizontal="center" readingOrder="0" vertical="top"/>
    </xf>
    <xf borderId="4033" fillId="0" fontId="5" numFmtId="0" xfId="0" applyBorder="1" applyFont="1"/>
    <xf borderId="4034" fillId="0" fontId="5" numFmtId="0" xfId="0" applyBorder="1" applyFont="1"/>
    <xf borderId="4035" fillId="181" fontId="132" numFmtId="0" xfId="0" applyAlignment="1" applyBorder="1" applyFont="1">
      <alignment horizontal="center" vertical="center"/>
    </xf>
    <xf borderId="4036" fillId="181" fontId="132" numFmtId="0" xfId="0" applyAlignment="1" applyBorder="1" applyFont="1">
      <alignment horizontal="right" vertical="top"/>
    </xf>
    <xf borderId="4036" fillId="181" fontId="132" numFmtId="0" xfId="0" applyAlignment="1" applyBorder="1" applyFont="1">
      <alignment horizontal="left" vertical="top"/>
    </xf>
    <xf borderId="4037" fillId="181" fontId="132" numFmtId="0" xfId="0" applyAlignment="1" applyBorder="1" applyFont="1">
      <alignment horizontal="center" vertical="top"/>
    </xf>
    <xf borderId="4021" fillId="181" fontId="132" numFmtId="0" xfId="0" applyAlignment="1" applyBorder="1" applyFont="1">
      <alignment horizontal="center" vertical="center"/>
    </xf>
    <xf borderId="4038" fillId="181" fontId="132" numFmtId="0" xfId="0" applyAlignment="1" applyBorder="1" applyFont="1">
      <alignment horizontal="center" vertical="top"/>
    </xf>
    <xf borderId="4039" fillId="0" fontId="5" numFmtId="0" xfId="0" applyBorder="1" applyFont="1"/>
    <xf borderId="4040" fillId="181" fontId="171" numFmtId="0" xfId="0" applyAlignment="1" applyBorder="1" applyFont="1">
      <alignment horizontal="center" vertical="center"/>
    </xf>
    <xf borderId="4041" fillId="181" fontId="132" numFmtId="0" xfId="0" applyAlignment="1" applyBorder="1" applyFont="1">
      <alignment horizontal="center" vertical="center"/>
    </xf>
    <xf borderId="4042" fillId="181" fontId="132" numFmtId="0" xfId="0" applyAlignment="1" applyBorder="1" applyFont="1">
      <alignment horizontal="center" vertical="top"/>
    </xf>
    <xf borderId="4043" fillId="181" fontId="132" numFmtId="0" xfId="0" applyAlignment="1" applyBorder="1" applyFont="1">
      <alignment horizontal="center" vertical="top"/>
    </xf>
    <xf borderId="4044" fillId="0" fontId="5" numFmtId="0" xfId="0" applyBorder="1" applyFont="1"/>
    <xf borderId="4026" fillId="181" fontId="154" numFmtId="0" xfId="0" applyAlignment="1" applyBorder="1" applyFont="1">
      <alignment horizontal="center" vertical="center"/>
    </xf>
    <xf borderId="4045" fillId="181" fontId="132" numFmtId="0" xfId="0" applyAlignment="1" applyBorder="1" applyFont="1">
      <alignment horizontal="center" vertical="center"/>
    </xf>
    <xf borderId="4046" fillId="0" fontId="5" numFmtId="0" xfId="0" applyBorder="1" applyFont="1"/>
    <xf borderId="4047" fillId="0" fontId="5" numFmtId="0" xfId="0" applyBorder="1" applyFont="1"/>
    <xf borderId="4048" fillId="181" fontId="132" numFmtId="0" xfId="0" applyAlignment="1" applyBorder="1" applyFont="1">
      <alignment horizontal="center" vertical="center"/>
    </xf>
    <xf borderId="4027" fillId="0" fontId="5" numFmtId="0" xfId="0" applyBorder="1" applyFont="1"/>
    <xf borderId="4049" fillId="0" fontId="5" numFmtId="0" xfId="0" applyBorder="1" applyFont="1"/>
    <xf borderId="4050" fillId="181" fontId="132" numFmtId="0" xfId="0" applyAlignment="1" applyBorder="1" applyFont="1">
      <alignment horizontal="center" readingOrder="0" vertical="center"/>
    </xf>
    <xf borderId="4051" fillId="181" fontId="132" numFmtId="0" xfId="0" applyAlignment="1" applyBorder="1" applyFont="1">
      <alignment horizontal="center" vertical="center"/>
    </xf>
    <xf borderId="4026" fillId="181" fontId="132" numFmtId="0" xfId="0" applyAlignment="1" applyBorder="1" applyFont="1">
      <alignment horizontal="center" vertical="center"/>
    </xf>
    <xf borderId="4018" fillId="0" fontId="5" numFmtId="0" xfId="0" applyBorder="1" applyFont="1"/>
    <xf borderId="4052" fillId="0" fontId="5" numFmtId="0" xfId="0" applyBorder="1" applyFont="1"/>
    <xf borderId="4047" fillId="181" fontId="132" numFmtId="0" xfId="0" applyAlignment="1" applyBorder="1" applyFont="1">
      <alignment horizontal="center" vertical="center"/>
    </xf>
    <xf borderId="4045" fillId="181" fontId="132" numFmtId="0" xfId="0" applyAlignment="1" applyBorder="1" applyFont="1">
      <alignment horizontal="center" readingOrder="0" vertical="center"/>
    </xf>
    <xf borderId="4053" fillId="0" fontId="5" numFmtId="0" xfId="0" applyBorder="1" applyFont="1"/>
    <xf borderId="4049" fillId="181" fontId="132" numFmtId="0" xfId="0" applyAlignment="1" applyBorder="1" applyFont="1">
      <alignment horizontal="center" vertical="center"/>
    </xf>
    <xf borderId="4054" fillId="181" fontId="132" numFmtId="0" xfId="0" applyAlignment="1" applyBorder="1" applyFont="1">
      <alignment horizontal="center" vertical="center"/>
    </xf>
    <xf borderId="4055" fillId="0" fontId="5" numFmtId="0" xfId="0" applyBorder="1" applyFont="1"/>
    <xf borderId="4056" fillId="0" fontId="5" numFmtId="0" xfId="0" applyBorder="1" applyFont="1"/>
    <xf borderId="4057" fillId="181" fontId="132" numFmtId="0" xfId="0" applyAlignment="1" applyBorder="1" applyFont="1">
      <alignment horizontal="center" vertical="center"/>
    </xf>
    <xf borderId="4020" fillId="181" fontId="153" numFmtId="0" xfId="0" applyAlignment="1" applyBorder="1" applyFont="1">
      <alignment horizontal="center" vertical="center"/>
    </xf>
    <xf borderId="4021" fillId="181" fontId="102" numFmtId="0" xfId="0" applyAlignment="1" applyBorder="1" applyFont="1">
      <alignment horizontal="right" vertical="center"/>
    </xf>
    <xf borderId="4021" fillId="181" fontId="160" numFmtId="0" xfId="0" applyAlignment="1" applyBorder="1" applyFont="1">
      <alignment horizontal="center" vertical="center"/>
    </xf>
    <xf borderId="4018" fillId="181" fontId="160" numFmtId="0" xfId="0" applyAlignment="1" applyBorder="1" applyFont="1">
      <alignment horizontal="center" vertical="top"/>
    </xf>
    <xf borderId="4021" fillId="181" fontId="160" numFmtId="0" xfId="0" applyAlignment="1" applyBorder="1" applyFont="1">
      <alignment horizontal="center" vertical="top"/>
    </xf>
    <xf borderId="4044" fillId="181" fontId="160" numFmtId="0" xfId="0" applyAlignment="1" applyBorder="1" applyFont="1">
      <alignment horizontal="center" vertical="top"/>
    </xf>
    <xf borderId="4044" fillId="181" fontId="161" numFmtId="0" xfId="0" applyAlignment="1" applyBorder="1" applyFont="1">
      <alignment horizontal="center" vertical="center"/>
    </xf>
    <xf borderId="4021" fillId="181" fontId="161" numFmtId="0" xfId="0" applyAlignment="1" applyBorder="1" applyFont="1">
      <alignment horizontal="center" vertical="center"/>
    </xf>
    <xf borderId="4025" fillId="181" fontId="153" numFmtId="0" xfId="0" applyAlignment="1" applyBorder="1" applyFont="1">
      <alignment horizontal="center" vertical="center"/>
    </xf>
    <xf borderId="4020" fillId="181" fontId="162" numFmtId="0" xfId="0" applyAlignment="1" applyBorder="1" applyFont="1">
      <alignment horizontal="center" vertical="center"/>
    </xf>
    <xf borderId="4021" fillId="181" fontId="140" numFmtId="0" xfId="0" applyAlignment="1" applyBorder="1" applyFont="1">
      <alignment horizontal="center" vertical="center"/>
    </xf>
    <xf borderId="378" fillId="182" fontId="138" numFmtId="0" xfId="0" applyAlignment="1" applyBorder="1" applyFont="1">
      <alignment horizontal="center" readingOrder="0" vertical="top"/>
    </xf>
    <xf borderId="4026" fillId="181" fontId="140" numFmtId="0" xfId="0" applyAlignment="1" applyBorder="1" applyFont="1">
      <alignment horizontal="center" vertical="center"/>
    </xf>
    <xf borderId="4026" fillId="181" fontId="162" numFmtId="0" xfId="0" applyAlignment="1" applyBorder="1" applyFont="1">
      <alignment horizontal="center" vertical="center"/>
    </xf>
    <xf borderId="4025" fillId="181" fontId="162" numFmtId="0" xfId="0" applyAlignment="1" applyBorder="1" applyFont="1">
      <alignment horizontal="center" vertical="center"/>
    </xf>
    <xf borderId="4058" fillId="182" fontId="138" numFmtId="0" xfId="0" applyAlignment="1" applyBorder="1" applyFont="1">
      <alignment horizontal="center" readingOrder="0" vertical="center"/>
    </xf>
    <xf borderId="4059" fillId="182" fontId="138" numFmtId="0" xfId="0" applyAlignment="1" applyBorder="1" applyFont="1">
      <alignment horizontal="center" readingOrder="0" vertical="center"/>
    </xf>
    <xf borderId="4060" fillId="182" fontId="138" numFmtId="0" xfId="0" applyAlignment="1" applyBorder="1" applyFont="1">
      <alignment horizontal="left" readingOrder="0" vertical="center"/>
    </xf>
    <xf borderId="4061" fillId="0" fontId="5" numFmtId="0" xfId="0" applyBorder="1" applyFont="1"/>
    <xf borderId="4021" fillId="181" fontId="162" numFmtId="0" xfId="0" applyAlignment="1" applyBorder="1" applyFont="1">
      <alignment horizontal="center" vertical="center"/>
    </xf>
    <xf borderId="4062" fillId="182" fontId="138" numFmtId="0" xfId="0" applyAlignment="1" applyBorder="1" applyFont="1">
      <alignment horizontal="center" readingOrder="0" vertical="center"/>
    </xf>
    <xf borderId="4063" fillId="182" fontId="138" numFmtId="0" xfId="0" applyAlignment="1" applyBorder="1" applyFont="1">
      <alignment horizontal="center" readingOrder="0" vertical="center"/>
    </xf>
    <xf borderId="4064" fillId="182" fontId="138" numFmtId="0" xfId="0" applyAlignment="1" applyBorder="1" applyFont="1">
      <alignment horizontal="left" readingOrder="0" vertical="center"/>
    </xf>
    <xf borderId="4065" fillId="0" fontId="5" numFmtId="0" xfId="0" applyBorder="1" applyFont="1"/>
    <xf borderId="4066" fillId="182" fontId="138" numFmtId="0" xfId="0" applyAlignment="1" applyBorder="1" applyFont="1">
      <alignment horizontal="center" readingOrder="0" vertical="center"/>
    </xf>
    <xf borderId="4067" fillId="182" fontId="138" numFmtId="0" xfId="0" applyAlignment="1" applyBorder="1" applyFont="1">
      <alignment horizontal="center" readingOrder="0" vertical="center"/>
    </xf>
    <xf borderId="4068" fillId="182" fontId="138" numFmtId="0" xfId="0" applyAlignment="1" applyBorder="1" applyFont="1">
      <alignment horizontal="left" readingOrder="0" vertical="center"/>
    </xf>
    <xf borderId="4069" fillId="0" fontId="5" numFmtId="0" xfId="0" applyBorder="1" applyFont="1"/>
    <xf borderId="395" fillId="182" fontId="138" numFmtId="0" xfId="0" applyAlignment="1" applyBorder="1" applyFont="1">
      <alignment horizontal="right" readingOrder="0" vertical="center"/>
    </xf>
    <xf borderId="398" fillId="182" fontId="138" numFmtId="0" xfId="0" applyAlignment="1" applyBorder="1" applyFont="1">
      <alignment horizontal="center" readingOrder="0" vertical="center"/>
    </xf>
    <xf borderId="4070" fillId="181" fontId="162" numFmtId="0" xfId="0" applyAlignment="1" applyBorder="1" applyFont="1">
      <alignment horizontal="center" vertical="center"/>
    </xf>
    <xf borderId="4071" fillId="181" fontId="102" numFmtId="0" xfId="0" applyAlignment="1" applyBorder="1" applyFont="1">
      <alignment horizontal="right" vertical="center"/>
    </xf>
    <xf borderId="4071" fillId="181" fontId="140" numFmtId="0" xfId="0" applyAlignment="1" applyBorder="1" applyFont="1">
      <alignment horizontal="center" vertical="center"/>
    </xf>
    <xf borderId="4072" fillId="181" fontId="102" numFmtId="0" xfId="0" applyAlignment="1" applyBorder="1" applyFont="1">
      <alignment horizontal="right" vertical="center"/>
    </xf>
    <xf borderId="4071" fillId="181" fontId="162" numFmtId="0" xfId="0" applyAlignment="1" applyBorder="1" applyFont="1">
      <alignment horizontal="center" vertical="center"/>
    </xf>
    <xf borderId="4072" fillId="181" fontId="162" numFmtId="0" xfId="0" applyAlignment="1" applyBorder="1" applyFont="1">
      <alignment horizontal="center" vertical="center"/>
    </xf>
    <xf borderId="4073" fillId="181" fontId="162" numFmtId="0" xfId="0" applyAlignment="1" applyBorder="1" applyFont="1">
      <alignment horizontal="center" vertical="center"/>
    </xf>
    <xf borderId="761" fillId="89" fontId="154" numFmtId="0" xfId="0" applyAlignment="1" applyBorder="1" applyFont="1">
      <alignment horizontal="center" vertical="center"/>
    </xf>
    <xf borderId="763" fillId="89" fontId="171" numFmtId="0" xfId="0" applyAlignment="1" applyBorder="1" applyFont="1">
      <alignment horizontal="center" vertical="center"/>
    </xf>
    <xf borderId="763" fillId="89" fontId="154" numFmtId="0" xfId="0" applyAlignment="1" applyBorder="1" applyFont="1">
      <alignment horizontal="center" vertical="center"/>
    </xf>
    <xf borderId="762" fillId="89" fontId="132" numFmtId="0" xfId="0" applyAlignment="1" applyBorder="1" applyFont="1">
      <alignment horizontal="center" vertical="center"/>
    </xf>
    <xf borderId="763" fillId="89" fontId="132" numFmtId="0" xfId="0" applyAlignment="1" applyBorder="1" applyFont="1">
      <alignment horizontal="center" vertical="center"/>
    </xf>
    <xf borderId="763" fillId="89" fontId="132" numFmtId="0" xfId="0" applyAlignment="1" applyBorder="1" applyFont="1">
      <alignment horizontal="center" vertical="center"/>
    </xf>
    <xf borderId="764" fillId="89" fontId="154" numFmtId="0" xfId="0" applyAlignment="1" applyBorder="1" applyFont="1">
      <alignment horizontal="center" vertical="center"/>
    </xf>
    <xf borderId="765" fillId="89" fontId="154" numFmtId="0" xfId="0" applyAlignment="1" applyBorder="1" applyFont="1">
      <alignment horizontal="center" vertical="center"/>
    </xf>
    <xf borderId="339" fillId="183" fontId="104" numFmtId="0" xfId="0" applyAlignment="1" applyBorder="1" applyFill="1" applyFont="1">
      <alignment horizontal="center" vertical="center"/>
    </xf>
    <xf borderId="767" fillId="89" fontId="156" numFmtId="0" xfId="0" applyAlignment="1" applyBorder="1" applyFont="1">
      <alignment horizontal="center" vertical="center"/>
    </xf>
    <xf borderId="1066" fillId="183" fontId="131" numFmtId="0" xfId="0" applyAlignment="1" applyBorder="1" applyFont="1">
      <alignment horizontal="center" vertical="center"/>
    </xf>
    <xf borderId="768" fillId="89" fontId="132" numFmtId="0" xfId="0" applyAlignment="1" applyBorder="1" applyFont="1">
      <alignment horizontal="center" vertical="center"/>
    </xf>
    <xf borderId="769" fillId="89" fontId="154" numFmtId="0" xfId="0" applyAlignment="1" applyBorder="1" applyFont="1">
      <alignment horizontal="center" vertical="center"/>
    </xf>
    <xf borderId="767" fillId="89" fontId="154" numFmtId="0" xfId="0" applyAlignment="1" applyBorder="1" applyFont="1">
      <alignment horizontal="center" vertical="center"/>
    </xf>
    <xf borderId="798" fillId="89" fontId="154" numFmtId="0" xfId="0" applyAlignment="1" applyBorder="1" applyFont="1">
      <alignment horizontal="center" vertical="center"/>
    </xf>
    <xf borderId="765" fillId="89" fontId="132" numFmtId="0" xfId="0" applyAlignment="1" applyBorder="1" applyFont="1">
      <alignment horizontal="center" vertical="center"/>
    </xf>
    <xf borderId="885" fillId="89" fontId="104" numFmtId="0" xfId="0" applyAlignment="1" applyBorder="1" applyFont="1">
      <alignment horizontal="right" readingOrder="0" vertical="center"/>
    </xf>
    <xf borderId="767" fillId="89" fontId="132" numFmtId="0" xfId="0" applyAlignment="1" applyBorder="1" applyFont="1">
      <alignment horizontal="center" readingOrder="0" vertical="center"/>
    </xf>
    <xf borderId="4074" fillId="89" fontId="130" numFmtId="0" xfId="0" applyAlignment="1" applyBorder="1" applyFont="1">
      <alignment horizontal="center" readingOrder="0" vertical="center"/>
    </xf>
    <xf borderId="4075" fillId="0" fontId="5" numFmtId="0" xfId="0" applyBorder="1" applyFont="1"/>
    <xf borderId="4076" fillId="0" fontId="5" numFmtId="0" xfId="0" applyBorder="1" applyFont="1"/>
    <xf borderId="769" fillId="89" fontId="132" numFmtId="0" xfId="0" applyAlignment="1" applyBorder="1" applyFont="1">
      <alignment horizontal="center" vertical="center"/>
    </xf>
    <xf borderId="767" fillId="89" fontId="132" numFmtId="0" xfId="0" applyAlignment="1" applyBorder="1" applyFont="1">
      <alignment horizontal="center" vertical="center"/>
    </xf>
    <xf borderId="798" fillId="89" fontId="132" numFmtId="0" xfId="0" applyAlignment="1" applyBorder="1" applyFont="1">
      <alignment horizontal="center" vertical="center"/>
    </xf>
    <xf borderId="767" fillId="89" fontId="154" numFmtId="0" xfId="0" applyAlignment="1" applyBorder="1" applyFont="1">
      <alignment horizontal="center" readingOrder="0" vertical="center"/>
    </xf>
    <xf borderId="4077" fillId="89" fontId="146" numFmtId="0" xfId="0" applyAlignment="1" applyBorder="1" applyFont="1">
      <alignment horizontal="center" readingOrder="0" vertical="top"/>
    </xf>
    <xf borderId="4078" fillId="0" fontId="5" numFmtId="0" xfId="0" applyBorder="1" applyFont="1"/>
    <xf borderId="4079" fillId="0" fontId="5" numFmtId="0" xfId="0" applyBorder="1" applyFont="1"/>
    <xf borderId="766" fillId="89" fontId="154" numFmtId="0" xfId="0" applyAlignment="1" applyBorder="1" applyFont="1">
      <alignment horizontal="center" vertical="center"/>
    </xf>
    <xf borderId="4080" fillId="89" fontId="132" numFmtId="0" xfId="0" applyAlignment="1" applyBorder="1" applyFont="1">
      <alignment horizontal="center" vertical="center"/>
    </xf>
    <xf borderId="4081" fillId="89" fontId="132" numFmtId="0" xfId="0" applyAlignment="1" applyBorder="1" applyFont="1">
      <alignment horizontal="right" vertical="top"/>
    </xf>
    <xf borderId="4081" fillId="89" fontId="132" numFmtId="0" xfId="0" applyAlignment="1" applyBorder="1" applyFont="1">
      <alignment horizontal="left" vertical="top"/>
    </xf>
    <xf borderId="4082" fillId="89" fontId="132" numFmtId="0" xfId="0" applyAlignment="1" applyBorder="1" applyFont="1">
      <alignment horizontal="center" vertical="top"/>
    </xf>
    <xf borderId="766" fillId="89" fontId="132" numFmtId="0" xfId="0" applyAlignment="1" applyBorder="1" applyFont="1">
      <alignment horizontal="center" vertical="center"/>
    </xf>
    <xf borderId="788" fillId="89" fontId="171" numFmtId="0" xfId="0" applyAlignment="1" applyBorder="1" applyFont="1">
      <alignment horizontal="center" vertical="center"/>
    </xf>
    <xf borderId="782" fillId="89" fontId="132" numFmtId="0" xfId="0" applyAlignment="1" applyBorder="1" applyFont="1">
      <alignment horizontal="center" vertical="center"/>
    </xf>
    <xf borderId="783" fillId="89" fontId="132" numFmtId="0" xfId="0" applyAlignment="1" applyBorder="1" applyFont="1">
      <alignment horizontal="center" vertical="top"/>
    </xf>
    <xf borderId="784" fillId="89" fontId="132" numFmtId="0" xfId="0" applyAlignment="1" applyBorder="1" applyFont="1">
      <alignment horizontal="center" vertical="top"/>
    </xf>
    <xf borderId="785" fillId="89" fontId="132" numFmtId="0" xfId="0" applyAlignment="1" applyBorder="1" applyFont="1">
      <alignment horizontal="center" vertical="center"/>
    </xf>
    <xf borderId="777" fillId="89" fontId="132" numFmtId="0" xfId="0" applyAlignment="1" applyBorder="1" applyFont="1">
      <alignment horizontal="center" readingOrder="0" vertical="center"/>
    </xf>
    <xf borderId="777" fillId="89" fontId="132" numFmtId="0" xfId="0" applyAlignment="1" applyBorder="1" applyFont="1">
      <alignment horizontal="center" vertical="center"/>
    </xf>
    <xf borderId="789" fillId="89" fontId="132" numFmtId="0" xfId="0" applyAlignment="1" applyBorder="1" applyFont="1">
      <alignment horizontal="center" vertical="center"/>
    </xf>
    <xf borderId="791" fillId="89" fontId="132" numFmtId="0" xfId="0" applyAlignment="1" applyBorder="1" applyFont="1">
      <alignment horizontal="center" vertical="center"/>
    </xf>
    <xf borderId="4083" fillId="0" fontId="5" numFmtId="0" xfId="0" applyBorder="1" applyFont="1"/>
    <xf borderId="792" fillId="89" fontId="132" numFmtId="0" xfId="0" applyAlignment="1" applyBorder="1" applyFont="1">
      <alignment horizontal="center" vertical="center"/>
    </xf>
    <xf borderId="766" fillId="89" fontId="171" numFmtId="0" xfId="0" applyAlignment="1" applyBorder="1" applyFont="1">
      <alignment horizontal="center" vertical="center"/>
    </xf>
    <xf borderId="793" fillId="89" fontId="132" numFmtId="0" xfId="0" applyAlignment="1" applyBorder="1" applyFont="1">
      <alignment horizontal="center" vertical="center"/>
    </xf>
    <xf borderId="794" fillId="89" fontId="132" numFmtId="0" xfId="0" applyAlignment="1" applyBorder="1" applyFont="1">
      <alignment horizontal="center" vertical="center"/>
    </xf>
    <xf borderId="4084" fillId="0" fontId="5" numFmtId="0" xfId="0" applyBorder="1" applyFont="1"/>
    <xf borderId="4085" fillId="0" fontId="5" numFmtId="0" xfId="0" applyBorder="1" applyFont="1"/>
    <xf borderId="796" fillId="89" fontId="132" numFmtId="0" xfId="0" applyAlignment="1" applyBorder="1" applyFont="1">
      <alignment horizontal="center" vertical="center"/>
    </xf>
    <xf borderId="794" fillId="89" fontId="132" numFmtId="0" xfId="0" applyAlignment="1" applyBorder="1" applyFont="1">
      <alignment horizontal="center" readingOrder="0" vertical="center"/>
    </xf>
    <xf borderId="765" fillId="89" fontId="153" numFmtId="0" xfId="0" applyAlignment="1" applyBorder="1" applyFont="1">
      <alignment horizontal="center" vertical="center"/>
    </xf>
    <xf borderId="766" fillId="89" fontId="102" numFmtId="0" xfId="0" applyAlignment="1" applyBorder="1" applyFont="1">
      <alignment horizontal="right" vertical="center"/>
    </xf>
    <xf borderId="766" fillId="89" fontId="160" numFmtId="0" xfId="0" applyAlignment="1" applyBorder="1" applyFont="1">
      <alignment horizontal="center" vertical="center"/>
    </xf>
    <xf borderId="763" fillId="89" fontId="160" numFmtId="0" xfId="0" applyAlignment="1" applyBorder="1" applyFont="1">
      <alignment horizontal="center" vertical="top"/>
    </xf>
    <xf borderId="762" fillId="89" fontId="160" numFmtId="0" xfId="0" applyAlignment="1" applyBorder="1" applyFont="1">
      <alignment horizontal="center" vertical="top"/>
    </xf>
    <xf borderId="766" fillId="89" fontId="160" numFmtId="0" xfId="0" applyAlignment="1" applyBorder="1" applyFont="1">
      <alignment horizontal="center" vertical="top"/>
    </xf>
    <xf borderId="762" fillId="89" fontId="161" numFmtId="0" xfId="0" applyAlignment="1" applyBorder="1" applyFont="1">
      <alignment horizontal="center" vertical="center"/>
    </xf>
    <xf borderId="766" fillId="89" fontId="161" numFmtId="0" xfId="0" applyAlignment="1" applyBorder="1" applyFont="1">
      <alignment horizontal="center" vertical="center"/>
    </xf>
    <xf borderId="798" fillId="89" fontId="153" numFmtId="0" xfId="0" applyAlignment="1" applyBorder="1" applyFont="1">
      <alignment horizontal="center" vertical="center"/>
    </xf>
    <xf borderId="765" fillId="89" fontId="162" numFmtId="0" xfId="0" applyAlignment="1" applyBorder="1" applyFont="1">
      <alignment horizontal="center" vertical="center"/>
    </xf>
    <xf borderId="766" fillId="89" fontId="102" numFmtId="0" xfId="0" applyAlignment="1" applyBorder="1" applyFont="1">
      <alignment horizontal="right" readingOrder="0" vertical="center"/>
    </xf>
    <xf borderId="766" fillId="89" fontId="140" numFmtId="0" xfId="0" applyAlignment="1" applyBorder="1" applyFont="1">
      <alignment horizontal="center" vertical="center"/>
    </xf>
    <xf borderId="378" fillId="184" fontId="138" numFmtId="0" xfId="0" applyAlignment="1" applyBorder="1" applyFill="1" applyFont="1">
      <alignment horizontal="center" readingOrder="0" vertical="top"/>
    </xf>
    <xf borderId="767" fillId="89" fontId="140" numFmtId="0" xfId="0" applyAlignment="1" applyBorder="1" applyFont="1">
      <alignment horizontal="center" vertical="center"/>
    </xf>
    <xf borderId="767" fillId="89" fontId="162" numFmtId="0" xfId="0" applyAlignment="1" applyBorder="1" applyFont="1">
      <alignment horizontal="center" vertical="center"/>
    </xf>
    <xf borderId="766" fillId="89" fontId="162" numFmtId="0" xfId="0" applyAlignment="1" applyBorder="1" applyFont="1">
      <alignment horizontal="center" vertical="center"/>
    </xf>
    <xf borderId="798" fillId="89" fontId="162" numFmtId="0" xfId="0" applyAlignment="1" applyBorder="1" applyFont="1">
      <alignment horizontal="center" vertical="center"/>
    </xf>
    <xf borderId="4086" fillId="184" fontId="138" numFmtId="0" xfId="0" applyAlignment="1" applyBorder="1" applyFont="1">
      <alignment horizontal="center" readingOrder="0" vertical="center"/>
    </xf>
    <xf borderId="4087" fillId="184" fontId="138" numFmtId="0" xfId="0" applyAlignment="1" applyBorder="1" applyFont="1">
      <alignment horizontal="center" readingOrder="0" vertical="center"/>
    </xf>
    <xf borderId="4088" fillId="184" fontId="138" numFmtId="0" xfId="0" applyAlignment="1" applyBorder="1" applyFont="1">
      <alignment horizontal="left" readingOrder="0" vertical="center"/>
    </xf>
    <xf borderId="4089" fillId="0" fontId="5" numFmtId="0" xfId="0" applyBorder="1" applyFont="1"/>
    <xf borderId="4090" fillId="184" fontId="138" numFmtId="0" xfId="0" applyAlignment="1" applyBorder="1" applyFont="1">
      <alignment horizontal="center" readingOrder="0" vertical="center"/>
    </xf>
    <xf borderId="4091" fillId="184" fontId="138" numFmtId="0" xfId="0" applyAlignment="1" applyBorder="1" applyFont="1">
      <alignment horizontal="center" readingOrder="0" vertical="center"/>
    </xf>
    <xf borderId="4092" fillId="184" fontId="138" numFmtId="0" xfId="0" applyAlignment="1" applyBorder="1" applyFont="1">
      <alignment horizontal="left" readingOrder="0" vertical="center"/>
    </xf>
    <xf borderId="4093" fillId="0" fontId="5" numFmtId="0" xfId="0" applyBorder="1" applyFont="1"/>
    <xf borderId="4094" fillId="184" fontId="138" numFmtId="0" xfId="0" applyAlignment="1" applyBorder="1" applyFont="1">
      <alignment horizontal="center" readingOrder="0" vertical="center"/>
    </xf>
    <xf borderId="4095" fillId="184" fontId="138" numFmtId="0" xfId="0" applyAlignment="1" applyBorder="1" applyFont="1">
      <alignment horizontal="center" readingOrder="0" vertical="center"/>
    </xf>
    <xf borderId="395" fillId="184" fontId="138" numFmtId="0" xfId="0" applyAlignment="1" applyBorder="1" applyFont="1">
      <alignment horizontal="right" readingOrder="0" vertical="center"/>
    </xf>
    <xf borderId="398" fillId="184" fontId="138" numFmtId="0" xfId="0" applyAlignment="1" applyBorder="1" applyFont="1">
      <alignment horizontal="center" readingOrder="0" vertical="center"/>
    </xf>
    <xf borderId="400" fillId="184" fontId="138" numFmtId="0" xfId="0" applyAlignment="1" applyBorder="1" applyFont="1">
      <alignment horizontal="right" readingOrder="0" vertical="center"/>
    </xf>
    <xf borderId="3787" fillId="184" fontId="138" numFmtId="0" xfId="0" applyAlignment="1" applyBorder="1" applyFont="1">
      <alignment horizontal="center" readingOrder="0" vertical="center"/>
    </xf>
    <xf borderId="766" fillId="89" fontId="132" numFmtId="0" xfId="0" applyAlignment="1" applyBorder="1" applyFont="1">
      <alignment horizontal="center" readingOrder="0" vertical="center"/>
    </xf>
    <xf borderId="766" fillId="89" fontId="132" numFmtId="0" xfId="0" applyAlignment="1" applyBorder="1" applyFont="1">
      <alignment horizontal="center" vertical="center"/>
    </xf>
    <xf borderId="405" fillId="184" fontId="138" numFmtId="0" xfId="0" applyAlignment="1" applyBorder="1" applyFont="1">
      <alignment horizontal="right" readingOrder="0" vertical="center"/>
    </xf>
    <xf borderId="811" fillId="89" fontId="154" numFmtId="0" xfId="0" applyAlignment="1" applyBorder="1" applyFont="1">
      <alignment horizontal="center" vertical="center"/>
    </xf>
    <xf borderId="812" fillId="89" fontId="33" numFmtId="0" xfId="0" applyAlignment="1" applyBorder="1" applyFont="1">
      <alignment horizontal="center" readingOrder="0" vertical="center"/>
    </xf>
    <xf borderId="814" fillId="89" fontId="154" numFmtId="0" xfId="0" applyAlignment="1" applyBorder="1" applyFont="1">
      <alignment horizontal="center" vertical="center"/>
    </xf>
    <xf borderId="4096" fillId="185" fontId="154" numFmtId="0" xfId="0" applyAlignment="1" applyBorder="1" applyFill="1" applyFont="1">
      <alignment horizontal="center" vertical="center"/>
    </xf>
    <xf borderId="4097" fillId="185" fontId="33" numFmtId="0" xfId="0" applyAlignment="1" applyBorder="1" applyFont="1">
      <alignment horizontal="center" readingOrder="0" vertical="center"/>
    </xf>
    <xf borderId="4098" fillId="185" fontId="33" numFmtId="0" xfId="0" applyAlignment="1" applyBorder="1" applyFont="1">
      <alignment horizontal="center" readingOrder="0" vertical="center"/>
    </xf>
    <xf borderId="4099" fillId="185" fontId="154" numFmtId="0" xfId="0" applyAlignment="1" applyBorder="1" applyFont="1">
      <alignment horizontal="center" vertical="center"/>
    </xf>
    <xf borderId="4100" fillId="185" fontId="154" numFmtId="0" xfId="0" applyAlignment="1" applyBorder="1" applyFont="1">
      <alignment horizontal="center" vertical="center"/>
    </xf>
    <xf borderId="339" fillId="186" fontId="104" numFmtId="0" xfId="0" applyAlignment="1" applyBorder="1" applyFill="1" applyFont="1">
      <alignment horizontal="center" vertical="center"/>
    </xf>
    <xf borderId="4101" fillId="185" fontId="156" numFmtId="0" xfId="0" applyAlignment="1" applyBorder="1" applyFont="1">
      <alignment horizontal="center" vertical="center"/>
    </xf>
    <xf borderId="1066" fillId="186" fontId="131" numFmtId="0" xfId="0" applyAlignment="1" applyBorder="1" applyFont="1">
      <alignment horizontal="center" vertical="center"/>
    </xf>
    <xf borderId="4102" fillId="185" fontId="132" numFmtId="0" xfId="0" applyAlignment="1" applyBorder="1" applyFont="1">
      <alignment horizontal="center" vertical="center"/>
    </xf>
    <xf borderId="4103" fillId="185" fontId="154" numFmtId="0" xfId="0" applyAlignment="1" applyBorder="1" applyFont="1">
      <alignment horizontal="center" vertical="center"/>
    </xf>
    <xf borderId="4101" fillId="185" fontId="154" numFmtId="0" xfId="0" applyAlignment="1" applyBorder="1" applyFont="1">
      <alignment horizontal="center" vertical="center"/>
    </xf>
    <xf borderId="4102" fillId="0" fontId="5" numFmtId="0" xfId="0" applyBorder="1" applyFont="1"/>
    <xf borderId="4103" fillId="0" fontId="5" numFmtId="0" xfId="0" applyBorder="1" applyFont="1"/>
    <xf borderId="4104" fillId="185" fontId="154" numFmtId="0" xfId="0" applyAlignment="1" applyBorder="1" applyFont="1">
      <alignment horizontal="center" vertical="center"/>
    </xf>
    <xf borderId="4100" fillId="185" fontId="132" numFmtId="0" xfId="0" applyAlignment="1" applyBorder="1" applyFont="1">
      <alignment horizontal="center" vertical="center"/>
    </xf>
    <xf borderId="885" fillId="185" fontId="104" numFmtId="0" xfId="0" applyAlignment="1" applyBorder="1" applyFont="1">
      <alignment horizontal="right" readingOrder="0" vertical="center"/>
    </xf>
    <xf borderId="4101" fillId="185" fontId="132" numFmtId="0" xfId="0" applyAlignment="1" applyBorder="1" applyFont="1">
      <alignment horizontal="center" readingOrder="0" vertical="center"/>
    </xf>
    <xf borderId="4105" fillId="185" fontId="130" numFmtId="0" xfId="0" applyAlignment="1" applyBorder="1" applyFont="1">
      <alignment horizontal="center" vertical="center"/>
    </xf>
    <xf borderId="4106" fillId="0" fontId="5" numFmtId="0" xfId="0" applyBorder="1" applyFont="1"/>
    <xf borderId="4107" fillId="0" fontId="5" numFmtId="0" xfId="0" applyBorder="1" applyFont="1"/>
    <xf borderId="4103" fillId="185" fontId="132" numFmtId="0" xfId="0" applyAlignment="1" applyBorder="1" applyFont="1">
      <alignment horizontal="center" vertical="center"/>
    </xf>
    <xf borderId="4101" fillId="185" fontId="132" numFmtId="0" xfId="0" applyAlignment="1" applyBorder="1" applyFont="1">
      <alignment horizontal="center" vertical="center"/>
    </xf>
    <xf borderId="4104" fillId="185" fontId="132" numFmtId="0" xfId="0" applyAlignment="1" applyBorder="1" applyFont="1">
      <alignment horizontal="center" vertical="center"/>
    </xf>
    <xf borderId="4101" fillId="185" fontId="154" numFmtId="0" xfId="0" applyAlignment="1" applyBorder="1" applyFont="1">
      <alignment horizontal="center" readingOrder="0" vertical="center"/>
    </xf>
    <xf borderId="4108" fillId="185" fontId="146" numFmtId="0" xfId="0" applyAlignment="1" applyBorder="1" applyFont="1">
      <alignment horizontal="center" readingOrder="0" vertical="top"/>
    </xf>
    <xf borderId="4109" fillId="0" fontId="5" numFmtId="0" xfId="0" applyBorder="1" applyFont="1"/>
    <xf borderId="4110" fillId="0" fontId="5" numFmtId="0" xfId="0" applyBorder="1" applyFont="1"/>
    <xf borderId="4111" fillId="185" fontId="154" numFmtId="0" xfId="0" applyAlignment="1" applyBorder="1" applyFont="1">
      <alignment horizontal="center" vertical="center"/>
    </xf>
    <xf borderId="4112" fillId="185" fontId="132" numFmtId="0" xfId="0" applyAlignment="1" applyBorder="1" applyFont="1">
      <alignment horizontal="center" vertical="center"/>
    </xf>
    <xf borderId="4113" fillId="185" fontId="132" numFmtId="0" xfId="0" applyAlignment="1" applyBorder="1" applyFont="1">
      <alignment horizontal="right" vertical="top"/>
    </xf>
    <xf borderId="4113" fillId="185" fontId="132" numFmtId="0" xfId="0" applyAlignment="1" applyBorder="1" applyFont="1">
      <alignment horizontal="left" vertical="top"/>
    </xf>
    <xf borderId="4114" fillId="185" fontId="132" numFmtId="0" xfId="0" applyAlignment="1" applyBorder="1" applyFont="1">
      <alignment horizontal="center" vertical="top"/>
    </xf>
    <xf borderId="4111" fillId="185" fontId="132" numFmtId="0" xfId="0" applyAlignment="1" applyBorder="1" applyFont="1">
      <alignment horizontal="center" vertical="center"/>
    </xf>
    <xf borderId="4115" fillId="185" fontId="132" numFmtId="0" xfId="0" applyAlignment="1" applyBorder="1" applyFont="1">
      <alignment horizontal="center" vertical="top"/>
    </xf>
    <xf borderId="4116" fillId="0" fontId="5" numFmtId="0" xfId="0" applyBorder="1" applyFont="1"/>
    <xf borderId="4117" fillId="185" fontId="171" numFmtId="0" xfId="0" applyAlignment="1" applyBorder="1" applyFont="1">
      <alignment horizontal="center" vertical="center"/>
    </xf>
    <xf borderId="4118" fillId="185" fontId="132" numFmtId="0" xfId="0" applyAlignment="1" applyBorder="1" applyFont="1">
      <alignment horizontal="center" vertical="center"/>
    </xf>
    <xf borderId="4119" fillId="185" fontId="132" numFmtId="0" xfId="0" applyAlignment="1" applyBorder="1" applyFont="1">
      <alignment horizontal="center" vertical="top"/>
    </xf>
    <xf borderId="4120" fillId="185" fontId="132" numFmtId="0" xfId="0" applyAlignment="1" applyBorder="1" applyFont="1">
      <alignment horizontal="center" vertical="top"/>
    </xf>
    <xf borderId="4097" fillId="0" fontId="5" numFmtId="0" xfId="0" applyBorder="1" applyFont="1"/>
    <xf borderId="4121" fillId="185" fontId="132" numFmtId="0" xfId="0" applyAlignment="1" applyBorder="1" applyFont="1">
      <alignment horizontal="center" readingOrder="0" vertical="center"/>
    </xf>
    <xf borderId="4122" fillId="0" fontId="5" numFmtId="0" xfId="0" applyBorder="1" applyFont="1"/>
    <xf borderId="4123" fillId="0" fontId="5" numFmtId="0" xfId="0" applyBorder="1" applyFont="1"/>
    <xf borderId="4111" fillId="185" fontId="171" numFmtId="0" xfId="0" applyAlignment="1" applyBorder="1" applyFont="1">
      <alignment horizontal="center" vertical="center"/>
    </xf>
    <xf borderId="4124" fillId="185" fontId="132" numFmtId="0" xfId="0" applyAlignment="1" applyBorder="1" applyFont="1">
      <alignment horizontal="center" vertical="center"/>
    </xf>
    <xf borderId="4125" fillId="0" fontId="5" numFmtId="0" xfId="0" applyBorder="1" applyFont="1"/>
    <xf borderId="4124" fillId="185" fontId="132" numFmtId="0" xfId="0" applyAlignment="1" applyBorder="1" applyFont="1">
      <alignment horizontal="center" readingOrder="0" vertical="center"/>
    </xf>
    <xf borderId="4126" fillId="185" fontId="132" numFmtId="0" xfId="0" applyAlignment="1" applyBorder="1" applyFont="1">
      <alignment horizontal="center" vertical="center"/>
    </xf>
    <xf borderId="4127" fillId="0" fontId="5" numFmtId="0" xfId="0" applyBorder="1" applyFont="1"/>
    <xf borderId="4128" fillId="0" fontId="5" numFmtId="0" xfId="0" applyBorder="1" applyFont="1"/>
    <xf borderId="4129" fillId="185" fontId="132" numFmtId="0" xfId="0" applyAlignment="1" applyBorder="1" applyFont="1">
      <alignment horizontal="center" vertical="center"/>
    </xf>
    <xf borderId="4121" fillId="185" fontId="132" numFmtId="0" xfId="0" applyAlignment="1" applyBorder="1" applyFont="1">
      <alignment horizontal="center" vertical="center"/>
    </xf>
    <xf borderId="4130" fillId="0" fontId="5" numFmtId="0" xfId="0" applyBorder="1" applyFont="1"/>
    <xf borderId="4131" fillId="185" fontId="132" numFmtId="0" xfId="0" applyAlignment="1" applyBorder="1" applyFont="1">
      <alignment horizontal="center" vertical="center"/>
    </xf>
    <xf borderId="4111" fillId="185" fontId="102" numFmtId="0" xfId="0" applyAlignment="1" applyBorder="1" applyFont="1">
      <alignment horizontal="right" vertical="center"/>
    </xf>
    <xf borderId="4132" fillId="185" fontId="132" numFmtId="0" xfId="0" applyAlignment="1" applyBorder="1" applyFont="1">
      <alignment horizontal="center" vertical="center"/>
    </xf>
    <xf borderId="4111" fillId="185" fontId="102" numFmtId="0" xfId="0" applyAlignment="1" applyBorder="1" applyFont="1">
      <alignment horizontal="right" readingOrder="0" vertical="center"/>
    </xf>
    <xf borderId="4133" fillId="185" fontId="132" numFmtId="0" xfId="0" applyAlignment="1" applyBorder="1" applyFont="1">
      <alignment horizontal="center" vertical="center"/>
    </xf>
    <xf borderId="4134" fillId="0" fontId="5" numFmtId="0" xfId="0" applyBorder="1" applyFont="1"/>
    <xf borderId="4135" fillId="0" fontId="5" numFmtId="0" xfId="0" applyBorder="1" applyFont="1"/>
    <xf borderId="4136" fillId="185" fontId="132" numFmtId="0" xfId="0" applyAlignment="1" applyBorder="1" applyFont="1">
      <alignment horizontal="center" vertical="center"/>
    </xf>
    <xf borderId="4100" fillId="185" fontId="153" numFmtId="0" xfId="0" applyAlignment="1" applyBorder="1" applyFont="1">
      <alignment horizontal="center" vertical="center"/>
    </xf>
    <xf borderId="4111" fillId="185" fontId="160" numFmtId="0" xfId="0" applyAlignment="1" applyBorder="1" applyFont="1">
      <alignment horizontal="center" vertical="center"/>
    </xf>
    <xf borderId="4097" fillId="185" fontId="160" numFmtId="0" xfId="0" applyAlignment="1" applyBorder="1" applyFont="1">
      <alignment horizontal="center" vertical="top"/>
    </xf>
    <xf borderId="4111" fillId="185" fontId="160" numFmtId="0" xfId="0" applyAlignment="1" applyBorder="1" applyFont="1">
      <alignment horizontal="center" vertical="top"/>
    </xf>
    <xf borderId="4098" fillId="185" fontId="160" numFmtId="0" xfId="0" applyAlignment="1" applyBorder="1" applyFont="1">
      <alignment horizontal="center" vertical="top"/>
    </xf>
    <xf borderId="4098" fillId="185" fontId="161" numFmtId="0" xfId="0" applyAlignment="1" applyBorder="1" applyFont="1">
      <alignment horizontal="center" vertical="center"/>
    </xf>
    <xf borderId="4111" fillId="185" fontId="161" numFmtId="0" xfId="0" applyAlignment="1" applyBorder="1" applyFont="1">
      <alignment horizontal="center" vertical="center"/>
    </xf>
    <xf borderId="4104" fillId="185" fontId="153" numFmtId="0" xfId="0" applyAlignment="1" applyBorder="1" applyFont="1">
      <alignment horizontal="center" vertical="center"/>
    </xf>
    <xf borderId="4100" fillId="185" fontId="162" numFmtId="0" xfId="0" applyAlignment="1" applyBorder="1" applyFont="1">
      <alignment horizontal="center" vertical="center"/>
    </xf>
    <xf borderId="4111" fillId="185" fontId="140" numFmtId="0" xfId="0" applyAlignment="1" applyBorder="1" applyFont="1">
      <alignment horizontal="center" vertical="center"/>
    </xf>
    <xf borderId="378" fillId="186" fontId="138" numFmtId="0" xfId="0" applyAlignment="1" applyBorder="1" applyFont="1">
      <alignment horizontal="center" readingOrder="0" vertical="top"/>
    </xf>
    <xf borderId="4101" fillId="185" fontId="140" numFmtId="0" xfId="0" applyAlignment="1" applyBorder="1" applyFont="1">
      <alignment horizontal="center" vertical="center"/>
    </xf>
    <xf borderId="4101" fillId="185" fontId="162" numFmtId="0" xfId="0" applyAlignment="1" applyBorder="1" applyFont="1">
      <alignment horizontal="center" vertical="center"/>
    </xf>
    <xf borderId="4111" fillId="185" fontId="162" numFmtId="0" xfId="0" applyAlignment="1" applyBorder="1" applyFont="1">
      <alignment horizontal="center" vertical="center"/>
    </xf>
    <xf borderId="4104" fillId="185" fontId="162" numFmtId="0" xfId="0" applyAlignment="1" applyBorder="1" applyFont="1">
      <alignment horizontal="center" vertical="center"/>
    </xf>
    <xf borderId="4137" fillId="186" fontId="138" numFmtId="0" xfId="0" applyAlignment="1" applyBorder="1" applyFont="1">
      <alignment horizontal="center" readingOrder="0" vertical="center"/>
    </xf>
    <xf borderId="4138" fillId="186" fontId="138" numFmtId="0" xfId="0" applyAlignment="1" applyBorder="1" applyFont="1">
      <alignment horizontal="center" readingOrder="0" vertical="center"/>
    </xf>
    <xf borderId="4139" fillId="186" fontId="138" numFmtId="0" xfId="0" applyAlignment="1" applyBorder="1" applyFont="1">
      <alignment horizontal="left" readingOrder="0" vertical="center"/>
    </xf>
    <xf borderId="4140" fillId="0" fontId="5" numFmtId="0" xfId="0" applyBorder="1" applyFont="1"/>
    <xf borderId="4141" fillId="186" fontId="138" numFmtId="0" xfId="0" applyAlignment="1" applyBorder="1" applyFont="1">
      <alignment horizontal="center" readingOrder="0" vertical="center"/>
    </xf>
    <xf borderId="4142" fillId="186" fontId="138" numFmtId="0" xfId="0" applyAlignment="1" applyBorder="1" applyFont="1">
      <alignment horizontal="center" readingOrder="0" vertical="center"/>
    </xf>
    <xf borderId="4143" fillId="186" fontId="138" numFmtId="0" xfId="0" applyAlignment="1" applyBorder="1" applyFont="1">
      <alignment horizontal="left" readingOrder="0" vertical="center"/>
    </xf>
    <xf borderId="4144" fillId="0" fontId="5" numFmtId="0" xfId="0" applyBorder="1" applyFont="1"/>
    <xf borderId="4145" fillId="186" fontId="138" numFmtId="0" xfId="0" applyAlignment="1" applyBorder="1" applyFont="1">
      <alignment horizontal="center" readingOrder="0" vertical="center"/>
    </xf>
    <xf borderId="4146" fillId="186" fontId="138" numFmtId="0" xfId="0" applyAlignment="1" applyBorder="1" applyFont="1">
      <alignment horizontal="center" readingOrder="0" vertical="center"/>
    </xf>
    <xf borderId="4147" fillId="186" fontId="138" numFmtId="0" xfId="0" applyAlignment="1" applyBorder="1" applyFont="1">
      <alignment horizontal="left" readingOrder="0" vertical="center"/>
    </xf>
    <xf borderId="4148" fillId="0" fontId="5" numFmtId="0" xfId="0" applyBorder="1" applyFont="1"/>
    <xf borderId="400" fillId="186" fontId="138" numFmtId="0" xfId="0" applyAlignment="1" applyBorder="1" applyFont="1">
      <alignment horizontal="right" readingOrder="0" vertical="center"/>
    </xf>
    <xf borderId="3787" fillId="186" fontId="138" numFmtId="0" xfId="0" applyAlignment="1" applyBorder="1" applyFont="1">
      <alignment horizontal="center" readingOrder="0" vertical="center"/>
    </xf>
    <xf borderId="395" fillId="186" fontId="138" numFmtId="0" xfId="0" applyAlignment="1" applyBorder="1" applyFont="1">
      <alignment horizontal="right" readingOrder="0" vertical="center"/>
    </xf>
    <xf borderId="398" fillId="186" fontId="138" numFmtId="0" xfId="0" applyAlignment="1" applyBorder="1" applyFont="1">
      <alignment horizontal="center" readingOrder="0" vertical="center"/>
    </xf>
    <xf borderId="4149" fillId="185" fontId="162" numFmtId="0" xfId="0" applyAlignment="1" applyBorder="1" applyFont="1">
      <alignment horizontal="center" vertical="center"/>
    </xf>
    <xf borderId="4117" fillId="185" fontId="102" numFmtId="0" xfId="0" applyAlignment="1" applyBorder="1" applyFont="1">
      <alignment horizontal="right" vertical="center"/>
    </xf>
    <xf borderId="4117" fillId="185" fontId="140" numFmtId="0" xfId="0" applyAlignment="1" applyBorder="1" applyFont="1">
      <alignment horizontal="center" vertical="center"/>
    </xf>
    <xf borderId="405" fillId="186" fontId="138" numFmtId="0" xfId="0" applyAlignment="1" applyBorder="1" applyFont="1">
      <alignment horizontal="right" readingOrder="0" vertical="center"/>
    </xf>
    <xf borderId="4150" fillId="185" fontId="140" numFmtId="0" xfId="0" applyAlignment="1" applyBorder="1" applyFont="1">
      <alignment horizontal="center" vertical="center"/>
    </xf>
    <xf borderId="4150" fillId="185" fontId="162" numFmtId="0" xfId="0" applyAlignment="1" applyBorder="1" applyFont="1">
      <alignment horizontal="center" vertical="center"/>
    </xf>
    <xf borderId="4117" fillId="185" fontId="162" numFmtId="0" xfId="0" applyAlignment="1" applyBorder="1" applyFont="1">
      <alignment horizontal="center" vertical="center"/>
    </xf>
    <xf borderId="4151" fillId="185" fontId="162" numFmtId="0" xfId="0" applyAlignment="1" applyBorder="1" applyFont="1">
      <alignment horizontal="center" vertical="center"/>
    </xf>
    <xf borderId="4152" fillId="185" fontId="154" numFmtId="0" xfId="0" applyAlignment="1" applyBorder="1" applyFont="1">
      <alignment horizontal="center" vertical="center"/>
    </xf>
    <xf borderId="4153" fillId="185" fontId="171" numFmtId="0" xfId="0" applyAlignment="1" applyBorder="1" applyFont="1">
      <alignment horizontal="center" vertical="center"/>
    </xf>
    <xf borderId="4153" fillId="185" fontId="154" numFmtId="0" xfId="0" applyAlignment="1" applyBorder="1" applyFont="1">
      <alignment horizontal="center" vertical="center"/>
    </xf>
    <xf borderId="4153" fillId="185" fontId="132" numFmtId="0" xfId="0" applyAlignment="1" applyBorder="1" applyFont="1">
      <alignment horizontal="center" vertical="center"/>
    </xf>
    <xf borderId="4153" fillId="185" fontId="132" numFmtId="0" xfId="0" applyAlignment="1" applyBorder="1" applyFont="1">
      <alignment horizontal="center" vertical="center"/>
    </xf>
    <xf borderId="4154" fillId="185" fontId="132" numFmtId="0" xfId="0" applyAlignment="1" applyBorder="1" applyFont="1">
      <alignment horizontal="center" vertical="center"/>
    </xf>
    <xf borderId="4155" fillId="185" fontId="154" numFmtId="0" xfId="0" applyAlignment="1" applyBorder="1" applyFont="1">
      <alignment horizontal="center" vertical="center"/>
    </xf>
    <xf borderId="3794" fillId="172" fontId="160" numFmtId="0" xfId="0" applyAlignment="1" applyBorder="1" applyFont="1">
      <alignment horizontal="center" vertical="center"/>
    </xf>
    <xf borderId="3795" fillId="172" fontId="162" numFmtId="0" xfId="0" applyAlignment="1" applyBorder="1" applyFont="1">
      <alignment horizontal="center" vertical="center"/>
    </xf>
    <xf borderId="3794" fillId="172" fontId="162" numFmtId="0" xfId="0" applyAlignment="1" applyBorder="1" applyFont="1">
      <alignment horizontal="center" vertical="center"/>
    </xf>
    <xf borderId="3790" fillId="172" fontId="102" numFmtId="0" xfId="0" applyAlignment="1" applyBorder="1" applyFont="1">
      <alignment horizontal="right" vertical="center"/>
    </xf>
    <xf borderId="3819" fillId="172" fontId="162" numFmtId="0" xfId="0" applyAlignment="1" applyBorder="1" applyFont="1">
      <alignment horizontal="center" vertical="center"/>
    </xf>
    <xf borderId="3820" fillId="172" fontId="154" numFmtId="0" xfId="0" applyAlignment="1" applyBorder="1" applyFont="1">
      <alignment horizontal="center" vertical="center"/>
    </xf>
    <xf borderId="4105" fillId="185" fontId="130" numFmtId="0" xfId="0" applyAlignment="1" applyBorder="1" applyFont="1">
      <alignment horizontal="center" readingOrder="0" vertical="center"/>
    </xf>
    <xf borderId="768" fillId="89" fontId="154" numFmtId="0" xfId="0" applyAlignment="1" applyBorder="1" applyFont="1">
      <alignment horizontal="center" vertical="center"/>
    </xf>
    <xf borderId="773" fillId="89" fontId="154" numFmtId="0" xfId="0" applyAlignment="1" applyBorder="1" applyFont="1">
      <alignment horizontal="center" vertical="center"/>
    </xf>
    <xf borderId="773" fillId="89" fontId="132" numFmtId="0" xfId="0" applyAlignment="1" applyBorder="1" applyFont="1">
      <alignment horizontal="center" vertical="center"/>
    </xf>
    <xf borderId="4156" fillId="89" fontId="132" numFmtId="0" xfId="0" applyAlignment="1" applyBorder="1" applyFont="1">
      <alignment horizontal="center" vertical="top"/>
    </xf>
    <xf borderId="4157" fillId="0" fontId="5" numFmtId="0" xfId="0" applyBorder="1" applyFont="1"/>
    <xf borderId="813" fillId="89" fontId="33" numFmtId="0" xfId="0" applyAlignment="1" applyBorder="1" applyFont="1">
      <alignment horizontal="center" readingOrder="0" vertical="center"/>
    </xf>
    <xf borderId="1964" fillId="122" fontId="131" numFmtId="0" xfId="0" applyAlignment="1" applyBorder="1" applyFont="1">
      <alignment horizontal="center" readingOrder="0" vertical="center"/>
    </xf>
    <xf borderId="408" fillId="17" fontId="138" numFmtId="0" xfId="0" applyAlignment="1" applyBorder="1" applyFont="1">
      <alignment horizontal="center" readingOrder="0" vertical="center"/>
    </xf>
    <xf borderId="2545" fillId="136" fontId="132" numFmtId="0" xfId="0" applyAlignment="1" applyBorder="1" applyFont="1">
      <alignment horizontal="center" vertical="top"/>
    </xf>
    <xf borderId="2554" fillId="136" fontId="132" numFmtId="0" xfId="0" applyAlignment="1" applyBorder="1" applyFont="1">
      <alignment horizontal="center" vertical="center"/>
    </xf>
    <xf borderId="2569" fillId="136" fontId="132" numFmtId="0" xfId="0" applyAlignment="1" applyBorder="1" applyFont="1">
      <alignment horizontal="center" vertical="center"/>
    </xf>
    <xf borderId="4158" fillId="42" fontId="138" numFmtId="0" xfId="0" applyAlignment="1" applyBorder="1" applyFont="1">
      <alignment horizontal="left" readingOrder="0" vertical="center"/>
    </xf>
    <xf borderId="4159" fillId="0" fontId="5" numFmtId="0" xfId="0" applyBorder="1" applyFont="1"/>
    <xf borderId="2586" fillId="136" fontId="140" numFmtId="0" xfId="0" applyAlignment="1" applyBorder="1" applyFont="1">
      <alignment horizontal="center" vertical="center"/>
    </xf>
    <xf borderId="2586" fillId="136" fontId="162" numFmtId="0" xfId="0" applyAlignment="1" applyBorder="1" applyFont="1">
      <alignment horizontal="center" vertical="center"/>
    </xf>
    <xf borderId="4160" fillId="168" fontId="138" numFmtId="0" xfId="0" applyAlignment="1" applyBorder="1" applyFont="1">
      <alignment horizontal="left" readingOrder="0" vertical="center"/>
    </xf>
    <xf borderId="2566" fillId="136" fontId="140" numFmtId="0" xfId="0" applyAlignment="1" applyBorder="1" applyFont="1">
      <alignment horizontal="center" vertical="center"/>
    </xf>
    <xf borderId="2587" fillId="136" fontId="154" numFmtId="0" xfId="0" applyAlignment="1" applyBorder="1" applyFont="1">
      <alignment horizontal="center" vertical="center"/>
    </xf>
    <xf borderId="4161" fillId="0" fontId="154" numFmtId="0" xfId="0" applyAlignment="1" applyBorder="1" applyFont="1">
      <alignment horizontal="center" vertical="center"/>
    </xf>
    <xf borderId="741" fillId="0" fontId="171" numFmtId="0" xfId="0" applyAlignment="1" applyBorder="1" applyFont="1">
      <alignment horizontal="center" vertical="center"/>
    </xf>
    <xf borderId="741" fillId="0" fontId="154" numFmtId="0" xfId="0" applyAlignment="1" applyBorder="1" applyFont="1">
      <alignment horizontal="center" vertical="center"/>
    </xf>
    <xf borderId="741" fillId="0" fontId="183" numFmtId="0" xfId="0" applyAlignment="1" applyBorder="1" applyFont="1">
      <alignment horizontal="center" readingOrder="0" vertical="center"/>
    </xf>
    <xf borderId="4162" fillId="0" fontId="154" numFmtId="0" xfId="0" applyAlignment="1" applyBorder="1" applyFont="1">
      <alignment horizontal="center" vertical="center"/>
    </xf>
    <xf borderId="658" fillId="0" fontId="154" numFmtId="0" xfId="0" applyAlignment="1" applyBorder="1" applyFont="1">
      <alignment horizontal="center" vertical="center"/>
    </xf>
    <xf borderId="339" fillId="187" fontId="104" numFmtId="0" xfId="0" applyAlignment="1" applyBorder="1" applyFill="1" applyFont="1">
      <alignment horizontal="center" vertical="center"/>
    </xf>
    <xf borderId="592" fillId="0" fontId="156" numFmtId="0" xfId="0" applyAlignment="1" applyBorder="1" applyFont="1">
      <alignment horizontal="center" vertical="center"/>
    </xf>
    <xf borderId="1066" fillId="187" fontId="131" numFmtId="0" xfId="0" applyAlignment="1" applyBorder="1" applyFont="1">
      <alignment horizontal="center" vertical="center"/>
    </xf>
    <xf borderId="592" fillId="0" fontId="132" numFmtId="0" xfId="0" applyAlignment="1" applyBorder="1" applyFont="1">
      <alignment horizontal="center" vertical="center"/>
    </xf>
    <xf borderId="4163" fillId="0" fontId="154" numFmtId="0" xfId="0" applyAlignment="1" applyBorder="1" applyFont="1">
      <alignment horizontal="center" vertical="center"/>
    </xf>
    <xf borderId="658" fillId="0" fontId="132" numFmtId="0" xfId="0" applyAlignment="1" applyBorder="1" applyFont="1">
      <alignment horizontal="center" vertical="center"/>
    </xf>
    <xf borderId="3776" fillId="134" fontId="104" numFmtId="0" xfId="0" applyAlignment="1" applyBorder="1" applyFont="1">
      <alignment horizontal="right" readingOrder="0" vertical="center"/>
    </xf>
    <xf borderId="592" fillId="0" fontId="132" numFmtId="0" xfId="0" applyAlignment="1" applyBorder="1" applyFont="1">
      <alignment horizontal="center" readingOrder="0" vertical="center"/>
    </xf>
    <xf borderId="2425" fillId="134" fontId="131" numFmtId="0" xfId="0" applyAlignment="1" applyBorder="1" applyFont="1">
      <alignment horizontal="center" vertical="center"/>
    </xf>
    <xf borderId="2425" fillId="134" fontId="131" numFmtId="0" xfId="0" applyAlignment="1" applyBorder="1" applyFont="1">
      <alignment horizontal="center" readingOrder="0" vertical="center"/>
    </xf>
    <xf borderId="4163" fillId="0" fontId="132" numFmtId="0" xfId="0" applyAlignment="1" applyBorder="1" applyFont="1">
      <alignment horizontal="center" vertical="center"/>
    </xf>
    <xf borderId="592" fillId="0" fontId="154" numFmtId="0" xfId="0" applyAlignment="1" applyBorder="1" applyFont="1">
      <alignment horizontal="center" readingOrder="0" vertical="center"/>
    </xf>
    <xf borderId="592" fillId="0" fontId="154" numFmtId="0" xfId="0" applyAlignment="1" applyBorder="1" applyFont="1">
      <alignment horizontal="center" vertical="center"/>
    </xf>
    <xf borderId="2442" fillId="134" fontId="132" numFmtId="0" xfId="0" applyAlignment="1" applyBorder="1" applyFont="1">
      <alignment horizontal="center" vertical="center"/>
    </xf>
    <xf borderId="2419" fillId="0" fontId="183" numFmtId="0" xfId="0" applyAlignment="1" applyBorder="1" applyFont="1">
      <alignment horizontal="center" readingOrder="0" vertical="center"/>
    </xf>
    <xf borderId="2445" fillId="134" fontId="132" numFmtId="0" xfId="0" applyAlignment="1" applyBorder="1" applyFont="1">
      <alignment horizontal="center" vertical="center"/>
    </xf>
    <xf borderId="2447" fillId="134" fontId="132" numFmtId="0" xfId="0" applyAlignment="1" applyBorder="1" applyFont="1">
      <alignment horizontal="center" vertical="center"/>
    </xf>
    <xf borderId="2449" fillId="134" fontId="132" numFmtId="0" xfId="0" applyAlignment="1" applyBorder="1" applyFont="1">
      <alignment horizontal="center" vertical="center"/>
    </xf>
    <xf borderId="2451" fillId="134" fontId="132" numFmtId="0" xfId="0" applyAlignment="1" applyBorder="1" applyFont="1">
      <alignment horizontal="center" vertical="center"/>
    </xf>
    <xf borderId="741" fillId="0" fontId="171" numFmtId="0" xfId="0" applyAlignment="1" applyBorder="1" applyFont="1">
      <alignment horizontal="center" readingOrder="0" vertical="center"/>
    </xf>
    <xf borderId="2452" fillId="134" fontId="132" numFmtId="0" xfId="0" applyAlignment="1" applyBorder="1" applyFont="1">
      <alignment horizontal="center" vertical="center"/>
    </xf>
    <xf borderId="744" fillId="0" fontId="171" numFmtId="0" xfId="0" applyAlignment="1" applyBorder="1" applyFont="1">
      <alignment horizontal="center" vertical="center"/>
    </xf>
    <xf borderId="2419" fillId="134" fontId="171" numFmtId="0" xfId="0" applyAlignment="1" applyBorder="1" applyFont="1">
      <alignment horizontal="center" readingOrder="0" vertical="center"/>
    </xf>
    <xf borderId="2453" fillId="134" fontId="132" numFmtId="0" xfId="0" applyAlignment="1" applyBorder="1" applyFont="1">
      <alignment horizontal="center" vertical="center"/>
    </xf>
    <xf borderId="2456" fillId="134" fontId="132" numFmtId="0" xfId="0" applyAlignment="1" applyBorder="1" applyFont="1">
      <alignment horizontal="center" vertical="center"/>
    </xf>
    <xf borderId="4164" fillId="134" fontId="160" numFmtId="0" xfId="0" applyAlignment="1" applyBorder="1" applyFont="1">
      <alignment horizontal="center" vertical="top"/>
    </xf>
    <xf borderId="4165" fillId="134" fontId="160" numFmtId="0" xfId="0" applyAlignment="1" applyBorder="1" applyFont="1">
      <alignment horizontal="center" vertical="top"/>
    </xf>
    <xf borderId="4166" fillId="134" fontId="160" numFmtId="0" xfId="0" applyAlignment="1" applyBorder="1" applyFont="1">
      <alignment horizontal="center" vertical="center"/>
    </xf>
    <xf borderId="4166" fillId="134" fontId="160" numFmtId="0" xfId="0" applyAlignment="1" applyBorder="1" applyFont="1">
      <alignment horizontal="center" vertical="top"/>
    </xf>
    <xf borderId="741" fillId="134" fontId="160" numFmtId="0" xfId="0" applyAlignment="1" applyBorder="1" applyFont="1">
      <alignment horizontal="center" vertical="center"/>
    </xf>
    <xf borderId="741" fillId="134" fontId="143" numFmtId="0" xfId="0" applyAlignment="1" applyBorder="1" applyFont="1">
      <alignment horizontal="center" vertical="center"/>
    </xf>
    <xf borderId="4166" fillId="134" fontId="161" numFmtId="0" xfId="0" applyAlignment="1" applyBorder="1" applyFont="1">
      <alignment horizontal="center" vertical="center"/>
    </xf>
    <xf borderId="741" fillId="134" fontId="161" numFmtId="0" xfId="0" applyAlignment="1" applyBorder="1" applyFont="1">
      <alignment horizontal="center" vertical="center"/>
    </xf>
    <xf borderId="4167" fillId="134" fontId="153" numFmtId="0" xfId="0" applyAlignment="1" applyBorder="1" applyFont="1">
      <alignment horizontal="center" vertical="center"/>
    </xf>
    <xf borderId="4168" fillId="134" fontId="140" numFmtId="0" xfId="0" applyAlignment="1" applyBorder="1" applyFont="1">
      <alignment horizontal="center" vertical="center"/>
    </xf>
    <xf borderId="378" fillId="188" fontId="138" numFmtId="0" xfId="0" applyAlignment="1" applyBorder="1" applyFill="1" applyFont="1">
      <alignment horizontal="center" readingOrder="0" vertical="top"/>
    </xf>
    <xf borderId="4169" fillId="134" fontId="140" numFmtId="0" xfId="0" applyAlignment="1" applyBorder="1" applyFont="1">
      <alignment horizontal="center" vertical="center"/>
    </xf>
    <xf borderId="2420" fillId="134" fontId="162" numFmtId="0" xfId="0" applyAlignment="1" applyBorder="1" applyFont="1">
      <alignment horizontal="center" vertical="center"/>
    </xf>
    <xf borderId="4170" fillId="188" fontId="138" numFmtId="0" xfId="0" applyAlignment="1" applyBorder="1" applyFont="1">
      <alignment horizontal="center" readingOrder="0" vertical="center"/>
    </xf>
    <xf borderId="4171" fillId="188" fontId="138" numFmtId="0" xfId="0" applyAlignment="1" applyBorder="1" applyFont="1">
      <alignment horizontal="center" readingOrder="0" vertical="center"/>
    </xf>
    <xf borderId="4172" fillId="188" fontId="138" numFmtId="0" xfId="0" applyAlignment="1" applyBorder="1" applyFont="1">
      <alignment horizontal="left" readingOrder="0" vertical="center"/>
    </xf>
    <xf borderId="4173" fillId="0" fontId="5" numFmtId="0" xfId="0" applyBorder="1" applyFont="1"/>
    <xf borderId="4174" fillId="134" fontId="140" numFmtId="0" xfId="0" applyAlignment="1" applyBorder="1" applyFont="1">
      <alignment horizontal="center" vertical="center"/>
    </xf>
    <xf borderId="4175" fillId="188" fontId="138" numFmtId="0" xfId="0" applyAlignment="1" applyBorder="1" applyFont="1">
      <alignment horizontal="center" readingOrder="0" vertical="center"/>
    </xf>
    <xf borderId="4176" fillId="188" fontId="138" numFmtId="0" xfId="0" applyAlignment="1" applyBorder="1" applyFont="1">
      <alignment horizontal="center" readingOrder="0" vertical="center"/>
    </xf>
    <xf borderId="4177" fillId="188" fontId="138" numFmtId="0" xfId="0" applyAlignment="1" applyBorder="1" applyFont="1">
      <alignment horizontal="left" readingOrder="0" vertical="center"/>
    </xf>
    <xf borderId="4178" fillId="0" fontId="5" numFmtId="0" xfId="0" applyBorder="1" applyFont="1"/>
    <xf borderId="4179" fillId="188" fontId="138" numFmtId="0" xfId="0" applyAlignment="1" applyBorder="1" applyFont="1">
      <alignment horizontal="center" readingOrder="0" vertical="center"/>
    </xf>
    <xf borderId="4180" fillId="188" fontId="138" numFmtId="0" xfId="0" applyAlignment="1" applyBorder="1" applyFont="1">
      <alignment horizontal="center" readingOrder="0" vertical="center"/>
    </xf>
    <xf borderId="395" fillId="188" fontId="138" numFmtId="0" xfId="0" applyAlignment="1" applyBorder="1" applyFont="1">
      <alignment horizontal="right" readingOrder="0" vertical="center"/>
    </xf>
    <xf borderId="398" fillId="188" fontId="138" numFmtId="0" xfId="0" applyAlignment="1" applyBorder="1" applyFont="1">
      <alignment horizontal="center" readingOrder="0" vertical="center"/>
    </xf>
    <xf borderId="2473" fillId="0" fontId="154" numFmtId="0" xfId="0" applyAlignment="1" applyBorder="1" applyFont="1">
      <alignment horizontal="center" vertical="center"/>
    </xf>
    <xf borderId="4181" fillId="0" fontId="103" numFmtId="0" xfId="0" applyAlignment="1" applyBorder="1" applyFont="1">
      <alignment horizontal="center" readingOrder="0" vertical="center"/>
    </xf>
    <xf borderId="4182" fillId="0" fontId="5" numFmtId="0" xfId="0" applyBorder="1" applyFont="1"/>
    <xf borderId="2476" fillId="0" fontId="154" numFmtId="0" xfId="0" applyAlignment="1" applyBorder="1" applyFont="1">
      <alignment horizontal="center" vertical="center"/>
    </xf>
    <xf borderId="4183" fillId="169" fontId="154" numFmtId="0" xfId="0" applyAlignment="1" applyBorder="1" applyFont="1">
      <alignment horizontal="center" vertical="center"/>
    </xf>
    <xf borderId="4183" fillId="169" fontId="171" numFmtId="0" xfId="0" applyAlignment="1" applyBorder="1" applyFont="1">
      <alignment horizontal="center" vertical="center"/>
    </xf>
    <xf borderId="181" fillId="12" fontId="146" numFmtId="0" xfId="0" applyAlignment="1" applyBorder="1" applyFont="1">
      <alignment horizontal="center" vertical="center"/>
    </xf>
    <xf borderId="180" fillId="12" fontId="228" numFmtId="0" xfId="0" applyAlignment="1" applyBorder="1" applyFont="1">
      <alignment horizontal="center" readingOrder="0" vertical="center"/>
    </xf>
    <xf borderId="180" fillId="12" fontId="146" numFmtId="0" xfId="0" applyAlignment="1" applyBorder="1" applyFont="1">
      <alignment horizontal="center" vertical="center"/>
    </xf>
    <xf borderId="259" fillId="12" fontId="146" numFmtId="0" xfId="0" applyAlignment="1" applyBorder="1" applyFont="1">
      <alignment horizontal="center" vertical="center"/>
    </xf>
    <xf borderId="1329" fillId="12" fontId="146" numFmtId="0" xfId="0" applyAlignment="1" applyBorder="1" applyFont="1">
      <alignment horizontal="center" vertical="center"/>
    </xf>
    <xf borderId="206" fillId="12" fontId="146" numFmtId="0" xfId="0" applyAlignment="1" applyBorder="1" applyFont="1">
      <alignment horizontal="center" vertical="center"/>
    </xf>
    <xf borderId="341" fillId="12" fontId="228" numFmtId="0" xfId="0" applyAlignment="1" applyBorder="1" applyFont="1">
      <alignment horizontal="center" readingOrder="0" vertical="center"/>
    </xf>
    <xf borderId="4184" fillId="0" fontId="5" numFmtId="0" xfId="0" applyBorder="1" applyFont="1"/>
    <xf borderId="4185" fillId="12" fontId="229" numFmtId="0" xfId="0" applyAlignment="1" applyBorder="1" applyFont="1">
      <alignment horizontal="center" readingOrder="0" vertical="center"/>
    </xf>
    <xf borderId="4186" fillId="12" fontId="229" numFmtId="0" xfId="0" applyAlignment="1" applyBorder="1" applyFont="1">
      <alignment horizontal="center" readingOrder="0" vertical="center"/>
    </xf>
    <xf borderId="185" fillId="12" fontId="146" numFmtId="0" xfId="0" applyAlignment="1" applyBorder="1" applyFont="1">
      <alignment horizontal="center" vertical="center"/>
    </xf>
    <xf borderId="4187" fillId="12" fontId="228" numFmtId="0" xfId="0" applyAlignment="1" applyBorder="1" applyFont="1">
      <alignment horizontal="center" readingOrder="0" vertical="center"/>
    </xf>
    <xf borderId="4188" fillId="0" fontId="5" numFmtId="0" xfId="0" applyBorder="1" applyFont="1"/>
    <xf borderId="1291" fillId="12" fontId="146" numFmtId="0" xfId="0" applyAlignment="1" applyBorder="1" applyFont="1">
      <alignment horizontal="center" vertical="center"/>
    </xf>
    <xf borderId="209" fillId="12" fontId="146" numFmtId="0" xfId="0" applyAlignment="1" applyBorder="1" applyFont="1">
      <alignment horizontal="center" vertical="center"/>
    </xf>
    <xf borderId="4189" fillId="12" fontId="146" numFmtId="0" xfId="0" applyAlignment="1" applyBorder="1" applyFont="1">
      <alignment horizontal="center" readingOrder="0" vertical="center"/>
    </xf>
    <xf borderId="2574" fillId="12" fontId="146" numFmtId="0" xfId="0" applyAlignment="1" applyBorder="1" applyFont="1">
      <alignment horizontal="center" vertical="center"/>
    </xf>
    <xf borderId="2574" fillId="12" fontId="146" numFmtId="0" xfId="0" applyAlignment="1" applyBorder="1" applyFont="1">
      <alignment horizontal="center" vertical="center"/>
    </xf>
    <xf borderId="4190" fillId="12" fontId="146" numFmtId="0" xfId="0" applyAlignment="1" applyBorder="1" applyFont="1">
      <alignment horizontal="center" vertical="center"/>
    </xf>
    <xf borderId="4191" fillId="12" fontId="127" numFmtId="0" xfId="0" applyAlignment="1" applyBorder="1" applyFont="1">
      <alignment horizontal="center" readingOrder="0" vertical="center"/>
    </xf>
    <xf borderId="4192" fillId="12" fontId="127" numFmtId="1" xfId="0" applyAlignment="1" applyBorder="1" applyFont="1" applyNumberFormat="1">
      <alignment horizontal="center" vertical="center"/>
    </xf>
    <xf borderId="4193" fillId="134" fontId="146" numFmtId="0" xfId="0" applyAlignment="1" applyBorder="1" applyFont="1">
      <alignment horizontal="center" readingOrder="0" vertical="center"/>
    </xf>
    <xf borderId="2578" fillId="134" fontId="146" numFmtId="0" xfId="0" applyAlignment="1" applyBorder="1" applyFont="1">
      <alignment horizontal="center" vertical="center"/>
    </xf>
    <xf borderId="2578" fillId="134" fontId="146" numFmtId="0" xfId="0" applyAlignment="1" applyBorder="1" applyFont="1">
      <alignment horizontal="center" vertical="center"/>
    </xf>
    <xf borderId="4194" fillId="134" fontId="146" numFmtId="0" xfId="0" applyAlignment="1" applyBorder="1" applyFont="1">
      <alignment horizontal="center" vertical="center"/>
    </xf>
    <xf borderId="4195" fillId="12" fontId="127" numFmtId="0" xfId="0" applyAlignment="1" applyBorder="1" applyFont="1">
      <alignment horizontal="center" readingOrder="0" vertical="center"/>
    </xf>
    <xf borderId="4196" fillId="12" fontId="127" numFmtId="1" xfId="0" applyAlignment="1" applyBorder="1" applyFont="1" applyNumberFormat="1">
      <alignment horizontal="center" vertical="center"/>
    </xf>
    <xf borderId="4193" fillId="3" fontId="146" numFmtId="0" xfId="0" applyAlignment="1" applyBorder="1" applyFont="1">
      <alignment horizontal="center" readingOrder="0" vertical="center"/>
    </xf>
    <xf borderId="2578" fillId="3" fontId="146" numFmtId="0" xfId="0" applyAlignment="1" applyBorder="1" applyFont="1">
      <alignment horizontal="center" vertical="center"/>
    </xf>
    <xf borderId="2578" fillId="3" fontId="146" numFmtId="0" xfId="0" applyAlignment="1" applyBorder="1" applyFont="1">
      <alignment horizontal="center" vertical="center"/>
    </xf>
    <xf borderId="4194" fillId="3" fontId="146" numFmtId="0" xfId="0" applyAlignment="1" applyBorder="1" applyFont="1">
      <alignment horizontal="center" vertical="center"/>
    </xf>
    <xf borderId="2578" fillId="134" fontId="146" numFmtId="0" xfId="0" applyAlignment="1" applyBorder="1" applyFont="1">
      <alignment horizontal="center" readingOrder="0" vertical="center"/>
    </xf>
    <xf borderId="2578" fillId="3" fontId="146" numFmtId="0" xfId="0" applyAlignment="1" applyBorder="1" applyFont="1">
      <alignment horizontal="center" readingOrder="0" vertical="center"/>
    </xf>
    <xf borderId="4194" fillId="134" fontId="146" numFmtId="0" xfId="0" applyAlignment="1" applyBorder="1" applyFont="1">
      <alignment horizontal="center" readingOrder="0" vertical="center"/>
    </xf>
    <xf borderId="185" fillId="12" fontId="146" numFmtId="0" xfId="0" applyAlignment="1" applyBorder="1" applyFont="1">
      <alignment horizontal="center" vertical="center"/>
    </xf>
    <xf borderId="4194" fillId="3" fontId="146" numFmtId="0" xfId="0" applyAlignment="1" applyBorder="1" applyFont="1">
      <alignment horizontal="center" readingOrder="0" vertical="center"/>
    </xf>
    <xf borderId="4197" fillId="12" fontId="127" numFmtId="0" xfId="0" applyAlignment="1" applyBorder="1" applyFont="1">
      <alignment horizontal="center" readingOrder="0" vertical="center"/>
    </xf>
    <xf borderId="4198" fillId="12" fontId="127" numFmtId="1" xfId="0" applyAlignment="1" applyBorder="1" applyFont="1" applyNumberFormat="1">
      <alignment horizontal="center" vertical="center"/>
    </xf>
    <xf borderId="200" fillId="12" fontId="146" numFmtId="0" xfId="0" applyAlignment="1" applyBorder="1" applyFont="1">
      <alignment horizontal="center" vertical="center"/>
    </xf>
    <xf borderId="1291" fillId="12" fontId="156" numFmtId="0" xfId="0" applyAlignment="1" applyBorder="1" applyFont="1">
      <alignment horizontal="right" vertical="center"/>
    </xf>
    <xf borderId="185" fillId="12" fontId="156" numFmtId="0" xfId="0" applyAlignment="1" applyBorder="1" applyFont="1">
      <alignment vertical="center"/>
    </xf>
    <xf borderId="200" fillId="12" fontId="156" numFmtId="0" xfId="0" applyAlignment="1" applyBorder="1" applyFont="1">
      <alignment horizontal="right" vertical="center"/>
    </xf>
    <xf borderId="260" fillId="12" fontId="156" numFmtId="0" xfId="0" applyAlignment="1" applyBorder="1" applyFont="1">
      <alignment vertical="center"/>
    </xf>
    <xf borderId="1291" fillId="12" fontId="146" numFmtId="0" xfId="0" applyAlignment="1" applyBorder="1" applyFont="1">
      <alignment horizontal="right" readingOrder="0" vertical="center"/>
    </xf>
    <xf borderId="1291" fillId="12" fontId="157" numFmtId="0" xfId="0" applyAlignment="1" applyBorder="1" applyFont="1">
      <alignment horizontal="left" readingOrder="0" vertical="center"/>
    </xf>
    <xf borderId="4199" fillId="134" fontId="146" numFmtId="0" xfId="0" applyAlignment="1" applyBorder="1" applyFont="1">
      <alignment horizontal="center" readingOrder="0" vertical="center"/>
    </xf>
    <xf borderId="4200" fillId="134" fontId="146" numFmtId="0" xfId="0" applyAlignment="1" applyBorder="1" applyFont="1">
      <alignment horizontal="center" vertical="center"/>
    </xf>
    <xf borderId="4200" fillId="134" fontId="146" numFmtId="0" xfId="0" applyAlignment="1" applyBorder="1" applyFont="1">
      <alignment horizontal="center" vertical="center"/>
    </xf>
    <xf borderId="4201" fillId="134" fontId="146" numFmtId="0" xfId="0" applyAlignment="1" applyBorder="1" applyFont="1">
      <alignment horizontal="center" vertical="center"/>
    </xf>
    <xf borderId="342" fillId="134" fontId="5" numFmtId="0" xfId="0" applyBorder="1" applyFont="1"/>
    <xf borderId="4184" fillId="134" fontId="5" numFmtId="0" xfId="0" applyBorder="1" applyFont="1"/>
    <xf borderId="4202" fillId="3" fontId="146" numFmtId="0" xfId="0" applyAlignment="1" applyBorder="1" applyFont="1">
      <alignment horizontal="center" readingOrder="0" vertical="center"/>
    </xf>
    <xf borderId="4203" fillId="3" fontId="146" numFmtId="0" xfId="0" applyAlignment="1" applyBorder="1" applyFont="1">
      <alignment horizontal="center" vertical="center"/>
    </xf>
    <xf borderId="4203" fillId="3" fontId="146" numFmtId="0" xfId="0" applyAlignment="1" applyBorder="1" applyFont="1">
      <alignment horizontal="center" vertical="center"/>
    </xf>
    <xf borderId="2574" fillId="3" fontId="146" numFmtId="0" xfId="0" applyAlignment="1" applyBorder="1" applyFont="1">
      <alignment horizontal="center" vertical="center"/>
    </xf>
    <xf borderId="4190" fillId="3" fontId="146" numFmtId="0" xfId="0" applyAlignment="1" applyBorder="1" applyFont="1">
      <alignment horizontal="center" vertical="center"/>
    </xf>
    <xf borderId="2574" fillId="3" fontId="146" numFmtId="0" xfId="0" applyAlignment="1" applyBorder="1" applyFont="1">
      <alignment horizontal="center" readingOrder="0" vertical="center"/>
    </xf>
    <xf borderId="4200" fillId="134" fontId="146" numFmtId="0" xfId="0" applyAlignment="1" applyBorder="1" applyFont="1">
      <alignment horizontal="center" readingOrder="0" vertical="center"/>
    </xf>
    <xf borderId="4199" fillId="3" fontId="146" numFmtId="0" xfId="0" applyAlignment="1" applyBorder="1" applyFont="1">
      <alignment horizontal="center" readingOrder="0" vertical="center"/>
    </xf>
    <xf borderId="4200" fillId="3" fontId="146" numFmtId="0" xfId="0" applyAlignment="1" applyBorder="1" applyFont="1">
      <alignment horizontal="center" readingOrder="0" vertical="center"/>
    </xf>
    <xf borderId="4200" fillId="3" fontId="146" numFmtId="0" xfId="0" applyAlignment="1" applyBorder="1" applyFont="1">
      <alignment horizontal="center" vertical="center"/>
    </xf>
    <xf borderId="4200" fillId="3" fontId="146" numFmtId="0" xfId="0" applyAlignment="1" applyBorder="1" applyFont="1">
      <alignment horizontal="center" vertical="center"/>
    </xf>
    <xf borderId="4201" fillId="3" fontId="146" numFmtId="0" xfId="0" applyAlignment="1" applyBorder="1" applyFont="1">
      <alignment horizontal="center" vertical="center"/>
    </xf>
    <xf borderId="4204" fillId="12" fontId="228" numFmtId="0" xfId="0" applyAlignment="1" applyBorder="1" applyFont="1">
      <alignment horizontal="center" readingOrder="0" vertical="center"/>
    </xf>
    <xf borderId="4205" fillId="3" fontId="5" numFmtId="0" xfId="0" applyBorder="1" applyFont="1"/>
    <xf borderId="4206" fillId="3" fontId="5" numFmtId="0" xfId="0" applyBorder="1" applyFont="1"/>
    <xf borderId="4207" fillId="12" fontId="229" numFmtId="0" xfId="0" applyAlignment="1" applyBorder="1" applyFont="1">
      <alignment horizontal="center" readingOrder="0" vertical="center"/>
    </xf>
    <xf borderId="4208" fillId="12" fontId="229" numFmtId="0" xfId="0" applyAlignment="1" applyBorder="1" applyFont="1">
      <alignment horizontal="center" readingOrder="0" vertical="center"/>
    </xf>
    <xf borderId="4205" fillId="134" fontId="5" numFmtId="0" xfId="0" applyBorder="1" applyFont="1"/>
    <xf borderId="4206" fillId="134" fontId="5" numFmtId="0" xfId="0" applyBorder="1" applyFont="1"/>
    <xf borderId="4202" fillId="134" fontId="146" numFmtId="0" xfId="0" applyAlignment="1" applyBorder="1" applyFont="1">
      <alignment horizontal="center" readingOrder="0" vertical="center"/>
    </xf>
    <xf borderId="4203" fillId="134" fontId="146" numFmtId="0" xfId="0" applyAlignment="1" applyBorder="1" applyFont="1">
      <alignment horizontal="center" vertical="center"/>
    </xf>
    <xf borderId="4203" fillId="134" fontId="146" numFmtId="0" xfId="0" applyAlignment="1" applyBorder="1" applyFont="1">
      <alignment horizontal="center" vertical="center"/>
    </xf>
    <xf borderId="2574" fillId="134" fontId="146" numFmtId="0" xfId="0" applyAlignment="1" applyBorder="1" applyFont="1">
      <alignment horizontal="center" vertical="center"/>
    </xf>
    <xf borderId="4190" fillId="134" fontId="146" numFmtId="0" xfId="0" applyAlignment="1" applyBorder="1" applyFont="1">
      <alignment horizontal="center" vertical="center"/>
    </xf>
    <xf borderId="4194" fillId="3" fontId="146" numFmtId="0" xfId="0" applyAlignment="1" applyBorder="1" applyFont="1">
      <alignment horizontal="center" vertical="center"/>
    </xf>
    <xf borderId="4194" fillId="134" fontId="146" numFmtId="0" xfId="0" applyAlignment="1" applyBorder="1" applyFont="1">
      <alignment horizontal="center" vertical="center"/>
    </xf>
    <xf borderId="1291" fillId="12" fontId="146" numFmtId="0" xfId="0" applyAlignment="1" applyBorder="1" applyFont="1">
      <alignment horizontal="center" vertical="center"/>
    </xf>
    <xf borderId="4201" fillId="134" fontId="146" numFmtId="0" xfId="0" applyAlignment="1" applyBorder="1" applyFont="1">
      <alignment horizontal="center" readingOrder="0" vertical="center"/>
    </xf>
    <xf borderId="4203" fillId="3" fontId="146" numFmtId="0" xfId="0" applyAlignment="1" applyBorder="1" applyFont="1">
      <alignment horizontal="center" readingOrder="0" vertical="center"/>
    </xf>
    <xf borderId="2574" fillId="3" fontId="146" numFmtId="0" xfId="0" applyAlignment="1" applyBorder="1" applyFont="1">
      <alignment horizontal="center" vertical="center"/>
    </xf>
    <xf borderId="4190" fillId="3" fontId="146" numFmtId="0" xfId="0" applyAlignment="1" applyBorder="1" applyFont="1">
      <alignment horizontal="center" vertical="center"/>
    </xf>
    <xf borderId="176" fillId="12" fontId="146" numFmtId="0" xfId="0" applyAlignment="1" applyBorder="1" applyFont="1">
      <alignment horizontal="center" vertical="center"/>
    </xf>
  </cellXfs>
  <cellStyles count="1">
    <cellStyle xfId="0" name="Normal" builtinId="0"/>
  </cellStyles>
  <dxfs count="29">
    <dxf>
      <font/>
      <fill>
        <patternFill patternType="solid">
          <fgColor rgb="FFD23A3A"/>
          <bgColor rgb="FFD23A3A"/>
        </patternFill>
      </fill>
      <border/>
    </dxf>
    <dxf>
      <font/>
      <fill>
        <patternFill patternType="solid">
          <fgColor rgb="FFC6701A"/>
          <bgColor rgb="FFC6701A"/>
        </patternFill>
      </fill>
      <border/>
    </dxf>
    <dxf>
      <font/>
      <fill>
        <patternFill patternType="solid">
          <fgColor rgb="FFDCB53E"/>
          <bgColor rgb="FFDCB53E"/>
        </patternFill>
      </fill>
      <border/>
    </dxf>
    <dxf>
      <font/>
      <fill>
        <patternFill patternType="solid">
          <fgColor rgb="FF88BB5A"/>
          <bgColor rgb="FF88BB5A"/>
        </patternFill>
      </fill>
      <border/>
    </dxf>
    <dxf>
      <font/>
      <fill>
        <patternFill patternType="solid">
          <fgColor rgb="FF55BA8C"/>
          <bgColor rgb="FF55BA8C"/>
        </patternFill>
      </fill>
      <border/>
    </dxf>
    <dxf>
      <font/>
      <fill>
        <patternFill patternType="solid">
          <fgColor rgb="FF58A3C1"/>
          <bgColor rgb="FF58A3C1"/>
        </patternFill>
      </fill>
      <border/>
    </dxf>
    <dxf>
      <font/>
      <fill>
        <patternFill patternType="solid">
          <fgColor rgb="FF4285F4"/>
          <bgColor rgb="FF4285F4"/>
        </patternFill>
      </fill>
      <border/>
    </dxf>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434343"/>
          <bgColor rgb="FF434343"/>
        </patternFill>
      </fill>
      <border/>
    </dxf>
    <dxf>
      <font/>
      <fill>
        <patternFill patternType="solid">
          <fgColor rgb="FFA7FF84"/>
          <bgColor rgb="FFA7FF84"/>
        </patternFill>
      </fill>
      <border/>
    </dxf>
    <dxf>
      <font/>
      <fill>
        <patternFill patternType="solid">
          <fgColor rgb="FFFF7942"/>
          <bgColor rgb="FFFF7942"/>
        </patternFill>
      </fill>
      <border/>
    </dxf>
    <dxf>
      <font/>
      <fill>
        <patternFill patternType="solid">
          <fgColor rgb="FFFFFFEA"/>
          <bgColor rgb="FFFFFFEA"/>
        </patternFill>
      </fill>
      <border/>
    </dxf>
    <dxf>
      <font/>
      <fill>
        <patternFill patternType="solid">
          <fgColor rgb="FF91B9FF"/>
          <bgColor rgb="FF91B9FF"/>
        </patternFill>
      </fill>
      <border/>
    </dxf>
    <dxf>
      <font/>
      <fill>
        <patternFill patternType="solid">
          <fgColor rgb="FFFFE599"/>
          <bgColor rgb="FFFFE599"/>
        </patternFill>
      </fill>
      <border/>
    </dxf>
    <dxf>
      <font/>
      <fill>
        <patternFill patternType="solid">
          <fgColor rgb="FF9ADEFF"/>
          <bgColor rgb="FF9ADEFF"/>
        </patternFill>
      </fill>
      <border/>
    </dxf>
    <dxf>
      <font/>
      <fill>
        <patternFill patternType="solid">
          <fgColor rgb="FFFF8E7C"/>
          <bgColor rgb="FFFF8E7C"/>
        </patternFill>
      </fill>
      <border/>
    </dxf>
    <dxf>
      <font/>
      <fill>
        <patternFill patternType="solid">
          <fgColor rgb="FFE4A1F2"/>
          <bgColor rgb="FFE4A1F2"/>
        </patternFill>
      </fill>
      <border/>
    </dxf>
    <dxf>
      <font/>
      <fill>
        <patternFill patternType="solid">
          <fgColor rgb="FFFFEF7C"/>
          <bgColor rgb="FFFFEF7C"/>
        </patternFill>
      </fill>
      <border/>
    </dxf>
    <dxf>
      <font/>
      <fill>
        <patternFill patternType="solid">
          <fgColor rgb="FFC4CCFB"/>
          <bgColor rgb="FFC4CCFB"/>
        </patternFill>
      </fill>
      <border/>
    </dxf>
    <dxf>
      <font/>
      <fill>
        <patternFill patternType="solid">
          <fgColor rgb="FFFF81A2"/>
          <bgColor rgb="FFFF81A2"/>
        </patternFill>
      </fill>
      <border/>
    </dxf>
    <dxf>
      <font/>
      <fill>
        <patternFill patternType="solid">
          <fgColor rgb="FFEBFF54"/>
          <bgColor rgb="FFEBFF54"/>
        </patternFill>
      </fill>
      <border/>
    </dxf>
    <dxf>
      <font/>
      <fill>
        <patternFill patternType="solid">
          <fgColor rgb="FFFFEB9E"/>
          <bgColor rgb="FFFFEB9E"/>
        </patternFill>
      </fill>
      <border/>
    </dxf>
    <dxf>
      <font/>
      <fill>
        <patternFill patternType="solid">
          <fgColor rgb="FF7D7DC5"/>
          <bgColor rgb="FF7D7DC5"/>
        </patternFill>
      </fill>
      <border/>
    </dxf>
    <dxf>
      <font/>
      <fill>
        <patternFill patternType="solid">
          <fgColor rgb="FFA194FE"/>
          <bgColor rgb="FFA194FE"/>
        </patternFill>
      </fill>
      <border/>
    </dxf>
    <dxf>
      <font/>
      <fill>
        <patternFill patternType="solid">
          <fgColor rgb="FFB18C7A"/>
          <bgColor rgb="FFB18C7A"/>
        </patternFill>
      </fill>
      <border/>
    </dxf>
    <dxf>
      <font/>
      <fill>
        <patternFill patternType="solid">
          <fgColor rgb="FFB7B7C5"/>
          <bgColor rgb="FFB7B7C5"/>
        </patternFill>
      </fill>
      <border/>
    </dxf>
    <dxf>
      <font/>
      <fill>
        <patternFill patternType="solid">
          <fgColor rgb="FFF0A7F0"/>
          <bgColor rgb="FFF0A7F0"/>
        </patternFill>
      </fill>
      <border/>
    </dxf>
  </dxfs>
  <tableStyles count="1">
    <tableStyle count="3" pivot="0" name="Dex-style">
      <tableStyleElement dxfId="8" type="headerRow"/>
      <tableStyleElement dxfId="9"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R1280:S1280" displayName="Table_1" name="Table_1" id="1">
  <tableColumns count="2">
    <tableColumn name="Column1" id="1"/>
    <tableColumn name="Column2" id="2"/>
  </tableColumns>
  <tableStyleInfo name="De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scord.gg/radicalre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i.imgur.com/KfYx5OH.png" TargetMode="External"/><Relationship Id="rId3" Type="http://schemas.openxmlformats.org/officeDocument/2006/relationships/drawing" Target="../drawings/drawing11.xml"/><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1" max="1" width="0.75"/>
    <col customWidth="1" min="2" max="3" width="1.38"/>
    <col customWidth="1" min="4" max="4" width="0.75"/>
    <col customWidth="1" min="5" max="14" width="3.88"/>
    <col customWidth="1" min="15" max="15" width="1.38"/>
    <col customWidth="1" min="16" max="16" width="0.75"/>
    <col customWidth="1" min="17" max="26" width="3.88"/>
    <col customWidth="1" min="27" max="27" width="1.38"/>
    <col customWidth="1" min="28" max="28" width="0.75"/>
    <col customWidth="1" min="29" max="60" width="3.88"/>
    <col customWidth="1" min="61" max="61" width="0.5"/>
    <col customWidth="1" min="62" max="62" width="1.38"/>
    <col customWidth="1" min="63" max="63" width="0.75"/>
  </cols>
  <sheetData>
    <row r="1" ht="3.7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
      <c r="BK1" s="4"/>
    </row>
    <row r="2" ht="7.5" customHeight="1">
      <c r="A2" s="5"/>
      <c r="B2" s="6"/>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8"/>
      <c r="BK2" s="9"/>
    </row>
    <row r="3" ht="26.25" customHeight="1">
      <c r="A3" s="5"/>
      <c r="B3" s="10"/>
      <c r="C3" s="11" t="s">
        <v>0</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3"/>
      <c r="BJ3" s="14"/>
      <c r="BK3" s="9"/>
    </row>
    <row r="4" ht="26.25" customHeight="1">
      <c r="A4" s="5"/>
      <c r="B4" s="10"/>
      <c r="C4" s="11" t="s">
        <v>1</v>
      </c>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3"/>
      <c r="BJ4" s="14"/>
      <c r="BK4" s="9"/>
    </row>
    <row r="5" ht="26.25" customHeight="1">
      <c r="A5" s="5"/>
      <c r="B5" s="10"/>
      <c r="C5" s="15" t="s">
        <v>2</v>
      </c>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3"/>
      <c r="BI5" s="16"/>
      <c r="BJ5" s="14"/>
      <c r="BK5" s="9"/>
    </row>
    <row r="6" ht="26.25" customHeight="1">
      <c r="A6" s="5"/>
      <c r="B6" s="17"/>
      <c r="C6" s="18" t="s">
        <v>3</v>
      </c>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3"/>
      <c r="BJ6" s="14"/>
      <c r="BK6" s="9"/>
    </row>
    <row r="7" ht="7.5" customHeight="1">
      <c r="A7" s="5"/>
      <c r="B7" s="17"/>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4"/>
      <c r="BK7" s="9"/>
    </row>
    <row r="8" ht="18.75" customHeight="1">
      <c r="A8" s="5"/>
      <c r="B8" s="20"/>
      <c r="C8" s="21" t="s">
        <v>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3"/>
      <c r="BJ8" s="14"/>
      <c r="BK8" s="22"/>
    </row>
    <row r="9" ht="3.75" customHeight="1">
      <c r="A9" s="5"/>
      <c r="B9" s="20"/>
      <c r="C9" s="23"/>
      <c r="D9" s="24"/>
      <c r="E9" s="25"/>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7"/>
      <c r="BJ9" s="14"/>
      <c r="BK9" s="22"/>
    </row>
    <row r="10">
      <c r="A10" s="5"/>
      <c r="B10" s="20"/>
      <c r="C10" s="28"/>
      <c r="D10" s="29"/>
      <c r="E10" s="30" t="s">
        <v>5</v>
      </c>
      <c r="F10" s="31"/>
      <c r="G10" s="31"/>
      <c r="H10" s="31"/>
      <c r="I10" s="31"/>
      <c r="J10" s="31"/>
      <c r="K10" s="31"/>
      <c r="L10" s="31"/>
      <c r="M10" s="31"/>
      <c r="N10" s="31"/>
      <c r="O10" s="31"/>
      <c r="P10" s="31"/>
      <c r="Q10" s="31"/>
      <c r="R10" s="31"/>
      <c r="S10" s="31"/>
      <c r="T10" s="32"/>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14"/>
      <c r="BK10" s="22"/>
    </row>
    <row r="11" ht="3.75" customHeight="1">
      <c r="A11" s="5"/>
      <c r="B11" s="34"/>
      <c r="C11" s="35"/>
      <c r="D11" s="35"/>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14"/>
      <c r="BK11" s="22"/>
    </row>
    <row r="12">
      <c r="A12" s="5"/>
      <c r="B12" s="20"/>
      <c r="C12" s="28"/>
      <c r="D12" s="29"/>
      <c r="E12" s="37" t="s">
        <v>6</v>
      </c>
      <c r="F12" s="38"/>
      <c r="G12" s="38"/>
      <c r="H12" s="38"/>
      <c r="I12" s="38"/>
      <c r="J12" s="38"/>
      <c r="K12" s="38"/>
      <c r="L12" s="38"/>
      <c r="M12" s="38"/>
      <c r="N12" s="38"/>
      <c r="O12" s="38"/>
      <c r="P12" s="38"/>
      <c r="Q12" s="38"/>
      <c r="R12" s="38"/>
      <c r="S12" s="38"/>
      <c r="T12" s="38"/>
      <c r="U12" s="38"/>
      <c r="V12" s="38"/>
      <c r="W12" s="38"/>
      <c r="X12" s="38"/>
      <c r="Y12" s="39"/>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14"/>
      <c r="BK12" s="22"/>
    </row>
    <row r="13" ht="3.75" customHeight="1">
      <c r="A13" s="5"/>
      <c r="B13" s="34"/>
      <c r="C13" s="35"/>
      <c r="D13" s="35"/>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14"/>
      <c r="BK13" s="22"/>
    </row>
    <row r="14">
      <c r="A14" s="5"/>
      <c r="B14" s="20"/>
      <c r="C14" s="28"/>
      <c r="D14" s="29"/>
      <c r="E14" s="30" t="s">
        <v>7</v>
      </c>
      <c r="F14" s="31"/>
      <c r="G14" s="31"/>
      <c r="H14" s="31"/>
      <c r="I14" s="31"/>
      <c r="J14" s="31"/>
      <c r="K14" s="31"/>
      <c r="L14" s="31"/>
      <c r="M14" s="31"/>
      <c r="N14" s="31"/>
      <c r="O14" s="31"/>
      <c r="P14" s="31"/>
      <c r="Q14" s="31"/>
      <c r="R14" s="31"/>
      <c r="S14" s="31"/>
      <c r="T14" s="31"/>
      <c r="U14" s="31"/>
      <c r="V14" s="31"/>
      <c r="W14" s="31"/>
      <c r="X14" s="32"/>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14"/>
      <c r="BK14" s="22"/>
    </row>
    <row r="15" ht="3.75" customHeight="1">
      <c r="A15" s="5"/>
      <c r="B15" s="34"/>
      <c r="C15" s="35"/>
      <c r="D15" s="35"/>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14"/>
      <c r="BK15" s="22"/>
    </row>
    <row r="16">
      <c r="A16" s="5"/>
      <c r="B16" s="20"/>
      <c r="C16" s="28"/>
      <c r="D16" s="29"/>
      <c r="E16" s="37" t="s">
        <v>8</v>
      </c>
      <c r="F16" s="38"/>
      <c r="G16" s="38"/>
      <c r="H16" s="38"/>
      <c r="I16" s="38"/>
      <c r="J16" s="38"/>
      <c r="K16" s="38"/>
      <c r="L16" s="38"/>
      <c r="M16" s="38"/>
      <c r="N16" s="38"/>
      <c r="O16" s="38"/>
      <c r="P16" s="38"/>
      <c r="Q16" s="38"/>
      <c r="R16" s="38"/>
      <c r="S16" s="38"/>
      <c r="T16" s="38"/>
      <c r="U16" s="38"/>
      <c r="V16" s="38"/>
      <c r="W16" s="39"/>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14"/>
      <c r="BK16" s="22"/>
    </row>
    <row r="17" ht="3.75" customHeight="1">
      <c r="A17" s="5"/>
      <c r="B17" s="34"/>
      <c r="C17" s="35"/>
      <c r="D17" s="35"/>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14"/>
      <c r="BK17" s="22"/>
    </row>
    <row r="18">
      <c r="A18" s="5"/>
      <c r="B18" s="20"/>
      <c r="C18" s="28"/>
      <c r="D18" s="29"/>
      <c r="E18" s="30" t="s">
        <v>9</v>
      </c>
      <c r="F18" s="31"/>
      <c r="G18" s="31"/>
      <c r="H18" s="31"/>
      <c r="I18" s="31"/>
      <c r="J18" s="31"/>
      <c r="K18" s="31"/>
      <c r="L18" s="31"/>
      <c r="M18" s="31"/>
      <c r="N18" s="31"/>
      <c r="O18" s="31"/>
      <c r="P18" s="31"/>
      <c r="Q18" s="31"/>
      <c r="R18" s="31"/>
      <c r="S18" s="31"/>
      <c r="T18" s="31"/>
      <c r="U18" s="31"/>
      <c r="V18" s="31"/>
      <c r="W18" s="32"/>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14"/>
      <c r="BK18" s="22"/>
    </row>
    <row r="19" ht="3.75" customHeight="1">
      <c r="A19" s="5"/>
      <c r="B19" s="34"/>
      <c r="C19" s="35"/>
      <c r="D19" s="35"/>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14"/>
      <c r="BK19" s="22"/>
    </row>
    <row r="20">
      <c r="A20" s="5"/>
      <c r="B20" s="20"/>
      <c r="C20" s="28"/>
      <c r="D20" s="29"/>
      <c r="E20" s="37" t="s">
        <v>10</v>
      </c>
      <c r="F20" s="38"/>
      <c r="G20" s="38"/>
      <c r="H20" s="38"/>
      <c r="I20" s="38"/>
      <c r="J20" s="38"/>
      <c r="K20" s="38"/>
      <c r="L20" s="38"/>
      <c r="M20" s="38"/>
      <c r="N20" s="38"/>
      <c r="O20" s="38"/>
      <c r="P20" s="38"/>
      <c r="Q20" s="38"/>
      <c r="R20" s="38"/>
      <c r="S20" s="38"/>
      <c r="T20" s="38"/>
      <c r="U20" s="38"/>
      <c r="V20" s="38"/>
      <c r="W20" s="39"/>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14"/>
      <c r="BK20" s="22"/>
    </row>
    <row r="21" ht="3.75" customHeight="1">
      <c r="A21" s="5"/>
      <c r="B21" s="34"/>
      <c r="C21" s="35"/>
      <c r="D21" s="35"/>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14"/>
      <c r="BK21" s="22"/>
    </row>
    <row r="22">
      <c r="A22" s="5"/>
      <c r="B22" s="20"/>
      <c r="C22" s="28"/>
      <c r="D22" s="29"/>
      <c r="E22" s="41" t="s">
        <v>11</v>
      </c>
      <c r="F22" s="42"/>
      <c r="G22" s="42"/>
      <c r="H22" s="42"/>
      <c r="I22" s="42"/>
      <c r="J22" s="42"/>
      <c r="K22" s="42"/>
      <c r="L22" s="42"/>
      <c r="M22" s="42"/>
      <c r="N22" s="42"/>
      <c r="O22" s="42"/>
      <c r="P22" s="42"/>
      <c r="Q22" s="42"/>
      <c r="R22" s="42"/>
      <c r="S22" s="42"/>
      <c r="T22" s="42"/>
      <c r="U22" s="4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14"/>
      <c r="BK22" s="22"/>
    </row>
    <row r="23" ht="3.75" customHeight="1">
      <c r="A23" s="5"/>
      <c r="B23" s="34"/>
      <c r="C23" s="35"/>
      <c r="D23" s="35"/>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14"/>
      <c r="BK23" s="22"/>
    </row>
    <row r="24">
      <c r="A24" s="5"/>
      <c r="B24" s="20"/>
      <c r="C24" s="28"/>
      <c r="D24" s="29"/>
      <c r="E24" s="37" t="s">
        <v>12</v>
      </c>
      <c r="F24" s="38"/>
      <c r="G24" s="38"/>
      <c r="H24" s="38"/>
      <c r="I24" s="38"/>
      <c r="J24" s="38"/>
      <c r="K24" s="38"/>
      <c r="L24" s="38"/>
      <c r="M24" s="38"/>
      <c r="N24" s="38"/>
      <c r="O24" s="38"/>
      <c r="P24" s="38"/>
      <c r="Q24" s="38"/>
      <c r="R24" s="38"/>
      <c r="S24" s="38"/>
      <c r="T24" s="38"/>
      <c r="U24" s="39"/>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14"/>
      <c r="BK24" s="22"/>
    </row>
    <row r="25" ht="3.75" customHeight="1">
      <c r="A25" s="5"/>
      <c r="B25" s="34"/>
      <c r="C25" s="35"/>
      <c r="D25" s="35"/>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14"/>
      <c r="BK25" s="22"/>
    </row>
    <row r="26">
      <c r="A26" s="5"/>
      <c r="B26" s="20"/>
      <c r="C26" s="28"/>
      <c r="D26" s="29"/>
      <c r="E26" s="30" t="s">
        <v>13</v>
      </c>
      <c r="F26" s="31"/>
      <c r="G26" s="31"/>
      <c r="H26" s="31"/>
      <c r="I26" s="31"/>
      <c r="J26" s="31"/>
      <c r="K26" s="31"/>
      <c r="L26" s="31"/>
      <c r="M26" s="31"/>
      <c r="N26" s="31"/>
      <c r="O26" s="31"/>
      <c r="P26" s="31"/>
      <c r="Q26" s="31"/>
      <c r="R26" s="31"/>
      <c r="S26" s="31"/>
      <c r="T26" s="32"/>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14"/>
      <c r="BK26" s="22"/>
    </row>
    <row r="27" ht="3.75" customHeight="1">
      <c r="A27" s="5"/>
      <c r="B27" s="34"/>
      <c r="C27" s="35"/>
      <c r="D27" s="35"/>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14"/>
      <c r="BK27" s="22"/>
    </row>
    <row r="28" ht="15.75" customHeight="1">
      <c r="A28" s="5"/>
      <c r="B28" s="20"/>
      <c r="C28" s="28"/>
      <c r="D28" s="29"/>
      <c r="E28" s="37" t="s">
        <v>14</v>
      </c>
      <c r="F28" s="38"/>
      <c r="G28" s="38"/>
      <c r="H28" s="38"/>
      <c r="I28" s="38"/>
      <c r="J28" s="38"/>
      <c r="K28" s="38"/>
      <c r="L28" s="38"/>
      <c r="M28" s="39"/>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14"/>
      <c r="BK28" s="22"/>
    </row>
    <row r="29" ht="3.75" customHeight="1">
      <c r="A29" s="5"/>
      <c r="B29" s="34"/>
      <c r="C29" s="35"/>
      <c r="D29" s="35"/>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14"/>
      <c r="BK29" s="22"/>
    </row>
    <row r="30" ht="15.75" customHeight="1">
      <c r="A30" s="5"/>
      <c r="B30" s="20"/>
      <c r="C30" s="28"/>
      <c r="D30" s="29"/>
      <c r="E30" s="30" t="s">
        <v>15</v>
      </c>
      <c r="F30" s="31"/>
      <c r="G30" s="31"/>
      <c r="H30" s="31"/>
      <c r="I30" s="31"/>
      <c r="J30" s="31"/>
      <c r="K30" s="31"/>
      <c r="L30" s="31"/>
      <c r="M30" s="31"/>
      <c r="N30" s="31"/>
      <c r="O30" s="31"/>
      <c r="P30" s="31"/>
      <c r="Q30" s="31"/>
      <c r="R30" s="31"/>
      <c r="S30" s="31"/>
      <c r="T30" s="31"/>
      <c r="U30" s="31"/>
      <c r="V30" s="31"/>
      <c r="W30" s="31"/>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14"/>
      <c r="BK30" s="22"/>
    </row>
    <row r="31" ht="3.75" customHeight="1">
      <c r="A31" s="5"/>
      <c r="B31" s="34"/>
      <c r="C31" s="35"/>
      <c r="D31" s="35"/>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14"/>
      <c r="BK31" s="22"/>
    </row>
    <row r="32" ht="15.75" customHeight="1">
      <c r="A32" s="5"/>
      <c r="B32" s="20"/>
      <c r="C32" s="28"/>
      <c r="D32" s="29"/>
      <c r="E32" s="44" t="s">
        <v>16</v>
      </c>
      <c r="F32" s="45"/>
      <c r="G32" s="45"/>
      <c r="H32" s="45"/>
      <c r="I32" s="45"/>
      <c r="J32" s="45"/>
      <c r="K32" s="46"/>
      <c r="L32" s="40"/>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14"/>
      <c r="BK32" s="22"/>
    </row>
    <row r="33" ht="3.75" customHeight="1">
      <c r="A33" s="5"/>
      <c r="B33" s="34"/>
      <c r="C33" s="35"/>
      <c r="D33" s="35"/>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14"/>
      <c r="BK33" s="22"/>
    </row>
    <row r="34" ht="15.75" customHeight="1">
      <c r="A34" s="5"/>
      <c r="B34" s="20"/>
      <c r="C34" s="28"/>
      <c r="D34" s="29"/>
      <c r="E34" s="30" t="s">
        <v>17</v>
      </c>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2"/>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14"/>
      <c r="BK34" s="22"/>
    </row>
    <row r="35" ht="3.75" customHeight="1">
      <c r="A35" s="5"/>
      <c r="B35" s="34"/>
      <c r="C35" s="35"/>
      <c r="D35" s="35"/>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14"/>
      <c r="BK35" s="22"/>
    </row>
    <row r="36" ht="15.75" customHeight="1">
      <c r="A36" s="5"/>
      <c r="B36" s="20"/>
      <c r="C36" s="28"/>
      <c r="D36" s="29"/>
      <c r="E36" s="37" t="s">
        <v>18</v>
      </c>
      <c r="F36" s="38"/>
      <c r="G36" s="38"/>
      <c r="H36" s="38"/>
      <c r="I36" s="38"/>
      <c r="J36" s="38"/>
      <c r="K36" s="38"/>
      <c r="L36" s="38"/>
      <c r="M36" s="38"/>
      <c r="N36" s="38"/>
      <c r="O36" s="38"/>
      <c r="P36" s="38"/>
      <c r="Q36" s="38"/>
      <c r="R36" s="38"/>
      <c r="S36" s="38"/>
      <c r="T36" s="38"/>
      <c r="U36" s="38"/>
      <c r="V36" s="38"/>
      <c r="W36" s="38"/>
      <c r="X36" s="38"/>
      <c r="Y36" s="38"/>
      <c r="Z36" s="38"/>
      <c r="AA36" s="38"/>
      <c r="AB36" s="38"/>
      <c r="AC36" s="39"/>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14"/>
      <c r="BK36" s="47"/>
    </row>
    <row r="37" ht="3.75" customHeight="1">
      <c r="A37" s="5"/>
      <c r="B37" s="34"/>
      <c r="C37" s="35"/>
      <c r="D37" s="35"/>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14"/>
      <c r="BK37" s="47"/>
    </row>
    <row r="38" ht="15.75" customHeight="1">
      <c r="A38" s="5"/>
      <c r="B38" s="20"/>
      <c r="C38" s="28"/>
      <c r="D38" s="29"/>
      <c r="E38" s="30" t="s">
        <v>19</v>
      </c>
      <c r="F38" s="31"/>
      <c r="G38" s="31"/>
      <c r="H38" s="31"/>
      <c r="I38" s="31"/>
      <c r="J38" s="31"/>
      <c r="K38" s="31"/>
      <c r="L38" s="31"/>
      <c r="M38" s="31"/>
      <c r="N38" s="31"/>
      <c r="O38" s="31"/>
      <c r="P38" s="31"/>
      <c r="Q38" s="32"/>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14"/>
      <c r="BK38" s="22"/>
    </row>
    <row r="39" ht="3.75" customHeight="1">
      <c r="A39" s="5"/>
      <c r="B39" s="34"/>
      <c r="C39" s="35"/>
      <c r="D39" s="35"/>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14"/>
      <c r="BK39" s="22"/>
    </row>
    <row r="40" ht="15.75" customHeight="1">
      <c r="A40" s="5"/>
      <c r="B40" s="20"/>
      <c r="C40" s="28"/>
      <c r="D40" s="29"/>
      <c r="E40" s="37" t="s">
        <v>20</v>
      </c>
      <c r="F40" s="38"/>
      <c r="G40" s="38"/>
      <c r="H40" s="38"/>
      <c r="I40" s="38"/>
      <c r="J40" s="38"/>
      <c r="K40" s="38"/>
      <c r="L40" s="38"/>
      <c r="M40" s="38"/>
      <c r="N40" s="38"/>
      <c r="O40" s="38"/>
      <c r="P40" s="38"/>
      <c r="Q40" s="38"/>
      <c r="R40" s="38"/>
      <c r="S40" s="38"/>
      <c r="T40" s="38"/>
      <c r="U40" s="38"/>
      <c r="V40" s="38"/>
      <c r="W40" s="39"/>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14"/>
      <c r="BK40" s="22"/>
    </row>
    <row r="41" ht="7.5" customHeight="1">
      <c r="A41" s="5"/>
      <c r="B41" s="10"/>
      <c r="C41" s="48"/>
      <c r="D41" s="48"/>
      <c r="E41" s="49"/>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1"/>
      <c r="BJ41" s="14"/>
      <c r="BK41" s="9"/>
    </row>
    <row r="42" ht="18.75" customHeight="1">
      <c r="A42" s="5"/>
      <c r="B42" s="20"/>
      <c r="C42" s="52" t="s">
        <v>21</v>
      </c>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3"/>
      <c r="BJ42" s="14"/>
      <c r="BK42" s="22"/>
    </row>
    <row r="43" ht="3.75" customHeight="1">
      <c r="A43" s="5"/>
      <c r="B43" s="20"/>
      <c r="C43" s="53"/>
      <c r="D43" s="53"/>
      <c r="E43" s="54"/>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7"/>
      <c r="BJ43" s="14"/>
      <c r="BK43" s="22"/>
    </row>
    <row r="44" ht="15.75" customHeight="1">
      <c r="A44" s="5"/>
      <c r="B44" s="20"/>
      <c r="C44" s="55"/>
      <c r="D44" s="29"/>
      <c r="E44" s="56" t="s">
        <v>22</v>
      </c>
      <c r="F44" s="57"/>
      <c r="G44" s="57"/>
      <c r="H44" s="58"/>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14"/>
      <c r="BK44" s="22"/>
    </row>
    <row r="45" ht="3.75" customHeight="1">
      <c r="A45" s="5"/>
      <c r="B45" s="34"/>
      <c r="C45" s="35"/>
      <c r="D45" s="35"/>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14"/>
      <c r="BK45" s="22"/>
    </row>
    <row r="46" ht="15.75" customHeight="1">
      <c r="A46" s="5"/>
      <c r="B46" s="20"/>
      <c r="C46" s="55"/>
      <c r="D46" s="29"/>
      <c r="E46" s="60" t="s">
        <v>23</v>
      </c>
      <c r="F46" s="45"/>
      <c r="G46" s="45"/>
      <c r="H46" s="45"/>
      <c r="I46" s="45"/>
      <c r="J46" s="46"/>
      <c r="K46" s="61"/>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14"/>
      <c r="BK46" s="22"/>
    </row>
    <row r="47" ht="3.75" customHeight="1">
      <c r="A47" s="5"/>
      <c r="B47" s="34"/>
      <c r="C47" s="35"/>
      <c r="D47" s="35"/>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14"/>
      <c r="BK47" s="22"/>
    </row>
    <row r="48" ht="15.75" customHeight="1">
      <c r="A48" s="5"/>
      <c r="B48" s="20"/>
      <c r="C48" s="55"/>
      <c r="D48" s="29"/>
      <c r="E48" s="56" t="s">
        <v>24</v>
      </c>
      <c r="F48" s="57"/>
      <c r="G48" s="57"/>
      <c r="H48" s="58"/>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14"/>
      <c r="BK48" s="22"/>
    </row>
    <row r="49" ht="3.75" customHeight="1">
      <c r="A49" s="5"/>
      <c r="B49" s="34"/>
      <c r="C49" s="35"/>
      <c r="D49" s="35"/>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14"/>
      <c r="BK49" s="22"/>
    </row>
    <row r="50" ht="15.75" customHeight="1">
      <c r="A50" s="5"/>
      <c r="B50" s="20"/>
      <c r="C50" s="55"/>
      <c r="D50" s="29"/>
      <c r="E50" s="60" t="s">
        <v>25</v>
      </c>
      <c r="F50" s="45"/>
      <c r="G50" s="45"/>
      <c r="H50" s="45"/>
      <c r="I50" s="46"/>
      <c r="J50" s="61"/>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14"/>
      <c r="BK50" s="22"/>
    </row>
    <row r="51" ht="3.75" customHeight="1">
      <c r="A51" s="5"/>
      <c r="B51" s="34"/>
      <c r="C51" s="35"/>
      <c r="D51" s="35"/>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14"/>
      <c r="BK51" s="22"/>
    </row>
    <row r="52" ht="15.75" customHeight="1">
      <c r="A52" s="5"/>
      <c r="B52" s="20"/>
      <c r="C52" s="55"/>
      <c r="D52" s="29"/>
      <c r="E52" s="56" t="s">
        <v>26</v>
      </c>
      <c r="F52" s="57"/>
      <c r="G52" s="57"/>
      <c r="H52" s="58"/>
      <c r="I52" s="61"/>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14"/>
      <c r="BK52" s="22"/>
    </row>
    <row r="53" ht="3.75" customHeight="1">
      <c r="A53" s="5"/>
      <c r="B53" s="34"/>
      <c r="C53" s="35"/>
      <c r="D53" s="35"/>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14"/>
      <c r="BK53" s="22"/>
    </row>
    <row r="54" ht="15.75" customHeight="1">
      <c r="A54" s="5"/>
      <c r="B54" s="20"/>
      <c r="C54" s="55"/>
      <c r="D54" s="29"/>
      <c r="E54" s="60" t="s">
        <v>27</v>
      </c>
      <c r="F54" s="45"/>
      <c r="G54" s="45"/>
      <c r="H54" s="45"/>
      <c r="I54" s="45"/>
      <c r="J54" s="45"/>
      <c r="K54" s="45"/>
      <c r="L54" s="46"/>
      <c r="M54" s="61"/>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14"/>
      <c r="BK54" s="22"/>
    </row>
    <row r="55" ht="3.75" customHeight="1">
      <c r="A55" s="5"/>
      <c r="B55" s="34"/>
      <c r="C55" s="35"/>
      <c r="D55" s="35"/>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14"/>
      <c r="BK55" s="22"/>
    </row>
    <row r="56" ht="15.75" customHeight="1">
      <c r="A56" s="5"/>
      <c r="B56" s="20"/>
      <c r="C56" s="55"/>
      <c r="D56" s="29"/>
      <c r="E56" s="56" t="s">
        <v>28</v>
      </c>
      <c r="F56" s="57"/>
      <c r="G56" s="57"/>
      <c r="H56" s="57"/>
      <c r="I56" s="57"/>
      <c r="J56" s="57"/>
      <c r="K56" s="57"/>
      <c r="L56" s="58"/>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14"/>
      <c r="BK56" s="22"/>
    </row>
    <row r="57" ht="3.75" customHeight="1">
      <c r="A57" s="5"/>
      <c r="B57" s="34"/>
      <c r="C57" s="35"/>
      <c r="D57" s="35"/>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14"/>
      <c r="BK57" s="22"/>
    </row>
    <row r="58" ht="15.75" customHeight="1">
      <c r="A58" s="5"/>
      <c r="B58" s="20"/>
      <c r="C58" s="55"/>
      <c r="D58" s="29"/>
      <c r="E58" s="60" t="s">
        <v>29</v>
      </c>
      <c r="F58" s="45"/>
      <c r="G58" s="45"/>
      <c r="H58" s="45"/>
      <c r="I58" s="45"/>
      <c r="J58" s="45"/>
      <c r="K58" s="46"/>
      <c r="L58" s="61"/>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14"/>
      <c r="BK58" s="22"/>
    </row>
    <row r="59" ht="3.75" customHeight="1">
      <c r="A59" s="5"/>
      <c r="B59" s="34"/>
      <c r="C59" s="35"/>
      <c r="D59" s="35"/>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14"/>
      <c r="BK59" s="22"/>
    </row>
    <row r="60" ht="15.75" customHeight="1">
      <c r="A60" s="5"/>
      <c r="B60" s="20"/>
      <c r="C60" s="55"/>
      <c r="D60" s="29"/>
      <c r="E60" s="56" t="s">
        <v>30</v>
      </c>
      <c r="F60" s="57"/>
      <c r="G60" s="57"/>
      <c r="H60" s="57"/>
      <c r="I60" s="58"/>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14"/>
      <c r="BK60" s="22"/>
    </row>
    <row r="61" ht="3.75" customHeight="1">
      <c r="A61" s="5"/>
      <c r="B61" s="34"/>
      <c r="C61" s="35"/>
      <c r="D61" s="35"/>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14"/>
      <c r="BK61" s="22"/>
    </row>
    <row r="62" ht="15.75" customHeight="1">
      <c r="A62" s="5"/>
      <c r="B62" s="20"/>
      <c r="C62" s="55"/>
      <c r="D62" s="29"/>
      <c r="E62" s="60" t="s">
        <v>31</v>
      </c>
      <c r="F62" s="45"/>
      <c r="G62" s="45"/>
      <c r="H62" s="46"/>
      <c r="I62" s="61"/>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14"/>
      <c r="BK62" s="22"/>
    </row>
    <row r="63" ht="3.75" customHeight="1">
      <c r="A63" s="5"/>
      <c r="B63" s="34"/>
      <c r="C63" s="35"/>
      <c r="D63" s="35"/>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14"/>
      <c r="BK63" s="22"/>
    </row>
    <row r="64" ht="15.75" customHeight="1">
      <c r="A64" s="5"/>
      <c r="B64" s="20"/>
      <c r="C64" s="55"/>
      <c r="D64" s="29"/>
      <c r="E64" s="56" t="s">
        <v>32</v>
      </c>
      <c r="F64" s="57"/>
      <c r="G64" s="57"/>
      <c r="H64" s="58"/>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14"/>
      <c r="BK64" s="22"/>
    </row>
    <row r="65" ht="3.75" customHeight="1">
      <c r="A65" s="5"/>
      <c r="B65" s="34"/>
      <c r="C65" s="35"/>
      <c r="D65" s="35"/>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14"/>
      <c r="BK65" s="22"/>
    </row>
    <row r="66" ht="15.75" customHeight="1">
      <c r="A66" s="5"/>
      <c r="B66" s="20"/>
      <c r="C66" s="55"/>
      <c r="D66" s="29"/>
      <c r="E66" s="60" t="s">
        <v>33</v>
      </c>
      <c r="F66" s="45"/>
      <c r="G66" s="45"/>
      <c r="H66" s="46"/>
      <c r="I66" s="61"/>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14"/>
      <c r="BK66" s="22"/>
    </row>
    <row r="67" ht="3.75" customHeight="1">
      <c r="A67" s="5"/>
      <c r="B67" s="34"/>
      <c r="C67" s="35"/>
      <c r="D67" s="35"/>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14"/>
      <c r="BK67" s="22"/>
    </row>
    <row r="68" ht="15.75" customHeight="1">
      <c r="A68" s="5"/>
      <c r="B68" s="20"/>
      <c r="C68" s="55"/>
      <c r="D68" s="29"/>
      <c r="E68" s="56" t="s">
        <v>34</v>
      </c>
      <c r="F68" s="57"/>
      <c r="G68" s="57"/>
      <c r="H68" s="57"/>
      <c r="I68" s="57"/>
      <c r="J68" s="57"/>
      <c r="K68" s="57"/>
      <c r="L68" s="57"/>
      <c r="M68" s="57"/>
      <c r="N68" s="58"/>
      <c r="O68" s="61"/>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14"/>
      <c r="BK68" s="22"/>
    </row>
    <row r="69" ht="3.75" customHeight="1">
      <c r="A69" s="5"/>
      <c r="B69" s="34"/>
      <c r="C69" s="35"/>
      <c r="D69" s="35"/>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14"/>
      <c r="BK69" s="22"/>
    </row>
    <row r="70" ht="15.75" customHeight="1">
      <c r="A70" s="5"/>
      <c r="B70" s="20"/>
      <c r="C70" s="55"/>
      <c r="D70" s="29"/>
      <c r="E70" s="60" t="s">
        <v>35</v>
      </c>
      <c r="F70" s="45"/>
      <c r="G70" s="45"/>
      <c r="H70" s="45"/>
      <c r="I70" s="45"/>
      <c r="J70" s="45"/>
      <c r="K70" s="45"/>
      <c r="L70" s="46"/>
      <c r="M70" s="61"/>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14"/>
      <c r="BK70" s="22"/>
    </row>
    <row r="71" ht="3.75" customHeight="1">
      <c r="A71" s="5"/>
      <c r="B71" s="34"/>
      <c r="C71" s="35"/>
      <c r="D71" s="35"/>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14"/>
      <c r="BK71" s="22"/>
    </row>
    <row r="72" ht="15.75" customHeight="1">
      <c r="A72" s="5"/>
      <c r="B72" s="20"/>
      <c r="C72" s="55"/>
      <c r="D72" s="29"/>
      <c r="E72" s="56" t="s">
        <v>36</v>
      </c>
      <c r="F72" s="57"/>
      <c r="G72" s="57"/>
      <c r="H72" s="58"/>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14"/>
      <c r="BK72" s="22"/>
    </row>
    <row r="73" ht="3.75" customHeight="1">
      <c r="A73" s="5"/>
      <c r="B73" s="34"/>
      <c r="C73" s="35"/>
      <c r="D73" s="35"/>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14"/>
      <c r="BK73" s="22"/>
    </row>
    <row r="74" ht="15.75" customHeight="1">
      <c r="A74" s="5"/>
      <c r="B74" s="20"/>
      <c r="C74" s="55"/>
      <c r="D74" s="29"/>
      <c r="E74" s="60" t="s">
        <v>37</v>
      </c>
      <c r="F74" s="45"/>
      <c r="G74" s="45"/>
      <c r="H74" s="45"/>
      <c r="I74" s="46"/>
      <c r="J74" s="61"/>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14"/>
      <c r="BK74" s="22"/>
    </row>
    <row r="75" ht="3.75" customHeight="1">
      <c r="A75" s="5"/>
      <c r="B75" s="34"/>
      <c r="C75" s="35"/>
      <c r="D75" s="35"/>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14"/>
      <c r="BK75" s="22"/>
    </row>
    <row r="76" ht="15.75" customHeight="1">
      <c r="A76" s="5"/>
      <c r="B76" s="20"/>
      <c r="C76" s="55"/>
      <c r="D76" s="29"/>
      <c r="E76" s="56" t="s">
        <v>38</v>
      </c>
      <c r="F76" s="57"/>
      <c r="G76" s="57"/>
      <c r="H76" s="58"/>
      <c r="I76" s="61"/>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14"/>
      <c r="BK76" s="22"/>
    </row>
    <row r="77" ht="3.75" customHeight="1">
      <c r="A77" s="5"/>
      <c r="B77" s="34"/>
      <c r="C77" s="35"/>
      <c r="D77" s="35"/>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14"/>
      <c r="BK77" s="22"/>
    </row>
    <row r="78" ht="15.75" customHeight="1">
      <c r="A78" s="5"/>
      <c r="B78" s="20"/>
      <c r="C78" s="55"/>
      <c r="D78" s="29"/>
      <c r="E78" s="60" t="s">
        <v>39</v>
      </c>
      <c r="F78" s="45"/>
      <c r="G78" s="45"/>
      <c r="H78" s="45"/>
      <c r="I78" s="46"/>
      <c r="J78" s="61"/>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14"/>
      <c r="BK78" s="22"/>
    </row>
    <row r="79" ht="7.5" customHeight="1">
      <c r="A79" s="5"/>
      <c r="B79" s="34"/>
      <c r="C79" s="35"/>
      <c r="D79" s="35"/>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14"/>
      <c r="BK79" s="9"/>
    </row>
    <row r="80" ht="22.5" customHeight="1">
      <c r="A80" s="5"/>
      <c r="B80" s="20"/>
      <c r="C80" s="62" t="s">
        <v>40</v>
      </c>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3"/>
      <c r="BJ80" s="14"/>
      <c r="BK80" s="63"/>
    </row>
    <row r="81" ht="15.75" customHeight="1">
      <c r="A81" s="5"/>
      <c r="B81" s="20"/>
      <c r="C81" s="64"/>
      <c r="D81" s="29"/>
      <c r="E81" s="65" t="s">
        <v>41</v>
      </c>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2"/>
      <c r="AR81" s="66"/>
      <c r="AS81" s="66"/>
      <c r="AT81" s="66"/>
      <c r="AU81" s="66"/>
      <c r="AV81" s="66"/>
      <c r="AW81" s="66"/>
      <c r="AX81" s="66"/>
      <c r="AY81" s="66"/>
      <c r="AZ81" s="66"/>
      <c r="BA81" s="66"/>
      <c r="BB81" s="66"/>
      <c r="BC81" s="66"/>
      <c r="BD81" s="66"/>
      <c r="BE81" s="66"/>
      <c r="BF81" s="66"/>
      <c r="BG81" s="66"/>
      <c r="BH81" s="66"/>
      <c r="BI81" s="66"/>
      <c r="BJ81" s="14"/>
      <c r="BK81" s="47"/>
    </row>
    <row r="82" ht="7.5" customHeight="1">
      <c r="A82" s="5"/>
      <c r="B82" s="34"/>
      <c r="C82" s="35"/>
      <c r="D82" s="35"/>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14"/>
      <c r="BK82" s="9"/>
    </row>
    <row r="83">
      <c r="A83" s="5"/>
      <c r="B83" s="17"/>
      <c r="C83" s="67" t="s">
        <v>42</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3"/>
      <c r="BJ83" s="14"/>
      <c r="BK83" s="63"/>
    </row>
    <row r="84" ht="3.75" customHeight="1">
      <c r="A84" s="5"/>
      <c r="B84" s="34"/>
      <c r="C84" s="68"/>
      <c r="D84" s="35"/>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14"/>
      <c r="BK84" s="9"/>
    </row>
    <row r="85">
      <c r="A85" s="5"/>
      <c r="B85" s="69"/>
      <c r="C85" s="70"/>
      <c r="D85" s="49"/>
      <c r="E85" s="71" t="s">
        <v>43</v>
      </c>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2"/>
      <c r="AU85" s="66"/>
      <c r="AV85" s="66"/>
      <c r="AW85" s="66"/>
      <c r="AX85" s="66"/>
      <c r="AY85" s="66"/>
      <c r="AZ85" s="66"/>
      <c r="BA85" s="66"/>
      <c r="BB85" s="66"/>
      <c r="BC85" s="66"/>
      <c r="BD85" s="66"/>
      <c r="BE85" s="66"/>
      <c r="BF85" s="66"/>
      <c r="BG85" s="66"/>
      <c r="BH85" s="66"/>
      <c r="BI85" s="66"/>
      <c r="BJ85" s="14"/>
      <c r="BK85" s="63"/>
    </row>
    <row r="86" ht="3.75" customHeight="1">
      <c r="A86" s="5"/>
      <c r="B86" s="34"/>
      <c r="C86" s="35"/>
      <c r="D86" s="35"/>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14"/>
      <c r="BK86" s="9"/>
    </row>
    <row r="87">
      <c r="A87" s="5"/>
      <c r="B87" s="72"/>
      <c r="C87" s="70"/>
      <c r="D87" s="49"/>
      <c r="E87" s="73" t="s">
        <v>44</v>
      </c>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9"/>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14"/>
      <c r="BK87" s="63"/>
    </row>
    <row r="88" ht="3.75" customHeight="1">
      <c r="A88" s="5"/>
      <c r="B88" s="34"/>
      <c r="C88" s="35"/>
      <c r="D88" s="35"/>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14"/>
      <c r="BK88" s="9"/>
    </row>
    <row r="89">
      <c r="A89" s="5"/>
      <c r="B89" s="72"/>
      <c r="C89" s="70"/>
      <c r="D89" s="49"/>
      <c r="E89" s="71" t="s">
        <v>45</v>
      </c>
      <c r="F89" s="31"/>
      <c r="G89" s="31"/>
      <c r="H89" s="31"/>
      <c r="I89" s="31"/>
      <c r="J89" s="31"/>
      <c r="K89" s="31"/>
      <c r="L89" s="31"/>
      <c r="M89" s="31"/>
      <c r="N89" s="31"/>
      <c r="O89" s="31"/>
      <c r="P89" s="31"/>
      <c r="Q89" s="31"/>
      <c r="R89" s="31"/>
      <c r="S89" s="31"/>
      <c r="T89" s="31"/>
      <c r="U89" s="32"/>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14"/>
      <c r="BK89" s="63"/>
    </row>
    <row r="90" ht="3.75" customHeight="1">
      <c r="A90" s="5"/>
      <c r="B90" s="34"/>
      <c r="C90" s="35"/>
      <c r="D90" s="35"/>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14"/>
      <c r="BK90" s="9"/>
    </row>
    <row r="91">
      <c r="A91" s="5"/>
      <c r="B91" s="72"/>
      <c r="C91" s="70"/>
      <c r="D91" s="49"/>
      <c r="E91" s="74" t="s">
        <v>46</v>
      </c>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9"/>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14"/>
      <c r="BK91" s="63"/>
    </row>
    <row r="92" ht="3.75" customHeight="1">
      <c r="A92" s="5"/>
      <c r="B92" s="34"/>
      <c r="C92" s="35"/>
      <c r="D92" s="35"/>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14"/>
      <c r="BK92" s="9"/>
    </row>
    <row r="93">
      <c r="A93" s="5"/>
      <c r="B93" s="72"/>
      <c r="C93" s="70"/>
      <c r="D93" s="49"/>
      <c r="E93" s="71" t="s">
        <v>47</v>
      </c>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2"/>
      <c r="AO93" s="66"/>
      <c r="AP93" s="66"/>
      <c r="AQ93" s="66"/>
      <c r="AR93" s="66"/>
      <c r="AS93" s="66"/>
      <c r="AT93" s="66"/>
      <c r="AU93" s="66"/>
      <c r="AV93" s="66"/>
      <c r="AW93" s="66"/>
      <c r="AX93" s="66"/>
      <c r="AY93" s="66"/>
      <c r="AZ93" s="66"/>
      <c r="BA93" s="66"/>
      <c r="BB93" s="66"/>
      <c r="BC93" s="66"/>
      <c r="BD93" s="66"/>
      <c r="BE93" s="66"/>
      <c r="BF93" s="66"/>
      <c r="BG93" s="66"/>
      <c r="BH93" s="66"/>
      <c r="BI93" s="66"/>
      <c r="BJ93" s="14"/>
      <c r="BK93" s="63"/>
    </row>
    <row r="94" ht="3.75" customHeight="1">
      <c r="A94" s="5"/>
      <c r="B94" s="34"/>
      <c r="C94" s="35"/>
      <c r="D94" s="35"/>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14"/>
      <c r="BK94" s="9"/>
    </row>
    <row r="95">
      <c r="A95" s="5"/>
      <c r="B95" s="72"/>
      <c r="C95" s="70"/>
      <c r="D95" s="49"/>
      <c r="E95" s="74" t="s">
        <v>48</v>
      </c>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9"/>
      <c r="AT95" s="66"/>
      <c r="AU95" s="66"/>
      <c r="AV95" s="66"/>
      <c r="AW95" s="66"/>
      <c r="AX95" s="66"/>
      <c r="AY95" s="66"/>
      <c r="AZ95" s="66"/>
      <c r="BA95" s="66"/>
      <c r="BB95" s="66"/>
      <c r="BC95" s="66"/>
      <c r="BD95" s="66"/>
      <c r="BE95" s="66"/>
      <c r="BF95" s="66"/>
      <c r="BG95" s="66"/>
      <c r="BH95" s="66"/>
      <c r="BI95" s="66"/>
      <c r="BJ95" s="14"/>
      <c r="BK95" s="63"/>
    </row>
    <row r="96" ht="3.75" customHeight="1">
      <c r="A96" s="5"/>
      <c r="B96" s="34"/>
      <c r="C96" s="35"/>
      <c r="D96" s="35"/>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14"/>
      <c r="BK96" s="9"/>
    </row>
    <row r="97">
      <c r="A97" s="5"/>
      <c r="B97" s="72"/>
      <c r="C97" s="70"/>
      <c r="D97" s="49"/>
      <c r="E97" s="71" t="s">
        <v>49</v>
      </c>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2"/>
      <c r="AN97" s="66"/>
      <c r="AO97" s="66"/>
      <c r="AP97" s="66"/>
      <c r="AQ97" s="66"/>
      <c r="AR97" s="66"/>
      <c r="AS97" s="66"/>
      <c r="AT97" s="66"/>
      <c r="AU97" s="66"/>
      <c r="AV97" s="66"/>
      <c r="AW97" s="66"/>
      <c r="AX97" s="66"/>
      <c r="AY97" s="66"/>
      <c r="AZ97" s="66"/>
      <c r="BA97" s="66"/>
      <c r="BB97" s="66"/>
      <c r="BC97" s="66"/>
      <c r="BD97" s="66"/>
      <c r="BE97" s="66"/>
      <c r="BF97" s="66"/>
      <c r="BG97" s="66"/>
      <c r="BH97" s="66"/>
      <c r="BI97" s="66"/>
      <c r="BJ97" s="14"/>
      <c r="BK97" s="63"/>
    </row>
    <row r="98" ht="7.5" customHeight="1">
      <c r="A98" s="5"/>
      <c r="B98" s="34"/>
      <c r="C98" s="35"/>
      <c r="D98" s="35"/>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14"/>
      <c r="BK98" s="9"/>
    </row>
    <row r="99">
      <c r="A99" s="5"/>
      <c r="B99" s="17"/>
      <c r="C99" s="75" t="s">
        <v>50</v>
      </c>
      <c r="D99" s="76"/>
      <c r="E99" s="76"/>
      <c r="F99" s="76"/>
      <c r="G99" s="76"/>
      <c r="H99" s="76"/>
      <c r="I99" s="76"/>
      <c r="J99" s="76"/>
      <c r="K99" s="76"/>
      <c r="L99" s="76"/>
      <c r="M99" s="76"/>
      <c r="N99" s="76"/>
      <c r="O99" s="76"/>
      <c r="P99" s="76"/>
      <c r="Q99" s="76"/>
      <c r="R99" s="76"/>
      <c r="S99" s="76"/>
      <c r="T99" s="76"/>
      <c r="U99" s="76"/>
      <c r="V99" s="76"/>
      <c r="W99" s="76"/>
      <c r="X99" s="76"/>
      <c r="Y99" s="77"/>
      <c r="Z99" s="59"/>
      <c r="AA99" s="78" t="s">
        <v>51</v>
      </c>
      <c r="AB99" s="79"/>
      <c r="AC99" s="79"/>
      <c r="AD99" s="79"/>
      <c r="AE99" s="79"/>
      <c r="AF99" s="79"/>
      <c r="AG99" s="79"/>
      <c r="AH99" s="79"/>
      <c r="AI99" s="79"/>
      <c r="AJ99" s="79"/>
      <c r="AK99" s="79"/>
      <c r="AL99" s="79"/>
      <c r="AM99" s="79"/>
      <c r="AN99" s="80"/>
      <c r="AO99" s="59"/>
      <c r="AP99" s="59"/>
      <c r="AQ99" s="59"/>
      <c r="AR99" s="59"/>
      <c r="AS99" s="59"/>
      <c r="AT99" s="59"/>
      <c r="AU99" s="59"/>
      <c r="AV99" s="59"/>
      <c r="AW99" s="59"/>
      <c r="AX99" s="59"/>
      <c r="AY99" s="59"/>
      <c r="AZ99" s="59"/>
      <c r="BA99" s="59"/>
      <c r="BB99" s="59"/>
      <c r="BC99" s="59"/>
      <c r="BD99" s="59"/>
      <c r="BE99" s="59"/>
      <c r="BF99" s="59"/>
      <c r="BG99" s="59"/>
      <c r="BH99" s="59"/>
      <c r="BI99" s="59"/>
      <c r="BJ99" s="14"/>
      <c r="BK99" s="63"/>
    </row>
    <row r="100" ht="2.25" customHeight="1">
      <c r="A100" s="5"/>
      <c r="B100" s="81"/>
      <c r="C100" s="82"/>
      <c r="D100" s="82"/>
      <c r="E100" s="83"/>
      <c r="F100" s="83"/>
      <c r="G100" s="83"/>
      <c r="H100" s="83"/>
      <c r="I100" s="84"/>
      <c r="J100" s="83"/>
      <c r="K100" s="83"/>
      <c r="L100" s="83"/>
      <c r="M100" s="83"/>
      <c r="N100" s="82"/>
      <c r="O100" s="82"/>
      <c r="P100" s="82"/>
      <c r="Q100" s="83"/>
      <c r="R100" s="83"/>
      <c r="S100" s="83"/>
      <c r="T100" s="83"/>
      <c r="U100" s="84"/>
      <c r="V100" s="83"/>
      <c r="W100" s="83"/>
      <c r="X100" s="83"/>
      <c r="Y100" s="83"/>
      <c r="Z100" s="85"/>
      <c r="AA100" s="82"/>
      <c r="AB100" s="82"/>
      <c r="AC100" s="82"/>
      <c r="AD100" s="82"/>
      <c r="AE100" s="82"/>
      <c r="AF100" s="82"/>
      <c r="AG100" s="82"/>
      <c r="AH100" s="82"/>
      <c r="AI100" s="82"/>
      <c r="AJ100" s="82"/>
      <c r="AK100" s="82"/>
      <c r="AL100" s="82"/>
      <c r="AM100" s="86"/>
      <c r="AN100" s="87"/>
      <c r="AO100" s="82"/>
      <c r="AP100" s="82"/>
      <c r="AQ100" s="82"/>
      <c r="AR100" s="82"/>
      <c r="AS100" s="82"/>
      <c r="AT100" s="82"/>
      <c r="AU100" s="82"/>
      <c r="AV100" s="82"/>
      <c r="AW100" s="82"/>
      <c r="AX100" s="59"/>
      <c r="AY100" s="59"/>
      <c r="AZ100" s="59"/>
      <c r="BA100" s="59"/>
      <c r="BB100" s="59"/>
      <c r="BC100" s="59"/>
      <c r="BD100" s="59"/>
      <c r="BE100" s="59"/>
      <c r="BF100" s="59"/>
      <c r="BG100" s="59"/>
      <c r="BH100" s="59"/>
      <c r="BI100" s="59"/>
      <c r="BJ100" s="14"/>
      <c r="BK100" s="9"/>
    </row>
    <row r="101">
      <c r="A101" s="5"/>
      <c r="B101" s="81"/>
      <c r="C101" s="82"/>
      <c r="D101" s="86"/>
      <c r="E101" s="88" t="s">
        <v>52</v>
      </c>
      <c r="H101" s="89"/>
      <c r="I101" s="90" t="s">
        <v>53</v>
      </c>
      <c r="J101" s="88" t="s">
        <v>54</v>
      </c>
      <c r="M101" s="89"/>
      <c r="N101" s="91"/>
      <c r="O101" s="92"/>
      <c r="P101" s="82"/>
      <c r="Q101" s="88" t="s">
        <v>52</v>
      </c>
      <c r="T101" s="89"/>
      <c r="U101" s="90" t="s">
        <v>53</v>
      </c>
      <c r="V101" s="88" t="s">
        <v>54</v>
      </c>
      <c r="Y101" s="89"/>
      <c r="Z101" s="85"/>
      <c r="AA101" s="59"/>
      <c r="AB101" s="59"/>
      <c r="AC101" s="93"/>
      <c r="AD101" s="94"/>
      <c r="AE101" s="95" t="s">
        <v>52</v>
      </c>
      <c r="AI101" s="90" t="s">
        <v>53</v>
      </c>
      <c r="AJ101" s="95" t="s">
        <v>54</v>
      </c>
      <c r="AN101" s="80"/>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14"/>
      <c r="BK101" s="9"/>
    </row>
    <row r="102" ht="18.75" customHeight="1">
      <c r="A102" s="5"/>
      <c r="B102" s="96"/>
      <c r="C102" s="97"/>
      <c r="D102" s="98"/>
      <c r="E102" s="99" t="s">
        <v>55</v>
      </c>
      <c r="F102" s="100"/>
      <c r="G102" s="100"/>
      <c r="H102" s="101"/>
      <c r="I102" s="102" t="s">
        <v>53</v>
      </c>
      <c r="J102" s="103" t="s">
        <v>56</v>
      </c>
      <c r="K102" s="104"/>
      <c r="L102" s="104"/>
      <c r="M102" s="105"/>
      <c r="N102" s="98"/>
      <c r="O102" s="106"/>
      <c r="P102" s="98"/>
      <c r="Q102" s="107" t="s">
        <v>57</v>
      </c>
      <c r="R102" s="57"/>
      <c r="S102" s="57"/>
      <c r="T102" s="108"/>
      <c r="U102" s="109" t="s">
        <v>53</v>
      </c>
      <c r="V102" s="110" t="s">
        <v>58</v>
      </c>
      <c r="W102" s="57"/>
      <c r="X102" s="57"/>
      <c r="Y102" s="58"/>
      <c r="Z102" s="85"/>
      <c r="AA102" s="111"/>
      <c r="AB102" s="112"/>
      <c r="AC102" s="113" t="str">
        <f t="array" ref="AC102">IFERROR(VLOOKUP(AE102,Dex!$B$3:$S185,18,FALSE),"")</f>
        <v/>
      </c>
      <c r="AD102" s="114"/>
      <c r="AE102" s="115" t="s">
        <v>59</v>
      </c>
      <c r="AF102" s="116"/>
      <c r="AG102" s="116"/>
      <c r="AH102" s="117"/>
      <c r="AI102" s="118" t="s">
        <v>53</v>
      </c>
      <c r="AJ102" s="119" t="s">
        <v>60</v>
      </c>
      <c r="AK102" s="120"/>
      <c r="AL102" s="120"/>
      <c r="AM102" s="121"/>
      <c r="AN102" s="80"/>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14"/>
      <c r="BK102" s="9"/>
    </row>
    <row r="103" ht="3.75" customHeight="1">
      <c r="A103" s="5"/>
      <c r="B103" s="96"/>
      <c r="C103" s="122"/>
      <c r="D103" s="98"/>
      <c r="E103" s="123"/>
      <c r="F103" s="123"/>
      <c r="G103" s="123"/>
      <c r="H103" s="123"/>
      <c r="I103" s="124"/>
      <c r="J103" s="125"/>
      <c r="M103" s="126"/>
      <c r="N103" s="98"/>
      <c r="O103" s="59"/>
      <c r="P103" s="59"/>
      <c r="Q103" s="92"/>
      <c r="R103" s="92"/>
      <c r="S103" s="92"/>
      <c r="T103" s="92"/>
      <c r="U103" s="92"/>
      <c r="V103" s="92"/>
      <c r="W103" s="92"/>
      <c r="X103" s="92"/>
      <c r="Y103" s="127"/>
      <c r="Z103" s="85"/>
      <c r="AA103" s="122"/>
      <c r="AB103" s="112"/>
      <c r="AC103" s="125"/>
      <c r="AD103" s="126"/>
      <c r="AE103" s="128"/>
      <c r="AF103" s="129"/>
      <c r="AG103" s="129"/>
      <c r="AH103" s="129"/>
      <c r="AI103" s="124"/>
      <c r="AJ103" s="125"/>
      <c r="AM103" s="130"/>
      <c r="AN103" s="80"/>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14"/>
      <c r="BK103" s="9"/>
    </row>
    <row r="104" ht="18.75" customHeight="1">
      <c r="A104" s="5"/>
      <c r="B104" s="96"/>
      <c r="C104" s="131"/>
      <c r="D104" s="98"/>
      <c r="E104" s="132" t="s">
        <v>61</v>
      </c>
      <c r="F104" s="133"/>
      <c r="G104" s="133"/>
      <c r="H104" s="134"/>
      <c r="I104" s="135"/>
      <c r="J104" s="136"/>
      <c r="K104" s="137"/>
      <c r="L104" s="137"/>
      <c r="M104" s="138"/>
      <c r="N104" s="98"/>
      <c r="O104" s="106"/>
      <c r="P104" s="98"/>
      <c r="Q104" s="139" t="s">
        <v>62</v>
      </c>
      <c r="R104" s="45"/>
      <c r="S104" s="45"/>
      <c r="T104" s="140"/>
      <c r="U104" s="141" t="s">
        <v>53</v>
      </c>
      <c r="V104" s="142" t="s">
        <v>63</v>
      </c>
      <c r="W104" s="45"/>
      <c r="X104" s="45"/>
      <c r="Y104" s="46"/>
      <c r="Z104" s="85"/>
      <c r="AA104" s="131"/>
      <c r="AB104" s="112"/>
      <c r="AC104" s="143"/>
      <c r="AD104" s="144"/>
      <c r="AE104" s="145" t="s">
        <v>64</v>
      </c>
      <c r="AF104" s="116"/>
      <c r="AG104" s="116"/>
      <c r="AH104" s="117"/>
      <c r="AI104" s="146"/>
      <c r="AJ104" s="143"/>
      <c r="AK104" s="147"/>
      <c r="AL104" s="147"/>
      <c r="AM104" s="148"/>
      <c r="AN104" s="80"/>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14"/>
      <c r="BK104" s="9"/>
    </row>
    <row r="105" ht="3.75" customHeight="1">
      <c r="A105" s="5"/>
      <c r="B105" s="34"/>
      <c r="C105" s="35"/>
      <c r="D105" s="35"/>
      <c r="E105" s="149"/>
      <c r="F105" s="149"/>
      <c r="G105" s="149"/>
      <c r="H105" s="149"/>
      <c r="I105" s="149"/>
      <c r="J105" s="149"/>
      <c r="K105" s="149"/>
      <c r="L105" s="149"/>
      <c r="M105" s="149"/>
      <c r="N105" s="149"/>
      <c r="O105" s="149"/>
      <c r="P105" s="149"/>
      <c r="Q105" s="149"/>
      <c r="R105" s="149"/>
      <c r="S105" s="149"/>
      <c r="T105" s="149"/>
      <c r="U105" s="149"/>
      <c r="V105" s="149"/>
      <c r="W105" s="149"/>
      <c r="X105" s="149"/>
      <c r="Y105" s="150"/>
      <c r="Z105" s="151"/>
      <c r="AA105" s="149"/>
      <c r="AB105" s="149"/>
      <c r="AC105" s="149"/>
      <c r="AD105" s="149"/>
      <c r="AE105" s="149"/>
      <c r="AF105" s="149"/>
      <c r="AG105" s="149"/>
      <c r="AH105" s="149"/>
      <c r="AI105" s="149"/>
      <c r="AJ105" s="149"/>
      <c r="AK105" s="149"/>
      <c r="AL105" s="149"/>
      <c r="AM105" s="150"/>
      <c r="AN105" s="152"/>
      <c r="AO105" s="149"/>
      <c r="AP105" s="149"/>
      <c r="AQ105" s="149"/>
      <c r="AR105" s="149"/>
      <c r="AS105" s="149"/>
      <c r="AT105" s="149"/>
      <c r="AU105" s="149"/>
      <c r="AV105" s="149"/>
      <c r="AW105" s="149"/>
      <c r="AX105" s="149"/>
      <c r="AY105" s="149"/>
      <c r="AZ105" s="149"/>
      <c r="BA105" s="149"/>
      <c r="BB105" s="149"/>
      <c r="BC105" s="149"/>
      <c r="BD105" s="149"/>
      <c r="BE105" s="149"/>
      <c r="BF105" s="149"/>
      <c r="BG105" s="149"/>
      <c r="BH105" s="149"/>
      <c r="BI105" s="149"/>
      <c r="BJ105" s="14"/>
      <c r="BK105" s="9"/>
    </row>
    <row r="106" ht="18.75" customHeight="1">
      <c r="A106" s="5"/>
      <c r="B106" s="96"/>
      <c r="C106" s="97"/>
      <c r="D106" s="98"/>
      <c r="E106" s="153" t="s">
        <v>65</v>
      </c>
      <c r="F106" s="38"/>
      <c r="G106" s="38"/>
      <c r="H106" s="39"/>
      <c r="I106" s="154" t="s">
        <v>53</v>
      </c>
      <c r="J106" s="155" t="s">
        <v>66</v>
      </c>
      <c r="K106" s="156"/>
      <c r="L106" s="156"/>
      <c r="M106" s="157"/>
      <c r="N106" s="61"/>
      <c r="O106" s="106"/>
      <c r="P106" s="98"/>
      <c r="Q106" s="107" t="s">
        <v>67</v>
      </c>
      <c r="R106" s="57"/>
      <c r="S106" s="57"/>
      <c r="T106" s="108"/>
      <c r="U106" s="109" t="s">
        <v>53</v>
      </c>
      <c r="V106" s="110" t="s">
        <v>68</v>
      </c>
      <c r="W106" s="57"/>
      <c r="X106" s="57"/>
      <c r="Y106" s="58"/>
      <c r="Z106" s="85"/>
      <c r="AA106" s="111"/>
      <c r="AB106" s="112"/>
      <c r="AC106" s="158" t="str">
        <f>IMAGE("https://raw.githubusercontent.com/darkbooker/RadicalRedSprites/main/Sprites/TYRANITAR_MEGA.png",4,64,64)</f>
        <v/>
      </c>
      <c r="AD106" s="159"/>
      <c r="AE106" s="160" t="s">
        <v>69</v>
      </c>
      <c r="AF106" s="38"/>
      <c r="AG106" s="38"/>
      <c r="AH106" s="39"/>
      <c r="AI106" s="161" t="s">
        <v>53</v>
      </c>
      <c r="AJ106" s="155" t="s">
        <v>60</v>
      </c>
      <c r="AK106" s="156"/>
      <c r="AL106" s="156"/>
      <c r="AM106" s="157"/>
      <c r="AN106" s="80"/>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14"/>
      <c r="BK106" s="9"/>
    </row>
    <row r="107" ht="3.75" customHeight="1">
      <c r="A107" s="5"/>
      <c r="B107" s="96"/>
      <c r="C107" s="122"/>
      <c r="D107" s="98"/>
      <c r="E107" s="162"/>
      <c r="F107" s="162"/>
      <c r="G107" s="162"/>
      <c r="H107" s="162"/>
      <c r="I107" s="163"/>
      <c r="J107" s="164"/>
      <c r="M107" s="165"/>
      <c r="N107" s="61"/>
      <c r="O107" s="59"/>
      <c r="P107" s="59"/>
      <c r="Q107" s="93"/>
      <c r="R107" s="93"/>
      <c r="S107" s="93"/>
      <c r="T107" s="93"/>
      <c r="U107" s="93"/>
      <c r="V107" s="93"/>
      <c r="W107" s="93"/>
      <c r="X107" s="93"/>
      <c r="Y107" s="166"/>
      <c r="Z107" s="85"/>
      <c r="AA107" s="122"/>
      <c r="AB107" s="112"/>
      <c r="AC107" s="167"/>
      <c r="AD107" s="89"/>
      <c r="AE107" s="59"/>
      <c r="AF107" s="59"/>
      <c r="AG107" s="59"/>
      <c r="AH107" s="59"/>
      <c r="AI107" s="163"/>
      <c r="AJ107" s="164"/>
      <c r="AM107" s="165"/>
      <c r="AN107" s="80"/>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14"/>
      <c r="BK107" s="9"/>
    </row>
    <row r="108" ht="18.75" customHeight="1">
      <c r="A108" s="5"/>
      <c r="B108" s="96"/>
      <c r="C108" s="131"/>
      <c r="D108" s="98"/>
      <c r="E108" s="168" t="s">
        <v>70</v>
      </c>
      <c r="F108" s="169"/>
      <c r="G108" s="169"/>
      <c r="H108" s="170"/>
      <c r="I108" s="171"/>
      <c r="J108" s="172"/>
      <c r="K108" s="173"/>
      <c r="L108" s="173"/>
      <c r="M108" s="174"/>
      <c r="N108" s="61"/>
      <c r="O108" s="106"/>
      <c r="P108" s="98"/>
      <c r="Q108" s="139" t="s">
        <v>71</v>
      </c>
      <c r="R108" s="45"/>
      <c r="S108" s="45"/>
      <c r="T108" s="140"/>
      <c r="U108" s="141" t="s">
        <v>53</v>
      </c>
      <c r="V108" s="142" t="s">
        <v>72</v>
      </c>
      <c r="W108" s="45"/>
      <c r="X108" s="45"/>
      <c r="Y108" s="46"/>
      <c r="Z108" s="85"/>
      <c r="AA108" s="131"/>
      <c r="AB108" s="112"/>
      <c r="AC108" s="175"/>
      <c r="AD108" s="176"/>
      <c r="AE108" s="177" t="s">
        <v>64</v>
      </c>
      <c r="AF108" s="169"/>
      <c r="AG108" s="169"/>
      <c r="AH108" s="170"/>
      <c r="AI108" s="171"/>
      <c r="AJ108" s="172"/>
      <c r="AK108" s="173"/>
      <c r="AL108" s="173"/>
      <c r="AM108" s="174"/>
      <c r="AN108" s="80"/>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14"/>
      <c r="BK108" s="9"/>
    </row>
    <row r="109" ht="3.75" customHeight="1">
      <c r="A109" s="5"/>
      <c r="B109" s="34"/>
      <c r="C109" s="35"/>
      <c r="D109" s="35"/>
      <c r="E109" s="36"/>
      <c r="F109" s="36"/>
      <c r="G109" s="36"/>
      <c r="H109" s="36"/>
      <c r="I109" s="36"/>
      <c r="J109" s="36"/>
      <c r="K109" s="36"/>
      <c r="L109" s="36"/>
      <c r="M109" s="36"/>
      <c r="N109" s="36"/>
      <c r="O109" s="36"/>
      <c r="P109" s="36"/>
      <c r="Q109" s="178"/>
      <c r="R109" s="178"/>
      <c r="S109" s="178"/>
      <c r="T109" s="178"/>
      <c r="U109" s="36"/>
      <c r="V109" s="178"/>
      <c r="W109" s="178"/>
      <c r="X109" s="178"/>
      <c r="Y109" s="179"/>
      <c r="Z109" s="180"/>
      <c r="AA109" s="36"/>
      <c r="AB109" s="36"/>
      <c r="AC109" s="36"/>
      <c r="AD109" s="36"/>
      <c r="AE109" s="36"/>
      <c r="AF109" s="36"/>
      <c r="AG109" s="36"/>
      <c r="AH109" s="36"/>
      <c r="AI109" s="36"/>
      <c r="AJ109" s="36"/>
      <c r="AK109" s="36"/>
      <c r="AL109" s="36"/>
      <c r="AM109" s="181"/>
      <c r="AN109" s="182"/>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14"/>
      <c r="BK109" s="9"/>
    </row>
    <row r="110" ht="18.75" customHeight="1">
      <c r="A110" s="5"/>
      <c r="B110" s="96"/>
      <c r="C110" s="97"/>
      <c r="D110" s="98"/>
      <c r="E110" s="183" t="s">
        <v>73</v>
      </c>
      <c r="F110" s="147"/>
      <c r="G110" s="147"/>
      <c r="H110" s="148"/>
      <c r="I110" s="184" t="s">
        <v>53</v>
      </c>
      <c r="J110" s="185" t="s">
        <v>74</v>
      </c>
      <c r="M110" s="126"/>
      <c r="N110" s="98"/>
      <c r="O110" s="106"/>
      <c r="P110" s="98"/>
      <c r="Q110" s="107" t="s">
        <v>75</v>
      </c>
      <c r="R110" s="57"/>
      <c r="S110" s="57"/>
      <c r="T110" s="108"/>
      <c r="U110" s="186" t="s">
        <v>53</v>
      </c>
      <c r="V110" s="187" t="s">
        <v>76</v>
      </c>
      <c r="W110" s="57"/>
      <c r="X110" s="57"/>
      <c r="Y110" s="58"/>
      <c r="Z110" s="85"/>
      <c r="AA110" s="111"/>
      <c r="AB110" s="112"/>
      <c r="AC110" s="188" t="str">
        <f>IMAGE("https://raw.githubusercontent.com/darkbooker/RadicalRedSprites/main/Sprites/BLAZIKEN_MEGA.png",4,64,64)</f>
        <v/>
      </c>
      <c r="AD110" s="114"/>
      <c r="AE110" s="115" t="s">
        <v>77</v>
      </c>
      <c r="AF110" s="116"/>
      <c r="AG110" s="116"/>
      <c r="AH110" s="117"/>
      <c r="AI110" s="118" t="s">
        <v>53</v>
      </c>
      <c r="AJ110" s="119" t="s">
        <v>78</v>
      </c>
      <c r="AK110" s="120"/>
      <c r="AL110" s="120"/>
      <c r="AM110" s="121"/>
      <c r="AN110" s="80"/>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14"/>
      <c r="BK110" s="9"/>
    </row>
    <row r="111" ht="3.75" customHeight="1">
      <c r="A111" s="5"/>
      <c r="B111" s="96"/>
      <c r="C111" s="122"/>
      <c r="D111" s="98"/>
      <c r="E111" s="123"/>
      <c r="F111" s="123"/>
      <c r="G111" s="123"/>
      <c r="H111" s="123"/>
      <c r="I111" s="124"/>
      <c r="J111" s="125"/>
      <c r="M111" s="126"/>
      <c r="N111" s="98"/>
      <c r="O111" s="59"/>
      <c r="P111" s="98"/>
      <c r="Q111" s="82"/>
      <c r="R111" s="82"/>
      <c r="S111" s="82"/>
      <c r="T111" s="86"/>
      <c r="U111" s="112"/>
      <c r="V111" s="82"/>
      <c r="W111" s="82"/>
      <c r="X111" s="82"/>
      <c r="Y111" s="86"/>
      <c r="Z111" s="85"/>
      <c r="AA111" s="122"/>
      <c r="AB111" s="112"/>
      <c r="AC111" s="125"/>
      <c r="AD111" s="126"/>
      <c r="AE111" s="128"/>
      <c r="AF111" s="129"/>
      <c r="AG111" s="129"/>
      <c r="AH111" s="129"/>
      <c r="AI111" s="124"/>
      <c r="AJ111" s="125"/>
      <c r="AM111" s="130"/>
      <c r="AN111" s="80"/>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14"/>
      <c r="BK111" s="9"/>
    </row>
    <row r="112" ht="18.75" customHeight="1">
      <c r="A112" s="5"/>
      <c r="B112" s="96"/>
      <c r="C112" s="131"/>
      <c r="D112" s="98"/>
      <c r="E112" s="132" t="s">
        <v>79</v>
      </c>
      <c r="F112" s="133"/>
      <c r="G112" s="133"/>
      <c r="H112" s="134"/>
      <c r="I112" s="135"/>
      <c r="J112" s="136"/>
      <c r="K112" s="137"/>
      <c r="L112" s="137"/>
      <c r="M112" s="138"/>
      <c r="N112" s="98"/>
      <c r="O112" s="106"/>
      <c r="P112" s="98"/>
      <c r="Q112" s="139" t="s">
        <v>80</v>
      </c>
      <c r="R112" s="45"/>
      <c r="S112" s="45"/>
      <c r="T112" s="140"/>
      <c r="U112" s="141" t="s">
        <v>53</v>
      </c>
      <c r="V112" s="142" t="s">
        <v>81</v>
      </c>
      <c r="W112" s="45"/>
      <c r="X112" s="45"/>
      <c r="Y112" s="46"/>
      <c r="Z112" s="85"/>
      <c r="AA112" s="131"/>
      <c r="AB112" s="112"/>
      <c r="AC112" s="143"/>
      <c r="AD112" s="144"/>
      <c r="AE112" s="145" t="s">
        <v>82</v>
      </c>
      <c r="AF112" s="116"/>
      <c r="AG112" s="116"/>
      <c r="AH112" s="117"/>
      <c r="AI112" s="146"/>
      <c r="AJ112" s="143"/>
      <c r="AK112" s="147"/>
      <c r="AL112" s="147"/>
      <c r="AM112" s="148"/>
      <c r="AN112" s="80"/>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14"/>
      <c r="BK112" s="9"/>
    </row>
    <row r="113" ht="3.75" customHeight="1">
      <c r="A113" s="5"/>
      <c r="B113" s="34"/>
      <c r="C113" s="35"/>
      <c r="D113" s="35"/>
      <c r="E113" s="149"/>
      <c r="F113" s="149"/>
      <c r="G113" s="149"/>
      <c r="H113" s="149"/>
      <c r="I113" s="149"/>
      <c r="J113" s="149"/>
      <c r="K113" s="149"/>
      <c r="L113" s="149"/>
      <c r="M113" s="149"/>
      <c r="N113" s="149"/>
      <c r="O113" s="149"/>
      <c r="P113" s="149"/>
      <c r="Q113" s="149"/>
      <c r="R113" s="149"/>
      <c r="S113" s="149"/>
      <c r="T113" s="149"/>
      <c r="U113" s="149"/>
      <c r="V113" s="149"/>
      <c r="W113" s="149"/>
      <c r="X113" s="149"/>
      <c r="Y113" s="150"/>
      <c r="Z113" s="151"/>
      <c r="AA113" s="149"/>
      <c r="AB113" s="149"/>
      <c r="AC113" s="149"/>
      <c r="AD113" s="149"/>
      <c r="AE113" s="149"/>
      <c r="AF113" s="149"/>
      <c r="AG113" s="149"/>
      <c r="AH113" s="149"/>
      <c r="AI113" s="149"/>
      <c r="AJ113" s="149"/>
      <c r="AK113" s="149"/>
      <c r="AL113" s="149"/>
      <c r="AM113" s="150"/>
      <c r="AN113" s="152"/>
      <c r="AO113" s="149"/>
      <c r="AP113" s="149"/>
      <c r="AQ113" s="149"/>
      <c r="AR113" s="149"/>
      <c r="AS113" s="149"/>
      <c r="AT113" s="149"/>
      <c r="AU113" s="149"/>
      <c r="AV113" s="149"/>
      <c r="AW113" s="149"/>
      <c r="AX113" s="149"/>
      <c r="AY113" s="149"/>
      <c r="AZ113" s="149"/>
      <c r="BA113" s="149"/>
      <c r="BB113" s="149"/>
      <c r="BC113" s="149"/>
      <c r="BD113" s="149"/>
      <c r="BE113" s="149"/>
      <c r="BF113" s="149"/>
      <c r="BG113" s="149"/>
      <c r="BH113" s="149"/>
      <c r="BI113" s="149"/>
      <c r="BJ113" s="14"/>
      <c r="BK113" s="9"/>
    </row>
    <row r="114" ht="18.75" customHeight="1">
      <c r="A114" s="5"/>
      <c r="B114" s="96"/>
      <c r="C114" s="97"/>
      <c r="D114" s="98"/>
      <c r="E114" s="153" t="s">
        <v>83</v>
      </c>
      <c r="F114" s="38"/>
      <c r="G114" s="38"/>
      <c r="H114" s="39"/>
      <c r="I114" s="154" t="s">
        <v>53</v>
      </c>
      <c r="J114" s="155" t="s">
        <v>84</v>
      </c>
      <c r="K114" s="156"/>
      <c r="L114" s="156"/>
      <c r="M114" s="157"/>
      <c r="N114" s="61"/>
      <c r="O114" s="106"/>
      <c r="P114" s="98"/>
      <c r="Q114" s="107" t="s">
        <v>85</v>
      </c>
      <c r="R114" s="57"/>
      <c r="S114" s="57"/>
      <c r="T114" s="108"/>
      <c r="U114" s="109" t="s">
        <v>53</v>
      </c>
      <c r="V114" s="110" t="s">
        <v>86</v>
      </c>
      <c r="W114" s="57"/>
      <c r="X114" s="57"/>
      <c r="Y114" s="58"/>
      <c r="Z114" s="85"/>
      <c r="AA114" s="111"/>
      <c r="AB114" s="112"/>
      <c r="AC114" s="189" t="str">
        <f>IMAGE("https://raw.githubusercontent.com/darkbooker/RadicalRedSprites/main/Sprites/SPINDA.png",4,64,64)</f>
        <v/>
      </c>
      <c r="AD114" s="159"/>
      <c r="AE114" s="190" t="s">
        <v>87</v>
      </c>
      <c r="AF114" s="191"/>
      <c r="AG114" s="191"/>
      <c r="AH114" s="191"/>
      <c r="AI114" s="191"/>
      <c r="AJ114" s="191"/>
      <c r="AK114" s="191"/>
      <c r="AL114" s="191"/>
      <c r="AM114" s="192"/>
      <c r="AN114" s="80"/>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14"/>
      <c r="BK114" s="9"/>
    </row>
    <row r="115" ht="3.75" customHeight="1">
      <c r="A115" s="5"/>
      <c r="B115" s="96"/>
      <c r="C115" s="122"/>
      <c r="D115" s="98"/>
      <c r="E115" s="162"/>
      <c r="F115" s="162"/>
      <c r="G115" s="162"/>
      <c r="H115" s="162"/>
      <c r="I115" s="163"/>
      <c r="J115" s="164"/>
      <c r="M115" s="165"/>
      <c r="N115" s="61"/>
      <c r="O115" s="59"/>
      <c r="P115" s="59"/>
      <c r="Q115" s="59"/>
      <c r="R115" s="59"/>
      <c r="S115" s="59"/>
      <c r="T115" s="59"/>
      <c r="U115" s="59"/>
      <c r="V115" s="59"/>
      <c r="W115" s="59"/>
      <c r="X115" s="59"/>
      <c r="Y115" s="112"/>
      <c r="Z115" s="85"/>
      <c r="AA115" s="122"/>
      <c r="AB115" s="112"/>
      <c r="AC115" s="167"/>
      <c r="AD115" s="89"/>
      <c r="AM115" s="130"/>
      <c r="AN115" s="80"/>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14"/>
      <c r="BK115" s="9"/>
    </row>
    <row r="116" ht="18.75" customHeight="1">
      <c r="A116" s="5"/>
      <c r="B116" s="96"/>
      <c r="C116" s="131"/>
      <c r="D116" s="98"/>
      <c r="E116" s="168" t="s">
        <v>88</v>
      </c>
      <c r="F116" s="169"/>
      <c r="G116" s="169"/>
      <c r="H116" s="170"/>
      <c r="I116" s="171"/>
      <c r="J116" s="172"/>
      <c r="K116" s="173"/>
      <c r="L116" s="173"/>
      <c r="M116" s="174"/>
      <c r="N116" s="61"/>
      <c r="O116" s="106"/>
      <c r="P116" s="98"/>
      <c r="Q116" s="139" t="s">
        <v>89</v>
      </c>
      <c r="R116" s="45"/>
      <c r="S116" s="45"/>
      <c r="T116" s="140"/>
      <c r="U116" s="141" t="s">
        <v>53</v>
      </c>
      <c r="V116" s="142" t="s">
        <v>90</v>
      </c>
      <c r="W116" s="45"/>
      <c r="X116" s="45"/>
      <c r="Y116" s="46"/>
      <c r="Z116" s="85"/>
      <c r="AA116" s="131"/>
      <c r="AB116" s="112"/>
      <c r="AC116" s="175"/>
      <c r="AD116" s="176"/>
      <c r="AE116" s="193"/>
      <c r="AF116" s="193"/>
      <c r="AG116" s="193"/>
      <c r="AH116" s="193"/>
      <c r="AI116" s="193"/>
      <c r="AJ116" s="193"/>
      <c r="AK116" s="193"/>
      <c r="AL116" s="193"/>
      <c r="AM116" s="194"/>
      <c r="AN116" s="80"/>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14"/>
      <c r="BK116" s="9"/>
    </row>
    <row r="117" ht="3.75" customHeight="1">
      <c r="A117" s="5"/>
      <c r="B117" s="34"/>
      <c r="C117" s="35"/>
      <c r="D117" s="35"/>
      <c r="E117" s="36"/>
      <c r="F117" s="36"/>
      <c r="G117" s="36"/>
      <c r="H117" s="36"/>
      <c r="I117" s="36"/>
      <c r="J117" s="36"/>
      <c r="K117" s="36"/>
      <c r="L117" s="36"/>
      <c r="M117" s="36"/>
      <c r="N117" s="36"/>
      <c r="O117" s="36"/>
      <c r="P117" s="36"/>
      <c r="Q117" s="178"/>
      <c r="R117" s="178"/>
      <c r="S117" s="178"/>
      <c r="T117" s="178"/>
      <c r="U117" s="178"/>
      <c r="V117" s="178"/>
      <c r="W117" s="178"/>
      <c r="X117" s="178"/>
      <c r="Y117" s="179"/>
      <c r="Z117" s="180"/>
      <c r="AA117" s="178"/>
      <c r="AB117" s="36"/>
      <c r="AC117" s="178"/>
      <c r="AD117" s="178"/>
      <c r="AE117" s="178"/>
      <c r="AF117" s="178"/>
      <c r="AG117" s="178"/>
      <c r="AH117" s="178"/>
      <c r="AI117" s="178"/>
      <c r="AJ117" s="178"/>
      <c r="AK117" s="178"/>
      <c r="AL117" s="178"/>
      <c r="AM117" s="179"/>
      <c r="AN117" s="182"/>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14"/>
      <c r="BK117" s="9"/>
    </row>
    <row r="118" ht="18.75" customHeight="1">
      <c r="A118" s="5"/>
      <c r="B118" s="96"/>
      <c r="C118" s="97"/>
      <c r="D118" s="98"/>
      <c r="E118" s="183" t="s">
        <v>91</v>
      </c>
      <c r="F118" s="147"/>
      <c r="G118" s="147"/>
      <c r="H118" s="148"/>
      <c r="I118" s="184" t="s">
        <v>53</v>
      </c>
      <c r="J118" s="185" t="s">
        <v>92</v>
      </c>
      <c r="M118" s="126"/>
      <c r="N118" s="61"/>
      <c r="O118" s="106"/>
      <c r="P118" s="98"/>
      <c r="Q118" s="107" t="s">
        <v>93</v>
      </c>
      <c r="R118" s="57"/>
      <c r="S118" s="57"/>
      <c r="T118" s="108"/>
      <c r="U118" s="109" t="s">
        <v>53</v>
      </c>
      <c r="V118" s="110" t="s">
        <v>94</v>
      </c>
      <c r="W118" s="57"/>
      <c r="X118" s="57"/>
      <c r="Y118" s="58"/>
      <c r="Z118" s="195"/>
      <c r="AA118" s="111"/>
      <c r="AB118" s="112"/>
      <c r="AC118" s="113" t="str">
        <f t="array" ref="AC118">IFERROR(VLOOKUP(AE118,Dex!$B$3:$S185,18,FALSE),"")</f>
        <v/>
      </c>
      <c r="AD118" s="114"/>
      <c r="AE118" s="115" t="s">
        <v>95</v>
      </c>
      <c r="AF118" s="116"/>
      <c r="AG118" s="116"/>
      <c r="AH118" s="117"/>
      <c r="AI118" s="118" t="s">
        <v>53</v>
      </c>
      <c r="AJ118" s="119" t="s">
        <v>96</v>
      </c>
      <c r="AK118" s="120"/>
      <c r="AL118" s="120"/>
      <c r="AM118" s="121"/>
      <c r="AN118" s="80"/>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14"/>
      <c r="BK118" s="9"/>
    </row>
    <row r="119" ht="3.75" customHeight="1">
      <c r="A119" s="5"/>
      <c r="B119" s="96"/>
      <c r="C119" s="122"/>
      <c r="D119" s="98"/>
      <c r="E119" s="123"/>
      <c r="F119" s="123"/>
      <c r="G119" s="123"/>
      <c r="H119" s="123"/>
      <c r="I119" s="124"/>
      <c r="J119" s="125"/>
      <c r="M119" s="126"/>
      <c r="N119" s="61"/>
      <c r="O119" s="59"/>
      <c r="P119" s="59"/>
      <c r="Q119" s="82"/>
      <c r="R119" s="82"/>
      <c r="S119" s="82"/>
      <c r="T119" s="82"/>
      <c r="U119" s="82"/>
      <c r="V119" s="82"/>
      <c r="W119" s="82"/>
      <c r="X119" s="82"/>
      <c r="Y119" s="86"/>
      <c r="Z119" s="195"/>
      <c r="AA119" s="122"/>
      <c r="AB119" s="112"/>
      <c r="AC119" s="125"/>
      <c r="AD119" s="126"/>
      <c r="AE119" s="128"/>
      <c r="AF119" s="129"/>
      <c r="AG119" s="129"/>
      <c r="AH119" s="129"/>
      <c r="AI119" s="124"/>
      <c r="AJ119" s="125"/>
      <c r="AM119" s="130"/>
      <c r="AN119" s="80"/>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14"/>
      <c r="BK119" s="9"/>
    </row>
    <row r="120" ht="18.75" customHeight="1">
      <c r="A120" s="5"/>
      <c r="B120" s="96"/>
      <c r="C120" s="131"/>
      <c r="D120" s="98"/>
      <c r="E120" s="132" t="s">
        <v>97</v>
      </c>
      <c r="F120" s="133"/>
      <c r="G120" s="133"/>
      <c r="H120" s="134"/>
      <c r="I120" s="135"/>
      <c r="J120" s="136"/>
      <c r="K120" s="137"/>
      <c r="L120" s="137"/>
      <c r="M120" s="138"/>
      <c r="N120" s="61"/>
      <c r="O120" s="106"/>
      <c r="P120" s="98"/>
      <c r="Q120" s="139" t="s">
        <v>98</v>
      </c>
      <c r="R120" s="45"/>
      <c r="S120" s="45"/>
      <c r="T120" s="140"/>
      <c r="U120" s="141" t="s">
        <v>53</v>
      </c>
      <c r="V120" s="142" t="s">
        <v>99</v>
      </c>
      <c r="W120" s="45"/>
      <c r="X120" s="45"/>
      <c r="Y120" s="46"/>
      <c r="Z120" s="195"/>
      <c r="AA120" s="131"/>
      <c r="AB120" s="112"/>
      <c r="AC120" s="143"/>
      <c r="AD120" s="144"/>
      <c r="AE120" s="145" t="s">
        <v>64</v>
      </c>
      <c r="AF120" s="116"/>
      <c r="AG120" s="116"/>
      <c r="AH120" s="117"/>
      <c r="AI120" s="146"/>
      <c r="AJ120" s="143"/>
      <c r="AK120" s="147"/>
      <c r="AL120" s="147"/>
      <c r="AM120" s="148"/>
      <c r="AN120" s="80"/>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14"/>
      <c r="BK120" s="9"/>
    </row>
    <row r="121" ht="3.75" customHeight="1">
      <c r="A121" s="5"/>
      <c r="B121" s="34"/>
      <c r="C121" s="35"/>
      <c r="D121" s="35"/>
      <c r="E121" s="149"/>
      <c r="F121" s="149"/>
      <c r="G121" s="149"/>
      <c r="H121" s="149"/>
      <c r="I121" s="149"/>
      <c r="J121" s="149"/>
      <c r="K121" s="149"/>
      <c r="L121" s="149"/>
      <c r="M121" s="149"/>
      <c r="N121" s="149"/>
      <c r="O121" s="149"/>
      <c r="P121" s="149"/>
      <c r="Q121" s="149"/>
      <c r="R121" s="149"/>
      <c r="S121" s="149"/>
      <c r="T121" s="149"/>
      <c r="U121" s="149"/>
      <c r="V121" s="149"/>
      <c r="W121" s="149"/>
      <c r="X121" s="149"/>
      <c r="Y121" s="150"/>
      <c r="Z121" s="151"/>
      <c r="AA121" s="149"/>
      <c r="AB121" s="149"/>
      <c r="AC121" s="149"/>
      <c r="AD121" s="149"/>
      <c r="AE121" s="149"/>
      <c r="AF121" s="149"/>
      <c r="AG121" s="149"/>
      <c r="AH121" s="149"/>
      <c r="AI121" s="149"/>
      <c r="AJ121" s="149"/>
      <c r="AK121" s="149"/>
      <c r="AL121" s="149"/>
      <c r="AM121" s="150"/>
      <c r="AN121" s="152"/>
      <c r="AO121" s="149"/>
      <c r="AP121" s="149"/>
      <c r="AQ121" s="149"/>
      <c r="AR121" s="149"/>
      <c r="AS121" s="149"/>
      <c r="AT121" s="149"/>
      <c r="AU121" s="149"/>
      <c r="AV121" s="149"/>
      <c r="AW121" s="149"/>
      <c r="AX121" s="149"/>
      <c r="AY121" s="149"/>
      <c r="AZ121" s="149"/>
      <c r="BA121" s="149"/>
      <c r="BB121" s="149"/>
      <c r="BC121" s="149"/>
      <c r="BD121" s="149"/>
      <c r="BE121" s="149"/>
      <c r="BF121" s="149"/>
      <c r="BG121" s="149"/>
      <c r="BH121" s="149"/>
      <c r="BI121" s="149"/>
      <c r="BJ121" s="14"/>
      <c r="BK121" s="9"/>
    </row>
    <row r="122" ht="18.75" customHeight="1">
      <c r="A122" s="5"/>
      <c r="B122" s="96"/>
      <c r="C122" s="97"/>
      <c r="D122" s="98"/>
      <c r="E122" s="153" t="s">
        <v>100</v>
      </c>
      <c r="F122" s="38"/>
      <c r="G122" s="38"/>
      <c r="H122" s="39"/>
      <c r="I122" s="154" t="s">
        <v>53</v>
      </c>
      <c r="J122" s="155" t="s">
        <v>101</v>
      </c>
      <c r="K122" s="156"/>
      <c r="L122" s="156"/>
      <c r="M122" s="157"/>
      <c r="N122" s="61"/>
      <c r="O122" s="106"/>
      <c r="P122" s="98"/>
      <c r="Q122" s="107" t="s">
        <v>102</v>
      </c>
      <c r="R122" s="57"/>
      <c r="S122" s="57"/>
      <c r="T122" s="108"/>
      <c r="U122" s="109" t="s">
        <v>53</v>
      </c>
      <c r="V122" s="110" t="s">
        <v>103</v>
      </c>
      <c r="W122" s="57"/>
      <c r="X122" s="57"/>
      <c r="Y122" s="58"/>
      <c r="Z122" s="85"/>
      <c r="AA122" s="111"/>
      <c r="AB122" s="112"/>
      <c r="AC122" s="196" t="str">
        <f>IMAGE("https://raw.githubusercontent.com/darkbooker/RadicalRedSprites/main/Sprites/COMFEY.png",4,64,64)</f>
        <v/>
      </c>
      <c r="AD122" s="159"/>
      <c r="AE122" s="190" t="s">
        <v>104</v>
      </c>
      <c r="AF122" s="191"/>
      <c r="AG122" s="191"/>
      <c r="AH122" s="191"/>
      <c r="AI122" s="191"/>
      <c r="AJ122" s="191"/>
      <c r="AK122" s="191"/>
      <c r="AL122" s="191"/>
      <c r="AM122" s="192"/>
      <c r="AN122" s="80"/>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14"/>
      <c r="BK122" s="9"/>
    </row>
    <row r="123" ht="3.75" customHeight="1">
      <c r="A123" s="5"/>
      <c r="B123" s="96"/>
      <c r="C123" s="122"/>
      <c r="D123" s="98"/>
      <c r="E123" s="162"/>
      <c r="F123" s="162"/>
      <c r="G123" s="162"/>
      <c r="H123" s="162"/>
      <c r="I123" s="163"/>
      <c r="J123" s="164"/>
      <c r="M123" s="165"/>
      <c r="N123" s="61"/>
      <c r="O123" s="59"/>
      <c r="P123" s="59"/>
      <c r="Q123" s="59"/>
      <c r="R123" s="59"/>
      <c r="S123" s="59"/>
      <c r="T123" s="59"/>
      <c r="U123" s="59"/>
      <c r="V123" s="59"/>
      <c r="W123" s="59"/>
      <c r="X123" s="59"/>
      <c r="Y123" s="112"/>
      <c r="Z123" s="85"/>
      <c r="AA123" s="122"/>
      <c r="AB123" s="112"/>
      <c r="AC123" s="167"/>
      <c r="AD123" s="89"/>
      <c r="AM123" s="130"/>
      <c r="AN123" s="80"/>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14"/>
      <c r="BK123" s="9"/>
    </row>
    <row r="124" ht="18.75" customHeight="1">
      <c r="A124" s="5"/>
      <c r="B124" s="96"/>
      <c r="C124" s="131"/>
      <c r="D124" s="98"/>
      <c r="E124" s="168" t="s">
        <v>105</v>
      </c>
      <c r="F124" s="169"/>
      <c r="G124" s="169"/>
      <c r="H124" s="170"/>
      <c r="I124" s="171"/>
      <c r="J124" s="172"/>
      <c r="K124" s="173"/>
      <c r="L124" s="173"/>
      <c r="M124" s="174"/>
      <c r="N124" s="61"/>
      <c r="O124" s="106"/>
      <c r="P124" s="98"/>
      <c r="Q124" s="139" t="s">
        <v>106</v>
      </c>
      <c r="R124" s="45"/>
      <c r="S124" s="45"/>
      <c r="T124" s="140"/>
      <c r="U124" s="141" t="s">
        <v>53</v>
      </c>
      <c r="V124" s="142" t="s">
        <v>107</v>
      </c>
      <c r="W124" s="45"/>
      <c r="X124" s="45"/>
      <c r="Y124" s="46"/>
      <c r="Z124" s="85"/>
      <c r="AA124" s="131"/>
      <c r="AB124" s="112"/>
      <c r="AC124" s="175"/>
      <c r="AD124" s="176"/>
      <c r="AE124" s="193"/>
      <c r="AF124" s="193"/>
      <c r="AG124" s="193"/>
      <c r="AH124" s="193"/>
      <c r="AI124" s="193"/>
      <c r="AJ124" s="193"/>
      <c r="AK124" s="193"/>
      <c r="AL124" s="193"/>
      <c r="AM124" s="194"/>
      <c r="AN124" s="80"/>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14"/>
      <c r="BK124" s="9"/>
    </row>
    <row r="125" ht="3.75" customHeight="1">
      <c r="A125" s="5"/>
      <c r="B125" s="34"/>
      <c r="C125" s="35"/>
      <c r="D125" s="35"/>
      <c r="E125" s="36"/>
      <c r="F125" s="36"/>
      <c r="G125" s="36"/>
      <c r="H125" s="36"/>
      <c r="I125" s="36"/>
      <c r="J125" s="36"/>
      <c r="K125" s="36"/>
      <c r="L125" s="36"/>
      <c r="M125" s="36"/>
      <c r="N125" s="36"/>
      <c r="O125" s="36"/>
      <c r="P125" s="36"/>
      <c r="Q125" s="178"/>
      <c r="R125" s="178"/>
      <c r="S125" s="178"/>
      <c r="T125" s="178"/>
      <c r="U125" s="178"/>
      <c r="V125" s="178"/>
      <c r="W125" s="178"/>
      <c r="X125" s="178"/>
      <c r="Y125" s="179"/>
      <c r="Z125" s="180"/>
      <c r="AA125" s="178"/>
      <c r="AB125" s="36"/>
      <c r="AC125" s="178"/>
      <c r="AD125" s="178"/>
      <c r="AE125" s="178"/>
      <c r="AF125" s="178"/>
      <c r="AG125" s="178"/>
      <c r="AH125" s="178"/>
      <c r="AI125" s="178"/>
      <c r="AJ125" s="178"/>
      <c r="AK125" s="178"/>
      <c r="AL125" s="178"/>
      <c r="AM125" s="179"/>
      <c r="AN125" s="182"/>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14"/>
      <c r="BK125" s="9"/>
    </row>
    <row r="126" ht="18.75" customHeight="1">
      <c r="A126" s="5"/>
      <c r="B126" s="96"/>
      <c r="C126" s="97"/>
      <c r="D126" s="98"/>
      <c r="E126" s="183" t="s">
        <v>108</v>
      </c>
      <c r="F126" s="147"/>
      <c r="G126" s="147"/>
      <c r="H126" s="148"/>
      <c r="I126" s="184" t="s">
        <v>53</v>
      </c>
      <c r="J126" s="185" t="s">
        <v>109</v>
      </c>
      <c r="M126" s="126"/>
      <c r="N126" s="61"/>
      <c r="O126" s="106"/>
      <c r="P126" s="98"/>
      <c r="Q126" s="107" t="s">
        <v>110</v>
      </c>
      <c r="R126" s="57"/>
      <c r="S126" s="57"/>
      <c r="T126" s="108"/>
      <c r="U126" s="109" t="s">
        <v>53</v>
      </c>
      <c r="V126" s="110" t="s">
        <v>111</v>
      </c>
      <c r="W126" s="57"/>
      <c r="X126" s="57"/>
      <c r="Y126" s="58"/>
      <c r="Z126" s="195"/>
      <c r="AA126" s="111"/>
      <c r="AB126" s="112"/>
      <c r="AC126" s="113" t="str">
        <f>IMAGE("https://raw.githubusercontent.com/darkbooker/RadicalRedSprites/main/Sprites/RILLABOOM.png",4,64,64)</f>
        <v/>
      </c>
      <c r="AD126" s="114"/>
      <c r="AE126" s="115" t="s">
        <v>112</v>
      </c>
      <c r="AF126" s="116"/>
      <c r="AG126" s="116"/>
      <c r="AH126" s="117"/>
      <c r="AI126" s="118" t="s">
        <v>53</v>
      </c>
      <c r="AJ126" s="119" t="s">
        <v>60</v>
      </c>
      <c r="AK126" s="120"/>
      <c r="AL126" s="120"/>
      <c r="AM126" s="121"/>
      <c r="AN126" s="80"/>
      <c r="AO126" s="59"/>
      <c r="AP126" s="59"/>
      <c r="AQ126" s="59"/>
      <c r="AR126" s="59"/>
      <c r="AS126" s="59"/>
      <c r="AT126" s="59"/>
      <c r="AU126" s="59"/>
      <c r="AV126" s="59"/>
      <c r="AW126" s="59"/>
      <c r="AX126" s="59"/>
      <c r="AY126" s="59"/>
      <c r="AZ126" s="59"/>
      <c r="BA126" s="59"/>
      <c r="BB126" s="59"/>
      <c r="BC126" s="59"/>
      <c r="BD126" s="59"/>
      <c r="BE126" s="59"/>
      <c r="BF126" s="59"/>
      <c r="BG126" s="59"/>
      <c r="BH126" s="59"/>
      <c r="BI126" s="59"/>
      <c r="BJ126" s="14"/>
      <c r="BK126" s="9"/>
    </row>
    <row r="127" ht="3.75" customHeight="1">
      <c r="A127" s="5"/>
      <c r="B127" s="96"/>
      <c r="C127" s="122"/>
      <c r="D127" s="98"/>
      <c r="E127" s="123"/>
      <c r="F127" s="123"/>
      <c r="G127" s="123"/>
      <c r="H127" s="123"/>
      <c r="I127" s="124"/>
      <c r="J127" s="125"/>
      <c r="M127" s="126"/>
      <c r="N127" s="61"/>
      <c r="O127" s="59"/>
      <c r="P127" s="59"/>
      <c r="Q127" s="82"/>
      <c r="R127" s="82"/>
      <c r="S127" s="82"/>
      <c r="T127" s="82"/>
      <c r="U127" s="82"/>
      <c r="V127" s="82"/>
      <c r="W127" s="82"/>
      <c r="X127" s="82"/>
      <c r="Y127" s="86"/>
      <c r="Z127" s="195"/>
      <c r="AA127" s="122"/>
      <c r="AB127" s="112"/>
      <c r="AC127" s="125"/>
      <c r="AD127" s="126"/>
      <c r="AE127" s="128"/>
      <c r="AF127" s="129"/>
      <c r="AG127" s="129"/>
      <c r="AH127" s="129"/>
      <c r="AI127" s="124"/>
      <c r="AJ127" s="125"/>
      <c r="AM127" s="130"/>
      <c r="AN127" s="80"/>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14"/>
      <c r="BK127" s="9"/>
    </row>
    <row r="128" ht="18.75" customHeight="1">
      <c r="A128" s="5"/>
      <c r="B128" s="96"/>
      <c r="C128" s="122"/>
      <c r="D128" s="98"/>
      <c r="E128" s="197" t="s">
        <v>113</v>
      </c>
      <c r="F128" s="133"/>
      <c r="G128" s="133"/>
      <c r="H128" s="134"/>
      <c r="I128" s="124"/>
      <c r="J128" s="125"/>
      <c r="M128" s="126"/>
      <c r="N128" s="61"/>
      <c r="O128" s="106"/>
      <c r="P128" s="98"/>
      <c r="Q128" s="139" t="s">
        <v>114</v>
      </c>
      <c r="R128" s="45"/>
      <c r="S128" s="45"/>
      <c r="T128" s="140"/>
      <c r="U128" s="141" t="s">
        <v>53</v>
      </c>
      <c r="V128" s="142" t="s">
        <v>115</v>
      </c>
      <c r="W128" s="45"/>
      <c r="X128" s="45"/>
      <c r="Y128" s="46"/>
      <c r="Z128" s="195"/>
      <c r="AA128" s="131"/>
      <c r="AB128" s="112"/>
      <c r="AC128" s="143"/>
      <c r="AD128" s="144"/>
      <c r="AE128" s="145" t="s">
        <v>116</v>
      </c>
      <c r="AF128" s="116"/>
      <c r="AG128" s="116"/>
      <c r="AH128" s="117"/>
      <c r="AI128" s="146"/>
      <c r="AJ128" s="143"/>
      <c r="AK128" s="147"/>
      <c r="AL128" s="147"/>
      <c r="AM128" s="148"/>
      <c r="AN128" s="80"/>
      <c r="AO128" s="59"/>
      <c r="AP128" s="59"/>
      <c r="AQ128" s="59"/>
      <c r="AR128" s="59"/>
      <c r="AS128" s="59"/>
      <c r="AT128" s="59"/>
      <c r="AU128" s="59"/>
      <c r="AV128" s="59"/>
      <c r="AW128" s="59"/>
      <c r="AX128" s="59"/>
      <c r="AY128" s="59"/>
      <c r="AZ128" s="59"/>
      <c r="BA128" s="59"/>
      <c r="BB128" s="59"/>
      <c r="BC128" s="59"/>
      <c r="BD128" s="59"/>
      <c r="BE128" s="59"/>
      <c r="BF128" s="59"/>
      <c r="BG128" s="59"/>
      <c r="BH128" s="59"/>
      <c r="BI128" s="59"/>
      <c r="BJ128" s="14"/>
      <c r="BK128" s="9"/>
    </row>
    <row r="129" ht="3.75" customHeight="1">
      <c r="A129" s="5"/>
      <c r="B129" s="96"/>
      <c r="C129" s="122"/>
      <c r="D129" s="98"/>
      <c r="E129" s="123"/>
      <c r="F129" s="123"/>
      <c r="G129" s="123"/>
      <c r="H129" s="123"/>
      <c r="I129" s="124"/>
      <c r="J129" s="125"/>
      <c r="M129" s="126"/>
      <c r="N129" s="61"/>
      <c r="O129" s="59"/>
      <c r="P129" s="59"/>
      <c r="Q129" s="59"/>
      <c r="R129" s="59"/>
      <c r="S129" s="59"/>
      <c r="T129" s="59"/>
      <c r="U129" s="59"/>
      <c r="V129" s="59"/>
      <c r="W129" s="59"/>
      <c r="X129" s="59"/>
      <c r="Y129" s="112"/>
      <c r="Z129" s="85"/>
      <c r="AA129" s="92"/>
      <c r="AB129" s="93"/>
      <c r="AC129" s="92"/>
      <c r="AD129" s="92"/>
      <c r="AE129" s="92"/>
      <c r="AF129" s="92"/>
      <c r="AG129" s="92"/>
      <c r="AH129" s="92"/>
      <c r="AI129" s="92"/>
      <c r="AJ129" s="92"/>
      <c r="AK129" s="92"/>
      <c r="AL129" s="92"/>
      <c r="AM129" s="127"/>
      <c r="AN129" s="152"/>
      <c r="AO129" s="59"/>
      <c r="AP129" s="59"/>
      <c r="AQ129" s="59"/>
      <c r="AR129" s="59"/>
      <c r="AS129" s="59"/>
      <c r="AT129" s="59"/>
      <c r="AU129" s="59"/>
      <c r="AV129" s="59"/>
      <c r="AW129" s="59"/>
      <c r="AX129" s="59"/>
      <c r="AY129" s="59"/>
      <c r="AZ129" s="59"/>
      <c r="BA129" s="59"/>
      <c r="BB129" s="59"/>
      <c r="BC129" s="59"/>
      <c r="BD129" s="59"/>
      <c r="BE129" s="59"/>
      <c r="BF129" s="59"/>
      <c r="BG129" s="59"/>
      <c r="BH129" s="59"/>
      <c r="BI129" s="59"/>
      <c r="BJ129" s="14"/>
      <c r="BK129" s="9"/>
    </row>
    <row r="130" ht="18.75" customHeight="1">
      <c r="A130" s="5"/>
      <c r="B130" s="96"/>
      <c r="C130" s="122"/>
      <c r="D130" s="98"/>
      <c r="E130" s="198" t="s">
        <v>117</v>
      </c>
      <c r="F130" s="100"/>
      <c r="G130" s="100"/>
      <c r="H130" s="101"/>
      <c r="I130" s="124"/>
      <c r="J130" s="125"/>
      <c r="M130" s="126"/>
      <c r="N130" s="61"/>
      <c r="O130" s="59"/>
      <c r="P130" s="59"/>
      <c r="Q130" s="59"/>
      <c r="R130" s="59"/>
      <c r="S130" s="59"/>
      <c r="T130" s="59"/>
      <c r="U130" s="59"/>
      <c r="V130" s="59"/>
      <c r="W130" s="59"/>
      <c r="X130" s="59"/>
      <c r="Y130" s="112"/>
      <c r="Z130" s="85"/>
      <c r="AA130" s="111"/>
      <c r="AB130" s="112"/>
      <c r="AC130" s="199" t="str">
        <f>IMAGE("https://raw.githubusercontent.com/darkbooker/RadicalRedSprites/main/Sprites/ESPATHRA.png",4,64,64)</f>
        <v/>
      </c>
      <c r="AD130" s="200"/>
      <c r="AE130" s="190" t="s">
        <v>118</v>
      </c>
      <c r="AF130" s="191"/>
      <c r="AG130" s="191"/>
      <c r="AH130" s="191"/>
      <c r="AI130" s="191"/>
      <c r="AJ130" s="191"/>
      <c r="AK130" s="191"/>
      <c r="AL130" s="191"/>
      <c r="AM130" s="192"/>
      <c r="AN130" s="80"/>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14"/>
      <c r="BK130" s="9"/>
    </row>
    <row r="131" ht="3.75" customHeight="1">
      <c r="A131" s="5"/>
      <c r="B131" s="96"/>
      <c r="C131" s="122"/>
      <c r="D131" s="98"/>
      <c r="E131" s="123"/>
      <c r="F131" s="123"/>
      <c r="G131" s="123"/>
      <c r="H131" s="123"/>
      <c r="I131" s="124"/>
      <c r="J131" s="125"/>
      <c r="M131" s="126"/>
      <c r="N131" s="61"/>
      <c r="O131" s="59"/>
      <c r="P131" s="59"/>
      <c r="Q131" s="59"/>
      <c r="R131" s="59"/>
      <c r="S131" s="59"/>
      <c r="T131" s="59"/>
      <c r="U131" s="59"/>
      <c r="V131" s="59"/>
      <c r="W131" s="59"/>
      <c r="X131" s="59"/>
      <c r="Y131" s="112"/>
      <c r="Z131" s="85"/>
      <c r="AA131" s="122"/>
      <c r="AB131" s="112"/>
      <c r="AC131" s="201"/>
      <c r="AD131" s="202"/>
      <c r="AM131" s="130"/>
      <c r="AN131" s="80"/>
      <c r="AO131" s="59"/>
      <c r="AP131" s="59"/>
      <c r="AQ131" s="59"/>
      <c r="AR131" s="59"/>
      <c r="AS131" s="59"/>
      <c r="AT131" s="59"/>
      <c r="AU131" s="59"/>
      <c r="AV131" s="59"/>
      <c r="AW131" s="59"/>
      <c r="AX131" s="59"/>
      <c r="AY131" s="59"/>
      <c r="AZ131" s="59"/>
      <c r="BA131" s="59"/>
      <c r="BB131" s="59"/>
      <c r="BC131" s="59"/>
      <c r="BD131" s="59"/>
      <c r="BE131" s="59"/>
      <c r="BF131" s="59"/>
      <c r="BG131" s="59"/>
      <c r="BH131" s="59"/>
      <c r="BI131" s="59"/>
      <c r="BJ131" s="14"/>
      <c r="BK131" s="9"/>
    </row>
    <row r="132" ht="18.75" customHeight="1">
      <c r="A132" s="5"/>
      <c r="B132" s="96"/>
      <c r="C132" s="122"/>
      <c r="D132" s="98"/>
      <c r="E132" s="203" t="s">
        <v>119</v>
      </c>
      <c r="F132" s="133"/>
      <c r="G132" s="133"/>
      <c r="H132" s="134"/>
      <c r="I132" s="124"/>
      <c r="J132" s="125"/>
      <c r="M132" s="126"/>
      <c r="N132" s="61"/>
      <c r="O132" s="59"/>
      <c r="P132" s="59"/>
      <c r="Q132" s="59"/>
      <c r="R132" s="59"/>
      <c r="S132" s="59"/>
      <c r="T132" s="59"/>
      <c r="U132" s="59"/>
      <c r="V132" s="59"/>
      <c r="W132" s="59"/>
      <c r="X132" s="59"/>
      <c r="Y132" s="112"/>
      <c r="Z132" s="85"/>
      <c r="AA132" s="131"/>
      <c r="AB132" s="112"/>
      <c r="AC132" s="204"/>
      <c r="AD132" s="205"/>
      <c r="AE132" s="193"/>
      <c r="AF132" s="193"/>
      <c r="AG132" s="193"/>
      <c r="AH132" s="193"/>
      <c r="AI132" s="193"/>
      <c r="AJ132" s="193"/>
      <c r="AK132" s="193"/>
      <c r="AL132" s="193"/>
      <c r="AM132" s="194"/>
      <c r="AN132" s="80"/>
      <c r="AO132" s="59"/>
      <c r="AP132" s="59"/>
      <c r="AQ132" s="59"/>
      <c r="AR132" s="59"/>
      <c r="AS132" s="59"/>
      <c r="AT132" s="59"/>
      <c r="AU132" s="59"/>
      <c r="AV132" s="59"/>
      <c r="AW132" s="59"/>
      <c r="AX132" s="59"/>
      <c r="AY132" s="59"/>
      <c r="AZ132" s="59"/>
      <c r="BA132" s="59"/>
      <c r="BB132" s="59"/>
      <c r="BC132" s="59"/>
      <c r="BD132" s="59"/>
      <c r="BE132" s="59"/>
      <c r="BF132" s="59"/>
      <c r="BG132" s="59"/>
      <c r="BH132" s="59"/>
      <c r="BI132" s="59"/>
      <c r="BJ132" s="14"/>
      <c r="BK132" s="9"/>
    </row>
    <row r="133" ht="3.75" customHeight="1">
      <c r="A133" s="5"/>
      <c r="B133" s="96"/>
      <c r="C133" s="122"/>
      <c r="D133" s="98"/>
      <c r="E133" s="123"/>
      <c r="F133" s="123"/>
      <c r="G133" s="123"/>
      <c r="H133" s="123"/>
      <c r="I133" s="124"/>
      <c r="J133" s="125"/>
      <c r="M133" s="126"/>
      <c r="N133" s="61"/>
      <c r="O133" s="59"/>
      <c r="P133" s="59"/>
      <c r="Q133" s="59"/>
      <c r="R133" s="59"/>
      <c r="S133" s="59"/>
      <c r="T133" s="59"/>
      <c r="U133" s="59"/>
      <c r="V133" s="59"/>
      <c r="W133" s="59"/>
      <c r="X133" s="59"/>
      <c r="Y133" s="112"/>
      <c r="Z133" s="85"/>
      <c r="AA133" s="92"/>
      <c r="AB133" s="93"/>
      <c r="AC133" s="92"/>
      <c r="AD133" s="92"/>
      <c r="AE133" s="92"/>
      <c r="AF133" s="92"/>
      <c r="AG133" s="92"/>
      <c r="AH133" s="92"/>
      <c r="AI133" s="92"/>
      <c r="AJ133" s="92"/>
      <c r="AK133" s="92"/>
      <c r="AL133" s="92"/>
      <c r="AM133" s="127"/>
      <c r="AN133" s="80"/>
      <c r="AO133" s="59"/>
      <c r="AP133" s="59"/>
      <c r="AQ133" s="59"/>
      <c r="AR133" s="59"/>
      <c r="AS133" s="59"/>
      <c r="AT133" s="59"/>
      <c r="AU133" s="59"/>
      <c r="AV133" s="59"/>
      <c r="AW133" s="59"/>
      <c r="AX133" s="59"/>
      <c r="AY133" s="59"/>
      <c r="AZ133" s="59"/>
      <c r="BA133" s="59"/>
      <c r="BB133" s="59"/>
      <c r="BC133" s="59"/>
      <c r="BD133" s="59"/>
      <c r="BE133" s="59"/>
      <c r="BF133" s="59"/>
      <c r="BG133" s="59"/>
      <c r="BH133" s="59"/>
      <c r="BI133" s="59"/>
      <c r="BJ133" s="14"/>
      <c r="BK133" s="9"/>
    </row>
    <row r="134" ht="18.75" customHeight="1">
      <c r="A134" s="5"/>
      <c r="B134" s="96"/>
      <c r="C134" s="131"/>
      <c r="D134" s="98"/>
      <c r="E134" s="206" t="s">
        <v>120</v>
      </c>
      <c r="F134" s="100"/>
      <c r="G134" s="100"/>
      <c r="H134" s="101"/>
      <c r="I134" s="135"/>
      <c r="J134" s="136"/>
      <c r="K134" s="137"/>
      <c r="L134" s="137"/>
      <c r="M134" s="138"/>
      <c r="N134" s="61"/>
      <c r="O134" s="59"/>
      <c r="P134" s="59"/>
      <c r="Q134" s="59"/>
      <c r="R134" s="59"/>
      <c r="S134" s="59"/>
      <c r="T134" s="59"/>
      <c r="U134" s="59"/>
      <c r="V134" s="59"/>
      <c r="W134" s="59"/>
      <c r="X134" s="59"/>
      <c r="Y134" s="59"/>
      <c r="Z134" s="85"/>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59"/>
      <c r="BG134" s="59"/>
      <c r="BH134" s="59"/>
      <c r="BI134" s="59"/>
      <c r="BJ134" s="14"/>
      <c r="BK134" s="9"/>
    </row>
    <row r="135" ht="3.75" customHeight="1">
      <c r="A135" s="5"/>
      <c r="B135" s="81"/>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85"/>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14"/>
      <c r="BK135" s="9"/>
    </row>
    <row r="136" ht="7.5" customHeight="1">
      <c r="A136" s="5"/>
      <c r="B136" s="34"/>
      <c r="C136" s="35"/>
      <c r="D136" s="35"/>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14"/>
      <c r="BK136" s="9"/>
    </row>
    <row r="137">
      <c r="A137" s="5"/>
      <c r="B137" s="17"/>
      <c r="C137" s="208" t="s">
        <v>121</v>
      </c>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10"/>
      <c r="AD137" s="59"/>
      <c r="AE137" s="211" t="s">
        <v>122</v>
      </c>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3"/>
      <c r="BI137" s="59"/>
      <c r="BJ137" s="14"/>
      <c r="BK137" s="63"/>
    </row>
    <row r="138" ht="2.25" customHeight="1">
      <c r="A138" s="5"/>
      <c r="B138" s="81"/>
      <c r="C138" s="82"/>
      <c r="D138" s="82"/>
      <c r="E138" s="83"/>
      <c r="F138" s="83"/>
      <c r="G138" s="83"/>
      <c r="H138" s="83"/>
      <c r="I138" s="84"/>
      <c r="J138" s="83"/>
      <c r="K138" s="83"/>
      <c r="L138" s="83"/>
      <c r="M138" s="83"/>
      <c r="N138" s="82"/>
      <c r="O138" s="82"/>
      <c r="P138" s="82"/>
      <c r="Q138" s="83"/>
      <c r="R138" s="83"/>
      <c r="S138" s="83"/>
      <c r="T138" s="83"/>
      <c r="U138" s="84"/>
      <c r="V138" s="83"/>
      <c r="W138" s="83"/>
      <c r="X138" s="83"/>
      <c r="Y138" s="83"/>
      <c r="Z138" s="82"/>
      <c r="AA138" s="82"/>
      <c r="AB138" s="82"/>
      <c r="AC138" s="86"/>
      <c r="AD138" s="214"/>
      <c r="AE138" s="82"/>
      <c r="AF138" s="82"/>
      <c r="AG138" s="82"/>
      <c r="AH138" s="82"/>
      <c r="AI138" s="82"/>
      <c r="AJ138" s="82"/>
      <c r="AK138" s="82"/>
      <c r="AL138" s="82"/>
      <c r="AM138" s="82"/>
      <c r="AN138" s="82"/>
      <c r="AO138" s="82"/>
      <c r="AP138" s="82"/>
      <c r="AQ138" s="82"/>
      <c r="AR138" s="82"/>
      <c r="AS138" s="82"/>
      <c r="AT138" s="82"/>
      <c r="AU138" s="82"/>
      <c r="AV138" s="82"/>
      <c r="AW138" s="82"/>
      <c r="AX138" s="82"/>
      <c r="AY138" s="82"/>
      <c r="AZ138" s="82"/>
      <c r="BA138" s="82"/>
      <c r="BB138" s="82"/>
      <c r="BC138" s="82"/>
      <c r="BD138" s="82"/>
      <c r="BE138" s="82"/>
      <c r="BF138" s="82"/>
      <c r="BG138" s="82"/>
      <c r="BH138" s="86"/>
      <c r="BI138" s="215"/>
      <c r="BJ138" s="14"/>
      <c r="BK138" s="9"/>
    </row>
    <row r="139" ht="18.75" customHeight="1">
      <c r="A139" s="5"/>
      <c r="B139" s="81"/>
      <c r="C139" s="91"/>
      <c r="D139" s="91"/>
      <c r="E139" s="216" t="s">
        <v>123</v>
      </c>
      <c r="F139" s="50"/>
      <c r="G139" s="50"/>
      <c r="H139" s="50"/>
      <c r="I139" s="51"/>
      <c r="J139" s="91"/>
      <c r="K139" s="217" t="s">
        <v>124</v>
      </c>
      <c r="O139" s="89"/>
      <c r="P139" s="91"/>
      <c r="Q139" s="91"/>
      <c r="R139" s="217" t="s">
        <v>125</v>
      </c>
      <c r="V139" s="89"/>
      <c r="W139" s="91"/>
      <c r="X139" s="216" t="s">
        <v>126</v>
      </c>
      <c r="Y139" s="50"/>
      <c r="Z139" s="50"/>
      <c r="AA139" s="50"/>
      <c r="AB139" s="50"/>
      <c r="AC139" s="51"/>
      <c r="AD139" s="218"/>
      <c r="AE139" s="219" t="s">
        <v>127</v>
      </c>
      <c r="BH139" s="89"/>
      <c r="BI139" s="220"/>
      <c r="BJ139" s="14"/>
      <c r="BK139" s="9"/>
    </row>
    <row r="140" ht="18.75" customHeight="1">
      <c r="A140" s="5"/>
      <c r="B140" s="81"/>
      <c r="C140" s="91"/>
      <c r="D140" s="91"/>
      <c r="E140" s="221" t="s">
        <v>128</v>
      </c>
      <c r="F140" s="38"/>
      <c r="G140" s="38"/>
      <c r="H140" s="38"/>
      <c r="I140" s="39"/>
      <c r="J140" s="222"/>
      <c r="K140" s="221" t="s">
        <v>129</v>
      </c>
      <c r="L140" s="38"/>
      <c r="M140" s="38"/>
      <c r="N140" s="38"/>
      <c r="O140" s="39"/>
      <c r="P140" s="91"/>
      <c r="Q140" s="222"/>
      <c r="R140" s="221" t="s">
        <v>130</v>
      </c>
      <c r="S140" s="38"/>
      <c r="T140" s="38"/>
      <c r="U140" s="38"/>
      <c r="V140" s="39"/>
      <c r="W140" s="91"/>
      <c r="X140" s="221" t="s">
        <v>131</v>
      </c>
      <c r="Y140" s="38"/>
      <c r="Z140" s="38"/>
      <c r="AA140" s="38"/>
      <c r="AB140" s="38"/>
      <c r="AC140" s="39"/>
      <c r="AD140" s="218"/>
      <c r="AE140" s="223"/>
      <c r="AF140" s="223"/>
      <c r="AG140" s="223"/>
      <c r="AH140" s="223"/>
      <c r="AI140" s="223"/>
      <c r="AJ140" s="223"/>
      <c r="AK140" s="223"/>
      <c r="AL140" s="223"/>
      <c r="AM140" s="223"/>
      <c r="AN140" s="223"/>
      <c r="AO140" s="223"/>
      <c r="AP140" s="223"/>
      <c r="AQ140" s="223"/>
      <c r="AR140" s="223"/>
      <c r="AS140" s="223"/>
      <c r="AT140" s="223"/>
      <c r="AU140" s="223"/>
      <c r="AV140" s="223"/>
      <c r="AW140" s="223"/>
      <c r="AX140" s="223"/>
      <c r="AY140" s="223"/>
      <c r="AZ140" s="223"/>
      <c r="BA140" s="223"/>
      <c r="BB140" s="223"/>
      <c r="BC140" s="223"/>
      <c r="BD140" s="223"/>
      <c r="BE140" s="223"/>
      <c r="BF140" s="223"/>
      <c r="BG140" s="223"/>
      <c r="BH140" s="224"/>
      <c r="BI140" s="220"/>
      <c r="BJ140" s="14"/>
      <c r="BK140" s="9"/>
    </row>
    <row r="141" ht="2.25" customHeight="1">
      <c r="A141" s="5"/>
      <c r="B141" s="81"/>
      <c r="C141" s="91"/>
      <c r="D141" s="91"/>
      <c r="E141" s="225" t="s">
        <v>132</v>
      </c>
      <c r="F141" s="26"/>
      <c r="G141" s="26"/>
      <c r="H141" s="26"/>
      <c r="I141" s="27"/>
      <c r="J141" s="222"/>
      <c r="K141" s="225" t="s">
        <v>133</v>
      </c>
      <c r="L141" s="26"/>
      <c r="M141" s="26"/>
      <c r="N141" s="26"/>
      <c r="O141" s="27"/>
      <c r="P141" s="91"/>
      <c r="Q141" s="222"/>
      <c r="R141" s="225" t="s">
        <v>134</v>
      </c>
      <c r="S141" s="26"/>
      <c r="T141" s="26"/>
      <c r="U141" s="26"/>
      <c r="V141" s="27"/>
      <c r="W141" s="91"/>
      <c r="X141" s="225" t="s">
        <v>135</v>
      </c>
      <c r="Y141" s="26"/>
      <c r="Z141" s="26"/>
      <c r="AA141" s="26"/>
      <c r="AB141" s="26"/>
      <c r="AC141" s="27"/>
      <c r="AD141" s="218"/>
      <c r="AE141" s="226"/>
      <c r="AF141" s="226"/>
      <c r="AG141" s="226"/>
      <c r="AH141" s="226"/>
      <c r="AI141" s="226"/>
      <c r="AJ141" s="226"/>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222"/>
      <c r="BI141" s="220"/>
      <c r="BJ141" s="14"/>
      <c r="BK141" s="9"/>
    </row>
    <row r="142" ht="18.75" customHeight="1">
      <c r="A142" s="5"/>
      <c r="B142" s="81"/>
      <c r="C142" s="91"/>
      <c r="D142" s="91"/>
      <c r="E142" s="227"/>
      <c r="F142" s="50"/>
      <c r="G142" s="50"/>
      <c r="H142" s="50"/>
      <c r="I142" s="51"/>
      <c r="J142" s="222"/>
      <c r="K142" s="227"/>
      <c r="L142" s="50"/>
      <c r="M142" s="50"/>
      <c r="N142" s="50"/>
      <c r="O142" s="51"/>
      <c r="P142" s="91"/>
      <c r="Q142" s="222"/>
      <c r="R142" s="227"/>
      <c r="S142" s="50"/>
      <c r="T142" s="50"/>
      <c r="U142" s="50"/>
      <c r="V142" s="51"/>
      <c r="W142" s="91"/>
      <c r="X142" s="227"/>
      <c r="Y142" s="50"/>
      <c r="Z142" s="50"/>
      <c r="AA142" s="50"/>
      <c r="AB142" s="50"/>
      <c r="AC142" s="51"/>
      <c r="AD142" s="228"/>
      <c r="AE142" s="189" t="str">
        <f t="array" ref="AE142">IFERROR(VLOOKUP(AG142,Dex!$B$3:$S185,18,FALSE),"")</f>
        <v/>
      </c>
      <c r="AF142" s="159"/>
      <c r="AG142" s="229" t="s">
        <v>136</v>
      </c>
      <c r="AH142" s="156"/>
      <c r="AI142" s="156"/>
      <c r="AJ142" s="157"/>
      <c r="AK142" s="230" t="str">
        <f t="array" ref="AK142">IFERROR(VLOOKUP(AM142,Dex!$B$3:$S185,18,FALSE),"")</f>
        <v/>
      </c>
      <c r="AL142" s="231"/>
      <c r="AM142" s="232" t="s">
        <v>137</v>
      </c>
      <c r="AN142" s="104"/>
      <c r="AO142" s="104"/>
      <c r="AP142" s="105"/>
      <c r="AQ142" s="189" t="str">
        <f t="array" ref="AQ142">IFERROR(VLOOKUP(AS142,Dex!$B$3:$S185,18,FALSE),"")</f>
        <v/>
      </c>
      <c r="AR142" s="159"/>
      <c r="AS142" s="229" t="s">
        <v>138</v>
      </c>
      <c r="AT142" s="156"/>
      <c r="AU142" s="156"/>
      <c r="AV142" s="157"/>
      <c r="AW142" s="230" t="str">
        <f t="array" ref="AW142">IFERROR(VLOOKUP(AY142,Dex!$B$3:$S185,18,FALSE),"")</f>
        <v/>
      </c>
      <c r="AX142" s="231"/>
      <c r="AY142" s="232" t="s">
        <v>139</v>
      </c>
      <c r="AZ142" s="104"/>
      <c r="BA142" s="104"/>
      <c r="BB142" s="105"/>
      <c r="BC142" s="189" t="str">
        <f t="array" ref="BC142">IFERROR(VLOOKUP(BE142,Dex!$B$3:$S185,18,FALSE),"")</f>
        <v/>
      </c>
      <c r="BD142" s="159"/>
      <c r="BE142" s="229" t="s">
        <v>140</v>
      </c>
      <c r="BF142" s="156"/>
      <c r="BG142" s="156"/>
      <c r="BH142" s="157"/>
      <c r="BI142" s="220"/>
      <c r="BJ142" s="14"/>
      <c r="BK142" s="9"/>
    </row>
    <row r="143" ht="19.5" customHeight="1">
      <c r="A143" s="5"/>
      <c r="B143" s="81"/>
      <c r="C143" s="91"/>
      <c r="D143" s="91"/>
      <c r="E143" s="233" t="s">
        <v>141</v>
      </c>
      <c r="F143" s="50"/>
      <c r="G143" s="50"/>
      <c r="H143" s="50"/>
      <c r="I143" s="51"/>
      <c r="J143" s="222"/>
      <c r="K143" s="233" t="s">
        <v>142</v>
      </c>
      <c r="L143" s="50"/>
      <c r="M143" s="50"/>
      <c r="N143" s="50"/>
      <c r="O143" s="51"/>
      <c r="P143" s="91"/>
      <c r="Q143" s="222"/>
      <c r="R143" s="233" t="s">
        <v>143</v>
      </c>
      <c r="S143" s="50"/>
      <c r="T143" s="50"/>
      <c r="U143" s="50"/>
      <c r="V143" s="51"/>
      <c r="W143" s="91"/>
      <c r="X143" s="221" t="s">
        <v>144</v>
      </c>
      <c r="Y143" s="38"/>
      <c r="Z143" s="38"/>
      <c r="AA143" s="38"/>
      <c r="AB143" s="38"/>
      <c r="AC143" s="39"/>
      <c r="AD143" s="228"/>
      <c r="AE143" s="175"/>
      <c r="AF143" s="176"/>
      <c r="AG143" s="173"/>
      <c r="AH143" s="173"/>
      <c r="AI143" s="173"/>
      <c r="AJ143" s="174"/>
      <c r="AK143" s="234"/>
      <c r="AL143" s="235"/>
      <c r="AM143" s="137"/>
      <c r="AN143" s="137"/>
      <c r="AO143" s="137"/>
      <c r="AP143" s="138"/>
      <c r="AQ143" s="175"/>
      <c r="AR143" s="176"/>
      <c r="AS143" s="173"/>
      <c r="AT143" s="173"/>
      <c r="AU143" s="173"/>
      <c r="AV143" s="174"/>
      <c r="AW143" s="234"/>
      <c r="AX143" s="235"/>
      <c r="AY143" s="137"/>
      <c r="AZ143" s="137"/>
      <c r="BA143" s="137"/>
      <c r="BB143" s="138"/>
      <c r="BC143" s="175"/>
      <c r="BD143" s="176"/>
      <c r="BE143" s="173"/>
      <c r="BF143" s="173"/>
      <c r="BG143" s="173"/>
      <c r="BH143" s="174"/>
      <c r="BI143" s="220"/>
      <c r="BJ143" s="14"/>
      <c r="BK143" s="9"/>
    </row>
    <row r="144" ht="18.75" customHeight="1">
      <c r="A144" s="5"/>
      <c r="B144" s="81"/>
      <c r="C144" s="91"/>
      <c r="D144" s="91"/>
      <c r="E144" s="236" t="s">
        <v>145</v>
      </c>
      <c r="F144" s="12"/>
      <c r="G144" s="12"/>
      <c r="H144" s="12"/>
      <c r="I144" s="13"/>
      <c r="J144" s="222"/>
      <c r="K144" s="236" t="s">
        <v>146</v>
      </c>
      <c r="L144" s="12"/>
      <c r="M144" s="12"/>
      <c r="N144" s="12"/>
      <c r="O144" s="13"/>
      <c r="P144" s="91"/>
      <c r="Q144" s="222"/>
      <c r="R144" s="236" t="s">
        <v>147</v>
      </c>
      <c r="S144" s="12"/>
      <c r="T144" s="12"/>
      <c r="U144" s="12"/>
      <c r="V144" s="13"/>
      <c r="W144" s="91"/>
      <c r="X144" s="236" t="s">
        <v>148</v>
      </c>
      <c r="Y144" s="12"/>
      <c r="Z144" s="12"/>
      <c r="AA144" s="12"/>
      <c r="AB144" s="12"/>
      <c r="AC144" s="13"/>
      <c r="AD144" s="228"/>
      <c r="AE144" s="230" t="str">
        <f t="array" ref="AE144">IFERROR(VLOOKUP(AG144,Dex!$B$3:$S185,18,FALSE),"")</f>
        <v/>
      </c>
      <c r="AF144" s="231"/>
      <c r="AG144" s="232" t="s">
        <v>149</v>
      </c>
      <c r="AH144" s="104"/>
      <c r="AI144" s="104"/>
      <c r="AJ144" s="105"/>
      <c r="AK144" s="189" t="str">
        <f t="array" ref="AK144">IFERROR(VLOOKUP(AM144,Dex!$B$3:$S185,18,FALSE),"")</f>
        <v/>
      </c>
      <c r="AL144" s="159"/>
      <c r="AM144" s="229" t="s">
        <v>150</v>
      </c>
      <c r="AN144" s="156"/>
      <c r="AO144" s="156"/>
      <c r="AP144" s="157"/>
      <c r="AQ144" s="230" t="str">
        <f t="array" ref="AQ144">IFERROR(VLOOKUP(AS144,Dex!$B$3:$S185,18,FALSE),"")</f>
        <v/>
      </c>
      <c r="AR144" s="231"/>
      <c r="AS144" s="232" t="s">
        <v>151</v>
      </c>
      <c r="AT144" s="104"/>
      <c r="AU144" s="104"/>
      <c r="AV144" s="105"/>
      <c r="AW144" s="189" t="str">
        <f t="array" ref="AW144">IFERROR(VLOOKUP(AY144,Dex!$B$3:$S185,18,FALSE),"")</f>
        <v/>
      </c>
      <c r="AX144" s="159"/>
      <c r="AY144" s="229" t="s">
        <v>152</v>
      </c>
      <c r="AZ144" s="156"/>
      <c r="BA144" s="156"/>
      <c r="BB144" s="157"/>
      <c r="BC144" s="230" t="str">
        <f t="array" ref="BC144">IFERROR(VLOOKUP(BE144,Dex!$B$3:$S185,18,FALSE),"")</f>
        <v/>
      </c>
      <c r="BD144" s="231"/>
      <c r="BE144" s="232" t="s">
        <v>153</v>
      </c>
      <c r="BF144" s="104"/>
      <c r="BG144" s="104"/>
      <c r="BH144" s="105"/>
      <c r="BI144" s="220"/>
      <c r="BJ144" s="14"/>
      <c r="BK144" s="9"/>
    </row>
    <row r="145" ht="19.5" customHeight="1">
      <c r="A145" s="5"/>
      <c r="B145" s="81"/>
      <c r="C145" s="91"/>
      <c r="D145" s="91"/>
      <c r="E145" s="233" t="s">
        <v>154</v>
      </c>
      <c r="F145" s="50"/>
      <c r="G145" s="50"/>
      <c r="H145" s="50"/>
      <c r="I145" s="51"/>
      <c r="J145" s="222"/>
      <c r="K145" s="233" t="s">
        <v>155</v>
      </c>
      <c r="L145" s="50"/>
      <c r="M145" s="50"/>
      <c r="N145" s="50"/>
      <c r="O145" s="51"/>
      <c r="P145" s="91"/>
      <c r="Q145" s="222"/>
      <c r="R145" s="233" t="s">
        <v>156</v>
      </c>
      <c r="S145" s="50"/>
      <c r="T145" s="50"/>
      <c r="U145" s="50"/>
      <c r="V145" s="51"/>
      <c r="W145" s="91"/>
      <c r="X145" s="237" t="s">
        <v>157</v>
      </c>
      <c r="Y145" s="156"/>
      <c r="Z145" s="156"/>
      <c r="AA145" s="156"/>
      <c r="AB145" s="156"/>
      <c r="AC145" s="159"/>
      <c r="AD145" s="228"/>
      <c r="AE145" s="234"/>
      <c r="AF145" s="235"/>
      <c r="AG145" s="137"/>
      <c r="AH145" s="137"/>
      <c r="AI145" s="137"/>
      <c r="AJ145" s="138"/>
      <c r="AK145" s="175"/>
      <c r="AL145" s="176"/>
      <c r="AM145" s="173"/>
      <c r="AN145" s="173"/>
      <c r="AO145" s="173"/>
      <c r="AP145" s="174"/>
      <c r="AQ145" s="234"/>
      <c r="AR145" s="235"/>
      <c r="AS145" s="137"/>
      <c r="AT145" s="137"/>
      <c r="AU145" s="137"/>
      <c r="AV145" s="138"/>
      <c r="AW145" s="175"/>
      <c r="AX145" s="176"/>
      <c r="AY145" s="173"/>
      <c r="AZ145" s="173"/>
      <c r="BA145" s="173"/>
      <c r="BB145" s="174"/>
      <c r="BC145" s="234"/>
      <c r="BD145" s="235"/>
      <c r="BE145" s="137"/>
      <c r="BF145" s="137"/>
      <c r="BG145" s="137"/>
      <c r="BH145" s="138"/>
      <c r="BI145" s="220"/>
      <c r="BJ145" s="14"/>
      <c r="BK145" s="9"/>
    </row>
    <row r="146" ht="18.75" customHeight="1">
      <c r="A146" s="5"/>
      <c r="B146" s="81"/>
      <c r="C146" s="91"/>
      <c r="D146" s="91"/>
      <c r="E146" s="236" t="s">
        <v>158</v>
      </c>
      <c r="F146" s="12"/>
      <c r="G146" s="12"/>
      <c r="H146" s="12"/>
      <c r="I146" s="13"/>
      <c r="J146" s="222"/>
      <c r="K146" s="236" t="s">
        <v>159</v>
      </c>
      <c r="L146" s="12"/>
      <c r="M146" s="12"/>
      <c r="N146" s="12"/>
      <c r="O146" s="13"/>
      <c r="P146" s="91"/>
      <c r="Q146" s="222"/>
      <c r="R146" s="236" t="s">
        <v>160</v>
      </c>
      <c r="S146" s="12"/>
      <c r="T146" s="12"/>
      <c r="U146" s="12"/>
      <c r="V146" s="13"/>
      <c r="W146" s="91"/>
      <c r="X146" s="238"/>
      <c r="Y146" s="50"/>
      <c r="Z146" s="50"/>
      <c r="AA146" s="50"/>
      <c r="AB146" s="50"/>
      <c r="AC146" s="51"/>
      <c r="AD146" s="228"/>
      <c r="AE146" s="189" t="str">
        <f t="array" ref="AE146">IFERROR(VLOOKUP(AG146,Dex!$B$3:$S185,18,FALSE),"")</f>
        <v/>
      </c>
      <c r="AF146" s="159"/>
      <c r="AG146" s="229" t="s">
        <v>161</v>
      </c>
      <c r="AH146" s="156"/>
      <c r="AI146" s="156"/>
      <c r="AJ146" s="157"/>
      <c r="AK146" s="230" t="str">
        <f t="array" ref="AK146">IFERROR(VLOOKUP(AM146,Dex!$B$3:$S185,18,FALSE),"")</f>
        <v/>
      </c>
      <c r="AL146" s="231"/>
      <c r="AM146" s="232" t="s">
        <v>162</v>
      </c>
      <c r="AN146" s="104"/>
      <c r="AO146" s="104"/>
      <c r="AP146" s="105"/>
      <c r="AQ146" s="189" t="str">
        <f t="array" ref="AQ146">IFERROR(VLOOKUP(AS146,Dex!$B$3:$S185,18,FALSE),"")</f>
        <v/>
      </c>
      <c r="AR146" s="159"/>
      <c r="AS146" s="229" t="s">
        <v>163</v>
      </c>
      <c r="AT146" s="156"/>
      <c r="AU146" s="156"/>
      <c r="AV146" s="157"/>
      <c r="AW146" s="230" t="str">
        <f t="array" ref="AW146">IFERROR(VLOOKUP(AY146,Dex!$B$3:$S185,18,FALSE),"")</f>
        <v/>
      </c>
      <c r="AX146" s="231"/>
      <c r="AY146" s="232" t="s">
        <v>164</v>
      </c>
      <c r="AZ146" s="104"/>
      <c r="BA146" s="104"/>
      <c r="BB146" s="105"/>
      <c r="BC146" s="189" t="str">
        <f t="array" ref="BC146">IFERROR(VLOOKUP(BE146,Dex!$B$3:$S185,18,FALSE),"")</f>
        <v/>
      </c>
      <c r="BD146" s="159"/>
      <c r="BE146" s="229" t="s">
        <v>165</v>
      </c>
      <c r="BF146" s="156"/>
      <c r="BG146" s="156"/>
      <c r="BH146" s="157"/>
      <c r="BI146" s="220"/>
      <c r="BJ146" s="14"/>
      <c r="BK146" s="9"/>
    </row>
    <row r="147" ht="19.5" customHeight="1">
      <c r="A147" s="5"/>
      <c r="B147" s="81"/>
      <c r="C147" s="91"/>
      <c r="D147" s="91"/>
      <c r="E147" s="233" t="s">
        <v>166</v>
      </c>
      <c r="F147" s="50"/>
      <c r="G147" s="50"/>
      <c r="H147" s="50"/>
      <c r="I147" s="51"/>
      <c r="J147" s="222"/>
      <c r="K147" s="233" t="s">
        <v>167</v>
      </c>
      <c r="L147" s="50"/>
      <c r="M147" s="50"/>
      <c r="N147" s="50"/>
      <c r="O147" s="51"/>
      <c r="P147" s="91"/>
      <c r="Q147" s="222"/>
      <c r="R147" s="233" t="s">
        <v>168</v>
      </c>
      <c r="S147" s="50"/>
      <c r="T147" s="50"/>
      <c r="U147" s="50"/>
      <c r="V147" s="51"/>
      <c r="W147" s="91"/>
      <c r="X147" s="239" t="s">
        <v>169</v>
      </c>
      <c r="Y147" s="116"/>
      <c r="Z147" s="116"/>
      <c r="AA147" s="116"/>
      <c r="AB147" s="116"/>
      <c r="AC147" s="240"/>
      <c r="AD147" s="228"/>
      <c r="AE147" s="175"/>
      <c r="AF147" s="176"/>
      <c r="AG147" s="173"/>
      <c r="AH147" s="173"/>
      <c r="AI147" s="173"/>
      <c r="AJ147" s="174"/>
      <c r="AK147" s="234"/>
      <c r="AL147" s="235"/>
      <c r="AM147" s="137"/>
      <c r="AN147" s="137"/>
      <c r="AO147" s="137"/>
      <c r="AP147" s="138"/>
      <c r="AQ147" s="175"/>
      <c r="AR147" s="176"/>
      <c r="AS147" s="173"/>
      <c r="AT147" s="173"/>
      <c r="AU147" s="173"/>
      <c r="AV147" s="174"/>
      <c r="AW147" s="234"/>
      <c r="AX147" s="235"/>
      <c r="AY147" s="137"/>
      <c r="AZ147" s="137"/>
      <c r="BA147" s="137"/>
      <c r="BB147" s="138"/>
      <c r="BC147" s="175"/>
      <c r="BD147" s="176"/>
      <c r="BE147" s="173"/>
      <c r="BF147" s="173"/>
      <c r="BG147" s="173"/>
      <c r="BH147" s="174"/>
      <c r="BI147" s="220"/>
      <c r="BJ147" s="14"/>
      <c r="BK147" s="9"/>
    </row>
    <row r="148" ht="18.75" customHeight="1">
      <c r="A148" s="5"/>
      <c r="B148" s="81"/>
      <c r="C148" s="91"/>
      <c r="D148" s="91"/>
      <c r="E148" s="221"/>
      <c r="F148" s="38"/>
      <c r="G148" s="38"/>
      <c r="H148" s="38"/>
      <c r="I148" s="39"/>
      <c r="J148" s="91"/>
      <c r="K148" s="233"/>
      <c r="L148" s="50"/>
      <c r="M148" s="50"/>
      <c r="N148" s="50"/>
      <c r="O148" s="51"/>
      <c r="P148" s="91"/>
      <c r="Q148" s="222"/>
      <c r="R148" s="221" t="s">
        <v>170</v>
      </c>
      <c r="S148" s="38"/>
      <c r="T148" s="38"/>
      <c r="U148" s="38"/>
      <c r="V148" s="39"/>
      <c r="W148" s="91"/>
      <c r="X148" s="241" t="s">
        <v>171</v>
      </c>
      <c r="AC148" s="89"/>
      <c r="AD148" s="218"/>
      <c r="AE148" s="230" t="str">
        <f t="array" ref="AE148">IFERROR(VLOOKUP(AG148,Dex!$B$3:$S185,18,FALSE),"")</f>
        <v/>
      </c>
      <c r="AF148" s="231"/>
      <c r="AG148" s="232" t="s">
        <v>172</v>
      </c>
      <c r="AH148" s="104"/>
      <c r="AI148" s="104"/>
      <c r="AJ148" s="105"/>
      <c r="AK148" s="189" t="str">
        <f t="array" ref="AK148">IFERROR(VLOOKUP(AM148,Dex!$B$3:$S185,18,FALSE),"")</f>
        <v/>
      </c>
      <c r="AL148" s="159"/>
      <c r="AM148" s="229" t="s">
        <v>173</v>
      </c>
      <c r="AN148" s="156"/>
      <c r="AO148" s="156"/>
      <c r="AP148" s="157"/>
      <c r="AQ148" s="230" t="str">
        <f t="array" ref="AQ148">IFERROR(VLOOKUP(AS148,Dex!$B$3:$S185,18,FALSE),"")</f>
        <v/>
      </c>
      <c r="AR148" s="231"/>
      <c r="AS148" s="232" t="s">
        <v>174</v>
      </c>
      <c r="AT148" s="104"/>
      <c r="AU148" s="104"/>
      <c r="AV148" s="105"/>
      <c r="AW148" s="189" t="str">
        <f t="array" ref="AW148">IFERROR(VLOOKUP(AY148,Dex!$B$3:$S185,18,FALSE),"")</f>
        <v/>
      </c>
      <c r="AX148" s="159"/>
      <c r="AY148" s="229" t="s">
        <v>175</v>
      </c>
      <c r="AZ148" s="156"/>
      <c r="BA148" s="156"/>
      <c r="BB148" s="157"/>
      <c r="BC148" s="230" t="str">
        <f t="array" ref="BC148">IFERROR(VLOOKUP(BE148,Dex!$B$3:$S185,18,FALSE),"")</f>
        <v/>
      </c>
      <c r="BD148" s="231"/>
      <c r="BE148" s="232" t="s">
        <v>176</v>
      </c>
      <c r="BF148" s="104"/>
      <c r="BG148" s="104"/>
      <c r="BH148" s="105"/>
      <c r="BI148" s="220"/>
      <c r="BJ148" s="14"/>
      <c r="BK148" s="9"/>
    </row>
    <row r="149" ht="19.5" customHeight="1">
      <c r="A149" s="5"/>
      <c r="B149" s="81"/>
      <c r="C149" s="91"/>
      <c r="D149" s="91"/>
      <c r="E149" s="217" t="s">
        <v>177</v>
      </c>
      <c r="I149" s="89"/>
      <c r="J149" s="91"/>
      <c r="K149" s="217" t="s">
        <v>178</v>
      </c>
      <c r="O149" s="89"/>
      <c r="P149" s="91"/>
      <c r="Q149" s="222"/>
      <c r="R149" s="236" t="s">
        <v>179</v>
      </c>
      <c r="S149" s="12"/>
      <c r="T149" s="12"/>
      <c r="U149" s="12"/>
      <c r="V149" s="13"/>
      <c r="W149" s="91"/>
      <c r="X149" s="239" t="s">
        <v>180</v>
      </c>
      <c r="Y149" s="116"/>
      <c r="Z149" s="116"/>
      <c r="AA149" s="116"/>
      <c r="AB149" s="116"/>
      <c r="AC149" s="240"/>
      <c r="AD149" s="218"/>
      <c r="AE149" s="234"/>
      <c r="AF149" s="235"/>
      <c r="AG149" s="137"/>
      <c r="AH149" s="137"/>
      <c r="AI149" s="137"/>
      <c r="AJ149" s="138"/>
      <c r="AK149" s="175"/>
      <c r="AL149" s="176"/>
      <c r="AM149" s="173"/>
      <c r="AN149" s="173"/>
      <c r="AO149" s="173"/>
      <c r="AP149" s="174"/>
      <c r="AQ149" s="234"/>
      <c r="AR149" s="235"/>
      <c r="AS149" s="137"/>
      <c r="AT149" s="137"/>
      <c r="AU149" s="137"/>
      <c r="AV149" s="138"/>
      <c r="AW149" s="175"/>
      <c r="AX149" s="176"/>
      <c r="AY149" s="173"/>
      <c r="AZ149" s="173"/>
      <c r="BA149" s="173"/>
      <c r="BB149" s="174"/>
      <c r="BC149" s="234"/>
      <c r="BD149" s="235"/>
      <c r="BE149" s="137"/>
      <c r="BF149" s="137"/>
      <c r="BG149" s="137"/>
      <c r="BH149" s="138"/>
      <c r="BI149" s="220"/>
      <c r="BJ149" s="14"/>
      <c r="BK149" s="9"/>
    </row>
    <row r="150" ht="18.75" customHeight="1">
      <c r="A150" s="5"/>
      <c r="B150" s="81"/>
      <c r="C150" s="91"/>
      <c r="D150" s="222"/>
      <c r="E150" s="221" t="s">
        <v>181</v>
      </c>
      <c r="F150" s="38"/>
      <c r="G150" s="38"/>
      <c r="H150" s="38"/>
      <c r="I150" s="39"/>
      <c r="J150" s="222"/>
      <c r="K150" s="221" t="s">
        <v>182</v>
      </c>
      <c r="L150" s="38"/>
      <c r="M150" s="38"/>
      <c r="N150" s="38"/>
      <c r="O150" s="39"/>
      <c r="P150" s="91"/>
      <c r="Q150" s="222"/>
      <c r="R150" s="233" t="s">
        <v>183</v>
      </c>
      <c r="S150" s="50"/>
      <c r="T150" s="50"/>
      <c r="U150" s="50"/>
      <c r="V150" s="51"/>
      <c r="W150" s="91"/>
      <c r="X150" s="241" t="s">
        <v>184</v>
      </c>
      <c r="AC150" s="89"/>
      <c r="AD150" s="218"/>
      <c r="AE150" s="189" t="str">
        <f t="array" ref="AE150">IFERROR(VLOOKUP(AG150,Dex!$B$3:$S185,18,FALSE),"")</f>
        <v/>
      </c>
      <c r="AF150" s="159"/>
      <c r="AG150" s="229" t="s">
        <v>185</v>
      </c>
      <c r="AH150" s="156"/>
      <c r="AI150" s="156"/>
      <c r="AJ150" s="157"/>
      <c r="AK150" s="230" t="str">
        <f t="array" ref="AK150">IFERROR(VLOOKUP(AM150,Dex!$B$3:$S185,18,FALSE),"")</f>
        <v/>
      </c>
      <c r="AL150" s="231"/>
      <c r="AM150" s="232" t="s">
        <v>186</v>
      </c>
      <c r="AN150" s="104"/>
      <c r="AO150" s="104"/>
      <c r="AP150" s="105"/>
      <c r="AQ150" s="189" t="str">
        <f t="array" ref="AQ150">IFERROR(VLOOKUP(AS150,Dex!$B$3:$S185,18,FALSE),"")</f>
        <v/>
      </c>
      <c r="AR150" s="159"/>
      <c r="AS150" s="229" t="s">
        <v>187</v>
      </c>
      <c r="AT150" s="156"/>
      <c r="AU150" s="156"/>
      <c r="AV150" s="157"/>
      <c r="AW150" s="230" t="str">
        <f t="array" ref="AW150">IFERROR(VLOOKUP(AY150,Dex!$B$3:$S185,18,FALSE),"")</f>
        <v/>
      </c>
      <c r="AX150" s="231"/>
      <c r="AY150" s="232" t="s">
        <v>188</v>
      </c>
      <c r="AZ150" s="104"/>
      <c r="BA150" s="104"/>
      <c r="BB150" s="105"/>
      <c r="BC150" s="189" t="str">
        <f t="array" ref="BC150">IFERROR(VLOOKUP(BE150,Dex!$B$3:$S185,18,FALSE),"")</f>
        <v/>
      </c>
      <c r="BD150" s="159"/>
      <c r="BE150" s="229" t="s">
        <v>189</v>
      </c>
      <c r="BF150" s="156"/>
      <c r="BG150" s="156"/>
      <c r="BH150" s="157"/>
      <c r="BI150" s="220"/>
      <c r="BJ150" s="14"/>
      <c r="BK150" s="9"/>
    </row>
    <row r="151" ht="19.5" customHeight="1">
      <c r="A151" s="5"/>
      <c r="B151" s="81"/>
      <c r="C151" s="91"/>
      <c r="D151" s="222"/>
      <c r="E151" s="236" t="s">
        <v>190</v>
      </c>
      <c r="F151" s="12"/>
      <c r="G151" s="12"/>
      <c r="H151" s="12"/>
      <c r="I151" s="13"/>
      <c r="J151" s="222"/>
      <c r="K151" s="236" t="s">
        <v>191</v>
      </c>
      <c r="L151" s="12"/>
      <c r="M151" s="12"/>
      <c r="N151" s="12"/>
      <c r="O151" s="13"/>
      <c r="P151" s="91"/>
      <c r="Q151" s="222"/>
      <c r="R151" s="236" t="s">
        <v>192</v>
      </c>
      <c r="S151" s="12"/>
      <c r="T151" s="12"/>
      <c r="U151" s="12"/>
      <c r="V151" s="13"/>
      <c r="W151" s="91"/>
      <c r="X151" s="239" t="s">
        <v>193</v>
      </c>
      <c r="Y151" s="116"/>
      <c r="Z151" s="116"/>
      <c r="AA151" s="116"/>
      <c r="AB151" s="116"/>
      <c r="AC151" s="240"/>
      <c r="AD151" s="218"/>
      <c r="AE151" s="175"/>
      <c r="AF151" s="176"/>
      <c r="AG151" s="173"/>
      <c r="AH151" s="173"/>
      <c r="AI151" s="173"/>
      <c r="AJ151" s="174"/>
      <c r="AK151" s="234"/>
      <c r="AL151" s="235"/>
      <c r="AM151" s="137"/>
      <c r="AN151" s="137"/>
      <c r="AO151" s="137"/>
      <c r="AP151" s="138"/>
      <c r="AQ151" s="175"/>
      <c r="AR151" s="176"/>
      <c r="AS151" s="173"/>
      <c r="AT151" s="173"/>
      <c r="AU151" s="173"/>
      <c r="AV151" s="174"/>
      <c r="AW151" s="234"/>
      <c r="AX151" s="235"/>
      <c r="AY151" s="137"/>
      <c r="AZ151" s="137"/>
      <c r="BA151" s="137"/>
      <c r="BB151" s="138"/>
      <c r="BC151" s="175"/>
      <c r="BD151" s="176"/>
      <c r="BE151" s="173"/>
      <c r="BF151" s="173"/>
      <c r="BG151" s="173"/>
      <c r="BH151" s="174"/>
      <c r="BI151" s="220"/>
      <c r="BJ151" s="14"/>
      <c r="BK151" s="9"/>
    </row>
    <row r="152" ht="18.75" customHeight="1">
      <c r="A152" s="5"/>
      <c r="B152" s="81"/>
      <c r="C152" s="91"/>
      <c r="D152" s="222"/>
      <c r="E152" s="233" t="s">
        <v>194</v>
      </c>
      <c r="F152" s="50"/>
      <c r="G152" s="50"/>
      <c r="H152" s="50"/>
      <c r="I152" s="51"/>
      <c r="J152" s="222"/>
      <c r="K152" s="233" t="s">
        <v>195</v>
      </c>
      <c r="L152" s="50"/>
      <c r="M152" s="50"/>
      <c r="N152" s="50"/>
      <c r="O152" s="51"/>
      <c r="P152" s="91"/>
      <c r="Q152" s="222"/>
      <c r="R152" s="233" t="s">
        <v>196</v>
      </c>
      <c r="S152" s="50"/>
      <c r="T152" s="50"/>
      <c r="U152" s="50"/>
      <c r="V152" s="51"/>
      <c r="W152" s="91"/>
      <c r="X152" s="241" t="s">
        <v>197</v>
      </c>
      <c r="AC152" s="89"/>
      <c r="AD152" s="218"/>
      <c r="AE152" s="230" t="str">
        <f t="array" ref="AE152">IFERROR(VLOOKUP(AG152,Dex!$B$3:$S185,18,FALSE),"")</f>
        <v/>
      </c>
      <c r="AF152" s="231"/>
      <c r="AG152" s="232" t="s">
        <v>198</v>
      </c>
      <c r="AH152" s="104"/>
      <c r="AI152" s="104"/>
      <c r="AJ152" s="105"/>
      <c r="AK152" s="189" t="str">
        <f t="array" ref="AK152">IFERROR(VLOOKUP(AM152,Dex!$B$3:$S185,18,FALSE),"")</f>
        <v/>
      </c>
      <c r="AL152" s="159"/>
      <c r="AM152" s="229" t="s">
        <v>199</v>
      </c>
      <c r="AN152" s="156"/>
      <c r="AO152" s="156"/>
      <c r="AP152" s="157"/>
      <c r="AQ152" s="230" t="str">
        <f t="array" ref="AQ152">IFERROR(VLOOKUP(AS152,Dex!$B$3:$S185,18,FALSE),"")</f>
        <v/>
      </c>
      <c r="AR152" s="231"/>
      <c r="AS152" s="232" t="s">
        <v>200</v>
      </c>
      <c r="AT152" s="104"/>
      <c r="AU152" s="104"/>
      <c r="AV152" s="105"/>
      <c r="AW152" s="189" t="str">
        <f t="array" ref="AW152">IFERROR(VLOOKUP(AY152,Dex!$B$3:$S185,18,FALSE),"")</f>
        <v/>
      </c>
      <c r="AX152" s="159"/>
      <c r="AY152" s="229" t="s">
        <v>201</v>
      </c>
      <c r="AZ152" s="156"/>
      <c r="BA152" s="156"/>
      <c r="BB152" s="157"/>
      <c r="BC152" s="230" t="str">
        <f t="array" ref="BC152">IFERROR(VLOOKUP(BE152,Dex!$B$3:$S185,18,FALSE),"")</f>
        <v/>
      </c>
      <c r="BD152" s="231"/>
      <c r="BE152" s="232" t="s">
        <v>202</v>
      </c>
      <c r="BF152" s="104"/>
      <c r="BG152" s="104"/>
      <c r="BH152" s="105"/>
      <c r="BI152" s="220"/>
      <c r="BJ152" s="14"/>
      <c r="BK152" s="9"/>
    </row>
    <row r="153" ht="19.5" customHeight="1">
      <c r="A153" s="5"/>
      <c r="B153" s="81"/>
      <c r="C153" s="91"/>
      <c r="D153" s="222"/>
      <c r="E153" s="236" t="s">
        <v>203</v>
      </c>
      <c r="F153" s="12"/>
      <c r="G153" s="12"/>
      <c r="H153" s="12"/>
      <c r="I153" s="13"/>
      <c r="J153" s="222"/>
      <c r="K153" s="236" t="s">
        <v>204</v>
      </c>
      <c r="L153" s="12"/>
      <c r="M153" s="12"/>
      <c r="N153" s="12"/>
      <c r="O153" s="13"/>
      <c r="P153" s="91"/>
      <c r="Q153" s="222"/>
      <c r="R153" s="236" t="s">
        <v>205</v>
      </c>
      <c r="S153" s="12"/>
      <c r="T153" s="12"/>
      <c r="U153" s="12"/>
      <c r="V153" s="13"/>
      <c r="W153" s="91"/>
      <c r="X153" s="239" t="s">
        <v>206</v>
      </c>
      <c r="Y153" s="116"/>
      <c r="Z153" s="116"/>
      <c r="AA153" s="116"/>
      <c r="AB153" s="116"/>
      <c r="AC153" s="240"/>
      <c r="AD153" s="218"/>
      <c r="AE153" s="234"/>
      <c r="AF153" s="235"/>
      <c r="AG153" s="137"/>
      <c r="AH153" s="137"/>
      <c r="AI153" s="137"/>
      <c r="AJ153" s="138"/>
      <c r="AK153" s="175"/>
      <c r="AL153" s="176"/>
      <c r="AM153" s="173"/>
      <c r="AN153" s="173"/>
      <c r="AO153" s="173"/>
      <c r="AP153" s="174"/>
      <c r="AQ153" s="234"/>
      <c r="AR153" s="235"/>
      <c r="AS153" s="137"/>
      <c r="AT153" s="137"/>
      <c r="AU153" s="137"/>
      <c r="AV153" s="138"/>
      <c r="AW153" s="175"/>
      <c r="AX153" s="176"/>
      <c r="AY153" s="173"/>
      <c r="AZ153" s="173"/>
      <c r="BA153" s="173"/>
      <c r="BB153" s="174"/>
      <c r="BC153" s="234"/>
      <c r="BD153" s="235"/>
      <c r="BE153" s="137"/>
      <c r="BF153" s="137"/>
      <c r="BG153" s="137"/>
      <c r="BH153" s="138"/>
      <c r="BI153" s="220"/>
      <c r="BJ153" s="14"/>
      <c r="BK153" s="9"/>
    </row>
    <row r="154" ht="18.75" customHeight="1">
      <c r="A154" s="5"/>
      <c r="B154" s="81"/>
      <c r="C154" s="91"/>
      <c r="D154" s="222"/>
      <c r="E154" s="233" t="s">
        <v>207</v>
      </c>
      <c r="F154" s="50"/>
      <c r="G154" s="50"/>
      <c r="H154" s="50"/>
      <c r="I154" s="51"/>
      <c r="J154" s="222"/>
      <c r="K154" s="242"/>
      <c r="L154" s="156"/>
      <c r="M154" s="156"/>
      <c r="N154" s="156"/>
      <c r="O154" s="159"/>
      <c r="P154" s="91"/>
      <c r="Q154" s="222"/>
      <c r="R154" s="221" t="s">
        <v>208</v>
      </c>
      <c r="S154" s="38"/>
      <c r="T154" s="38"/>
      <c r="U154" s="38"/>
      <c r="V154" s="39"/>
      <c r="W154" s="91"/>
      <c r="X154" s="241" t="s">
        <v>209</v>
      </c>
      <c r="AC154" s="89"/>
      <c r="AD154" s="218"/>
      <c r="AE154" s="189" t="str">
        <f t="array" ref="AE154">IFERROR(VLOOKUP(AG154,Dex!$B$3:$S185,18,FALSE),"")</f>
        <v/>
      </c>
      <c r="AF154" s="159"/>
      <c r="AG154" s="229" t="s">
        <v>210</v>
      </c>
      <c r="AH154" s="156"/>
      <c r="AI154" s="156"/>
      <c r="AJ154" s="157"/>
      <c r="AK154" s="230" t="str">
        <f t="array" ref="AK154">IFERROR(VLOOKUP(AM154,Dex!$B$3:$S185,18,FALSE),"")</f>
        <v/>
      </c>
      <c r="AL154" s="231"/>
      <c r="AM154" s="232" t="s">
        <v>211</v>
      </c>
      <c r="AN154" s="104"/>
      <c r="AO154" s="104"/>
      <c r="AP154" s="105"/>
      <c r="AQ154" s="189" t="str">
        <f t="array" ref="AQ154">IFERROR(VLOOKUP(AS154,Dex!$B$3:$S185,18,FALSE),"")</f>
        <v/>
      </c>
      <c r="AR154" s="159"/>
      <c r="AS154" s="229" t="s">
        <v>212</v>
      </c>
      <c r="AT154" s="156"/>
      <c r="AU154" s="156"/>
      <c r="AV154" s="157"/>
      <c r="AW154" s="230" t="str">
        <f t="array" ref="AW154">IFERROR(VLOOKUP(AY154,Dex!$B$3:$S185,18,FALSE),"")</f>
        <v/>
      </c>
      <c r="AX154" s="231"/>
      <c r="AY154" s="232" t="s">
        <v>213</v>
      </c>
      <c r="AZ154" s="104"/>
      <c r="BA154" s="104"/>
      <c r="BB154" s="105"/>
      <c r="BC154" s="189" t="str">
        <f t="array" ref="BC154">IFERROR(VLOOKUP(BE154,Dex!$B$3:$S185,18,FALSE),"")</f>
        <v/>
      </c>
      <c r="BD154" s="159"/>
      <c r="BE154" s="229" t="s">
        <v>214</v>
      </c>
      <c r="BF154" s="156"/>
      <c r="BG154" s="156"/>
      <c r="BH154" s="157"/>
      <c r="BI154" s="220"/>
      <c r="BJ154" s="14"/>
      <c r="BK154" s="9"/>
    </row>
    <row r="155" ht="19.5" customHeight="1">
      <c r="A155" s="5"/>
      <c r="B155" s="81"/>
      <c r="C155" s="91"/>
      <c r="D155" s="222"/>
      <c r="E155" s="236" t="s">
        <v>215</v>
      </c>
      <c r="F155" s="12"/>
      <c r="G155" s="12"/>
      <c r="H155" s="12"/>
      <c r="I155" s="13"/>
      <c r="J155" s="222"/>
      <c r="K155" s="243"/>
      <c r="L155" s="244"/>
      <c r="M155" s="244"/>
      <c r="N155" s="244"/>
      <c r="O155" s="245"/>
      <c r="P155" s="91"/>
      <c r="Q155" s="222"/>
      <c r="R155" s="236" t="s">
        <v>216</v>
      </c>
      <c r="S155" s="12"/>
      <c r="T155" s="12"/>
      <c r="U155" s="12"/>
      <c r="V155" s="13"/>
      <c r="W155" s="91"/>
      <c r="X155" s="239" t="s">
        <v>217</v>
      </c>
      <c r="Y155" s="116"/>
      <c r="Z155" s="116"/>
      <c r="AA155" s="116"/>
      <c r="AB155" s="116"/>
      <c r="AC155" s="240"/>
      <c r="AD155" s="218"/>
      <c r="AE155" s="175"/>
      <c r="AF155" s="176"/>
      <c r="AG155" s="173"/>
      <c r="AH155" s="173"/>
      <c r="AI155" s="173"/>
      <c r="AJ155" s="174"/>
      <c r="AK155" s="234"/>
      <c r="AL155" s="235"/>
      <c r="AM155" s="137"/>
      <c r="AN155" s="137"/>
      <c r="AO155" s="137"/>
      <c r="AP155" s="138"/>
      <c r="AQ155" s="175"/>
      <c r="AR155" s="176"/>
      <c r="AS155" s="173"/>
      <c r="AT155" s="173"/>
      <c r="AU155" s="173"/>
      <c r="AV155" s="174"/>
      <c r="AW155" s="234"/>
      <c r="AX155" s="235"/>
      <c r="AY155" s="137"/>
      <c r="AZ155" s="137"/>
      <c r="BA155" s="137"/>
      <c r="BB155" s="138"/>
      <c r="BC155" s="175"/>
      <c r="BD155" s="176"/>
      <c r="BE155" s="173"/>
      <c r="BF155" s="173"/>
      <c r="BG155" s="173"/>
      <c r="BH155" s="174"/>
      <c r="BI155" s="220"/>
      <c r="BJ155" s="14"/>
      <c r="BK155" s="9"/>
    </row>
    <row r="156" ht="18.75" customHeight="1">
      <c r="A156" s="5"/>
      <c r="B156" s="81"/>
      <c r="C156" s="91"/>
      <c r="D156" s="222"/>
      <c r="E156" s="221" t="s">
        <v>218</v>
      </c>
      <c r="F156" s="38"/>
      <c r="G156" s="38"/>
      <c r="H156" s="38"/>
      <c r="I156" s="39"/>
      <c r="J156" s="222"/>
      <c r="K156" s="246"/>
      <c r="L156" s="38"/>
      <c r="M156" s="38"/>
      <c r="N156" s="38"/>
      <c r="O156" s="247"/>
      <c r="P156" s="91"/>
      <c r="Q156" s="222"/>
      <c r="R156" s="233" t="s">
        <v>219</v>
      </c>
      <c r="S156" s="50"/>
      <c r="T156" s="50"/>
      <c r="U156" s="50"/>
      <c r="V156" s="51"/>
      <c r="W156" s="91"/>
      <c r="X156" s="241" t="s">
        <v>220</v>
      </c>
      <c r="AC156" s="89"/>
      <c r="AD156" s="218"/>
      <c r="AE156" s="230" t="str">
        <f t="array" ref="AE156">IFERROR(VLOOKUP(AG156,Dex!$B$3:$S185,18,FALSE),"")</f>
        <v/>
      </c>
      <c r="AF156" s="231"/>
      <c r="AG156" s="232" t="s">
        <v>221</v>
      </c>
      <c r="AH156" s="104"/>
      <c r="AI156" s="104"/>
      <c r="AJ156" s="105"/>
      <c r="AK156" s="189" t="str">
        <f t="array" ref="AK156">IFERROR(VLOOKUP(AM156,Dex!$B$3:$S185,18,FALSE),"")</f>
        <v/>
      </c>
      <c r="AL156" s="159"/>
      <c r="AM156" s="229" t="s">
        <v>222</v>
      </c>
      <c r="AN156" s="156"/>
      <c r="AO156" s="156"/>
      <c r="AP156" s="157"/>
      <c r="AQ156" s="230" t="str">
        <f t="array" ref="AQ156">IFERROR(VLOOKUP(AS156,Dex!$B$3:$S185,18,FALSE),"")</f>
        <v/>
      </c>
      <c r="AR156" s="231"/>
      <c r="AS156" s="232" t="s">
        <v>223</v>
      </c>
      <c r="AT156" s="104"/>
      <c r="AU156" s="104"/>
      <c r="AV156" s="105"/>
      <c r="AW156" s="189" t="str">
        <f t="array" ref="AW156">IFERROR(VLOOKUP(AY156,Dex!$B$3:$S185,18,FALSE),"")</f>
        <v/>
      </c>
      <c r="AX156" s="159"/>
      <c r="AY156" s="229" t="s">
        <v>224</v>
      </c>
      <c r="AZ156" s="156"/>
      <c r="BA156" s="156"/>
      <c r="BB156" s="157"/>
      <c r="BC156" s="230" t="str">
        <f t="array" ref="BC156">IFERROR(VLOOKUP(BE156,Dex!$B$3:$S185,18,FALSE),"")</f>
        <v/>
      </c>
      <c r="BD156" s="231"/>
      <c r="BE156" s="232" t="s">
        <v>225</v>
      </c>
      <c r="BF156" s="104"/>
      <c r="BG156" s="104"/>
      <c r="BH156" s="105"/>
      <c r="BI156" s="220"/>
      <c r="BJ156" s="14"/>
      <c r="BK156" s="9"/>
    </row>
    <row r="157" ht="19.5" customHeight="1">
      <c r="A157" s="5"/>
      <c r="B157" s="81"/>
      <c r="C157" s="91"/>
      <c r="D157" s="222"/>
      <c r="E157" s="236" t="s">
        <v>226</v>
      </c>
      <c r="F157" s="12"/>
      <c r="G157" s="12"/>
      <c r="H157" s="12"/>
      <c r="I157" s="13"/>
      <c r="J157" s="222"/>
      <c r="K157" s="248"/>
      <c r="L157" s="156"/>
      <c r="M157" s="156"/>
      <c r="N157" s="156"/>
      <c r="O157" s="249"/>
      <c r="P157" s="91"/>
      <c r="Q157" s="222"/>
      <c r="R157" s="236" t="s">
        <v>227</v>
      </c>
      <c r="S157" s="12"/>
      <c r="T157" s="12"/>
      <c r="U157" s="12"/>
      <c r="V157" s="13"/>
      <c r="W157" s="91"/>
      <c r="X157" s="250" t="s">
        <v>228</v>
      </c>
      <c r="Y157" s="120"/>
      <c r="Z157" s="120"/>
      <c r="AA157" s="120"/>
      <c r="AB157" s="120"/>
      <c r="AC157" s="251"/>
      <c r="AD157" s="218"/>
      <c r="AE157" s="234"/>
      <c r="AF157" s="235"/>
      <c r="AG157" s="137"/>
      <c r="AH157" s="137"/>
      <c r="AI157" s="137"/>
      <c r="AJ157" s="138"/>
      <c r="AK157" s="175"/>
      <c r="AL157" s="176"/>
      <c r="AM157" s="173"/>
      <c r="AN157" s="173"/>
      <c r="AO157" s="173"/>
      <c r="AP157" s="174"/>
      <c r="AQ157" s="234"/>
      <c r="AR157" s="235"/>
      <c r="AS157" s="137"/>
      <c r="AT157" s="137"/>
      <c r="AU157" s="137"/>
      <c r="AV157" s="138"/>
      <c r="AW157" s="175"/>
      <c r="AX157" s="176"/>
      <c r="AY157" s="173"/>
      <c r="AZ157" s="173"/>
      <c r="BA157" s="173"/>
      <c r="BB157" s="174"/>
      <c r="BC157" s="234"/>
      <c r="BD157" s="235"/>
      <c r="BE157" s="137"/>
      <c r="BF157" s="137"/>
      <c r="BG157" s="137"/>
      <c r="BH157" s="138"/>
      <c r="BI157" s="220"/>
      <c r="BJ157" s="14"/>
      <c r="BK157" s="9"/>
    </row>
    <row r="158" ht="18.75" customHeight="1">
      <c r="A158" s="5"/>
      <c r="B158" s="81"/>
      <c r="C158" s="91"/>
      <c r="D158" s="222"/>
      <c r="E158" s="233" t="s">
        <v>229</v>
      </c>
      <c r="F158" s="50"/>
      <c r="G158" s="50"/>
      <c r="H158" s="50"/>
      <c r="I158" s="51"/>
      <c r="J158" s="222"/>
      <c r="K158" s="246"/>
      <c r="L158" s="38"/>
      <c r="M158" s="38"/>
      <c r="N158" s="38"/>
      <c r="O158" s="247"/>
      <c r="P158" s="91"/>
      <c r="Q158" s="222"/>
      <c r="R158" s="233" t="s">
        <v>230</v>
      </c>
      <c r="S158" s="50"/>
      <c r="T158" s="50"/>
      <c r="U158" s="50"/>
      <c r="V158" s="51"/>
      <c r="W158" s="91"/>
      <c r="X158" s="252"/>
      <c r="Y158" s="147"/>
      <c r="Z158" s="147"/>
      <c r="AA158" s="147"/>
      <c r="AB158" s="147"/>
      <c r="AC158" s="253"/>
      <c r="AD158" s="218"/>
      <c r="AE158" s="189" t="str">
        <f t="array" ref="AE158">IFERROR(VLOOKUP(AG158,Dex!$B$3:$S185,18,FALSE),"")</f>
        <v/>
      </c>
      <c r="AF158" s="159"/>
      <c r="AG158" s="229" t="s">
        <v>231</v>
      </c>
      <c r="AH158" s="156"/>
      <c r="AI158" s="156"/>
      <c r="AJ158" s="157"/>
      <c r="AK158" s="230" t="str">
        <f t="array" ref="AK158">IFERROR(VLOOKUP(AM158,Dex!$B$3:$S185,18,FALSE),"")</f>
        <v/>
      </c>
      <c r="AL158" s="231"/>
      <c r="AM158" s="232" t="s">
        <v>232</v>
      </c>
      <c r="AN158" s="104"/>
      <c r="AO158" s="104"/>
      <c r="AP158" s="105"/>
      <c r="AQ158" s="189" t="str">
        <f t="array" ref="AQ158">IFERROR(VLOOKUP(AS158,Dex!$B$3:$S185,18,FALSE),"")</f>
        <v/>
      </c>
      <c r="AR158" s="159"/>
      <c r="AS158" s="229" t="s">
        <v>233</v>
      </c>
      <c r="AT158" s="156"/>
      <c r="AU158" s="156"/>
      <c r="AV158" s="157"/>
      <c r="AW158" s="230" t="str">
        <f t="array" ref="AW158">IFERROR(VLOOKUP(AY158,Dex!$B$3:$S185,18,FALSE),"")</f>
        <v/>
      </c>
      <c r="AX158" s="231"/>
      <c r="AY158" s="232" t="s">
        <v>234</v>
      </c>
      <c r="AZ158" s="104"/>
      <c r="BA158" s="104"/>
      <c r="BB158" s="105"/>
      <c r="BC158" s="189" t="str">
        <f t="array" ref="BC158">IFERROR(VLOOKUP(BE158,Dex!$B$3:$S185,18,FALSE),"")</f>
        <v/>
      </c>
      <c r="BD158" s="159"/>
      <c r="BE158" s="229" t="s">
        <v>235</v>
      </c>
      <c r="BF158" s="156"/>
      <c r="BG158" s="156"/>
      <c r="BH158" s="157"/>
      <c r="BI158" s="220"/>
      <c r="BJ158" s="14"/>
      <c r="BK158" s="9"/>
    </row>
    <row r="159" ht="19.5" customHeight="1">
      <c r="A159" s="5"/>
      <c r="B159" s="81"/>
      <c r="C159" s="91"/>
      <c r="D159" s="222"/>
      <c r="E159" s="236" t="s">
        <v>236</v>
      </c>
      <c r="F159" s="12"/>
      <c r="G159" s="12"/>
      <c r="H159" s="12"/>
      <c r="I159" s="13"/>
      <c r="J159" s="222"/>
      <c r="K159" s="246"/>
      <c r="L159" s="38"/>
      <c r="M159" s="38"/>
      <c r="N159" s="38"/>
      <c r="O159" s="247"/>
      <c r="P159" s="91"/>
      <c r="Q159" s="222"/>
      <c r="R159" s="236" t="s">
        <v>237</v>
      </c>
      <c r="S159" s="12"/>
      <c r="T159" s="12"/>
      <c r="U159" s="12"/>
      <c r="V159" s="13"/>
      <c r="W159" s="91"/>
      <c r="X159" s="254" t="s">
        <v>238</v>
      </c>
      <c r="AC159" s="89"/>
      <c r="AD159" s="218"/>
      <c r="AE159" s="175"/>
      <c r="AF159" s="176"/>
      <c r="AG159" s="173"/>
      <c r="AH159" s="173"/>
      <c r="AI159" s="173"/>
      <c r="AJ159" s="174"/>
      <c r="AK159" s="234"/>
      <c r="AL159" s="235"/>
      <c r="AM159" s="137"/>
      <c r="AN159" s="137"/>
      <c r="AO159" s="137"/>
      <c r="AP159" s="138"/>
      <c r="AQ159" s="175"/>
      <c r="AR159" s="176"/>
      <c r="AS159" s="173"/>
      <c r="AT159" s="173"/>
      <c r="AU159" s="173"/>
      <c r="AV159" s="174"/>
      <c r="AW159" s="234"/>
      <c r="AX159" s="235"/>
      <c r="AY159" s="137"/>
      <c r="AZ159" s="137"/>
      <c r="BA159" s="137"/>
      <c r="BB159" s="138"/>
      <c r="BC159" s="175"/>
      <c r="BD159" s="176"/>
      <c r="BE159" s="173"/>
      <c r="BF159" s="173"/>
      <c r="BG159" s="173"/>
      <c r="BH159" s="174"/>
      <c r="BI159" s="220"/>
      <c r="BJ159" s="14"/>
      <c r="BK159" s="9"/>
    </row>
    <row r="160" ht="18.75" customHeight="1">
      <c r="A160" s="5"/>
      <c r="B160" s="81"/>
      <c r="C160" s="91"/>
      <c r="D160" s="222"/>
      <c r="E160" s="242"/>
      <c r="F160" s="156"/>
      <c r="G160" s="156"/>
      <c r="H160" s="156"/>
      <c r="I160" s="159"/>
      <c r="J160" s="255"/>
      <c r="K160" s="246"/>
      <c r="L160" s="38"/>
      <c r="M160" s="38"/>
      <c r="N160" s="38"/>
      <c r="O160" s="247"/>
      <c r="P160" s="91"/>
      <c r="Q160" s="222"/>
      <c r="R160" s="221" t="s">
        <v>239</v>
      </c>
      <c r="S160" s="38"/>
      <c r="T160" s="38"/>
      <c r="U160" s="38"/>
      <c r="V160" s="39"/>
      <c r="W160" s="222"/>
      <c r="X160" s="256"/>
      <c r="Y160" s="257"/>
      <c r="Z160" s="257"/>
      <c r="AA160" s="257"/>
      <c r="AB160" s="257"/>
      <c r="AC160" s="258"/>
      <c r="AD160" s="91"/>
      <c r="AE160" s="230" t="str">
        <f t="array" ref="AE160">IFERROR(VLOOKUP(AG160,Dex!$B$3:$S185,18,FALSE),"")</f>
        <v/>
      </c>
      <c r="AF160" s="231"/>
      <c r="AG160" s="232" t="s">
        <v>240</v>
      </c>
      <c r="AH160" s="104"/>
      <c r="AI160" s="104"/>
      <c r="AJ160" s="105"/>
      <c r="AK160" s="189" t="str">
        <f t="array" ref="AK160">IFERROR(VLOOKUP(AM160,Dex!$B$3:$S185,18,FALSE),"")</f>
        <v/>
      </c>
      <c r="AL160" s="159"/>
      <c r="AM160" s="229" t="s">
        <v>241</v>
      </c>
      <c r="AN160" s="156"/>
      <c r="AO160" s="156"/>
      <c r="AP160" s="157"/>
      <c r="AQ160" s="230" t="str">
        <f t="array" ref="AQ160">IFERROR(VLOOKUP(AS160,Dex!$B$3:$S185,18,FALSE),"")</f>
        <v/>
      </c>
      <c r="AR160" s="231"/>
      <c r="AS160" s="232" t="s">
        <v>242</v>
      </c>
      <c r="AT160" s="104"/>
      <c r="AU160" s="104"/>
      <c r="AV160" s="105"/>
      <c r="AW160" s="189" t="str">
        <f t="array" ref="AW160">IFERROR(VLOOKUP(AY160,Dex!$B$3:$S185,18,FALSE),"")</f>
        <v/>
      </c>
      <c r="AX160" s="159"/>
      <c r="AY160" s="229" t="s">
        <v>243</v>
      </c>
      <c r="AZ160" s="156"/>
      <c r="BA160" s="156"/>
      <c r="BB160" s="157"/>
      <c r="BC160" s="230" t="str">
        <f t="array" ref="BC160">IFERROR(VLOOKUP(BE160,Dex!$B$3:$S185,18,FALSE),"")</f>
        <v/>
      </c>
      <c r="BD160" s="231"/>
      <c r="BE160" s="232" t="s">
        <v>244</v>
      </c>
      <c r="BF160" s="104"/>
      <c r="BG160" s="104"/>
      <c r="BH160" s="105"/>
      <c r="BI160" s="220"/>
      <c r="BJ160" s="14"/>
      <c r="BK160" s="9"/>
    </row>
    <row r="161" ht="19.5" customHeight="1">
      <c r="A161" s="5"/>
      <c r="B161" s="81"/>
      <c r="C161" s="91"/>
      <c r="D161" s="222"/>
      <c r="E161" s="259"/>
      <c r="F161" s="257"/>
      <c r="G161" s="257"/>
      <c r="H161" s="257"/>
      <c r="I161" s="258"/>
      <c r="J161" s="260"/>
      <c r="K161" s="233"/>
      <c r="L161" s="50"/>
      <c r="M161" s="50"/>
      <c r="N161" s="50"/>
      <c r="O161" s="261"/>
      <c r="P161" s="91"/>
      <c r="Q161" s="222"/>
      <c r="R161" s="236" t="s">
        <v>245</v>
      </c>
      <c r="S161" s="12"/>
      <c r="T161" s="12"/>
      <c r="U161" s="12"/>
      <c r="V161" s="13"/>
      <c r="W161" s="222"/>
      <c r="X161" s="228"/>
      <c r="Y161" s="50"/>
      <c r="Z161" s="50"/>
      <c r="AA161" s="50"/>
      <c r="AB161" s="50"/>
      <c r="AC161" s="51"/>
      <c r="AD161" s="91"/>
      <c r="AE161" s="234"/>
      <c r="AF161" s="235"/>
      <c r="AG161" s="137"/>
      <c r="AH161" s="137"/>
      <c r="AI161" s="137"/>
      <c r="AJ161" s="138"/>
      <c r="AK161" s="175"/>
      <c r="AL161" s="176"/>
      <c r="AM161" s="173"/>
      <c r="AN161" s="173"/>
      <c r="AO161" s="173"/>
      <c r="AP161" s="174"/>
      <c r="AQ161" s="234"/>
      <c r="AR161" s="235"/>
      <c r="AS161" s="137"/>
      <c r="AT161" s="137"/>
      <c r="AU161" s="137"/>
      <c r="AV161" s="138"/>
      <c r="AW161" s="175"/>
      <c r="AX161" s="176"/>
      <c r="AY161" s="173"/>
      <c r="AZ161" s="173"/>
      <c r="BA161" s="173"/>
      <c r="BB161" s="174"/>
      <c r="BC161" s="234"/>
      <c r="BD161" s="235"/>
      <c r="BE161" s="137"/>
      <c r="BF161" s="137"/>
      <c r="BG161" s="137"/>
      <c r="BH161" s="138"/>
      <c r="BI161" s="220"/>
      <c r="BJ161" s="14"/>
      <c r="BK161" s="9"/>
    </row>
    <row r="162" ht="18.75" customHeight="1">
      <c r="A162" s="5"/>
      <c r="B162" s="81"/>
      <c r="C162" s="91"/>
      <c r="D162" s="222"/>
      <c r="E162" s="233"/>
      <c r="F162" s="50"/>
      <c r="G162" s="50"/>
      <c r="H162" s="50"/>
      <c r="I162" s="51"/>
      <c r="J162" s="91"/>
      <c r="K162" s="221"/>
      <c r="L162" s="38"/>
      <c r="M162" s="38"/>
      <c r="N162" s="38"/>
      <c r="O162" s="247"/>
      <c r="P162" s="91"/>
      <c r="Q162" s="222"/>
      <c r="R162" s="233" t="s">
        <v>246</v>
      </c>
      <c r="S162" s="50"/>
      <c r="T162" s="50"/>
      <c r="U162" s="50"/>
      <c r="V162" s="51"/>
      <c r="W162" s="222"/>
      <c r="X162" s="228"/>
      <c r="Y162" s="50"/>
      <c r="Z162" s="50"/>
      <c r="AA162" s="50"/>
      <c r="AB162" s="50"/>
      <c r="AC162" s="51"/>
      <c r="AD162" s="91"/>
      <c r="AE162" s="189" t="str">
        <f t="array" ref="AE162">IFERROR(VLOOKUP(AG162,Dex!$B$3:$S185,18,FALSE),"")</f>
        <v/>
      </c>
      <c r="AF162" s="159"/>
      <c r="AG162" s="229" t="s">
        <v>247</v>
      </c>
      <c r="AH162" s="156"/>
      <c r="AI162" s="156"/>
      <c r="AJ162" s="157"/>
      <c r="AK162" s="230" t="str">
        <f t="array" ref="AK162">IFERROR(VLOOKUP(AM162,Dex!$B$3:$S185,18,FALSE),"")</f>
        <v/>
      </c>
      <c r="AL162" s="231"/>
      <c r="AM162" s="232" t="s">
        <v>248</v>
      </c>
      <c r="AN162" s="104"/>
      <c r="AO162" s="104"/>
      <c r="AP162" s="105"/>
      <c r="AQ162" s="189" t="str">
        <f t="array" ref="AQ162">IFERROR(VLOOKUP(AS162,Dex!$B$3:$S185,18,FALSE),"")</f>
        <v/>
      </c>
      <c r="AR162" s="159"/>
      <c r="AS162" s="229" t="s">
        <v>249</v>
      </c>
      <c r="AT162" s="156"/>
      <c r="AU162" s="156"/>
      <c r="AV162" s="157"/>
      <c r="AW162" s="230" t="str">
        <f t="array" ref="AW162">IFERROR(VLOOKUP(AY162,Dex!$B$3:$S185,18,FALSE),"")</f>
        <v/>
      </c>
      <c r="AX162" s="231"/>
      <c r="AY162" s="232" t="s">
        <v>250</v>
      </c>
      <c r="AZ162" s="104"/>
      <c r="BA162" s="104"/>
      <c r="BB162" s="105"/>
      <c r="BC162" s="189" t="str">
        <f t="array" ref="BC162">IFERROR(VLOOKUP(BE162,Dex!$B$3:$S185,18,FALSE),"")</f>
        <v/>
      </c>
      <c r="BD162" s="159"/>
      <c r="BE162" s="229" t="s">
        <v>251</v>
      </c>
      <c r="BF162" s="156"/>
      <c r="BG162" s="156"/>
      <c r="BH162" s="157"/>
      <c r="BI162" s="220"/>
      <c r="BJ162" s="14"/>
      <c r="BK162" s="9"/>
    </row>
    <row r="163" ht="19.5" customHeight="1">
      <c r="A163" s="5"/>
      <c r="B163" s="81"/>
      <c r="C163" s="91"/>
      <c r="D163" s="91"/>
      <c r="E163" s="233"/>
      <c r="F163" s="50"/>
      <c r="G163" s="50"/>
      <c r="H163" s="50"/>
      <c r="I163" s="51"/>
      <c r="J163" s="91"/>
      <c r="K163" s="221"/>
      <c r="L163" s="38"/>
      <c r="M163" s="38"/>
      <c r="N163" s="38"/>
      <c r="O163" s="247"/>
      <c r="P163" s="91"/>
      <c r="Q163" s="222"/>
      <c r="R163" s="236" t="s">
        <v>252</v>
      </c>
      <c r="S163" s="12"/>
      <c r="T163" s="12"/>
      <c r="U163" s="12"/>
      <c r="V163" s="13"/>
      <c r="W163" s="222"/>
      <c r="X163" s="228"/>
      <c r="Y163" s="50"/>
      <c r="Z163" s="50"/>
      <c r="AA163" s="50"/>
      <c r="AB163" s="50"/>
      <c r="AC163" s="51"/>
      <c r="AD163" s="91"/>
      <c r="AE163" s="175"/>
      <c r="AF163" s="176"/>
      <c r="AG163" s="173"/>
      <c r="AH163" s="173"/>
      <c r="AI163" s="173"/>
      <c r="AJ163" s="174"/>
      <c r="AK163" s="234"/>
      <c r="AL163" s="235"/>
      <c r="AM163" s="137"/>
      <c r="AN163" s="137"/>
      <c r="AO163" s="137"/>
      <c r="AP163" s="138"/>
      <c r="AQ163" s="175"/>
      <c r="AR163" s="176"/>
      <c r="AS163" s="173"/>
      <c r="AT163" s="173"/>
      <c r="AU163" s="173"/>
      <c r="AV163" s="174"/>
      <c r="AW163" s="234"/>
      <c r="AX163" s="235"/>
      <c r="AY163" s="137"/>
      <c r="AZ163" s="137"/>
      <c r="BA163" s="137"/>
      <c r="BB163" s="138"/>
      <c r="BC163" s="175"/>
      <c r="BD163" s="176"/>
      <c r="BE163" s="173"/>
      <c r="BF163" s="173"/>
      <c r="BG163" s="173"/>
      <c r="BH163" s="174"/>
      <c r="BI163" s="220"/>
      <c r="BJ163" s="14"/>
      <c r="BK163" s="9"/>
    </row>
    <row r="164" ht="18.75" customHeight="1">
      <c r="A164" s="5"/>
      <c r="B164" s="81"/>
      <c r="C164" s="91"/>
      <c r="D164" s="91"/>
      <c r="E164" s="221"/>
      <c r="F164" s="38"/>
      <c r="G164" s="38"/>
      <c r="H164" s="38"/>
      <c r="I164" s="39"/>
      <c r="J164" s="91"/>
      <c r="K164" s="221"/>
      <c r="L164" s="38"/>
      <c r="M164" s="38"/>
      <c r="N164" s="38"/>
      <c r="O164" s="247"/>
      <c r="P164" s="91"/>
      <c r="Q164" s="222"/>
      <c r="R164" s="233" t="s">
        <v>253</v>
      </c>
      <c r="S164" s="50"/>
      <c r="T164" s="50"/>
      <c r="U164" s="50"/>
      <c r="V164" s="51"/>
      <c r="W164" s="222"/>
      <c r="X164" s="228"/>
      <c r="Y164" s="50"/>
      <c r="Z164" s="50"/>
      <c r="AA164" s="50"/>
      <c r="AB164" s="50"/>
      <c r="AC164" s="51"/>
      <c r="AD164" s="91"/>
      <c r="AE164" s="230" t="str">
        <f t="array" ref="AE164">IFERROR(VLOOKUP(AG164,Dex!$B$3:$S185,18,FALSE),"")</f>
        <v/>
      </c>
      <c r="AF164" s="231"/>
      <c r="AG164" s="232" t="s">
        <v>254</v>
      </c>
      <c r="AH164" s="104"/>
      <c r="AI164" s="104"/>
      <c r="AJ164" s="105"/>
      <c r="AK164" s="189" t="str">
        <f t="array" ref="AK164">IFERROR(VLOOKUP(AM164,Dex!$B$3:$S185,18,FALSE),"")</f>
        <v/>
      </c>
      <c r="AL164" s="159"/>
      <c r="AM164" s="229" t="s">
        <v>255</v>
      </c>
      <c r="AN164" s="156"/>
      <c r="AO164" s="156"/>
      <c r="AP164" s="157"/>
      <c r="AQ164" s="230" t="str">
        <f t="array" ref="AQ164">IFERROR(VLOOKUP(AS164,Dex!$B$3:$S185,18,FALSE),"")</f>
        <v/>
      </c>
      <c r="AR164" s="231"/>
      <c r="AS164" s="232" t="s">
        <v>256</v>
      </c>
      <c r="AT164" s="104"/>
      <c r="AU164" s="104"/>
      <c r="AV164" s="105"/>
      <c r="AW164" s="189" t="str">
        <f t="array" ref="AW164">IFERROR(VLOOKUP(AY164,Dex!$B$3:$S185,18,FALSE),"")</f>
        <v/>
      </c>
      <c r="AX164" s="159"/>
      <c r="AY164" s="229" t="s">
        <v>257</v>
      </c>
      <c r="AZ164" s="156"/>
      <c r="BA164" s="156"/>
      <c r="BB164" s="157"/>
      <c r="BC164" s="230" t="str">
        <f t="array" ref="BC164">IFERROR(VLOOKUP(BE164,Dex!$B$3:$S185,18,FALSE),"")</f>
        <v/>
      </c>
      <c r="BD164" s="231"/>
      <c r="BE164" s="232" t="s">
        <v>258</v>
      </c>
      <c r="BF164" s="104"/>
      <c r="BG164" s="104"/>
      <c r="BH164" s="105"/>
      <c r="BI164" s="220"/>
      <c r="BJ164" s="14"/>
      <c r="BK164" s="9"/>
    </row>
    <row r="165" ht="19.5" customHeight="1">
      <c r="A165" s="5"/>
      <c r="B165" s="81"/>
      <c r="C165" s="91"/>
      <c r="D165" s="91"/>
      <c r="E165" s="221"/>
      <c r="F165" s="38"/>
      <c r="G165" s="38"/>
      <c r="H165" s="38"/>
      <c r="I165" s="39"/>
      <c r="J165" s="91"/>
      <c r="K165" s="221"/>
      <c r="L165" s="38"/>
      <c r="M165" s="38"/>
      <c r="N165" s="38"/>
      <c r="O165" s="247"/>
      <c r="P165" s="91"/>
      <c r="Q165" s="222"/>
      <c r="R165" s="236" t="s">
        <v>259</v>
      </c>
      <c r="S165" s="12"/>
      <c r="T165" s="12"/>
      <c r="U165" s="12"/>
      <c r="V165" s="13"/>
      <c r="W165" s="222"/>
      <c r="X165" s="228"/>
      <c r="Y165" s="50"/>
      <c r="Z165" s="50"/>
      <c r="AA165" s="50"/>
      <c r="AB165" s="50"/>
      <c r="AC165" s="51"/>
      <c r="AD165" s="91"/>
      <c r="AE165" s="234"/>
      <c r="AF165" s="235"/>
      <c r="AG165" s="137"/>
      <c r="AH165" s="137"/>
      <c r="AI165" s="137"/>
      <c r="AJ165" s="138"/>
      <c r="AK165" s="175"/>
      <c r="AL165" s="176"/>
      <c r="AM165" s="173"/>
      <c r="AN165" s="173"/>
      <c r="AO165" s="173"/>
      <c r="AP165" s="174"/>
      <c r="AQ165" s="234"/>
      <c r="AR165" s="235"/>
      <c r="AS165" s="137"/>
      <c r="AT165" s="137"/>
      <c r="AU165" s="137"/>
      <c r="AV165" s="138"/>
      <c r="AW165" s="175"/>
      <c r="AX165" s="176"/>
      <c r="AY165" s="173"/>
      <c r="AZ165" s="173"/>
      <c r="BA165" s="173"/>
      <c r="BB165" s="174"/>
      <c r="BC165" s="234"/>
      <c r="BD165" s="235"/>
      <c r="BE165" s="137"/>
      <c r="BF165" s="137"/>
      <c r="BG165" s="137"/>
      <c r="BH165" s="138"/>
      <c r="BI165" s="220"/>
      <c r="BJ165" s="14"/>
      <c r="BK165" s="9"/>
    </row>
    <row r="166" ht="18.75" customHeight="1">
      <c r="A166" s="5"/>
      <c r="B166" s="81"/>
      <c r="C166" s="91"/>
      <c r="D166" s="91"/>
      <c r="E166" s="221"/>
      <c r="F166" s="38"/>
      <c r="G166" s="38"/>
      <c r="H166" s="38"/>
      <c r="I166" s="39"/>
      <c r="J166" s="91"/>
      <c r="K166" s="221"/>
      <c r="L166" s="38"/>
      <c r="M166" s="38"/>
      <c r="N166" s="38"/>
      <c r="O166" s="247"/>
      <c r="P166" s="91"/>
      <c r="Q166" s="222"/>
      <c r="R166" s="233" t="s">
        <v>260</v>
      </c>
      <c r="S166" s="50"/>
      <c r="T166" s="50"/>
      <c r="U166" s="50"/>
      <c r="V166" s="51"/>
      <c r="W166" s="222"/>
      <c r="X166" s="228"/>
      <c r="Y166" s="50"/>
      <c r="Z166" s="50"/>
      <c r="AA166" s="50"/>
      <c r="AB166" s="50"/>
      <c r="AC166" s="51"/>
      <c r="AD166" s="91"/>
      <c r="AE166" s="189" t="str">
        <f t="array" ref="AE166">IFERROR(VLOOKUP(AG166,Dex!$B$3:$S185,18,FALSE),"")</f>
        <v/>
      </c>
      <c r="AF166" s="159"/>
      <c r="AG166" s="229" t="s">
        <v>261</v>
      </c>
      <c r="AH166" s="156"/>
      <c r="AI166" s="156"/>
      <c r="AJ166" s="157"/>
      <c r="AK166" s="230" t="str">
        <f t="array" ref="AK166">IFERROR(VLOOKUP(AM166,Dex!$B$3:$S185,18,FALSE),"")</f>
        <v/>
      </c>
      <c r="AL166" s="231"/>
      <c r="AM166" s="232" t="s">
        <v>262</v>
      </c>
      <c r="AN166" s="104"/>
      <c r="AO166" s="104"/>
      <c r="AP166" s="105"/>
      <c r="AQ166" s="189" t="str">
        <f t="array" ref="AQ166">IFERROR(VLOOKUP(AS166,Dex!$B$3:$S185,18,FALSE),"")</f>
        <v/>
      </c>
      <c r="AR166" s="159"/>
      <c r="AS166" s="229" t="s">
        <v>263</v>
      </c>
      <c r="AT166" s="156"/>
      <c r="AU166" s="156"/>
      <c r="AV166" s="157"/>
      <c r="AW166" s="230" t="str">
        <f t="array" ref="AW166">IFERROR(VLOOKUP(AY166,Dex!$B$3:$S185,18,FALSE),"")</f>
        <v/>
      </c>
      <c r="AX166" s="231"/>
      <c r="AY166" s="232" t="s">
        <v>264</v>
      </c>
      <c r="AZ166" s="104"/>
      <c r="BA166" s="104"/>
      <c r="BB166" s="105"/>
      <c r="BC166" s="189" t="str">
        <f t="array" ref="BC166">IFERROR(VLOOKUP(BE166,Dex!$B$3:$S185,18,FALSE),"")</f>
        <v/>
      </c>
      <c r="BD166" s="159"/>
      <c r="BE166" s="229" t="s">
        <v>265</v>
      </c>
      <c r="BF166" s="156"/>
      <c r="BG166" s="156"/>
      <c r="BH166" s="157"/>
      <c r="BI166" s="220"/>
      <c r="BJ166" s="14"/>
      <c r="BK166" s="9"/>
    </row>
    <row r="167" ht="19.5" customHeight="1">
      <c r="A167" s="5"/>
      <c r="B167" s="81"/>
      <c r="C167" s="91"/>
      <c r="D167" s="91"/>
      <c r="E167" s="221"/>
      <c r="F167" s="38"/>
      <c r="G167" s="38"/>
      <c r="H167" s="38"/>
      <c r="I167" s="39"/>
      <c r="J167" s="91"/>
      <c r="K167" s="221"/>
      <c r="L167" s="38"/>
      <c r="M167" s="38"/>
      <c r="N167" s="38"/>
      <c r="O167" s="247"/>
      <c r="P167" s="91"/>
      <c r="Q167" s="222"/>
      <c r="R167" s="236" t="s">
        <v>266</v>
      </c>
      <c r="S167" s="12"/>
      <c r="T167" s="12"/>
      <c r="U167" s="12"/>
      <c r="V167" s="13"/>
      <c r="W167" s="222"/>
      <c r="X167" s="228"/>
      <c r="Y167" s="50"/>
      <c r="Z167" s="50"/>
      <c r="AA167" s="50"/>
      <c r="AB167" s="50"/>
      <c r="AC167" s="51"/>
      <c r="AD167" s="91"/>
      <c r="AE167" s="175"/>
      <c r="AF167" s="176"/>
      <c r="AG167" s="173"/>
      <c r="AH167" s="173"/>
      <c r="AI167" s="173"/>
      <c r="AJ167" s="174"/>
      <c r="AK167" s="234"/>
      <c r="AL167" s="235"/>
      <c r="AM167" s="137"/>
      <c r="AN167" s="137"/>
      <c r="AO167" s="137"/>
      <c r="AP167" s="138"/>
      <c r="AQ167" s="175"/>
      <c r="AR167" s="176"/>
      <c r="AS167" s="173"/>
      <c r="AT167" s="173"/>
      <c r="AU167" s="173"/>
      <c r="AV167" s="174"/>
      <c r="AW167" s="234"/>
      <c r="AX167" s="235"/>
      <c r="AY167" s="137"/>
      <c r="AZ167" s="137"/>
      <c r="BA167" s="137"/>
      <c r="BB167" s="138"/>
      <c r="BC167" s="175"/>
      <c r="BD167" s="176"/>
      <c r="BE167" s="173"/>
      <c r="BF167" s="173"/>
      <c r="BG167" s="173"/>
      <c r="BH167" s="174"/>
      <c r="BI167" s="220"/>
      <c r="BJ167" s="14"/>
      <c r="BK167" s="9"/>
    </row>
    <row r="168" ht="18.75" customHeight="1">
      <c r="A168" s="5"/>
      <c r="B168" s="81"/>
      <c r="C168" s="91"/>
      <c r="D168" s="91"/>
      <c r="E168" s="221"/>
      <c r="F168" s="38"/>
      <c r="G168" s="38"/>
      <c r="H168" s="38"/>
      <c r="I168" s="39"/>
      <c r="J168" s="91"/>
      <c r="K168" s="221"/>
      <c r="L168" s="38"/>
      <c r="M168" s="38"/>
      <c r="N168" s="38"/>
      <c r="O168" s="247"/>
      <c r="P168" s="91"/>
      <c r="Q168" s="222"/>
      <c r="R168" s="233" t="s">
        <v>267</v>
      </c>
      <c r="S168" s="50"/>
      <c r="T168" s="50"/>
      <c r="U168" s="50"/>
      <c r="V168" s="51"/>
      <c r="W168" s="222"/>
      <c r="X168" s="228"/>
      <c r="Y168" s="50"/>
      <c r="Z168" s="50"/>
      <c r="AA168" s="50"/>
      <c r="AB168" s="50"/>
      <c r="AC168" s="51"/>
      <c r="AD168" s="91"/>
      <c r="AE168" s="230" t="str">
        <f t="array" ref="AE168">IFERROR(VLOOKUP(AG168,Dex!$B$3:$S185,18,FALSE),"")</f>
        <v/>
      </c>
      <c r="AF168" s="231"/>
      <c r="AG168" s="232" t="s">
        <v>268</v>
      </c>
      <c r="AH168" s="104"/>
      <c r="AI168" s="104"/>
      <c r="AJ168" s="105"/>
      <c r="AK168" s="189" t="str">
        <f t="array" ref="AK168">IFERROR(VLOOKUP(AM168,Dex!$B$3:$S185,18,FALSE),"")</f>
        <v/>
      </c>
      <c r="AL168" s="159"/>
      <c r="AM168" s="229" t="s">
        <v>269</v>
      </c>
      <c r="AN168" s="156"/>
      <c r="AO168" s="156"/>
      <c r="AP168" s="157"/>
      <c r="AQ168" s="230" t="str">
        <f t="array" ref="AQ168">IFERROR(VLOOKUP(AS168,Dex!$B$3:$S185,18,FALSE),"")</f>
        <v/>
      </c>
      <c r="AR168" s="231"/>
      <c r="AS168" s="232" t="s">
        <v>270</v>
      </c>
      <c r="AT168" s="104"/>
      <c r="AU168" s="104"/>
      <c r="AV168" s="105"/>
      <c r="AW168" s="189" t="str">
        <f t="array" ref="AW168">IFERROR(VLOOKUP(AY168,Dex!$B$3:$S185,18,FALSE),"")</f>
        <v/>
      </c>
      <c r="AX168" s="159"/>
      <c r="AY168" s="229" t="s">
        <v>271</v>
      </c>
      <c r="AZ168" s="156"/>
      <c r="BA168" s="156"/>
      <c r="BB168" s="157"/>
      <c r="BC168" s="230" t="str">
        <f t="array" ref="BC168">IFERROR(VLOOKUP(BE168,Dex!$B$3:$S185,18,FALSE),"")</f>
        <v/>
      </c>
      <c r="BD168" s="231"/>
      <c r="BE168" s="232" t="s">
        <v>272</v>
      </c>
      <c r="BF168" s="104"/>
      <c r="BG168" s="104"/>
      <c r="BH168" s="105"/>
      <c r="BI168" s="220"/>
      <c r="BJ168" s="14"/>
      <c r="BK168" s="9"/>
    </row>
    <row r="169" ht="19.5" customHeight="1">
      <c r="A169" s="5"/>
      <c r="B169" s="81"/>
      <c r="C169" s="91"/>
      <c r="D169" s="91"/>
      <c r="E169" s="221"/>
      <c r="F169" s="38"/>
      <c r="G169" s="38"/>
      <c r="H169" s="38"/>
      <c r="I169" s="39"/>
      <c r="J169" s="91"/>
      <c r="K169" s="221"/>
      <c r="L169" s="38"/>
      <c r="M169" s="38"/>
      <c r="N169" s="38"/>
      <c r="O169" s="247"/>
      <c r="P169" s="91"/>
      <c r="Q169" s="222"/>
      <c r="R169" s="236" t="s">
        <v>273</v>
      </c>
      <c r="S169" s="12"/>
      <c r="T169" s="12"/>
      <c r="U169" s="12"/>
      <c r="V169" s="13"/>
      <c r="W169" s="222"/>
      <c r="X169" s="228"/>
      <c r="Y169" s="50"/>
      <c r="Z169" s="50"/>
      <c r="AA169" s="50"/>
      <c r="AB169" s="50"/>
      <c r="AC169" s="51"/>
      <c r="AD169" s="91"/>
      <c r="AE169" s="234"/>
      <c r="AF169" s="235"/>
      <c r="AG169" s="137"/>
      <c r="AH169" s="137"/>
      <c r="AI169" s="137"/>
      <c r="AJ169" s="138"/>
      <c r="AK169" s="175"/>
      <c r="AL169" s="176"/>
      <c r="AM169" s="173"/>
      <c r="AN169" s="173"/>
      <c r="AO169" s="173"/>
      <c r="AP169" s="174"/>
      <c r="AQ169" s="234"/>
      <c r="AR169" s="235"/>
      <c r="AS169" s="137"/>
      <c r="AT169" s="137"/>
      <c r="AU169" s="137"/>
      <c r="AV169" s="138"/>
      <c r="AW169" s="175"/>
      <c r="AX169" s="176"/>
      <c r="AY169" s="173"/>
      <c r="AZ169" s="173"/>
      <c r="BA169" s="173"/>
      <c r="BB169" s="174"/>
      <c r="BC169" s="234"/>
      <c r="BD169" s="235"/>
      <c r="BE169" s="137"/>
      <c r="BF169" s="137"/>
      <c r="BG169" s="137"/>
      <c r="BH169" s="138"/>
      <c r="BI169" s="220"/>
      <c r="BJ169" s="14"/>
      <c r="BK169" s="9"/>
    </row>
    <row r="170" ht="18.75" customHeight="1">
      <c r="A170" s="5"/>
      <c r="B170" s="81"/>
      <c r="C170" s="91"/>
      <c r="D170" s="91"/>
      <c r="E170" s="221"/>
      <c r="F170" s="38"/>
      <c r="G170" s="38"/>
      <c r="H170" s="38"/>
      <c r="I170" s="39"/>
      <c r="J170" s="91"/>
      <c r="K170" s="221"/>
      <c r="L170" s="38"/>
      <c r="M170" s="38"/>
      <c r="N170" s="38"/>
      <c r="O170" s="247"/>
      <c r="P170" s="91"/>
      <c r="Q170" s="222"/>
      <c r="R170" s="233" t="s">
        <v>274</v>
      </c>
      <c r="S170" s="50"/>
      <c r="T170" s="50"/>
      <c r="U170" s="50"/>
      <c r="V170" s="51"/>
      <c r="W170" s="222"/>
      <c r="X170" s="228"/>
      <c r="Y170" s="50"/>
      <c r="Z170" s="50"/>
      <c r="AA170" s="50"/>
      <c r="AB170" s="50"/>
      <c r="AC170" s="51"/>
      <c r="AD170" s="91"/>
      <c r="AE170" s="189" t="str">
        <f t="array" ref="AE170">IFERROR(VLOOKUP(AG170,Dex!$B$3:$S185,18,FALSE),"")</f>
        <v/>
      </c>
      <c r="AF170" s="159"/>
      <c r="AG170" s="229" t="s">
        <v>275</v>
      </c>
      <c r="AH170" s="156"/>
      <c r="AI170" s="156"/>
      <c r="AJ170" s="157"/>
      <c r="AK170" s="230" t="str">
        <f t="array" ref="AK170">IFERROR(VLOOKUP(AM170,Dex!$B$3:$S185,18,FALSE),"")</f>
        <v/>
      </c>
      <c r="AL170" s="231"/>
      <c r="AM170" s="232" t="s">
        <v>276</v>
      </c>
      <c r="AN170" s="104"/>
      <c r="AO170" s="104"/>
      <c r="AP170" s="105"/>
      <c r="AQ170" s="189" t="str">
        <f t="array" ref="AQ170">IFERROR(VLOOKUP(AS170,Dex!$B$3:$S185,18,FALSE),"")</f>
        <v/>
      </c>
      <c r="AR170" s="159"/>
      <c r="AS170" s="229" t="s">
        <v>277</v>
      </c>
      <c r="AT170" s="156"/>
      <c r="AU170" s="156"/>
      <c r="AV170" s="157"/>
      <c r="AW170" s="230" t="str">
        <f t="array" ref="AW170">IFERROR(VLOOKUP(AY170,Dex!$B$3:$S185,18,FALSE),"")</f>
        <v/>
      </c>
      <c r="AX170" s="231"/>
      <c r="AY170" s="232" t="s">
        <v>278</v>
      </c>
      <c r="AZ170" s="104"/>
      <c r="BA170" s="104"/>
      <c r="BB170" s="105"/>
      <c r="BC170" s="189" t="str">
        <f t="array" ref="BC170">IFERROR(VLOOKUP(BE170,Dex!$B$3:$S185,18,FALSE),"")</f>
        <v/>
      </c>
      <c r="BD170" s="159"/>
      <c r="BE170" s="229" t="s">
        <v>279</v>
      </c>
      <c r="BF170" s="156"/>
      <c r="BG170" s="156"/>
      <c r="BH170" s="157"/>
      <c r="BI170" s="220"/>
      <c r="BJ170" s="14"/>
      <c r="BK170" s="9"/>
    </row>
    <row r="171" ht="19.5" customHeight="1">
      <c r="A171" s="5"/>
      <c r="B171" s="81"/>
      <c r="C171" s="91"/>
      <c r="D171" s="91"/>
      <c r="E171" s="221"/>
      <c r="F171" s="38"/>
      <c r="G171" s="38"/>
      <c r="H171" s="38"/>
      <c r="I171" s="39"/>
      <c r="J171" s="91"/>
      <c r="K171" s="221"/>
      <c r="L171" s="38"/>
      <c r="M171" s="38"/>
      <c r="N171" s="38"/>
      <c r="O171" s="247"/>
      <c r="P171" s="91"/>
      <c r="Q171" s="222"/>
      <c r="R171" s="236" t="s">
        <v>280</v>
      </c>
      <c r="S171" s="12"/>
      <c r="T171" s="12"/>
      <c r="U171" s="12"/>
      <c r="V171" s="13"/>
      <c r="W171" s="222"/>
      <c r="X171" s="228"/>
      <c r="Y171" s="50"/>
      <c r="Z171" s="50"/>
      <c r="AA171" s="50"/>
      <c r="AB171" s="50"/>
      <c r="AC171" s="51"/>
      <c r="AD171" s="91"/>
      <c r="AE171" s="175"/>
      <c r="AF171" s="176"/>
      <c r="AG171" s="173"/>
      <c r="AH171" s="173"/>
      <c r="AI171" s="173"/>
      <c r="AJ171" s="174"/>
      <c r="AK171" s="234"/>
      <c r="AL171" s="235"/>
      <c r="AM171" s="137"/>
      <c r="AN171" s="137"/>
      <c r="AO171" s="137"/>
      <c r="AP171" s="138"/>
      <c r="AQ171" s="175"/>
      <c r="AR171" s="176"/>
      <c r="AS171" s="173"/>
      <c r="AT171" s="173"/>
      <c r="AU171" s="173"/>
      <c r="AV171" s="174"/>
      <c r="AW171" s="234"/>
      <c r="AX171" s="235"/>
      <c r="AY171" s="137"/>
      <c r="AZ171" s="137"/>
      <c r="BA171" s="137"/>
      <c r="BB171" s="138"/>
      <c r="BC171" s="175"/>
      <c r="BD171" s="176"/>
      <c r="BE171" s="173"/>
      <c r="BF171" s="173"/>
      <c r="BG171" s="173"/>
      <c r="BH171" s="174"/>
      <c r="BI171" s="220"/>
      <c r="BJ171" s="14"/>
      <c r="BK171" s="9"/>
    </row>
    <row r="172" ht="18.75" customHeight="1">
      <c r="A172" s="5"/>
      <c r="B172" s="81"/>
      <c r="C172" s="91"/>
      <c r="D172" s="91"/>
      <c r="E172" s="221"/>
      <c r="F172" s="38"/>
      <c r="G172" s="38"/>
      <c r="H172" s="38"/>
      <c r="I172" s="39"/>
      <c r="J172" s="91"/>
      <c r="K172" s="221"/>
      <c r="L172" s="38"/>
      <c r="M172" s="38"/>
      <c r="N172" s="38"/>
      <c r="O172" s="247"/>
      <c r="P172" s="91"/>
      <c r="Q172" s="222"/>
      <c r="R172" s="233" t="s">
        <v>281</v>
      </c>
      <c r="S172" s="50"/>
      <c r="T172" s="50"/>
      <c r="U172" s="50"/>
      <c r="V172" s="51"/>
      <c r="W172" s="222"/>
      <c r="X172" s="228"/>
      <c r="Y172" s="50"/>
      <c r="Z172" s="50"/>
      <c r="AA172" s="50"/>
      <c r="AB172" s="50"/>
      <c r="AC172" s="51"/>
      <c r="AD172" s="91"/>
      <c r="AE172" s="230" t="str">
        <f t="array" ref="AE172">IFERROR(VLOOKUP(AG172,Dex!$B$3:$S185,18,FALSE),"")</f>
        <v/>
      </c>
      <c r="AF172" s="231"/>
      <c r="AG172" s="232" t="s">
        <v>282</v>
      </c>
      <c r="AH172" s="104"/>
      <c r="AI172" s="104"/>
      <c r="AJ172" s="105"/>
      <c r="AK172" s="189" t="str">
        <f t="array" ref="AK172">IFERROR(VLOOKUP(AM172,Dex!$B$3:$S185,18,FALSE),"")</f>
        <v/>
      </c>
      <c r="AL172" s="159"/>
      <c r="AM172" s="229" t="s">
        <v>283</v>
      </c>
      <c r="AN172" s="156"/>
      <c r="AO172" s="156"/>
      <c r="AP172" s="157"/>
      <c r="AQ172" s="230" t="str">
        <f t="array" ref="AQ172">IFERROR(VLOOKUP(AS172,Dex!$B$3:$S185,18,FALSE),"")</f>
        <v/>
      </c>
      <c r="AR172" s="231"/>
      <c r="AS172" s="232" t="s">
        <v>284</v>
      </c>
      <c r="AT172" s="104"/>
      <c r="AU172" s="104"/>
      <c r="AV172" s="105"/>
      <c r="AW172" s="189" t="str">
        <f t="array" ref="AW172">IFERROR(VLOOKUP(AY172,Dex!$B$3:$S185,18,FALSE),"")</f>
        <v/>
      </c>
      <c r="AX172" s="159"/>
      <c r="AY172" s="229" t="s">
        <v>285</v>
      </c>
      <c r="AZ172" s="156"/>
      <c r="BA172" s="156"/>
      <c r="BB172" s="157"/>
      <c r="BC172" s="230" t="str">
        <f t="array" ref="BC172">IFERROR(VLOOKUP(BE172,Dex!$B$3:$S185,18,FALSE),"")</f>
        <v/>
      </c>
      <c r="BD172" s="231"/>
      <c r="BE172" s="232" t="s">
        <v>286</v>
      </c>
      <c r="BF172" s="104"/>
      <c r="BG172" s="104"/>
      <c r="BH172" s="105"/>
      <c r="BI172" s="220"/>
      <c r="BJ172" s="14"/>
      <c r="BK172" s="9"/>
    </row>
    <row r="173" ht="19.5" customHeight="1">
      <c r="A173" s="5"/>
      <c r="B173" s="81"/>
      <c r="C173" s="91"/>
      <c r="D173" s="91"/>
      <c r="E173" s="221"/>
      <c r="F173" s="38"/>
      <c r="G173" s="38"/>
      <c r="H173" s="38"/>
      <c r="I173" s="39"/>
      <c r="J173" s="91"/>
      <c r="K173" s="221"/>
      <c r="L173" s="38"/>
      <c r="M173" s="38"/>
      <c r="N173" s="38"/>
      <c r="O173" s="247"/>
      <c r="P173" s="91"/>
      <c r="Q173" s="222"/>
      <c r="R173" s="236" t="s">
        <v>287</v>
      </c>
      <c r="S173" s="12"/>
      <c r="T173" s="12"/>
      <c r="U173" s="12"/>
      <c r="V173" s="13"/>
      <c r="W173" s="222"/>
      <c r="X173" s="228"/>
      <c r="Y173" s="50"/>
      <c r="Z173" s="50"/>
      <c r="AA173" s="50"/>
      <c r="AB173" s="50"/>
      <c r="AC173" s="51"/>
      <c r="AD173" s="91"/>
      <c r="AE173" s="234"/>
      <c r="AF173" s="235"/>
      <c r="AG173" s="137"/>
      <c r="AH173" s="137"/>
      <c r="AI173" s="137"/>
      <c r="AJ173" s="138"/>
      <c r="AK173" s="175"/>
      <c r="AL173" s="176"/>
      <c r="AM173" s="173"/>
      <c r="AN173" s="173"/>
      <c r="AO173" s="173"/>
      <c r="AP173" s="174"/>
      <c r="AQ173" s="234"/>
      <c r="AR173" s="235"/>
      <c r="AS173" s="137"/>
      <c r="AT173" s="137"/>
      <c r="AU173" s="137"/>
      <c r="AV173" s="138"/>
      <c r="AW173" s="175"/>
      <c r="AX173" s="176"/>
      <c r="AY173" s="173"/>
      <c r="AZ173" s="173"/>
      <c r="BA173" s="173"/>
      <c r="BB173" s="174"/>
      <c r="BC173" s="234"/>
      <c r="BD173" s="235"/>
      <c r="BE173" s="137"/>
      <c r="BF173" s="137"/>
      <c r="BG173" s="137"/>
      <c r="BH173" s="138"/>
      <c r="BI173" s="220"/>
      <c r="BJ173" s="14"/>
      <c r="BK173" s="9"/>
    </row>
    <row r="174" ht="18.75" customHeight="1">
      <c r="A174" s="5"/>
      <c r="B174" s="81"/>
      <c r="C174" s="91"/>
      <c r="D174" s="91"/>
      <c r="E174" s="221"/>
      <c r="F174" s="38"/>
      <c r="G174" s="38"/>
      <c r="H174" s="38"/>
      <c r="I174" s="39"/>
      <c r="J174" s="91"/>
      <c r="K174" s="221"/>
      <c r="L174" s="38"/>
      <c r="M174" s="38"/>
      <c r="N174" s="38"/>
      <c r="O174" s="247"/>
      <c r="P174" s="91"/>
      <c r="Q174" s="222"/>
      <c r="R174" s="233" t="s">
        <v>288</v>
      </c>
      <c r="S174" s="50"/>
      <c r="T174" s="50"/>
      <c r="U174" s="50"/>
      <c r="V174" s="51"/>
      <c r="W174" s="222"/>
      <c r="X174" s="228"/>
      <c r="Y174" s="50"/>
      <c r="Z174" s="50"/>
      <c r="AA174" s="50"/>
      <c r="AB174" s="50"/>
      <c r="AC174" s="51"/>
      <c r="AD174" s="91"/>
      <c r="AE174" s="189" t="str">
        <f t="array" ref="AE174">IFERROR(VLOOKUP(AG174,Dex!$B$3:$S185,18,FALSE),"")</f>
        <v/>
      </c>
      <c r="AF174" s="159"/>
      <c r="AG174" s="229" t="s">
        <v>289</v>
      </c>
      <c r="AH174" s="156"/>
      <c r="AI174" s="156"/>
      <c r="AJ174" s="157"/>
      <c r="AK174" s="230" t="str">
        <f t="array" ref="AK174">IFERROR(VLOOKUP(AM174,Dex!$B$3:$S185,18,FALSE),"")</f>
        <v/>
      </c>
      <c r="AL174" s="231"/>
      <c r="AM174" s="232" t="s">
        <v>290</v>
      </c>
      <c r="AN174" s="104"/>
      <c r="AO174" s="104"/>
      <c r="AP174" s="105"/>
      <c r="AQ174" s="189" t="str">
        <f t="array" ref="AQ174">IFERROR(VLOOKUP(AS174,Dex!$B$3:$S185,18,FALSE),"")</f>
        <v/>
      </c>
      <c r="AR174" s="159"/>
      <c r="AS174" s="229" t="s">
        <v>291</v>
      </c>
      <c r="AT174" s="156"/>
      <c r="AU174" s="156"/>
      <c r="AV174" s="157"/>
      <c r="AW174" s="230" t="str">
        <f t="array" ref="AW174">IFERROR(VLOOKUP(AY174,Dex!$B$3:$S185,18,FALSE),"")</f>
        <v/>
      </c>
      <c r="AX174" s="231"/>
      <c r="AY174" s="232" t="s">
        <v>292</v>
      </c>
      <c r="AZ174" s="104"/>
      <c r="BA174" s="104"/>
      <c r="BB174" s="105"/>
      <c r="BC174" s="91"/>
      <c r="BD174" s="226"/>
      <c r="BE174" s="226"/>
      <c r="BF174" s="226"/>
      <c r="BG174" s="226"/>
      <c r="BH174" s="255"/>
      <c r="BI174" s="220"/>
      <c r="BJ174" s="14"/>
      <c r="BK174" s="9"/>
    </row>
    <row r="175" ht="19.5" customHeight="1">
      <c r="A175" s="5"/>
      <c r="B175" s="81"/>
      <c r="C175" s="91"/>
      <c r="D175" s="91"/>
      <c r="E175" s="242"/>
      <c r="F175" s="156"/>
      <c r="G175" s="156"/>
      <c r="H175" s="156"/>
      <c r="I175" s="159"/>
      <c r="J175" s="91"/>
      <c r="K175" s="242"/>
      <c r="L175" s="156"/>
      <c r="M175" s="156"/>
      <c r="N175" s="156"/>
      <c r="O175" s="249"/>
      <c r="P175" s="91"/>
      <c r="Q175" s="222"/>
      <c r="R175" s="236" t="s">
        <v>293</v>
      </c>
      <c r="S175" s="12"/>
      <c r="T175" s="12"/>
      <c r="U175" s="12"/>
      <c r="V175" s="13"/>
      <c r="W175" s="222"/>
      <c r="X175" s="228"/>
      <c r="Y175" s="50"/>
      <c r="Z175" s="50"/>
      <c r="AA175" s="50"/>
      <c r="AB175" s="50"/>
      <c r="AC175" s="51"/>
      <c r="AD175" s="91"/>
      <c r="AE175" s="175"/>
      <c r="AF175" s="176"/>
      <c r="AG175" s="173"/>
      <c r="AH175" s="173"/>
      <c r="AI175" s="173"/>
      <c r="AJ175" s="174"/>
      <c r="AK175" s="234"/>
      <c r="AL175" s="235"/>
      <c r="AM175" s="137"/>
      <c r="AN175" s="137"/>
      <c r="AO175" s="137"/>
      <c r="AP175" s="138"/>
      <c r="AQ175" s="175"/>
      <c r="AR175" s="176"/>
      <c r="AS175" s="173"/>
      <c r="AT175" s="173"/>
      <c r="AU175" s="173"/>
      <c r="AV175" s="174"/>
      <c r="AW175" s="234"/>
      <c r="AX175" s="235"/>
      <c r="AY175" s="137"/>
      <c r="AZ175" s="137"/>
      <c r="BA175" s="137"/>
      <c r="BB175" s="138"/>
      <c r="BC175" s="222"/>
      <c r="BD175" s="262"/>
      <c r="BE175" s="263"/>
      <c r="BF175" s="263"/>
      <c r="BG175" s="263"/>
      <c r="BH175" s="263"/>
      <c r="BI175" s="91"/>
      <c r="BJ175" s="14"/>
      <c r="BK175" s="9"/>
    </row>
    <row r="176" ht="18.75" customHeight="1">
      <c r="A176" s="5"/>
      <c r="B176" s="81"/>
      <c r="C176" s="91"/>
      <c r="D176" s="91"/>
      <c r="E176" s="221"/>
      <c r="F176" s="38"/>
      <c r="G176" s="38"/>
      <c r="H176" s="38"/>
      <c r="I176" s="39"/>
      <c r="J176" s="91"/>
      <c r="K176" s="221"/>
      <c r="L176" s="38"/>
      <c r="M176" s="38"/>
      <c r="N176" s="38"/>
      <c r="O176" s="247"/>
      <c r="P176" s="91"/>
      <c r="Q176" s="222"/>
      <c r="R176" s="233" t="s">
        <v>294</v>
      </c>
      <c r="S176" s="50"/>
      <c r="T176" s="50"/>
      <c r="U176" s="50"/>
      <c r="V176" s="51"/>
      <c r="W176" s="222"/>
      <c r="X176" s="228"/>
      <c r="Y176" s="50"/>
      <c r="Z176" s="50"/>
      <c r="AA176" s="50"/>
      <c r="AB176" s="50"/>
      <c r="AC176" s="51"/>
      <c r="AD176" s="91"/>
      <c r="AE176" s="230" t="str">
        <f t="array" ref="AE176">IFERROR(VLOOKUP(AG176,Dex!$B$3:$S185,18,FALSE),"")</f>
        <v/>
      </c>
      <c r="AF176" s="231"/>
      <c r="AG176" s="232" t="s">
        <v>295</v>
      </c>
      <c r="AH176" s="104"/>
      <c r="AI176" s="104"/>
      <c r="AJ176" s="105"/>
      <c r="AK176" s="189" t="str">
        <f t="array" ref="AK176">IFERROR(VLOOKUP(AM176,Dex!$B$3:$S185,18,FALSE),"")</f>
        <v/>
      </c>
      <c r="AL176" s="159"/>
      <c r="AM176" s="229" t="s">
        <v>296</v>
      </c>
      <c r="AN176" s="156"/>
      <c r="AO176" s="156"/>
      <c r="AP176" s="157"/>
      <c r="AQ176" s="230" t="str">
        <f t="array" ref="AQ176">IFERROR(VLOOKUP(AS176,Dex!$B$3:$S185,18,FALSE),"")</f>
        <v/>
      </c>
      <c r="AR176" s="231"/>
      <c r="AS176" s="232" t="s">
        <v>95</v>
      </c>
      <c r="AT176" s="104"/>
      <c r="AU176" s="104"/>
      <c r="AV176" s="105"/>
      <c r="AW176" s="189" t="str">
        <f t="array" ref="AW176">IFERROR(VLOOKUP(AY176,Dex!$B$3:$S185,18,FALSE),"")</f>
        <v/>
      </c>
      <c r="AX176" s="159"/>
      <c r="AY176" s="229" t="s">
        <v>297</v>
      </c>
      <c r="AZ176" s="156"/>
      <c r="BA176" s="156"/>
      <c r="BB176" s="157"/>
      <c r="BC176" s="222"/>
      <c r="BD176" s="220"/>
      <c r="BE176" s="91"/>
      <c r="BF176" s="91"/>
      <c r="BG176" s="91"/>
      <c r="BH176" s="91"/>
      <c r="BI176" s="91"/>
      <c r="BJ176" s="14"/>
      <c r="BK176" s="9"/>
    </row>
    <row r="177" ht="19.5" customHeight="1">
      <c r="A177" s="5"/>
      <c r="B177" s="81"/>
      <c r="C177" s="91"/>
      <c r="D177" s="91"/>
      <c r="E177" s="221"/>
      <c r="F177" s="38"/>
      <c r="G177" s="38"/>
      <c r="H177" s="38"/>
      <c r="I177" s="39"/>
      <c r="J177" s="91"/>
      <c r="K177" s="221"/>
      <c r="L177" s="38"/>
      <c r="M177" s="38"/>
      <c r="N177" s="38"/>
      <c r="O177" s="247"/>
      <c r="P177" s="91"/>
      <c r="Q177" s="222"/>
      <c r="R177" s="236" t="s">
        <v>298</v>
      </c>
      <c r="S177" s="12"/>
      <c r="T177" s="12"/>
      <c r="U177" s="12"/>
      <c r="V177" s="13"/>
      <c r="W177" s="222"/>
      <c r="X177" s="218"/>
      <c r="Y177" s="91"/>
      <c r="Z177" s="91"/>
      <c r="AA177" s="91"/>
      <c r="AB177" s="91"/>
      <c r="AC177" s="91"/>
      <c r="AD177" s="91"/>
      <c r="AE177" s="234"/>
      <c r="AF177" s="235"/>
      <c r="AG177" s="137"/>
      <c r="AH177" s="137"/>
      <c r="AI177" s="137"/>
      <c r="AJ177" s="138"/>
      <c r="AK177" s="175"/>
      <c r="AL177" s="176"/>
      <c r="AM177" s="173"/>
      <c r="AN177" s="173"/>
      <c r="AO177" s="173"/>
      <c r="AP177" s="174"/>
      <c r="AQ177" s="234"/>
      <c r="AR177" s="235"/>
      <c r="AS177" s="137"/>
      <c r="AT177" s="137"/>
      <c r="AU177" s="137"/>
      <c r="AV177" s="138"/>
      <c r="AW177" s="175"/>
      <c r="AX177" s="176"/>
      <c r="AY177" s="173"/>
      <c r="AZ177" s="173"/>
      <c r="BA177" s="173"/>
      <c r="BB177" s="174"/>
      <c r="BC177" s="222"/>
      <c r="BD177" s="220"/>
      <c r="BE177" s="91"/>
      <c r="BF177" s="91"/>
      <c r="BG177" s="91"/>
      <c r="BH177" s="91"/>
      <c r="BI177" s="91"/>
      <c r="BJ177" s="14"/>
      <c r="BK177" s="9"/>
    </row>
    <row r="178" ht="18.75" customHeight="1">
      <c r="A178" s="5"/>
      <c r="B178" s="81"/>
      <c r="C178" s="91"/>
      <c r="D178" s="91"/>
      <c r="E178" s="221"/>
      <c r="F178" s="38"/>
      <c r="G178" s="38"/>
      <c r="H178" s="38"/>
      <c r="I178" s="39"/>
      <c r="J178" s="91"/>
      <c r="K178" s="221"/>
      <c r="L178" s="38"/>
      <c r="M178" s="38"/>
      <c r="N178" s="38"/>
      <c r="O178" s="247"/>
      <c r="P178" s="91"/>
      <c r="Q178" s="222"/>
      <c r="R178" s="233" t="s">
        <v>299</v>
      </c>
      <c r="S178" s="50"/>
      <c r="T178" s="50"/>
      <c r="U178" s="50"/>
      <c r="V178" s="51"/>
      <c r="W178" s="222"/>
      <c r="X178" s="218"/>
      <c r="Y178" s="91"/>
      <c r="Z178" s="91"/>
      <c r="AA178" s="91"/>
      <c r="AB178" s="91"/>
      <c r="AC178" s="91"/>
      <c r="AD178" s="91"/>
      <c r="AE178" s="189" t="str">
        <f t="array" ref="AE178">IFERROR(VLOOKUP(AG178,Dex!$B$3:$S185,18,FALSE),"")</f>
        <v/>
      </c>
      <c r="AF178" s="159"/>
      <c r="AG178" s="229" t="s">
        <v>300</v>
      </c>
      <c r="AH178" s="156"/>
      <c r="AI178" s="156"/>
      <c r="AJ178" s="157"/>
      <c r="AK178" s="230" t="str">
        <f t="array" ref="AK178">IFERROR(VLOOKUP(AM178,Dex!$B$3:$S185,18,FALSE),"")</f>
        <v/>
      </c>
      <c r="AL178" s="231"/>
      <c r="AM178" s="232" t="s">
        <v>301</v>
      </c>
      <c r="AN178" s="104"/>
      <c r="AO178" s="104"/>
      <c r="AP178" s="105"/>
      <c r="AQ178" s="189" t="str">
        <f t="array" ref="AQ178">IFERROR(VLOOKUP(AS178,Dex!$B$3:$S185,18,FALSE),"")</f>
        <v/>
      </c>
      <c r="AR178" s="159"/>
      <c r="AS178" s="229" t="s">
        <v>302</v>
      </c>
      <c r="AT178" s="156"/>
      <c r="AU178" s="156"/>
      <c r="AV178" s="157"/>
      <c r="AW178" s="230" t="str">
        <f t="array" ref="AW178">IFERROR(VLOOKUP(AY178,Dex!$B$3:$S185,18,FALSE),"")</f>
        <v/>
      </c>
      <c r="AX178" s="231"/>
      <c r="AY178" s="232" t="s">
        <v>303</v>
      </c>
      <c r="AZ178" s="104"/>
      <c r="BA178" s="104"/>
      <c r="BB178" s="105"/>
      <c r="BC178" s="222"/>
      <c r="BD178" s="220"/>
      <c r="BE178" s="91"/>
      <c r="BF178" s="91"/>
      <c r="BG178" s="91"/>
      <c r="BH178" s="91"/>
      <c r="BI178" s="91"/>
      <c r="BJ178" s="14"/>
      <c r="BK178" s="9"/>
    </row>
    <row r="179" ht="19.5" customHeight="1">
      <c r="A179" s="5"/>
      <c r="B179" s="81"/>
      <c r="C179" s="91"/>
      <c r="D179" s="91"/>
      <c r="E179" s="242"/>
      <c r="F179" s="156"/>
      <c r="G179" s="156"/>
      <c r="H179" s="156"/>
      <c r="I179" s="159"/>
      <c r="J179" s="91"/>
      <c r="K179" s="242"/>
      <c r="L179" s="156"/>
      <c r="M179" s="156"/>
      <c r="N179" s="156"/>
      <c r="O179" s="249"/>
      <c r="P179" s="91"/>
      <c r="Q179" s="255"/>
      <c r="R179" s="225" t="s">
        <v>304</v>
      </c>
      <c r="S179" s="26"/>
      <c r="T179" s="26"/>
      <c r="U179" s="26"/>
      <c r="V179" s="27"/>
      <c r="W179" s="255"/>
      <c r="X179" s="218"/>
      <c r="Y179" s="91"/>
      <c r="Z179" s="91"/>
      <c r="AA179" s="91"/>
      <c r="AB179" s="91"/>
      <c r="AC179" s="91"/>
      <c r="AD179" s="91"/>
      <c r="AE179" s="175"/>
      <c r="AF179" s="176"/>
      <c r="AG179" s="173"/>
      <c r="AH179" s="173"/>
      <c r="AI179" s="173"/>
      <c r="AJ179" s="174"/>
      <c r="AK179" s="234"/>
      <c r="AL179" s="235"/>
      <c r="AM179" s="137"/>
      <c r="AN179" s="137"/>
      <c r="AO179" s="137"/>
      <c r="AP179" s="138"/>
      <c r="AQ179" s="175"/>
      <c r="AR179" s="176"/>
      <c r="AS179" s="173"/>
      <c r="AT179" s="173"/>
      <c r="AU179" s="173"/>
      <c r="AV179" s="174"/>
      <c r="AW179" s="234"/>
      <c r="AX179" s="235"/>
      <c r="AY179" s="137"/>
      <c r="AZ179" s="137"/>
      <c r="BA179" s="137"/>
      <c r="BB179" s="138"/>
      <c r="BC179" s="222"/>
      <c r="BD179" s="220"/>
      <c r="BE179" s="91"/>
      <c r="BF179" s="91"/>
      <c r="BG179" s="91"/>
      <c r="BH179" s="91"/>
      <c r="BI179" s="91"/>
      <c r="BJ179" s="14"/>
      <c r="BK179" s="9"/>
    </row>
    <row r="180" ht="18.75" customHeight="1">
      <c r="A180" s="5"/>
      <c r="B180" s="81"/>
      <c r="C180" s="91"/>
      <c r="D180" s="91"/>
      <c r="E180" s="221"/>
      <c r="F180" s="38"/>
      <c r="G180" s="38"/>
      <c r="H180" s="38"/>
      <c r="I180" s="39"/>
      <c r="J180" s="91"/>
      <c r="K180" s="221"/>
      <c r="L180" s="38"/>
      <c r="M180" s="38"/>
      <c r="N180" s="38"/>
      <c r="O180" s="39"/>
      <c r="P180" s="91"/>
      <c r="Q180" s="264"/>
      <c r="R180" s="259"/>
      <c r="S180" s="257"/>
      <c r="T180" s="257"/>
      <c r="U180" s="257"/>
      <c r="V180" s="258"/>
      <c r="W180" s="260"/>
      <c r="X180" s="91"/>
      <c r="Y180" s="91"/>
      <c r="Z180" s="91"/>
      <c r="AA180" s="91"/>
      <c r="AB180" s="91"/>
      <c r="AC180" s="91"/>
      <c r="AD180" s="91"/>
      <c r="AE180" s="230" t="str">
        <f t="array" ref="AE180">IFERROR(VLOOKUP(AG180,Dex!$B$3:$S185,18,FALSE),"")</f>
        <v/>
      </c>
      <c r="AF180" s="231"/>
      <c r="AG180" s="232" t="s">
        <v>305</v>
      </c>
      <c r="AH180" s="104"/>
      <c r="AI180" s="104"/>
      <c r="AJ180" s="105"/>
      <c r="AK180" s="189" t="str">
        <f t="array" ref="AK180">IFERROR(VLOOKUP(AM180,Dex!$B$3:$S185,18,FALSE),"")</f>
        <v/>
      </c>
      <c r="AL180" s="159"/>
      <c r="AM180" s="229" t="s">
        <v>306</v>
      </c>
      <c r="AN180" s="156"/>
      <c r="AO180" s="156"/>
      <c r="AP180" s="157"/>
      <c r="AQ180" s="230" t="str">
        <f t="array" ref="AQ180">IFERROR(VLOOKUP(AS180,Dex!$B$3:$S185,18,FALSE),"")</f>
        <v/>
      </c>
      <c r="AR180" s="231"/>
      <c r="AS180" s="232" t="s">
        <v>307</v>
      </c>
      <c r="AT180" s="104"/>
      <c r="AU180" s="104"/>
      <c r="AV180" s="105"/>
      <c r="AW180" s="189" t="str">
        <f t="array" ref="AW180">IFERROR(VLOOKUP(AY180,Dex!$B$3:$S185,18,FALSE),"")</f>
        <v/>
      </c>
      <c r="AX180" s="159"/>
      <c r="AY180" s="229" t="s">
        <v>308</v>
      </c>
      <c r="AZ180" s="156"/>
      <c r="BA180" s="156"/>
      <c r="BB180" s="157"/>
      <c r="BC180" s="222"/>
      <c r="BD180" s="220"/>
      <c r="BE180" s="91"/>
      <c r="BF180" s="91"/>
      <c r="BG180" s="91"/>
      <c r="BH180" s="91"/>
      <c r="BI180" s="91"/>
      <c r="BJ180" s="14"/>
      <c r="BK180" s="9"/>
    </row>
    <row r="181" ht="19.5" customHeight="1">
      <c r="A181" s="5"/>
      <c r="B181" s="81"/>
      <c r="C181" s="91"/>
      <c r="D181" s="91"/>
      <c r="E181" s="221"/>
      <c r="F181" s="38"/>
      <c r="G181" s="38"/>
      <c r="H181" s="38"/>
      <c r="I181" s="39"/>
      <c r="J181" s="91"/>
      <c r="K181" s="221"/>
      <c r="L181" s="38"/>
      <c r="M181" s="38"/>
      <c r="N181" s="38"/>
      <c r="O181" s="39"/>
      <c r="P181" s="91"/>
      <c r="Q181" s="222"/>
      <c r="R181" s="221"/>
      <c r="S181" s="38"/>
      <c r="T181" s="38"/>
      <c r="U181" s="38"/>
      <c r="V181" s="39"/>
      <c r="W181" s="91"/>
      <c r="X181" s="91"/>
      <c r="Y181" s="91"/>
      <c r="Z181" s="91"/>
      <c r="AA181" s="91"/>
      <c r="AB181" s="91"/>
      <c r="AC181" s="91"/>
      <c r="AD181" s="91"/>
      <c r="AE181" s="234"/>
      <c r="AF181" s="235"/>
      <c r="AG181" s="137"/>
      <c r="AH181" s="137"/>
      <c r="AI181" s="137"/>
      <c r="AJ181" s="138"/>
      <c r="AK181" s="175"/>
      <c r="AL181" s="176"/>
      <c r="AM181" s="173"/>
      <c r="AN181" s="173"/>
      <c r="AO181" s="173"/>
      <c r="AP181" s="174"/>
      <c r="AQ181" s="234"/>
      <c r="AR181" s="235"/>
      <c r="AS181" s="137"/>
      <c r="AT181" s="137"/>
      <c r="AU181" s="137"/>
      <c r="AV181" s="138"/>
      <c r="AW181" s="175"/>
      <c r="AX181" s="176"/>
      <c r="AY181" s="173"/>
      <c r="AZ181" s="173"/>
      <c r="BA181" s="173"/>
      <c r="BB181" s="174"/>
      <c r="BC181" s="222"/>
      <c r="BD181" s="220"/>
      <c r="BE181" s="91"/>
      <c r="BF181" s="91"/>
      <c r="BG181" s="91"/>
      <c r="BH181" s="91"/>
      <c r="BI181" s="91"/>
      <c r="BJ181" s="14"/>
      <c r="BK181" s="9"/>
    </row>
    <row r="182" ht="18.75" customHeight="1">
      <c r="A182" s="5"/>
      <c r="B182" s="81"/>
      <c r="C182" s="91"/>
      <c r="D182" s="91"/>
      <c r="E182" s="221"/>
      <c r="F182" s="38"/>
      <c r="G182" s="38"/>
      <c r="H182" s="38"/>
      <c r="I182" s="39"/>
      <c r="J182" s="91"/>
      <c r="K182" s="221"/>
      <c r="L182" s="38"/>
      <c r="M182" s="38"/>
      <c r="N182" s="38"/>
      <c r="O182" s="39"/>
      <c r="P182" s="91"/>
      <c r="Q182" s="222"/>
      <c r="R182" s="221"/>
      <c r="S182" s="38"/>
      <c r="T182" s="38"/>
      <c r="U182" s="38"/>
      <c r="V182" s="39"/>
      <c r="W182" s="91"/>
      <c r="X182" s="91"/>
      <c r="Y182" s="91"/>
      <c r="Z182" s="91"/>
      <c r="AA182" s="91"/>
      <c r="AB182" s="91"/>
      <c r="AC182" s="91"/>
      <c r="AD182" s="226"/>
      <c r="AE182" s="226"/>
      <c r="AF182" s="226"/>
      <c r="AG182" s="226"/>
      <c r="AH182" s="226"/>
      <c r="AI182" s="226"/>
      <c r="AJ182" s="226"/>
      <c r="AK182" s="226"/>
      <c r="AL182" s="226"/>
      <c r="AM182" s="226"/>
      <c r="AN182" s="226"/>
      <c r="AO182" s="226"/>
      <c r="AP182" s="226"/>
      <c r="AQ182" s="226"/>
      <c r="AR182" s="226"/>
      <c r="AS182" s="226"/>
      <c r="AT182" s="226"/>
      <c r="AU182" s="226"/>
      <c r="AV182" s="254"/>
      <c r="AZ182" s="89"/>
      <c r="BA182" s="226"/>
      <c r="BB182" s="226"/>
      <c r="BC182" s="255"/>
      <c r="BD182" s="220"/>
      <c r="BE182" s="91"/>
      <c r="BF182" s="91"/>
      <c r="BG182" s="91"/>
      <c r="BH182" s="91"/>
      <c r="BI182" s="91"/>
      <c r="BJ182" s="14"/>
      <c r="BK182" s="9"/>
    </row>
    <row r="183" ht="2.25" customHeight="1">
      <c r="A183" s="5"/>
      <c r="B183" s="81"/>
      <c r="C183" s="91"/>
      <c r="D183" s="91"/>
      <c r="E183" s="221"/>
      <c r="F183" s="38"/>
      <c r="G183" s="38"/>
      <c r="H183" s="38"/>
      <c r="I183" s="39"/>
      <c r="J183" s="91"/>
      <c r="K183" s="221"/>
      <c r="L183" s="38"/>
      <c r="M183" s="38"/>
      <c r="N183" s="38"/>
      <c r="O183" s="39"/>
      <c r="P183" s="91"/>
      <c r="Q183" s="222"/>
      <c r="R183" s="221"/>
      <c r="S183" s="38"/>
      <c r="T183" s="38"/>
      <c r="U183" s="38"/>
      <c r="V183" s="39"/>
      <c r="W183" s="91"/>
      <c r="X183" s="91"/>
      <c r="Y183" s="91"/>
      <c r="Z183" s="91"/>
      <c r="AA183" s="91"/>
      <c r="AB183" s="91"/>
      <c r="AC183" s="91"/>
      <c r="AD183" s="263"/>
      <c r="AE183" s="263"/>
      <c r="AF183" s="263"/>
      <c r="AG183" s="263"/>
      <c r="AH183" s="263"/>
      <c r="AI183" s="263"/>
      <c r="AJ183" s="263"/>
      <c r="AK183" s="263"/>
      <c r="AL183" s="263"/>
      <c r="AM183" s="263"/>
      <c r="AN183" s="263"/>
      <c r="AO183" s="263"/>
      <c r="AP183" s="263"/>
      <c r="AQ183" s="263"/>
      <c r="AR183" s="263"/>
      <c r="AS183" s="263"/>
      <c r="AT183" s="263"/>
      <c r="AU183" s="263"/>
      <c r="AV183" s="265"/>
      <c r="AW183" s="266"/>
      <c r="AX183" s="266"/>
      <c r="AY183" s="266"/>
      <c r="AZ183" s="267"/>
      <c r="BA183" s="263"/>
      <c r="BB183" s="263"/>
      <c r="BC183" s="263"/>
      <c r="BD183" s="91"/>
      <c r="BE183" s="91"/>
      <c r="BF183" s="91"/>
      <c r="BG183" s="91"/>
      <c r="BH183" s="91"/>
      <c r="BI183" s="91"/>
      <c r="BJ183" s="14"/>
      <c r="BK183" s="9"/>
    </row>
    <row r="184" ht="7.5" customHeight="1">
      <c r="A184" s="5"/>
      <c r="B184" s="268"/>
      <c r="C184" s="269"/>
      <c r="D184" s="269"/>
      <c r="E184" s="270"/>
      <c r="F184" s="270"/>
      <c r="G184" s="271"/>
      <c r="H184" s="270"/>
      <c r="I184" s="269"/>
      <c r="J184" s="270"/>
      <c r="K184" s="270"/>
      <c r="L184" s="270"/>
      <c r="M184" s="270"/>
      <c r="N184" s="272"/>
      <c r="O184" s="270"/>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c r="BA184" s="273"/>
      <c r="BB184" s="273"/>
      <c r="BC184" s="273"/>
      <c r="BD184" s="273"/>
      <c r="BE184" s="273"/>
      <c r="BF184" s="273"/>
      <c r="BG184" s="273"/>
      <c r="BH184" s="273"/>
      <c r="BI184" s="273"/>
      <c r="BJ184" s="274"/>
      <c r="BK184" s="63"/>
    </row>
    <row r="185" ht="3.75" customHeight="1">
      <c r="A185" s="1"/>
      <c r="B185" s="275"/>
      <c r="C185" s="275"/>
      <c r="D185" s="275"/>
      <c r="E185" s="276"/>
      <c r="F185" s="276"/>
      <c r="G185" s="277"/>
      <c r="H185" s="276"/>
      <c r="I185" s="275"/>
      <c r="J185" s="276"/>
      <c r="K185" s="276"/>
      <c r="L185" s="276"/>
      <c r="M185" s="276"/>
      <c r="N185" s="278"/>
      <c r="O185" s="276"/>
      <c r="P185" s="276"/>
      <c r="Q185" s="276"/>
      <c r="R185" s="276"/>
      <c r="S185" s="276"/>
      <c r="T185" s="276"/>
      <c r="U185" s="276"/>
      <c r="V185" s="276"/>
      <c r="W185" s="276"/>
      <c r="X185" s="276"/>
      <c r="Y185" s="276"/>
      <c r="Z185" s="276"/>
      <c r="AA185" s="276"/>
      <c r="AB185" s="276"/>
      <c r="AC185" s="276"/>
      <c r="AD185" s="276"/>
      <c r="AE185" s="276"/>
      <c r="AF185" s="276"/>
      <c r="AG185" s="276"/>
      <c r="AH185" s="276"/>
      <c r="AI185" s="276"/>
      <c r="AJ185" s="276"/>
      <c r="AK185" s="276"/>
      <c r="AL185" s="276"/>
      <c r="AM185" s="276"/>
      <c r="AN185" s="276"/>
      <c r="AO185" s="276"/>
      <c r="AP185" s="276"/>
      <c r="AQ185" s="276"/>
      <c r="AR185" s="276"/>
      <c r="AS185" s="276"/>
      <c r="AT185" s="276"/>
      <c r="AU185" s="276"/>
      <c r="AV185" s="276"/>
      <c r="AW185" s="276"/>
      <c r="AX185" s="276"/>
      <c r="AY185" s="276"/>
      <c r="AZ185" s="276"/>
      <c r="BA185" s="276"/>
      <c r="BB185" s="276"/>
      <c r="BC185" s="276"/>
      <c r="BD185" s="276"/>
      <c r="BE185" s="276"/>
      <c r="BF185" s="276"/>
      <c r="BG185" s="276"/>
      <c r="BH185" s="276"/>
      <c r="BI185" s="276"/>
      <c r="BJ185" s="275"/>
      <c r="BK185" s="1"/>
    </row>
  </sheetData>
  <mergeCells count="530">
    <mergeCell ref="E104:H104"/>
    <mergeCell ref="E106:H106"/>
    <mergeCell ref="C114:C116"/>
    <mergeCell ref="C118:C120"/>
    <mergeCell ref="C122:C124"/>
    <mergeCell ref="C126:C134"/>
    <mergeCell ref="C106:C108"/>
    <mergeCell ref="E108:H108"/>
    <mergeCell ref="C110:C112"/>
    <mergeCell ref="E110:H110"/>
    <mergeCell ref="E112:H112"/>
    <mergeCell ref="E114:H114"/>
    <mergeCell ref="E116:H116"/>
    <mergeCell ref="E118:H118"/>
    <mergeCell ref="I118:I120"/>
    <mergeCell ref="J118:M120"/>
    <mergeCell ref="E120:H120"/>
    <mergeCell ref="E122:H122"/>
    <mergeCell ref="I122:I124"/>
    <mergeCell ref="J122:M124"/>
    <mergeCell ref="E124:H124"/>
    <mergeCell ref="E126:H126"/>
    <mergeCell ref="I126:I134"/>
    <mergeCell ref="J126:M134"/>
    <mergeCell ref="E128:H128"/>
    <mergeCell ref="E130:H130"/>
    <mergeCell ref="E132:H132"/>
    <mergeCell ref="E134:H134"/>
    <mergeCell ref="E139:I139"/>
    <mergeCell ref="K139:O139"/>
    <mergeCell ref="E140:I140"/>
    <mergeCell ref="K140:O140"/>
    <mergeCell ref="E141:I142"/>
    <mergeCell ref="K141:O142"/>
    <mergeCell ref="K149:O149"/>
    <mergeCell ref="K150:O150"/>
    <mergeCell ref="E152:I152"/>
    <mergeCell ref="K152:O152"/>
    <mergeCell ref="E154:I154"/>
    <mergeCell ref="K154:O154"/>
    <mergeCell ref="E156:I156"/>
    <mergeCell ref="K156:O156"/>
    <mergeCell ref="E91:AL91"/>
    <mergeCell ref="E93:AN93"/>
    <mergeCell ref="E95:AS95"/>
    <mergeCell ref="E97:AM97"/>
    <mergeCell ref="C99:Y99"/>
    <mergeCell ref="AA99:AM99"/>
    <mergeCell ref="E101:H101"/>
    <mergeCell ref="AJ101:AM101"/>
    <mergeCell ref="I106:I108"/>
    <mergeCell ref="J106:M108"/>
    <mergeCell ref="J110:M112"/>
    <mergeCell ref="J114:M116"/>
    <mergeCell ref="J101:M101"/>
    <mergeCell ref="Q101:T101"/>
    <mergeCell ref="C102:C104"/>
    <mergeCell ref="E102:H102"/>
    <mergeCell ref="I102:I104"/>
    <mergeCell ref="J102:M104"/>
    <mergeCell ref="Q106:T106"/>
    <mergeCell ref="V106:Y106"/>
    <mergeCell ref="V108:Y108"/>
    <mergeCell ref="AA110:AA112"/>
    <mergeCell ref="AC110:AD112"/>
    <mergeCell ref="AE110:AH110"/>
    <mergeCell ref="AI110:AI112"/>
    <mergeCell ref="AJ110:AM112"/>
    <mergeCell ref="AE112:AH112"/>
    <mergeCell ref="I110:I112"/>
    <mergeCell ref="I114:I116"/>
    <mergeCell ref="AA118:AA120"/>
    <mergeCell ref="AA122:AA124"/>
    <mergeCell ref="AC122:AD124"/>
    <mergeCell ref="X141:AC142"/>
    <mergeCell ref="AE142:AF143"/>
    <mergeCell ref="AG142:AJ143"/>
    <mergeCell ref="AK142:AL143"/>
    <mergeCell ref="AM142:AP143"/>
    <mergeCell ref="AQ142:AR143"/>
    <mergeCell ref="R150:V150"/>
    <mergeCell ref="E153:I153"/>
    <mergeCell ref="K153:O153"/>
    <mergeCell ref="E155:I155"/>
    <mergeCell ref="K155:O155"/>
    <mergeCell ref="E157:I157"/>
    <mergeCell ref="K157:O157"/>
    <mergeCell ref="K158:O158"/>
    <mergeCell ref="E158:I158"/>
    <mergeCell ref="E159:I159"/>
    <mergeCell ref="E160:I160"/>
    <mergeCell ref="E162:I162"/>
    <mergeCell ref="E164:I164"/>
    <mergeCell ref="E166:I166"/>
    <mergeCell ref="E167:I167"/>
    <mergeCell ref="K159:O159"/>
    <mergeCell ref="K160:O160"/>
    <mergeCell ref="K162:O162"/>
    <mergeCell ref="K164:O164"/>
    <mergeCell ref="K166:O166"/>
    <mergeCell ref="K167:O167"/>
    <mergeCell ref="K168:O168"/>
    <mergeCell ref="E168:I168"/>
    <mergeCell ref="E169:I169"/>
    <mergeCell ref="E170:I170"/>
    <mergeCell ref="E171:I171"/>
    <mergeCell ref="E172:I172"/>
    <mergeCell ref="E173:I173"/>
    <mergeCell ref="E174:I174"/>
    <mergeCell ref="K176:O176"/>
    <mergeCell ref="K177:O177"/>
    <mergeCell ref="K178:O178"/>
    <mergeCell ref="K179:O179"/>
    <mergeCell ref="K180:O180"/>
    <mergeCell ref="K181:O181"/>
    <mergeCell ref="K182:O182"/>
    <mergeCell ref="K183:O183"/>
    <mergeCell ref="K169:O169"/>
    <mergeCell ref="K170:O170"/>
    <mergeCell ref="K171:O171"/>
    <mergeCell ref="K172:O172"/>
    <mergeCell ref="K173:O173"/>
    <mergeCell ref="K174:O174"/>
    <mergeCell ref="K175:O175"/>
    <mergeCell ref="E182:I182"/>
    <mergeCell ref="E183:I183"/>
    <mergeCell ref="E175:I175"/>
    <mergeCell ref="E176:I176"/>
    <mergeCell ref="E177:I177"/>
    <mergeCell ref="E178:I178"/>
    <mergeCell ref="E179:I179"/>
    <mergeCell ref="E180:I180"/>
    <mergeCell ref="E181:I181"/>
    <mergeCell ref="X154:AC154"/>
    <mergeCell ref="X155:AC155"/>
    <mergeCell ref="AE158:AF159"/>
    <mergeCell ref="AG158:AJ159"/>
    <mergeCell ref="AK158:AL159"/>
    <mergeCell ref="AM158:AP159"/>
    <mergeCell ref="AQ158:AR159"/>
    <mergeCell ref="X157:AC158"/>
    <mergeCell ref="X159:AC159"/>
    <mergeCell ref="AE160:AF161"/>
    <mergeCell ref="AG160:AJ161"/>
    <mergeCell ref="AK160:AL161"/>
    <mergeCell ref="AM160:AP161"/>
    <mergeCell ref="AQ160:AR161"/>
    <mergeCell ref="R157:V157"/>
    <mergeCell ref="R158:V158"/>
    <mergeCell ref="R159:V159"/>
    <mergeCell ref="R160:V160"/>
    <mergeCell ref="K161:O161"/>
    <mergeCell ref="R161:V161"/>
    <mergeCell ref="K163:O163"/>
    <mergeCell ref="R162:V162"/>
    <mergeCell ref="R163:V163"/>
    <mergeCell ref="R164:V164"/>
    <mergeCell ref="R166:V166"/>
    <mergeCell ref="R167:V167"/>
    <mergeCell ref="R168:V168"/>
    <mergeCell ref="R169:V169"/>
    <mergeCell ref="R177:V177"/>
    <mergeCell ref="R178:V178"/>
    <mergeCell ref="R179:V179"/>
    <mergeCell ref="R180:V180"/>
    <mergeCell ref="R181:V181"/>
    <mergeCell ref="R182:V182"/>
    <mergeCell ref="R183:V183"/>
    <mergeCell ref="R170:V170"/>
    <mergeCell ref="R171:V171"/>
    <mergeCell ref="R172:V172"/>
    <mergeCell ref="R173:V173"/>
    <mergeCell ref="R174:V174"/>
    <mergeCell ref="R175:V175"/>
    <mergeCell ref="R176:V176"/>
    <mergeCell ref="X150:AC150"/>
    <mergeCell ref="AE150:AF151"/>
    <mergeCell ref="AG150:AJ151"/>
    <mergeCell ref="AK150:AL151"/>
    <mergeCell ref="AM150:AP151"/>
    <mergeCell ref="AQ150:AR151"/>
    <mergeCell ref="E151:I151"/>
    <mergeCell ref="X151:AC151"/>
    <mergeCell ref="AM152:AP153"/>
    <mergeCell ref="AQ152:AR153"/>
    <mergeCell ref="AM154:AP155"/>
    <mergeCell ref="AQ154:AR155"/>
    <mergeCell ref="K151:O151"/>
    <mergeCell ref="R151:V151"/>
    <mergeCell ref="R152:V152"/>
    <mergeCell ref="AE152:AF153"/>
    <mergeCell ref="AG152:AJ153"/>
    <mergeCell ref="AK152:AL153"/>
    <mergeCell ref="R153:V153"/>
    <mergeCell ref="X152:AC152"/>
    <mergeCell ref="X153:AC153"/>
    <mergeCell ref="R154:V154"/>
    <mergeCell ref="AE154:AF155"/>
    <mergeCell ref="AG154:AJ155"/>
    <mergeCell ref="AK154:AL155"/>
    <mergeCell ref="R155:V155"/>
    <mergeCell ref="R156:V156"/>
    <mergeCell ref="X156:AC156"/>
    <mergeCell ref="AE156:AF157"/>
    <mergeCell ref="AG156:AJ157"/>
    <mergeCell ref="AK156:AL157"/>
    <mergeCell ref="AM156:AP157"/>
    <mergeCell ref="AQ156:AR157"/>
    <mergeCell ref="E161:I161"/>
    <mergeCell ref="E163:I163"/>
    <mergeCell ref="E165:I165"/>
    <mergeCell ref="K165:O165"/>
    <mergeCell ref="X164:AC164"/>
    <mergeCell ref="R165:V165"/>
    <mergeCell ref="X173:AC173"/>
    <mergeCell ref="X174:AC174"/>
    <mergeCell ref="AE174:AF175"/>
    <mergeCell ref="AG174:AJ175"/>
    <mergeCell ref="AK174:AL175"/>
    <mergeCell ref="AM174:AP175"/>
    <mergeCell ref="AQ174:AR175"/>
    <mergeCell ref="X175:AC175"/>
    <mergeCell ref="X176:AC176"/>
    <mergeCell ref="AE176:AF177"/>
    <mergeCell ref="AG176:AJ177"/>
    <mergeCell ref="AK176:AL177"/>
    <mergeCell ref="AM176:AP177"/>
    <mergeCell ref="AQ176:AR177"/>
    <mergeCell ref="X160:AC160"/>
    <mergeCell ref="X161:AC161"/>
    <mergeCell ref="AE162:AF163"/>
    <mergeCell ref="AG162:AJ163"/>
    <mergeCell ref="AK162:AL163"/>
    <mergeCell ref="AM162:AP163"/>
    <mergeCell ref="AQ162:AR163"/>
    <mergeCell ref="X162:AC162"/>
    <mergeCell ref="X163:AC163"/>
    <mergeCell ref="AE164:AF165"/>
    <mergeCell ref="AG164:AJ165"/>
    <mergeCell ref="AK164:AL165"/>
    <mergeCell ref="AM164:AP165"/>
    <mergeCell ref="AQ164:AR165"/>
    <mergeCell ref="X165:AC165"/>
    <mergeCell ref="X166:AC166"/>
    <mergeCell ref="AE166:AF167"/>
    <mergeCell ref="AG166:AJ167"/>
    <mergeCell ref="AK166:AL167"/>
    <mergeCell ref="AM166:AP167"/>
    <mergeCell ref="AQ166:AR167"/>
    <mergeCell ref="X167:AC167"/>
    <mergeCell ref="X168:AC168"/>
    <mergeCell ref="AE168:AF169"/>
    <mergeCell ref="AG168:AJ169"/>
    <mergeCell ref="AK168:AL169"/>
    <mergeCell ref="AM168:AP169"/>
    <mergeCell ref="AQ168:AR169"/>
    <mergeCell ref="X169:AC169"/>
    <mergeCell ref="X170:AC170"/>
    <mergeCell ref="AE170:AF171"/>
    <mergeCell ref="AG170:AJ171"/>
    <mergeCell ref="AK170:AL171"/>
    <mergeCell ref="AM170:AP171"/>
    <mergeCell ref="AQ170:AR171"/>
    <mergeCell ref="X171:AC171"/>
    <mergeCell ref="X172:AC172"/>
    <mergeCell ref="AE172:AF173"/>
    <mergeCell ref="AG172:AJ173"/>
    <mergeCell ref="AK172:AL173"/>
    <mergeCell ref="AM172:AP173"/>
    <mergeCell ref="AQ172:AR173"/>
    <mergeCell ref="AK180:AL181"/>
    <mergeCell ref="AM180:AP181"/>
    <mergeCell ref="AE178:AF179"/>
    <mergeCell ref="AG178:AJ179"/>
    <mergeCell ref="AK178:AL179"/>
    <mergeCell ref="AM178:AP179"/>
    <mergeCell ref="AQ178:AR179"/>
    <mergeCell ref="AE180:AF181"/>
    <mergeCell ref="AG180:AJ181"/>
    <mergeCell ref="AQ180:AR181"/>
    <mergeCell ref="AS174:AV175"/>
    <mergeCell ref="AW174:AX175"/>
    <mergeCell ref="AS176:AV177"/>
    <mergeCell ref="AW176:AX177"/>
    <mergeCell ref="AS178:AV179"/>
    <mergeCell ref="AW178:AX179"/>
    <mergeCell ref="AS180:AV181"/>
    <mergeCell ref="AW180:AX181"/>
    <mergeCell ref="AS164:AV165"/>
    <mergeCell ref="AS166:AV167"/>
    <mergeCell ref="AW166:AX167"/>
    <mergeCell ref="AS168:AV169"/>
    <mergeCell ref="AW168:AX169"/>
    <mergeCell ref="AS170:AV171"/>
    <mergeCell ref="AW170:AX171"/>
    <mergeCell ref="AY152:BB153"/>
    <mergeCell ref="BC152:BD153"/>
    <mergeCell ref="AY154:BB155"/>
    <mergeCell ref="BC154:BD155"/>
    <mergeCell ref="BE154:BH155"/>
    <mergeCell ref="BC156:BD157"/>
    <mergeCell ref="BE156:BH157"/>
    <mergeCell ref="BC160:BD161"/>
    <mergeCell ref="BE160:BH161"/>
    <mergeCell ref="AY156:BB157"/>
    <mergeCell ref="AY158:BB159"/>
    <mergeCell ref="BC158:BD159"/>
    <mergeCell ref="BE158:BH159"/>
    <mergeCell ref="AS160:AV161"/>
    <mergeCell ref="AW160:AX161"/>
    <mergeCell ref="AY160:BB161"/>
    <mergeCell ref="AS162:AV163"/>
    <mergeCell ref="AW162:AX163"/>
    <mergeCell ref="AY162:BB163"/>
    <mergeCell ref="BC162:BD163"/>
    <mergeCell ref="BE162:BH163"/>
    <mergeCell ref="AW164:AX165"/>
    <mergeCell ref="BE164:BH165"/>
    <mergeCell ref="AY168:BB169"/>
    <mergeCell ref="AY170:BB171"/>
    <mergeCell ref="BC170:BD171"/>
    <mergeCell ref="BE170:BH171"/>
    <mergeCell ref="AY164:BB165"/>
    <mergeCell ref="BC164:BD165"/>
    <mergeCell ref="AY166:BB167"/>
    <mergeCell ref="BC166:BD167"/>
    <mergeCell ref="BE166:BH167"/>
    <mergeCell ref="BC168:BD169"/>
    <mergeCell ref="BE168:BH169"/>
    <mergeCell ref="AY178:BB179"/>
    <mergeCell ref="AY180:BB181"/>
    <mergeCell ref="AV182:AZ182"/>
    <mergeCell ref="AV183:AZ183"/>
    <mergeCell ref="AS172:AV173"/>
    <mergeCell ref="AW172:AX173"/>
    <mergeCell ref="AY172:BB173"/>
    <mergeCell ref="BC172:BD173"/>
    <mergeCell ref="BE172:BH173"/>
    <mergeCell ref="AY174:BB175"/>
    <mergeCell ref="AY176:BB177"/>
    <mergeCell ref="C3:BI3"/>
    <mergeCell ref="C4:BI4"/>
    <mergeCell ref="C5:BH5"/>
    <mergeCell ref="C6:BI6"/>
    <mergeCell ref="C8:BI8"/>
    <mergeCell ref="E9:BI9"/>
    <mergeCell ref="E10:T10"/>
    <mergeCell ref="E12:Y12"/>
    <mergeCell ref="E14:X14"/>
    <mergeCell ref="E16:W16"/>
    <mergeCell ref="E18:W18"/>
    <mergeCell ref="E20:W20"/>
    <mergeCell ref="E22:U22"/>
    <mergeCell ref="E24:U24"/>
    <mergeCell ref="E26:T26"/>
    <mergeCell ref="E28:M28"/>
    <mergeCell ref="E30:W30"/>
    <mergeCell ref="E32:K32"/>
    <mergeCell ref="E34:AE34"/>
    <mergeCell ref="E36:AC36"/>
    <mergeCell ref="E38:Q38"/>
    <mergeCell ref="E40:W40"/>
    <mergeCell ref="E41:BI41"/>
    <mergeCell ref="C42:BI42"/>
    <mergeCell ref="E43:BI43"/>
    <mergeCell ref="E44:H44"/>
    <mergeCell ref="E46:J46"/>
    <mergeCell ref="E48:H48"/>
    <mergeCell ref="E50:I50"/>
    <mergeCell ref="E52:H52"/>
    <mergeCell ref="E54:L54"/>
    <mergeCell ref="E56:L56"/>
    <mergeCell ref="E58:K58"/>
    <mergeCell ref="E60:I60"/>
    <mergeCell ref="E62:H62"/>
    <mergeCell ref="E64:H64"/>
    <mergeCell ref="E66:H66"/>
    <mergeCell ref="E68:N68"/>
    <mergeCell ref="E70:L70"/>
    <mergeCell ref="E72:H72"/>
    <mergeCell ref="E74:I74"/>
    <mergeCell ref="E76:H76"/>
    <mergeCell ref="E78:I78"/>
    <mergeCell ref="C80:BI80"/>
    <mergeCell ref="E81:AQ81"/>
    <mergeCell ref="C83:BI83"/>
    <mergeCell ref="E85:AT85"/>
    <mergeCell ref="E87:AK87"/>
    <mergeCell ref="E89:U89"/>
    <mergeCell ref="V101:Y101"/>
    <mergeCell ref="AE101:AH101"/>
    <mergeCell ref="AA102:AA104"/>
    <mergeCell ref="AC102:AD104"/>
    <mergeCell ref="AE102:AH102"/>
    <mergeCell ref="AI102:AI104"/>
    <mergeCell ref="AJ102:AM104"/>
    <mergeCell ref="AE104:AH104"/>
    <mergeCell ref="V102:Y102"/>
    <mergeCell ref="V104:Y104"/>
    <mergeCell ref="AA106:AA108"/>
    <mergeCell ref="AC106:AD108"/>
    <mergeCell ref="AE106:AH106"/>
    <mergeCell ref="AI106:AI108"/>
    <mergeCell ref="AJ106:AM108"/>
    <mergeCell ref="AE108:AH108"/>
    <mergeCell ref="Q118:T118"/>
    <mergeCell ref="Q120:T120"/>
    <mergeCell ref="Q122:T122"/>
    <mergeCell ref="Q126:T126"/>
    <mergeCell ref="Q128:T128"/>
    <mergeCell ref="Q102:T102"/>
    <mergeCell ref="Q104:T104"/>
    <mergeCell ref="Q108:T108"/>
    <mergeCell ref="Q110:T110"/>
    <mergeCell ref="Q112:T112"/>
    <mergeCell ref="Q114:T114"/>
    <mergeCell ref="Q116:T116"/>
    <mergeCell ref="V122:Y122"/>
    <mergeCell ref="Q124:T124"/>
    <mergeCell ref="C137:AC137"/>
    <mergeCell ref="R139:V139"/>
    <mergeCell ref="X139:AC139"/>
    <mergeCell ref="R140:V140"/>
    <mergeCell ref="R141:V142"/>
    <mergeCell ref="E146:I146"/>
    <mergeCell ref="K146:O146"/>
    <mergeCell ref="E143:I143"/>
    <mergeCell ref="K143:O143"/>
    <mergeCell ref="R143:V143"/>
    <mergeCell ref="R144:V144"/>
    <mergeCell ref="X144:AC144"/>
    <mergeCell ref="R145:V145"/>
    <mergeCell ref="X145:AC146"/>
    <mergeCell ref="R146:V146"/>
    <mergeCell ref="V110:Y110"/>
    <mergeCell ref="V112:Y112"/>
    <mergeCell ref="V114:Y114"/>
    <mergeCell ref="AC114:AD116"/>
    <mergeCell ref="AE114:AM116"/>
    <mergeCell ref="V116:Y116"/>
    <mergeCell ref="V118:Y118"/>
    <mergeCell ref="AE118:AH118"/>
    <mergeCell ref="AA114:AA116"/>
    <mergeCell ref="AC118:AD120"/>
    <mergeCell ref="AI118:AI120"/>
    <mergeCell ref="AJ118:AM120"/>
    <mergeCell ref="V120:Y120"/>
    <mergeCell ref="AE120:AH120"/>
    <mergeCell ref="AE122:AM124"/>
    <mergeCell ref="V124:Y124"/>
    <mergeCell ref="V126:Y126"/>
    <mergeCell ref="AA126:AA128"/>
    <mergeCell ref="AC126:AD128"/>
    <mergeCell ref="AI126:AI128"/>
    <mergeCell ref="AJ126:AM128"/>
    <mergeCell ref="V128:Y128"/>
    <mergeCell ref="AE126:AH126"/>
    <mergeCell ref="AE128:AH128"/>
    <mergeCell ref="AA130:AA132"/>
    <mergeCell ref="AC130:AD132"/>
    <mergeCell ref="AE130:AM132"/>
    <mergeCell ref="AE137:BH137"/>
    <mergeCell ref="X140:AC140"/>
    <mergeCell ref="AE139:BH140"/>
    <mergeCell ref="AS142:AV143"/>
    <mergeCell ref="AW142:AX143"/>
    <mergeCell ref="AY142:BB143"/>
    <mergeCell ref="BC142:BD143"/>
    <mergeCell ref="BE142:BH143"/>
    <mergeCell ref="X143:AC143"/>
    <mergeCell ref="AY144:BB145"/>
    <mergeCell ref="BC144:BD145"/>
    <mergeCell ref="BE144:BH145"/>
    <mergeCell ref="AE144:AF145"/>
    <mergeCell ref="AG144:AJ145"/>
    <mergeCell ref="AK144:AL145"/>
    <mergeCell ref="AM144:AP145"/>
    <mergeCell ref="AQ144:AR145"/>
    <mergeCell ref="AS144:AV145"/>
    <mergeCell ref="AW144:AX145"/>
    <mergeCell ref="E148:I148"/>
    <mergeCell ref="E149:I149"/>
    <mergeCell ref="E150:I150"/>
    <mergeCell ref="E144:I144"/>
    <mergeCell ref="K144:O144"/>
    <mergeCell ref="E145:I145"/>
    <mergeCell ref="K145:O145"/>
    <mergeCell ref="E147:I147"/>
    <mergeCell ref="K147:O147"/>
    <mergeCell ref="K148:O148"/>
    <mergeCell ref="AY146:BB147"/>
    <mergeCell ref="BC146:BD147"/>
    <mergeCell ref="BE146:BH147"/>
    <mergeCell ref="AE146:AF147"/>
    <mergeCell ref="AG146:AJ147"/>
    <mergeCell ref="AK146:AL147"/>
    <mergeCell ref="AM146:AP147"/>
    <mergeCell ref="AQ146:AR147"/>
    <mergeCell ref="AS146:AV147"/>
    <mergeCell ref="AW146:AX147"/>
    <mergeCell ref="X148:AC148"/>
    <mergeCell ref="X149:AC149"/>
    <mergeCell ref="R147:V147"/>
    <mergeCell ref="X147:AC147"/>
    <mergeCell ref="R148:V148"/>
    <mergeCell ref="AE148:AF149"/>
    <mergeCell ref="AG148:AJ149"/>
    <mergeCell ref="AK148:AL149"/>
    <mergeCell ref="R149:V149"/>
    <mergeCell ref="AM148:AP149"/>
    <mergeCell ref="AQ148:AR149"/>
    <mergeCell ref="AS148:AV149"/>
    <mergeCell ref="AW148:AX149"/>
    <mergeCell ref="AY148:BB149"/>
    <mergeCell ref="BC148:BD149"/>
    <mergeCell ref="BE148:BH149"/>
    <mergeCell ref="AS152:AV153"/>
    <mergeCell ref="AS154:AV155"/>
    <mergeCell ref="AW154:AX155"/>
    <mergeCell ref="AS156:AV157"/>
    <mergeCell ref="AW156:AX157"/>
    <mergeCell ref="AS158:AV159"/>
    <mergeCell ref="AW158:AX159"/>
    <mergeCell ref="AS150:AV151"/>
    <mergeCell ref="AW150:AX151"/>
    <mergeCell ref="AY150:BB151"/>
    <mergeCell ref="BC150:BD151"/>
    <mergeCell ref="BE150:BH151"/>
    <mergeCell ref="AW152:AX153"/>
    <mergeCell ref="BE152:BH153"/>
  </mergeCells>
  <hyperlinks>
    <hyperlink display="CLICK/TAP THE LINK INSIDE THAT BOX TO ACCESS THE TRAINER ORDER." location="'Trainer Order'!A1" ref="C5"/>
    <hyperlink r:id="rId1" ref="C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0.75"/>
    <col customWidth="1" min="2" max="2" width="1.38"/>
    <col customWidth="1" min="3" max="3" width="7.75"/>
    <col customWidth="1" min="4" max="4" width="25.13"/>
    <col customWidth="1" min="5" max="5" width="7.0"/>
    <col customWidth="1" min="6" max="6" width="9.5"/>
    <col customWidth="1" min="7" max="7" width="1.38"/>
    <col customWidth="1" min="8" max="8" width="0.75"/>
  </cols>
  <sheetData>
    <row r="1" ht="3.75" customHeight="1">
      <c r="A1" s="279"/>
      <c r="B1" s="280"/>
      <c r="C1" s="280"/>
      <c r="D1" s="280"/>
      <c r="E1" s="280"/>
      <c r="F1" s="280"/>
      <c r="G1" s="280"/>
      <c r="H1" s="279"/>
    </row>
    <row r="2" ht="7.5" customHeight="1">
      <c r="A2" s="281"/>
      <c r="B2" s="282"/>
      <c r="C2" s="283"/>
      <c r="D2" s="283"/>
      <c r="E2" s="284"/>
      <c r="F2" s="284"/>
      <c r="G2" s="285"/>
      <c r="H2" s="286"/>
    </row>
    <row r="3" ht="34.5" customHeight="1">
      <c r="A3" s="281"/>
      <c r="B3" s="287"/>
      <c r="C3" s="288" t="s">
        <v>309</v>
      </c>
      <c r="D3" s="289"/>
      <c r="E3" s="290"/>
      <c r="F3" s="291" t="s">
        <v>21</v>
      </c>
      <c r="G3" s="292"/>
      <c r="H3" s="286"/>
    </row>
    <row r="4" ht="11.25" customHeight="1">
      <c r="A4" s="281"/>
      <c r="B4" s="293"/>
      <c r="C4" s="294"/>
      <c r="D4" s="294"/>
      <c r="E4" s="295"/>
      <c r="F4" s="296"/>
      <c r="G4" s="297"/>
      <c r="H4" s="286"/>
    </row>
    <row r="5" ht="18.75" customHeight="1">
      <c r="A5" s="298"/>
      <c r="B5" s="299"/>
      <c r="C5" s="300" t="s">
        <v>310</v>
      </c>
      <c r="D5" s="301"/>
      <c r="E5" s="302"/>
      <c r="F5" s="303"/>
      <c r="G5" s="304"/>
      <c r="H5" s="305"/>
    </row>
    <row r="6" ht="18.75" customHeight="1">
      <c r="A6" s="281"/>
      <c r="B6" s="287"/>
      <c r="C6" s="306" t="str">
        <f>IMAGE("https://i.ibb.co/fXwks6z/Rival.png",4,150,150)</f>
        <v/>
      </c>
      <c r="D6" s="307" t="s">
        <v>311</v>
      </c>
      <c r="E6" s="302"/>
      <c r="F6" s="308">
        <v>16.0</v>
      </c>
      <c r="G6" s="309"/>
      <c r="H6" s="286"/>
    </row>
    <row r="7">
      <c r="A7" s="281"/>
      <c r="B7" s="287"/>
      <c r="C7" s="310"/>
      <c r="D7" s="311" t="s">
        <v>312</v>
      </c>
      <c r="E7" s="302"/>
      <c r="F7" s="312"/>
      <c r="G7" s="313"/>
      <c r="H7" s="286"/>
    </row>
    <row r="8" ht="11.25" customHeight="1">
      <c r="A8" s="281"/>
      <c r="B8" s="287"/>
      <c r="C8" s="314"/>
      <c r="D8" s="315"/>
      <c r="E8" s="302"/>
      <c r="F8" s="316"/>
      <c r="G8" s="317"/>
      <c r="H8" s="286"/>
    </row>
    <row r="9" ht="3.75" customHeight="1">
      <c r="A9" s="281"/>
      <c r="B9" s="293"/>
      <c r="C9" s="318"/>
      <c r="D9" s="294"/>
      <c r="E9" s="302"/>
      <c r="F9" s="319"/>
      <c r="G9" s="297"/>
      <c r="H9" s="286"/>
    </row>
    <row r="10" ht="18.75" customHeight="1">
      <c r="A10" s="281"/>
      <c r="B10" s="287"/>
      <c r="C10" s="320" t="str">
        <f>IMAGE("https://i.ibb.co/10ZXyNx/Brendan.png",4,150,150)</f>
        <v/>
      </c>
      <c r="D10" s="321" t="s">
        <v>313</v>
      </c>
      <c r="E10" s="302"/>
      <c r="F10" s="308">
        <v>16.0</v>
      </c>
      <c r="G10" s="322"/>
      <c r="H10" s="286"/>
    </row>
    <row r="11">
      <c r="A11" s="281"/>
      <c r="B11" s="287"/>
      <c r="C11" s="310"/>
      <c r="D11" s="323" t="s">
        <v>314</v>
      </c>
      <c r="E11" s="302"/>
      <c r="F11" s="312"/>
      <c r="G11" s="324"/>
      <c r="H11" s="286"/>
    </row>
    <row r="12" ht="11.25" customHeight="1">
      <c r="A12" s="281"/>
      <c r="B12" s="287"/>
      <c r="C12" s="314"/>
      <c r="D12" s="315"/>
      <c r="E12" s="302"/>
      <c r="F12" s="316"/>
      <c r="G12" s="325"/>
      <c r="H12" s="286"/>
    </row>
    <row r="13" ht="3.75" customHeight="1">
      <c r="A13" s="281"/>
      <c r="B13" s="293"/>
      <c r="C13" s="318"/>
      <c r="D13" s="294"/>
      <c r="E13" s="302"/>
      <c r="F13" s="326"/>
      <c r="G13" s="297"/>
      <c r="H13" s="286"/>
    </row>
    <row r="14" ht="18.75" customHeight="1">
      <c r="A14" s="281"/>
      <c r="B14" s="287"/>
      <c r="C14" s="327" t="str">
        <f>IMAGE("https://i.ibb.co/8sm893K/Lass.png",4,150,150)</f>
        <v/>
      </c>
      <c r="D14" s="328" t="s">
        <v>315</v>
      </c>
      <c r="E14" s="302"/>
      <c r="F14" s="308">
        <v>16.0</v>
      </c>
      <c r="G14" s="322"/>
      <c r="H14" s="286"/>
    </row>
    <row r="15">
      <c r="A15" s="281"/>
      <c r="B15" s="287"/>
      <c r="C15" s="310"/>
      <c r="D15" s="329" t="s">
        <v>314</v>
      </c>
      <c r="E15" s="302"/>
      <c r="F15" s="312"/>
      <c r="G15" s="324"/>
      <c r="H15" s="286"/>
    </row>
    <row r="16" ht="11.25" customHeight="1">
      <c r="A16" s="281"/>
      <c r="B16" s="287"/>
      <c r="C16" s="314"/>
      <c r="D16" s="315"/>
      <c r="E16" s="302"/>
      <c r="F16" s="316"/>
      <c r="G16" s="325"/>
      <c r="H16" s="286"/>
    </row>
    <row r="17" ht="3.75" customHeight="1">
      <c r="A17" s="281"/>
      <c r="B17" s="293"/>
      <c r="C17" s="318"/>
      <c r="D17" s="294"/>
      <c r="E17" s="302"/>
      <c r="F17" s="326"/>
      <c r="G17" s="297"/>
      <c r="H17" s="286"/>
    </row>
    <row r="18" ht="18.75" customHeight="1">
      <c r="A18" s="298"/>
      <c r="B18" s="299"/>
      <c r="C18" s="300" t="s">
        <v>310</v>
      </c>
      <c r="D18" s="301"/>
      <c r="E18" s="302"/>
      <c r="F18" s="330"/>
      <c r="G18" s="304"/>
      <c r="H18" s="305"/>
    </row>
    <row r="19" ht="18.75" customHeight="1">
      <c r="A19" s="281"/>
      <c r="B19" s="287"/>
      <c r="C19" s="331" t="str">
        <f>IMAGE("https://i.ibb.co/26kF6WW/Ace-Trainer-F.png",4,150,150)</f>
        <v/>
      </c>
      <c r="D19" s="332" t="s">
        <v>316</v>
      </c>
      <c r="E19" s="302"/>
      <c r="F19" s="308" t="s">
        <v>317</v>
      </c>
      <c r="G19" s="322"/>
      <c r="H19" s="286"/>
    </row>
    <row r="20">
      <c r="A20" s="281"/>
      <c r="B20" s="287"/>
      <c r="C20" s="310"/>
      <c r="D20" s="333" t="s">
        <v>314</v>
      </c>
      <c r="E20" s="302"/>
      <c r="F20" s="312"/>
      <c r="G20" s="324"/>
      <c r="H20" s="286"/>
    </row>
    <row r="21" ht="11.25" customHeight="1">
      <c r="A21" s="281"/>
      <c r="B21" s="287"/>
      <c r="C21" s="314"/>
      <c r="D21" s="315"/>
      <c r="E21" s="302"/>
      <c r="F21" s="316"/>
      <c r="G21" s="325"/>
      <c r="H21" s="286"/>
    </row>
    <row r="22" ht="3.75" customHeight="1">
      <c r="A22" s="281"/>
      <c r="B22" s="293"/>
      <c r="C22" s="318"/>
      <c r="D22" s="294"/>
      <c r="E22" s="302"/>
      <c r="F22" s="326"/>
      <c r="G22" s="297"/>
      <c r="H22" s="286"/>
    </row>
    <row r="23" ht="18.75" customHeight="1">
      <c r="A23" s="281"/>
      <c r="B23" s="287"/>
      <c r="C23" s="334" t="str">
        <f>IMAGE("https://i.ibb.co/8D0GLzq/Bug-Catcher.png",4,150,150)</f>
        <v/>
      </c>
      <c r="D23" s="335" t="s">
        <v>318</v>
      </c>
      <c r="E23" s="302"/>
      <c r="F23" s="308">
        <v>16.0</v>
      </c>
      <c r="G23" s="322"/>
      <c r="H23" s="286"/>
    </row>
    <row r="24">
      <c r="A24" s="281"/>
      <c r="B24" s="287"/>
      <c r="C24" s="310"/>
      <c r="D24" s="336" t="s">
        <v>314</v>
      </c>
      <c r="E24" s="302"/>
      <c r="F24" s="312"/>
      <c r="G24" s="324"/>
      <c r="H24" s="286"/>
    </row>
    <row r="25" ht="11.25" customHeight="1">
      <c r="A25" s="281"/>
      <c r="B25" s="287"/>
      <c r="C25" s="314"/>
      <c r="D25" s="315"/>
      <c r="E25" s="302"/>
      <c r="F25" s="316"/>
      <c r="G25" s="325"/>
      <c r="H25" s="286"/>
    </row>
    <row r="26" ht="3.75" customHeight="1">
      <c r="A26" s="281"/>
      <c r="B26" s="293"/>
      <c r="C26" s="318"/>
      <c r="D26" s="294"/>
      <c r="E26" s="302"/>
      <c r="F26" s="326"/>
      <c r="G26" s="297"/>
      <c r="H26" s="286"/>
    </row>
    <row r="27" ht="18.75" customHeight="1">
      <c r="A27" s="281"/>
      <c r="B27" s="287"/>
      <c r="C27" s="337" t="str">
        <f>IMAGE("https://i.ibb.co/NWQ5Qdk/Falkner.png",4,150,150)</f>
        <v/>
      </c>
      <c r="D27" s="338" t="s">
        <v>319</v>
      </c>
      <c r="E27" s="302"/>
      <c r="F27" s="308">
        <v>16.0</v>
      </c>
      <c r="G27" s="322"/>
      <c r="H27" s="286"/>
    </row>
    <row r="28">
      <c r="A28" s="281"/>
      <c r="B28" s="287"/>
      <c r="C28" s="310"/>
      <c r="D28" s="339" t="s">
        <v>320</v>
      </c>
      <c r="E28" s="302"/>
      <c r="F28" s="312"/>
      <c r="G28" s="324"/>
      <c r="H28" s="286"/>
    </row>
    <row r="29" ht="11.25" customHeight="1">
      <c r="A29" s="281"/>
      <c r="B29" s="287"/>
      <c r="C29" s="314"/>
      <c r="D29" s="315"/>
      <c r="E29" s="302"/>
      <c r="F29" s="316"/>
      <c r="G29" s="325"/>
      <c r="H29" s="286"/>
    </row>
    <row r="30" ht="3.75" customHeight="1">
      <c r="A30" s="281"/>
      <c r="B30" s="293"/>
      <c r="C30" s="318"/>
      <c r="D30" s="294"/>
      <c r="E30" s="302"/>
      <c r="F30" s="326"/>
      <c r="G30" s="297"/>
      <c r="H30" s="286"/>
    </row>
    <row r="31" ht="18.75" customHeight="1">
      <c r="A31" s="281"/>
      <c r="B31" s="287"/>
      <c r="C31" s="340" t="str">
        <f>IMAGE("https://i.ibb.co/RBhc6sL/Brock.png",4,150,150)</f>
        <v/>
      </c>
      <c r="D31" s="341" t="s">
        <v>321</v>
      </c>
      <c r="E31" s="302"/>
      <c r="F31" s="308">
        <v>16.0</v>
      </c>
      <c r="G31" s="322"/>
      <c r="H31" s="286"/>
    </row>
    <row r="32">
      <c r="A32" s="281"/>
      <c r="B32" s="287"/>
      <c r="C32" s="310"/>
      <c r="D32" s="342" t="s">
        <v>320</v>
      </c>
      <c r="E32" s="302"/>
      <c r="F32" s="312"/>
      <c r="G32" s="324"/>
      <c r="H32" s="286"/>
    </row>
    <row r="33" ht="11.25" customHeight="1">
      <c r="A33" s="281"/>
      <c r="B33" s="287"/>
      <c r="C33" s="314"/>
      <c r="D33" s="315"/>
      <c r="E33" s="302"/>
      <c r="F33" s="316"/>
      <c r="G33" s="325"/>
      <c r="H33" s="286"/>
    </row>
    <row r="34" ht="3.75" customHeight="1">
      <c r="A34" s="281"/>
      <c r="B34" s="293"/>
      <c r="C34" s="294"/>
      <c r="D34" s="294"/>
      <c r="E34" s="302"/>
      <c r="F34" s="343"/>
      <c r="G34" s="297"/>
      <c r="H34" s="286"/>
    </row>
    <row r="35" ht="18.75" customHeight="1">
      <c r="A35" s="281"/>
      <c r="B35" s="287"/>
      <c r="C35" s="327" t="str">
        <f>IMAGE("https://i.ibb.co/8sm893K/Lass.png",4,150,150)</f>
        <v/>
      </c>
      <c r="D35" s="328" t="s">
        <v>322</v>
      </c>
      <c r="E35" s="302"/>
      <c r="F35" s="344">
        <v>23.0</v>
      </c>
      <c r="G35" s="309"/>
      <c r="H35" s="286"/>
    </row>
    <row r="36">
      <c r="A36" s="281"/>
      <c r="B36" s="287"/>
      <c r="C36" s="310"/>
      <c r="D36" s="329" t="s">
        <v>323</v>
      </c>
      <c r="E36" s="302"/>
      <c r="F36" s="312"/>
      <c r="G36" s="313"/>
      <c r="H36" s="286"/>
    </row>
    <row r="37" ht="11.25" customHeight="1">
      <c r="A37" s="281"/>
      <c r="B37" s="287"/>
      <c r="C37" s="314"/>
      <c r="D37" s="315"/>
      <c r="E37" s="302"/>
      <c r="F37" s="316"/>
      <c r="G37" s="317"/>
      <c r="H37" s="286"/>
    </row>
    <row r="38" ht="3.75" customHeight="1">
      <c r="A38" s="281"/>
      <c r="B38" s="293"/>
      <c r="C38" s="318"/>
      <c r="D38" s="294"/>
      <c r="E38" s="302"/>
      <c r="F38" s="319"/>
      <c r="G38" s="297"/>
      <c r="H38" s="286"/>
    </row>
    <row r="39" ht="18.75" customHeight="1">
      <c r="A39" s="281"/>
      <c r="B39" s="287"/>
      <c r="C39" s="345" t="str">
        <f>IMAGE("https://i.ibb.co/zFMzgnB/Super-Nerd.png",4,150,150)</f>
        <v/>
      </c>
      <c r="D39" s="346" t="s">
        <v>324</v>
      </c>
      <c r="E39" s="302"/>
      <c r="F39" s="344">
        <v>23.0</v>
      </c>
      <c r="G39" s="322"/>
      <c r="H39" s="286"/>
    </row>
    <row r="40">
      <c r="A40" s="281"/>
      <c r="B40" s="287"/>
      <c r="C40" s="310"/>
      <c r="D40" s="347" t="s">
        <v>325</v>
      </c>
      <c r="E40" s="302"/>
      <c r="F40" s="312"/>
      <c r="G40" s="324"/>
      <c r="H40" s="286"/>
    </row>
    <row r="41" ht="11.25" customHeight="1">
      <c r="A41" s="281"/>
      <c r="B41" s="287"/>
      <c r="C41" s="314"/>
      <c r="D41" s="315"/>
      <c r="E41" s="302"/>
      <c r="F41" s="316"/>
      <c r="G41" s="325"/>
      <c r="H41" s="286"/>
    </row>
    <row r="42" ht="3.75" customHeight="1">
      <c r="A42" s="281"/>
      <c r="B42" s="293"/>
      <c r="C42" s="318"/>
      <c r="D42" s="294"/>
      <c r="E42" s="302"/>
      <c r="F42" s="326"/>
      <c r="G42" s="297"/>
      <c r="H42" s="286"/>
    </row>
    <row r="43" ht="18.75" customHeight="1">
      <c r="A43" s="281"/>
      <c r="B43" s="287"/>
      <c r="C43" s="348" t="str">
        <f>IMAGE("https://i.ibb.co/xhnkr2Z/Archer.png",4,150,150)</f>
        <v/>
      </c>
      <c r="D43" s="349" t="s">
        <v>326</v>
      </c>
      <c r="E43" s="302"/>
      <c r="F43" s="344">
        <v>23.0</v>
      </c>
      <c r="G43" s="322"/>
      <c r="H43" s="286"/>
    </row>
    <row r="44">
      <c r="A44" s="281"/>
      <c r="B44" s="287"/>
      <c r="C44" s="310"/>
      <c r="D44" s="350" t="s">
        <v>325</v>
      </c>
      <c r="E44" s="302"/>
      <c r="F44" s="312"/>
      <c r="G44" s="324"/>
      <c r="H44" s="286"/>
    </row>
    <row r="45" ht="11.25" customHeight="1">
      <c r="A45" s="281"/>
      <c r="B45" s="287"/>
      <c r="C45" s="314"/>
      <c r="D45" s="315"/>
      <c r="E45" s="302"/>
      <c r="F45" s="316"/>
      <c r="G45" s="325"/>
      <c r="H45" s="286"/>
    </row>
    <row r="46" ht="3.75" customHeight="1">
      <c r="A46" s="281"/>
      <c r="B46" s="293"/>
      <c r="C46" s="294"/>
      <c r="D46" s="294"/>
      <c r="E46" s="302"/>
      <c r="F46" s="343"/>
      <c r="G46" s="297"/>
      <c r="H46" s="286"/>
    </row>
    <row r="47" ht="18.75" customHeight="1">
      <c r="A47" s="281"/>
      <c r="B47" s="287"/>
      <c r="C47" s="306" t="str">
        <f>IMAGE("https://i.ibb.co/fXwks6z/Rival.png",4,150,150)</f>
        <v/>
      </c>
      <c r="D47" s="307" t="s">
        <v>311</v>
      </c>
      <c r="E47" s="302"/>
      <c r="F47" s="351" t="s">
        <v>327</v>
      </c>
      <c r="G47" s="309"/>
      <c r="H47" s="286"/>
    </row>
    <row r="48">
      <c r="A48" s="281"/>
      <c r="B48" s="287"/>
      <c r="C48" s="310"/>
      <c r="D48" s="311" t="s">
        <v>328</v>
      </c>
      <c r="E48" s="302"/>
      <c r="F48" s="312"/>
      <c r="G48" s="313"/>
      <c r="H48" s="286"/>
    </row>
    <row r="49" ht="11.25" customHeight="1">
      <c r="A49" s="281"/>
      <c r="B49" s="287"/>
      <c r="C49" s="314"/>
      <c r="D49" s="315"/>
      <c r="E49" s="302"/>
      <c r="F49" s="316"/>
      <c r="G49" s="317"/>
      <c r="H49" s="286"/>
    </row>
    <row r="50" ht="3.75" customHeight="1">
      <c r="A50" s="281"/>
      <c r="B50" s="293"/>
      <c r="C50" s="318"/>
      <c r="D50" s="294"/>
      <c r="E50" s="302"/>
      <c r="F50" s="319"/>
      <c r="G50" s="297"/>
      <c r="H50" s="286"/>
    </row>
    <row r="51" ht="18.75" customHeight="1">
      <c r="A51" s="281"/>
      <c r="B51" s="287"/>
      <c r="C51" s="334" t="str">
        <f>IMAGE("https://i.ibb.co/8D0GLzq/Bug-Catcher.png",4,150,150)</f>
        <v/>
      </c>
      <c r="D51" s="335" t="s">
        <v>329</v>
      </c>
      <c r="E51" s="302"/>
      <c r="F51" s="351" t="s">
        <v>327</v>
      </c>
      <c r="G51" s="322"/>
      <c r="H51" s="286"/>
    </row>
    <row r="52">
      <c r="A52" s="281"/>
      <c r="B52" s="287"/>
      <c r="C52" s="310"/>
      <c r="D52" s="336" t="s">
        <v>330</v>
      </c>
      <c r="E52" s="302"/>
      <c r="F52" s="312"/>
      <c r="G52" s="324"/>
      <c r="H52" s="286"/>
    </row>
    <row r="53" ht="11.25" customHeight="1">
      <c r="A53" s="281"/>
      <c r="B53" s="287"/>
      <c r="C53" s="314"/>
      <c r="D53" s="315"/>
      <c r="E53" s="302"/>
      <c r="F53" s="316"/>
      <c r="G53" s="325"/>
      <c r="H53" s="286"/>
    </row>
    <row r="54" ht="3.75" customHeight="1">
      <c r="A54" s="281"/>
      <c r="B54" s="293"/>
      <c r="C54" s="294"/>
      <c r="D54" s="294"/>
      <c r="E54" s="302"/>
      <c r="F54" s="326"/>
      <c r="G54" s="297"/>
      <c r="H54" s="286"/>
    </row>
    <row r="55" ht="18.75" customHeight="1">
      <c r="A55" s="281"/>
      <c r="B55" s="287"/>
      <c r="C55" s="327" t="str">
        <f>IMAGE("https://i.ibb.co/8sm893K/Lass.png",4,150,150)</f>
        <v/>
      </c>
      <c r="D55" s="328" t="s">
        <v>331</v>
      </c>
      <c r="E55" s="302"/>
      <c r="F55" s="351" t="s">
        <v>327</v>
      </c>
      <c r="G55" s="322"/>
      <c r="H55" s="286"/>
    </row>
    <row r="56">
      <c r="A56" s="281"/>
      <c r="B56" s="287"/>
      <c r="C56" s="310"/>
      <c r="D56" s="329" t="s">
        <v>330</v>
      </c>
      <c r="E56" s="302"/>
      <c r="F56" s="312"/>
      <c r="G56" s="324"/>
      <c r="H56" s="286"/>
    </row>
    <row r="57" ht="11.25" customHeight="1">
      <c r="A57" s="281"/>
      <c r="B57" s="287"/>
      <c r="C57" s="314"/>
      <c r="D57" s="315"/>
      <c r="E57" s="302"/>
      <c r="F57" s="316"/>
      <c r="G57" s="325"/>
      <c r="H57" s="286"/>
    </row>
    <row r="58" ht="3.75" customHeight="1">
      <c r="A58" s="281"/>
      <c r="B58" s="293"/>
      <c r="C58" s="294"/>
      <c r="D58" s="294"/>
      <c r="E58" s="302"/>
      <c r="F58" s="326"/>
      <c r="G58" s="297"/>
      <c r="H58" s="286"/>
    </row>
    <row r="59" ht="18.75" customHeight="1">
      <c r="A59" s="281"/>
      <c r="B59" s="287"/>
      <c r="C59" s="352" t="str">
        <f>IMAGE("https://i.ibb.co/6nGd7Gm/Youngster.png",4,150,150)</f>
        <v/>
      </c>
      <c r="D59" s="353" t="s">
        <v>332</v>
      </c>
      <c r="E59" s="302"/>
      <c r="F59" s="351" t="s">
        <v>327</v>
      </c>
      <c r="G59" s="322"/>
      <c r="H59" s="286"/>
    </row>
    <row r="60">
      <c r="A60" s="281"/>
      <c r="B60" s="287"/>
      <c r="C60" s="310"/>
      <c r="D60" s="354" t="s">
        <v>330</v>
      </c>
      <c r="E60" s="302"/>
      <c r="F60" s="312"/>
      <c r="G60" s="324"/>
      <c r="H60" s="286"/>
    </row>
    <row r="61" ht="11.25" customHeight="1">
      <c r="A61" s="281"/>
      <c r="B61" s="287"/>
      <c r="C61" s="314"/>
      <c r="D61" s="315"/>
      <c r="E61" s="302"/>
      <c r="F61" s="316"/>
      <c r="G61" s="325"/>
      <c r="H61" s="286"/>
    </row>
    <row r="62" ht="3.75" customHeight="1">
      <c r="A62" s="281"/>
      <c r="B62" s="293"/>
      <c r="C62" s="294"/>
      <c r="D62" s="294"/>
      <c r="E62" s="302"/>
      <c r="F62" s="326"/>
      <c r="G62" s="297"/>
      <c r="H62" s="286"/>
    </row>
    <row r="63" ht="18.75" customHeight="1">
      <c r="A63" s="281"/>
      <c r="B63" s="287"/>
      <c r="C63" s="327" t="str">
        <f>IMAGE("https://i.ibb.co/8sm893K/Lass.png",4,150,150)</f>
        <v/>
      </c>
      <c r="D63" s="328" t="s">
        <v>333</v>
      </c>
      <c r="E63" s="302"/>
      <c r="F63" s="351" t="s">
        <v>327</v>
      </c>
      <c r="G63" s="322"/>
      <c r="H63" s="286"/>
    </row>
    <row r="64">
      <c r="A64" s="281"/>
      <c r="B64" s="287"/>
      <c r="C64" s="310"/>
      <c r="D64" s="329" t="s">
        <v>330</v>
      </c>
      <c r="E64" s="302"/>
      <c r="F64" s="312"/>
      <c r="G64" s="324"/>
      <c r="H64" s="286"/>
    </row>
    <row r="65" ht="11.25" customHeight="1">
      <c r="A65" s="281"/>
      <c r="B65" s="287"/>
      <c r="C65" s="314"/>
      <c r="D65" s="315"/>
      <c r="E65" s="302"/>
      <c r="F65" s="316"/>
      <c r="G65" s="325"/>
      <c r="H65" s="286"/>
    </row>
    <row r="66" ht="3.75" customHeight="1">
      <c r="A66" s="281"/>
      <c r="B66" s="293"/>
      <c r="C66" s="294"/>
      <c r="D66" s="294"/>
      <c r="E66" s="302"/>
      <c r="F66" s="326"/>
      <c r="G66" s="297"/>
      <c r="H66" s="286"/>
    </row>
    <row r="67" ht="18.75" customHeight="1">
      <c r="A67" s="281"/>
      <c r="B67" s="287"/>
      <c r="C67" s="355" t="str">
        <f>IMAGE("https://i.ibb.co/VxD4KtV/Camper.png",4,150,150)</f>
        <v/>
      </c>
      <c r="D67" s="356" t="s">
        <v>334</v>
      </c>
      <c r="E67" s="302"/>
      <c r="F67" s="351" t="s">
        <v>327</v>
      </c>
      <c r="G67" s="322"/>
      <c r="H67" s="286"/>
    </row>
    <row r="68">
      <c r="A68" s="281"/>
      <c r="B68" s="287"/>
      <c r="C68" s="357"/>
      <c r="D68" s="358" t="s">
        <v>330</v>
      </c>
      <c r="E68" s="302"/>
      <c r="F68" s="312"/>
      <c r="G68" s="324"/>
      <c r="H68" s="286"/>
    </row>
    <row r="69" ht="11.25" customHeight="1">
      <c r="A69" s="281"/>
      <c r="B69" s="287"/>
      <c r="C69" s="359"/>
      <c r="D69" s="315"/>
      <c r="E69" s="302"/>
      <c r="F69" s="316"/>
      <c r="G69" s="325"/>
      <c r="H69" s="286"/>
    </row>
    <row r="70" ht="3.75" customHeight="1">
      <c r="A70" s="281"/>
      <c r="B70" s="293"/>
      <c r="C70" s="294"/>
      <c r="D70" s="294"/>
      <c r="E70" s="302"/>
      <c r="F70" s="326"/>
      <c r="G70" s="297"/>
      <c r="H70" s="286"/>
    </row>
    <row r="71" ht="18.75" customHeight="1">
      <c r="A71" s="281"/>
      <c r="B71" s="287"/>
      <c r="C71" s="360" t="str">
        <f>IMAGE("https://i.ibb.co/FzKmMqb/Grunt.png",4,150,150)</f>
        <v/>
      </c>
      <c r="D71" s="361" t="s">
        <v>335</v>
      </c>
      <c r="E71" s="302"/>
      <c r="F71" s="351" t="s">
        <v>327</v>
      </c>
      <c r="G71" s="322"/>
      <c r="H71" s="286"/>
    </row>
    <row r="72">
      <c r="A72" s="281"/>
      <c r="B72" s="287"/>
      <c r="C72" s="362"/>
      <c r="D72" s="363" t="s">
        <v>330</v>
      </c>
      <c r="E72" s="302"/>
      <c r="F72" s="312"/>
      <c r="G72" s="324"/>
      <c r="H72" s="286"/>
    </row>
    <row r="73" ht="11.25" customHeight="1">
      <c r="A73" s="281"/>
      <c r="B73" s="287"/>
      <c r="C73" s="364"/>
      <c r="D73" s="315"/>
      <c r="E73" s="302"/>
      <c r="F73" s="316"/>
      <c r="G73" s="325"/>
      <c r="H73" s="286"/>
    </row>
    <row r="74" ht="3.75" customHeight="1">
      <c r="A74" s="281"/>
      <c r="B74" s="293"/>
      <c r="C74" s="294"/>
      <c r="D74" s="294"/>
      <c r="E74" s="302"/>
      <c r="F74" s="326"/>
      <c r="G74" s="297"/>
      <c r="H74" s="286"/>
    </row>
    <row r="75" ht="18.75" customHeight="1">
      <c r="A75" s="298"/>
      <c r="B75" s="299"/>
      <c r="C75" s="300" t="s">
        <v>310</v>
      </c>
      <c r="D75" s="301"/>
      <c r="E75" s="302"/>
      <c r="F75" s="330"/>
      <c r="G75" s="304"/>
      <c r="H75" s="305"/>
    </row>
    <row r="76" ht="18.75" customHeight="1">
      <c r="A76" s="281"/>
      <c r="B76" s="287"/>
      <c r="C76" s="365" t="str">
        <f>IMAGE("https://i.ibb.co/Lrh0bjy/Bugsy.png",4,150,150)</f>
        <v/>
      </c>
      <c r="D76" s="335" t="s">
        <v>336</v>
      </c>
      <c r="E76" s="302"/>
      <c r="F76" s="366" t="s">
        <v>337</v>
      </c>
      <c r="G76" s="322"/>
      <c r="H76" s="286"/>
    </row>
    <row r="77">
      <c r="A77" s="281"/>
      <c r="B77" s="287"/>
      <c r="C77" s="310"/>
      <c r="D77" s="336" t="s">
        <v>338</v>
      </c>
      <c r="E77" s="302"/>
      <c r="F77" s="312"/>
      <c r="G77" s="324"/>
      <c r="H77" s="286"/>
    </row>
    <row r="78" ht="11.25" customHeight="1">
      <c r="A78" s="281"/>
      <c r="B78" s="287"/>
      <c r="C78" s="314"/>
      <c r="D78" s="315"/>
      <c r="E78" s="302"/>
      <c r="F78" s="316"/>
      <c r="G78" s="325"/>
      <c r="H78" s="286"/>
    </row>
    <row r="79" ht="3.75" customHeight="1">
      <c r="A79" s="281"/>
      <c r="B79" s="293"/>
      <c r="C79" s="294"/>
      <c r="D79" s="294"/>
      <c r="E79" s="302"/>
      <c r="F79" s="326"/>
      <c r="G79" s="297"/>
      <c r="H79" s="286"/>
    </row>
    <row r="80" ht="18.75" customHeight="1">
      <c r="A80" s="281"/>
      <c r="B80" s="287"/>
      <c r="C80" s="367" t="str">
        <f>IMAGE("https://i.ibb.co/hZTdVGf/Misty.png",4,150,150)</f>
        <v/>
      </c>
      <c r="D80" s="368" t="s">
        <v>339</v>
      </c>
      <c r="E80" s="302"/>
      <c r="F80" s="366">
        <v>28.0</v>
      </c>
      <c r="G80" s="322"/>
      <c r="H80" s="286"/>
    </row>
    <row r="81">
      <c r="A81" s="281"/>
      <c r="B81" s="287"/>
      <c r="C81" s="369"/>
      <c r="D81" s="370" t="s">
        <v>328</v>
      </c>
      <c r="E81" s="302"/>
      <c r="F81" s="312"/>
      <c r="G81" s="324"/>
      <c r="H81" s="286"/>
    </row>
    <row r="82" ht="11.25" customHeight="1">
      <c r="A82" s="281"/>
      <c r="B82" s="287"/>
      <c r="C82" s="371"/>
      <c r="D82" s="315"/>
      <c r="E82" s="302"/>
      <c r="F82" s="316"/>
      <c r="G82" s="325"/>
      <c r="H82" s="286"/>
    </row>
    <row r="83" ht="3.75" customHeight="1">
      <c r="A83" s="281"/>
      <c r="B83" s="293"/>
      <c r="C83" s="294"/>
      <c r="D83" s="294"/>
      <c r="E83" s="302"/>
      <c r="F83" s="326"/>
      <c r="G83" s="297"/>
      <c r="H83" s="286"/>
    </row>
    <row r="84" ht="18.75" customHeight="1">
      <c r="A84" s="281"/>
      <c r="B84" s="287"/>
      <c r="C84" s="360" t="str">
        <f>IMAGE("https://i.ibb.co/FzKmMqb/Grunt.png",4,150,150)</f>
        <v/>
      </c>
      <c r="D84" s="361" t="s">
        <v>335</v>
      </c>
      <c r="E84" s="302"/>
      <c r="F84" s="351" t="s">
        <v>327</v>
      </c>
      <c r="G84" s="322"/>
      <c r="H84" s="286"/>
    </row>
    <row r="85">
      <c r="A85" s="281"/>
      <c r="B85" s="287"/>
      <c r="C85" s="362"/>
      <c r="D85" s="363" t="s">
        <v>340</v>
      </c>
      <c r="E85" s="302"/>
      <c r="F85" s="312"/>
      <c r="G85" s="324"/>
      <c r="H85" s="286"/>
    </row>
    <row r="86" ht="11.25" customHeight="1">
      <c r="A86" s="281"/>
      <c r="B86" s="287"/>
      <c r="C86" s="364"/>
      <c r="D86" s="315"/>
      <c r="E86" s="302"/>
      <c r="F86" s="316"/>
      <c r="G86" s="325"/>
      <c r="H86" s="286"/>
    </row>
    <row r="87" ht="3.75" customHeight="1">
      <c r="A87" s="281"/>
      <c r="B87" s="293"/>
      <c r="C87" s="294"/>
      <c r="D87" s="294"/>
      <c r="E87" s="302"/>
      <c r="F87" s="326"/>
      <c r="G87" s="297"/>
      <c r="H87" s="286"/>
    </row>
    <row r="88" ht="18.75" customHeight="1">
      <c r="A88" s="281"/>
      <c r="B88" s="287"/>
      <c r="C88" s="355" t="str">
        <f>IMAGE("https://i.ibb.co/VxD4KtV/Camper.png",4,150,150)</f>
        <v/>
      </c>
      <c r="D88" s="356" t="s">
        <v>341</v>
      </c>
      <c r="E88" s="302"/>
      <c r="F88" s="351" t="s">
        <v>327</v>
      </c>
      <c r="G88" s="322"/>
      <c r="H88" s="286"/>
    </row>
    <row r="89">
      <c r="A89" s="281"/>
      <c r="B89" s="287"/>
      <c r="C89" s="357"/>
      <c r="D89" s="358" t="s">
        <v>342</v>
      </c>
      <c r="E89" s="302"/>
      <c r="F89" s="312"/>
      <c r="G89" s="324"/>
      <c r="H89" s="286"/>
    </row>
    <row r="90" ht="11.25" customHeight="1">
      <c r="A90" s="281"/>
      <c r="B90" s="287"/>
      <c r="C90" s="359"/>
      <c r="D90" s="315"/>
      <c r="E90" s="302"/>
      <c r="F90" s="316"/>
      <c r="G90" s="325"/>
      <c r="H90" s="286"/>
    </row>
    <row r="91" ht="3.75" customHeight="1">
      <c r="A91" s="281"/>
      <c r="B91" s="293"/>
      <c r="C91" s="294"/>
      <c r="D91" s="294"/>
      <c r="E91" s="302"/>
      <c r="F91" s="326"/>
      <c r="G91" s="297"/>
      <c r="H91" s="286"/>
    </row>
    <row r="92" ht="18.75" customHeight="1">
      <c r="A92" s="281"/>
      <c r="B92" s="287"/>
      <c r="C92" s="372" t="str">
        <f>IMAGE("https://i.ibb.co/sKw2Sqx/Ann-Gentleman.png",4,150,150)</f>
        <v/>
      </c>
      <c r="D92" s="373" t="s">
        <v>343</v>
      </c>
      <c r="E92" s="302"/>
      <c r="F92" s="351" t="s">
        <v>327</v>
      </c>
      <c r="G92" s="322"/>
      <c r="H92" s="286"/>
    </row>
    <row r="93">
      <c r="A93" s="281"/>
      <c r="B93" s="287"/>
      <c r="C93" s="310"/>
      <c r="D93" s="374" t="s">
        <v>344</v>
      </c>
      <c r="E93" s="302"/>
      <c r="F93" s="312"/>
      <c r="G93" s="324"/>
      <c r="H93" s="286"/>
    </row>
    <row r="94" ht="11.25" customHeight="1">
      <c r="A94" s="281"/>
      <c r="B94" s="287"/>
      <c r="C94" s="314"/>
      <c r="D94" s="315"/>
      <c r="E94" s="302"/>
      <c r="F94" s="316"/>
      <c r="G94" s="325"/>
      <c r="H94" s="286"/>
    </row>
    <row r="95" ht="3.75" customHeight="1">
      <c r="A95" s="281"/>
      <c r="B95" s="293"/>
      <c r="C95" s="294"/>
      <c r="D95" s="294"/>
      <c r="E95" s="302"/>
      <c r="F95" s="326"/>
      <c r="G95" s="297"/>
      <c r="H95" s="286"/>
    </row>
    <row r="96" ht="18.75" customHeight="1">
      <c r="A96" s="281"/>
      <c r="B96" s="287"/>
      <c r="C96" s="375" t="str">
        <f>IMAGE("https://i.ibb.co/4dkFCJ5/Sailors.png",4,150,150)</f>
        <v/>
      </c>
      <c r="D96" s="376" t="s">
        <v>345</v>
      </c>
      <c r="E96" s="302"/>
      <c r="F96" s="351" t="s">
        <v>327</v>
      </c>
      <c r="G96" s="322"/>
      <c r="H96" s="286"/>
    </row>
    <row r="97">
      <c r="A97" s="281"/>
      <c r="B97" s="287"/>
      <c r="C97" s="310"/>
      <c r="D97" s="377" t="s">
        <v>344</v>
      </c>
      <c r="E97" s="302"/>
      <c r="F97" s="312"/>
      <c r="G97" s="324"/>
      <c r="H97" s="286"/>
    </row>
    <row r="98" ht="11.25" customHeight="1">
      <c r="A98" s="281"/>
      <c r="B98" s="287"/>
      <c r="C98" s="314"/>
      <c r="D98" s="315"/>
      <c r="E98" s="302"/>
      <c r="F98" s="316"/>
      <c r="G98" s="325"/>
      <c r="H98" s="286"/>
    </row>
    <row r="99" ht="3.75" customHeight="1">
      <c r="A99" s="281"/>
      <c r="B99" s="293"/>
      <c r="C99" s="318"/>
      <c r="D99" s="294"/>
      <c r="E99" s="302"/>
      <c r="F99" s="326"/>
      <c r="G99" s="297"/>
      <c r="H99" s="286"/>
    </row>
    <row r="100" ht="18.75" customHeight="1">
      <c r="A100" s="281"/>
      <c r="B100" s="287"/>
      <c r="C100" s="320" t="str">
        <f>IMAGE("https://i.ibb.co/10ZXyNx/Brendan.png",4,150,150)</f>
        <v/>
      </c>
      <c r="D100" s="321" t="s">
        <v>313</v>
      </c>
      <c r="E100" s="302"/>
      <c r="F100" s="351" t="s">
        <v>327</v>
      </c>
      <c r="G100" s="322"/>
      <c r="H100" s="286"/>
    </row>
    <row r="101">
      <c r="A101" s="281"/>
      <c r="B101" s="287"/>
      <c r="C101" s="310"/>
      <c r="D101" s="323" t="s">
        <v>344</v>
      </c>
      <c r="E101" s="302"/>
      <c r="F101" s="312"/>
      <c r="G101" s="324"/>
      <c r="H101" s="286"/>
    </row>
    <row r="102" ht="11.25" customHeight="1">
      <c r="A102" s="281"/>
      <c r="B102" s="287"/>
      <c r="C102" s="314"/>
      <c r="D102" s="315"/>
      <c r="E102" s="302"/>
      <c r="F102" s="316"/>
      <c r="G102" s="325"/>
      <c r="H102" s="286"/>
    </row>
    <row r="103" ht="3.75" customHeight="1">
      <c r="A103" s="281"/>
      <c r="B103" s="293"/>
      <c r="C103" s="318"/>
      <c r="D103" s="294"/>
      <c r="E103" s="302"/>
      <c r="F103" s="326"/>
      <c r="G103" s="297"/>
      <c r="H103" s="286"/>
    </row>
    <row r="104" ht="18.75" customHeight="1">
      <c r="A104" s="298"/>
      <c r="B104" s="299"/>
      <c r="C104" s="300" t="s">
        <v>310</v>
      </c>
      <c r="D104" s="301"/>
      <c r="E104" s="302"/>
      <c r="F104" s="330"/>
      <c r="G104" s="304"/>
      <c r="H104" s="305"/>
    </row>
    <row r="105" ht="18.75" customHeight="1">
      <c r="A105" s="281"/>
      <c r="B105" s="287"/>
      <c r="C105" s="378" t="str">
        <f>IMAGE("https://i.ibb.co/JtgmCkX/Whitney.png",4,150,150)</f>
        <v/>
      </c>
      <c r="D105" s="379" t="s">
        <v>346</v>
      </c>
      <c r="E105" s="302"/>
      <c r="F105" s="366" t="s">
        <v>337</v>
      </c>
      <c r="G105" s="322"/>
      <c r="H105" s="286"/>
    </row>
    <row r="106">
      <c r="A106" s="281"/>
      <c r="B106" s="287"/>
      <c r="C106" s="310"/>
      <c r="D106" s="380" t="s">
        <v>347</v>
      </c>
      <c r="E106" s="302"/>
      <c r="F106" s="312"/>
      <c r="G106" s="324"/>
      <c r="H106" s="286"/>
    </row>
    <row r="107" ht="11.25" customHeight="1">
      <c r="A107" s="281"/>
      <c r="B107" s="287"/>
      <c r="C107" s="314"/>
      <c r="D107" s="315"/>
      <c r="E107" s="302"/>
      <c r="F107" s="316"/>
      <c r="G107" s="325"/>
      <c r="H107" s="286"/>
    </row>
    <row r="108" ht="3.75" customHeight="1">
      <c r="A108" s="281"/>
      <c r="B108" s="293"/>
      <c r="C108" s="294"/>
      <c r="D108" s="294"/>
      <c r="E108" s="302"/>
      <c r="F108" s="326"/>
      <c r="G108" s="297"/>
      <c r="H108" s="286"/>
    </row>
    <row r="109" ht="18.75" customHeight="1">
      <c r="A109" s="281"/>
      <c r="B109" s="287"/>
      <c r="C109" s="381" t="str">
        <f>IMAGE("https://i.ibb.co/HxxTWRJ/Gentleman.png",4,150,150)</f>
        <v/>
      </c>
      <c r="D109" s="382" t="s">
        <v>348</v>
      </c>
      <c r="E109" s="302"/>
      <c r="F109" s="383">
        <v>36.0</v>
      </c>
      <c r="G109" s="322"/>
      <c r="H109" s="286"/>
    </row>
    <row r="110">
      <c r="A110" s="281"/>
      <c r="B110" s="287"/>
      <c r="C110" s="310"/>
      <c r="D110" s="384" t="s">
        <v>349</v>
      </c>
      <c r="E110" s="302"/>
      <c r="F110" s="312"/>
      <c r="G110" s="324"/>
      <c r="H110" s="286"/>
    </row>
    <row r="111" ht="11.25" customHeight="1">
      <c r="A111" s="281"/>
      <c r="B111" s="287"/>
      <c r="C111" s="314"/>
      <c r="D111" s="315"/>
      <c r="E111" s="302"/>
      <c r="F111" s="316"/>
      <c r="G111" s="325"/>
      <c r="H111" s="286"/>
    </row>
    <row r="112" ht="3.75" customHeight="1">
      <c r="A112" s="281"/>
      <c r="B112" s="293"/>
      <c r="C112" s="294"/>
      <c r="D112" s="294"/>
      <c r="E112" s="302"/>
      <c r="F112" s="326"/>
      <c r="G112" s="297"/>
      <c r="H112" s="286"/>
    </row>
    <row r="113" ht="18.75" customHeight="1">
      <c r="A113" s="281"/>
      <c r="B113" s="287"/>
      <c r="C113" s="385" t="str">
        <f>IMAGE("https://i.ibb.co/w6kjj5K/Surge.png",4,150,150)</f>
        <v/>
      </c>
      <c r="D113" s="386" t="s">
        <v>350</v>
      </c>
      <c r="E113" s="302"/>
      <c r="F113" s="383">
        <v>36.0</v>
      </c>
      <c r="G113" s="322"/>
      <c r="H113" s="286"/>
    </row>
    <row r="114">
      <c r="A114" s="281"/>
      <c r="B114" s="287"/>
      <c r="C114" s="310"/>
      <c r="D114" s="387" t="s">
        <v>351</v>
      </c>
      <c r="E114" s="302"/>
      <c r="F114" s="312"/>
      <c r="G114" s="324"/>
      <c r="H114" s="286"/>
    </row>
    <row r="115" ht="11.25" customHeight="1">
      <c r="A115" s="281"/>
      <c r="B115" s="287"/>
      <c r="C115" s="314"/>
      <c r="D115" s="315"/>
      <c r="E115" s="302"/>
      <c r="F115" s="316"/>
      <c r="G115" s="325"/>
      <c r="H115" s="286"/>
    </row>
    <row r="116" ht="3.75" customHeight="1">
      <c r="A116" s="281"/>
      <c r="B116" s="293"/>
      <c r="C116" s="294"/>
      <c r="D116" s="294"/>
      <c r="E116" s="302"/>
      <c r="F116" s="343"/>
      <c r="G116" s="297"/>
      <c r="H116" s="286"/>
    </row>
    <row r="117" ht="18.75" customHeight="1">
      <c r="A117" s="281"/>
      <c r="B117" s="287"/>
      <c r="C117" s="388" t="str">
        <f>IMAGE("https://i.ibb.co/YhmcnsP/Picnicker.png",4,150,150)</f>
        <v/>
      </c>
      <c r="D117" s="356" t="s">
        <v>352</v>
      </c>
      <c r="E117" s="302"/>
      <c r="F117" s="389" t="s">
        <v>353</v>
      </c>
      <c r="G117" s="309"/>
      <c r="H117" s="286"/>
    </row>
    <row r="118">
      <c r="A118" s="281"/>
      <c r="B118" s="287"/>
      <c r="C118" s="310"/>
      <c r="D118" s="358" t="s">
        <v>354</v>
      </c>
      <c r="E118" s="302"/>
      <c r="F118" s="312"/>
      <c r="G118" s="313"/>
      <c r="H118" s="286"/>
    </row>
    <row r="119" ht="11.25" customHeight="1">
      <c r="A119" s="281"/>
      <c r="B119" s="287"/>
      <c r="C119" s="314"/>
      <c r="D119" s="315"/>
      <c r="E119" s="302"/>
      <c r="F119" s="316"/>
      <c r="G119" s="317"/>
      <c r="H119" s="286"/>
    </row>
    <row r="120" ht="3.75" customHeight="1">
      <c r="A120" s="281"/>
      <c r="B120" s="293"/>
      <c r="C120" s="294"/>
      <c r="D120" s="294"/>
      <c r="E120" s="302"/>
      <c r="F120" s="319"/>
      <c r="G120" s="297"/>
      <c r="H120" s="286"/>
    </row>
    <row r="121" ht="18.75" customHeight="1">
      <c r="A121" s="281"/>
      <c r="B121" s="287"/>
      <c r="C121" s="388" t="str">
        <f>IMAGE("https://i.ibb.co/YhmcnsP/Picnicker.png",4,150,150)</f>
        <v/>
      </c>
      <c r="D121" s="356" t="s">
        <v>355</v>
      </c>
      <c r="E121" s="302"/>
      <c r="F121" s="389" t="s">
        <v>353</v>
      </c>
      <c r="G121" s="322"/>
      <c r="H121" s="286"/>
    </row>
    <row r="122">
      <c r="A122" s="281"/>
      <c r="B122" s="287"/>
      <c r="C122" s="310"/>
      <c r="D122" s="358" t="s">
        <v>354</v>
      </c>
      <c r="E122" s="302"/>
      <c r="F122" s="312"/>
      <c r="G122" s="324"/>
      <c r="H122" s="286"/>
    </row>
    <row r="123" ht="11.25" customHeight="1">
      <c r="A123" s="281"/>
      <c r="B123" s="287"/>
      <c r="C123" s="314"/>
      <c r="D123" s="315"/>
      <c r="E123" s="302"/>
      <c r="F123" s="316"/>
      <c r="G123" s="325"/>
      <c r="H123" s="286"/>
    </row>
    <row r="124" ht="3.75" customHeight="1">
      <c r="A124" s="281"/>
      <c r="B124" s="293"/>
      <c r="C124" s="294"/>
      <c r="D124" s="294"/>
      <c r="E124" s="302"/>
      <c r="F124" s="326"/>
      <c r="G124" s="297"/>
      <c r="H124" s="286"/>
    </row>
    <row r="125" ht="18.75" customHeight="1">
      <c r="A125" s="281"/>
      <c r="B125" s="287"/>
      <c r="C125" s="388" t="str">
        <f>IMAGE("https://i.ibb.co/YhmcnsP/Picnicker.png",4,150,150)</f>
        <v/>
      </c>
      <c r="D125" s="356" t="s">
        <v>356</v>
      </c>
      <c r="E125" s="302"/>
      <c r="F125" s="389" t="s">
        <v>353</v>
      </c>
      <c r="G125" s="322"/>
      <c r="H125" s="286"/>
    </row>
    <row r="126">
      <c r="A126" s="281"/>
      <c r="B126" s="287"/>
      <c r="C126" s="310"/>
      <c r="D126" s="358" t="s">
        <v>357</v>
      </c>
      <c r="E126" s="302"/>
      <c r="F126" s="312"/>
      <c r="G126" s="324"/>
      <c r="H126" s="286"/>
    </row>
    <row r="127" ht="11.25" customHeight="1">
      <c r="A127" s="281"/>
      <c r="B127" s="287"/>
      <c r="C127" s="314"/>
      <c r="D127" s="315"/>
      <c r="E127" s="302"/>
      <c r="F127" s="316"/>
      <c r="G127" s="325"/>
      <c r="H127" s="286"/>
    </row>
    <row r="128" ht="3.75" customHeight="1">
      <c r="A128" s="281"/>
      <c r="B128" s="293"/>
      <c r="C128" s="294"/>
      <c r="D128" s="294"/>
      <c r="E128" s="302"/>
      <c r="F128" s="326"/>
      <c r="G128" s="297"/>
      <c r="H128" s="286"/>
    </row>
    <row r="129" ht="18.75" customHeight="1">
      <c r="A129" s="281"/>
      <c r="B129" s="287"/>
      <c r="C129" s="390" t="str">
        <f>IMAGE("https://i.ibb.co/tw6cc4F/Maniac.png",4,150,150)</f>
        <v/>
      </c>
      <c r="D129" s="391" t="s">
        <v>358</v>
      </c>
      <c r="E129" s="302"/>
      <c r="F129" s="389" t="s">
        <v>353</v>
      </c>
      <c r="G129" s="322"/>
      <c r="H129" s="286"/>
    </row>
    <row r="130">
      <c r="A130" s="281"/>
      <c r="B130" s="287"/>
      <c r="C130" s="310"/>
      <c r="D130" s="392" t="s">
        <v>359</v>
      </c>
      <c r="E130" s="302"/>
      <c r="F130" s="312"/>
      <c r="G130" s="324"/>
      <c r="H130" s="286"/>
    </row>
    <row r="131" ht="11.25" customHeight="1">
      <c r="A131" s="281"/>
      <c r="B131" s="287"/>
      <c r="C131" s="314"/>
      <c r="D131" s="315"/>
      <c r="E131" s="302"/>
      <c r="F131" s="316"/>
      <c r="G131" s="325"/>
      <c r="H131" s="286"/>
    </row>
    <row r="132" ht="3.75" customHeight="1">
      <c r="A132" s="281"/>
      <c r="B132" s="293"/>
      <c r="C132" s="318"/>
      <c r="D132" s="294"/>
      <c r="E132" s="302"/>
      <c r="F132" s="326"/>
      <c r="G132" s="297"/>
      <c r="H132" s="286"/>
    </row>
    <row r="133" ht="18.75" customHeight="1">
      <c r="A133" s="298"/>
      <c r="B133" s="299"/>
      <c r="C133" s="300" t="s">
        <v>310</v>
      </c>
      <c r="D133" s="301"/>
      <c r="E133" s="302"/>
      <c r="F133" s="330"/>
      <c r="G133" s="304"/>
      <c r="H133" s="305"/>
    </row>
    <row r="134" ht="18.75" customHeight="1">
      <c r="A134" s="281"/>
      <c r="B134" s="287"/>
      <c r="C134" s="393" t="str">
        <f>IMAGE("https://i.ibb.co/h9K4sWf/Morty.png",4,150,150)</f>
        <v/>
      </c>
      <c r="D134" s="394" t="s">
        <v>360</v>
      </c>
      <c r="E134" s="302"/>
      <c r="F134" s="389" t="s">
        <v>361</v>
      </c>
      <c r="G134" s="322"/>
      <c r="H134" s="286"/>
    </row>
    <row r="135">
      <c r="A135" s="281"/>
      <c r="B135" s="287"/>
      <c r="C135" s="310"/>
      <c r="D135" s="395" t="s">
        <v>362</v>
      </c>
      <c r="E135" s="302"/>
      <c r="F135" s="312"/>
      <c r="G135" s="324"/>
      <c r="H135" s="286"/>
    </row>
    <row r="136" ht="11.25" customHeight="1">
      <c r="A136" s="281"/>
      <c r="B136" s="287"/>
      <c r="C136" s="314"/>
      <c r="D136" s="315"/>
      <c r="E136" s="302"/>
      <c r="F136" s="316"/>
      <c r="G136" s="325"/>
      <c r="H136" s="286"/>
    </row>
    <row r="137" ht="3.75" customHeight="1">
      <c r="A137" s="281"/>
      <c r="B137" s="293"/>
      <c r="C137" s="294"/>
      <c r="D137" s="294"/>
      <c r="E137" s="302"/>
      <c r="F137" s="326"/>
      <c r="G137" s="297"/>
      <c r="H137" s="286"/>
    </row>
    <row r="138" ht="18.75" customHeight="1">
      <c r="A138" s="281"/>
      <c r="B138" s="287"/>
      <c r="C138" s="345" t="str">
        <f>IMAGE("https://i.ibb.co/zFMzgnB/Super-Nerd.png",4,150,150)</f>
        <v/>
      </c>
      <c r="D138" s="346" t="s">
        <v>363</v>
      </c>
      <c r="E138" s="302"/>
      <c r="F138" s="389" t="s">
        <v>353</v>
      </c>
      <c r="G138" s="322"/>
      <c r="H138" s="286"/>
    </row>
    <row r="139">
      <c r="A139" s="281"/>
      <c r="B139" s="287"/>
      <c r="C139" s="310"/>
      <c r="D139" s="347" t="s">
        <v>364</v>
      </c>
      <c r="E139" s="302"/>
      <c r="F139" s="312"/>
      <c r="G139" s="324"/>
      <c r="H139" s="286"/>
    </row>
    <row r="140" ht="11.25" customHeight="1">
      <c r="A140" s="281"/>
      <c r="B140" s="287"/>
      <c r="C140" s="314"/>
      <c r="D140" s="315"/>
      <c r="E140" s="302"/>
      <c r="F140" s="316"/>
      <c r="G140" s="325"/>
      <c r="H140" s="286"/>
    </row>
    <row r="141" ht="3.75" customHeight="1">
      <c r="A141" s="281"/>
      <c r="B141" s="293"/>
      <c r="C141" s="294"/>
      <c r="D141" s="294"/>
      <c r="E141" s="302"/>
      <c r="F141" s="326"/>
      <c r="G141" s="297"/>
      <c r="H141" s="286"/>
    </row>
    <row r="142" ht="18.75" customHeight="1">
      <c r="A142" s="281"/>
      <c r="B142" s="287"/>
      <c r="C142" s="331" t="str">
        <f>IMAGE("https://i.ibb.co/26kF6WW/Ace-Trainer-F.png",4,150,150)</f>
        <v/>
      </c>
      <c r="D142" s="332" t="s">
        <v>365</v>
      </c>
      <c r="E142" s="302"/>
      <c r="F142" s="389" t="s">
        <v>353</v>
      </c>
      <c r="G142" s="322"/>
      <c r="H142" s="286"/>
    </row>
    <row r="143">
      <c r="A143" s="281"/>
      <c r="B143" s="287"/>
      <c r="C143" s="310"/>
      <c r="D143" s="333" t="s">
        <v>366</v>
      </c>
      <c r="E143" s="302"/>
      <c r="F143" s="312"/>
      <c r="G143" s="324"/>
      <c r="H143" s="286"/>
    </row>
    <row r="144" ht="11.25" customHeight="1">
      <c r="A144" s="281"/>
      <c r="B144" s="287"/>
      <c r="C144" s="314"/>
      <c r="D144" s="315"/>
      <c r="E144" s="302"/>
      <c r="F144" s="316"/>
      <c r="G144" s="325"/>
      <c r="H144" s="286"/>
    </row>
    <row r="145" ht="3.75" customHeight="1">
      <c r="A145" s="281"/>
      <c r="B145" s="293"/>
      <c r="C145" s="318"/>
      <c r="D145" s="294"/>
      <c r="E145" s="302"/>
      <c r="F145" s="343"/>
      <c r="G145" s="297"/>
      <c r="H145" s="286"/>
    </row>
    <row r="146" ht="18.75" customHeight="1">
      <c r="A146" s="281"/>
      <c r="B146" s="287"/>
      <c r="C146" s="396" t="str">
        <f>IMAGE("https://i.ibb.co/MPXzmB0/Erika.png",4,150,150)</f>
        <v/>
      </c>
      <c r="D146" s="397" t="s">
        <v>367</v>
      </c>
      <c r="E146" s="302"/>
      <c r="F146" s="398">
        <v>44.0</v>
      </c>
      <c r="G146" s="309"/>
      <c r="H146" s="286"/>
    </row>
    <row r="147">
      <c r="A147" s="281"/>
      <c r="B147" s="287"/>
      <c r="C147" s="399"/>
      <c r="D147" s="400" t="s">
        <v>368</v>
      </c>
      <c r="E147" s="302"/>
      <c r="F147" s="312"/>
      <c r="G147" s="313"/>
      <c r="H147" s="286"/>
    </row>
    <row r="148" ht="11.25" customHeight="1">
      <c r="A148" s="281"/>
      <c r="B148" s="287"/>
      <c r="C148" s="401"/>
      <c r="D148" s="315"/>
      <c r="E148" s="302"/>
      <c r="F148" s="316"/>
      <c r="G148" s="317"/>
      <c r="H148" s="286"/>
    </row>
    <row r="149" ht="3.75" customHeight="1">
      <c r="A149" s="281"/>
      <c r="B149" s="293"/>
      <c r="C149" s="294"/>
      <c r="D149" s="294"/>
      <c r="E149" s="302"/>
      <c r="F149" s="402"/>
      <c r="G149" s="297"/>
      <c r="H149" s="286"/>
    </row>
    <row r="150" ht="18.75" customHeight="1">
      <c r="A150" s="281"/>
      <c r="B150" s="287"/>
      <c r="C150" s="360" t="str">
        <f>IMAGE("https://i.ibb.co/FzKmMqb/Grunt.png",4,150,150)</f>
        <v/>
      </c>
      <c r="D150" s="361" t="s">
        <v>369</v>
      </c>
      <c r="E150" s="302"/>
      <c r="F150" s="403">
        <v>47.0</v>
      </c>
      <c r="G150" s="309"/>
      <c r="H150" s="286"/>
    </row>
    <row r="151">
      <c r="A151" s="281"/>
      <c r="B151" s="287"/>
      <c r="C151" s="362"/>
      <c r="D151" s="363" t="s">
        <v>370</v>
      </c>
      <c r="E151" s="302"/>
      <c r="F151" s="312"/>
      <c r="G151" s="313"/>
      <c r="H151" s="286"/>
    </row>
    <row r="152" ht="11.25" customHeight="1">
      <c r="A152" s="281"/>
      <c r="B152" s="287"/>
      <c r="C152" s="364"/>
      <c r="D152" s="315"/>
      <c r="E152" s="302"/>
      <c r="F152" s="316"/>
      <c r="G152" s="317"/>
      <c r="H152" s="286"/>
    </row>
    <row r="153" ht="3.75" customHeight="1">
      <c r="A153" s="281"/>
      <c r="B153" s="293"/>
      <c r="C153" s="294"/>
      <c r="D153" s="294"/>
      <c r="E153" s="302"/>
      <c r="F153" s="319"/>
      <c r="G153" s="297"/>
      <c r="H153" s="286"/>
    </row>
    <row r="154" ht="18.75" customHeight="1">
      <c r="A154" s="281"/>
      <c r="B154" s="287"/>
      <c r="C154" s="360" t="str">
        <f>IMAGE("https://i.ibb.co/FzKmMqb/Grunt.png",4,150,150)</f>
        <v/>
      </c>
      <c r="D154" s="361" t="s">
        <v>371</v>
      </c>
      <c r="E154" s="302"/>
      <c r="F154" s="403">
        <v>47.0</v>
      </c>
      <c r="G154" s="322"/>
      <c r="H154" s="286"/>
    </row>
    <row r="155">
      <c r="A155" s="281"/>
      <c r="B155" s="287"/>
      <c r="C155" s="362"/>
      <c r="D155" s="363" t="s">
        <v>372</v>
      </c>
      <c r="E155" s="302"/>
      <c r="F155" s="312"/>
      <c r="G155" s="324"/>
      <c r="H155" s="286"/>
    </row>
    <row r="156" ht="11.25" customHeight="1">
      <c r="A156" s="281"/>
      <c r="B156" s="287"/>
      <c r="C156" s="364"/>
      <c r="D156" s="315"/>
      <c r="E156" s="302"/>
      <c r="F156" s="316"/>
      <c r="G156" s="325"/>
      <c r="H156" s="286"/>
    </row>
    <row r="157" ht="3.75" customHeight="1">
      <c r="A157" s="281"/>
      <c r="B157" s="293"/>
      <c r="C157" s="294"/>
      <c r="D157" s="294"/>
      <c r="E157" s="302"/>
      <c r="F157" s="326"/>
      <c r="G157" s="297"/>
      <c r="H157" s="286"/>
    </row>
    <row r="158" ht="18.75" customHeight="1">
      <c r="A158" s="281"/>
      <c r="B158" s="287"/>
      <c r="C158" s="360" t="str">
        <f>IMAGE("https://i.ibb.co/FzKmMqb/Grunt.png",4,150,150)</f>
        <v/>
      </c>
      <c r="D158" s="361" t="s">
        <v>373</v>
      </c>
      <c r="E158" s="302"/>
      <c r="F158" s="403">
        <v>47.0</v>
      </c>
      <c r="G158" s="322"/>
      <c r="H158" s="286"/>
    </row>
    <row r="159">
      <c r="A159" s="281"/>
      <c r="B159" s="287"/>
      <c r="C159" s="362"/>
      <c r="D159" s="363" t="s">
        <v>372</v>
      </c>
      <c r="E159" s="302"/>
      <c r="F159" s="312"/>
      <c r="G159" s="324"/>
      <c r="H159" s="286"/>
    </row>
    <row r="160" ht="11.25" customHeight="1">
      <c r="A160" s="281"/>
      <c r="B160" s="287"/>
      <c r="C160" s="364"/>
      <c r="D160" s="404"/>
      <c r="E160" s="302"/>
      <c r="F160" s="316"/>
      <c r="G160" s="325"/>
      <c r="H160" s="286"/>
    </row>
    <row r="161" ht="3.75" customHeight="1">
      <c r="A161" s="281"/>
      <c r="B161" s="293"/>
      <c r="C161" s="294"/>
      <c r="D161" s="294"/>
      <c r="E161" s="302"/>
      <c r="F161" s="326"/>
      <c r="G161" s="297"/>
      <c r="H161" s="286"/>
    </row>
    <row r="162" ht="18.75" customHeight="1">
      <c r="A162" s="281"/>
      <c r="B162" s="287"/>
      <c r="C162" s="405" t="str">
        <f>IMAGE("https://i.ibb.co/WfLWZS3/Giovanni.png",4,150,150)</f>
        <v/>
      </c>
      <c r="D162" s="406" t="s">
        <v>374</v>
      </c>
      <c r="E162" s="302"/>
      <c r="F162" s="403">
        <v>47.0</v>
      </c>
      <c r="G162" s="322"/>
      <c r="H162" s="286"/>
    </row>
    <row r="163">
      <c r="A163" s="281"/>
      <c r="B163" s="287"/>
      <c r="C163" s="310"/>
      <c r="D163" s="407" t="s">
        <v>372</v>
      </c>
      <c r="E163" s="302"/>
      <c r="F163" s="312"/>
      <c r="G163" s="324"/>
      <c r="H163" s="286"/>
    </row>
    <row r="164" ht="11.25" customHeight="1">
      <c r="A164" s="281"/>
      <c r="B164" s="287"/>
      <c r="C164" s="314"/>
      <c r="D164" s="315"/>
      <c r="E164" s="302"/>
      <c r="F164" s="316"/>
      <c r="G164" s="325"/>
      <c r="H164" s="286"/>
    </row>
    <row r="165" ht="3.75" customHeight="1">
      <c r="A165" s="281"/>
      <c r="B165" s="293"/>
      <c r="C165" s="294"/>
      <c r="D165" s="294"/>
      <c r="E165" s="302"/>
      <c r="F165" s="343"/>
      <c r="G165" s="297"/>
      <c r="H165" s="286"/>
    </row>
    <row r="166" ht="18.75" customHeight="1">
      <c r="A166" s="281"/>
      <c r="B166" s="287"/>
      <c r="C166" s="408" t="str">
        <f>IMAGE("https://i.ibb.co/G3XXq1Q/Channeler.png",4,150,150)</f>
        <v/>
      </c>
      <c r="D166" s="409" t="s">
        <v>375</v>
      </c>
      <c r="E166" s="302"/>
      <c r="F166" s="383" t="s">
        <v>361</v>
      </c>
      <c r="G166" s="309"/>
      <c r="H166" s="286"/>
    </row>
    <row r="167">
      <c r="A167" s="281"/>
      <c r="B167" s="287"/>
      <c r="C167" s="310"/>
      <c r="D167" s="410" t="s">
        <v>376</v>
      </c>
      <c r="E167" s="302"/>
      <c r="F167" s="312"/>
      <c r="G167" s="313"/>
      <c r="H167" s="286"/>
    </row>
    <row r="168" ht="11.25" customHeight="1">
      <c r="A168" s="281"/>
      <c r="B168" s="287"/>
      <c r="C168" s="314"/>
      <c r="D168" s="315"/>
      <c r="E168" s="302"/>
      <c r="F168" s="316"/>
      <c r="G168" s="317"/>
      <c r="H168" s="286"/>
    </row>
    <row r="169" ht="3.75" customHeight="1">
      <c r="A169" s="281"/>
      <c r="B169" s="293"/>
      <c r="C169" s="318"/>
      <c r="D169" s="294"/>
      <c r="E169" s="302"/>
      <c r="F169" s="402"/>
      <c r="G169" s="297"/>
      <c r="H169" s="286"/>
    </row>
    <row r="170" ht="18.75" customHeight="1">
      <c r="A170" s="281"/>
      <c r="B170" s="287"/>
      <c r="C170" s="411" t="str">
        <f>IMAGE("https://i.ibb.co/JdWvt93/Ghost.png",4,150,150)</f>
        <v/>
      </c>
      <c r="D170" s="412" t="s">
        <v>377</v>
      </c>
      <c r="E170" s="302"/>
      <c r="F170" s="413">
        <v>56.0</v>
      </c>
      <c r="G170" s="309"/>
      <c r="H170" s="286"/>
    </row>
    <row r="171">
      <c r="A171" s="281"/>
      <c r="B171" s="287"/>
      <c r="C171" s="310"/>
      <c r="D171" s="414" t="s">
        <v>376</v>
      </c>
      <c r="E171" s="302"/>
      <c r="F171" s="312"/>
      <c r="G171" s="313"/>
      <c r="H171" s="286"/>
    </row>
    <row r="172" ht="11.25" customHeight="1">
      <c r="A172" s="281"/>
      <c r="B172" s="287"/>
      <c r="C172" s="314"/>
      <c r="D172" s="315"/>
      <c r="E172" s="302"/>
      <c r="F172" s="316"/>
      <c r="G172" s="317"/>
      <c r="H172" s="286"/>
    </row>
    <row r="173" ht="3.75" customHeight="1">
      <c r="A173" s="281"/>
      <c r="B173" s="293"/>
      <c r="C173" s="294"/>
      <c r="D173" s="294"/>
      <c r="E173" s="302"/>
      <c r="F173" s="319"/>
      <c r="G173" s="297"/>
      <c r="H173" s="286"/>
    </row>
    <row r="174" ht="18.75" customHeight="1">
      <c r="A174" s="281"/>
      <c r="B174" s="287"/>
      <c r="C174" s="360" t="str">
        <f>IMAGE("https://i.ibb.co/FzKmMqb/Grunt.png",4,150,150)</f>
        <v/>
      </c>
      <c r="D174" s="361" t="s">
        <v>378</v>
      </c>
      <c r="E174" s="302"/>
      <c r="F174" s="413">
        <v>56.0</v>
      </c>
      <c r="G174" s="322"/>
      <c r="H174" s="286"/>
    </row>
    <row r="175">
      <c r="A175" s="281"/>
      <c r="B175" s="287"/>
      <c r="C175" s="362"/>
      <c r="D175" s="363" t="s">
        <v>376</v>
      </c>
      <c r="E175" s="302"/>
      <c r="F175" s="312"/>
      <c r="G175" s="324"/>
      <c r="H175" s="286"/>
    </row>
    <row r="176" ht="11.25" customHeight="1">
      <c r="A176" s="281"/>
      <c r="B176" s="287"/>
      <c r="C176" s="364"/>
      <c r="D176" s="315"/>
      <c r="E176" s="302"/>
      <c r="F176" s="316"/>
      <c r="G176" s="325"/>
      <c r="H176" s="286"/>
    </row>
    <row r="177" ht="3.75" customHeight="1">
      <c r="A177" s="281"/>
      <c r="B177" s="293"/>
      <c r="C177" s="294"/>
      <c r="D177" s="294"/>
      <c r="E177" s="302"/>
      <c r="F177" s="326"/>
      <c r="G177" s="297"/>
      <c r="H177" s="286"/>
    </row>
    <row r="178" ht="18.75" customHeight="1">
      <c r="A178" s="281"/>
      <c r="B178" s="287"/>
      <c r="C178" s="360" t="str">
        <f>IMAGE("https://i.ibb.co/FzKmMqb/Grunt.png",4,150,150)</f>
        <v/>
      </c>
      <c r="D178" s="361" t="s">
        <v>379</v>
      </c>
      <c r="E178" s="302"/>
      <c r="F178" s="413">
        <v>56.0</v>
      </c>
      <c r="G178" s="322"/>
      <c r="H178" s="286"/>
    </row>
    <row r="179">
      <c r="A179" s="281"/>
      <c r="B179" s="287"/>
      <c r="C179" s="362"/>
      <c r="D179" s="363" t="s">
        <v>376</v>
      </c>
      <c r="E179" s="302"/>
      <c r="F179" s="312"/>
      <c r="G179" s="324"/>
      <c r="H179" s="286"/>
    </row>
    <row r="180" ht="11.25" customHeight="1">
      <c r="A180" s="281"/>
      <c r="B180" s="287"/>
      <c r="C180" s="364"/>
      <c r="D180" s="315"/>
      <c r="E180" s="302"/>
      <c r="F180" s="316"/>
      <c r="G180" s="325"/>
      <c r="H180" s="286"/>
    </row>
    <row r="181" ht="3.75" customHeight="1">
      <c r="A181" s="281"/>
      <c r="B181" s="293"/>
      <c r="C181" s="294"/>
      <c r="D181" s="294"/>
      <c r="E181" s="302"/>
      <c r="F181" s="326"/>
      <c r="G181" s="297"/>
      <c r="H181" s="286"/>
    </row>
    <row r="182" ht="18.75" customHeight="1">
      <c r="A182" s="281"/>
      <c r="B182" s="287"/>
      <c r="C182" s="360" t="str">
        <f>IMAGE("https://i.ibb.co/FzKmMqb/Grunt.png",4,150,150)</f>
        <v/>
      </c>
      <c r="D182" s="361" t="s">
        <v>380</v>
      </c>
      <c r="E182" s="302"/>
      <c r="F182" s="413">
        <v>56.0</v>
      </c>
      <c r="G182" s="322"/>
      <c r="H182" s="286"/>
    </row>
    <row r="183">
      <c r="A183" s="281"/>
      <c r="B183" s="287"/>
      <c r="C183" s="362"/>
      <c r="D183" s="363" t="s">
        <v>376</v>
      </c>
      <c r="E183" s="302"/>
      <c r="F183" s="312"/>
      <c r="G183" s="324"/>
      <c r="H183" s="286"/>
    </row>
    <row r="184" ht="11.25" customHeight="1">
      <c r="A184" s="281"/>
      <c r="B184" s="287"/>
      <c r="C184" s="364"/>
      <c r="D184" s="404"/>
      <c r="E184" s="302"/>
      <c r="F184" s="316"/>
      <c r="G184" s="325"/>
      <c r="H184" s="286"/>
    </row>
    <row r="185" ht="3.75" customHeight="1">
      <c r="A185" s="281"/>
      <c r="B185" s="293"/>
      <c r="C185" s="294"/>
      <c r="D185" s="294"/>
      <c r="E185" s="302"/>
      <c r="F185" s="326"/>
      <c r="G185" s="297"/>
      <c r="H185" s="286"/>
    </row>
    <row r="186" ht="18.75" customHeight="1">
      <c r="A186" s="281"/>
      <c r="B186" s="287"/>
      <c r="C186" s="306" t="str">
        <f>IMAGE("https://i.ibb.co/fXwks6z/Rival.png",4,150,150)</f>
        <v/>
      </c>
      <c r="D186" s="307" t="s">
        <v>311</v>
      </c>
      <c r="E186" s="302"/>
      <c r="F186" s="413">
        <v>56.0</v>
      </c>
      <c r="G186" s="322"/>
      <c r="H186" s="286"/>
    </row>
    <row r="187">
      <c r="A187" s="281"/>
      <c r="B187" s="287"/>
      <c r="C187" s="310"/>
      <c r="D187" s="311" t="s">
        <v>381</v>
      </c>
      <c r="E187" s="302"/>
      <c r="F187" s="312"/>
      <c r="G187" s="324"/>
      <c r="H187" s="286"/>
    </row>
    <row r="188" ht="11.25" customHeight="1">
      <c r="A188" s="281"/>
      <c r="B188" s="287"/>
      <c r="C188" s="314"/>
      <c r="D188" s="315"/>
      <c r="E188" s="302"/>
      <c r="F188" s="316"/>
      <c r="G188" s="325"/>
      <c r="H188" s="286"/>
    </row>
    <row r="189" ht="3.75" customHeight="1">
      <c r="A189" s="281"/>
      <c r="B189" s="293"/>
      <c r="C189" s="318"/>
      <c r="D189" s="294"/>
      <c r="E189" s="302"/>
      <c r="F189" s="326"/>
      <c r="G189" s="297"/>
      <c r="H189" s="286"/>
    </row>
    <row r="190" ht="18.75" customHeight="1">
      <c r="A190" s="281"/>
      <c r="B190" s="287"/>
      <c r="C190" s="415" t="str">
        <f>IMAGE("https://i.ibb.co/4M2rgHN/Archer-Ariana.png",4,150,150)</f>
        <v/>
      </c>
      <c r="D190" s="416" t="s">
        <v>382</v>
      </c>
      <c r="E190" s="302"/>
      <c r="F190" s="413">
        <v>56.0</v>
      </c>
      <c r="G190" s="322"/>
      <c r="H190" s="286"/>
    </row>
    <row r="191">
      <c r="A191" s="281"/>
      <c r="B191" s="287"/>
      <c r="C191" s="310"/>
      <c r="D191" s="417" t="s">
        <v>381</v>
      </c>
      <c r="E191" s="302"/>
      <c r="F191" s="312"/>
      <c r="G191" s="324"/>
      <c r="H191" s="286"/>
    </row>
    <row r="192" ht="11.25" customHeight="1">
      <c r="A192" s="281"/>
      <c r="B192" s="287"/>
      <c r="C192" s="314"/>
      <c r="D192" s="315"/>
      <c r="E192" s="302"/>
      <c r="F192" s="316"/>
      <c r="G192" s="325"/>
      <c r="H192" s="286"/>
    </row>
    <row r="193" ht="3.75" customHeight="1">
      <c r="A193" s="281"/>
      <c r="B193" s="293"/>
      <c r="C193" s="294"/>
      <c r="D193" s="294"/>
      <c r="E193" s="302"/>
      <c r="F193" s="343"/>
      <c r="G193" s="297"/>
      <c r="H193" s="286"/>
    </row>
    <row r="194" ht="18.75" customHeight="1">
      <c r="A194" s="281"/>
      <c r="B194" s="287"/>
      <c r="C194" s="405" t="str">
        <f>IMAGE("https://i.ibb.co/WfLWZS3/Giovanni.png",4,150,150)</f>
        <v/>
      </c>
      <c r="D194" s="406" t="s">
        <v>374</v>
      </c>
      <c r="E194" s="302"/>
      <c r="F194" s="418">
        <v>57.0</v>
      </c>
      <c r="G194" s="309"/>
      <c r="H194" s="286"/>
    </row>
    <row r="195">
      <c r="A195" s="281"/>
      <c r="B195" s="287"/>
      <c r="C195" s="310"/>
      <c r="D195" s="407" t="s">
        <v>381</v>
      </c>
      <c r="E195" s="302"/>
      <c r="F195" s="312"/>
      <c r="G195" s="313"/>
      <c r="H195" s="286"/>
    </row>
    <row r="196" ht="11.25" customHeight="1">
      <c r="A196" s="281"/>
      <c r="B196" s="287"/>
      <c r="C196" s="314"/>
      <c r="D196" s="315"/>
      <c r="E196" s="302"/>
      <c r="F196" s="316"/>
      <c r="G196" s="317"/>
      <c r="H196" s="286"/>
    </row>
    <row r="197" ht="3.75" customHeight="1">
      <c r="A197" s="281"/>
      <c r="B197" s="293"/>
      <c r="C197" s="318"/>
      <c r="D197" s="294"/>
      <c r="E197" s="302"/>
      <c r="F197" s="319"/>
      <c r="G197" s="297"/>
      <c r="H197" s="286"/>
    </row>
    <row r="198">
      <c r="A198" s="281"/>
      <c r="B198" s="293"/>
      <c r="C198" s="419" t="s">
        <v>310</v>
      </c>
      <c r="D198" s="420"/>
      <c r="E198" s="302"/>
      <c r="F198" s="343"/>
      <c r="G198" s="297"/>
      <c r="H198" s="286"/>
    </row>
    <row r="199" ht="18.75" customHeight="1">
      <c r="A199" s="281"/>
      <c r="B199" s="287"/>
      <c r="C199" s="331" t="str">
        <f>IMAGE("https://i.ibb.co/TKBZjnF/Ace-Trainer-M.png",4,150,150)</f>
        <v/>
      </c>
      <c r="D199" s="332" t="s">
        <v>383</v>
      </c>
      <c r="E199" s="302"/>
      <c r="F199" s="421" t="s">
        <v>384</v>
      </c>
      <c r="G199" s="309"/>
      <c r="H199" s="286"/>
    </row>
    <row r="200">
      <c r="A200" s="281"/>
      <c r="B200" s="287"/>
      <c r="C200" s="310"/>
      <c r="D200" s="333" t="s">
        <v>364</v>
      </c>
      <c r="E200" s="302"/>
      <c r="F200" s="312"/>
      <c r="G200" s="313"/>
      <c r="H200" s="286"/>
    </row>
    <row r="201" ht="11.25" customHeight="1">
      <c r="A201" s="281"/>
      <c r="B201" s="287"/>
      <c r="C201" s="314"/>
      <c r="D201" s="315"/>
      <c r="E201" s="302"/>
      <c r="F201" s="316"/>
      <c r="G201" s="317"/>
      <c r="H201" s="286"/>
    </row>
    <row r="202" ht="3.75" customHeight="1">
      <c r="A202" s="281"/>
      <c r="B202" s="293"/>
      <c r="C202" s="294"/>
      <c r="D202" s="294"/>
      <c r="E202" s="302"/>
      <c r="F202" s="319"/>
      <c r="G202" s="297"/>
      <c r="H202" s="286"/>
    </row>
    <row r="203">
      <c r="A203" s="281"/>
      <c r="B203" s="293"/>
      <c r="C203" s="419" t="s">
        <v>310</v>
      </c>
      <c r="D203" s="420"/>
      <c r="E203" s="302"/>
      <c r="F203" s="343"/>
      <c r="G203" s="297"/>
      <c r="H203" s="286"/>
    </row>
    <row r="204" ht="18.75" customHeight="1">
      <c r="A204" s="281"/>
      <c r="B204" s="287"/>
      <c r="C204" s="422" t="str">
        <f>IMAGE("https://i.ibb.co/3ygqV6X/Beauty.png",4,150,150)</f>
        <v/>
      </c>
      <c r="D204" s="423" t="s">
        <v>385</v>
      </c>
      <c r="E204" s="302"/>
      <c r="F204" s="421" t="s">
        <v>384</v>
      </c>
      <c r="G204" s="309"/>
      <c r="H204" s="286"/>
    </row>
    <row r="205">
      <c r="A205" s="281"/>
      <c r="B205" s="287"/>
      <c r="C205" s="310"/>
      <c r="D205" s="424" t="s">
        <v>386</v>
      </c>
      <c r="E205" s="302"/>
      <c r="F205" s="312"/>
      <c r="G205" s="313"/>
      <c r="H205" s="286"/>
    </row>
    <row r="206" ht="11.25" customHeight="1">
      <c r="A206" s="281"/>
      <c r="B206" s="287"/>
      <c r="C206" s="314"/>
      <c r="D206" s="315"/>
      <c r="E206" s="302"/>
      <c r="F206" s="312"/>
      <c r="G206" s="313"/>
      <c r="H206" s="286"/>
    </row>
    <row r="207" ht="3.75" customHeight="1">
      <c r="A207" s="281"/>
      <c r="B207" s="293"/>
      <c r="C207" s="294"/>
      <c r="D207" s="294"/>
      <c r="E207" s="302"/>
      <c r="F207" s="312"/>
      <c r="G207" s="313"/>
      <c r="H207" s="286"/>
    </row>
    <row r="208">
      <c r="A208" s="281"/>
      <c r="B208" s="293"/>
      <c r="C208" s="419" t="s">
        <v>310</v>
      </c>
      <c r="D208" s="420"/>
      <c r="E208" s="302"/>
      <c r="F208" s="312"/>
      <c r="G208" s="313"/>
      <c r="H208" s="286"/>
    </row>
    <row r="209" ht="18.75" customHeight="1">
      <c r="A209" s="281"/>
      <c r="B209" s="287"/>
      <c r="C209" s="422" t="str">
        <f>IMAGE("https://i.ibb.co/3ygqV6X/Beauty.png",4,150,150)</f>
        <v/>
      </c>
      <c r="D209" s="423" t="s">
        <v>387</v>
      </c>
      <c r="E209" s="302"/>
      <c r="F209" s="312"/>
      <c r="G209" s="313"/>
      <c r="H209" s="286"/>
    </row>
    <row r="210">
      <c r="A210" s="281"/>
      <c r="B210" s="287"/>
      <c r="C210" s="310"/>
      <c r="D210" s="424" t="s">
        <v>386</v>
      </c>
      <c r="E210" s="302"/>
      <c r="F210" s="312"/>
      <c r="G210" s="313"/>
      <c r="H210" s="286"/>
    </row>
    <row r="211" ht="11.25" customHeight="1">
      <c r="A211" s="281"/>
      <c r="B211" s="287"/>
      <c r="C211" s="314"/>
      <c r="D211" s="315"/>
      <c r="E211" s="302"/>
      <c r="F211" s="316"/>
      <c r="G211" s="317"/>
      <c r="H211" s="286"/>
    </row>
    <row r="212" ht="3.75" customHeight="1">
      <c r="A212" s="281"/>
      <c r="B212" s="293"/>
      <c r="C212" s="318"/>
      <c r="D212" s="294"/>
      <c r="E212" s="302"/>
      <c r="F212" s="319"/>
      <c r="G212" s="297"/>
      <c r="H212" s="286"/>
    </row>
    <row r="213" ht="18.75" customHeight="1">
      <c r="A213" s="298"/>
      <c r="B213" s="299"/>
      <c r="C213" s="300" t="s">
        <v>310</v>
      </c>
      <c r="D213" s="301"/>
      <c r="E213" s="302"/>
      <c r="F213" s="425"/>
      <c r="G213" s="304"/>
      <c r="H213" s="305"/>
    </row>
    <row r="214" ht="18.75" customHeight="1">
      <c r="A214" s="281"/>
      <c r="B214" s="287"/>
      <c r="C214" s="426" t="str">
        <f>IMAGE("https://i.ibb.co/8rG6Bgc/Chuck.png",4,150,150)</f>
        <v/>
      </c>
      <c r="D214" s="427" t="s">
        <v>388</v>
      </c>
      <c r="E214" s="302"/>
      <c r="F214" s="383" t="s">
        <v>361</v>
      </c>
      <c r="G214" s="309"/>
      <c r="H214" s="286"/>
    </row>
    <row r="215">
      <c r="A215" s="281"/>
      <c r="B215" s="287"/>
      <c r="C215" s="310"/>
      <c r="D215" s="428" t="s">
        <v>389</v>
      </c>
      <c r="E215" s="302"/>
      <c r="F215" s="312"/>
      <c r="G215" s="313"/>
      <c r="H215" s="286"/>
    </row>
    <row r="216" ht="11.25" customHeight="1">
      <c r="A216" s="281"/>
      <c r="B216" s="287"/>
      <c r="C216" s="314"/>
      <c r="D216" s="315"/>
      <c r="E216" s="302"/>
      <c r="F216" s="316"/>
      <c r="G216" s="317"/>
      <c r="H216" s="286"/>
    </row>
    <row r="217" ht="3.75" customHeight="1">
      <c r="A217" s="281"/>
      <c r="B217" s="293"/>
      <c r="C217" s="318"/>
      <c r="D217" s="294"/>
      <c r="E217" s="302"/>
      <c r="F217" s="319"/>
      <c r="G217" s="297"/>
      <c r="H217" s="286"/>
    </row>
    <row r="218" ht="18.75" customHeight="1">
      <c r="A218" s="281"/>
      <c r="B218" s="287"/>
      <c r="C218" s="429" t="str">
        <f>IMAGE("https://i.ibb.co/kx6FHjN/Sabrina.png",4,150,150)</f>
        <v/>
      </c>
      <c r="D218" s="430" t="s">
        <v>390</v>
      </c>
      <c r="E218" s="302"/>
      <c r="F218" s="421">
        <v>59.0</v>
      </c>
      <c r="G218" s="322"/>
      <c r="H218" s="286"/>
    </row>
    <row r="219">
      <c r="A219" s="281"/>
      <c r="B219" s="287"/>
      <c r="C219" s="310"/>
      <c r="D219" s="431" t="s">
        <v>389</v>
      </c>
      <c r="E219" s="302"/>
      <c r="F219" s="312"/>
      <c r="G219" s="324"/>
      <c r="H219" s="286"/>
    </row>
    <row r="220" ht="11.25" customHeight="1">
      <c r="A220" s="281"/>
      <c r="B220" s="287"/>
      <c r="C220" s="314"/>
      <c r="D220" s="315"/>
      <c r="E220" s="302"/>
      <c r="F220" s="316"/>
      <c r="G220" s="325"/>
      <c r="H220" s="286"/>
    </row>
    <row r="221" ht="3.75" customHeight="1">
      <c r="A221" s="281"/>
      <c r="B221" s="293"/>
      <c r="C221" s="318"/>
      <c r="D221" s="294"/>
      <c r="E221" s="302"/>
      <c r="F221" s="326"/>
      <c r="G221" s="297"/>
      <c r="H221" s="286"/>
    </row>
    <row r="222">
      <c r="A222" s="281"/>
      <c r="B222" s="293"/>
      <c r="C222" s="419" t="s">
        <v>310</v>
      </c>
      <c r="D222" s="420"/>
      <c r="E222" s="302"/>
      <c r="F222" s="326"/>
      <c r="G222" s="297"/>
      <c r="H222" s="286"/>
    </row>
    <row r="223" ht="18.75" customHeight="1">
      <c r="A223" s="281"/>
      <c r="B223" s="287"/>
      <c r="C223" s="432" t="str">
        <f>IMAGE("https://i.ibb.co/yWmgksb/Kid.png",4,150,150)</f>
        <v/>
      </c>
      <c r="D223" s="433" t="s">
        <v>391</v>
      </c>
      <c r="E223" s="302"/>
      <c r="F223" s="421" t="s">
        <v>384</v>
      </c>
      <c r="G223" s="322"/>
      <c r="H223" s="286"/>
    </row>
    <row r="224">
      <c r="A224" s="281"/>
      <c r="B224" s="287"/>
      <c r="C224" s="310"/>
      <c r="D224" s="434" t="s">
        <v>389</v>
      </c>
      <c r="E224" s="302"/>
      <c r="F224" s="312"/>
      <c r="G224" s="324"/>
      <c r="H224" s="286"/>
    </row>
    <row r="225" ht="11.25" customHeight="1">
      <c r="A225" s="281"/>
      <c r="B225" s="287"/>
      <c r="C225" s="314"/>
      <c r="D225" s="315"/>
      <c r="E225" s="302"/>
      <c r="F225" s="316"/>
      <c r="G225" s="325"/>
      <c r="H225" s="286"/>
    </row>
    <row r="226" ht="3.75" customHeight="1">
      <c r="A226" s="281"/>
      <c r="B226" s="293"/>
      <c r="C226" s="294"/>
      <c r="D226" s="294"/>
      <c r="E226" s="302"/>
      <c r="F226" s="343"/>
      <c r="G226" s="297"/>
      <c r="H226" s="286"/>
    </row>
    <row r="227" ht="18.75" customHeight="1">
      <c r="A227" s="281"/>
      <c r="B227" s="287"/>
      <c r="C227" s="435" t="str">
        <f>IMAGE("https://i.ibb.co/B6sRjDp/Rocker.png",4,150,150)</f>
        <v/>
      </c>
      <c r="D227" s="436" t="s">
        <v>392</v>
      </c>
      <c r="E227" s="302"/>
      <c r="F227" s="437">
        <v>68.0</v>
      </c>
      <c r="G227" s="309"/>
      <c r="H227" s="286"/>
    </row>
    <row r="228">
      <c r="A228" s="281"/>
      <c r="B228" s="287"/>
      <c r="C228" s="310"/>
      <c r="D228" s="438" t="s">
        <v>393</v>
      </c>
      <c r="E228" s="302"/>
      <c r="F228" s="312"/>
      <c r="G228" s="313"/>
      <c r="H228" s="286"/>
    </row>
    <row r="229" ht="11.25" customHeight="1">
      <c r="A229" s="281"/>
      <c r="B229" s="287"/>
      <c r="C229" s="314"/>
      <c r="D229" s="315"/>
      <c r="E229" s="302"/>
      <c r="F229" s="316"/>
      <c r="G229" s="317"/>
      <c r="H229" s="286"/>
    </row>
    <row r="230" ht="3.75" customHeight="1">
      <c r="A230" s="281"/>
      <c r="B230" s="293"/>
      <c r="C230" s="294"/>
      <c r="D230" s="294"/>
      <c r="E230" s="302"/>
      <c r="F230" s="319"/>
      <c r="G230" s="297"/>
      <c r="H230" s="286"/>
    </row>
    <row r="231" ht="18.75" customHeight="1">
      <c r="A231" s="281"/>
      <c r="B231" s="287"/>
      <c r="C231" s="388" t="str">
        <f>IMAGE("https://i.ibb.co/VxD4KtV/Camper.png",4,150,150)</f>
        <v/>
      </c>
      <c r="D231" s="356" t="s">
        <v>394</v>
      </c>
      <c r="E231" s="302"/>
      <c r="F231" s="437">
        <v>68.0</v>
      </c>
      <c r="G231" s="322"/>
      <c r="H231" s="286"/>
    </row>
    <row r="232">
      <c r="A232" s="281"/>
      <c r="B232" s="287"/>
      <c r="C232" s="310"/>
      <c r="D232" s="358" t="s">
        <v>393</v>
      </c>
      <c r="E232" s="302"/>
      <c r="F232" s="312"/>
      <c r="G232" s="324"/>
      <c r="H232" s="286"/>
    </row>
    <row r="233" ht="11.25" customHeight="1">
      <c r="A233" s="281"/>
      <c r="B233" s="287"/>
      <c r="C233" s="314"/>
      <c r="D233" s="315"/>
      <c r="E233" s="302"/>
      <c r="F233" s="316"/>
      <c r="G233" s="325"/>
      <c r="H233" s="286"/>
    </row>
    <row r="234" ht="3.75" customHeight="1">
      <c r="A234" s="281"/>
      <c r="B234" s="293"/>
      <c r="C234" s="294"/>
      <c r="D234" s="294"/>
      <c r="E234" s="302"/>
      <c r="F234" s="326"/>
      <c r="G234" s="297"/>
      <c r="H234" s="286"/>
    </row>
    <row r="235" ht="18.75" customHeight="1">
      <c r="A235" s="281"/>
      <c r="B235" s="287"/>
      <c r="C235" s="439" t="str">
        <f>IMAGE("https://i.ibb.co/W01JP62/Fisherman.png",4,150,150)</f>
        <v/>
      </c>
      <c r="D235" s="440" t="s">
        <v>395</v>
      </c>
      <c r="E235" s="302"/>
      <c r="F235" s="437">
        <v>68.0</v>
      </c>
      <c r="G235" s="322"/>
      <c r="H235" s="286"/>
    </row>
    <row r="236">
      <c r="A236" s="281"/>
      <c r="B236" s="287"/>
      <c r="C236" s="310"/>
      <c r="D236" s="441" t="s">
        <v>393</v>
      </c>
      <c r="E236" s="302"/>
      <c r="F236" s="312"/>
      <c r="G236" s="324"/>
      <c r="H236" s="286"/>
    </row>
    <row r="237" ht="11.25" customHeight="1">
      <c r="A237" s="281"/>
      <c r="B237" s="287"/>
      <c r="C237" s="314"/>
      <c r="D237" s="315"/>
      <c r="E237" s="302"/>
      <c r="F237" s="316"/>
      <c r="G237" s="325"/>
      <c r="H237" s="286"/>
    </row>
    <row r="238" ht="3.75" customHeight="1">
      <c r="A238" s="281"/>
      <c r="B238" s="293"/>
      <c r="C238" s="294"/>
      <c r="D238" s="294"/>
      <c r="E238" s="302"/>
      <c r="F238" s="326"/>
      <c r="G238" s="297"/>
      <c r="H238" s="286"/>
    </row>
    <row r="239" ht="18.75" customHeight="1">
      <c r="A239" s="281"/>
      <c r="B239" s="287"/>
      <c r="C239" s="442" t="str">
        <f>IMAGE("https://i.ibb.co/Y2xpLjR/Bird-Keeper.png",4,150,150)</f>
        <v/>
      </c>
      <c r="D239" s="443" t="s">
        <v>396</v>
      </c>
      <c r="E239" s="302"/>
      <c r="F239" s="437">
        <v>68.0</v>
      </c>
      <c r="G239" s="322"/>
      <c r="H239" s="286"/>
    </row>
    <row r="240">
      <c r="A240" s="281"/>
      <c r="B240" s="287"/>
      <c r="C240" s="310"/>
      <c r="D240" s="444" t="s">
        <v>397</v>
      </c>
      <c r="E240" s="302"/>
      <c r="F240" s="312"/>
      <c r="G240" s="324"/>
      <c r="H240" s="286"/>
    </row>
    <row r="241" ht="11.25" customHeight="1">
      <c r="A241" s="281"/>
      <c r="B241" s="287"/>
      <c r="C241" s="314"/>
      <c r="D241" s="315"/>
      <c r="E241" s="302"/>
      <c r="F241" s="316"/>
      <c r="G241" s="325"/>
      <c r="H241" s="286"/>
    </row>
    <row r="242" ht="3.75" customHeight="1">
      <c r="A242" s="281"/>
      <c r="B242" s="293"/>
      <c r="C242" s="294"/>
      <c r="D242" s="294"/>
      <c r="E242" s="302"/>
      <c r="F242" s="326"/>
      <c r="G242" s="297"/>
      <c r="H242" s="286"/>
    </row>
    <row r="243" ht="18.75" customHeight="1">
      <c r="A243" s="281"/>
      <c r="B243" s="287"/>
      <c r="C243" s="388" t="str">
        <f>IMAGE("https://i.ibb.co/YhmcnsP/Picnicker.png",4,150,150)</f>
        <v/>
      </c>
      <c r="D243" s="356" t="s">
        <v>398</v>
      </c>
      <c r="E243" s="302"/>
      <c r="F243" s="437">
        <v>68.0</v>
      </c>
      <c r="G243" s="322"/>
      <c r="H243" s="286"/>
    </row>
    <row r="244">
      <c r="A244" s="281"/>
      <c r="B244" s="287"/>
      <c r="C244" s="310"/>
      <c r="D244" s="358" t="s">
        <v>397</v>
      </c>
      <c r="E244" s="302"/>
      <c r="F244" s="312"/>
      <c r="G244" s="324"/>
      <c r="H244" s="286"/>
    </row>
    <row r="245" ht="11.25" customHeight="1">
      <c r="A245" s="281"/>
      <c r="B245" s="287"/>
      <c r="C245" s="314"/>
      <c r="D245" s="315"/>
      <c r="E245" s="302"/>
      <c r="F245" s="316"/>
      <c r="G245" s="325"/>
      <c r="H245" s="286"/>
    </row>
    <row r="246" ht="3.75" customHeight="1">
      <c r="A246" s="281"/>
      <c r="B246" s="293"/>
      <c r="C246" s="294"/>
      <c r="D246" s="294"/>
      <c r="E246" s="302"/>
      <c r="F246" s="326"/>
      <c r="G246" s="297"/>
      <c r="H246" s="286"/>
    </row>
    <row r="247" ht="18.75" customHeight="1">
      <c r="A247" s="281"/>
      <c r="B247" s="287"/>
      <c r="C247" s="388" t="str">
        <f>IMAGE("https://i.ibb.co/YhmcnsP/Picnicker.png",4,150,150)</f>
        <v/>
      </c>
      <c r="D247" s="356" t="s">
        <v>399</v>
      </c>
      <c r="E247" s="302"/>
      <c r="F247" s="437">
        <v>68.0</v>
      </c>
      <c r="G247" s="322"/>
      <c r="H247" s="286"/>
    </row>
    <row r="248">
      <c r="A248" s="281"/>
      <c r="B248" s="287"/>
      <c r="C248" s="310"/>
      <c r="D248" s="358" t="s">
        <v>397</v>
      </c>
      <c r="E248" s="302"/>
      <c r="F248" s="312"/>
      <c r="G248" s="324"/>
      <c r="H248" s="286"/>
    </row>
    <row r="249" ht="11.25" customHeight="1">
      <c r="A249" s="281"/>
      <c r="B249" s="287"/>
      <c r="C249" s="314"/>
      <c r="D249" s="315"/>
      <c r="E249" s="302"/>
      <c r="F249" s="316"/>
      <c r="G249" s="325"/>
      <c r="H249" s="286"/>
    </row>
    <row r="250" ht="3.75" customHeight="1">
      <c r="A250" s="281"/>
      <c r="B250" s="293"/>
      <c r="C250" s="294"/>
      <c r="D250" s="294"/>
      <c r="E250" s="302"/>
      <c r="F250" s="326"/>
      <c r="G250" s="297"/>
      <c r="H250" s="286"/>
    </row>
    <row r="251" ht="18.75" customHeight="1">
      <c r="A251" s="281"/>
      <c r="B251" s="287"/>
      <c r="C251" s="422" t="str">
        <f>IMAGE("https://i.ibb.co/dtcVk3L/Beautys.png",4,150,150)</f>
        <v/>
      </c>
      <c r="D251" s="423" t="s">
        <v>400</v>
      </c>
      <c r="E251" s="302"/>
      <c r="F251" s="437">
        <v>68.0</v>
      </c>
      <c r="G251" s="322"/>
      <c r="H251" s="286"/>
    </row>
    <row r="252">
      <c r="A252" s="281"/>
      <c r="B252" s="287"/>
      <c r="C252" s="310"/>
      <c r="D252" s="424" t="s">
        <v>397</v>
      </c>
      <c r="E252" s="302"/>
      <c r="F252" s="312"/>
      <c r="G252" s="324"/>
      <c r="H252" s="286"/>
    </row>
    <row r="253" ht="11.25" customHeight="1">
      <c r="A253" s="281"/>
      <c r="B253" s="287"/>
      <c r="C253" s="314"/>
      <c r="D253" s="315"/>
      <c r="E253" s="302"/>
      <c r="F253" s="316"/>
      <c r="G253" s="325"/>
      <c r="H253" s="286"/>
    </row>
    <row r="254" ht="3.75" customHeight="1">
      <c r="A254" s="281"/>
      <c r="B254" s="293"/>
      <c r="C254" s="294"/>
      <c r="D254" s="294"/>
      <c r="E254" s="302"/>
      <c r="F254" s="326"/>
      <c r="G254" s="297"/>
      <c r="H254" s="286"/>
    </row>
    <row r="255" ht="18.75" customHeight="1">
      <c r="A255" s="281"/>
      <c r="B255" s="287"/>
      <c r="C255" s="442" t="str">
        <f>IMAGE("https://i.ibb.co/Y2xpLjR/Bird-Keeper.png",4,150,150)</f>
        <v/>
      </c>
      <c r="D255" s="443" t="s">
        <v>401</v>
      </c>
      <c r="E255" s="302"/>
      <c r="F255" s="437">
        <v>68.0</v>
      </c>
      <c r="G255" s="322"/>
      <c r="H255" s="286"/>
    </row>
    <row r="256">
      <c r="A256" s="281"/>
      <c r="B256" s="287"/>
      <c r="C256" s="310"/>
      <c r="D256" s="444" t="s">
        <v>397</v>
      </c>
      <c r="E256" s="302"/>
      <c r="F256" s="312"/>
      <c r="G256" s="324"/>
      <c r="H256" s="286"/>
    </row>
    <row r="257" ht="11.25" customHeight="1">
      <c r="A257" s="281"/>
      <c r="B257" s="287"/>
      <c r="C257" s="314"/>
      <c r="D257" s="315"/>
      <c r="E257" s="302"/>
      <c r="F257" s="316"/>
      <c r="G257" s="325"/>
      <c r="H257" s="286"/>
    </row>
    <row r="258" ht="3.75" customHeight="1">
      <c r="A258" s="281"/>
      <c r="B258" s="293"/>
      <c r="C258" s="294"/>
      <c r="D258" s="294"/>
      <c r="E258" s="302"/>
      <c r="F258" s="326"/>
      <c r="G258" s="297"/>
      <c r="H258" s="286"/>
    </row>
    <row r="259" ht="18.75" customHeight="1">
      <c r="A259" s="281"/>
      <c r="B259" s="287"/>
      <c r="C259" s="445" t="str">
        <f>IMAGE("https://i.ibb.co/mD5zk3m/Biker.png",4,150,150)</f>
        <v/>
      </c>
      <c r="D259" s="446" t="s">
        <v>402</v>
      </c>
      <c r="E259" s="302"/>
      <c r="F259" s="437">
        <v>68.0</v>
      </c>
      <c r="G259" s="322"/>
      <c r="H259" s="286"/>
    </row>
    <row r="260">
      <c r="A260" s="281"/>
      <c r="B260" s="287"/>
      <c r="C260" s="310"/>
      <c r="D260" s="447" t="s">
        <v>397</v>
      </c>
      <c r="E260" s="302"/>
      <c r="F260" s="312"/>
      <c r="G260" s="324"/>
      <c r="H260" s="286"/>
    </row>
    <row r="261" ht="11.25" customHeight="1">
      <c r="A261" s="281"/>
      <c r="B261" s="287"/>
      <c r="C261" s="314"/>
      <c r="D261" s="315"/>
      <c r="E261" s="302"/>
      <c r="F261" s="316"/>
      <c r="G261" s="325"/>
      <c r="H261" s="286"/>
    </row>
    <row r="262" ht="3.75" customHeight="1">
      <c r="A262" s="281"/>
      <c r="B262" s="293"/>
      <c r="C262" s="294"/>
      <c r="D262" s="294"/>
      <c r="E262" s="302"/>
      <c r="F262" s="326"/>
      <c r="G262" s="297"/>
      <c r="H262" s="286"/>
    </row>
    <row r="263" ht="18.75" customHeight="1">
      <c r="A263" s="281"/>
      <c r="B263" s="287"/>
      <c r="C263" s="442" t="str">
        <f>IMAGE("https://i.ibb.co/Y2xpLjR/Bird-Keeper.png",4,150,150)</f>
        <v/>
      </c>
      <c r="D263" s="443" t="s">
        <v>403</v>
      </c>
      <c r="E263" s="302"/>
      <c r="F263" s="437">
        <v>68.0</v>
      </c>
      <c r="G263" s="322"/>
      <c r="H263" s="286"/>
    </row>
    <row r="264">
      <c r="A264" s="281"/>
      <c r="B264" s="287"/>
      <c r="C264" s="310"/>
      <c r="D264" s="444" t="s">
        <v>397</v>
      </c>
      <c r="E264" s="302"/>
      <c r="F264" s="312"/>
      <c r="G264" s="324"/>
      <c r="H264" s="286"/>
    </row>
    <row r="265" ht="11.25" customHeight="1">
      <c r="A265" s="281"/>
      <c r="B265" s="287"/>
      <c r="C265" s="314"/>
      <c r="D265" s="315"/>
      <c r="E265" s="302"/>
      <c r="F265" s="316"/>
      <c r="G265" s="325"/>
      <c r="H265" s="286"/>
    </row>
    <row r="266" ht="3.75" customHeight="1">
      <c r="A266" s="281"/>
      <c r="B266" s="293"/>
      <c r="C266" s="318"/>
      <c r="D266" s="294"/>
      <c r="E266" s="302"/>
      <c r="F266" s="326"/>
      <c r="G266" s="297"/>
      <c r="H266" s="286"/>
    </row>
    <row r="267">
      <c r="A267" s="281"/>
      <c r="B267" s="293"/>
      <c r="C267" s="419" t="s">
        <v>310</v>
      </c>
      <c r="D267" s="420"/>
      <c r="E267" s="302"/>
      <c r="F267" s="326"/>
      <c r="G267" s="297"/>
      <c r="H267" s="286"/>
    </row>
    <row r="268" ht="18.75" customHeight="1">
      <c r="A268" s="281"/>
      <c r="B268" s="287"/>
      <c r="C268" s="331" t="str">
        <f>IMAGE("https://i.ibb.co/26kF6WW/Ace-Trainer-F.png",4,150,150)</f>
        <v/>
      </c>
      <c r="D268" s="332" t="s">
        <v>404</v>
      </c>
      <c r="E268" s="302"/>
      <c r="F268" s="437">
        <v>68.0</v>
      </c>
      <c r="G268" s="322"/>
      <c r="H268" s="286"/>
    </row>
    <row r="269">
      <c r="A269" s="281"/>
      <c r="B269" s="287"/>
      <c r="C269" s="310"/>
      <c r="D269" s="333" t="s">
        <v>405</v>
      </c>
      <c r="E269" s="302"/>
      <c r="F269" s="312"/>
      <c r="G269" s="324"/>
      <c r="H269" s="286"/>
    </row>
    <row r="270" ht="11.25" customHeight="1">
      <c r="A270" s="281"/>
      <c r="B270" s="287"/>
      <c r="C270" s="314"/>
      <c r="D270" s="315"/>
      <c r="E270" s="302"/>
      <c r="F270" s="316"/>
      <c r="G270" s="325"/>
      <c r="H270" s="286"/>
    </row>
    <row r="271" ht="3.75" customHeight="1">
      <c r="A271" s="281"/>
      <c r="B271" s="293"/>
      <c r="C271" s="294"/>
      <c r="D271" s="294"/>
      <c r="E271" s="302"/>
      <c r="F271" s="326"/>
      <c r="G271" s="297"/>
      <c r="H271" s="286"/>
    </row>
    <row r="272" ht="18.75" customHeight="1">
      <c r="A272" s="281"/>
      <c r="B272" s="287"/>
      <c r="C272" s="445" t="str">
        <f>IMAGE("https://i.ibb.co/mD5zk3m/Biker.png",4,150,150)</f>
        <v/>
      </c>
      <c r="D272" s="446" t="s">
        <v>406</v>
      </c>
      <c r="E272" s="302"/>
      <c r="F272" s="437">
        <v>68.0</v>
      </c>
      <c r="G272" s="322"/>
      <c r="H272" s="286"/>
    </row>
    <row r="273">
      <c r="A273" s="281"/>
      <c r="B273" s="287"/>
      <c r="C273" s="310"/>
      <c r="D273" s="447" t="s">
        <v>407</v>
      </c>
      <c r="E273" s="302"/>
      <c r="F273" s="312"/>
      <c r="G273" s="324"/>
      <c r="H273" s="286"/>
    </row>
    <row r="274" ht="11.25" customHeight="1">
      <c r="A274" s="281"/>
      <c r="B274" s="287"/>
      <c r="C274" s="314"/>
      <c r="D274" s="315"/>
      <c r="E274" s="302"/>
      <c r="F274" s="316"/>
      <c r="G274" s="325"/>
      <c r="H274" s="286"/>
    </row>
    <row r="275" ht="3.75" customHeight="1">
      <c r="A275" s="281"/>
      <c r="B275" s="293"/>
      <c r="C275" s="294"/>
      <c r="D275" s="294"/>
      <c r="E275" s="302"/>
      <c r="F275" s="326"/>
      <c r="G275" s="297"/>
      <c r="H275" s="286"/>
    </row>
    <row r="276" ht="18.75" customHeight="1">
      <c r="A276" s="281"/>
      <c r="B276" s="287"/>
      <c r="C276" s="445" t="str">
        <f>IMAGE("https://i.ibb.co/S3Q3SJf/Cue-Ball.png",4,150,150)</f>
        <v/>
      </c>
      <c r="D276" s="446" t="s">
        <v>408</v>
      </c>
      <c r="E276" s="302"/>
      <c r="F276" s="437">
        <v>68.0</v>
      </c>
      <c r="G276" s="322"/>
      <c r="H276" s="286"/>
    </row>
    <row r="277">
      <c r="A277" s="281"/>
      <c r="B277" s="287"/>
      <c r="C277" s="310"/>
      <c r="D277" s="447" t="s">
        <v>407</v>
      </c>
      <c r="E277" s="302"/>
      <c r="F277" s="312"/>
      <c r="G277" s="324"/>
      <c r="H277" s="286"/>
    </row>
    <row r="278" ht="11.25" customHeight="1">
      <c r="A278" s="281"/>
      <c r="B278" s="287"/>
      <c r="C278" s="314"/>
      <c r="D278" s="315"/>
      <c r="E278" s="302"/>
      <c r="F278" s="316"/>
      <c r="G278" s="325"/>
      <c r="H278" s="286"/>
    </row>
    <row r="279" ht="3.75" customHeight="1">
      <c r="A279" s="281"/>
      <c r="B279" s="293"/>
      <c r="C279" s="294"/>
      <c r="D279" s="294"/>
      <c r="E279" s="302"/>
      <c r="F279" s="326"/>
      <c r="G279" s="297"/>
      <c r="H279" s="286"/>
    </row>
    <row r="280" ht="18.75" customHeight="1">
      <c r="A280" s="281"/>
      <c r="B280" s="287"/>
      <c r="C280" s="445" t="str">
        <f>IMAGE("https://i.ibb.co/S3Q3SJf/Cue-Ball.png",4,150,150)</f>
        <v/>
      </c>
      <c r="D280" s="446" t="s">
        <v>409</v>
      </c>
      <c r="E280" s="302"/>
      <c r="F280" s="437">
        <v>68.0</v>
      </c>
      <c r="G280" s="322"/>
      <c r="H280" s="286"/>
    </row>
    <row r="281">
      <c r="A281" s="281"/>
      <c r="B281" s="287"/>
      <c r="C281" s="310"/>
      <c r="D281" s="447" t="s">
        <v>407</v>
      </c>
      <c r="E281" s="302"/>
      <c r="F281" s="312"/>
      <c r="G281" s="324"/>
      <c r="H281" s="286"/>
    </row>
    <row r="282" ht="11.25" customHeight="1">
      <c r="A282" s="281"/>
      <c r="B282" s="287"/>
      <c r="C282" s="314"/>
      <c r="D282" s="315"/>
      <c r="E282" s="302"/>
      <c r="F282" s="316"/>
      <c r="G282" s="325"/>
      <c r="H282" s="286"/>
    </row>
    <row r="283" ht="3.75" customHeight="1">
      <c r="A283" s="281"/>
      <c r="B283" s="293"/>
      <c r="C283" s="294"/>
      <c r="D283" s="294"/>
      <c r="E283" s="302"/>
      <c r="F283" s="326"/>
      <c r="G283" s="297"/>
      <c r="H283" s="286"/>
    </row>
    <row r="284" ht="18.75" customHeight="1">
      <c r="A284" s="281"/>
      <c r="B284" s="287"/>
      <c r="C284" s="445" t="str">
        <f>IMAGE("https://i.ibb.co/mD5zk3m/Biker.png",4,150,150)</f>
        <v/>
      </c>
      <c r="D284" s="446" t="s">
        <v>410</v>
      </c>
      <c r="E284" s="302"/>
      <c r="F284" s="437">
        <v>68.0</v>
      </c>
      <c r="G284" s="322"/>
      <c r="H284" s="286"/>
    </row>
    <row r="285">
      <c r="A285" s="281"/>
      <c r="B285" s="287"/>
      <c r="C285" s="310"/>
      <c r="D285" s="447" t="s">
        <v>407</v>
      </c>
      <c r="E285" s="302"/>
      <c r="F285" s="312"/>
      <c r="G285" s="324"/>
      <c r="H285" s="286"/>
    </row>
    <row r="286" ht="11.25" customHeight="1">
      <c r="A286" s="281"/>
      <c r="B286" s="287"/>
      <c r="C286" s="314"/>
      <c r="D286" s="315"/>
      <c r="E286" s="302"/>
      <c r="F286" s="316"/>
      <c r="G286" s="325"/>
      <c r="H286" s="286"/>
    </row>
    <row r="287" ht="3.75" customHeight="1">
      <c r="A287" s="281"/>
      <c r="B287" s="293"/>
      <c r="C287" s="294"/>
      <c r="D287" s="294"/>
      <c r="E287" s="302"/>
      <c r="F287" s="326"/>
      <c r="G287" s="297"/>
      <c r="H287" s="286"/>
    </row>
    <row r="288" ht="18.75" customHeight="1">
      <c r="A288" s="281"/>
      <c r="B288" s="287"/>
      <c r="C288" s="445" t="str">
        <f>IMAGE("https://i.ibb.co/S3Q3SJf/Cue-Ball.png",4,150,150)</f>
        <v/>
      </c>
      <c r="D288" s="446" t="s">
        <v>411</v>
      </c>
      <c r="E288" s="302"/>
      <c r="F288" s="437">
        <v>68.0</v>
      </c>
      <c r="G288" s="322"/>
      <c r="H288" s="286"/>
    </row>
    <row r="289">
      <c r="A289" s="281"/>
      <c r="B289" s="287"/>
      <c r="C289" s="310"/>
      <c r="D289" s="447" t="s">
        <v>407</v>
      </c>
      <c r="E289" s="302"/>
      <c r="F289" s="312"/>
      <c r="G289" s="324"/>
      <c r="H289" s="286"/>
    </row>
    <row r="290" ht="11.25" customHeight="1">
      <c r="A290" s="281"/>
      <c r="B290" s="287"/>
      <c r="C290" s="314"/>
      <c r="D290" s="315"/>
      <c r="E290" s="302"/>
      <c r="F290" s="316"/>
      <c r="G290" s="325"/>
      <c r="H290" s="286"/>
    </row>
    <row r="291" ht="3.75" customHeight="1">
      <c r="A291" s="281"/>
      <c r="B291" s="293"/>
      <c r="C291" s="294"/>
      <c r="D291" s="294"/>
      <c r="E291" s="302"/>
      <c r="F291" s="326"/>
      <c r="G291" s="297"/>
      <c r="H291" s="286"/>
    </row>
    <row r="292" ht="18.75" customHeight="1">
      <c r="A292" s="281"/>
      <c r="B292" s="287"/>
      <c r="C292" s="445" t="str">
        <f>IMAGE("https://i.ibb.co/mD5zk3m/Biker.png",4,150,150)</f>
        <v/>
      </c>
      <c r="D292" s="446" t="s">
        <v>412</v>
      </c>
      <c r="E292" s="302"/>
      <c r="F292" s="437">
        <v>68.0</v>
      </c>
      <c r="G292" s="322"/>
      <c r="H292" s="286"/>
    </row>
    <row r="293">
      <c r="A293" s="281"/>
      <c r="B293" s="287"/>
      <c r="C293" s="310"/>
      <c r="D293" s="447" t="s">
        <v>407</v>
      </c>
      <c r="E293" s="302"/>
      <c r="F293" s="312"/>
      <c r="G293" s="324"/>
      <c r="H293" s="286"/>
    </row>
    <row r="294" ht="11.25" customHeight="1">
      <c r="A294" s="281"/>
      <c r="B294" s="287"/>
      <c r="C294" s="314"/>
      <c r="D294" s="315"/>
      <c r="E294" s="302"/>
      <c r="F294" s="316"/>
      <c r="G294" s="325"/>
      <c r="H294" s="286"/>
    </row>
    <row r="295" ht="3.75" customHeight="1">
      <c r="A295" s="281"/>
      <c r="B295" s="293"/>
      <c r="C295" s="294"/>
      <c r="D295" s="294"/>
      <c r="E295" s="302"/>
      <c r="F295" s="326"/>
      <c r="G295" s="297"/>
      <c r="H295" s="286"/>
    </row>
    <row r="296" ht="18.75" customHeight="1">
      <c r="A296" s="281"/>
      <c r="B296" s="287"/>
      <c r="C296" s="445" t="str">
        <f>IMAGE("https://i.ibb.co/mD5zk3m/Biker.png",4,150,150)</f>
        <v/>
      </c>
      <c r="D296" s="446" t="s">
        <v>413</v>
      </c>
      <c r="E296" s="302"/>
      <c r="F296" s="437">
        <v>68.0</v>
      </c>
      <c r="G296" s="322"/>
      <c r="H296" s="286"/>
    </row>
    <row r="297">
      <c r="A297" s="281"/>
      <c r="B297" s="287"/>
      <c r="C297" s="310"/>
      <c r="D297" s="447" t="s">
        <v>414</v>
      </c>
      <c r="E297" s="302"/>
      <c r="F297" s="312"/>
      <c r="G297" s="324"/>
      <c r="H297" s="286"/>
    </row>
    <row r="298" ht="11.25" customHeight="1">
      <c r="A298" s="281"/>
      <c r="B298" s="287"/>
      <c r="C298" s="314"/>
      <c r="D298" s="315"/>
      <c r="E298" s="302"/>
      <c r="F298" s="316"/>
      <c r="G298" s="325"/>
      <c r="H298" s="286"/>
    </row>
    <row r="299" ht="3.75" customHeight="1">
      <c r="A299" s="281"/>
      <c r="B299" s="293"/>
      <c r="C299" s="294"/>
      <c r="D299" s="294"/>
      <c r="E299" s="302"/>
      <c r="F299" s="326"/>
      <c r="G299" s="297"/>
      <c r="H299" s="286"/>
    </row>
    <row r="300" ht="18.75" customHeight="1">
      <c r="A300" s="281"/>
      <c r="B300" s="287"/>
      <c r="C300" s="442" t="str">
        <f>IMAGE("https://i.ibb.co/Y2xpLjR/Bird-Keeper.png",4,150,150)</f>
        <v/>
      </c>
      <c r="D300" s="443" t="s">
        <v>415</v>
      </c>
      <c r="E300" s="302"/>
      <c r="F300" s="437">
        <v>68.0</v>
      </c>
      <c r="G300" s="322"/>
      <c r="H300" s="286"/>
    </row>
    <row r="301">
      <c r="A301" s="281"/>
      <c r="B301" s="287"/>
      <c r="C301" s="310"/>
      <c r="D301" s="444" t="s">
        <v>414</v>
      </c>
      <c r="E301" s="302"/>
      <c r="F301" s="312"/>
      <c r="G301" s="324"/>
      <c r="H301" s="286"/>
    </row>
    <row r="302" ht="11.25" customHeight="1">
      <c r="A302" s="281"/>
      <c r="B302" s="287"/>
      <c r="C302" s="314"/>
      <c r="D302" s="315"/>
      <c r="E302" s="302"/>
      <c r="F302" s="316"/>
      <c r="G302" s="325"/>
      <c r="H302" s="286"/>
    </row>
    <row r="303" ht="3.75" customHeight="1">
      <c r="A303" s="281"/>
      <c r="B303" s="293"/>
      <c r="C303" s="294"/>
      <c r="D303" s="294"/>
      <c r="E303" s="302"/>
      <c r="F303" s="326"/>
      <c r="G303" s="297"/>
      <c r="H303" s="286"/>
    </row>
    <row r="304" ht="18.75" customHeight="1">
      <c r="A304" s="298"/>
      <c r="B304" s="299"/>
      <c r="C304" s="300" t="s">
        <v>310</v>
      </c>
      <c r="D304" s="301"/>
      <c r="E304" s="302"/>
      <c r="F304" s="330"/>
      <c r="G304" s="304"/>
      <c r="H304" s="305"/>
    </row>
    <row r="305" ht="18.75" customHeight="1">
      <c r="A305" s="281"/>
      <c r="B305" s="287"/>
      <c r="C305" s="448" t="str">
        <f>IMAGE("https://i.ibb.co/31XckWH/Dragon-Tamer.png",4,150,150)</f>
        <v/>
      </c>
      <c r="D305" s="449" t="s">
        <v>416</v>
      </c>
      <c r="E305" s="302"/>
      <c r="F305" s="437">
        <v>68.0</v>
      </c>
      <c r="G305" s="322"/>
      <c r="H305" s="286"/>
    </row>
    <row r="306">
      <c r="A306" s="281"/>
      <c r="B306" s="287"/>
      <c r="C306" s="310"/>
      <c r="D306" s="450" t="s">
        <v>414</v>
      </c>
      <c r="E306" s="302"/>
      <c r="F306" s="312"/>
      <c r="G306" s="324"/>
      <c r="H306" s="286"/>
    </row>
    <row r="307" ht="11.25" customHeight="1">
      <c r="A307" s="281"/>
      <c r="B307" s="287"/>
      <c r="C307" s="314"/>
      <c r="D307" s="315"/>
      <c r="E307" s="302"/>
      <c r="F307" s="316"/>
      <c r="G307" s="325"/>
      <c r="H307" s="286"/>
    </row>
    <row r="308" ht="3.75" customHeight="1">
      <c r="A308" s="281"/>
      <c r="B308" s="293"/>
      <c r="C308" s="318"/>
      <c r="D308" s="294"/>
      <c r="E308" s="302"/>
      <c r="F308" s="326"/>
      <c r="G308" s="297"/>
      <c r="H308" s="286"/>
    </row>
    <row r="309" ht="18.75" customHeight="1">
      <c r="A309" s="281"/>
      <c r="B309" s="287"/>
      <c r="C309" s="331" t="str">
        <f>IMAGE("https://i.ibb.co/TKBZjnF/Ace-Trainer-M.png",4,150,150)</f>
        <v/>
      </c>
      <c r="D309" s="332" t="s">
        <v>417</v>
      </c>
      <c r="E309" s="302"/>
      <c r="F309" s="437">
        <v>68.0</v>
      </c>
      <c r="G309" s="322"/>
      <c r="H309" s="286"/>
    </row>
    <row r="310">
      <c r="A310" s="281"/>
      <c r="B310" s="287"/>
      <c r="C310" s="310"/>
      <c r="D310" s="333" t="s">
        <v>414</v>
      </c>
      <c r="E310" s="302"/>
      <c r="F310" s="312"/>
      <c r="G310" s="324"/>
      <c r="H310" s="286"/>
    </row>
    <row r="311" ht="11.25" customHeight="1">
      <c r="A311" s="281"/>
      <c r="B311" s="287"/>
      <c r="C311" s="314"/>
      <c r="D311" s="315"/>
      <c r="E311" s="302"/>
      <c r="F311" s="316"/>
      <c r="G311" s="325"/>
      <c r="H311" s="286"/>
    </row>
    <row r="312" ht="3.75" customHeight="1">
      <c r="A312" s="281"/>
      <c r="B312" s="293"/>
      <c r="C312" s="318"/>
      <c r="D312" s="294"/>
      <c r="E312" s="302"/>
      <c r="F312" s="326"/>
      <c r="G312" s="297"/>
      <c r="H312" s="286"/>
    </row>
    <row r="313" ht="18.75" customHeight="1">
      <c r="A313" s="281"/>
      <c r="B313" s="287"/>
      <c r="C313" s="320" t="str">
        <f>IMAGE("https://i.ibb.co/10ZXyNx/Brendan.png",4,150,150)</f>
        <v/>
      </c>
      <c r="D313" s="321" t="s">
        <v>313</v>
      </c>
      <c r="E313" s="302"/>
      <c r="F313" s="437">
        <v>68.0</v>
      </c>
      <c r="G313" s="322"/>
      <c r="H313" s="286"/>
    </row>
    <row r="314">
      <c r="A314" s="281"/>
      <c r="B314" s="287"/>
      <c r="C314" s="310"/>
      <c r="D314" s="323" t="s">
        <v>418</v>
      </c>
      <c r="E314" s="302"/>
      <c r="F314" s="312"/>
      <c r="G314" s="324"/>
      <c r="H314" s="286"/>
    </row>
    <row r="315" ht="11.25" customHeight="1">
      <c r="A315" s="281"/>
      <c r="B315" s="287"/>
      <c r="C315" s="314"/>
      <c r="D315" s="315"/>
      <c r="E315" s="302"/>
      <c r="F315" s="316"/>
      <c r="G315" s="325"/>
      <c r="H315" s="286"/>
    </row>
    <row r="316" ht="3.75" customHeight="1">
      <c r="A316" s="281"/>
      <c r="B316" s="293"/>
      <c r="C316" s="318"/>
      <c r="D316" s="294"/>
      <c r="E316" s="302"/>
      <c r="F316" s="343"/>
      <c r="G316" s="297"/>
      <c r="H316" s="286"/>
    </row>
    <row r="317" ht="18.75" customHeight="1">
      <c r="A317" s="281"/>
      <c r="B317" s="287"/>
      <c r="C317" s="340" t="str">
        <f>IMAGE("https://i.ibb.co/RBhc6sL/Brock.png",4,150,150)</f>
        <v/>
      </c>
      <c r="D317" s="341" t="s">
        <v>419</v>
      </c>
      <c r="E317" s="302"/>
      <c r="F317" s="451" t="s">
        <v>420</v>
      </c>
      <c r="G317" s="309"/>
      <c r="H317" s="286"/>
    </row>
    <row r="318">
      <c r="A318" s="281"/>
      <c r="B318" s="287"/>
      <c r="C318" s="310"/>
      <c r="D318" s="342" t="s">
        <v>320</v>
      </c>
      <c r="E318" s="302"/>
      <c r="F318" s="312"/>
      <c r="G318" s="313"/>
      <c r="H318" s="286"/>
    </row>
    <row r="319" ht="11.25" customHeight="1">
      <c r="A319" s="281"/>
      <c r="B319" s="287"/>
      <c r="C319" s="314"/>
      <c r="D319" s="315"/>
      <c r="E319" s="302"/>
      <c r="F319" s="316"/>
      <c r="G319" s="317"/>
      <c r="H319" s="286"/>
    </row>
    <row r="320" ht="3.75" customHeight="1">
      <c r="A320" s="281"/>
      <c r="B320" s="293"/>
      <c r="C320" s="294"/>
      <c r="D320" s="294"/>
      <c r="E320" s="302"/>
      <c r="F320" s="319"/>
      <c r="G320" s="297"/>
      <c r="H320" s="286"/>
    </row>
    <row r="321" ht="18.75" customHeight="1">
      <c r="A321" s="281"/>
      <c r="B321" s="287"/>
      <c r="C321" s="452" t="str">
        <f>IMAGE("https://i.ibb.co/hZTdVGf/Misty.png",4,150,150)</f>
        <v/>
      </c>
      <c r="D321" s="368" t="s">
        <v>421</v>
      </c>
      <c r="E321" s="302"/>
      <c r="F321" s="451" t="s">
        <v>420</v>
      </c>
      <c r="G321" s="322"/>
      <c r="H321" s="286"/>
    </row>
    <row r="322">
      <c r="A322" s="281"/>
      <c r="B322" s="287"/>
      <c r="C322" s="310"/>
      <c r="D322" s="370" t="s">
        <v>328</v>
      </c>
      <c r="E322" s="302"/>
      <c r="F322" s="312"/>
      <c r="G322" s="324"/>
      <c r="H322" s="286"/>
    </row>
    <row r="323" ht="11.25" customHeight="1">
      <c r="A323" s="281"/>
      <c r="B323" s="287"/>
      <c r="C323" s="314"/>
      <c r="D323" s="315"/>
      <c r="E323" s="302"/>
      <c r="F323" s="316"/>
      <c r="G323" s="325"/>
      <c r="H323" s="286"/>
    </row>
    <row r="324" ht="3.75" customHeight="1">
      <c r="A324" s="281"/>
      <c r="B324" s="293"/>
      <c r="C324" s="294"/>
      <c r="D324" s="294"/>
      <c r="E324" s="302"/>
      <c r="F324" s="326"/>
      <c r="G324" s="297"/>
      <c r="H324" s="286"/>
    </row>
    <row r="325" ht="18.75" customHeight="1">
      <c r="A325" s="281"/>
      <c r="B325" s="287"/>
      <c r="C325" s="385" t="str">
        <f>IMAGE("https://i.ibb.co/w6kjj5K/Surge.png",4,150,150)</f>
        <v/>
      </c>
      <c r="D325" s="386" t="s">
        <v>422</v>
      </c>
      <c r="E325" s="302"/>
      <c r="F325" s="451" t="s">
        <v>420</v>
      </c>
      <c r="G325" s="322"/>
      <c r="H325" s="286"/>
    </row>
    <row r="326">
      <c r="A326" s="281"/>
      <c r="B326" s="287"/>
      <c r="C326" s="310"/>
      <c r="D326" s="387" t="s">
        <v>351</v>
      </c>
      <c r="E326" s="302"/>
      <c r="F326" s="312"/>
      <c r="G326" s="324"/>
      <c r="H326" s="286"/>
    </row>
    <row r="327" ht="11.25" customHeight="1">
      <c r="A327" s="281"/>
      <c r="B327" s="287"/>
      <c r="C327" s="314"/>
      <c r="D327" s="315"/>
      <c r="E327" s="302"/>
      <c r="F327" s="316"/>
      <c r="G327" s="325"/>
      <c r="H327" s="286"/>
    </row>
    <row r="328" ht="3.75" customHeight="1">
      <c r="A328" s="281"/>
      <c r="B328" s="293"/>
      <c r="C328" s="294"/>
      <c r="D328" s="294"/>
      <c r="E328" s="302"/>
      <c r="F328" s="326"/>
      <c r="G328" s="297"/>
      <c r="H328" s="286"/>
    </row>
    <row r="329" ht="18.75" customHeight="1">
      <c r="A329" s="298"/>
      <c r="B329" s="299"/>
      <c r="C329" s="300" t="s">
        <v>310</v>
      </c>
      <c r="D329" s="301"/>
      <c r="E329" s="302"/>
      <c r="F329" s="330"/>
      <c r="G329" s="304"/>
      <c r="H329" s="305"/>
    </row>
    <row r="330" ht="18.75" customHeight="1">
      <c r="A330" s="281"/>
      <c r="B330" s="287"/>
      <c r="C330" s="453" t="str">
        <f>IMAGE("https://i.ibb.co/MPXzmB0/Erika.png",4,150,150)</f>
        <v/>
      </c>
      <c r="D330" s="397" t="s">
        <v>423</v>
      </c>
      <c r="E330" s="302"/>
      <c r="F330" s="437">
        <v>68.0</v>
      </c>
      <c r="G330" s="322"/>
      <c r="H330" s="286"/>
    </row>
    <row r="331">
      <c r="A331" s="281"/>
      <c r="B331" s="287"/>
      <c r="C331" s="310"/>
      <c r="D331" s="400" t="s">
        <v>368</v>
      </c>
      <c r="E331" s="302"/>
      <c r="F331" s="312"/>
      <c r="G331" s="324"/>
      <c r="H331" s="286"/>
    </row>
    <row r="332" ht="11.25" customHeight="1">
      <c r="A332" s="281"/>
      <c r="B332" s="287"/>
      <c r="C332" s="314"/>
      <c r="D332" s="315"/>
      <c r="E332" s="302"/>
      <c r="F332" s="316"/>
      <c r="G332" s="325"/>
      <c r="H332" s="286"/>
    </row>
    <row r="333" ht="3.75" customHeight="1">
      <c r="A333" s="281"/>
      <c r="B333" s="293"/>
      <c r="C333" s="294"/>
      <c r="D333" s="294"/>
      <c r="E333" s="302"/>
      <c r="F333" s="326"/>
      <c r="G333" s="297"/>
      <c r="H333" s="286"/>
    </row>
    <row r="334" ht="18.75" customHeight="1">
      <c r="A334" s="281"/>
      <c r="B334" s="287"/>
      <c r="C334" s="454" t="str">
        <f>IMAGE("https://i.ibb.co/mNzbYNc/Juggle.png",4,150,150)</f>
        <v/>
      </c>
      <c r="D334" s="455" t="s">
        <v>424</v>
      </c>
      <c r="E334" s="302"/>
      <c r="F334" s="437">
        <v>68.0</v>
      </c>
      <c r="G334" s="322"/>
      <c r="H334" s="286"/>
    </row>
    <row r="335">
      <c r="A335" s="281"/>
      <c r="B335" s="287"/>
      <c r="C335" s="310"/>
      <c r="D335" s="456" t="s">
        <v>425</v>
      </c>
      <c r="E335" s="302"/>
      <c r="F335" s="312"/>
      <c r="G335" s="324"/>
      <c r="H335" s="286"/>
    </row>
    <row r="336" ht="11.25" customHeight="1">
      <c r="A336" s="281"/>
      <c r="B336" s="287"/>
      <c r="C336" s="314"/>
      <c r="D336" s="315"/>
      <c r="E336" s="302"/>
      <c r="F336" s="316"/>
      <c r="G336" s="325"/>
      <c r="H336" s="286"/>
    </row>
    <row r="337" ht="3.75" customHeight="1">
      <c r="A337" s="281"/>
      <c r="B337" s="287"/>
      <c r="C337" s="457"/>
      <c r="D337" s="457"/>
      <c r="E337" s="302"/>
      <c r="F337" s="326"/>
      <c r="G337" s="297"/>
      <c r="H337" s="286"/>
    </row>
    <row r="338" ht="18.75" customHeight="1">
      <c r="A338" s="281"/>
      <c r="B338" s="287"/>
      <c r="C338" s="458" t="str">
        <f>IMAGE("https://i.ibb.co/9Z7mxG1/Koga.png",4,150,150)</f>
        <v/>
      </c>
      <c r="D338" s="459" t="s">
        <v>426</v>
      </c>
      <c r="E338" s="302"/>
      <c r="F338" s="437">
        <v>68.0</v>
      </c>
      <c r="G338" s="322"/>
      <c r="H338" s="286"/>
    </row>
    <row r="339">
      <c r="A339" s="281"/>
      <c r="B339" s="287"/>
      <c r="C339" s="310"/>
      <c r="D339" s="460" t="s">
        <v>427</v>
      </c>
      <c r="E339" s="302"/>
      <c r="F339" s="312"/>
      <c r="G339" s="324"/>
      <c r="H339" s="286"/>
    </row>
    <row r="340" ht="11.25" customHeight="1">
      <c r="A340" s="281"/>
      <c r="B340" s="287"/>
      <c r="C340" s="314"/>
      <c r="D340" s="315"/>
      <c r="E340" s="302"/>
      <c r="F340" s="316"/>
      <c r="G340" s="325"/>
      <c r="H340" s="286"/>
    </row>
    <row r="341" ht="3.75" customHeight="1">
      <c r="A341" s="281"/>
      <c r="B341" s="293"/>
      <c r="C341" s="318"/>
      <c r="D341" s="294"/>
      <c r="E341" s="302"/>
      <c r="F341" s="326"/>
      <c r="G341" s="297"/>
      <c r="H341" s="286"/>
    </row>
    <row r="342">
      <c r="A342" s="281"/>
      <c r="B342" s="293"/>
      <c r="C342" s="419" t="s">
        <v>310</v>
      </c>
      <c r="D342" s="420"/>
      <c r="E342" s="302"/>
      <c r="F342" s="343"/>
      <c r="G342" s="297"/>
      <c r="H342" s="286"/>
    </row>
    <row r="343" ht="18.75" customHeight="1">
      <c r="A343" s="281"/>
      <c r="B343" s="287"/>
      <c r="C343" s="461" t="str">
        <f>IMAGE("https://i.ibb.co/9WyvcHC/Jojo-Fan.png",4,150,150)</f>
        <v/>
      </c>
      <c r="D343" s="462" t="s">
        <v>428</v>
      </c>
      <c r="E343" s="302"/>
      <c r="F343" s="463" t="s">
        <v>429</v>
      </c>
      <c r="G343" s="309"/>
      <c r="H343" s="286"/>
    </row>
    <row r="344">
      <c r="A344" s="281"/>
      <c r="B344" s="287"/>
      <c r="C344" s="310"/>
      <c r="D344" s="464" t="s">
        <v>430</v>
      </c>
      <c r="E344" s="302"/>
      <c r="F344" s="312"/>
      <c r="G344" s="313"/>
      <c r="H344" s="286"/>
    </row>
    <row r="345" ht="11.25" customHeight="1">
      <c r="A345" s="281"/>
      <c r="B345" s="287"/>
      <c r="C345" s="314"/>
      <c r="D345" s="315"/>
      <c r="E345" s="302"/>
      <c r="F345" s="316"/>
      <c r="G345" s="317"/>
      <c r="H345" s="286"/>
    </row>
    <row r="346" ht="3.75" customHeight="1">
      <c r="A346" s="281"/>
      <c r="B346" s="293"/>
      <c r="C346" s="318"/>
      <c r="D346" s="294"/>
      <c r="E346" s="302"/>
      <c r="F346" s="319"/>
      <c r="G346" s="297"/>
      <c r="H346" s="286"/>
    </row>
    <row r="347" ht="18.75" customHeight="1">
      <c r="A347" s="298"/>
      <c r="B347" s="299"/>
      <c r="C347" s="300" t="s">
        <v>310</v>
      </c>
      <c r="D347" s="301"/>
      <c r="E347" s="302"/>
      <c r="F347" s="330"/>
      <c r="G347" s="304"/>
      <c r="H347" s="305"/>
    </row>
    <row r="348" ht="18.75" customHeight="1">
      <c r="A348" s="281"/>
      <c r="B348" s="287"/>
      <c r="C348" s="465" t="str">
        <f>IMAGE("https://i.ibb.co/gwfwStJ/Pryce.png",4,150,150)</f>
        <v/>
      </c>
      <c r="D348" s="466" t="s">
        <v>431</v>
      </c>
      <c r="E348" s="302"/>
      <c r="F348" s="463" t="s">
        <v>429</v>
      </c>
      <c r="G348" s="322"/>
      <c r="H348" s="286"/>
    </row>
    <row r="349">
      <c r="A349" s="281"/>
      <c r="B349" s="287"/>
      <c r="C349" s="310"/>
      <c r="D349" s="467" t="s">
        <v>432</v>
      </c>
      <c r="E349" s="302"/>
      <c r="F349" s="312"/>
      <c r="G349" s="324"/>
      <c r="H349" s="286"/>
    </row>
    <row r="350" ht="11.25" customHeight="1">
      <c r="A350" s="281"/>
      <c r="B350" s="287"/>
      <c r="C350" s="314"/>
      <c r="D350" s="315"/>
      <c r="E350" s="302"/>
      <c r="F350" s="316"/>
      <c r="G350" s="325"/>
      <c r="H350" s="286"/>
    </row>
    <row r="351" ht="3.75" customHeight="1">
      <c r="A351" s="281"/>
      <c r="B351" s="293"/>
      <c r="C351" s="318"/>
      <c r="D351" s="294"/>
      <c r="E351" s="302"/>
      <c r="F351" s="326"/>
      <c r="G351" s="297"/>
      <c r="H351" s="286"/>
    </row>
    <row r="352" ht="18.75" customHeight="1">
      <c r="A352" s="281"/>
      <c r="B352" s="287"/>
      <c r="C352" s="468" t="str">
        <f>IMAGE("https://i.ibb.co/5Y4g02T/May.png",4,150,150)</f>
        <v/>
      </c>
      <c r="D352" s="469" t="s">
        <v>433</v>
      </c>
      <c r="E352" s="302"/>
      <c r="F352" s="463">
        <v>73.0</v>
      </c>
      <c r="G352" s="322"/>
      <c r="H352" s="286"/>
    </row>
    <row r="353">
      <c r="A353" s="281"/>
      <c r="B353" s="287"/>
      <c r="C353" s="310"/>
      <c r="D353" s="470" t="s">
        <v>434</v>
      </c>
      <c r="E353" s="302"/>
      <c r="F353" s="312"/>
      <c r="G353" s="324"/>
      <c r="H353" s="286"/>
    </row>
    <row r="354" ht="11.25" customHeight="1">
      <c r="A354" s="281"/>
      <c r="B354" s="287"/>
      <c r="C354" s="314"/>
      <c r="D354" s="315"/>
      <c r="E354" s="302"/>
      <c r="F354" s="316"/>
      <c r="G354" s="325"/>
      <c r="H354" s="286"/>
    </row>
    <row r="355" ht="3.75" customHeight="1">
      <c r="A355" s="281"/>
      <c r="B355" s="293"/>
      <c r="C355" s="294"/>
      <c r="D355" s="294"/>
      <c r="E355" s="302"/>
      <c r="F355" s="326"/>
      <c r="G355" s="297"/>
      <c r="H355" s="286"/>
    </row>
    <row r="356" ht="18.75" customHeight="1">
      <c r="A356" s="298"/>
      <c r="B356" s="299"/>
      <c r="C356" s="300" t="s">
        <v>310</v>
      </c>
      <c r="D356" s="301"/>
      <c r="E356" s="302"/>
      <c r="F356" s="330"/>
      <c r="G356" s="304"/>
      <c r="H356" s="305"/>
    </row>
    <row r="357" ht="18.75" customHeight="1">
      <c r="A357" s="281"/>
      <c r="B357" s="287"/>
      <c r="C357" s="471" t="str">
        <f>IMAGE("https://i.ibb.co/gSJKyHq/Jasmine.png",4,150,150)</f>
        <v/>
      </c>
      <c r="D357" s="472" t="s">
        <v>435</v>
      </c>
      <c r="E357" s="302"/>
      <c r="F357" s="463" t="s">
        <v>429</v>
      </c>
      <c r="G357" s="322"/>
      <c r="H357" s="286"/>
    </row>
    <row r="358">
      <c r="A358" s="281"/>
      <c r="B358" s="287"/>
      <c r="C358" s="310"/>
      <c r="D358" s="473" t="s">
        <v>436</v>
      </c>
      <c r="E358" s="302"/>
      <c r="F358" s="312"/>
      <c r="G358" s="324"/>
      <c r="H358" s="286"/>
    </row>
    <row r="359" ht="11.25" customHeight="1">
      <c r="A359" s="281"/>
      <c r="B359" s="287"/>
      <c r="C359" s="314"/>
      <c r="D359" s="315"/>
      <c r="E359" s="302"/>
      <c r="F359" s="316"/>
      <c r="G359" s="325"/>
      <c r="H359" s="286"/>
    </row>
    <row r="360" ht="3.75" customHeight="1">
      <c r="A360" s="281"/>
      <c r="B360" s="293"/>
      <c r="C360" s="318"/>
      <c r="D360" s="294"/>
      <c r="E360" s="302"/>
      <c r="F360" s="326"/>
      <c r="G360" s="297"/>
      <c r="H360" s="286"/>
    </row>
    <row r="361" ht="18.75" customHeight="1">
      <c r="A361" s="298"/>
      <c r="B361" s="299"/>
      <c r="C361" s="300" t="s">
        <v>310</v>
      </c>
      <c r="D361" s="301"/>
      <c r="E361" s="302"/>
      <c r="F361" s="330"/>
      <c r="G361" s="304"/>
      <c r="H361" s="305"/>
    </row>
    <row r="362" ht="18.75" customHeight="1">
      <c r="A362" s="281"/>
      <c r="B362" s="287"/>
      <c r="C362" s="474" t="str">
        <f>IMAGE("https://i.ibb.co/MfMCCdM/Science.png",4,150,150)</f>
        <v/>
      </c>
      <c r="D362" s="475" t="s">
        <v>437</v>
      </c>
      <c r="E362" s="302"/>
      <c r="F362" s="463" t="s">
        <v>429</v>
      </c>
      <c r="G362" s="322"/>
      <c r="H362" s="286"/>
    </row>
    <row r="363">
      <c r="A363" s="281"/>
      <c r="B363" s="287"/>
      <c r="C363" s="310"/>
      <c r="D363" s="476" t="s">
        <v>438</v>
      </c>
      <c r="E363" s="302"/>
      <c r="F363" s="312"/>
      <c r="G363" s="324"/>
      <c r="H363" s="286"/>
    </row>
    <row r="364" ht="11.25" customHeight="1">
      <c r="A364" s="281"/>
      <c r="B364" s="287"/>
      <c r="C364" s="314"/>
      <c r="D364" s="315"/>
      <c r="E364" s="302"/>
      <c r="F364" s="316"/>
      <c r="G364" s="325"/>
      <c r="H364" s="286"/>
    </row>
    <row r="365" ht="3.75" customHeight="1">
      <c r="A365" s="281"/>
      <c r="B365" s="293"/>
      <c r="C365" s="318"/>
      <c r="D365" s="294"/>
      <c r="E365" s="302"/>
      <c r="F365" s="326"/>
      <c r="G365" s="297"/>
      <c r="H365" s="286"/>
    </row>
    <row r="366" ht="18.75" customHeight="1">
      <c r="A366" s="281"/>
      <c r="B366" s="287"/>
      <c r="C366" s="477" t="str">
        <f>IMAGE("https://i.ibb.co/fDXSjSY/Burglar.png",4,150,150)</f>
        <v/>
      </c>
      <c r="D366" s="478" t="s">
        <v>439</v>
      </c>
      <c r="E366" s="302"/>
      <c r="F366" s="463">
        <v>73.0</v>
      </c>
      <c r="G366" s="322"/>
      <c r="H366" s="286"/>
    </row>
    <row r="367">
      <c r="A367" s="281"/>
      <c r="B367" s="287"/>
      <c r="C367" s="310"/>
      <c r="D367" s="479" t="s">
        <v>438</v>
      </c>
      <c r="E367" s="302"/>
      <c r="F367" s="312"/>
      <c r="G367" s="324"/>
      <c r="H367" s="286"/>
    </row>
    <row r="368" ht="11.25" customHeight="1">
      <c r="A368" s="281"/>
      <c r="B368" s="287"/>
      <c r="C368" s="314"/>
      <c r="D368" s="315"/>
      <c r="E368" s="302"/>
      <c r="F368" s="316"/>
      <c r="G368" s="325"/>
      <c r="H368" s="286"/>
    </row>
    <row r="369" ht="3.75" customHeight="1">
      <c r="A369" s="281"/>
      <c r="B369" s="293"/>
      <c r="C369" s="318"/>
      <c r="D369" s="294"/>
      <c r="E369" s="302"/>
      <c r="F369" s="343"/>
      <c r="G369" s="297"/>
      <c r="H369" s="286"/>
    </row>
    <row r="370" ht="18.75" customHeight="1">
      <c r="A370" s="281"/>
      <c r="B370" s="287"/>
      <c r="C370" s="331" t="str">
        <f>IMAGE("https://i.ibb.co/TKBZjnF/Ace-Trainer-M.png",4,150,150)</f>
        <v/>
      </c>
      <c r="D370" s="332" t="s">
        <v>440</v>
      </c>
      <c r="E370" s="302"/>
      <c r="F370" s="480">
        <v>76.0</v>
      </c>
      <c r="G370" s="309"/>
      <c r="H370" s="286"/>
    </row>
    <row r="371">
      <c r="A371" s="281"/>
      <c r="B371" s="287"/>
      <c r="C371" s="310"/>
      <c r="D371" s="333" t="s">
        <v>441</v>
      </c>
      <c r="E371" s="302"/>
      <c r="F371" s="312"/>
      <c r="G371" s="313"/>
      <c r="H371" s="286"/>
    </row>
    <row r="372" ht="11.25" customHeight="1">
      <c r="A372" s="281"/>
      <c r="B372" s="287"/>
      <c r="C372" s="314"/>
      <c r="D372" s="315"/>
      <c r="E372" s="302"/>
      <c r="F372" s="316"/>
      <c r="G372" s="317"/>
      <c r="H372" s="286"/>
    </row>
    <row r="373" ht="3.75" customHeight="1">
      <c r="A373" s="281"/>
      <c r="B373" s="293"/>
      <c r="C373" s="318"/>
      <c r="D373" s="294"/>
      <c r="E373" s="302"/>
      <c r="F373" s="319"/>
      <c r="G373" s="297"/>
      <c r="H373" s="286"/>
    </row>
    <row r="374" ht="18.75" customHeight="1">
      <c r="A374" s="281"/>
      <c r="B374" s="287"/>
      <c r="C374" s="331" t="str">
        <f>IMAGE("https://i.ibb.co/26kF6WW/Ace-Trainer-F.png",4,150,150)</f>
        <v/>
      </c>
      <c r="D374" s="332" t="s">
        <v>442</v>
      </c>
      <c r="E374" s="302"/>
      <c r="F374" s="480">
        <v>76.0</v>
      </c>
      <c r="G374" s="322"/>
      <c r="H374" s="286"/>
    </row>
    <row r="375">
      <c r="A375" s="281"/>
      <c r="B375" s="287"/>
      <c r="C375" s="310"/>
      <c r="D375" s="333" t="s">
        <v>441</v>
      </c>
      <c r="E375" s="302"/>
      <c r="F375" s="312"/>
      <c r="G375" s="324"/>
      <c r="H375" s="286"/>
    </row>
    <row r="376" ht="11.25" customHeight="1">
      <c r="A376" s="281"/>
      <c r="B376" s="287"/>
      <c r="C376" s="314"/>
      <c r="D376" s="315"/>
      <c r="E376" s="302"/>
      <c r="F376" s="316"/>
      <c r="G376" s="325"/>
      <c r="H376" s="286"/>
    </row>
    <row r="377" ht="3.75" customHeight="1">
      <c r="A377" s="281"/>
      <c r="B377" s="293"/>
      <c r="C377" s="318"/>
      <c r="D377" s="294"/>
      <c r="E377" s="302"/>
      <c r="F377" s="326"/>
      <c r="G377" s="297"/>
      <c r="H377" s="286"/>
    </row>
    <row r="378" ht="18.75" customHeight="1">
      <c r="A378" s="281"/>
      <c r="B378" s="287"/>
      <c r="C378" s="331" t="str">
        <f>IMAGE("https://i.ibb.co/TKBZjnF/Ace-Trainer-M.png",4,150,150)</f>
        <v/>
      </c>
      <c r="D378" s="332" t="s">
        <v>443</v>
      </c>
      <c r="E378" s="302"/>
      <c r="F378" s="480">
        <v>76.0</v>
      </c>
      <c r="G378" s="322"/>
      <c r="H378" s="286"/>
    </row>
    <row r="379">
      <c r="A379" s="281"/>
      <c r="B379" s="287"/>
      <c r="C379" s="310"/>
      <c r="D379" s="333" t="s">
        <v>441</v>
      </c>
      <c r="E379" s="302"/>
      <c r="F379" s="312"/>
      <c r="G379" s="324"/>
      <c r="H379" s="286"/>
    </row>
    <row r="380" ht="11.25" customHeight="1">
      <c r="A380" s="281"/>
      <c r="B380" s="287"/>
      <c r="C380" s="314"/>
      <c r="D380" s="315"/>
      <c r="E380" s="302"/>
      <c r="F380" s="316"/>
      <c r="G380" s="325"/>
      <c r="H380" s="286"/>
    </row>
    <row r="381" ht="3.75" customHeight="1">
      <c r="A381" s="281"/>
      <c r="B381" s="293"/>
      <c r="C381" s="294"/>
      <c r="D381" s="294"/>
      <c r="E381" s="302"/>
      <c r="F381" s="326"/>
      <c r="G381" s="297"/>
      <c r="H381" s="286"/>
    </row>
    <row r="382" ht="18.75" customHeight="1">
      <c r="A382" s="281"/>
      <c r="B382" s="287"/>
      <c r="C382" s="481" t="str">
        <f>IMAGE("https://i.ibb.co/zQPJrBn/Blaine.png",4,150,150)</f>
        <v/>
      </c>
      <c r="D382" s="482" t="s">
        <v>444</v>
      </c>
      <c r="E382" s="302"/>
      <c r="F382" s="480">
        <v>76.0</v>
      </c>
      <c r="G382" s="322"/>
      <c r="H382" s="286"/>
    </row>
    <row r="383">
      <c r="A383" s="281"/>
      <c r="B383" s="287"/>
      <c r="C383" s="310"/>
      <c r="D383" s="483" t="s">
        <v>434</v>
      </c>
      <c r="E383" s="302"/>
      <c r="F383" s="312"/>
      <c r="G383" s="324"/>
      <c r="H383" s="286"/>
    </row>
    <row r="384" ht="11.25" customHeight="1">
      <c r="A384" s="281"/>
      <c r="B384" s="287"/>
      <c r="C384" s="314"/>
      <c r="D384" s="315"/>
      <c r="E384" s="302"/>
      <c r="F384" s="316"/>
      <c r="G384" s="325"/>
      <c r="H384" s="286"/>
    </row>
    <row r="385" ht="3.75" customHeight="1">
      <c r="A385" s="281"/>
      <c r="B385" s="293"/>
      <c r="C385" s="294"/>
      <c r="D385" s="294"/>
      <c r="E385" s="302"/>
      <c r="F385" s="343"/>
      <c r="G385" s="297"/>
      <c r="H385" s="286"/>
    </row>
    <row r="386" ht="18.75" customHeight="1">
      <c r="A386" s="281"/>
      <c r="B386" s="287"/>
      <c r="C386" s="360" t="str">
        <f>IMAGE("https://i.ibb.co/FzKmMqb/Grunt.png",4,150,150)</f>
        <v/>
      </c>
      <c r="D386" s="361" t="s">
        <v>378</v>
      </c>
      <c r="E386" s="302"/>
      <c r="F386" s="484">
        <v>79.0</v>
      </c>
      <c r="G386" s="309"/>
      <c r="H386" s="286"/>
    </row>
    <row r="387">
      <c r="A387" s="281"/>
      <c r="B387" s="287"/>
      <c r="C387" s="362"/>
      <c r="D387" s="363" t="s">
        <v>445</v>
      </c>
      <c r="E387" s="302"/>
      <c r="F387" s="312"/>
      <c r="G387" s="313"/>
      <c r="H387" s="286"/>
    </row>
    <row r="388" ht="11.25" customHeight="1">
      <c r="A388" s="281"/>
      <c r="B388" s="287"/>
      <c r="C388" s="364"/>
      <c r="D388" s="315"/>
      <c r="E388" s="302"/>
      <c r="F388" s="316"/>
      <c r="G388" s="317"/>
      <c r="H388" s="286"/>
    </row>
    <row r="389" ht="3.75" customHeight="1">
      <c r="A389" s="281"/>
      <c r="B389" s="293"/>
      <c r="C389" s="294"/>
      <c r="D389" s="294"/>
      <c r="E389" s="302"/>
      <c r="F389" s="319"/>
      <c r="G389" s="297"/>
      <c r="H389" s="286"/>
    </row>
    <row r="390" ht="18.75" customHeight="1">
      <c r="A390" s="281"/>
      <c r="B390" s="287"/>
      <c r="C390" s="360" t="str">
        <f>IMAGE("https://i.ibb.co/FzKmMqb/Grunt.png",4,150,150)</f>
        <v/>
      </c>
      <c r="D390" s="361" t="s">
        <v>379</v>
      </c>
      <c r="E390" s="302"/>
      <c r="F390" s="484">
        <v>79.0</v>
      </c>
      <c r="G390" s="322"/>
      <c r="H390" s="286"/>
    </row>
    <row r="391">
      <c r="A391" s="281"/>
      <c r="B391" s="287"/>
      <c r="C391" s="362"/>
      <c r="D391" s="363" t="s">
        <v>445</v>
      </c>
      <c r="E391" s="302"/>
      <c r="F391" s="312"/>
      <c r="G391" s="324"/>
      <c r="H391" s="286"/>
    </row>
    <row r="392" ht="11.25" customHeight="1">
      <c r="A392" s="281"/>
      <c r="B392" s="287"/>
      <c r="C392" s="364"/>
      <c r="D392" s="404"/>
      <c r="E392" s="302"/>
      <c r="F392" s="316"/>
      <c r="G392" s="325"/>
      <c r="H392" s="286"/>
    </row>
    <row r="393" ht="3.75" customHeight="1">
      <c r="A393" s="281"/>
      <c r="B393" s="293"/>
      <c r="C393" s="294"/>
      <c r="D393" s="294"/>
      <c r="E393" s="302"/>
      <c r="F393" s="343"/>
      <c r="G393" s="297"/>
      <c r="H393" s="286"/>
    </row>
    <row r="394" ht="18.75" customHeight="1">
      <c r="A394" s="281"/>
      <c r="B394" s="287"/>
      <c r="C394" s="348" t="str">
        <f>IMAGE("https://i.ibb.co/xhnkr2Z/Archer.png",4,150,150)</f>
        <v/>
      </c>
      <c r="D394" s="349" t="s">
        <v>326</v>
      </c>
      <c r="E394" s="302"/>
      <c r="F394" s="484">
        <v>79.0</v>
      </c>
      <c r="G394" s="309"/>
      <c r="H394" s="286"/>
    </row>
    <row r="395">
      <c r="A395" s="281"/>
      <c r="B395" s="287"/>
      <c r="C395" s="310"/>
      <c r="D395" s="350" t="s">
        <v>445</v>
      </c>
      <c r="E395" s="302"/>
      <c r="F395" s="312"/>
      <c r="G395" s="313"/>
      <c r="H395" s="286"/>
    </row>
    <row r="396" ht="11.25" customHeight="1">
      <c r="A396" s="281"/>
      <c r="B396" s="287"/>
      <c r="C396" s="314"/>
      <c r="D396" s="315"/>
      <c r="E396" s="302"/>
      <c r="F396" s="312"/>
      <c r="G396" s="313"/>
      <c r="H396" s="286"/>
    </row>
    <row r="397" ht="3.75" customHeight="1">
      <c r="A397" s="281"/>
      <c r="B397" s="293"/>
      <c r="C397" s="318"/>
      <c r="D397" s="294"/>
      <c r="E397" s="302"/>
      <c r="F397" s="312"/>
      <c r="G397" s="313"/>
      <c r="H397" s="286"/>
    </row>
    <row r="398" ht="18.75" customHeight="1">
      <c r="A398" s="281"/>
      <c r="B398" s="287"/>
      <c r="C398" s="485" t="str">
        <f>IMAGE("https://i.ibb.co/C1sDSFR/Ariana.png",4,150,150)</f>
        <v/>
      </c>
      <c r="D398" s="486" t="s">
        <v>446</v>
      </c>
      <c r="E398" s="302"/>
      <c r="F398" s="312"/>
      <c r="G398" s="313"/>
      <c r="H398" s="286"/>
    </row>
    <row r="399">
      <c r="A399" s="281"/>
      <c r="B399" s="287"/>
      <c r="C399" s="310"/>
      <c r="D399" s="487" t="s">
        <v>445</v>
      </c>
      <c r="E399" s="302"/>
      <c r="F399" s="312"/>
      <c r="G399" s="313"/>
      <c r="H399" s="286"/>
    </row>
    <row r="400" ht="11.25" customHeight="1">
      <c r="A400" s="281"/>
      <c r="B400" s="287"/>
      <c r="C400" s="314"/>
      <c r="D400" s="315"/>
      <c r="E400" s="302"/>
      <c r="F400" s="316"/>
      <c r="G400" s="317"/>
      <c r="H400" s="286"/>
    </row>
    <row r="401" ht="3.75" customHeight="1">
      <c r="A401" s="281"/>
      <c r="B401" s="293"/>
      <c r="C401" s="294"/>
      <c r="D401" s="294"/>
      <c r="E401" s="302"/>
      <c r="F401" s="402"/>
      <c r="G401" s="297"/>
      <c r="H401" s="286"/>
    </row>
    <row r="402" ht="18.75" customHeight="1">
      <c r="A402" s="281"/>
      <c r="B402" s="287"/>
      <c r="C402" s="405" t="str">
        <f>IMAGE("https://i.ibb.co/WfLWZS3/Giovanni.png",4,150,150)</f>
        <v/>
      </c>
      <c r="D402" s="406" t="s">
        <v>374</v>
      </c>
      <c r="E402" s="302"/>
      <c r="F402" s="488">
        <v>80.0</v>
      </c>
      <c r="G402" s="309"/>
      <c r="H402" s="286"/>
    </row>
    <row r="403">
      <c r="A403" s="281"/>
      <c r="B403" s="287"/>
      <c r="C403" s="310"/>
      <c r="D403" s="407" t="s">
        <v>445</v>
      </c>
      <c r="E403" s="302"/>
      <c r="F403" s="312"/>
      <c r="G403" s="313"/>
      <c r="H403" s="286"/>
    </row>
    <row r="404" ht="11.25" customHeight="1">
      <c r="A404" s="281"/>
      <c r="B404" s="287"/>
      <c r="C404" s="314"/>
      <c r="D404" s="315"/>
      <c r="E404" s="302"/>
      <c r="F404" s="316"/>
      <c r="G404" s="317"/>
      <c r="H404" s="286"/>
    </row>
    <row r="405" ht="3.75" customHeight="1">
      <c r="A405" s="281"/>
      <c r="B405" s="293"/>
      <c r="C405" s="318"/>
      <c r="D405" s="294"/>
      <c r="E405" s="302"/>
      <c r="F405" s="319"/>
      <c r="G405" s="297"/>
      <c r="H405" s="286"/>
    </row>
    <row r="406">
      <c r="A406" s="281"/>
      <c r="B406" s="293"/>
      <c r="C406" s="419" t="s">
        <v>310</v>
      </c>
      <c r="D406" s="420"/>
      <c r="E406" s="302"/>
      <c r="F406" s="343"/>
      <c r="G406" s="297"/>
      <c r="H406" s="286"/>
    </row>
    <row r="407" ht="18.75" customHeight="1">
      <c r="A407" s="281"/>
      <c r="B407" s="287"/>
      <c r="C407" s="489" t="str">
        <f>IMAGE("https://i.ibb.co/kG5s536/Ketchup.png",4,150,150)</f>
        <v/>
      </c>
      <c r="D407" s="490" t="s">
        <v>447</v>
      </c>
      <c r="E407" s="302"/>
      <c r="F407" s="491" t="s">
        <v>448</v>
      </c>
      <c r="G407" s="309"/>
      <c r="H407" s="286"/>
    </row>
    <row r="408">
      <c r="A408" s="281"/>
      <c r="B408" s="287"/>
      <c r="C408" s="310"/>
      <c r="D408" s="492" t="s">
        <v>445</v>
      </c>
      <c r="E408" s="302"/>
      <c r="F408" s="312"/>
      <c r="G408" s="313"/>
      <c r="H408" s="286"/>
    </row>
    <row r="409" ht="11.25" customHeight="1">
      <c r="A409" s="281"/>
      <c r="B409" s="287"/>
      <c r="C409" s="314"/>
      <c r="D409" s="315"/>
      <c r="E409" s="302"/>
      <c r="F409" s="316"/>
      <c r="G409" s="317"/>
      <c r="H409" s="286"/>
    </row>
    <row r="410" ht="3.75" customHeight="1">
      <c r="A410" s="281"/>
      <c r="B410" s="293"/>
      <c r="C410" s="294"/>
      <c r="D410" s="294"/>
      <c r="E410" s="302"/>
      <c r="F410" s="319"/>
      <c r="G410" s="297"/>
      <c r="H410" s="286"/>
    </row>
    <row r="411" ht="18.75" customHeight="1">
      <c r="A411" s="281"/>
      <c r="B411" s="287"/>
      <c r="C411" s="493" t="str">
        <f>IMAGE("https://i.ibb.co/yFkD5QH/Clair.png",4,150,150)</f>
        <v/>
      </c>
      <c r="D411" s="494" t="s">
        <v>449</v>
      </c>
      <c r="E411" s="302"/>
      <c r="F411" s="491">
        <v>81.0</v>
      </c>
      <c r="G411" s="322"/>
      <c r="H411" s="286"/>
    </row>
    <row r="412">
      <c r="A412" s="281"/>
      <c r="B412" s="287"/>
      <c r="C412" s="310"/>
      <c r="D412" s="495" t="s">
        <v>450</v>
      </c>
      <c r="E412" s="302"/>
      <c r="F412" s="312"/>
      <c r="G412" s="324"/>
      <c r="H412" s="286"/>
    </row>
    <row r="413" ht="11.25" customHeight="1">
      <c r="A413" s="281"/>
      <c r="B413" s="287"/>
      <c r="C413" s="314"/>
      <c r="D413" s="315"/>
      <c r="E413" s="302"/>
      <c r="F413" s="316"/>
      <c r="G413" s="325"/>
      <c r="H413" s="286"/>
    </row>
    <row r="414" ht="3.75" customHeight="1">
      <c r="A414" s="281"/>
      <c r="B414" s="293"/>
      <c r="C414" s="318"/>
      <c r="D414" s="294"/>
      <c r="E414" s="302"/>
      <c r="F414" s="326"/>
      <c r="G414" s="297"/>
      <c r="H414" s="286"/>
    </row>
    <row r="415">
      <c r="A415" s="281"/>
      <c r="B415" s="293"/>
      <c r="C415" s="419" t="s">
        <v>310</v>
      </c>
      <c r="D415" s="420"/>
      <c r="E415" s="302"/>
      <c r="F415" s="343"/>
      <c r="G415" s="297"/>
      <c r="H415" s="286"/>
    </row>
    <row r="416" ht="18.75" customHeight="1">
      <c r="A416" s="281"/>
      <c r="B416" s="287"/>
      <c r="C416" s="477" t="str">
        <f>IMAGE("https://i.ibb.co/fDXSjSY/Burglar.png",4,150,150)</f>
        <v/>
      </c>
      <c r="D416" s="478" t="s">
        <v>451</v>
      </c>
      <c r="E416" s="302"/>
      <c r="F416" s="496" t="s">
        <v>452</v>
      </c>
      <c r="G416" s="309"/>
      <c r="H416" s="286"/>
    </row>
    <row r="417">
      <c r="A417" s="281"/>
      <c r="B417" s="287"/>
      <c r="C417" s="310"/>
      <c r="D417" s="479" t="s">
        <v>453</v>
      </c>
      <c r="E417" s="302"/>
      <c r="F417" s="312"/>
      <c r="G417" s="313"/>
      <c r="H417" s="286"/>
    </row>
    <row r="418" ht="11.25" customHeight="1">
      <c r="A418" s="281"/>
      <c r="B418" s="287"/>
      <c r="C418" s="314"/>
      <c r="D418" s="315"/>
      <c r="E418" s="302"/>
      <c r="F418" s="316"/>
      <c r="G418" s="317"/>
      <c r="H418" s="286"/>
    </row>
    <row r="419" ht="3.75" customHeight="1">
      <c r="A419" s="281"/>
      <c r="B419" s="293"/>
      <c r="C419" s="318"/>
      <c r="D419" s="294"/>
      <c r="E419" s="302"/>
      <c r="F419" s="319"/>
      <c r="G419" s="297"/>
      <c r="H419" s="286"/>
    </row>
    <row r="420">
      <c r="A420" s="281"/>
      <c r="B420" s="293"/>
      <c r="C420" s="419" t="s">
        <v>310</v>
      </c>
      <c r="D420" s="420"/>
      <c r="E420" s="302"/>
      <c r="F420" s="326"/>
      <c r="G420" s="297"/>
      <c r="H420" s="286"/>
    </row>
    <row r="421" ht="18.75" customHeight="1">
      <c r="A421" s="281"/>
      <c r="B421" s="287"/>
      <c r="C421" s="477" t="str">
        <f>IMAGE("https://i.ibb.co/fDXSjSY/Burglar.png",4,150,150)</f>
        <v/>
      </c>
      <c r="D421" s="478" t="s">
        <v>454</v>
      </c>
      <c r="E421" s="302"/>
      <c r="F421" s="496" t="s">
        <v>452</v>
      </c>
      <c r="G421" s="322"/>
      <c r="H421" s="286"/>
    </row>
    <row r="422">
      <c r="A422" s="281"/>
      <c r="B422" s="287"/>
      <c r="C422" s="310"/>
      <c r="D422" s="479" t="s">
        <v>453</v>
      </c>
      <c r="E422" s="302"/>
      <c r="F422" s="312"/>
      <c r="G422" s="324"/>
      <c r="H422" s="286"/>
    </row>
    <row r="423" ht="11.25" customHeight="1">
      <c r="A423" s="281"/>
      <c r="B423" s="287"/>
      <c r="C423" s="314"/>
      <c r="D423" s="315"/>
      <c r="E423" s="302"/>
      <c r="F423" s="316"/>
      <c r="G423" s="325"/>
      <c r="H423" s="286"/>
    </row>
    <row r="424" ht="3.75" customHeight="1">
      <c r="A424" s="281"/>
      <c r="B424" s="293"/>
      <c r="C424" s="318"/>
      <c r="D424" s="294"/>
      <c r="E424" s="302"/>
      <c r="F424" s="326"/>
      <c r="G424" s="297"/>
      <c r="H424" s="286"/>
    </row>
    <row r="425" ht="18.75" customHeight="1">
      <c r="A425" s="281"/>
      <c r="B425" s="287"/>
      <c r="C425" s="306" t="str">
        <f>IMAGE("https://i.ibb.co/fXwks6z/Rival.png",4,150,150)</f>
        <v/>
      </c>
      <c r="D425" s="307" t="s">
        <v>311</v>
      </c>
      <c r="E425" s="302"/>
      <c r="F425" s="496">
        <v>82.0</v>
      </c>
      <c r="G425" s="322"/>
      <c r="H425" s="286"/>
    </row>
    <row r="426">
      <c r="A426" s="281"/>
      <c r="B426" s="287"/>
      <c r="C426" s="310"/>
      <c r="D426" s="311" t="s">
        <v>312</v>
      </c>
      <c r="E426" s="302"/>
      <c r="F426" s="312"/>
      <c r="G426" s="324"/>
      <c r="H426" s="286"/>
    </row>
    <row r="427" ht="11.25" customHeight="1">
      <c r="A427" s="281"/>
      <c r="B427" s="287"/>
      <c r="C427" s="314"/>
      <c r="D427" s="315"/>
      <c r="E427" s="302"/>
      <c r="F427" s="316"/>
      <c r="G427" s="325"/>
      <c r="H427" s="286"/>
    </row>
    <row r="428" ht="3.75" customHeight="1">
      <c r="A428" s="281"/>
      <c r="B428" s="293"/>
      <c r="C428" s="318"/>
      <c r="D428" s="294"/>
      <c r="E428" s="302"/>
      <c r="F428" s="326"/>
      <c r="G428" s="297"/>
      <c r="H428" s="286"/>
    </row>
    <row r="429" ht="18.75" customHeight="1">
      <c r="A429" s="281"/>
      <c r="B429" s="287"/>
      <c r="C429" s="320" t="str">
        <f>IMAGE("https://i.ibb.co/10ZXyNx/Brendan.png",4,150,150)</f>
        <v/>
      </c>
      <c r="D429" s="321" t="s">
        <v>313</v>
      </c>
      <c r="E429" s="302"/>
      <c r="F429" s="496">
        <v>82.0</v>
      </c>
      <c r="G429" s="322"/>
      <c r="H429" s="286"/>
    </row>
    <row r="430">
      <c r="A430" s="281"/>
      <c r="B430" s="287"/>
      <c r="C430" s="310"/>
      <c r="D430" s="323" t="s">
        <v>455</v>
      </c>
      <c r="E430" s="302"/>
      <c r="F430" s="312"/>
      <c r="G430" s="324"/>
      <c r="H430" s="286"/>
    </row>
    <row r="431" ht="11.25" customHeight="1">
      <c r="A431" s="281"/>
      <c r="B431" s="287"/>
      <c r="C431" s="314"/>
      <c r="D431" s="315"/>
      <c r="E431" s="302"/>
      <c r="F431" s="316"/>
      <c r="G431" s="325"/>
      <c r="H431" s="286"/>
    </row>
    <row r="432" ht="3.75" customHeight="1">
      <c r="A432" s="281"/>
      <c r="B432" s="293"/>
      <c r="C432" s="318"/>
      <c r="D432" s="294"/>
      <c r="E432" s="302"/>
      <c r="F432" s="343"/>
      <c r="G432" s="297"/>
      <c r="H432" s="286"/>
    </row>
    <row r="433" ht="18.75" customHeight="1">
      <c r="A433" s="281"/>
      <c r="B433" s="287"/>
      <c r="C433" s="331" t="str">
        <f>IMAGE("https://i.ibb.co/26kF6WW/Ace-Trainer-F.png",4,150,150)</f>
        <v/>
      </c>
      <c r="D433" s="332" t="s">
        <v>456</v>
      </c>
      <c r="E433" s="302"/>
      <c r="F433" s="497">
        <v>85.0</v>
      </c>
      <c r="G433" s="309"/>
      <c r="H433" s="286"/>
    </row>
    <row r="434">
      <c r="A434" s="281"/>
      <c r="B434" s="287"/>
      <c r="C434" s="310"/>
      <c r="D434" s="333" t="s">
        <v>457</v>
      </c>
      <c r="E434" s="302"/>
      <c r="F434" s="312"/>
      <c r="G434" s="313"/>
      <c r="H434" s="286"/>
    </row>
    <row r="435" ht="11.25" customHeight="1">
      <c r="A435" s="281"/>
      <c r="B435" s="287"/>
      <c r="C435" s="314"/>
      <c r="D435" s="315"/>
      <c r="E435" s="302"/>
      <c r="F435" s="316"/>
      <c r="G435" s="317"/>
      <c r="H435" s="286"/>
    </row>
    <row r="436" ht="3.75" customHeight="1">
      <c r="A436" s="281"/>
      <c r="B436" s="293"/>
      <c r="C436" s="318"/>
      <c r="D436" s="294"/>
      <c r="E436" s="302"/>
      <c r="F436" s="319"/>
      <c r="G436" s="297"/>
      <c r="H436" s="286"/>
    </row>
    <row r="437" ht="18.75" customHeight="1">
      <c r="A437" s="281"/>
      <c r="B437" s="287"/>
      <c r="C437" s="331" t="str">
        <f>IMAGE("https://i.ibb.co/TKBZjnF/Ace-Trainer-M.png",4,150,150)</f>
        <v/>
      </c>
      <c r="D437" s="332" t="s">
        <v>458</v>
      </c>
      <c r="E437" s="302"/>
      <c r="F437" s="497">
        <v>85.0</v>
      </c>
      <c r="G437" s="322"/>
      <c r="H437" s="286"/>
    </row>
    <row r="438">
      <c r="A438" s="281"/>
      <c r="B438" s="287"/>
      <c r="C438" s="310"/>
      <c r="D438" s="333" t="s">
        <v>457</v>
      </c>
      <c r="E438" s="302"/>
      <c r="F438" s="312"/>
      <c r="G438" s="324"/>
      <c r="H438" s="286"/>
    </row>
    <row r="439" ht="11.25" customHeight="1">
      <c r="A439" s="281"/>
      <c r="B439" s="287"/>
      <c r="C439" s="314"/>
      <c r="D439" s="315"/>
      <c r="E439" s="302"/>
      <c r="F439" s="316"/>
      <c r="G439" s="325"/>
      <c r="H439" s="286"/>
    </row>
    <row r="440" ht="3.75" customHeight="1">
      <c r="A440" s="281"/>
      <c r="B440" s="293"/>
      <c r="C440" s="318"/>
      <c r="D440" s="294"/>
      <c r="E440" s="302"/>
      <c r="F440" s="326"/>
      <c r="G440" s="297"/>
      <c r="H440" s="286"/>
    </row>
    <row r="441" ht="18.75" customHeight="1">
      <c r="A441" s="281"/>
      <c r="B441" s="287"/>
      <c r="C441" s="331" t="str">
        <f>IMAGE("https://i.ibb.co/TKBZjnF/Ace-Trainer-M.png",4,150,150)</f>
        <v/>
      </c>
      <c r="D441" s="332" t="s">
        <v>459</v>
      </c>
      <c r="E441" s="302"/>
      <c r="F441" s="497">
        <v>85.0</v>
      </c>
      <c r="G441" s="322"/>
      <c r="H441" s="286"/>
    </row>
    <row r="442">
      <c r="A442" s="281"/>
      <c r="B442" s="287"/>
      <c r="C442" s="310"/>
      <c r="D442" s="333" t="s">
        <v>457</v>
      </c>
      <c r="E442" s="302"/>
      <c r="F442" s="312"/>
      <c r="G442" s="324"/>
      <c r="H442" s="286"/>
    </row>
    <row r="443" ht="11.25" customHeight="1">
      <c r="A443" s="281"/>
      <c r="B443" s="287"/>
      <c r="C443" s="314"/>
      <c r="D443" s="315"/>
      <c r="E443" s="302"/>
      <c r="F443" s="316"/>
      <c r="G443" s="325"/>
      <c r="H443" s="286"/>
    </row>
    <row r="444" ht="3.75" customHeight="1">
      <c r="A444" s="281"/>
      <c r="B444" s="293"/>
      <c r="C444" s="318"/>
      <c r="D444" s="294"/>
      <c r="E444" s="302"/>
      <c r="F444" s="326"/>
      <c r="G444" s="297"/>
      <c r="H444" s="286"/>
    </row>
    <row r="445" ht="18.75" customHeight="1">
      <c r="A445" s="281"/>
      <c r="B445" s="287"/>
      <c r="C445" s="331" t="str">
        <f>IMAGE("https://i.ibb.co/26kF6WW/Ace-Trainer-F.png",4,150,150)</f>
        <v/>
      </c>
      <c r="D445" s="332" t="s">
        <v>460</v>
      </c>
      <c r="E445" s="302"/>
      <c r="F445" s="497">
        <v>85.0</v>
      </c>
      <c r="G445" s="322"/>
      <c r="H445" s="286"/>
    </row>
    <row r="446">
      <c r="A446" s="281"/>
      <c r="B446" s="287"/>
      <c r="C446" s="310"/>
      <c r="D446" s="333" t="s">
        <v>457</v>
      </c>
      <c r="E446" s="302"/>
      <c r="F446" s="312"/>
      <c r="G446" s="324"/>
      <c r="H446" s="286"/>
    </row>
    <row r="447" ht="11.25" customHeight="1">
      <c r="A447" s="281"/>
      <c r="B447" s="287"/>
      <c r="C447" s="314"/>
      <c r="D447" s="315"/>
      <c r="E447" s="302"/>
      <c r="F447" s="316"/>
      <c r="G447" s="325"/>
      <c r="H447" s="286"/>
    </row>
    <row r="448" ht="3.75" customHeight="1">
      <c r="A448" s="281"/>
      <c r="B448" s="293"/>
      <c r="C448" s="318"/>
      <c r="D448" s="294"/>
      <c r="E448" s="302"/>
      <c r="F448" s="326"/>
      <c r="G448" s="297"/>
      <c r="H448" s="286"/>
    </row>
    <row r="449" ht="18.75" customHeight="1">
      <c r="A449" s="281"/>
      <c r="B449" s="287"/>
      <c r="C449" s="331" t="str">
        <f>IMAGE("https://i.ibb.co/TKBZjnF/Ace-Trainer-M.png",4,150,150)</f>
        <v/>
      </c>
      <c r="D449" s="332" t="s">
        <v>461</v>
      </c>
      <c r="E449" s="302"/>
      <c r="F449" s="497">
        <v>85.0</v>
      </c>
      <c r="G449" s="322"/>
      <c r="H449" s="286"/>
    </row>
    <row r="450">
      <c r="A450" s="281"/>
      <c r="B450" s="287"/>
      <c r="C450" s="310"/>
      <c r="D450" s="333" t="s">
        <v>457</v>
      </c>
      <c r="E450" s="302"/>
      <c r="F450" s="312"/>
      <c r="G450" s="324"/>
      <c r="H450" s="286"/>
    </row>
    <row r="451" ht="11.25" customHeight="1">
      <c r="A451" s="281"/>
      <c r="B451" s="287"/>
      <c r="C451" s="314"/>
      <c r="D451" s="315"/>
      <c r="E451" s="302"/>
      <c r="F451" s="316"/>
      <c r="G451" s="325"/>
      <c r="H451" s="286"/>
    </row>
    <row r="452" ht="3.75" customHeight="1">
      <c r="A452" s="281"/>
      <c r="B452" s="293"/>
      <c r="C452" s="318"/>
      <c r="D452" s="294"/>
      <c r="E452" s="302"/>
      <c r="F452" s="326"/>
      <c r="G452" s="297"/>
      <c r="H452" s="286"/>
    </row>
    <row r="453" ht="18.75" customHeight="1">
      <c r="A453" s="281"/>
      <c r="B453" s="287"/>
      <c r="C453" s="331" t="str">
        <f>IMAGE("https://i.ibb.co/26kF6WW/Ace-Trainer-F.png",4,150,150)</f>
        <v/>
      </c>
      <c r="D453" s="332" t="s">
        <v>462</v>
      </c>
      <c r="E453" s="302"/>
      <c r="F453" s="497">
        <v>85.0</v>
      </c>
      <c r="G453" s="322"/>
      <c r="H453" s="286"/>
    </row>
    <row r="454">
      <c r="A454" s="281"/>
      <c r="B454" s="287"/>
      <c r="C454" s="310"/>
      <c r="D454" s="333" t="s">
        <v>457</v>
      </c>
      <c r="E454" s="302"/>
      <c r="F454" s="312"/>
      <c r="G454" s="324"/>
      <c r="H454" s="286"/>
    </row>
    <row r="455" ht="11.25" customHeight="1">
      <c r="A455" s="281"/>
      <c r="B455" s="287"/>
      <c r="C455" s="314"/>
      <c r="D455" s="315"/>
      <c r="E455" s="302"/>
      <c r="F455" s="316"/>
      <c r="G455" s="325"/>
      <c r="H455" s="286"/>
    </row>
    <row r="456" ht="3.75" customHeight="1">
      <c r="A456" s="281"/>
      <c r="B456" s="293"/>
      <c r="C456" s="318"/>
      <c r="D456" s="294"/>
      <c r="E456" s="302"/>
      <c r="F456" s="326"/>
      <c r="G456" s="297"/>
      <c r="H456" s="286"/>
    </row>
    <row r="457" ht="18.75" customHeight="1">
      <c r="A457" s="281"/>
      <c r="B457" s="287"/>
      <c r="C457" s="331" t="str">
        <f>IMAGE("https://i.ibb.co/30MY05V/Aces.png",4,150,150)</f>
        <v/>
      </c>
      <c r="D457" s="332" t="s">
        <v>463</v>
      </c>
      <c r="E457" s="302"/>
      <c r="F457" s="497">
        <v>85.0</v>
      </c>
      <c r="G457" s="322"/>
      <c r="H457" s="286"/>
    </row>
    <row r="458">
      <c r="A458" s="281"/>
      <c r="B458" s="287"/>
      <c r="C458" s="310"/>
      <c r="D458" s="333" t="s">
        <v>457</v>
      </c>
      <c r="E458" s="302"/>
      <c r="F458" s="312"/>
      <c r="G458" s="324"/>
      <c r="H458" s="286"/>
    </row>
    <row r="459" ht="11.25" customHeight="1">
      <c r="A459" s="281"/>
      <c r="B459" s="287"/>
      <c r="C459" s="314"/>
      <c r="D459" s="315"/>
      <c r="E459" s="302"/>
      <c r="F459" s="316"/>
      <c r="G459" s="325"/>
      <c r="H459" s="286"/>
    </row>
    <row r="460" ht="3.75" customHeight="1">
      <c r="A460" s="281"/>
      <c r="B460" s="293"/>
      <c r="C460" s="294"/>
      <c r="D460" s="294"/>
      <c r="E460" s="302"/>
      <c r="F460" s="326"/>
      <c r="G460" s="297"/>
      <c r="H460" s="286"/>
    </row>
    <row r="461" ht="18.75" customHeight="1">
      <c r="A461" s="281"/>
      <c r="B461" s="287"/>
      <c r="C461" s="448" t="str">
        <f>IMAGE("https://i.ibb.co/31XckWH/Dragon-Tamer.png",4,150,150)</f>
        <v/>
      </c>
      <c r="D461" s="449" t="s">
        <v>464</v>
      </c>
      <c r="E461" s="302"/>
      <c r="F461" s="497">
        <v>85.0</v>
      </c>
      <c r="G461" s="322"/>
      <c r="H461" s="286"/>
    </row>
    <row r="462">
      <c r="A462" s="281"/>
      <c r="B462" s="287"/>
      <c r="C462" s="310"/>
      <c r="D462" s="450" t="s">
        <v>465</v>
      </c>
      <c r="E462" s="302"/>
      <c r="F462" s="312"/>
      <c r="G462" s="324"/>
      <c r="H462" s="286"/>
    </row>
    <row r="463" ht="11.25" customHeight="1">
      <c r="A463" s="281"/>
      <c r="B463" s="287"/>
      <c r="C463" s="314"/>
      <c r="D463" s="315"/>
      <c r="E463" s="302"/>
      <c r="F463" s="316"/>
      <c r="G463" s="325"/>
      <c r="H463" s="286"/>
    </row>
    <row r="464" ht="3.75" customHeight="1">
      <c r="A464" s="281"/>
      <c r="B464" s="293"/>
      <c r="C464" s="294"/>
      <c r="D464" s="294"/>
      <c r="E464" s="302"/>
      <c r="F464" s="326"/>
      <c r="G464" s="297"/>
      <c r="H464" s="286"/>
    </row>
    <row r="465" ht="18.75" customHeight="1">
      <c r="A465" s="281"/>
      <c r="B465" s="287"/>
      <c r="C465" s="498" t="str">
        <f>IMAGE("https://i.ibb.co/5BW746H/Lorelei.png",4,150,150)</f>
        <v/>
      </c>
      <c r="D465" s="499" t="s">
        <v>466</v>
      </c>
      <c r="E465" s="302"/>
      <c r="F465" s="497">
        <v>85.0</v>
      </c>
      <c r="G465" s="322"/>
      <c r="H465" s="286"/>
    </row>
    <row r="466">
      <c r="A466" s="281"/>
      <c r="B466" s="287"/>
      <c r="C466" s="310"/>
      <c r="D466" s="500" t="s">
        <v>467</v>
      </c>
      <c r="E466" s="302"/>
      <c r="F466" s="312"/>
      <c r="G466" s="324"/>
      <c r="H466" s="286"/>
    </row>
    <row r="467" ht="11.25" customHeight="1">
      <c r="A467" s="281"/>
      <c r="B467" s="287"/>
      <c r="C467" s="314"/>
      <c r="D467" s="315"/>
      <c r="E467" s="302"/>
      <c r="F467" s="316"/>
      <c r="G467" s="325"/>
      <c r="H467" s="286"/>
    </row>
    <row r="468" ht="3.75" customHeight="1">
      <c r="A468" s="281"/>
      <c r="B468" s="293"/>
      <c r="C468" s="294"/>
      <c r="D468" s="294"/>
      <c r="E468" s="302"/>
      <c r="F468" s="326"/>
      <c r="G468" s="297"/>
      <c r="H468" s="286"/>
    </row>
    <row r="469" ht="18.75" customHeight="1">
      <c r="A469" s="281"/>
      <c r="B469" s="287"/>
      <c r="C469" s="501" t="str">
        <f>IMAGE("https://i.ibb.co/C8FXs4V/Bruno.png",4,150,150)</f>
        <v/>
      </c>
      <c r="D469" s="502" t="s">
        <v>468</v>
      </c>
      <c r="E469" s="302"/>
      <c r="F469" s="497">
        <v>85.0</v>
      </c>
      <c r="G469" s="322"/>
      <c r="H469" s="286"/>
    </row>
    <row r="470">
      <c r="A470" s="281"/>
      <c r="B470" s="287"/>
      <c r="C470" s="310"/>
      <c r="D470" s="503" t="s">
        <v>467</v>
      </c>
      <c r="E470" s="302"/>
      <c r="F470" s="312"/>
      <c r="G470" s="324"/>
      <c r="H470" s="286"/>
    </row>
    <row r="471" ht="11.25" customHeight="1">
      <c r="A471" s="281"/>
      <c r="B471" s="287"/>
      <c r="C471" s="314"/>
      <c r="D471" s="315"/>
      <c r="E471" s="302"/>
      <c r="F471" s="316"/>
      <c r="G471" s="325"/>
      <c r="H471" s="286"/>
    </row>
    <row r="472" ht="3.75" customHeight="1">
      <c r="A472" s="281"/>
      <c r="B472" s="293"/>
      <c r="C472" s="294"/>
      <c r="D472" s="294"/>
      <c r="E472" s="302"/>
      <c r="F472" s="326"/>
      <c r="G472" s="297"/>
      <c r="H472" s="286"/>
    </row>
    <row r="473" ht="18.75" customHeight="1">
      <c r="A473" s="281"/>
      <c r="B473" s="287"/>
      <c r="C473" s="504" t="str">
        <f>IMAGE("https://i.ibb.co/nwDrZ0g/Agatha.png",4,150,150)</f>
        <v/>
      </c>
      <c r="D473" s="505" t="s">
        <v>469</v>
      </c>
      <c r="E473" s="302"/>
      <c r="F473" s="497">
        <v>85.0</v>
      </c>
      <c r="G473" s="322"/>
      <c r="H473" s="286"/>
    </row>
    <row r="474">
      <c r="A474" s="281"/>
      <c r="B474" s="287"/>
      <c r="C474" s="310"/>
      <c r="D474" s="506" t="s">
        <v>467</v>
      </c>
      <c r="E474" s="302"/>
      <c r="F474" s="312"/>
      <c r="G474" s="324"/>
      <c r="H474" s="286"/>
    </row>
    <row r="475" ht="11.25" customHeight="1">
      <c r="A475" s="281"/>
      <c r="B475" s="287"/>
      <c r="C475" s="314"/>
      <c r="D475" s="315"/>
      <c r="E475" s="302"/>
      <c r="F475" s="316"/>
      <c r="G475" s="325"/>
      <c r="H475" s="286"/>
    </row>
    <row r="476" ht="3.75" customHeight="1">
      <c r="A476" s="281"/>
      <c r="B476" s="293"/>
      <c r="C476" s="294"/>
      <c r="D476" s="294"/>
      <c r="E476" s="302"/>
      <c r="F476" s="326"/>
      <c r="G476" s="297"/>
      <c r="H476" s="286"/>
    </row>
    <row r="477" ht="18.75" customHeight="1">
      <c r="A477" s="281"/>
      <c r="B477" s="287"/>
      <c r="C477" s="507" t="str">
        <f>IMAGE("https://i.ibb.co/KxFRKxf/Lance.png",4,150,150)</f>
        <v/>
      </c>
      <c r="D477" s="508" t="s">
        <v>470</v>
      </c>
      <c r="E477" s="302"/>
      <c r="F477" s="497">
        <v>85.0</v>
      </c>
      <c r="G477" s="322"/>
      <c r="H477" s="286"/>
    </row>
    <row r="478">
      <c r="A478" s="281"/>
      <c r="B478" s="287"/>
      <c r="C478" s="310"/>
      <c r="D478" s="509" t="s">
        <v>467</v>
      </c>
      <c r="E478" s="302"/>
      <c r="F478" s="312"/>
      <c r="G478" s="324"/>
      <c r="H478" s="286"/>
    </row>
    <row r="479" ht="11.25" customHeight="1">
      <c r="A479" s="281"/>
      <c r="B479" s="287"/>
      <c r="C479" s="314"/>
      <c r="D479" s="315"/>
      <c r="E479" s="302"/>
      <c r="F479" s="316"/>
      <c r="G479" s="325"/>
      <c r="H479" s="286"/>
    </row>
    <row r="480" ht="3.75" customHeight="1">
      <c r="A480" s="281"/>
      <c r="B480" s="293"/>
      <c r="C480" s="318"/>
      <c r="D480" s="294"/>
      <c r="E480" s="302"/>
      <c r="F480" s="326"/>
      <c r="G480" s="297"/>
      <c r="H480" s="286"/>
    </row>
    <row r="481" ht="18.75" customHeight="1">
      <c r="A481" s="281"/>
      <c r="B481" s="287"/>
      <c r="C481" s="306" t="str">
        <f>IMAGE("https://i.ibb.co/fXwks6z/Rival.png",4,150,150)</f>
        <v/>
      </c>
      <c r="D481" s="307" t="s">
        <v>311</v>
      </c>
      <c r="E481" s="302"/>
      <c r="F481" s="497">
        <v>85.0</v>
      </c>
      <c r="G481" s="322"/>
      <c r="H481" s="286"/>
    </row>
    <row r="482">
      <c r="A482" s="281"/>
      <c r="B482" s="287"/>
      <c r="C482" s="310"/>
      <c r="D482" s="311" t="s">
        <v>471</v>
      </c>
      <c r="E482" s="302"/>
      <c r="F482" s="312"/>
      <c r="G482" s="324"/>
      <c r="H482" s="286"/>
    </row>
    <row r="483" ht="11.25" customHeight="1">
      <c r="A483" s="281"/>
      <c r="B483" s="287"/>
      <c r="C483" s="314"/>
      <c r="D483" s="315"/>
      <c r="E483" s="510"/>
      <c r="F483" s="316"/>
      <c r="G483" s="325"/>
      <c r="H483" s="286"/>
    </row>
    <row r="484" ht="7.5" customHeight="1">
      <c r="A484" s="281"/>
      <c r="B484" s="511"/>
      <c r="C484" s="512"/>
      <c r="D484" s="512"/>
      <c r="E484" s="513"/>
      <c r="F484" s="513"/>
      <c r="G484" s="514"/>
      <c r="H484" s="286"/>
    </row>
    <row r="485" ht="3.75" customHeight="1">
      <c r="A485" s="279"/>
      <c r="B485" s="515"/>
      <c r="C485" s="515"/>
      <c r="D485" s="515"/>
      <c r="E485" s="515"/>
      <c r="F485" s="515"/>
      <c r="G485" s="515"/>
      <c r="H485" s="279"/>
    </row>
  </sheetData>
  <mergeCells count="363">
    <mergeCell ref="F10:F12"/>
    <mergeCell ref="G10:G12"/>
    <mergeCell ref="F6:F8"/>
    <mergeCell ref="F14:F16"/>
    <mergeCell ref="C14:C16"/>
    <mergeCell ref="C18:D18"/>
    <mergeCell ref="C19:C21"/>
    <mergeCell ref="F19:F21"/>
    <mergeCell ref="C10:C12"/>
    <mergeCell ref="C23:C25"/>
    <mergeCell ref="F23:F25"/>
    <mergeCell ref="G23:G25"/>
    <mergeCell ref="C27:C29"/>
    <mergeCell ref="F27:F29"/>
    <mergeCell ref="C6:C8"/>
    <mergeCell ref="C31:C33"/>
    <mergeCell ref="F31:F33"/>
    <mergeCell ref="G31:G33"/>
    <mergeCell ref="C35:C37"/>
    <mergeCell ref="F35:F37"/>
    <mergeCell ref="G35:G37"/>
    <mergeCell ref="C39:C41"/>
    <mergeCell ref="F39:F41"/>
    <mergeCell ref="G39:G41"/>
    <mergeCell ref="C43:C45"/>
    <mergeCell ref="F43:F45"/>
    <mergeCell ref="G43:G45"/>
    <mergeCell ref="C47:C49"/>
    <mergeCell ref="F47:F49"/>
    <mergeCell ref="G47:G49"/>
    <mergeCell ref="C51:C53"/>
    <mergeCell ref="F51:F53"/>
    <mergeCell ref="G51:G53"/>
    <mergeCell ref="C55:C57"/>
    <mergeCell ref="F55:F57"/>
    <mergeCell ref="G55:G57"/>
    <mergeCell ref="C59:C61"/>
    <mergeCell ref="F59:F61"/>
    <mergeCell ref="G59:G61"/>
    <mergeCell ref="C63:C65"/>
    <mergeCell ref="F63:F65"/>
    <mergeCell ref="G63:G65"/>
    <mergeCell ref="C67:C69"/>
    <mergeCell ref="F67:F69"/>
    <mergeCell ref="C75:D75"/>
    <mergeCell ref="C76:C78"/>
    <mergeCell ref="F76:F78"/>
    <mergeCell ref="G76:G78"/>
    <mergeCell ref="C80:C82"/>
    <mergeCell ref="F80:F82"/>
    <mergeCell ref="G67:G69"/>
    <mergeCell ref="C71:C73"/>
    <mergeCell ref="F71:F73"/>
    <mergeCell ref="G71:G73"/>
    <mergeCell ref="G80:G82"/>
    <mergeCell ref="C84:C86"/>
    <mergeCell ref="F84:F86"/>
    <mergeCell ref="G84:G86"/>
    <mergeCell ref="C88:C90"/>
    <mergeCell ref="F88:F90"/>
    <mergeCell ref="G88:G90"/>
    <mergeCell ref="C92:C94"/>
    <mergeCell ref="F92:F94"/>
    <mergeCell ref="G92:G94"/>
    <mergeCell ref="C96:C98"/>
    <mergeCell ref="F96:F98"/>
    <mergeCell ref="C104:D104"/>
    <mergeCell ref="C105:C107"/>
    <mergeCell ref="F105:F107"/>
    <mergeCell ref="G105:G107"/>
    <mergeCell ref="G96:G98"/>
    <mergeCell ref="C100:C102"/>
    <mergeCell ref="F100:F102"/>
    <mergeCell ref="G100:G102"/>
    <mergeCell ref="C109:C111"/>
    <mergeCell ref="F109:F111"/>
    <mergeCell ref="G109:G111"/>
    <mergeCell ref="C113:C115"/>
    <mergeCell ref="F113:F115"/>
    <mergeCell ref="G113:G115"/>
    <mergeCell ref="C117:C119"/>
    <mergeCell ref="F117:F119"/>
    <mergeCell ref="G117:G119"/>
    <mergeCell ref="C121:C123"/>
    <mergeCell ref="F121:F123"/>
    <mergeCell ref="G121:G123"/>
    <mergeCell ref="C125:C127"/>
    <mergeCell ref="F125:F127"/>
    <mergeCell ref="C133:D133"/>
    <mergeCell ref="C134:C136"/>
    <mergeCell ref="G125:G127"/>
    <mergeCell ref="C129:C131"/>
    <mergeCell ref="F129:F131"/>
    <mergeCell ref="G129:G131"/>
    <mergeCell ref="F134:F136"/>
    <mergeCell ref="G134:G136"/>
    <mergeCell ref="C138:C140"/>
    <mergeCell ref="F138:F140"/>
    <mergeCell ref="G138:G140"/>
    <mergeCell ref="C142:C144"/>
    <mergeCell ref="F142:F144"/>
    <mergeCell ref="G142:G144"/>
    <mergeCell ref="C146:C148"/>
    <mergeCell ref="F146:F148"/>
    <mergeCell ref="G146:G148"/>
    <mergeCell ref="C150:C152"/>
    <mergeCell ref="F150:F152"/>
    <mergeCell ref="G150:G152"/>
    <mergeCell ref="C154:C156"/>
    <mergeCell ref="F154:F156"/>
    <mergeCell ref="G154:G156"/>
    <mergeCell ref="C158:C160"/>
    <mergeCell ref="F158:F160"/>
    <mergeCell ref="G158:G160"/>
    <mergeCell ref="C162:C164"/>
    <mergeCell ref="F162:F164"/>
    <mergeCell ref="G162:G164"/>
    <mergeCell ref="C166:C168"/>
    <mergeCell ref="F166:F168"/>
    <mergeCell ref="G166:G168"/>
    <mergeCell ref="C170:C172"/>
    <mergeCell ref="F170:F172"/>
    <mergeCell ref="G170:G172"/>
    <mergeCell ref="C174:C176"/>
    <mergeCell ref="F174:F176"/>
    <mergeCell ref="G174:G176"/>
    <mergeCell ref="C178:C180"/>
    <mergeCell ref="F178:F180"/>
    <mergeCell ref="C186:C188"/>
    <mergeCell ref="F186:F188"/>
    <mergeCell ref="F352:F354"/>
    <mergeCell ref="G352:G354"/>
    <mergeCell ref="C356:D356"/>
    <mergeCell ref="C357:C359"/>
    <mergeCell ref="F357:F359"/>
    <mergeCell ref="G357:G359"/>
    <mergeCell ref="C361:D361"/>
    <mergeCell ref="C362:C364"/>
    <mergeCell ref="F362:F364"/>
    <mergeCell ref="G362:G364"/>
    <mergeCell ref="C366:C368"/>
    <mergeCell ref="F366:F368"/>
    <mergeCell ref="G366:G368"/>
    <mergeCell ref="C370:C372"/>
    <mergeCell ref="F370:F372"/>
    <mergeCell ref="G370:G372"/>
    <mergeCell ref="C374:C376"/>
    <mergeCell ref="F374:F376"/>
    <mergeCell ref="G374:G376"/>
    <mergeCell ref="C378:C380"/>
    <mergeCell ref="F378:F380"/>
    <mergeCell ref="G378:G380"/>
    <mergeCell ref="C382:C384"/>
    <mergeCell ref="F382:F384"/>
    <mergeCell ref="G382:G384"/>
    <mergeCell ref="C386:C388"/>
    <mergeCell ref="F386:F388"/>
    <mergeCell ref="G386:G388"/>
    <mergeCell ref="C390:C392"/>
    <mergeCell ref="F390:F392"/>
    <mergeCell ref="G390:G392"/>
    <mergeCell ref="C394:C396"/>
    <mergeCell ref="F394:F400"/>
    <mergeCell ref="G394:G400"/>
    <mergeCell ref="C398:C400"/>
    <mergeCell ref="C402:C404"/>
    <mergeCell ref="F402:F404"/>
    <mergeCell ref="G402:G404"/>
    <mergeCell ref="C406:D406"/>
    <mergeCell ref="C407:C409"/>
    <mergeCell ref="F407:F409"/>
    <mergeCell ref="G407:G409"/>
    <mergeCell ref="C411:C413"/>
    <mergeCell ref="F411:F413"/>
    <mergeCell ref="G411:G413"/>
    <mergeCell ref="C415:D415"/>
    <mergeCell ref="C416:C418"/>
    <mergeCell ref="F416:F418"/>
    <mergeCell ref="G416:G418"/>
    <mergeCell ref="C420:D420"/>
    <mergeCell ref="C421:C423"/>
    <mergeCell ref="F421:F423"/>
    <mergeCell ref="G421:G423"/>
    <mergeCell ref="C425:C427"/>
    <mergeCell ref="F425:F427"/>
    <mergeCell ref="G425:G427"/>
    <mergeCell ref="C429:C431"/>
    <mergeCell ref="F429:F431"/>
    <mergeCell ref="G429:G431"/>
    <mergeCell ref="C433:C435"/>
    <mergeCell ref="F433:F435"/>
    <mergeCell ref="G433:G435"/>
    <mergeCell ref="C437:C439"/>
    <mergeCell ref="F437:F439"/>
    <mergeCell ref="G204:G211"/>
    <mergeCell ref="C213:D213"/>
    <mergeCell ref="F465:F467"/>
    <mergeCell ref="G465:G467"/>
    <mergeCell ref="C469:C471"/>
    <mergeCell ref="F469:F471"/>
    <mergeCell ref="G469:G471"/>
    <mergeCell ref="C473:C475"/>
    <mergeCell ref="F473:F475"/>
    <mergeCell ref="G473:G475"/>
    <mergeCell ref="C477:C479"/>
    <mergeCell ref="F477:F479"/>
    <mergeCell ref="G477:G479"/>
    <mergeCell ref="C481:C483"/>
    <mergeCell ref="F481:F483"/>
    <mergeCell ref="G481:G483"/>
    <mergeCell ref="C3:D3"/>
    <mergeCell ref="E4:E483"/>
    <mergeCell ref="C5:D5"/>
    <mergeCell ref="G6:G8"/>
    <mergeCell ref="G14:G16"/>
    <mergeCell ref="G19:G21"/>
    <mergeCell ref="G27:G29"/>
    <mergeCell ref="G437:G439"/>
    <mergeCell ref="C441:C443"/>
    <mergeCell ref="F441:F443"/>
    <mergeCell ref="G441:G443"/>
    <mergeCell ref="C445:C447"/>
    <mergeCell ref="F445:F447"/>
    <mergeCell ref="G445:G447"/>
    <mergeCell ref="C449:C451"/>
    <mergeCell ref="F449:F451"/>
    <mergeCell ref="G449:G451"/>
    <mergeCell ref="C453:C455"/>
    <mergeCell ref="F453:F455"/>
    <mergeCell ref="G453:G455"/>
    <mergeCell ref="C457:C459"/>
    <mergeCell ref="F457:F459"/>
    <mergeCell ref="G457:G459"/>
    <mergeCell ref="C461:C463"/>
    <mergeCell ref="F461:F463"/>
    <mergeCell ref="G461:G463"/>
    <mergeCell ref="C465:C467"/>
    <mergeCell ref="G178:G180"/>
    <mergeCell ref="C182:C184"/>
    <mergeCell ref="F182:F184"/>
    <mergeCell ref="G182:G184"/>
    <mergeCell ref="G186:G188"/>
    <mergeCell ref="C190:C192"/>
    <mergeCell ref="F190:F192"/>
    <mergeCell ref="G190:G192"/>
    <mergeCell ref="C194:C196"/>
    <mergeCell ref="F194:F196"/>
    <mergeCell ref="G194:G196"/>
    <mergeCell ref="C198:D198"/>
    <mergeCell ref="C199:C201"/>
    <mergeCell ref="F199:F201"/>
    <mergeCell ref="G199:G201"/>
    <mergeCell ref="C203:D203"/>
    <mergeCell ref="C204:C206"/>
    <mergeCell ref="F204:F211"/>
    <mergeCell ref="C208:D208"/>
    <mergeCell ref="C209:C211"/>
    <mergeCell ref="C214:C216"/>
    <mergeCell ref="F214:F216"/>
    <mergeCell ref="G214:G216"/>
    <mergeCell ref="C218:C220"/>
    <mergeCell ref="F218:F220"/>
    <mergeCell ref="G218:G220"/>
    <mergeCell ref="C222:D222"/>
    <mergeCell ref="C223:C225"/>
    <mergeCell ref="F223:F225"/>
    <mergeCell ref="G223:G225"/>
    <mergeCell ref="C227:C229"/>
    <mergeCell ref="F227:F229"/>
    <mergeCell ref="G227:G229"/>
    <mergeCell ref="C231:C233"/>
    <mergeCell ref="F231:F233"/>
    <mergeCell ref="G231:G233"/>
    <mergeCell ref="C235:C237"/>
    <mergeCell ref="F235:F237"/>
    <mergeCell ref="G235:G237"/>
    <mergeCell ref="C239:C241"/>
    <mergeCell ref="F239:F241"/>
    <mergeCell ref="G239:G241"/>
    <mergeCell ref="C243:C245"/>
    <mergeCell ref="F243:F245"/>
    <mergeCell ref="G243:G245"/>
    <mergeCell ref="C247:C249"/>
    <mergeCell ref="F247:F249"/>
    <mergeCell ref="G247:G249"/>
    <mergeCell ref="C251:C253"/>
    <mergeCell ref="F251:F253"/>
    <mergeCell ref="G251:G253"/>
    <mergeCell ref="C255:C257"/>
    <mergeCell ref="F255:F257"/>
    <mergeCell ref="G255:G257"/>
    <mergeCell ref="C259:C261"/>
    <mergeCell ref="F259:F261"/>
    <mergeCell ref="G259:G261"/>
    <mergeCell ref="C263:C265"/>
    <mergeCell ref="F263:F265"/>
    <mergeCell ref="G263:G265"/>
    <mergeCell ref="C267:D267"/>
    <mergeCell ref="C268:C270"/>
    <mergeCell ref="F268:F270"/>
    <mergeCell ref="G268:G270"/>
    <mergeCell ref="C272:C274"/>
    <mergeCell ref="F272:F274"/>
    <mergeCell ref="G272:G274"/>
    <mergeCell ref="C276:C278"/>
    <mergeCell ref="F276:F278"/>
    <mergeCell ref="G276:G278"/>
    <mergeCell ref="C280:C282"/>
    <mergeCell ref="F280:F282"/>
    <mergeCell ref="G280:G282"/>
    <mergeCell ref="C284:C286"/>
    <mergeCell ref="F284:F286"/>
    <mergeCell ref="G284:G286"/>
    <mergeCell ref="C288:C290"/>
    <mergeCell ref="F288:F290"/>
    <mergeCell ref="G288:G290"/>
    <mergeCell ref="C292:C294"/>
    <mergeCell ref="F292:F294"/>
    <mergeCell ref="G292:G294"/>
    <mergeCell ref="C296:C298"/>
    <mergeCell ref="F296:F298"/>
    <mergeCell ref="G296:G298"/>
    <mergeCell ref="C300:C302"/>
    <mergeCell ref="F300:F302"/>
    <mergeCell ref="G300:G302"/>
    <mergeCell ref="C304:D304"/>
    <mergeCell ref="C305:C307"/>
    <mergeCell ref="F305:F307"/>
    <mergeCell ref="G305:G307"/>
    <mergeCell ref="C309:C311"/>
    <mergeCell ref="F309:F311"/>
    <mergeCell ref="G309:G311"/>
    <mergeCell ref="C313:C315"/>
    <mergeCell ref="F313:F315"/>
    <mergeCell ref="G313:G315"/>
    <mergeCell ref="C317:C319"/>
    <mergeCell ref="F317:F319"/>
    <mergeCell ref="G317:G319"/>
    <mergeCell ref="C321:C323"/>
    <mergeCell ref="F321:F323"/>
    <mergeCell ref="G321:G323"/>
    <mergeCell ref="C325:C327"/>
    <mergeCell ref="F325:F327"/>
    <mergeCell ref="G325:G327"/>
    <mergeCell ref="C329:D329"/>
    <mergeCell ref="C330:C332"/>
    <mergeCell ref="F330:F332"/>
    <mergeCell ref="G330:G332"/>
    <mergeCell ref="C334:C336"/>
    <mergeCell ref="F334:F336"/>
    <mergeCell ref="G334:G336"/>
    <mergeCell ref="C338:C340"/>
    <mergeCell ref="F338:F340"/>
    <mergeCell ref="G338:G340"/>
    <mergeCell ref="C342:D342"/>
    <mergeCell ref="C343:C345"/>
    <mergeCell ref="F343:F345"/>
    <mergeCell ref="G343:G345"/>
    <mergeCell ref="C347:D347"/>
    <mergeCell ref="C348:C350"/>
    <mergeCell ref="F348:F350"/>
    <mergeCell ref="G348:G350"/>
    <mergeCell ref="C352:C354"/>
  </mergeCells>
  <hyperlinks>
    <hyperlink display="RIVAL" location="Rivals!C5" ref="D6"/>
    <hyperlink display="BRENDAN" location="Rivals!C76" ref="D10"/>
    <hyperlink display="LASS ANNE" location="'Mini Bosses'!C3" ref="D14"/>
    <hyperlink display="ACE NELLE" location="'Mini Bosses'!C26" ref="D19"/>
    <hyperlink display="CATCHER SAMMY" location="'Mini Bosses'!C49" ref="D23"/>
    <hyperlink display="FALKNER" location="'Johto Leaders'!C3" ref="D27"/>
    <hyperlink display="BROCK" location="'Kanto Leaders'!C4" ref="D31"/>
    <hyperlink display="LASS SALLY" location="'Mini Bosses'!C72" ref="D35"/>
    <hyperlink display="SUPER NERD MIGUEL" location="'Mini Bosses'!C96" ref="D39"/>
    <hyperlink display="ARCHER" location="'Team Rocket'!C3" ref="D43"/>
    <hyperlink display="RIVAL" location="Rivals!C102" ref="D47"/>
    <hyperlink display="CATCHER CALE" location="'Mini Bosses'!C120" ref="D51"/>
    <hyperlink display="LASS ALI" location="'Mini Bosses'!C144" ref="D55"/>
    <hyperlink display="YOUNGSTER TIMMY" location="'Mini Bosses'!C168" ref="D59"/>
    <hyperlink display="LASS RELLI" location="'Mini Bosses'!C191" ref="D63"/>
    <hyperlink display="CAMPER ETHAN" location="'Mini Bosses'!C214" ref="D67"/>
    <hyperlink display="GRUNT" location="'Team Rocket'!C26" ref="D71"/>
    <hyperlink display="BUGSY" location="'Johto Leaders'!C30" ref="D76"/>
    <hyperlink display="MISTY" location="'Kanto Leaders'!C29" ref="D80"/>
    <hyperlink display="GRUNT" location="'Team Rocket'!C49" ref="D84"/>
    <hyperlink display="CAMPER JEFF" location="'Mini Bosses'!C239" ref="D88"/>
    <hyperlink display="ANN &amp; BROOKS" location="'Mini Bosses'!C263" ref="D92"/>
    <hyperlink display="EDMOND &amp; TREVOR" location="'Mini Bosses'!C288" ref="D96"/>
    <hyperlink display="BRENDAN" location="Rivals!C176" ref="D100"/>
    <hyperlink display="WHITNEY" location="'Johto Leaders'!C79" ref="D105"/>
    <hyperlink display="GENTLEMAN TUCKER" location="'Mini Bosses'!C311" ref="D109"/>
    <hyperlink display="LT. SURGE" location="'Kanto Leaders'!C54" ref="D113"/>
    <hyperlink display="PICNICKER ALICIA" location="'Mini Bosses'!C335" ref="D117"/>
    <hyperlink display="PICNICKER CAITLIN" location="'Mini Bosses'!C359" ref="D121"/>
    <hyperlink display="PICNICKER DANA" location="'Mini Bosses'!C383" ref="D125"/>
    <hyperlink display="MANIAC HERMAN" location="'Mini Bosses'!C408" ref="D129"/>
    <hyperlink display="MORTY" location="'Johto Leaders'!C102" ref="D134"/>
    <hyperlink display="SUPER NERD AIDAN" location="'Mini Bosses'!C433" ref="D138"/>
    <hyperlink display="ACE MARY" location="'Mini Bosses'!C458" ref="D142"/>
    <hyperlink display="ERIKA" location="'Kanto Leaders'!C79" ref="D146"/>
    <hyperlink display="GUARD" location="'Team Rocket'!C73" ref="D150"/>
    <hyperlink display="LEFT GUARD" location="'Team Rocket'!C97" ref="D154"/>
    <hyperlink display="RIGHT GUARD" location="'Team Rocket'!C121" ref="D158"/>
    <hyperlink display="GIOVANNI" location="'Team Rocket'!C145" ref="D162"/>
    <hyperlink display="CHANNELER RUTH" location="'Mini Bosses'!C483" ref="D166"/>
    <hyperlink display="GHOST" location="'Mini Bosses'!C508" ref="D170"/>
    <hyperlink display="GRUNT 1" location="'Team Rocket'!C168" ref="D174"/>
    <hyperlink display="GRUNT 2" location="'Team Rocket'!C193" ref="D178"/>
    <hyperlink display="GRUNT 3" location="'Team Rocket'!C216" ref="D182"/>
    <hyperlink display="RIVAL" location="Rivals!C201" ref="D186"/>
    <hyperlink display="ARIANA &amp; ARCHER" location="'Team Rocket'!C241" ref="D190"/>
    <hyperlink display="GIOVANNI" location="'Team Rocket'!C287" ref="D194"/>
    <hyperlink display="ACE COLE" location="'Optional Bosses'!C3" ref="D199"/>
    <hyperlink display="BEAUTY SAM" location="'Optional Bosses'!C51" ref="D204"/>
    <hyperlink display="BEAUTY SHELLY" location="'Optional Bosses'!C77" ref="D209"/>
    <hyperlink display="CHUCK" location="'Johto Leaders'!C126" ref="D214"/>
    <hyperlink display="SABRINA" location="'Kanto Leaders'!C104" ref="D218"/>
    <hyperlink display="DUMASS KID" location="'Optional Bosses'!C27" ref="D223"/>
    <hyperlink display="ROCKER LUCA" location="'Mini Bosses'!C533" ref="D227"/>
    <hyperlink display="CAMPER JUSTIN" location="'Mini Bosses'!C557" ref="D231"/>
    <hyperlink display="FISHERMAN ANDREW" location="'Mini Bosses'!C584" ref="D235"/>
    <hyperlink display="BIRD KE. SEBASTIAN" location="'Mini Bosses'!C609" ref="D239"/>
    <hyperlink display="PICNICKER SUSIE" location="'Mini Bosses'!C634" ref="D243"/>
    <hyperlink display="PICNICKER ALMA" location="'Mini Bosses'!C659" ref="D247"/>
    <hyperlink display="LOLA &amp; SHEILA" location="'Mini Bosses'!C684" ref="D251"/>
    <hyperlink display="BIRD KEEPER PERRY" location="'Mini Bosses'!C709" ref="D255"/>
    <hyperlink display="BIKER JARED" location="'Mini Bosses'!C733" ref="D259"/>
    <hyperlink display="BIRD KEEPER ROBERT" location="'Mini Bosses'!C758" ref="D263"/>
    <hyperlink display="ACE HALEY" location="'Optional Bosses'!C100" ref="D268"/>
    <hyperlink display="BIKER LAO" location="'Mini Bosses'!C783" ref="D272"/>
    <hyperlink display="CUE BALL KOJI" location="'Mini Bosses'!C809" ref="D276"/>
    <hyperlink display="CUE BALL LUKE" location="'Mini Bosses'!C836" ref="D280"/>
    <hyperlink display="BIKER RUBEN" location="'Mini Bosses'!C860" ref="D284"/>
    <hyperlink display="CUE BALL CAMRON" location="'Mini Bosses'!C885" ref="D288"/>
    <hyperlink display="BIKER HIDEO" location="'Mini Bosses'!C910" ref="D292"/>
    <hyperlink display="BIKER WILLIAM" location="'Mini Bosses'!C935" ref="D296"/>
    <hyperlink display="BIRD KEEPER JACOB" location="'Mini Bosses'!C959" ref="D300"/>
    <hyperlink display="TAMER RAMIRO" location="'Mini Bosses'!C983" ref="D305"/>
    <hyperlink display="ACE WILTON" location="'Mini Bosses'!C1007" ref="D309"/>
    <hyperlink display="BRENDAN" location="Rivals!C273" ref="D313"/>
    <hyperlink display="BROCK (REMATCH)" location="'Kanto Rematch'!C4" ref="D317"/>
    <hyperlink display="MISTY (REMATCH)" location="'Kanto Rematch'!C29" ref="D321"/>
    <hyperlink display="LT. SURGE (REMATCH)" location="'Kanto Rematch'!C54" ref="D325"/>
    <hyperlink display="ERIKA (REMATCH)" location="'Kanto Rematch'!C78" ref="D330"/>
    <hyperlink display="JUGGLER KAYDEN" location="'Mini Bosses'!C1031" ref="D334"/>
    <hyperlink display="KOGA" location="'Kanto Leaders'!C128" ref="D338"/>
    <hyperlink display="DUMASS JOJO FAN" location="'Optional Bosses'!C124" ref="D343"/>
    <hyperlink display="PRYCE" location="'Johto Leaders'!C153" ref="D348"/>
    <hyperlink display="MAY" location="Rivals!C297" ref="D352"/>
    <hyperlink display="JASMINE" location="'Johto Leaders'!C230" ref="D357"/>
    <hyperlink display="SCIENTIST TED" location="'Mini Bosses'!C1054" ref="D362"/>
    <hyperlink display="BURGLAR LEWIS" location="'Mini Bosses'!C1079" ref="D366"/>
    <hyperlink display="ACE DEREK" location="'Mini Bosses'!C1103" ref="D370"/>
    <hyperlink display="ACE LUCY" location="'Mini Bosses'!C1127" ref="D374"/>
    <hyperlink display="ACE ZAC" location="'Mini Bosses'!C1151" ref="D378"/>
    <hyperlink display="BLAINE" location="'Kanto Leaders'!C153" ref="D382"/>
    <hyperlink display="GRUNT 1" location="'Team Rocket'!C311" ref="D386"/>
    <hyperlink display="GRUNT 2" location="'Team Rocket'!C335" ref="D390"/>
    <hyperlink display="ARCHER" location="'Team Rocket'!C359" ref="D394"/>
    <hyperlink display="ARIANA" location="'Team Rocket'!C385" ref="D398"/>
    <hyperlink display="GIOVANNI" location="'Team Rocket'!C410" ref="D402"/>
    <hyperlink display="BLACK BELT KETCHUP" location="'Optional Bosses'!C152" ref="D407"/>
    <hyperlink display="CLAIR" location="'Kanto Leaders'!C178" ref="D411"/>
    <hyperlink display="BURGLAR MAX" location="'Optional Bosses'!C203" ref="D416"/>
    <hyperlink display="BURGLAR ANSON" location="'Optional Bosses'!C226" ref="D421"/>
    <hyperlink display="RIVAL" location="Rivals!C324" ref="D425"/>
    <hyperlink display="BRENDAN" location="Rivals!C400" ref="D429"/>
    <hyperlink display="ACE NAOMI" location="'Mini Bosses'!C1175" ref="D433"/>
    <hyperlink display="ACE ROLANDO" location="'Mini Bosses'!C1198" ref="D437"/>
    <hyperlink display="ACE GEORGE" location="'Mini Bosses'!C1221" ref="D441"/>
    <hyperlink display="ACE CAROLINE" location="'Mini Bosses'!C1245" ref="D445"/>
    <hyperlink display="ACE COLBY" location="'Mini Bosses'!C1269" ref="D449"/>
    <hyperlink display="ACE ALEXA" location="'Mini Bosses'!C1292" ref="D453"/>
    <hyperlink display="RAY &amp; TYRA" location="'Mini Bosses'!C1316" ref="D457"/>
    <hyperlink display="DUMASS CREATOR" location="'Mini Bosses'!C1339" ref="D461"/>
    <hyperlink display="LORELEI" location="'Indigo League'!C9" ref="D465"/>
    <hyperlink display="BRUNO" location="'Indigo League'!C64" ref="D469"/>
    <hyperlink display="AGATHA" location="'Indigo League'!C119" ref="D473"/>
    <hyperlink display="LANCE" location="'Indigo League'!C174" ref="D477"/>
    <hyperlink display="RIVAL" location="'Indigo League'!C225" ref="D481"/>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16"/>
      <c r="B1" s="517"/>
      <c r="C1" s="518"/>
      <c r="D1" s="517"/>
      <c r="E1" s="517"/>
      <c r="F1" s="517"/>
      <c r="G1" s="517"/>
      <c r="H1" s="517"/>
      <c r="I1" s="517"/>
      <c r="J1" s="517"/>
      <c r="K1" s="517"/>
      <c r="L1" s="517"/>
      <c r="M1" s="517"/>
      <c r="N1" s="517"/>
      <c r="O1" s="517"/>
      <c r="P1" s="517"/>
      <c r="Q1" s="517"/>
      <c r="R1" s="517"/>
      <c r="S1" s="517"/>
      <c r="T1" s="517"/>
      <c r="U1" s="517"/>
      <c r="V1" s="517"/>
      <c r="W1" s="517"/>
      <c r="X1" s="517"/>
      <c r="Y1" s="517"/>
      <c r="Z1" s="517"/>
      <c r="AA1" s="517"/>
      <c r="AB1" s="517"/>
      <c r="AC1" s="517"/>
      <c r="AD1" s="517"/>
      <c r="AE1" s="517"/>
      <c r="AF1" s="517"/>
      <c r="AG1" s="517"/>
      <c r="AH1" s="517"/>
      <c r="AI1" s="516"/>
    </row>
    <row r="2" ht="7.5" customHeight="1">
      <c r="A2" s="519"/>
      <c r="B2" s="520"/>
      <c r="C2" s="521"/>
      <c r="D2" s="522"/>
      <c r="E2" s="523"/>
      <c r="F2" s="523"/>
      <c r="G2" s="523"/>
      <c r="H2" s="523"/>
      <c r="I2" s="522"/>
      <c r="J2" s="523"/>
      <c r="K2" s="523"/>
      <c r="L2" s="523"/>
      <c r="M2" s="523"/>
      <c r="N2" s="522"/>
      <c r="O2" s="523"/>
      <c r="P2" s="523"/>
      <c r="Q2" s="523"/>
      <c r="R2" s="523"/>
      <c r="S2" s="522"/>
      <c r="T2" s="523"/>
      <c r="U2" s="523"/>
      <c r="V2" s="523"/>
      <c r="W2" s="523"/>
      <c r="X2" s="522"/>
      <c r="Y2" s="523"/>
      <c r="Z2" s="523"/>
      <c r="AA2" s="523"/>
      <c r="AB2" s="523"/>
      <c r="AC2" s="522"/>
      <c r="AD2" s="523"/>
      <c r="AE2" s="523"/>
      <c r="AF2" s="523"/>
      <c r="AG2" s="523"/>
      <c r="AH2" s="524"/>
      <c r="AI2" s="525"/>
    </row>
    <row r="3">
      <c r="A3" s="526"/>
      <c r="B3" s="527"/>
      <c r="C3" s="528"/>
      <c r="D3" s="529"/>
      <c r="E3" s="530" t="s">
        <v>472</v>
      </c>
      <c r="F3" s="531"/>
      <c r="G3" s="531"/>
      <c r="H3" s="531"/>
      <c r="I3" s="531"/>
      <c r="J3" s="531"/>
      <c r="K3" s="531"/>
      <c r="L3" s="531"/>
      <c r="M3" s="531"/>
      <c r="N3" s="531"/>
      <c r="O3" s="531"/>
      <c r="P3" s="531"/>
      <c r="Q3" s="531"/>
      <c r="R3" s="531"/>
      <c r="S3" s="531"/>
      <c r="T3" s="531"/>
      <c r="U3" s="531"/>
      <c r="V3" s="531"/>
      <c r="W3" s="531"/>
      <c r="X3" s="531"/>
      <c r="Y3" s="531"/>
      <c r="Z3" s="531"/>
      <c r="AA3" s="531"/>
      <c r="AB3" s="531"/>
      <c r="AC3" s="531"/>
      <c r="AD3" s="531"/>
      <c r="AE3" s="531"/>
      <c r="AF3" s="531"/>
      <c r="AG3" s="532"/>
      <c r="AH3" s="533"/>
      <c r="AI3" s="534"/>
    </row>
    <row r="4" ht="96.75" customHeight="1">
      <c r="A4" s="526"/>
      <c r="B4" s="535"/>
      <c r="C4" s="536" t="str">
        <f>IMAGE("https://i.ibb.co/v10Rh61/Brock.png")</f>
        <v/>
      </c>
      <c r="D4" s="537"/>
      <c r="E4" s="538" t="str">
        <f t="array" ref="E4">IFERROR(VLOOKUP(E5,Dex!$B$3:$G200,3,FALSE),"")</f>
        <v/>
      </c>
      <c r="F4" s="539"/>
      <c r="G4" s="539"/>
      <c r="H4" s="540"/>
      <c r="I4" s="541"/>
      <c r="J4" s="538" t="str">
        <f t="array" ref="J4">IFERROR(VLOOKUP(J5,Dex!$B$3:$G200,3,FALSE),"")</f>
        <v/>
      </c>
      <c r="K4" s="539"/>
      <c r="L4" s="539"/>
      <c r="M4" s="540"/>
      <c r="N4" s="541"/>
      <c r="O4" s="538" t="str">
        <f t="array" ref="O4">IFERROR(VLOOKUP(O5,Dex!$B$3:$G200,3,FALSE),"")</f>
        <v/>
      </c>
      <c r="P4" s="539"/>
      <c r="Q4" s="539"/>
      <c r="R4" s="540"/>
      <c r="S4" s="541"/>
      <c r="T4" s="538" t="str">
        <f t="array" ref="T4">IFERROR(VLOOKUP(T5,Dex!$B$3:$G200,3,FALSE),"")</f>
        <v/>
      </c>
      <c r="U4" s="539"/>
      <c r="V4" s="539"/>
      <c r="W4" s="540"/>
      <c r="X4" s="542"/>
      <c r="Y4" s="538" t="str">
        <f t="array" ref="Y4">IFERROR(VLOOKUP(Y5,Dex!$B$3:$G200,3,FALSE),"")</f>
        <v/>
      </c>
      <c r="Z4" s="539"/>
      <c r="AA4" s="539"/>
      <c r="AB4" s="540"/>
      <c r="AC4" s="542"/>
      <c r="AD4" s="538" t="str">
        <f t="array" ref="AD4">IFERROR(VLOOKUP(AD5,Dex!$B$3:$G200,3,FALSE),"")</f>
        <v/>
      </c>
      <c r="AE4" s="539"/>
      <c r="AF4" s="539"/>
      <c r="AG4" s="540"/>
      <c r="AH4" s="543"/>
      <c r="AI4" s="544"/>
    </row>
    <row r="5" ht="18.75" customHeight="1">
      <c r="A5" s="545"/>
      <c r="B5" s="546"/>
      <c r="C5" s="547" t="s">
        <v>473</v>
      </c>
      <c r="D5" s="548"/>
      <c r="E5" s="549" t="s">
        <v>474</v>
      </c>
      <c r="F5" s="550"/>
      <c r="G5" s="550"/>
      <c r="H5" s="551"/>
      <c r="I5" s="552"/>
      <c r="J5" s="549" t="s">
        <v>475</v>
      </c>
      <c r="K5" s="550"/>
      <c r="L5" s="550"/>
      <c r="M5" s="551"/>
      <c r="N5" s="552"/>
      <c r="O5" s="549" t="s">
        <v>476</v>
      </c>
      <c r="P5" s="550"/>
      <c r="Q5" s="550"/>
      <c r="R5" s="551"/>
      <c r="S5" s="552"/>
      <c r="T5" s="549" t="s">
        <v>477</v>
      </c>
      <c r="U5" s="550"/>
      <c r="V5" s="550"/>
      <c r="W5" s="551"/>
      <c r="Y5" s="549" t="s">
        <v>478</v>
      </c>
      <c r="Z5" s="550"/>
      <c r="AA5" s="550"/>
      <c r="AB5" s="551"/>
      <c r="AD5" s="549" t="s">
        <v>479</v>
      </c>
      <c r="AE5" s="550"/>
      <c r="AF5" s="550"/>
      <c r="AG5" s="551"/>
      <c r="AH5" s="553"/>
      <c r="AI5" s="554"/>
    </row>
    <row r="6">
      <c r="A6" s="545"/>
      <c r="B6" s="555"/>
      <c r="C6" s="556"/>
      <c r="D6" s="557"/>
      <c r="E6" s="558">
        <v>13.0</v>
      </c>
      <c r="F6" s="531"/>
      <c r="G6" s="531"/>
      <c r="H6" s="559"/>
      <c r="I6" s="560"/>
      <c r="J6" s="558">
        <v>15.0</v>
      </c>
      <c r="K6" s="531"/>
      <c r="L6" s="531"/>
      <c r="M6" s="559"/>
      <c r="N6" s="560"/>
      <c r="O6" s="558">
        <v>14.0</v>
      </c>
      <c r="P6" s="531"/>
      <c r="Q6" s="531"/>
      <c r="R6" s="559"/>
      <c r="S6" s="560"/>
      <c r="T6" s="558">
        <v>16.0</v>
      </c>
      <c r="U6" s="531"/>
      <c r="V6" s="531"/>
      <c r="W6" s="559"/>
      <c r="Y6" s="558">
        <v>14.0</v>
      </c>
      <c r="Z6" s="531"/>
      <c r="AA6" s="531"/>
      <c r="AB6" s="559"/>
      <c r="AD6" s="558">
        <v>15.0</v>
      </c>
      <c r="AE6" s="531"/>
      <c r="AF6" s="531"/>
      <c r="AG6" s="559"/>
      <c r="AH6" s="561"/>
      <c r="AI6" s="562"/>
    </row>
    <row r="7" ht="25.5" customHeight="1">
      <c r="A7" s="545"/>
      <c r="B7" s="563"/>
      <c r="C7" s="564"/>
      <c r="D7" s="565"/>
      <c r="E7" s="566"/>
      <c r="F7" s="567" t="str">
        <f t="array" ref="F7">IFERROR(VLOOKUP(E5,Dex!$B$3:$H200,5,FALSE),"")</f>
        <v/>
      </c>
      <c r="G7" s="568"/>
      <c r="H7" s="569"/>
      <c r="I7" s="570"/>
      <c r="J7" s="566"/>
      <c r="K7" s="567" t="str">
        <f t="array" ref="K7">IFERROR(VLOOKUP(J5,Dex!$B$3:$H200,5,FALSE),"")</f>
        <v/>
      </c>
      <c r="L7" s="568"/>
      <c r="M7" s="569"/>
      <c r="N7" s="570"/>
      <c r="O7" s="566"/>
      <c r="P7" s="571" t="str">
        <f t="array" ref="P7">IFERROR(VLOOKUP(O5,Dex!$B$3:$H200,5,FALSE),"")</f>
        <v/>
      </c>
      <c r="Q7" s="572" t="str">
        <f t="array" ref="Q7">IFERROR(VLOOKUP(O5,Dex!$B$3:$H200,7,FALSE),"")</f>
        <v/>
      </c>
      <c r="R7" s="569"/>
      <c r="S7" s="570"/>
      <c r="T7" s="566"/>
      <c r="U7" s="571" t="str">
        <f t="array" ref="U7">IFERROR(VLOOKUP(T5,Dex!$B$3:$H200,5,FALSE),"")</f>
        <v/>
      </c>
      <c r="V7" s="572" t="str">
        <f t="array" ref="V7">IFERROR(VLOOKUP(T5,Dex!$B$3:$H200,7,FALSE),"")</f>
        <v/>
      </c>
      <c r="W7" s="569"/>
      <c r="Y7" s="566"/>
      <c r="Z7" s="571" t="str">
        <f t="array" ref="Z7">IFERROR(VLOOKUP(Y5,Dex!$B$3:$H200,5,FALSE),"")</f>
        <v/>
      </c>
      <c r="AA7" s="572" t="str">
        <f t="array" ref="AA7">IFERROR(VLOOKUP(Y5,Dex!$B$3:$H200,7,FALSE),"")</f>
        <v/>
      </c>
      <c r="AB7" s="569"/>
      <c r="AD7" s="566"/>
      <c r="AE7" s="571" t="str">
        <f t="array" ref="AE7">IFERROR(VLOOKUP(AD5,Dex!$B$3:$H200,5,FALSE),"")</f>
        <v/>
      </c>
      <c r="AF7" s="572" t="str">
        <f t="array" ref="AF7">IFERROR(VLOOKUP(AD5,Dex!$B$3:$H200,7,FALSE),"")</f>
        <v/>
      </c>
      <c r="AG7" s="569"/>
      <c r="AH7" s="573"/>
      <c r="AI7" s="525"/>
    </row>
    <row r="8" ht="2.25" customHeight="1">
      <c r="A8" s="574"/>
      <c r="B8" s="563"/>
      <c r="C8" s="575"/>
      <c r="D8" s="565"/>
      <c r="E8" s="576"/>
      <c r="F8" s="577"/>
      <c r="G8" s="577"/>
      <c r="H8" s="578"/>
      <c r="I8" s="570"/>
      <c r="J8" s="576"/>
      <c r="K8" s="577"/>
      <c r="L8" s="577"/>
      <c r="M8" s="578"/>
      <c r="N8" s="570"/>
      <c r="O8" s="576"/>
      <c r="P8" s="577"/>
      <c r="Q8" s="577"/>
      <c r="R8" s="578"/>
      <c r="S8" s="570"/>
      <c r="T8" s="576"/>
      <c r="U8" s="577"/>
      <c r="V8" s="577"/>
      <c r="W8" s="578"/>
      <c r="Y8" s="576"/>
      <c r="Z8" s="577"/>
      <c r="AA8" s="577"/>
      <c r="AB8" s="578"/>
      <c r="AD8" s="576"/>
      <c r="AE8" s="577"/>
      <c r="AF8" s="577"/>
      <c r="AG8" s="578"/>
      <c r="AH8" s="573"/>
      <c r="AI8" s="525"/>
    </row>
    <row r="9" ht="20.25" customHeight="1">
      <c r="A9" s="545"/>
      <c r="B9" s="563"/>
      <c r="C9" s="579"/>
      <c r="D9" s="565"/>
      <c r="E9" s="580" t="s">
        <v>480</v>
      </c>
      <c r="F9" s="581"/>
      <c r="G9" s="581"/>
      <c r="H9" s="582"/>
      <c r="I9" s="583"/>
      <c r="J9" s="580" t="s">
        <v>481</v>
      </c>
      <c r="K9" s="581"/>
      <c r="L9" s="581"/>
      <c r="M9" s="582"/>
      <c r="N9" s="583"/>
      <c r="O9" s="580" t="s">
        <v>481</v>
      </c>
      <c r="P9" s="581"/>
      <c r="Q9" s="581"/>
      <c r="R9" s="582"/>
      <c r="S9" s="583"/>
      <c r="T9" s="580" t="s">
        <v>482</v>
      </c>
      <c r="U9" s="581"/>
      <c r="V9" s="581"/>
      <c r="W9" s="582"/>
      <c r="Y9" s="580" t="s">
        <v>481</v>
      </c>
      <c r="Z9" s="581"/>
      <c r="AA9" s="581"/>
      <c r="AB9" s="582"/>
      <c r="AD9" s="580" t="s">
        <v>480</v>
      </c>
      <c r="AE9" s="581"/>
      <c r="AF9" s="581"/>
      <c r="AG9" s="582"/>
      <c r="AH9" s="543"/>
      <c r="AI9" s="525"/>
    </row>
    <row r="10" ht="21.0" customHeight="1">
      <c r="A10" s="545"/>
      <c r="B10" s="563"/>
      <c r="C10" s="584"/>
      <c r="D10" s="565"/>
      <c r="E10" s="585" t="s">
        <v>73</v>
      </c>
      <c r="F10" s="586"/>
      <c r="G10" s="586"/>
      <c r="H10" s="587"/>
      <c r="I10" s="583"/>
      <c r="J10" s="585" t="s">
        <v>483</v>
      </c>
      <c r="K10" s="586"/>
      <c r="L10" s="586"/>
      <c r="M10" s="587"/>
      <c r="N10" s="583"/>
      <c r="O10" s="585" t="s">
        <v>484</v>
      </c>
      <c r="P10" s="586"/>
      <c r="Q10" s="586"/>
      <c r="R10" s="587"/>
      <c r="S10" s="583"/>
      <c r="T10" s="585" t="s">
        <v>485</v>
      </c>
      <c r="U10" s="586"/>
      <c r="V10" s="586"/>
      <c r="W10" s="587"/>
      <c r="Y10" s="585" t="s">
        <v>486</v>
      </c>
      <c r="Z10" s="586"/>
      <c r="AA10" s="586"/>
      <c r="AB10" s="587"/>
      <c r="AD10" s="585" t="s">
        <v>487</v>
      </c>
      <c r="AE10" s="586"/>
      <c r="AF10" s="586"/>
      <c r="AG10" s="587"/>
      <c r="AH10" s="543"/>
      <c r="AI10" s="525"/>
    </row>
    <row r="11" ht="20.25" customHeight="1">
      <c r="A11" s="545"/>
      <c r="B11" s="563"/>
      <c r="C11" s="575"/>
      <c r="D11" s="565"/>
      <c r="E11" s="588" t="s">
        <v>488</v>
      </c>
      <c r="F11" s="531"/>
      <c r="G11" s="589"/>
      <c r="H11" s="590" t="str">
        <f>IMAGE("https://raw.githubusercontent.com/msikma/pokesprite/master/items/medicine/berry-juice.png",3)</f>
        <v/>
      </c>
      <c r="I11" s="583"/>
      <c r="J11" s="588" t="s">
        <v>489</v>
      </c>
      <c r="K11" s="531"/>
      <c r="L11" s="589"/>
      <c r="M11" s="590" t="str">
        <f>IMAGE("https://raw.githubusercontent.com/msikma/pokesprite/master/items/hold-item/eviolite.png",3)</f>
        <v/>
      </c>
      <c r="N11" s="583"/>
      <c r="O11" s="588" t="s">
        <v>490</v>
      </c>
      <c r="P11" s="531"/>
      <c r="Q11" s="589"/>
      <c r="R11" s="590" t="str">
        <f>IMAGE("https://raw.githubusercontent.com/msikma/pokesprite/master/items/berry/lum.png",3)</f>
        <v/>
      </c>
      <c r="S11" s="583"/>
      <c r="T11" s="588" t="s">
        <v>491</v>
      </c>
      <c r="U11" s="531"/>
      <c r="V11" s="589"/>
      <c r="W11" s="590" t="str">
        <f>IMAGE("https://raw.githubusercontent.com/msikma/pokesprite/master/items/berry/oran.png",4,28,28)</f>
        <v/>
      </c>
      <c r="Y11" s="588" t="s">
        <v>492</v>
      </c>
      <c r="Z11" s="531"/>
      <c r="AA11" s="589"/>
      <c r="AB11" s="590" t="str">
        <f>IMAGE("https://raw.githubusercontent.com/msikma/pokesprite/master/items/berry/iapapa.png",3)</f>
        <v/>
      </c>
      <c r="AD11" s="588" t="s">
        <v>493</v>
      </c>
      <c r="AE11" s="531"/>
      <c r="AF11" s="589"/>
      <c r="AG11" s="590" t="str">
        <f>IMAGE("https://raw.githubusercontent.com/msikma/pokesprite/master/items/hold-item/air-balloon.png",3)</f>
        <v/>
      </c>
      <c r="AH11" s="573"/>
      <c r="AI11" s="525"/>
    </row>
    <row r="12" ht="20.25" customHeight="1">
      <c r="A12" s="545"/>
      <c r="B12" s="563"/>
      <c r="C12" s="579"/>
      <c r="D12" s="565"/>
      <c r="E12" s="580" t="s">
        <v>494</v>
      </c>
      <c r="F12" s="581"/>
      <c r="G12" s="581"/>
      <c r="H12" s="591" t="str">
        <f>IMAGE("https://raw.githubusercontent.com/msikma/pokesprite/master/misc/types/gen8/ground.png",4,20,20)</f>
        <v/>
      </c>
      <c r="I12" s="583"/>
      <c r="J12" s="580" t="s">
        <v>495</v>
      </c>
      <c r="K12" s="581"/>
      <c r="L12" s="581"/>
      <c r="M12" s="591" t="str">
        <f>IMAGE("https://raw.githubusercontent.com/msikma/pokesprite/master/misc/types/gen8/fighting.png",4,20,20)</f>
        <v/>
      </c>
      <c r="N12" s="583"/>
      <c r="O12" s="580" t="s">
        <v>496</v>
      </c>
      <c r="P12" s="581"/>
      <c r="Q12" s="581"/>
      <c r="R12" s="591" t="str">
        <f>IMAGE("https://raw.githubusercontent.com/msikma/pokesprite/master/misc/types/gen8/rock.png",4,20,20)</f>
        <v/>
      </c>
      <c r="S12" s="583"/>
      <c r="T12" s="580" t="s">
        <v>280</v>
      </c>
      <c r="U12" s="581"/>
      <c r="V12" s="581"/>
      <c r="W12" s="591" t="str">
        <f t="shared" ref="W12:W13" si="1">IMAGE("https://raw.githubusercontent.com/msikma/pokesprite/master/misc/types/gen8/normal.png",4,20,20)</f>
        <v/>
      </c>
      <c r="Y12" s="580" t="s">
        <v>497</v>
      </c>
      <c r="Z12" s="581"/>
      <c r="AA12" s="581"/>
      <c r="AB12" s="591" t="str">
        <f>IMAGE("https://raw.githubusercontent.com/msikma/pokesprite/master/misc/types/gen8/flying.png",4,20,20)</f>
        <v/>
      </c>
      <c r="AD12" s="580" t="s">
        <v>494</v>
      </c>
      <c r="AE12" s="581"/>
      <c r="AF12" s="581"/>
      <c r="AG12" s="591" t="str">
        <f>IMAGE("https://raw.githubusercontent.com/msikma/pokesprite/master/misc/types/gen8/ground.png",4,20,20)</f>
        <v/>
      </c>
      <c r="AH12" s="573"/>
      <c r="AI12" s="525"/>
    </row>
    <row r="13" ht="20.25" customHeight="1">
      <c r="A13" s="545"/>
      <c r="B13" s="563"/>
      <c r="C13" s="592"/>
      <c r="D13" s="565"/>
      <c r="E13" s="585" t="s">
        <v>498</v>
      </c>
      <c r="F13" s="586"/>
      <c r="G13" s="586"/>
      <c r="H13" s="593" t="str">
        <f>IMAGE("https://raw.githubusercontent.com/msikma/pokesprite/master/misc/types/gen8/rock.png",4,20,20)</f>
        <v/>
      </c>
      <c r="I13" s="583"/>
      <c r="J13" s="585" t="s">
        <v>499</v>
      </c>
      <c r="K13" s="586"/>
      <c r="L13" s="586"/>
      <c r="M13" s="593" t="str">
        <f>IMAGE("https://raw.githubusercontent.com/msikma/pokesprite/master/misc/types/gen8/grass.png",4,20,20)</f>
        <v/>
      </c>
      <c r="N13" s="583"/>
      <c r="O13" s="585" t="s">
        <v>500</v>
      </c>
      <c r="P13" s="586"/>
      <c r="Q13" s="586"/>
      <c r="R13" s="593" t="str">
        <f>IMAGE("https://raw.githubusercontent.com/msikma/pokesprite/master/misc/types/gen8/psychic.png",4,20,20)</f>
        <v/>
      </c>
      <c r="S13" s="583"/>
      <c r="T13" s="585" t="s">
        <v>501</v>
      </c>
      <c r="U13" s="586"/>
      <c r="V13" s="586"/>
      <c r="W13" s="593" t="str">
        <f t="shared" si="1"/>
        <v/>
      </c>
      <c r="Y13" s="585" t="s">
        <v>498</v>
      </c>
      <c r="Z13" s="586"/>
      <c r="AA13" s="586"/>
      <c r="AB13" s="593" t="str">
        <f>IMAGE("https://raw.githubusercontent.com/msikma/pokesprite/master/misc/types/gen8/rock.png",4,20,20)</f>
        <v/>
      </c>
      <c r="AD13" s="585" t="s">
        <v>502</v>
      </c>
      <c r="AE13" s="586"/>
      <c r="AF13" s="586"/>
      <c r="AG13" s="593" t="str">
        <f>IMAGE("https://raw.githubusercontent.com/msikma/pokesprite/master/misc/types/gen8/steel.png",4,20,20)</f>
        <v/>
      </c>
      <c r="AH13" s="573"/>
      <c r="AI13" s="525"/>
    </row>
    <row r="14" ht="20.25" customHeight="1">
      <c r="A14" s="545"/>
      <c r="B14" s="563"/>
      <c r="C14" s="592"/>
      <c r="D14" s="565"/>
      <c r="E14" s="585" t="s">
        <v>503</v>
      </c>
      <c r="F14" s="586"/>
      <c r="G14" s="586"/>
      <c r="H14" s="593" t="str">
        <f>IMAGE("https://raw.githubusercontent.com/msikma/pokesprite/master/misc/types/gen8/poison.png",4,20,20)</f>
        <v/>
      </c>
      <c r="I14" s="583"/>
      <c r="J14" s="585" t="s">
        <v>504</v>
      </c>
      <c r="K14" s="586"/>
      <c r="L14" s="586"/>
      <c r="M14" s="593" t="str">
        <f>IMAGE("https://raw.githubusercontent.com/msikma/pokesprite/master/misc/types/gen8/electric.png",4,20,20)</f>
        <v/>
      </c>
      <c r="N14" s="583"/>
      <c r="O14" s="585" t="s">
        <v>505</v>
      </c>
      <c r="P14" s="586"/>
      <c r="Q14" s="586"/>
      <c r="R14" s="593" t="str">
        <f>IMAGE("https://raw.githubusercontent.com/msikma/pokesprite/master/misc/types/gen8/ground.png",4,20,20)</f>
        <v/>
      </c>
      <c r="S14" s="583"/>
      <c r="T14" s="585" t="s">
        <v>506</v>
      </c>
      <c r="U14" s="586"/>
      <c r="V14" s="586"/>
      <c r="W14" s="593" t="str">
        <f>IMAGE("https://raw.githubusercontent.com/msikma/pokesprite/master/misc/types/gen8/rock.png",4,20,20)</f>
        <v/>
      </c>
      <c r="Y14" s="585" t="s">
        <v>494</v>
      </c>
      <c r="Z14" s="586"/>
      <c r="AA14" s="586"/>
      <c r="AB14" s="593" t="str">
        <f>IMAGE("https://raw.githubusercontent.com/msikma/pokesprite/master/misc/types/gen8/ground.png",4,20,20)</f>
        <v/>
      </c>
      <c r="AD14" s="585" t="s">
        <v>503</v>
      </c>
      <c r="AE14" s="586"/>
      <c r="AF14" s="586"/>
      <c r="AG14" s="593" t="str">
        <f>IMAGE("https://raw.githubusercontent.com/msikma/pokesprite/master/misc/types/gen8/poison.png",4,20,20)</f>
        <v/>
      </c>
      <c r="AH14" s="573"/>
      <c r="AI14" s="525"/>
    </row>
    <row r="15" ht="21.0" customHeight="1">
      <c r="A15" s="545"/>
      <c r="B15" s="563"/>
      <c r="C15" s="592"/>
      <c r="D15" s="565"/>
      <c r="E15" s="594" t="s">
        <v>507</v>
      </c>
      <c r="F15" s="595"/>
      <c r="G15" s="595"/>
      <c r="H15" s="596" t="str">
        <f>IMAGE("https://raw.githubusercontent.com/msikma/pokesprite/master/misc/types/gen8/normal.png",4,20,20)</f>
        <v/>
      </c>
      <c r="I15" s="583"/>
      <c r="J15" s="594" t="s">
        <v>508</v>
      </c>
      <c r="K15" s="595"/>
      <c r="L15" s="595"/>
      <c r="M15" s="596" t="str">
        <f>IMAGE("https://raw.githubusercontent.com/msikma/pokesprite/master/misc/types/gen8/bug.png",4,20,20)</f>
        <v/>
      </c>
      <c r="N15" s="583"/>
      <c r="O15" s="594" t="s">
        <v>509</v>
      </c>
      <c r="P15" s="595"/>
      <c r="Q15" s="595"/>
      <c r="R15" s="596" t="str">
        <f>IMAGE("https://raw.githubusercontent.com/msikma/pokesprite/master/misc/types/gen8/ice.png",4,20,20)</f>
        <v/>
      </c>
      <c r="S15" s="583"/>
      <c r="T15" s="594" t="s">
        <v>510</v>
      </c>
      <c r="U15" s="595"/>
      <c r="V15" s="595"/>
      <c r="W15" s="596" t="str">
        <f>IMAGE("https://raw.githubusercontent.com/msikma/pokesprite/master/misc/types/gen8/grass.png",4,20,20)</f>
        <v/>
      </c>
      <c r="X15" s="550"/>
      <c r="Y15" s="594" t="s">
        <v>511</v>
      </c>
      <c r="Z15" s="595"/>
      <c r="AA15" s="595"/>
      <c r="AB15" s="596" t="str">
        <f>IMAGE("https://raw.githubusercontent.com/msikma/pokesprite/master/misc/types/gen8/normal.png",4,20,20)</f>
        <v/>
      </c>
      <c r="AC15" s="550"/>
      <c r="AD15" s="594" t="s">
        <v>184</v>
      </c>
      <c r="AE15" s="595"/>
      <c r="AF15" s="595"/>
      <c r="AG15" s="596" t="str">
        <f>IMAGE("https://raw.githubusercontent.com/msikma/pokesprite/master/misc/types/gen8/normal.png",4,20,20)</f>
        <v/>
      </c>
      <c r="AH15" s="573"/>
      <c r="AI15" s="525"/>
    </row>
    <row r="16" ht="3.0" customHeight="1">
      <c r="A16" s="574"/>
      <c r="B16" s="563"/>
      <c r="C16" s="597"/>
      <c r="D16" s="598"/>
      <c r="E16" s="599"/>
      <c r="F16" s="599"/>
      <c r="G16" s="599"/>
      <c r="H16" s="599"/>
      <c r="I16" s="600"/>
      <c r="J16" s="599"/>
      <c r="K16" s="599"/>
      <c r="L16" s="599"/>
      <c r="M16" s="599"/>
      <c r="N16" s="600"/>
      <c r="O16" s="599"/>
      <c r="P16" s="599"/>
      <c r="Q16" s="599"/>
      <c r="R16" s="599"/>
      <c r="S16" s="600"/>
      <c r="T16" s="599"/>
      <c r="U16" s="599"/>
      <c r="V16" s="599"/>
      <c r="W16" s="599"/>
      <c r="X16" s="598"/>
      <c r="Y16" s="599"/>
      <c r="Z16" s="599"/>
      <c r="AA16" s="599"/>
      <c r="AB16" s="599"/>
      <c r="AC16" s="601"/>
      <c r="AD16" s="599"/>
      <c r="AE16" s="599"/>
      <c r="AF16" s="599"/>
      <c r="AG16" s="599"/>
      <c r="AH16" s="573"/>
      <c r="AI16" s="525"/>
    </row>
    <row r="17" ht="16.5" customHeight="1">
      <c r="A17" s="545"/>
      <c r="B17" s="602"/>
      <c r="C17" s="603"/>
      <c r="D17" s="604"/>
      <c r="E17" s="605" t="s">
        <v>512</v>
      </c>
      <c r="F17" s="606"/>
      <c r="G17" s="606"/>
      <c r="H17" s="607"/>
      <c r="I17" s="608"/>
      <c r="J17" s="605" t="s">
        <v>512</v>
      </c>
      <c r="K17" s="606"/>
      <c r="L17" s="606"/>
      <c r="M17" s="607"/>
      <c r="N17" s="608"/>
      <c r="O17" s="605" t="s">
        <v>512</v>
      </c>
      <c r="P17" s="606"/>
      <c r="Q17" s="606"/>
      <c r="R17" s="607"/>
      <c r="S17" s="608"/>
      <c r="T17" s="605" t="s">
        <v>512</v>
      </c>
      <c r="U17" s="606"/>
      <c r="V17" s="606"/>
      <c r="W17" s="607"/>
      <c r="X17" s="609"/>
      <c r="Y17" s="605" t="s">
        <v>512</v>
      </c>
      <c r="Z17" s="606"/>
      <c r="AA17" s="606"/>
      <c r="AB17" s="607"/>
      <c r="AC17" s="610"/>
      <c r="AD17" s="605" t="s">
        <v>512</v>
      </c>
      <c r="AE17" s="606"/>
      <c r="AF17" s="606"/>
      <c r="AG17" s="607"/>
      <c r="AH17" s="611"/>
      <c r="AI17" s="612"/>
    </row>
    <row r="18" ht="16.5" customHeight="1">
      <c r="A18" s="545"/>
      <c r="B18" s="602"/>
      <c r="C18" s="603"/>
      <c r="D18" s="604"/>
      <c r="E18" s="613" t="s">
        <v>513</v>
      </c>
      <c r="F18" s="614">
        <f t="array" ref="F18">IFERROR(VLOOKUP(E5,Dex!$B$3:$N200,8,FALSE),"")</f>
        <v>68</v>
      </c>
      <c r="G18" s="615" t="str">
        <f t="array" ref="G18">IFERROR(VLOOKUP(F18,Dex!$P$22:$Q$276,2,FALSE),"")</f>
        <v/>
      </c>
      <c r="H18" s="616"/>
      <c r="I18" s="617"/>
      <c r="J18" s="613" t="s">
        <v>513</v>
      </c>
      <c r="K18" s="614">
        <f t="array" ref="K18">IFERROR(VLOOKUP(J5,Dex!$B$3:$N200,8,FALSE),"")</f>
        <v>50</v>
      </c>
      <c r="L18" s="615" t="str">
        <f t="array" ref="L18">IFERROR(VLOOKUP(K18,Dex!$P$22:$Q$276,2,FALSE),"")</f>
        <v/>
      </c>
      <c r="M18" s="616"/>
      <c r="N18" s="617"/>
      <c r="O18" s="613" t="s">
        <v>513</v>
      </c>
      <c r="P18" s="614">
        <f t="array" ref="P18">IFERROR(VLOOKUP(O5,Dex!$B$3:$N200,8,FALSE),"")</f>
        <v>90</v>
      </c>
      <c r="Q18" s="615" t="str">
        <f t="array" ref="Q18">IFERROR(VLOOKUP(P18,Dex!$P$22:$Q$276,2,FALSE),"")</f>
        <v/>
      </c>
      <c r="R18" s="616"/>
      <c r="S18" s="617"/>
      <c r="T18" s="613" t="s">
        <v>513</v>
      </c>
      <c r="U18" s="614">
        <f t="array" ref="U18">IFERROR(VLOOKUP(T5,Dex!$B$3:$N200,8,FALSE),"")</f>
        <v>66</v>
      </c>
      <c r="V18" s="615" t="str">
        <f t="array" ref="V18">IFERROR(VLOOKUP(U18,Dex!$P$22:$Q$276,2,FALSE),"")</f>
        <v/>
      </c>
      <c r="W18" s="616"/>
      <c r="X18" s="618"/>
      <c r="Y18" s="613" t="s">
        <v>513</v>
      </c>
      <c r="Z18" s="614">
        <f t="array" ref="Z18">IFERROR(VLOOKUP(Y5,Dex!$B$3:$N200,8,FALSE),"")</f>
        <v>55</v>
      </c>
      <c r="AA18" s="615" t="str">
        <f t="array" ref="AA18">IFERROR(VLOOKUP(Z18,Dex!$P$22:$Q$276,2,FALSE),"")</f>
        <v/>
      </c>
      <c r="AB18" s="616"/>
      <c r="AC18" s="619"/>
      <c r="AD18" s="613" t="s">
        <v>513</v>
      </c>
      <c r="AE18" s="614">
        <f t="array" ref="AE18">IFERROR(VLOOKUP(AD5,Dex!$B$3:$N200,8,FALSE),"")</f>
        <v>45</v>
      </c>
      <c r="AF18" s="615" t="str">
        <f t="array" ref="AF18">IFERROR(VLOOKUP(AE18,Dex!$P$22:$Q$276,2,FALSE),"")</f>
        <v/>
      </c>
      <c r="AG18" s="616"/>
      <c r="AH18" s="611"/>
      <c r="AI18" s="612"/>
    </row>
    <row r="19" ht="16.5" customHeight="1">
      <c r="A19" s="545"/>
      <c r="B19" s="602"/>
      <c r="C19" s="603"/>
      <c r="D19" s="604"/>
      <c r="E19" s="620" t="s">
        <v>514</v>
      </c>
      <c r="F19" s="621">
        <f t="array" ref="F19">IFERROR(VLOOKUP(E5,Dex!$B$3:$N200,9,FALSE),"")</f>
        <v>72</v>
      </c>
      <c r="G19" s="622" t="str">
        <f t="array" ref="G19">IFERROR(VLOOKUP(F19,Dex!$P$22:$Q$276,2,FALSE),"")</f>
        <v/>
      </c>
      <c r="H19" s="623"/>
      <c r="I19" s="617"/>
      <c r="J19" s="620" t="s">
        <v>514</v>
      </c>
      <c r="K19" s="621">
        <f t="array" ref="K19">IFERROR(VLOOKUP(J5,Dex!$B$3:$N200,9,FALSE),"")</f>
        <v>85</v>
      </c>
      <c r="L19" s="622" t="str">
        <f t="array" ref="L19">IFERROR(VLOOKUP(K19,Dex!$P$22:$Q$276,2,FALSE),"")</f>
        <v/>
      </c>
      <c r="M19" s="623"/>
      <c r="N19" s="617"/>
      <c r="O19" s="620" t="s">
        <v>514</v>
      </c>
      <c r="P19" s="621">
        <f t="array" ref="P19">IFERROR(VLOOKUP(O5,Dex!$B$3:$N200,9,FALSE),"")</f>
        <v>55</v>
      </c>
      <c r="Q19" s="622" t="str">
        <f t="array" ref="Q19">IFERROR(VLOOKUP(P19,Dex!$P$22:$Q$276,2,FALSE),"")</f>
        <v/>
      </c>
      <c r="R19" s="623"/>
      <c r="S19" s="617"/>
      <c r="T19" s="620" t="s">
        <v>514</v>
      </c>
      <c r="U19" s="621">
        <f t="array" ref="U19">IFERROR(VLOOKUP(T5,Dex!$B$3:$N200,9,FALSE),"")</f>
        <v>41</v>
      </c>
      <c r="V19" s="622" t="str">
        <f t="array" ref="V19">IFERROR(VLOOKUP(U19,Dex!$P$22:$Q$276,2,FALSE),"")</f>
        <v/>
      </c>
      <c r="W19" s="623"/>
      <c r="X19" s="618"/>
      <c r="Y19" s="620" t="s">
        <v>514</v>
      </c>
      <c r="Z19" s="621">
        <f t="array" ref="Z19">IFERROR(VLOOKUP(Y5,Dex!$B$3:$N200,9,FALSE),"")</f>
        <v>112</v>
      </c>
      <c r="AA19" s="622" t="str">
        <f t="array" ref="AA19">IFERROR(VLOOKUP(Z19,Dex!$P$22:$Q$276,2,FALSE),"")</f>
        <v/>
      </c>
      <c r="AB19" s="623"/>
      <c r="AC19" s="619"/>
      <c r="AD19" s="620" t="s">
        <v>514</v>
      </c>
      <c r="AE19" s="621">
        <f t="array" ref="AE19">IFERROR(VLOOKUP(AD5,Dex!$B$3:$N200,9,FALSE),"")</f>
        <v>70</v>
      </c>
      <c r="AF19" s="622" t="str">
        <f t="array" ref="AF19">IFERROR(VLOOKUP(AE19,Dex!$P$22:$Q$276,2,FALSE),"")</f>
        <v/>
      </c>
      <c r="AG19" s="623"/>
      <c r="AH19" s="611"/>
      <c r="AI19" s="612"/>
    </row>
    <row r="20" ht="16.5" customHeight="1">
      <c r="A20" s="545"/>
      <c r="B20" s="602"/>
      <c r="C20" s="603"/>
      <c r="D20" s="604"/>
      <c r="E20" s="620" t="s">
        <v>515</v>
      </c>
      <c r="F20" s="621">
        <f t="array" ref="F20">IFERROR(VLOOKUP(E5,Dex!$B$3:$N200,10,FALSE),"")</f>
        <v>78</v>
      </c>
      <c r="G20" s="622" t="str">
        <f t="array" ref="G20">IFERROR(VLOOKUP(F20,Dex!$P$22:$Q$276,2,FALSE),"")</f>
        <v/>
      </c>
      <c r="H20" s="623"/>
      <c r="I20" s="617"/>
      <c r="J20" s="620" t="s">
        <v>515</v>
      </c>
      <c r="K20" s="621">
        <f t="array" ref="K20">IFERROR(VLOOKUP(J5,Dex!$B$3:$N200,10,FALSE),"")</f>
        <v>40</v>
      </c>
      <c r="L20" s="622" t="str">
        <f t="array" ref="L20">IFERROR(VLOOKUP(K20,Dex!$P$22:$Q$276,2,FALSE),"")</f>
        <v/>
      </c>
      <c r="M20" s="623"/>
      <c r="N20" s="617"/>
      <c r="O20" s="620" t="s">
        <v>515</v>
      </c>
      <c r="P20" s="621">
        <f t="array" ref="P20">IFERROR(VLOOKUP(O5,Dex!$B$3:$N200,10,FALSE),"")</f>
        <v>65</v>
      </c>
      <c r="Q20" s="622" t="str">
        <f t="array" ref="Q20">IFERROR(VLOOKUP(P20,Dex!$P$22:$Q$276,2,FALSE),"")</f>
        <v/>
      </c>
      <c r="R20" s="623"/>
      <c r="S20" s="617"/>
      <c r="T20" s="620" t="s">
        <v>515</v>
      </c>
      <c r="U20" s="621">
        <f t="array" ref="U20">IFERROR(VLOOKUP(T5,Dex!$B$3:$N200,10,FALSE),"")</f>
        <v>77</v>
      </c>
      <c r="V20" s="622" t="str">
        <f t="array" ref="V20">IFERROR(VLOOKUP(U20,Dex!$P$22:$Q$276,2,FALSE),"")</f>
        <v/>
      </c>
      <c r="W20" s="623"/>
      <c r="X20" s="618"/>
      <c r="Y20" s="620" t="s">
        <v>515</v>
      </c>
      <c r="Z20" s="621">
        <f t="array" ref="Z20">IFERROR(VLOOKUP(Y5,Dex!$B$3:$N200,10,FALSE),"")</f>
        <v>45</v>
      </c>
      <c r="AA20" s="622" t="str">
        <f t="array" ref="AA20">IFERROR(VLOOKUP(Z20,Dex!$P$22:$Q$276,2,FALSE),"")</f>
        <v/>
      </c>
      <c r="AB20" s="623"/>
      <c r="AC20" s="619"/>
      <c r="AD20" s="620" t="s">
        <v>515</v>
      </c>
      <c r="AE20" s="621">
        <f t="array" ref="AE20">IFERROR(VLOOKUP(AD5,Dex!$B$3:$N200,10,FALSE),"")</f>
        <v>63</v>
      </c>
      <c r="AF20" s="622" t="str">
        <f t="array" ref="AF20">IFERROR(VLOOKUP(AE20,Dex!$P$22:$Q$276,2,FALSE),"")</f>
        <v/>
      </c>
      <c r="AG20" s="623"/>
      <c r="AH20" s="611"/>
      <c r="AI20" s="612"/>
    </row>
    <row r="21" ht="16.5" customHeight="1">
      <c r="A21" s="545"/>
      <c r="B21" s="602"/>
      <c r="C21" s="603"/>
      <c r="D21" s="604"/>
      <c r="E21" s="620" t="s">
        <v>516</v>
      </c>
      <c r="F21" s="621">
        <f t="array" ref="F21">IFERROR(VLOOKUP(E5,Dex!$B$3:$N200,11,FALSE),"")</f>
        <v>38</v>
      </c>
      <c r="G21" s="622" t="str">
        <f t="array" ref="G21">IFERROR(VLOOKUP(F21,Dex!$P$22:$Q$276,2,FALSE),"")</f>
        <v/>
      </c>
      <c r="H21" s="623"/>
      <c r="I21" s="617"/>
      <c r="J21" s="620" t="s">
        <v>516</v>
      </c>
      <c r="K21" s="621">
        <f t="array" ref="K21">IFERROR(VLOOKUP(J5,Dex!$B$3:$N200,11,FALSE),"")</f>
        <v>85</v>
      </c>
      <c r="L21" s="622" t="str">
        <f t="array" ref="L21">IFERROR(VLOOKUP(K21,Dex!$P$22:$Q$276,2,FALSE),"")</f>
        <v/>
      </c>
      <c r="M21" s="623"/>
      <c r="N21" s="617"/>
      <c r="O21" s="620" t="s">
        <v>516</v>
      </c>
      <c r="P21" s="621">
        <f t="array" ref="P21">IFERROR(VLOOKUP(O5,Dex!$B$3:$N200,11,FALSE),"")</f>
        <v>105</v>
      </c>
      <c r="Q21" s="622" t="str">
        <f t="array" ref="Q21">IFERROR(VLOOKUP(P21,Dex!$P$22:$Q$276,2,FALSE),"")</f>
        <v/>
      </c>
      <c r="R21" s="623"/>
      <c r="S21" s="617"/>
      <c r="T21" s="620" t="s">
        <v>516</v>
      </c>
      <c r="U21" s="621">
        <f t="array" ref="U21">IFERROR(VLOOKUP(T5,Dex!$B$3:$N200,11,FALSE),"")</f>
        <v>61</v>
      </c>
      <c r="V21" s="622" t="str">
        <f t="array" ref="V21">IFERROR(VLOOKUP(U21,Dex!$P$22:$Q$276,2,FALSE),"")</f>
        <v/>
      </c>
      <c r="W21" s="623"/>
      <c r="X21" s="618"/>
      <c r="Y21" s="620" t="s">
        <v>516</v>
      </c>
      <c r="Z21" s="621">
        <f t="array" ref="Z21">IFERROR(VLOOKUP(Y5,Dex!$B$3:$N200,11,FALSE),"")</f>
        <v>74</v>
      </c>
      <c r="AA21" s="622" t="str">
        <f t="array" ref="AA21">IFERROR(VLOOKUP(Z21,Dex!$P$22:$Q$276,2,FALSE),"")</f>
        <v/>
      </c>
      <c r="AB21" s="623"/>
      <c r="AC21" s="619"/>
      <c r="AD21" s="620" t="s">
        <v>516</v>
      </c>
      <c r="AE21" s="621">
        <f t="array" ref="AE21">IFERROR(VLOOKUP(AD5,Dex!$B$3:$N200,11,FALSE),"")</f>
        <v>30</v>
      </c>
      <c r="AF21" s="622" t="str">
        <f t="array" ref="AF21">IFERROR(VLOOKUP(AE21,Dex!$P$22:$Q$276,2,FALSE),"")</f>
        <v/>
      </c>
      <c r="AG21" s="623"/>
      <c r="AH21" s="611"/>
      <c r="AI21" s="612"/>
    </row>
    <row r="22" ht="16.5" customHeight="1">
      <c r="A22" s="545"/>
      <c r="B22" s="602"/>
      <c r="C22" s="603"/>
      <c r="D22" s="604"/>
      <c r="E22" s="620" t="s">
        <v>517</v>
      </c>
      <c r="F22" s="621">
        <f t="array" ref="F22">IFERROR(VLOOKUP(E5,Dex!$B$3:$N200,12,FALSE),"")</f>
        <v>42</v>
      </c>
      <c r="G22" s="622" t="str">
        <f t="array" ref="G22">IFERROR(VLOOKUP(F22,Dex!$P$22:$Q$276,2,FALSE),"")</f>
        <v/>
      </c>
      <c r="H22" s="623"/>
      <c r="I22" s="617"/>
      <c r="J22" s="620" t="s">
        <v>517</v>
      </c>
      <c r="K22" s="621">
        <f t="array" ref="K22">IFERROR(VLOOKUP(J5,Dex!$B$3:$N200,12,FALSE),"")</f>
        <v>40</v>
      </c>
      <c r="L22" s="622" t="str">
        <f t="array" ref="L22">IFERROR(VLOOKUP(K22,Dex!$P$22:$Q$276,2,FALSE),"")</f>
        <v/>
      </c>
      <c r="M22" s="623"/>
      <c r="N22" s="617"/>
      <c r="O22" s="620" t="s">
        <v>517</v>
      </c>
      <c r="P22" s="621">
        <f t="array" ref="P22">IFERROR(VLOOKUP(O5,Dex!$B$3:$N200,12,FALSE),"")</f>
        <v>85</v>
      </c>
      <c r="Q22" s="622" t="str">
        <f t="array" ref="Q22">IFERROR(VLOOKUP(P22,Dex!$P$22:$Q$276,2,FALSE),"")</f>
        <v/>
      </c>
      <c r="R22" s="623"/>
      <c r="S22" s="617"/>
      <c r="T22" s="620" t="s">
        <v>517</v>
      </c>
      <c r="U22" s="621">
        <f t="array" ref="U22">IFERROR(VLOOKUP(T5,Dex!$B$3:$N200,12,FALSE),"")</f>
        <v>87</v>
      </c>
      <c r="V22" s="622" t="str">
        <f t="array" ref="V22">IFERROR(VLOOKUP(U22,Dex!$P$22:$Q$276,2,FALSE),"")</f>
        <v/>
      </c>
      <c r="W22" s="623"/>
      <c r="X22" s="618"/>
      <c r="Y22" s="620" t="s">
        <v>517</v>
      </c>
      <c r="Z22" s="621">
        <f t="array" ref="Z22">IFERROR(VLOOKUP(Y5,Dex!$B$3:$N200,12,FALSE),"")</f>
        <v>45</v>
      </c>
      <c r="AA22" s="622" t="str">
        <f t="array" ref="AA22">IFERROR(VLOOKUP(Z22,Dex!$P$22:$Q$276,2,FALSE),"")</f>
        <v/>
      </c>
      <c r="AB22" s="623"/>
      <c r="AC22" s="619"/>
      <c r="AD22" s="620" t="s">
        <v>517</v>
      </c>
      <c r="AE22" s="621">
        <f t="array" ref="AE22">IFERROR(VLOOKUP(AD5,Dex!$B$3:$N200,12,FALSE),"")</f>
        <v>45</v>
      </c>
      <c r="AF22" s="622" t="str">
        <f t="array" ref="AF22">IFERROR(VLOOKUP(AE22,Dex!$P$22:$Q$276,2,FALSE),"")</f>
        <v/>
      </c>
      <c r="AG22" s="623"/>
      <c r="AH22" s="611"/>
      <c r="AI22" s="612"/>
    </row>
    <row r="23" ht="15.75" customHeight="1">
      <c r="A23" s="545"/>
      <c r="B23" s="602"/>
      <c r="C23" s="603"/>
      <c r="D23" s="604"/>
      <c r="E23" s="624" t="s">
        <v>518</v>
      </c>
      <c r="F23" s="625">
        <f t="array" ref="F23">IFERROR(VLOOKUP(E5,Dex!$B$3:$N200,13,FALSE),"")</f>
        <v>32</v>
      </c>
      <c r="G23" s="626" t="str">
        <f t="array" ref="G23">IFERROR(VLOOKUP(F23,Dex!$P$22:$Q$276,2,FALSE),"")</f>
        <v/>
      </c>
      <c r="H23" s="627"/>
      <c r="I23" s="617"/>
      <c r="J23" s="624" t="s">
        <v>518</v>
      </c>
      <c r="K23" s="625">
        <f t="array" ref="K23">IFERROR(VLOOKUP(J5,Dex!$B$3:$N200,13,FALSE),"")</f>
        <v>35</v>
      </c>
      <c r="L23" s="626" t="str">
        <f t="array" ref="L23">IFERROR(VLOOKUP(K23,Dex!$P$22:$Q$276,2,FALSE),"")</f>
        <v/>
      </c>
      <c r="M23" s="627"/>
      <c r="N23" s="617"/>
      <c r="O23" s="624" t="s">
        <v>518</v>
      </c>
      <c r="P23" s="625">
        <f t="array" ref="P23">IFERROR(VLOOKUP(O5,Dex!$B$3:$N200,13,FALSE),"")</f>
        <v>90</v>
      </c>
      <c r="Q23" s="626" t="str">
        <f t="array" ref="Q23">IFERROR(VLOOKUP(P23,Dex!$P$22:$Q$276,2,FALSE),"")</f>
        <v/>
      </c>
      <c r="R23" s="627"/>
      <c r="S23" s="617"/>
      <c r="T23" s="624" t="s">
        <v>518</v>
      </c>
      <c r="U23" s="625">
        <f t="array" ref="U23">IFERROR(VLOOKUP(T5,Dex!$B$3:$N200,13,FALSE),"")</f>
        <v>23</v>
      </c>
      <c r="V23" s="626" t="str">
        <f t="array" ref="V23">IFERROR(VLOOKUP(U23,Dex!$P$22:$Q$276,2,FALSE),"")</f>
        <v/>
      </c>
      <c r="W23" s="627"/>
      <c r="X23" s="618"/>
      <c r="Y23" s="624" t="s">
        <v>518</v>
      </c>
      <c r="Z23" s="625">
        <f t="array" ref="Z23">IFERROR(VLOOKUP(Y5,Dex!$B$3:$N200,13,FALSE),"")</f>
        <v>70</v>
      </c>
      <c r="AA23" s="626" t="str">
        <f t="array" ref="AA23">IFERROR(VLOOKUP(Z23,Dex!$P$22:$Q$276,2,FALSE),"")</f>
        <v/>
      </c>
      <c r="AB23" s="627"/>
      <c r="AC23" s="619"/>
      <c r="AD23" s="624" t="s">
        <v>518</v>
      </c>
      <c r="AE23" s="625">
        <f t="array" ref="AE23">IFERROR(VLOOKUP(AD5,Dex!$B$3:$N200,13,FALSE),"")</f>
        <v>47</v>
      </c>
      <c r="AF23" s="626" t="str">
        <f t="array" ref="AF23">IFERROR(VLOOKUP(AE23,Dex!$P$22:$Q$276,2,FALSE),"")</f>
        <v/>
      </c>
      <c r="AG23" s="627"/>
      <c r="AH23" s="611"/>
      <c r="AI23" s="612"/>
    </row>
    <row r="24" ht="16.5" customHeight="1">
      <c r="A24" s="545"/>
      <c r="B24" s="602"/>
      <c r="C24" s="597"/>
      <c r="D24" s="628"/>
      <c r="E24" s="629" t="s">
        <v>519</v>
      </c>
      <c r="F24" s="630"/>
      <c r="G24" s="631"/>
      <c r="H24" s="632">
        <f>ROUNDDOWN((ROUNDDOWN(((((2*F23+31)*E6)/100+5)),0))*1,0)</f>
        <v>17</v>
      </c>
      <c r="I24" s="633"/>
      <c r="J24" s="634" t="s">
        <v>519</v>
      </c>
      <c r="K24" s="635"/>
      <c r="L24" s="636"/>
      <c r="M24" s="632">
        <f>ROUNDDOWN((ROUNDDOWN(((((2*K23+31)*J6)/100+5)),0))*1,0)</f>
        <v>20</v>
      </c>
      <c r="N24" s="637"/>
      <c r="O24" s="629" t="s">
        <v>519</v>
      </c>
      <c r="P24" s="630"/>
      <c r="Q24" s="631"/>
      <c r="R24" s="632">
        <f>ROUNDDOWN((ROUNDDOWN(((((2*P23+31)*O6)/100+5)),0))*1,0)</f>
        <v>34</v>
      </c>
      <c r="S24" s="637"/>
      <c r="T24" s="629" t="s">
        <v>519</v>
      </c>
      <c r="U24" s="630"/>
      <c r="V24" s="631"/>
      <c r="W24" s="632">
        <f>ROUNDDOWN((ROUNDDOWN(((((2*U23+31)*T6)/100+5)),0))*1,0)</f>
        <v>17</v>
      </c>
      <c r="X24" s="609"/>
      <c r="Y24" s="629" t="s">
        <v>519</v>
      </c>
      <c r="Z24" s="630"/>
      <c r="AA24" s="631"/>
      <c r="AB24" s="632">
        <f>ROUNDDOWN((ROUNDDOWN(((((2*Z23+31)*Y6)/100+5)),0))*1,0)</f>
        <v>28</v>
      </c>
      <c r="AC24" s="638"/>
      <c r="AD24" s="629" t="s">
        <v>519</v>
      </c>
      <c r="AE24" s="630"/>
      <c r="AF24" s="631"/>
      <c r="AG24" s="632">
        <f>ROUNDDOWN((ROUNDDOWN(((((2*AE23+0)*AD6)/100+5)),0))*1,0)</f>
        <v>19</v>
      </c>
      <c r="AH24" s="639"/>
      <c r="AI24" s="612"/>
    </row>
    <row r="25" ht="16.5" customHeight="1">
      <c r="A25" s="545"/>
      <c r="B25" s="602"/>
      <c r="C25" s="603"/>
      <c r="D25" s="640"/>
      <c r="E25" s="603"/>
      <c r="F25" s="603"/>
      <c r="G25" s="603"/>
      <c r="H25" s="603"/>
      <c r="I25" s="641"/>
      <c r="J25" s="642" t="s">
        <v>520</v>
      </c>
      <c r="K25" s="643"/>
      <c r="L25" s="644"/>
      <c r="M25" s="645">
        <f>M24*2</f>
        <v>40</v>
      </c>
      <c r="N25" s="641"/>
      <c r="O25" s="603"/>
      <c r="P25" s="603"/>
      <c r="Q25" s="603"/>
      <c r="R25" s="597"/>
      <c r="S25" s="646"/>
      <c r="T25" s="647"/>
      <c r="U25" s="597"/>
      <c r="V25" s="603"/>
      <c r="W25" s="647"/>
      <c r="X25" s="648"/>
      <c r="Y25" s="603"/>
      <c r="Z25" s="603"/>
      <c r="AA25" s="603"/>
      <c r="AB25" s="597"/>
      <c r="AC25" s="649"/>
      <c r="AD25" s="603"/>
      <c r="AE25" s="603"/>
      <c r="AF25" s="603"/>
      <c r="AG25" s="603"/>
      <c r="AH25" s="611"/>
      <c r="AI25" s="612"/>
    </row>
    <row r="26" ht="15.0" customHeight="1">
      <c r="A26" s="519"/>
      <c r="B26" s="650"/>
      <c r="C26" s="651"/>
      <c r="D26" s="652"/>
      <c r="E26" s="652"/>
      <c r="F26" s="652"/>
      <c r="G26" s="652"/>
      <c r="H26" s="652"/>
      <c r="I26" s="652"/>
      <c r="J26" s="652"/>
      <c r="K26" s="652"/>
      <c r="L26" s="652"/>
      <c r="M26" s="652"/>
      <c r="N26" s="652"/>
      <c r="O26" s="652"/>
      <c r="P26" s="652"/>
      <c r="Q26" s="652"/>
      <c r="R26" s="652"/>
      <c r="S26" s="652"/>
      <c r="T26" s="652"/>
      <c r="U26" s="652"/>
      <c r="V26" s="652"/>
      <c r="W26" s="652"/>
      <c r="X26" s="652"/>
      <c r="Y26" s="652"/>
      <c r="Z26" s="652"/>
      <c r="AA26" s="652"/>
      <c r="AB26" s="652"/>
      <c r="AC26" s="652"/>
      <c r="AD26" s="652"/>
      <c r="AE26" s="652"/>
      <c r="AF26" s="652"/>
      <c r="AG26" s="652"/>
      <c r="AH26" s="653"/>
      <c r="AI26" s="525"/>
    </row>
    <row r="27" ht="15.0" customHeight="1">
      <c r="A27" s="519"/>
      <c r="B27" s="654"/>
      <c r="C27" s="655"/>
      <c r="D27" s="656"/>
      <c r="E27" s="657"/>
      <c r="F27" s="657"/>
      <c r="G27" s="657"/>
      <c r="H27" s="657"/>
      <c r="I27" s="656"/>
      <c r="J27" s="657"/>
      <c r="K27" s="657"/>
      <c r="L27" s="657"/>
      <c r="M27" s="657"/>
      <c r="N27" s="656"/>
      <c r="O27" s="657"/>
      <c r="P27" s="657"/>
      <c r="Q27" s="657"/>
      <c r="R27" s="657"/>
      <c r="S27" s="656"/>
      <c r="T27" s="657"/>
      <c r="U27" s="657"/>
      <c r="V27" s="657"/>
      <c r="W27" s="657"/>
      <c r="X27" s="656"/>
      <c r="Y27" s="657"/>
      <c r="Z27" s="657"/>
      <c r="AA27" s="657"/>
      <c r="AB27" s="657"/>
      <c r="AC27" s="656"/>
      <c r="AD27" s="657"/>
      <c r="AE27" s="657"/>
      <c r="AF27" s="657"/>
      <c r="AG27" s="657"/>
      <c r="AH27" s="658"/>
      <c r="AI27" s="525"/>
    </row>
    <row r="28">
      <c r="A28" s="545"/>
      <c r="B28" s="659"/>
      <c r="C28" s="660"/>
      <c r="D28" s="661"/>
      <c r="E28" s="662" t="s">
        <v>521</v>
      </c>
      <c r="F28" s="663"/>
      <c r="G28" s="663"/>
      <c r="H28" s="663"/>
      <c r="I28" s="663"/>
      <c r="J28" s="663"/>
      <c r="K28" s="663"/>
      <c r="L28" s="663"/>
      <c r="M28" s="663"/>
      <c r="N28" s="663"/>
      <c r="O28" s="663"/>
      <c r="P28" s="663"/>
      <c r="Q28" s="663"/>
      <c r="R28" s="663"/>
      <c r="S28" s="663"/>
      <c r="T28" s="663"/>
      <c r="U28" s="663"/>
      <c r="V28" s="663"/>
      <c r="W28" s="663"/>
      <c r="X28" s="663"/>
      <c r="Y28" s="663"/>
      <c r="Z28" s="663"/>
      <c r="AA28" s="663"/>
      <c r="AB28" s="663"/>
      <c r="AC28" s="663"/>
      <c r="AD28" s="663"/>
      <c r="AE28" s="663"/>
      <c r="AF28" s="663"/>
      <c r="AG28" s="664"/>
      <c r="AH28" s="665"/>
      <c r="AI28" s="534"/>
    </row>
    <row r="29" ht="96.75" customHeight="1">
      <c r="A29" s="519"/>
      <c r="B29" s="666"/>
      <c r="C29" s="667" t="str">
        <f>IMAGE("https://i.ibb.co/mh2zYn4/Misty.png")</f>
        <v/>
      </c>
      <c r="D29" s="668"/>
      <c r="E29" s="669" t="str">
        <f t="array" ref="E29">IFERROR(VLOOKUP(E30,Dex!$B$3:$G200,3,FALSE),"")</f>
        <v/>
      </c>
      <c r="F29" s="539"/>
      <c r="G29" s="539"/>
      <c r="H29" s="540"/>
      <c r="I29" s="670"/>
      <c r="J29" s="669" t="str">
        <f t="array" ref="J29">IFERROR(VLOOKUP(J30,Dex!$B$3:$G200,3,FALSE),"")</f>
        <v/>
      </c>
      <c r="K29" s="539"/>
      <c r="L29" s="539"/>
      <c r="M29" s="540"/>
      <c r="N29" s="670"/>
      <c r="O29" s="669" t="str">
        <f t="array" ref="O29">IFERROR(VLOOKUP(O30,Dex!$B$3:$G200,3,FALSE),"")</f>
        <v/>
      </c>
      <c r="P29" s="539"/>
      <c r="Q29" s="539"/>
      <c r="R29" s="540"/>
      <c r="S29" s="670"/>
      <c r="T29" s="669" t="str">
        <f t="array" ref="T29">IFERROR(VLOOKUP(T30,Dex!$B$3:$G200,3,FALSE),"")</f>
        <v/>
      </c>
      <c r="U29" s="539"/>
      <c r="V29" s="539"/>
      <c r="W29" s="540"/>
      <c r="X29" s="671"/>
      <c r="Y29" s="669" t="str">
        <f t="array" ref="Y29">IFERROR(VLOOKUP(Y30,Dex!$B$3:$G200,3,FALSE),"")</f>
        <v/>
      </c>
      <c r="Z29" s="539"/>
      <c r="AA29" s="539"/>
      <c r="AB29" s="540"/>
      <c r="AC29" s="672"/>
      <c r="AD29" s="669" t="str">
        <f t="array" ref="AD29">IFERROR(VLOOKUP(AD30,Dex!$B$3:$G200,3,FALSE),"")</f>
        <v/>
      </c>
      <c r="AE29" s="539"/>
      <c r="AF29" s="539"/>
      <c r="AG29" s="540"/>
      <c r="AH29" s="673"/>
      <c r="AI29" s="525"/>
    </row>
    <row r="30" ht="18.75" customHeight="1">
      <c r="A30" s="545"/>
      <c r="B30" s="674"/>
      <c r="C30" s="675" t="s">
        <v>522</v>
      </c>
      <c r="D30" s="676"/>
      <c r="E30" s="677" t="s">
        <v>523</v>
      </c>
      <c r="F30" s="678"/>
      <c r="G30" s="678"/>
      <c r="H30" s="679"/>
      <c r="I30" s="680"/>
      <c r="J30" s="677" t="s">
        <v>524</v>
      </c>
      <c r="K30" s="678"/>
      <c r="L30" s="678"/>
      <c r="M30" s="679"/>
      <c r="N30" s="680"/>
      <c r="O30" s="677" t="s">
        <v>525</v>
      </c>
      <c r="P30" s="678"/>
      <c r="Q30" s="678"/>
      <c r="R30" s="679"/>
      <c r="S30" s="680"/>
      <c r="T30" s="677" t="s">
        <v>526</v>
      </c>
      <c r="U30" s="678"/>
      <c r="V30" s="678"/>
      <c r="W30" s="679"/>
      <c r="Y30" s="677" t="s">
        <v>527</v>
      </c>
      <c r="Z30" s="678"/>
      <c r="AA30" s="678"/>
      <c r="AB30" s="679"/>
      <c r="AC30" s="681"/>
      <c r="AD30" s="677" t="s">
        <v>528</v>
      </c>
      <c r="AE30" s="678"/>
      <c r="AF30" s="678"/>
      <c r="AG30" s="679"/>
      <c r="AH30" s="682"/>
      <c r="AI30" s="554"/>
    </row>
    <row r="31">
      <c r="A31" s="545"/>
      <c r="B31" s="683"/>
      <c r="C31" s="556"/>
      <c r="D31" s="684"/>
      <c r="E31" s="685">
        <v>27.0</v>
      </c>
      <c r="F31" s="686"/>
      <c r="G31" s="686"/>
      <c r="H31" s="687"/>
      <c r="I31" s="680"/>
      <c r="J31" s="685">
        <v>28.0</v>
      </c>
      <c r="K31" s="686"/>
      <c r="L31" s="686"/>
      <c r="M31" s="687"/>
      <c r="N31" s="680"/>
      <c r="O31" s="685">
        <v>27.0</v>
      </c>
      <c r="P31" s="686"/>
      <c r="Q31" s="686"/>
      <c r="R31" s="687"/>
      <c r="S31" s="680"/>
      <c r="T31" s="685">
        <v>28.0</v>
      </c>
      <c r="U31" s="686"/>
      <c r="V31" s="686"/>
      <c r="W31" s="687"/>
      <c r="Y31" s="685">
        <v>28.0</v>
      </c>
      <c r="Z31" s="686"/>
      <c r="AA31" s="686"/>
      <c r="AB31" s="687"/>
      <c r="AC31" s="681"/>
      <c r="AD31" s="685">
        <v>27.0</v>
      </c>
      <c r="AE31" s="686"/>
      <c r="AF31" s="686"/>
      <c r="AG31" s="687"/>
      <c r="AH31" s="688"/>
      <c r="AI31" s="562"/>
    </row>
    <row r="32" ht="25.5" customHeight="1">
      <c r="A32" s="545"/>
      <c r="B32" s="666"/>
      <c r="C32" s="689"/>
      <c r="D32" s="690"/>
      <c r="E32" s="691"/>
      <c r="F32" s="692" t="str">
        <f t="array" ref="F32">IFERROR(VLOOKUP(E30,Dex!$B$3:$H200,5,FALSE),"")</f>
        <v/>
      </c>
      <c r="G32" s="693"/>
      <c r="H32" s="694"/>
      <c r="I32" s="692"/>
      <c r="J32" s="691"/>
      <c r="K32" s="695" t="str">
        <f t="array" ref="K32">IFERROR(VLOOKUP(J30,Dex!$B$3:$H200,5,FALSE),"")</f>
        <v/>
      </c>
      <c r="L32" s="696" t="str">
        <f t="array" ref="L32">IFERROR(VLOOKUP(J30,Dex!$B$3:$H200,7,FALSE),"")</f>
        <v/>
      </c>
      <c r="M32" s="694"/>
      <c r="N32" s="692"/>
      <c r="O32" s="691"/>
      <c r="P32" s="695" t="str">
        <f t="array" ref="P32">IFERROR(VLOOKUP(O30,Dex!$B$3:$H200,5,FALSE),"")</f>
        <v/>
      </c>
      <c r="Q32" s="696" t="str">
        <f t="array" ref="Q32">IFERROR(VLOOKUP(O30,Dex!$B$3:$H200,7,FALSE),"")</f>
        <v/>
      </c>
      <c r="R32" s="694"/>
      <c r="S32" s="692"/>
      <c r="T32" s="691"/>
      <c r="U32" s="695" t="str">
        <f t="array" ref="U32">IFERROR(VLOOKUP(T30,Dex!$B$3:$H200,5,FALSE),"")</f>
        <v/>
      </c>
      <c r="V32" s="696" t="str">
        <f t="array" ref="V32">IFERROR(VLOOKUP(T30,Dex!$B$3:$H200,7,FALSE),"")</f>
        <v/>
      </c>
      <c r="W32" s="694"/>
      <c r="Y32" s="691"/>
      <c r="Z32" s="695" t="str">
        <f t="array" ref="Z32">IFERROR(VLOOKUP(Y30,Dex!$B$3:$H200,5,FALSE),"")</f>
        <v/>
      </c>
      <c r="AA32" s="696" t="str">
        <f t="array" ref="AA32">IFERROR(VLOOKUP(Y30,Dex!$B$3:$H200,7,FALSE),"")</f>
        <v/>
      </c>
      <c r="AB32" s="694"/>
      <c r="AC32" s="681"/>
      <c r="AD32" s="691"/>
      <c r="AE32" s="695" t="str">
        <f t="array" ref="AE32">IFERROR(VLOOKUP(AD30,Dex!$B$3:$H200,5,FALSE),"")</f>
        <v/>
      </c>
      <c r="AF32" s="696" t="str">
        <f t="array" ref="AF32">IFERROR(VLOOKUP(AD30,Dex!$B$3:$H200,7,FALSE),"")</f>
        <v/>
      </c>
      <c r="AG32" s="694"/>
      <c r="AH32" s="673"/>
      <c r="AI32" s="525"/>
    </row>
    <row r="33" ht="2.25" customHeight="1">
      <c r="A33" s="574"/>
      <c r="B33" s="666"/>
      <c r="C33" s="697"/>
      <c r="D33" s="690"/>
      <c r="E33" s="698"/>
      <c r="F33" s="699"/>
      <c r="G33" s="699"/>
      <c r="H33" s="700"/>
      <c r="I33" s="692"/>
      <c r="J33" s="698"/>
      <c r="K33" s="699"/>
      <c r="L33" s="699"/>
      <c r="M33" s="700"/>
      <c r="N33" s="692"/>
      <c r="O33" s="698"/>
      <c r="P33" s="699"/>
      <c r="Q33" s="699"/>
      <c r="R33" s="700"/>
      <c r="S33" s="692"/>
      <c r="T33" s="698"/>
      <c r="U33" s="699"/>
      <c r="V33" s="699"/>
      <c r="W33" s="700"/>
      <c r="Y33" s="698"/>
      <c r="Z33" s="699"/>
      <c r="AA33" s="699"/>
      <c r="AB33" s="700"/>
      <c r="AC33" s="681"/>
      <c r="AD33" s="698"/>
      <c r="AE33" s="699"/>
      <c r="AF33" s="699"/>
      <c r="AG33" s="700"/>
      <c r="AH33" s="673"/>
      <c r="AI33" s="525"/>
    </row>
    <row r="34" ht="20.25" customHeight="1">
      <c r="A34" s="545"/>
      <c r="B34" s="666"/>
      <c r="C34" s="701"/>
      <c r="D34" s="690"/>
      <c r="E34" s="702" t="s">
        <v>529</v>
      </c>
      <c r="F34" s="703"/>
      <c r="G34" s="703"/>
      <c r="H34" s="704"/>
      <c r="I34" s="705"/>
      <c r="J34" s="702" t="s">
        <v>530</v>
      </c>
      <c r="K34" s="703"/>
      <c r="L34" s="703"/>
      <c r="M34" s="704"/>
      <c r="N34" s="705"/>
      <c r="O34" s="702" t="s">
        <v>531</v>
      </c>
      <c r="P34" s="703"/>
      <c r="Q34" s="703"/>
      <c r="R34" s="704"/>
      <c r="S34" s="705"/>
      <c r="T34" s="702" t="s">
        <v>480</v>
      </c>
      <c r="U34" s="703"/>
      <c r="V34" s="703"/>
      <c r="W34" s="704"/>
      <c r="Y34" s="702" t="s">
        <v>531</v>
      </c>
      <c r="Z34" s="703"/>
      <c r="AA34" s="703"/>
      <c r="AB34" s="704"/>
      <c r="AC34" s="681"/>
      <c r="AD34" s="702" t="s">
        <v>532</v>
      </c>
      <c r="AE34" s="703"/>
      <c r="AF34" s="703"/>
      <c r="AG34" s="704"/>
      <c r="AH34" s="673"/>
      <c r="AI34" s="525"/>
    </row>
    <row r="35" ht="20.25" customHeight="1">
      <c r="A35" s="545"/>
      <c r="B35" s="666"/>
      <c r="C35" s="706"/>
      <c r="D35" s="690"/>
      <c r="E35" s="707" t="s">
        <v>83</v>
      </c>
      <c r="F35" s="686"/>
      <c r="G35" s="686"/>
      <c r="H35" s="687"/>
      <c r="I35" s="705"/>
      <c r="J35" s="707" t="s">
        <v>533</v>
      </c>
      <c r="K35" s="686"/>
      <c r="L35" s="686"/>
      <c r="M35" s="687"/>
      <c r="N35" s="705"/>
      <c r="O35" s="707" t="s">
        <v>533</v>
      </c>
      <c r="P35" s="686"/>
      <c r="Q35" s="686"/>
      <c r="R35" s="687"/>
      <c r="S35" s="705"/>
      <c r="T35" s="707" t="s">
        <v>534</v>
      </c>
      <c r="U35" s="686"/>
      <c r="V35" s="686"/>
      <c r="W35" s="687"/>
      <c r="Y35" s="707" t="s">
        <v>535</v>
      </c>
      <c r="Z35" s="686"/>
      <c r="AA35" s="686"/>
      <c r="AB35" s="687"/>
      <c r="AC35" s="681"/>
      <c r="AD35" s="707" t="s">
        <v>536</v>
      </c>
      <c r="AE35" s="686"/>
      <c r="AF35" s="686"/>
      <c r="AG35" s="687"/>
      <c r="AH35" s="673"/>
      <c r="AI35" s="525"/>
    </row>
    <row r="36" ht="20.25" customHeight="1">
      <c r="A36" s="545"/>
      <c r="B36" s="666"/>
      <c r="C36" s="697"/>
      <c r="D36" s="690"/>
      <c r="E36" s="708" t="s">
        <v>492</v>
      </c>
      <c r="F36" s="663"/>
      <c r="G36" s="664"/>
      <c r="H36" s="709" t="str">
        <f>IMAGE("https://raw.githubusercontent.com/msikma/pokesprite/master/items/berry/iapapa.png",3)</f>
        <v/>
      </c>
      <c r="I36" s="710"/>
      <c r="J36" s="708" t="s">
        <v>537</v>
      </c>
      <c r="K36" s="663"/>
      <c r="L36" s="664"/>
      <c r="M36" s="709" t="str">
        <f>IMAGE("https://raw.githubusercontent.com/msikma/pokesprite/master/items/berry/sitrus.png",3)</f>
        <v/>
      </c>
      <c r="N36" s="710"/>
      <c r="O36" s="708" t="s">
        <v>538</v>
      </c>
      <c r="P36" s="663"/>
      <c r="Q36" s="664"/>
      <c r="R36" s="709" t="str">
        <f>IMAGE("https://raw.githubusercontent.com/msikma/pokesprite/master/items/berry/wacan.png",3)</f>
        <v/>
      </c>
      <c r="S36" s="710"/>
      <c r="T36" s="708" t="s">
        <v>539</v>
      </c>
      <c r="U36" s="663"/>
      <c r="V36" s="664"/>
      <c r="W36" s="709" t="str">
        <f>IMAGE("https://raw.githubusercontent.com/msikma/pokesprite/master/items/hold-item/black-sludge.png",3)</f>
        <v/>
      </c>
      <c r="Y36" s="708" t="s">
        <v>540</v>
      </c>
      <c r="Z36" s="663"/>
      <c r="AA36" s="664"/>
      <c r="AB36" s="709" t="str">
        <f>IMAGE("https://raw.githubusercontent.com/msikma/pokesprite/master/items/hold-item/mystic-water.png",3)</f>
        <v/>
      </c>
      <c r="AC36" s="681"/>
      <c r="AD36" s="708" t="s">
        <v>541</v>
      </c>
      <c r="AE36" s="663"/>
      <c r="AF36" s="664"/>
      <c r="AG36" s="709" t="str">
        <f>IMAGE("https://raw.githubusercontent.com/msikma/pokesprite/master/items/hold-item/life-orb.png",3)</f>
        <v/>
      </c>
      <c r="AH36" s="673"/>
      <c r="AI36" s="525"/>
    </row>
    <row r="37" ht="20.25" customHeight="1">
      <c r="A37" s="545"/>
      <c r="B37" s="666"/>
      <c r="C37" s="701"/>
      <c r="D37" s="690"/>
      <c r="E37" s="702" t="s">
        <v>542</v>
      </c>
      <c r="F37" s="703"/>
      <c r="G37" s="703"/>
      <c r="H37" s="711" t="str">
        <f t="shared" ref="H37:H38" si="2">IMAGE("https://raw.githubusercontent.com/msikma/pokesprite/master/misc/types/gen8/water.png",4,20,20)</f>
        <v/>
      </c>
      <c r="I37" s="710"/>
      <c r="J37" s="702" t="s">
        <v>543</v>
      </c>
      <c r="K37" s="703"/>
      <c r="L37" s="703"/>
      <c r="M37" s="711" t="str">
        <f>IMAGE("https://raw.githubusercontent.com/msikma/pokesprite/master/misc/types/gen8/grass.png",4,20,20)</f>
        <v/>
      </c>
      <c r="N37" s="710"/>
      <c r="O37" s="702" t="s">
        <v>544</v>
      </c>
      <c r="P37" s="703"/>
      <c r="Q37" s="703"/>
      <c r="R37" s="711" t="str">
        <f>IMAGE("https://raw.githubusercontent.com/msikma/pokesprite/master/misc/types/gen8/water.png",4,20,20)</f>
        <v/>
      </c>
      <c r="S37" s="710"/>
      <c r="T37" s="702" t="s">
        <v>545</v>
      </c>
      <c r="U37" s="703"/>
      <c r="V37" s="703"/>
      <c r="W37" s="711" t="str">
        <f>IMAGE("https://raw.githubusercontent.com/msikma/pokesprite/master/misc/types/gen8/poison.png",4,20,20)</f>
        <v/>
      </c>
      <c r="Y37" s="702" t="s">
        <v>544</v>
      </c>
      <c r="Z37" s="703"/>
      <c r="AA37" s="703"/>
      <c r="AB37" s="711" t="str">
        <f>IMAGE("https://raw.githubusercontent.com/msikma/pokesprite/master/misc/types/gen8/water.png",4,20,20)</f>
        <v/>
      </c>
      <c r="AC37" s="681"/>
      <c r="AD37" s="702" t="s">
        <v>287</v>
      </c>
      <c r="AE37" s="703"/>
      <c r="AF37" s="703"/>
      <c r="AG37" s="711" t="str">
        <f>IMAGE("https://raw.githubusercontent.com/msikma/pokesprite/master/misc/types/gen8/normal.png",4,20,20)</f>
        <v/>
      </c>
      <c r="AH37" s="673"/>
      <c r="AI37" s="525"/>
    </row>
    <row r="38" ht="20.25" customHeight="1">
      <c r="A38" s="545"/>
      <c r="B38" s="666"/>
      <c r="C38" s="712"/>
      <c r="D38" s="690"/>
      <c r="E38" s="707" t="s">
        <v>544</v>
      </c>
      <c r="F38" s="686"/>
      <c r="G38" s="686"/>
      <c r="H38" s="713" t="str">
        <f t="shared" si="2"/>
        <v/>
      </c>
      <c r="I38" s="710"/>
      <c r="J38" s="707" t="s">
        <v>544</v>
      </c>
      <c r="K38" s="686"/>
      <c r="L38" s="686"/>
      <c r="M38" s="713" t="str">
        <f>IMAGE("https://raw.githubusercontent.com/msikma/pokesprite/master/misc/types/gen8/water.png",4,20,20)</f>
        <v/>
      </c>
      <c r="N38" s="710"/>
      <c r="O38" s="707" t="s">
        <v>546</v>
      </c>
      <c r="P38" s="686"/>
      <c r="Q38" s="686"/>
      <c r="R38" s="713" t="str">
        <f t="shared" ref="R38:R39" si="3">IMAGE("https://raw.githubusercontent.com/msikma/pokesprite/master/misc/types/gen8/flying.png",4,20,20)</f>
        <v/>
      </c>
      <c r="S38" s="710"/>
      <c r="T38" s="707" t="s">
        <v>494</v>
      </c>
      <c r="U38" s="686"/>
      <c r="V38" s="686"/>
      <c r="W38" s="713" t="str">
        <f>IMAGE("https://raw.githubusercontent.com/msikma/pokesprite/master/misc/types/gen8/ground.png",4,20,20)</f>
        <v/>
      </c>
      <c r="Y38" s="707" t="s">
        <v>547</v>
      </c>
      <c r="Z38" s="686"/>
      <c r="AA38" s="686"/>
      <c r="AB38" s="713" t="str">
        <f>IMAGE("https://raw.githubusercontent.com/msikma/pokesprite/master/misc/types/gen8/electric.png",4,20,20)</f>
        <v/>
      </c>
      <c r="AC38" s="681"/>
      <c r="AD38" s="707" t="s">
        <v>548</v>
      </c>
      <c r="AE38" s="686"/>
      <c r="AF38" s="686"/>
      <c r="AG38" s="713" t="str">
        <f>IMAGE("https://raw.githubusercontent.com/msikma/pokesprite/master/misc/types/gen8/fighting.png",4,20,20)</f>
        <v/>
      </c>
      <c r="AH38" s="673"/>
      <c r="AI38" s="525"/>
    </row>
    <row r="39" ht="20.25" customHeight="1">
      <c r="A39" s="545"/>
      <c r="B39" s="666"/>
      <c r="C39" s="712"/>
      <c r="D39" s="690"/>
      <c r="E39" s="707" t="s">
        <v>549</v>
      </c>
      <c r="F39" s="686"/>
      <c r="G39" s="686"/>
      <c r="H39" s="713" t="str">
        <f>IMAGE("https://raw.githubusercontent.com/msikma/pokesprite/master/misc/types/gen8/ground.png",4,20,20)</f>
        <v/>
      </c>
      <c r="I39" s="710"/>
      <c r="J39" s="707" t="s">
        <v>550</v>
      </c>
      <c r="K39" s="686"/>
      <c r="L39" s="686"/>
      <c r="M39" s="713" t="str">
        <f>IMAGE("https://raw.githubusercontent.com/msikma/pokesprite/master/misc/types/gen8/ice.png",4,20,20)</f>
        <v/>
      </c>
      <c r="N39" s="710"/>
      <c r="O39" s="707" t="s">
        <v>551</v>
      </c>
      <c r="P39" s="686"/>
      <c r="Q39" s="686"/>
      <c r="R39" s="713" t="str">
        <f t="shared" si="3"/>
        <v/>
      </c>
      <c r="S39" s="710"/>
      <c r="T39" s="707" t="s">
        <v>501</v>
      </c>
      <c r="U39" s="686"/>
      <c r="V39" s="686"/>
      <c r="W39" s="713" t="str">
        <f>IMAGE("https://raw.githubusercontent.com/msikma/pokesprite/master/misc/types/gen8/normal.png",4,20,20)</f>
        <v/>
      </c>
      <c r="Y39" s="707" t="s">
        <v>552</v>
      </c>
      <c r="Z39" s="686"/>
      <c r="AA39" s="686"/>
      <c r="AB39" s="713" t="str">
        <f>IMAGE("https://raw.githubusercontent.com/msikma/pokesprite/master/misc/types/gen8/psychic.png",4,20,20)</f>
        <v/>
      </c>
      <c r="AC39" s="681"/>
      <c r="AD39" s="707" t="s">
        <v>545</v>
      </c>
      <c r="AE39" s="686"/>
      <c r="AF39" s="686"/>
      <c r="AG39" s="713" t="str">
        <f>IMAGE("https://raw.githubusercontent.com/msikma/pokesprite/master/misc/types/gen8/poison.png",4,20,20)</f>
        <v/>
      </c>
      <c r="AH39" s="673"/>
      <c r="AI39" s="525"/>
    </row>
    <row r="40" ht="21.0" customHeight="1">
      <c r="A40" s="545"/>
      <c r="B40" s="666"/>
      <c r="C40" s="712"/>
      <c r="D40" s="690"/>
      <c r="E40" s="714" t="s">
        <v>503</v>
      </c>
      <c r="F40" s="715"/>
      <c r="G40" s="715"/>
      <c r="H40" s="716" t="str">
        <f>IMAGE("https://raw.githubusercontent.com/msikma/pokesprite/master/misc/types/gen8/poison.png",4,20,20)</f>
        <v/>
      </c>
      <c r="I40" s="710"/>
      <c r="J40" s="714" t="s">
        <v>504</v>
      </c>
      <c r="K40" s="715"/>
      <c r="L40" s="715"/>
      <c r="M40" s="716" t="str">
        <f>IMAGE("https://raw.githubusercontent.com/msikma/pokesprite/master/misc/types/gen8/electric.png",4,20,20)</f>
        <v/>
      </c>
      <c r="N40" s="710"/>
      <c r="O40" s="714" t="s">
        <v>553</v>
      </c>
      <c r="P40" s="715"/>
      <c r="Q40" s="715"/>
      <c r="R40" s="716" t="str">
        <f>IMAGE("https://raw.githubusercontent.com/msikma/pokesprite/master/misc/types/gen8/grass.png",4,20,20)</f>
        <v/>
      </c>
      <c r="S40" s="710"/>
      <c r="T40" s="714" t="s">
        <v>503</v>
      </c>
      <c r="U40" s="715"/>
      <c r="V40" s="715"/>
      <c r="W40" s="716" t="str">
        <f>IMAGE("https://raw.githubusercontent.com/msikma/pokesprite/master/misc/types/gen8/poison.png",4,20,20)</f>
        <v/>
      </c>
      <c r="X40" s="678"/>
      <c r="Y40" s="714" t="s">
        <v>550</v>
      </c>
      <c r="Z40" s="715"/>
      <c r="AA40" s="715"/>
      <c r="AB40" s="716" t="str">
        <f>IMAGE("https://raw.githubusercontent.com/msikma/pokesprite/master/misc/types/gen8/ice.png",4,20,20)</f>
        <v/>
      </c>
      <c r="AC40" s="717"/>
      <c r="AD40" s="714" t="s">
        <v>554</v>
      </c>
      <c r="AE40" s="715"/>
      <c r="AF40" s="715"/>
      <c r="AG40" s="716" t="str">
        <f>IMAGE("https://raw.githubusercontent.com/msikma/pokesprite/master/misc/types/gen8/dark.png",4,20,20)</f>
        <v/>
      </c>
      <c r="AH40" s="673"/>
      <c r="AI40" s="525"/>
    </row>
    <row r="41" ht="3.0" customHeight="1">
      <c r="A41" s="574"/>
      <c r="B41" s="666"/>
      <c r="C41" s="718"/>
      <c r="D41" s="719"/>
      <c r="E41" s="720"/>
      <c r="F41" s="720"/>
      <c r="G41" s="720"/>
      <c r="H41" s="720"/>
      <c r="I41" s="719"/>
      <c r="J41" s="720"/>
      <c r="K41" s="720"/>
      <c r="L41" s="720"/>
      <c r="M41" s="720"/>
      <c r="N41" s="719"/>
      <c r="O41" s="720"/>
      <c r="P41" s="720"/>
      <c r="Q41" s="720"/>
      <c r="R41" s="720"/>
      <c r="S41" s="719"/>
      <c r="T41" s="720"/>
      <c r="U41" s="720"/>
      <c r="V41" s="720"/>
      <c r="W41" s="720"/>
      <c r="X41" s="719"/>
      <c r="Y41" s="721"/>
      <c r="Z41" s="722"/>
      <c r="AA41" s="722"/>
      <c r="AB41" s="722"/>
      <c r="AC41" s="723"/>
      <c r="AD41" s="721"/>
      <c r="AE41" s="722"/>
      <c r="AF41" s="722"/>
      <c r="AG41" s="722"/>
      <c r="AH41" s="673"/>
      <c r="AI41" s="525"/>
    </row>
    <row r="42" ht="16.5" customHeight="1">
      <c r="A42" s="545"/>
      <c r="B42" s="724"/>
      <c r="C42" s="718"/>
      <c r="D42" s="725"/>
      <c r="E42" s="726" t="s">
        <v>512</v>
      </c>
      <c r="F42" s="606"/>
      <c r="G42" s="606"/>
      <c r="H42" s="607"/>
      <c r="I42" s="727"/>
      <c r="J42" s="726" t="s">
        <v>512</v>
      </c>
      <c r="K42" s="606"/>
      <c r="L42" s="606"/>
      <c r="M42" s="607"/>
      <c r="N42" s="727"/>
      <c r="O42" s="726" t="s">
        <v>512</v>
      </c>
      <c r="P42" s="606"/>
      <c r="Q42" s="606"/>
      <c r="R42" s="607"/>
      <c r="S42" s="727"/>
      <c r="T42" s="726" t="s">
        <v>512</v>
      </c>
      <c r="U42" s="606"/>
      <c r="V42" s="606"/>
      <c r="W42" s="607"/>
      <c r="X42" s="728"/>
      <c r="Y42" s="726" t="s">
        <v>512</v>
      </c>
      <c r="Z42" s="606"/>
      <c r="AA42" s="606"/>
      <c r="AB42" s="607"/>
      <c r="AC42" s="729"/>
      <c r="AD42" s="726" t="s">
        <v>512</v>
      </c>
      <c r="AE42" s="606"/>
      <c r="AF42" s="606"/>
      <c r="AG42" s="607"/>
      <c r="AH42" s="730"/>
      <c r="AI42" s="612"/>
    </row>
    <row r="43" ht="16.5" customHeight="1">
      <c r="A43" s="545"/>
      <c r="B43" s="724"/>
      <c r="C43" s="718"/>
      <c r="D43" s="725"/>
      <c r="E43" s="731" t="s">
        <v>513</v>
      </c>
      <c r="F43" s="732">
        <f t="array" ref="F43">IFERROR(VLOOKUP(E30,Dex!$B$3:$N200,8,FALSE),"")</f>
        <v>90</v>
      </c>
      <c r="G43" s="733" t="str">
        <f t="array" ref="G43">IFERROR(VLOOKUP(F43,Dex!$P$22:$Q$276,2,FALSE),"")</f>
        <v/>
      </c>
      <c r="H43" s="734"/>
      <c r="I43" s="735"/>
      <c r="J43" s="731" t="s">
        <v>513</v>
      </c>
      <c r="K43" s="732">
        <f t="array" ref="K43">IFERROR(VLOOKUP(J30,Dex!$B$3:$N200,8,FALSE),"")</f>
        <v>80</v>
      </c>
      <c r="L43" s="733" t="str">
        <f t="array" ref="L43">IFERROR(VLOOKUP(K43,Dex!$P$22:$Q$276,2,FALSE),"")</f>
        <v/>
      </c>
      <c r="M43" s="734"/>
      <c r="N43" s="735"/>
      <c r="O43" s="731" t="s">
        <v>513</v>
      </c>
      <c r="P43" s="732">
        <f t="array" ref="P43">IFERROR(VLOOKUP(O30,Dex!$B$3:$N200,8,FALSE),"")</f>
        <v>85</v>
      </c>
      <c r="Q43" s="733" t="str">
        <f t="array" ref="Q43">IFERROR(VLOOKUP(P43,Dex!$P$22:$Q$276,2,FALSE),"")</f>
        <v/>
      </c>
      <c r="R43" s="734"/>
      <c r="S43" s="735"/>
      <c r="T43" s="731" t="s">
        <v>513</v>
      </c>
      <c r="U43" s="732">
        <f t="array" ref="U43">IFERROR(VLOOKUP(T30,Dex!$B$3:$N200,8,FALSE),"")</f>
        <v>130</v>
      </c>
      <c r="V43" s="733" t="str">
        <f t="array" ref="V43">IFERROR(VLOOKUP(U43,Dex!$P$22:$Q$276,2,FALSE),"")</f>
        <v/>
      </c>
      <c r="W43" s="734"/>
      <c r="X43" s="736"/>
      <c r="Y43" s="731" t="s">
        <v>513</v>
      </c>
      <c r="Z43" s="732">
        <f t="array" ref="Z43">IFERROR(VLOOKUP(Y30,Dex!$B$3:$N200,8,FALSE),"")</f>
        <v>60</v>
      </c>
      <c r="AA43" s="733" t="str">
        <f t="array" ref="AA43">IFERROR(VLOOKUP(Z43,Dex!$P$22:$Q$276,2,FALSE),"")</f>
        <v/>
      </c>
      <c r="AB43" s="734"/>
      <c r="AC43" s="737"/>
      <c r="AD43" s="731" t="s">
        <v>513</v>
      </c>
      <c r="AE43" s="732">
        <f t="array" ref="AE43">IFERROR(VLOOKUP(AD30,Dex!$B$3:$N200,8,FALSE),"")</f>
        <v>83</v>
      </c>
      <c r="AF43" s="733" t="str">
        <f t="array" ref="AF43">IFERROR(VLOOKUP(AE43,Dex!$P$22:$Q$276,2,FALSE),"")</f>
        <v/>
      </c>
      <c r="AG43" s="734"/>
      <c r="AH43" s="730"/>
      <c r="AI43" s="612"/>
    </row>
    <row r="44" ht="16.5" customHeight="1">
      <c r="A44" s="545"/>
      <c r="B44" s="724"/>
      <c r="C44" s="718"/>
      <c r="D44" s="725"/>
      <c r="E44" s="738" t="s">
        <v>514</v>
      </c>
      <c r="F44" s="739">
        <f t="array" ref="F44">IFERROR(VLOOKUP(E30,Dex!$B$3:$N200,9,FALSE),"")</f>
        <v>75</v>
      </c>
      <c r="G44" s="740" t="str">
        <f t="array" ref="G44">IFERROR(VLOOKUP(F44,Dex!$P$22:$Q$276,2,FALSE),"")</f>
        <v/>
      </c>
      <c r="H44" s="741"/>
      <c r="I44" s="735"/>
      <c r="J44" s="738" t="s">
        <v>514</v>
      </c>
      <c r="K44" s="739">
        <f t="array" ref="K44">IFERROR(VLOOKUP(J30,Dex!$B$3:$N200,9,FALSE),"")</f>
        <v>70</v>
      </c>
      <c r="L44" s="740" t="str">
        <f t="array" ref="L44">IFERROR(VLOOKUP(K44,Dex!$P$22:$Q$276,2,FALSE),"")</f>
        <v/>
      </c>
      <c r="M44" s="741"/>
      <c r="N44" s="735"/>
      <c r="O44" s="738" t="s">
        <v>514</v>
      </c>
      <c r="P44" s="739">
        <f t="array" ref="P44">IFERROR(VLOOKUP(O30,Dex!$B$3:$N200,9,FALSE),"")</f>
        <v>40</v>
      </c>
      <c r="Q44" s="740" t="str">
        <f t="array" ref="Q44">IFERROR(VLOOKUP(P44,Dex!$P$22:$Q$276,2,FALSE),"")</f>
        <v/>
      </c>
      <c r="R44" s="741"/>
      <c r="S44" s="735"/>
      <c r="T44" s="738" t="s">
        <v>514</v>
      </c>
      <c r="U44" s="739">
        <f t="array" ref="U44">IFERROR(VLOOKUP(T30,Dex!$B$3:$N200,9,FALSE),"")</f>
        <v>75</v>
      </c>
      <c r="V44" s="740" t="str">
        <f t="array" ref="V44">IFERROR(VLOOKUP(U44,Dex!$P$22:$Q$276,2,FALSE),"")</f>
        <v/>
      </c>
      <c r="W44" s="741"/>
      <c r="X44" s="736"/>
      <c r="Y44" s="738" t="s">
        <v>514</v>
      </c>
      <c r="Z44" s="739">
        <f t="array" ref="Z44">IFERROR(VLOOKUP(Y30,Dex!$B$3:$N200,9,FALSE),"")</f>
        <v>75</v>
      </c>
      <c r="AA44" s="740" t="str">
        <f t="array" ref="AA44">IFERROR(VLOOKUP(Z44,Dex!$P$22:$Q$276,2,FALSE),"")</f>
        <v/>
      </c>
      <c r="AB44" s="741"/>
      <c r="AC44" s="737"/>
      <c r="AD44" s="738" t="s">
        <v>514</v>
      </c>
      <c r="AE44" s="739">
        <f t="array" ref="AE44">IFERROR(VLOOKUP(AD30,Dex!$B$3:$N200,9,FALSE),"")</f>
        <v>106</v>
      </c>
      <c r="AF44" s="740" t="str">
        <f t="array" ref="AF44">IFERROR(VLOOKUP(AE44,Dex!$P$22:$Q$276,2,FALSE),"")</f>
        <v/>
      </c>
      <c r="AG44" s="741"/>
      <c r="AH44" s="730"/>
      <c r="AI44" s="612"/>
    </row>
    <row r="45" ht="16.5" customHeight="1">
      <c r="A45" s="545"/>
      <c r="B45" s="724"/>
      <c r="C45" s="718"/>
      <c r="D45" s="725"/>
      <c r="E45" s="738" t="s">
        <v>515</v>
      </c>
      <c r="F45" s="739">
        <f t="array" ref="F45">IFERROR(VLOOKUP(E30,Dex!$B$3:$N200,10,FALSE),"")</f>
        <v>75</v>
      </c>
      <c r="G45" s="740" t="str">
        <f t="array" ref="G45">IFERROR(VLOOKUP(F45,Dex!$P$22:$Q$276,2,FALSE),"")</f>
        <v/>
      </c>
      <c r="H45" s="741"/>
      <c r="I45" s="735"/>
      <c r="J45" s="738" t="s">
        <v>515</v>
      </c>
      <c r="K45" s="739">
        <f t="array" ref="K45">IFERROR(VLOOKUP(J30,Dex!$B$3:$N200,10,FALSE),"")</f>
        <v>70</v>
      </c>
      <c r="L45" s="740" t="str">
        <f t="array" ref="L45">IFERROR(VLOOKUP(K45,Dex!$P$22:$Q$276,2,FALSE),"")</f>
        <v/>
      </c>
      <c r="M45" s="741"/>
      <c r="N45" s="735"/>
      <c r="O45" s="738" t="s">
        <v>515</v>
      </c>
      <c r="P45" s="739">
        <f t="array" ref="P45">IFERROR(VLOOKUP(O30,Dex!$B$3:$N200,10,FALSE),"")</f>
        <v>70</v>
      </c>
      <c r="Q45" s="740" t="str">
        <f t="array" ref="Q45">IFERROR(VLOOKUP(P45,Dex!$P$22:$Q$276,2,FALSE),"")</f>
        <v/>
      </c>
      <c r="R45" s="741"/>
      <c r="S45" s="735"/>
      <c r="T45" s="738" t="s">
        <v>515</v>
      </c>
      <c r="U45" s="739">
        <f t="array" ref="U45">IFERROR(VLOOKUP(T30,Dex!$B$3:$N200,10,FALSE),"")</f>
        <v>60</v>
      </c>
      <c r="V45" s="740" t="str">
        <f t="array" ref="V45">IFERROR(VLOOKUP(U45,Dex!$P$22:$Q$276,2,FALSE),"")</f>
        <v/>
      </c>
      <c r="W45" s="741"/>
      <c r="X45" s="736"/>
      <c r="Y45" s="738" t="s">
        <v>515</v>
      </c>
      <c r="Z45" s="739">
        <f t="array" ref="Z45">IFERROR(VLOOKUP(Y30,Dex!$B$3:$N200,10,FALSE),"")</f>
        <v>85</v>
      </c>
      <c r="AA45" s="740" t="str">
        <f t="array" ref="AA45">IFERROR(VLOOKUP(Z45,Dex!$P$22:$Q$276,2,FALSE),"")</f>
        <v/>
      </c>
      <c r="AB45" s="741"/>
      <c r="AC45" s="737"/>
      <c r="AD45" s="738" t="s">
        <v>515</v>
      </c>
      <c r="AE45" s="739">
        <f t="array" ref="AE45">IFERROR(VLOOKUP(AD30,Dex!$B$3:$N200,10,FALSE),"")</f>
        <v>65</v>
      </c>
      <c r="AF45" s="740" t="str">
        <f t="array" ref="AF45">IFERROR(VLOOKUP(AE45,Dex!$P$22:$Q$276,2,FALSE),"")</f>
        <v/>
      </c>
      <c r="AG45" s="741"/>
      <c r="AH45" s="730"/>
      <c r="AI45" s="612"/>
    </row>
    <row r="46" ht="16.5" customHeight="1">
      <c r="A46" s="545"/>
      <c r="B46" s="724"/>
      <c r="C46" s="718"/>
      <c r="D46" s="725"/>
      <c r="E46" s="738" t="s">
        <v>516</v>
      </c>
      <c r="F46" s="739">
        <f t="array" ref="F46">IFERROR(VLOOKUP(E30,Dex!$B$3:$N200,11,FALSE),"")</f>
        <v>90</v>
      </c>
      <c r="G46" s="740" t="str">
        <f t="array" ref="G46">IFERROR(VLOOKUP(F46,Dex!$P$22:$Q$276,2,FALSE),"")</f>
        <v/>
      </c>
      <c r="H46" s="741"/>
      <c r="I46" s="735"/>
      <c r="J46" s="738" t="s">
        <v>516</v>
      </c>
      <c r="K46" s="739">
        <f t="array" ref="K46">IFERROR(VLOOKUP(J30,Dex!$B$3:$N200,11,FALSE),"")</f>
        <v>100</v>
      </c>
      <c r="L46" s="740" t="str">
        <f t="array" ref="L46">IFERROR(VLOOKUP(K46,Dex!$P$22:$Q$276,2,FALSE),"")</f>
        <v/>
      </c>
      <c r="M46" s="741"/>
      <c r="N46" s="735"/>
      <c r="O46" s="738" t="s">
        <v>516</v>
      </c>
      <c r="P46" s="739">
        <f t="array" ref="P46">IFERROR(VLOOKUP(O30,Dex!$B$3:$N200,11,FALSE),"")</f>
        <v>90</v>
      </c>
      <c r="Q46" s="740" t="str">
        <f t="array" ref="Q46">IFERROR(VLOOKUP(P46,Dex!$P$22:$Q$276,2,FALSE),"")</f>
        <v/>
      </c>
      <c r="R46" s="741"/>
      <c r="S46" s="735"/>
      <c r="T46" s="738" t="s">
        <v>516</v>
      </c>
      <c r="U46" s="739">
        <f t="array" ref="U46">IFERROR(VLOOKUP(T30,Dex!$B$3:$N200,11,FALSE),"")</f>
        <v>45</v>
      </c>
      <c r="V46" s="740" t="str">
        <f t="array" ref="V46">IFERROR(VLOOKUP(U46,Dex!$P$22:$Q$276,2,FALSE),"")</f>
        <v/>
      </c>
      <c r="W46" s="741"/>
      <c r="X46" s="736"/>
      <c r="Y46" s="738" t="s">
        <v>516</v>
      </c>
      <c r="Z46" s="739">
        <f t="array" ref="Z46">IFERROR(VLOOKUP(Y30,Dex!$B$3:$N200,11,FALSE),"")</f>
        <v>100</v>
      </c>
      <c r="AA46" s="740" t="str">
        <f t="array" ref="AA46">IFERROR(VLOOKUP(Z46,Dex!$P$22:$Q$276,2,FALSE),"")</f>
        <v/>
      </c>
      <c r="AB46" s="741"/>
      <c r="AC46" s="737"/>
      <c r="AD46" s="738" t="s">
        <v>516</v>
      </c>
      <c r="AE46" s="739">
        <f t="array" ref="AE46">IFERROR(VLOOKUP(AD30,Dex!$B$3:$N200,11,FALSE),"")</f>
        <v>86</v>
      </c>
      <c r="AF46" s="740" t="str">
        <f t="array" ref="AF46">IFERROR(VLOOKUP(AE46,Dex!$P$22:$Q$276,2,FALSE),"")</f>
        <v/>
      </c>
      <c r="AG46" s="741"/>
      <c r="AH46" s="730"/>
      <c r="AI46" s="612"/>
    </row>
    <row r="47" ht="16.5" customHeight="1">
      <c r="A47" s="545"/>
      <c r="B47" s="724"/>
      <c r="C47" s="718"/>
      <c r="D47" s="725"/>
      <c r="E47" s="738" t="s">
        <v>517</v>
      </c>
      <c r="F47" s="739">
        <f t="array" ref="F47">IFERROR(VLOOKUP(E30,Dex!$B$3:$N200,12,FALSE),"")</f>
        <v>100</v>
      </c>
      <c r="G47" s="740" t="str">
        <f t="array" ref="G47">IFERROR(VLOOKUP(F47,Dex!$P$22:$Q$276,2,FALSE),"")</f>
        <v/>
      </c>
      <c r="H47" s="741"/>
      <c r="I47" s="735"/>
      <c r="J47" s="738" t="s">
        <v>517</v>
      </c>
      <c r="K47" s="739">
        <f t="array" ref="K47">IFERROR(VLOOKUP(J30,Dex!$B$3:$N200,12,FALSE),"")</f>
        <v>100</v>
      </c>
      <c r="L47" s="740" t="str">
        <f t="array" ref="L47">IFERROR(VLOOKUP(K47,Dex!$P$22:$Q$276,2,FALSE),"")</f>
        <v/>
      </c>
      <c r="M47" s="741"/>
      <c r="N47" s="735"/>
      <c r="O47" s="738" t="s">
        <v>517</v>
      </c>
      <c r="P47" s="739">
        <f t="array" ref="P47">IFERROR(VLOOKUP(O30,Dex!$B$3:$N200,12,FALSE),"")</f>
        <v>140</v>
      </c>
      <c r="Q47" s="740" t="str">
        <f t="array" ref="Q47">IFERROR(VLOOKUP(P47,Dex!$P$22:$Q$276,2,FALSE),"")</f>
        <v/>
      </c>
      <c r="R47" s="741"/>
      <c r="S47" s="735"/>
      <c r="T47" s="738" t="s">
        <v>517</v>
      </c>
      <c r="U47" s="739">
        <f t="array" ref="U47">IFERROR(VLOOKUP(T30,Dex!$B$3:$N200,12,FALSE),"")</f>
        <v>100</v>
      </c>
      <c r="V47" s="740" t="str">
        <f t="array" ref="V47">IFERROR(VLOOKUP(U47,Dex!$P$22:$Q$276,2,FALSE),"")</f>
        <v/>
      </c>
      <c r="W47" s="741"/>
      <c r="X47" s="736"/>
      <c r="Y47" s="738" t="s">
        <v>517</v>
      </c>
      <c r="Z47" s="739">
        <f t="array" ref="Z47">IFERROR(VLOOKUP(Y30,Dex!$B$3:$N200,12,FALSE),"")</f>
        <v>85</v>
      </c>
      <c r="AA47" s="740" t="str">
        <f t="array" ref="AA47">IFERROR(VLOOKUP(Z47,Dex!$P$22:$Q$276,2,FALSE),"")</f>
        <v/>
      </c>
      <c r="AB47" s="741"/>
      <c r="AC47" s="737"/>
      <c r="AD47" s="738" t="s">
        <v>517</v>
      </c>
      <c r="AE47" s="739">
        <f t="array" ref="AE47">IFERROR(VLOOKUP(AD30,Dex!$B$3:$N200,12,FALSE),"")</f>
        <v>65</v>
      </c>
      <c r="AF47" s="740" t="str">
        <f t="array" ref="AF47">IFERROR(VLOOKUP(AE47,Dex!$P$22:$Q$276,2,FALSE),"")</f>
        <v/>
      </c>
      <c r="AG47" s="741"/>
      <c r="AH47" s="730"/>
      <c r="AI47" s="612"/>
    </row>
    <row r="48" ht="15.75" customHeight="1">
      <c r="A48" s="545"/>
      <c r="B48" s="724"/>
      <c r="C48" s="718"/>
      <c r="D48" s="725"/>
      <c r="E48" s="742" t="s">
        <v>518</v>
      </c>
      <c r="F48" s="743">
        <f t="array" ref="F48">IFERROR(VLOOKUP(E30,Dex!$B$3:$N200,13,FALSE),"")</f>
        <v>70</v>
      </c>
      <c r="G48" s="744" t="str">
        <f t="array" ref="G48">IFERROR(VLOOKUP(F48,Dex!$P$22:$Q$276,2,FALSE),"")</f>
        <v/>
      </c>
      <c r="H48" s="745"/>
      <c r="I48" s="735"/>
      <c r="J48" s="742" t="s">
        <v>518</v>
      </c>
      <c r="K48" s="743">
        <f t="array" ref="K48">IFERROR(VLOOKUP(J30,Dex!$B$3:$N200,13,FALSE),"")</f>
        <v>70</v>
      </c>
      <c r="L48" s="744" t="str">
        <f t="array" ref="L48">IFERROR(VLOOKUP(K48,Dex!$P$22:$Q$276,2,FALSE),"")</f>
        <v/>
      </c>
      <c r="M48" s="745"/>
      <c r="N48" s="735"/>
      <c r="O48" s="742" t="s">
        <v>518</v>
      </c>
      <c r="P48" s="743">
        <f t="array" ref="P48">IFERROR(VLOOKUP(O30,Dex!$B$3:$N200,13,FALSE),"")</f>
        <v>70</v>
      </c>
      <c r="Q48" s="744" t="str">
        <f t="array" ref="Q48">IFERROR(VLOOKUP(P48,Dex!$P$22:$Q$276,2,FALSE),"")</f>
        <v/>
      </c>
      <c r="R48" s="745"/>
      <c r="S48" s="735"/>
      <c r="T48" s="742" t="s">
        <v>518</v>
      </c>
      <c r="U48" s="743">
        <f t="array" ref="U48">IFERROR(VLOOKUP(T30,Dex!$B$3:$N200,13,FALSE),"")</f>
        <v>20</v>
      </c>
      <c r="V48" s="744" t="str">
        <f t="array" ref="V48">IFERROR(VLOOKUP(U48,Dex!$P$22:$Q$276,2,FALSE),"")</f>
        <v/>
      </c>
      <c r="W48" s="745"/>
      <c r="X48" s="736"/>
      <c r="Y48" s="742" t="s">
        <v>518</v>
      </c>
      <c r="Z48" s="743">
        <f t="array" ref="Z48">IFERROR(VLOOKUP(Y30,Dex!$B$3:$N200,13,FALSE),"")</f>
        <v>115</v>
      </c>
      <c r="AA48" s="744" t="str">
        <f t="array" ref="AA48">IFERROR(VLOOKUP(Z48,Dex!$P$22:$Q$276,2,FALSE),"")</f>
        <v/>
      </c>
      <c r="AB48" s="745"/>
      <c r="AC48" s="737"/>
      <c r="AD48" s="742" t="s">
        <v>518</v>
      </c>
      <c r="AE48" s="743">
        <f t="array" ref="AE48">IFERROR(VLOOKUP(AD30,Dex!$B$3:$N200,13,FALSE),"")</f>
        <v>85</v>
      </c>
      <c r="AF48" s="744" t="str">
        <f t="array" ref="AF48">IFERROR(VLOOKUP(AE48,Dex!$P$22:$Q$276,2,FALSE),"")</f>
        <v/>
      </c>
      <c r="AG48" s="745"/>
      <c r="AH48" s="730"/>
      <c r="AI48" s="612"/>
    </row>
    <row r="49" ht="16.5" customHeight="1">
      <c r="A49" s="545"/>
      <c r="B49" s="724"/>
      <c r="C49" s="718"/>
      <c r="D49" s="725"/>
      <c r="E49" s="746" t="s">
        <v>519</v>
      </c>
      <c r="F49" s="630"/>
      <c r="G49" s="631"/>
      <c r="H49" s="632">
        <f>ROUNDDOWN((ROUNDDOWN(((((2*F48+31)*E31)/100+5)),0))*0.9,0)</f>
        <v>45</v>
      </c>
      <c r="I49" s="747"/>
      <c r="J49" s="748" t="s">
        <v>519</v>
      </c>
      <c r="K49" s="635"/>
      <c r="L49" s="636"/>
      <c r="M49" s="632">
        <f>ROUNDDOWN((ROUNDDOWN(((((2*K48+31)*J31)/100+5)),0))*1,0)</f>
        <v>52</v>
      </c>
      <c r="N49" s="747"/>
      <c r="O49" s="748" t="s">
        <v>519</v>
      </c>
      <c r="P49" s="635"/>
      <c r="Q49" s="636"/>
      <c r="R49" s="632">
        <f>ROUNDDOWN((ROUNDDOWN(((((2*P48+31)*O31)/100+5)),0))*1,0)</f>
        <v>51</v>
      </c>
      <c r="S49" s="747"/>
      <c r="T49" s="746" t="s">
        <v>519</v>
      </c>
      <c r="U49" s="630"/>
      <c r="V49" s="631"/>
      <c r="W49" s="632">
        <f>ROUNDDOWN((ROUNDDOWN(((((2*U48+31)*T31)/100+5)),0))*1,0)</f>
        <v>24</v>
      </c>
      <c r="X49" s="728"/>
      <c r="Y49" s="746" t="s">
        <v>519</v>
      </c>
      <c r="Z49" s="630"/>
      <c r="AA49" s="631"/>
      <c r="AB49" s="632">
        <f>ROUNDDOWN((ROUNDDOWN(((((2*Z48+31)*Y31)/100+5)),0))*1,0)</f>
        <v>78</v>
      </c>
      <c r="AC49" s="749"/>
      <c r="AD49" s="746" t="s">
        <v>519</v>
      </c>
      <c r="AE49" s="630"/>
      <c r="AF49" s="631"/>
      <c r="AG49" s="632">
        <f>ROUNDDOWN((ROUNDDOWN(((((2*AE48+31)*AD31)/100+5)),0))*1.1,0)</f>
        <v>64</v>
      </c>
      <c r="AH49" s="750"/>
      <c r="AI49" s="612"/>
    </row>
    <row r="50" ht="16.5" customHeight="1">
      <c r="A50" s="545"/>
      <c r="B50" s="751"/>
      <c r="C50" s="752"/>
      <c r="D50" s="753"/>
      <c r="E50" s="752"/>
      <c r="F50" s="752"/>
      <c r="G50" s="752"/>
      <c r="H50" s="752"/>
      <c r="I50" s="754"/>
      <c r="J50" s="755" t="s">
        <v>555</v>
      </c>
      <c r="K50" s="643"/>
      <c r="L50" s="644"/>
      <c r="M50" s="756">
        <f>M49*2</f>
        <v>104</v>
      </c>
      <c r="N50" s="754"/>
      <c r="O50" s="755" t="s">
        <v>555</v>
      </c>
      <c r="P50" s="643"/>
      <c r="Q50" s="644"/>
      <c r="R50" s="756">
        <f>R49*2</f>
        <v>102</v>
      </c>
      <c r="S50" s="754"/>
      <c r="T50" s="752"/>
      <c r="U50" s="752"/>
      <c r="V50" s="752"/>
      <c r="W50" s="752"/>
      <c r="X50" s="757"/>
      <c r="Y50" s="752"/>
      <c r="Z50" s="752"/>
      <c r="AA50" s="752"/>
      <c r="AB50" s="752"/>
      <c r="AC50" s="758"/>
      <c r="AD50" s="752"/>
      <c r="AE50" s="752"/>
      <c r="AF50" s="752"/>
      <c r="AG50" s="752"/>
      <c r="AH50" s="759"/>
      <c r="AI50" s="612"/>
    </row>
    <row r="51" ht="15.0" customHeight="1">
      <c r="A51" s="519"/>
      <c r="B51" s="760"/>
      <c r="C51" s="761"/>
      <c r="D51" s="762"/>
      <c r="E51" s="761"/>
      <c r="F51" s="761"/>
      <c r="G51" s="761"/>
      <c r="H51" s="761"/>
      <c r="I51" s="762"/>
      <c r="J51" s="763"/>
      <c r="K51" s="763"/>
      <c r="L51" s="763"/>
      <c r="M51" s="763"/>
      <c r="N51" s="762"/>
      <c r="O51" s="763"/>
      <c r="P51" s="763"/>
      <c r="Q51" s="763"/>
      <c r="R51" s="763"/>
      <c r="S51" s="762"/>
      <c r="T51" s="761"/>
      <c r="U51" s="761"/>
      <c r="V51" s="761"/>
      <c r="W51" s="761"/>
      <c r="X51" s="763"/>
      <c r="Y51" s="761"/>
      <c r="Z51" s="761"/>
      <c r="AA51" s="761"/>
      <c r="AB51" s="761"/>
      <c r="AC51" s="763"/>
      <c r="AD51" s="761"/>
      <c r="AE51" s="761"/>
      <c r="AF51" s="761"/>
      <c r="AG51" s="761"/>
      <c r="AH51" s="764"/>
      <c r="AI51" s="525"/>
    </row>
    <row r="52" ht="15.0" customHeight="1">
      <c r="A52" s="519"/>
      <c r="B52" s="765"/>
      <c r="C52" s="766"/>
      <c r="D52" s="767"/>
      <c r="E52" s="768"/>
      <c r="F52" s="768"/>
      <c r="G52" s="768"/>
      <c r="H52" s="768"/>
      <c r="I52" s="767"/>
      <c r="J52" s="768"/>
      <c r="K52" s="768"/>
      <c r="L52" s="768"/>
      <c r="M52" s="768"/>
      <c r="N52" s="767"/>
      <c r="O52" s="768"/>
      <c r="P52" s="768"/>
      <c r="Q52" s="768"/>
      <c r="R52" s="768"/>
      <c r="S52" s="767"/>
      <c r="T52" s="768"/>
      <c r="U52" s="768"/>
      <c r="V52" s="768"/>
      <c r="W52" s="768"/>
      <c r="X52" s="767"/>
      <c r="Y52" s="768"/>
      <c r="Z52" s="768"/>
      <c r="AA52" s="768"/>
      <c r="AB52" s="768"/>
      <c r="AC52" s="768"/>
      <c r="AD52" s="768"/>
      <c r="AE52" s="768"/>
      <c r="AF52" s="768"/>
      <c r="AG52" s="768"/>
      <c r="AH52" s="769"/>
      <c r="AI52" s="525"/>
    </row>
    <row r="53">
      <c r="A53" s="545"/>
      <c r="B53" s="770"/>
      <c r="C53" s="771"/>
      <c r="D53" s="772"/>
      <c r="E53" s="773" t="s">
        <v>556</v>
      </c>
      <c r="F53" s="774"/>
      <c r="G53" s="774"/>
      <c r="H53" s="774"/>
      <c r="I53" s="774"/>
      <c r="J53" s="774"/>
      <c r="K53" s="774"/>
      <c r="L53" s="774"/>
      <c r="M53" s="774"/>
      <c r="N53" s="774"/>
      <c r="O53" s="774"/>
      <c r="P53" s="774"/>
      <c r="Q53" s="774"/>
      <c r="R53" s="774"/>
      <c r="S53" s="774"/>
      <c r="T53" s="774"/>
      <c r="U53" s="774"/>
      <c r="V53" s="774"/>
      <c r="W53" s="774"/>
      <c r="X53" s="774"/>
      <c r="Y53" s="774"/>
      <c r="Z53" s="774"/>
      <c r="AA53" s="774"/>
      <c r="AB53" s="774"/>
      <c r="AC53" s="774"/>
      <c r="AD53" s="774"/>
      <c r="AE53" s="774"/>
      <c r="AF53" s="774"/>
      <c r="AG53" s="775"/>
      <c r="AH53" s="776"/>
      <c r="AI53" s="534"/>
    </row>
    <row r="54" ht="96.75" customHeight="1">
      <c r="A54" s="519"/>
      <c r="B54" s="777"/>
      <c r="C54" s="778" t="str">
        <f>IMAGE("https://i.ibb.co/w6kjj5K/Surge.png")</f>
        <v/>
      </c>
      <c r="D54" s="779"/>
      <c r="E54" s="780" t="str">
        <f t="array" ref="E54">IFERROR(VLOOKUP(E55,Dex!$B$3:$G200,3,FALSE),"")</f>
        <v/>
      </c>
      <c r="F54" s="539"/>
      <c r="G54" s="539"/>
      <c r="H54" s="540"/>
      <c r="I54" s="781"/>
      <c r="J54" s="780" t="str">
        <f t="array" ref="J54">IFERROR(VLOOKUP(J55,Dex!$B$3:$G200,3,FALSE),"")</f>
        <v/>
      </c>
      <c r="K54" s="539"/>
      <c r="L54" s="539"/>
      <c r="M54" s="540"/>
      <c r="N54" s="781"/>
      <c r="O54" s="780" t="str">
        <f t="array" ref="O54">IFERROR(VLOOKUP(O55,Dex!$B$3:$G200,3,FALSE),"")</f>
        <v/>
      </c>
      <c r="P54" s="539"/>
      <c r="Q54" s="539"/>
      <c r="R54" s="540"/>
      <c r="S54" s="781"/>
      <c r="T54" s="780" t="str">
        <f t="array" ref="T54">IFERROR(VLOOKUP(T55,Dex!$B$3:$G200,3,FALSE),"")</f>
        <v/>
      </c>
      <c r="U54" s="539"/>
      <c r="V54" s="539"/>
      <c r="W54" s="540"/>
      <c r="X54" s="781"/>
      <c r="Y54" s="780" t="str">
        <f t="array" ref="Y54">IFERROR(VLOOKUP(Y55,Dex!$B$3:$G200,3,FALSE),"")</f>
        <v/>
      </c>
      <c r="Z54" s="539"/>
      <c r="AA54" s="539"/>
      <c r="AB54" s="540"/>
      <c r="AC54" s="782"/>
      <c r="AD54" s="780" t="str">
        <f t="array" ref="AD54">IFERROR(VLOOKUP(AD55,Dex!$B$3:$G200,3,FALSE),"")</f>
        <v/>
      </c>
      <c r="AE54" s="539"/>
      <c r="AF54" s="539"/>
      <c r="AG54" s="540"/>
      <c r="AH54" s="783"/>
      <c r="AI54" s="525"/>
    </row>
    <row r="55" ht="18.75" customHeight="1">
      <c r="A55" s="545"/>
      <c r="B55" s="784"/>
      <c r="C55" s="785" t="s">
        <v>557</v>
      </c>
      <c r="D55" s="786"/>
      <c r="E55" s="787" t="s">
        <v>558</v>
      </c>
      <c r="F55" s="788"/>
      <c r="G55" s="788"/>
      <c r="H55" s="789"/>
      <c r="I55" s="790"/>
      <c r="J55" s="787" t="s">
        <v>559</v>
      </c>
      <c r="K55" s="788"/>
      <c r="L55" s="788"/>
      <c r="M55" s="789"/>
      <c r="N55" s="790"/>
      <c r="O55" s="787" t="s">
        <v>560</v>
      </c>
      <c r="P55" s="788"/>
      <c r="Q55" s="788"/>
      <c r="R55" s="789"/>
      <c r="S55" s="790"/>
      <c r="T55" s="787" t="s">
        <v>561</v>
      </c>
      <c r="U55" s="788"/>
      <c r="V55" s="788"/>
      <c r="W55" s="789"/>
      <c r="X55" s="790"/>
      <c r="Y55" s="787" t="s">
        <v>562</v>
      </c>
      <c r="Z55" s="788"/>
      <c r="AA55" s="788"/>
      <c r="AB55" s="789"/>
      <c r="AD55" s="787" t="s">
        <v>563</v>
      </c>
      <c r="AE55" s="788"/>
      <c r="AF55" s="788"/>
      <c r="AG55" s="789"/>
      <c r="AH55" s="791"/>
      <c r="AI55" s="554"/>
    </row>
    <row r="56">
      <c r="A56" s="545"/>
      <c r="B56" s="792"/>
      <c r="C56" s="556"/>
      <c r="D56" s="793"/>
      <c r="E56" s="794">
        <v>35.0</v>
      </c>
      <c r="F56" s="795"/>
      <c r="G56" s="795"/>
      <c r="H56" s="796"/>
      <c r="I56" s="797"/>
      <c r="J56" s="794">
        <v>36.0</v>
      </c>
      <c r="K56" s="795"/>
      <c r="L56" s="795"/>
      <c r="M56" s="796"/>
      <c r="N56" s="797"/>
      <c r="O56" s="794">
        <v>36.0</v>
      </c>
      <c r="P56" s="795"/>
      <c r="Q56" s="795"/>
      <c r="R56" s="796"/>
      <c r="S56" s="797"/>
      <c r="T56" s="794">
        <v>36.0</v>
      </c>
      <c r="U56" s="795"/>
      <c r="V56" s="795"/>
      <c r="W56" s="796"/>
      <c r="X56" s="797"/>
      <c r="Y56" s="794">
        <v>36.0</v>
      </c>
      <c r="Z56" s="795"/>
      <c r="AA56" s="795"/>
      <c r="AB56" s="796"/>
      <c r="AD56" s="794">
        <v>36.0</v>
      </c>
      <c r="AE56" s="795"/>
      <c r="AF56" s="795"/>
      <c r="AG56" s="796"/>
      <c r="AH56" s="798"/>
      <c r="AI56" s="562"/>
    </row>
    <row r="57" ht="25.5" customHeight="1">
      <c r="A57" s="545"/>
      <c r="B57" s="799"/>
      <c r="C57" s="800"/>
      <c r="D57" s="801"/>
      <c r="E57" s="802"/>
      <c r="F57" s="803" t="str">
        <f t="array" ref="F57">IFERROR(VLOOKUP(E55,Dex!$B$3:$H200,5,FALSE),"")</f>
        <v/>
      </c>
      <c r="G57" s="804" t="str">
        <f t="array" ref="G57">IFERROR(VLOOKUP(E55,Dex!$B$3:$H200,7,FALSE),"")</f>
        <v/>
      </c>
      <c r="H57" s="805"/>
      <c r="I57" s="806"/>
      <c r="J57" s="802"/>
      <c r="K57" s="803" t="str">
        <f t="array" ref="K57">IFERROR(VLOOKUP(J55,Dex!$B$3:$H200,5,FALSE),"")</f>
        <v/>
      </c>
      <c r="L57" s="804" t="str">
        <f t="array" ref="L57">IFERROR(VLOOKUP(J55,Dex!$B$3:$H200,7,FALSE),"")</f>
        <v/>
      </c>
      <c r="M57" s="805"/>
      <c r="N57" s="806"/>
      <c r="O57" s="802"/>
      <c r="P57" s="803" t="str">
        <f t="array" ref="P57">IFERROR(VLOOKUP(O55,Dex!$B$3:$H200,5,FALSE),"")</f>
        <v/>
      </c>
      <c r="Q57" s="804" t="str">
        <f t="array" ref="Q57">IFERROR(VLOOKUP(O55,Dex!$B$3:$H200,7,FALSE),"")</f>
        <v/>
      </c>
      <c r="R57" s="805"/>
      <c r="S57" s="806"/>
      <c r="T57" s="802"/>
      <c r="U57" s="806" t="str">
        <f t="array" ref="U57">IFERROR(VLOOKUP(T55,Dex!$B$3:$H200,5,FALSE),"")</f>
        <v/>
      </c>
      <c r="V57" s="807"/>
      <c r="W57" s="805"/>
      <c r="X57" s="806"/>
      <c r="Y57" s="802"/>
      <c r="Z57" s="803" t="str">
        <f t="array" ref="Z57">IFERROR(VLOOKUP(Y55,Dex!$B$3:$H200,5,FALSE),"")</f>
        <v/>
      </c>
      <c r="AA57" s="804" t="str">
        <f t="array" ref="AA57">IFERROR(VLOOKUP(Y55,Dex!$B$3:$H200,7,FALSE),"")</f>
        <v/>
      </c>
      <c r="AB57" s="805"/>
      <c r="AD57" s="802"/>
      <c r="AE57" s="803" t="str">
        <f t="array" ref="AE57">IFERROR(VLOOKUP(AD55,Dex!$B$3:$H200,5,FALSE),"")</f>
        <v/>
      </c>
      <c r="AF57" s="804" t="str">
        <f t="array" ref="AF57">IFERROR(VLOOKUP(AD55,Dex!$B$3:$H200,7,FALSE),"")</f>
        <v/>
      </c>
      <c r="AG57" s="805"/>
      <c r="AH57" s="808"/>
      <c r="AI57" s="525"/>
    </row>
    <row r="58" ht="2.25" customHeight="1">
      <c r="A58" s="574"/>
      <c r="B58" s="799"/>
      <c r="C58" s="809"/>
      <c r="D58" s="801"/>
      <c r="E58" s="810"/>
      <c r="F58" s="811"/>
      <c r="G58" s="811"/>
      <c r="H58" s="812"/>
      <c r="I58" s="806"/>
      <c r="J58" s="810"/>
      <c r="K58" s="811"/>
      <c r="L58" s="811"/>
      <c r="M58" s="812"/>
      <c r="N58" s="806"/>
      <c r="O58" s="810"/>
      <c r="P58" s="811"/>
      <c r="Q58" s="811"/>
      <c r="R58" s="812"/>
      <c r="S58" s="806"/>
      <c r="T58" s="810"/>
      <c r="U58" s="811"/>
      <c r="V58" s="811"/>
      <c r="W58" s="812"/>
      <c r="X58" s="806"/>
      <c r="Y58" s="810"/>
      <c r="Z58" s="811"/>
      <c r="AA58" s="811"/>
      <c r="AB58" s="812"/>
      <c r="AD58" s="810"/>
      <c r="AE58" s="811"/>
      <c r="AF58" s="811"/>
      <c r="AG58" s="812"/>
      <c r="AH58" s="808"/>
      <c r="AI58" s="813"/>
    </row>
    <row r="59" ht="20.25" customHeight="1">
      <c r="A59" s="545"/>
      <c r="B59" s="799"/>
      <c r="C59" s="814"/>
      <c r="D59" s="801"/>
      <c r="E59" s="815" t="s">
        <v>564</v>
      </c>
      <c r="F59" s="816"/>
      <c r="G59" s="816"/>
      <c r="H59" s="817"/>
      <c r="I59" s="818"/>
      <c r="J59" s="815" t="s">
        <v>565</v>
      </c>
      <c r="K59" s="816"/>
      <c r="L59" s="816"/>
      <c r="M59" s="817"/>
      <c r="N59" s="818"/>
      <c r="O59" s="815" t="s">
        <v>531</v>
      </c>
      <c r="P59" s="816"/>
      <c r="Q59" s="816"/>
      <c r="R59" s="817"/>
      <c r="S59" s="818"/>
      <c r="T59" s="815" t="s">
        <v>566</v>
      </c>
      <c r="U59" s="816"/>
      <c r="V59" s="816"/>
      <c r="W59" s="817"/>
      <c r="X59" s="818"/>
      <c r="Y59" s="815" t="s">
        <v>532</v>
      </c>
      <c r="Z59" s="816"/>
      <c r="AA59" s="816"/>
      <c r="AB59" s="817"/>
      <c r="AD59" s="815" t="s">
        <v>531</v>
      </c>
      <c r="AE59" s="816"/>
      <c r="AF59" s="816"/>
      <c r="AG59" s="817"/>
      <c r="AH59" s="783"/>
      <c r="AI59" s="525"/>
    </row>
    <row r="60">
      <c r="A60" s="545"/>
      <c r="B60" s="799"/>
      <c r="C60" s="819"/>
      <c r="D60" s="801"/>
      <c r="E60" s="820" t="s">
        <v>484</v>
      </c>
      <c r="F60" s="795"/>
      <c r="G60" s="795"/>
      <c r="H60" s="796"/>
      <c r="I60" s="818"/>
      <c r="J60" s="820" t="s">
        <v>567</v>
      </c>
      <c r="K60" s="795"/>
      <c r="L60" s="795"/>
      <c r="M60" s="796"/>
      <c r="N60" s="818"/>
      <c r="O60" s="820" t="s">
        <v>568</v>
      </c>
      <c r="P60" s="795"/>
      <c r="Q60" s="795"/>
      <c r="R60" s="796"/>
      <c r="S60" s="818"/>
      <c r="T60" s="820" t="s">
        <v>569</v>
      </c>
      <c r="U60" s="795"/>
      <c r="V60" s="795"/>
      <c r="W60" s="796"/>
      <c r="X60" s="818"/>
      <c r="Y60" s="820" t="s">
        <v>570</v>
      </c>
      <c r="Z60" s="795"/>
      <c r="AA60" s="795"/>
      <c r="AB60" s="796"/>
      <c r="AD60" s="820" t="s">
        <v>571</v>
      </c>
      <c r="AE60" s="795"/>
      <c r="AF60" s="795"/>
      <c r="AG60" s="796"/>
      <c r="AH60" s="783"/>
      <c r="AI60" s="525"/>
    </row>
    <row r="61" ht="20.25" customHeight="1">
      <c r="A61" s="545"/>
      <c r="B61" s="799"/>
      <c r="C61" s="809"/>
      <c r="D61" s="801"/>
      <c r="E61" s="821" t="s">
        <v>572</v>
      </c>
      <c r="F61" s="774"/>
      <c r="G61" s="775"/>
      <c r="H61" s="822" t="str">
        <f>IMAGE("https://raw.githubusercontent.com/msikma/pokesprite/master/items/z-crystals/icium-z--held.png",3)</f>
        <v/>
      </c>
      <c r="I61" s="823"/>
      <c r="J61" s="821" t="s">
        <v>541</v>
      </c>
      <c r="K61" s="774"/>
      <c r="L61" s="775"/>
      <c r="M61" s="822" t="str">
        <f>IMAGE("https://raw.githubusercontent.com/msikma/pokesprite/master/items/hold-item/life-orb.png",3)</f>
        <v/>
      </c>
      <c r="N61" s="823"/>
      <c r="O61" s="821" t="s">
        <v>573</v>
      </c>
      <c r="P61" s="774"/>
      <c r="Q61" s="775"/>
      <c r="R61" s="822" t="str">
        <f>IMAGE("https://raw.githubusercontent.com/msikma/pokesprite/master/items/hold-item/focus-sash.png",3)</f>
        <v/>
      </c>
      <c r="S61" s="823"/>
      <c r="T61" s="821" t="s">
        <v>574</v>
      </c>
      <c r="U61" s="774"/>
      <c r="V61" s="775"/>
      <c r="W61" s="822" t="str">
        <f>IMAGE("https://raw.githubusercontent.com/msikma/pokesprite/master/items/hold-item/electric-seed.png",3)</f>
        <v/>
      </c>
      <c r="X61" s="823"/>
      <c r="Y61" s="821" t="s">
        <v>575</v>
      </c>
      <c r="Z61" s="774"/>
      <c r="AA61" s="775"/>
      <c r="AB61" s="822" t="str">
        <f>IMAGE("https://www.serebii.net/itemdex/sprites/punchingglove.png",4,28,28)</f>
        <v/>
      </c>
      <c r="AD61" s="821" t="s">
        <v>576</v>
      </c>
      <c r="AE61" s="774"/>
      <c r="AF61" s="775"/>
      <c r="AG61" s="822" t="str">
        <f>IMAGE("https://raw.githubusercontent.com/msikma/pokesprite/master/items/mega-stone/ampharosite.png",3)</f>
        <v/>
      </c>
      <c r="AH61" s="808"/>
      <c r="AI61" s="525"/>
    </row>
    <row r="62" ht="20.25" customHeight="1">
      <c r="A62" s="545"/>
      <c r="B62" s="799"/>
      <c r="C62" s="814"/>
      <c r="D62" s="801"/>
      <c r="E62" s="815" t="s">
        <v>547</v>
      </c>
      <c r="F62" s="816"/>
      <c r="G62" s="816"/>
      <c r="H62" s="824" t="str">
        <f>IMAGE("https://raw.githubusercontent.com/msikma/pokesprite/master/misc/types/gen8/electric.png",4,20,20)</f>
        <v/>
      </c>
      <c r="I62" s="823"/>
      <c r="J62" s="815" t="s">
        <v>577</v>
      </c>
      <c r="K62" s="816"/>
      <c r="L62" s="816"/>
      <c r="M62" s="824" t="str">
        <f>IMAGE("https://raw.githubusercontent.com/msikma/pokesprite/master/misc/types/gen8/grass.png",4,20,20)</f>
        <v/>
      </c>
      <c r="N62" s="823"/>
      <c r="O62" s="815" t="s">
        <v>578</v>
      </c>
      <c r="P62" s="816"/>
      <c r="Q62" s="816"/>
      <c r="R62" s="824" t="str">
        <f>IMAGE("https://raw.githubusercontent.com/msikma/pokesprite/master/misc/types/gen8/electric.png",4,20,20)</f>
        <v/>
      </c>
      <c r="S62" s="823"/>
      <c r="T62" s="815" t="s">
        <v>579</v>
      </c>
      <c r="U62" s="816"/>
      <c r="V62" s="816"/>
      <c r="W62" s="824" t="str">
        <f>IMAGE("https://raw.githubusercontent.com/msikma/pokesprite/master/misc/types/gen8/dark.png",4,20,20)</f>
        <v/>
      </c>
      <c r="X62" s="823"/>
      <c r="Y62" s="815" t="s">
        <v>580</v>
      </c>
      <c r="Z62" s="816"/>
      <c r="AA62" s="816"/>
      <c r="AB62" s="824" t="str">
        <f>IMAGE("https://raw.githubusercontent.com/msikma/pokesprite/master/misc/types/gen8/electric.png",4,20,20)</f>
        <v/>
      </c>
      <c r="AD62" s="815" t="s">
        <v>581</v>
      </c>
      <c r="AE62" s="816"/>
      <c r="AF62" s="816"/>
      <c r="AG62" s="824" t="str">
        <f>IMAGE("https://raw.githubusercontent.com/msikma/pokesprite/master/misc/types/gen8/electric.png",4,20,20)</f>
        <v/>
      </c>
      <c r="AH62" s="808"/>
      <c r="AI62" s="525"/>
    </row>
    <row r="63" ht="20.25" customHeight="1">
      <c r="A63" s="545"/>
      <c r="B63" s="799"/>
      <c r="C63" s="825"/>
      <c r="D63" s="801"/>
      <c r="E63" s="820" t="s">
        <v>582</v>
      </c>
      <c r="F63" s="795"/>
      <c r="G63" s="795"/>
      <c r="H63" s="826" t="str">
        <f t="shared" ref="H63:H64" si="4">IMAGE("https://raw.githubusercontent.com/msikma/pokesprite/master/misc/types/gen8/ice.png",4,20,20)</f>
        <v/>
      </c>
      <c r="I63" s="823"/>
      <c r="J63" s="820" t="s">
        <v>581</v>
      </c>
      <c r="K63" s="795"/>
      <c r="L63" s="795"/>
      <c r="M63" s="826" t="str">
        <f>IMAGE("https://raw.githubusercontent.com/msikma/pokesprite/master/misc/types/gen8/electric.png",4,20,20)</f>
        <v/>
      </c>
      <c r="N63" s="823"/>
      <c r="O63" s="820" t="s">
        <v>552</v>
      </c>
      <c r="P63" s="795"/>
      <c r="Q63" s="795"/>
      <c r="R63" s="826" t="str">
        <f>IMAGE("https://raw.githubusercontent.com/msikma/pokesprite/master/misc/types/gen8/psychic.png",4,20,20)</f>
        <v/>
      </c>
      <c r="S63" s="823"/>
      <c r="T63" s="820" t="s">
        <v>583</v>
      </c>
      <c r="U63" s="795"/>
      <c r="V63" s="795"/>
      <c r="W63" s="826" t="str">
        <f>IMAGE("https://raw.githubusercontent.com/msikma/pokesprite/master/misc/types/gen8/fighting.png",4,20,20)</f>
        <v/>
      </c>
      <c r="X63" s="823"/>
      <c r="Y63" s="820" t="s">
        <v>584</v>
      </c>
      <c r="Z63" s="795"/>
      <c r="AA63" s="795"/>
      <c r="AB63" s="826" t="str">
        <f>IMAGE("https://raw.githubusercontent.com/msikma/pokesprite/master/misc/types/gen8/fighting.png",4,20,20)</f>
        <v/>
      </c>
      <c r="AD63" s="820" t="s">
        <v>585</v>
      </c>
      <c r="AE63" s="795"/>
      <c r="AF63" s="795"/>
      <c r="AG63" s="826" t="str">
        <f>IMAGE("https://raw.githubusercontent.com/msikma/pokesprite/master/misc/types/gen8/dragon.png",4,20,20)</f>
        <v/>
      </c>
      <c r="AH63" s="808"/>
      <c r="AI63" s="525"/>
    </row>
    <row r="64" ht="20.25" customHeight="1">
      <c r="A64" s="545"/>
      <c r="B64" s="799"/>
      <c r="C64" s="825"/>
      <c r="D64" s="801"/>
      <c r="E64" s="820" t="s">
        <v>586</v>
      </c>
      <c r="F64" s="795"/>
      <c r="G64" s="795"/>
      <c r="H64" s="826" t="str">
        <f t="shared" si="4"/>
        <v/>
      </c>
      <c r="I64" s="823"/>
      <c r="J64" s="820" t="s">
        <v>587</v>
      </c>
      <c r="K64" s="795"/>
      <c r="L64" s="795"/>
      <c r="M64" s="826" t="str">
        <f>IMAGE("https://raw.githubusercontent.com/msikma/pokesprite/master/misc/types/gen8/ice.png",4,20,20)</f>
        <v/>
      </c>
      <c r="N64" s="823"/>
      <c r="O64" s="820" t="s">
        <v>259</v>
      </c>
      <c r="P64" s="795"/>
      <c r="Q64" s="795"/>
      <c r="R64" s="826" t="str">
        <f>IMAGE("https://raw.githubusercontent.com/msikma/pokesprite/master/misc/types/gen8/dark.png",4,20,20)</f>
        <v/>
      </c>
      <c r="S64" s="823"/>
      <c r="T64" s="820" t="s">
        <v>588</v>
      </c>
      <c r="U64" s="795"/>
      <c r="V64" s="795"/>
      <c r="W64" s="826" t="str">
        <f>IMAGE("https://raw.githubusercontent.com/msikma/pokesprite/master/misc/types/gen8/rock.png",4,20,20)</f>
        <v/>
      </c>
      <c r="X64" s="823"/>
      <c r="Y64" s="820" t="s">
        <v>589</v>
      </c>
      <c r="Z64" s="795"/>
      <c r="AA64" s="795"/>
      <c r="AB64" s="826" t="str">
        <f>IMAGE("https://raw.githubusercontent.com/msikma/pokesprite/master/misc/types/gen8/ice.png",4,20,20)</f>
        <v/>
      </c>
      <c r="AD64" s="820" t="s">
        <v>590</v>
      </c>
      <c r="AE64" s="795"/>
      <c r="AF64" s="795"/>
      <c r="AG64" s="826" t="str">
        <f>IMAGE("https://raw.githubusercontent.com/msikma/pokesprite/master/misc/types/gen8/fighting.png",4,20,20)</f>
        <v/>
      </c>
      <c r="AH64" s="808"/>
      <c r="AI64" s="525"/>
    </row>
    <row r="65" ht="21.0" customHeight="1">
      <c r="A65" s="545"/>
      <c r="B65" s="799"/>
      <c r="C65" s="825"/>
      <c r="D65" s="801"/>
      <c r="E65" s="827" t="s">
        <v>259</v>
      </c>
      <c r="F65" s="828"/>
      <c r="G65" s="828"/>
      <c r="H65" s="829" t="str">
        <f>IMAGE("https://raw.githubusercontent.com/msikma/pokesprite/master/misc/types/gen8/dark.png",4,20,20)</f>
        <v/>
      </c>
      <c r="I65" s="823"/>
      <c r="J65" s="827" t="s">
        <v>591</v>
      </c>
      <c r="K65" s="828"/>
      <c r="L65" s="828"/>
      <c r="M65" s="829" t="str">
        <f>IMAGE("https://raw.githubusercontent.com/msikma/pokesprite/master/misc/types/gen8/normal.png",4,20,20)</f>
        <v/>
      </c>
      <c r="N65" s="823"/>
      <c r="O65" s="827" t="s">
        <v>592</v>
      </c>
      <c r="P65" s="828"/>
      <c r="Q65" s="828"/>
      <c r="R65" s="829" t="str">
        <f>IMAGE("https://raw.githubusercontent.com/msikma/pokesprite/master/misc/types/gen8/water.png",4,20,20)</f>
        <v/>
      </c>
      <c r="S65" s="823"/>
      <c r="T65" s="827" t="s">
        <v>168</v>
      </c>
      <c r="U65" s="828"/>
      <c r="V65" s="828"/>
      <c r="W65" s="829" t="str">
        <f>IMAGE("https://raw.githubusercontent.com/msikma/pokesprite/master/misc/types/gen8/fighting.png",4,20,20)</f>
        <v/>
      </c>
      <c r="X65" s="823"/>
      <c r="Y65" s="827" t="s">
        <v>583</v>
      </c>
      <c r="Z65" s="828"/>
      <c r="AA65" s="828"/>
      <c r="AB65" s="829" t="str">
        <f>IMAGE("https://raw.githubusercontent.com/msikma/pokesprite/master/misc/types/gen8/fighting.png",4,20,20)</f>
        <v/>
      </c>
      <c r="AC65" s="788"/>
      <c r="AD65" s="827" t="s">
        <v>553</v>
      </c>
      <c r="AE65" s="828"/>
      <c r="AF65" s="828"/>
      <c r="AG65" s="829" t="str">
        <f>IMAGE("https://raw.githubusercontent.com/msikma/pokesprite/master/misc/types/gen8/grass.png",4,20,20)</f>
        <v/>
      </c>
      <c r="AH65" s="808"/>
      <c r="AI65" s="525"/>
    </row>
    <row r="66" ht="3.0" customHeight="1">
      <c r="A66" s="574"/>
      <c r="B66" s="799"/>
      <c r="C66" s="830"/>
      <c r="D66" s="831"/>
      <c r="E66" s="832"/>
      <c r="F66" s="832"/>
      <c r="G66" s="832"/>
      <c r="H66" s="832"/>
      <c r="I66" s="831"/>
      <c r="J66" s="832"/>
      <c r="K66" s="832"/>
      <c r="L66" s="832"/>
      <c r="M66" s="832"/>
      <c r="N66" s="831"/>
      <c r="O66" s="832"/>
      <c r="P66" s="832"/>
      <c r="Q66" s="832"/>
      <c r="R66" s="832"/>
      <c r="S66" s="831"/>
      <c r="T66" s="832"/>
      <c r="U66" s="832"/>
      <c r="V66" s="832"/>
      <c r="W66" s="832"/>
      <c r="X66" s="831"/>
      <c r="Y66" s="832"/>
      <c r="Z66" s="833"/>
      <c r="AA66" s="833"/>
      <c r="AB66" s="834"/>
      <c r="AC66" s="835"/>
      <c r="AD66" s="832"/>
      <c r="AE66" s="833"/>
      <c r="AF66" s="833"/>
      <c r="AG66" s="834"/>
      <c r="AH66" s="808"/>
      <c r="AI66" s="525"/>
    </row>
    <row r="67" ht="17.25" customHeight="1">
      <c r="A67" s="545"/>
      <c r="B67" s="836"/>
      <c r="C67" s="830"/>
      <c r="D67" s="837"/>
      <c r="E67" s="838" t="s">
        <v>512</v>
      </c>
      <c r="F67" s="606"/>
      <c r="G67" s="606"/>
      <c r="H67" s="607"/>
      <c r="I67" s="839"/>
      <c r="J67" s="838" t="s">
        <v>512</v>
      </c>
      <c r="K67" s="606"/>
      <c r="L67" s="606"/>
      <c r="M67" s="607"/>
      <c r="N67" s="839"/>
      <c r="O67" s="838" t="s">
        <v>512</v>
      </c>
      <c r="P67" s="606"/>
      <c r="Q67" s="606"/>
      <c r="R67" s="607"/>
      <c r="S67" s="839"/>
      <c r="T67" s="838" t="s">
        <v>512</v>
      </c>
      <c r="U67" s="606"/>
      <c r="V67" s="606"/>
      <c r="W67" s="607"/>
      <c r="X67" s="839"/>
      <c r="Y67" s="838" t="s">
        <v>512</v>
      </c>
      <c r="Z67" s="606"/>
      <c r="AA67" s="606"/>
      <c r="AB67" s="607"/>
      <c r="AC67" s="840"/>
      <c r="AD67" s="838" t="s">
        <v>512</v>
      </c>
      <c r="AE67" s="606"/>
      <c r="AF67" s="606"/>
      <c r="AG67" s="607"/>
      <c r="AH67" s="841"/>
      <c r="AI67" s="612"/>
    </row>
    <row r="68" ht="16.5" customHeight="1">
      <c r="A68" s="545"/>
      <c r="B68" s="836"/>
      <c r="C68" s="830"/>
      <c r="D68" s="837"/>
      <c r="E68" s="842" t="s">
        <v>513</v>
      </c>
      <c r="F68" s="843">
        <f t="array" ref="F68">IFERROR(VLOOKUP(E55,Dex!$B$3:$N200,8,FALSE),"")</f>
        <v>50</v>
      </c>
      <c r="G68" s="844" t="str">
        <f t="array" ref="G68">IFERROR(VLOOKUP(F68,Dex!$P$22:$Q$276,2,FALSE),"")</f>
        <v/>
      </c>
      <c r="H68" s="845"/>
      <c r="I68" s="846"/>
      <c r="J68" s="842" t="s">
        <v>513</v>
      </c>
      <c r="K68" s="843">
        <f t="array" ref="K68">IFERROR(VLOOKUP(J55,Dex!$B$3:$N200,8,FALSE),"")</f>
        <v>60</v>
      </c>
      <c r="L68" s="844" t="str">
        <f t="array" ref="L68">IFERROR(VLOOKUP(K68,Dex!$P$22:$Q$276,2,FALSE),"")</f>
        <v/>
      </c>
      <c r="M68" s="845"/>
      <c r="N68" s="846"/>
      <c r="O68" s="842" t="s">
        <v>513</v>
      </c>
      <c r="P68" s="843">
        <f t="array" ref="P68">IFERROR(VLOOKUP(O55,Dex!$B$3:$N200,8,FALSE),"")</f>
        <v>60</v>
      </c>
      <c r="Q68" s="844" t="str">
        <f t="array" ref="Q68">IFERROR(VLOOKUP(P68,Dex!$P$22:$Q$276,2,FALSE),"")</f>
        <v/>
      </c>
      <c r="R68" s="845"/>
      <c r="S68" s="846"/>
      <c r="T68" s="842" t="s">
        <v>513</v>
      </c>
      <c r="U68" s="843">
        <f t="array" ref="U68">IFERROR(VLOOKUP(T55,Dex!$B$3:$N200,8,FALSE),"")</f>
        <v>50</v>
      </c>
      <c r="V68" s="844" t="str">
        <f t="array" ref="V68">IFERROR(VLOOKUP(U68,Dex!$P$22:$Q$276,2,FALSE),"")</f>
        <v/>
      </c>
      <c r="W68" s="845"/>
      <c r="X68" s="846"/>
      <c r="Y68" s="842" t="s">
        <v>513</v>
      </c>
      <c r="Z68" s="843">
        <f t="array" ref="Z68">IFERROR(VLOOKUP(Y55,Dex!$B$3:$N200,8,FALSE),"")</f>
        <v>70</v>
      </c>
      <c r="AA68" s="844" t="str">
        <f t="array" ref="AA68">IFERROR(VLOOKUP(Z68,Dex!$P$22:$Q$276,2,FALSE),"")</f>
        <v/>
      </c>
      <c r="AB68" s="845"/>
      <c r="AC68" s="847"/>
      <c r="AD68" s="842" t="s">
        <v>513</v>
      </c>
      <c r="AE68" s="843">
        <f t="array" ref="AE68">IFERROR(VLOOKUP(AD55,Dex!$B$3:$N200,8,FALSE),"")</f>
        <v>90</v>
      </c>
      <c r="AF68" s="844" t="str">
        <f t="array" ref="AF68">IFERROR(VLOOKUP(AE68,Dex!$P$22:$Q$276,2,FALSE),"")</f>
        <v/>
      </c>
      <c r="AG68" s="845"/>
      <c r="AH68" s="841"/>
      <c r="AI68" s="612"/>
    </row>
    <row r="69" ht="16.5" customHeight="1">
      <c r="A69" s="545"/>
      <c r="B69" s="836"/>
      <c r="C69" s="830"/>
      <c r="D69" s="837"/>
      <c r="E69" s="848" t="s">
        <v>514</v>
      </c>
      <c r="F69" s="849">
        <f t="array" ref="F69">IFERROR(VLOOKUP(E55,Dex!$B$3:$N200,9,FALSE),"")</f>
        <v>65</v>
      </c>
      <c r="G69" s="850" t="str">
        <f t="array" ref="G69">IFERROR(VLOOKUP(F69,Dex!$P$22:$Q$276,2,FALSE),"")</f>
        <v/>
      </c>
      <c r="H69" s="851"/>
      <c r="I69" s="846"/>
      <c r="J69" s="848" t="s">
        <v>514</v>
      </c>
      <c r="K69" s="849">
        <f t="array" ref="K69">IFERROR(VLOOKUP(J55,Dex!$B$3:$N200,9,FALSE),"")</f>
        <v>55</v>
      </c>
      <c r="L69" s="850" t="str">
        <f t="array" ref="L69">IFERROR(VLOOKUP(K69,Dex!$P$22:$Q$276,2,FALSE),"")</f>
        <v/>
      </c>
      <c r="M69" s="851"/>
      <c r="N69" s="846"/>
      <c r="O69" s="848" t="s">
        <v>514</v>
      </c>
      <c r="P69" s="849">
        <f t="array" ref="P69">IFERROR(VLOOKUP(O55,Dex!$B$3:$N200,9,FALSE),"")</f>
        <v>85</v>
      </c>
      <c r="Q69" s="850" t="str">
        <f t="array" ref="Q69">IFERROR(VLOOKUP(P69,Dex!$P$22:$Q$276,2,FALSE),"")</f>
        <v/>
      </c>
      <c r="R69" s="851"/>
      <c r="S69" s="846"/>
      <c r="T69" s="848" t="s">
        <v>514</v>
      </c>
      <c r="U69" s="849">
        <f t="array" ref="U69">IFERROR(VLOOKUP(T55,Dex!$B$3:$N200,9,FALSE),"")</f>
        <v>120</v>
      </c>
      <c r="V69" s="850" t="str">
        <f t="array" ref="V69">IFERROR(VLOOKUP(U69,Dex!$P$22:$Q$276,2,FALSE),"")</f>
        <v/>
      </c>
      <c r="W69" s="851"/>
      <c r="X69" s="846"/>
      <c r="Y69" s="848" t="s">
        <v>514</v>
      </c>
      <c r="Z69" s="849">
        <f t="array" ref="Z69">IFERROR(VLOOKUP(Y55,Dex!$B$3:$N200,9,FALSE),"")</f>
        <v>115</v>
      </c>
      <c r="AA69" s="850" t="str">
        <f t="array" ref="AA69">IFERROR(VLOOKUP(Z69,Dex!$P$22:$Q$276,2,FALSE),"")</f>
        <v/>
      </c>
      <c r="AB69" s="851"/>
      <c r="AC69" s="847"/>
      <c r="AD69" s="848" t="s">
        <v>514</v>
      </c>
      <c r="AE69" s="849">
        <f t="array" ref="AE69">IFERROR(VLOOKUP(AD55,Dex!$B$3:$N200,9,FALSE),"")</f>
        <v>95</v>
      </c>
      <c r="AF69" s="850" t="str">
        <f t="array" ref="AF69">IFERROR(VLOOKUP(AE69,Dex!$P$22:$Q$276,2,FALSE),"")</f>
        <v/>
      </c>
      <c r="AG69" s="851"/>
      <c r="AH69" s="841"/>
      <c r="AI69" s="612"/>
    </row>
    <row r="70" ht="16.5" customHeight="1">
      <c r="A70" s="545"/>
      <c r="B70" s="836"/>
      <c r="C70" s="830"/>
      <c r="D70" s="837"/>
      <c r="E70" s="848" t="s">
        <v>515</v>
      </c>
      <c r="F70" s="849">
        <f t="array" ref="F70">IFERROR(VLOOKUP(E55,Dex!$B$3:$N200,10,FALSE),"")</f>
        <v>107</v>
      </c>
      <c r="G70" s="850" t="str">
        <f t="array" ref="G70">IFERROR(VLOOKUP(F70,Dex!$P$22:$Q$276,2,FALSE),"")</f>
        <v/>
      </c>
      <c r="H70" s="851"/>
      <c r="I70" s="846"/>
      <c r="J70" s="848" t="s">
        <v>515</v>
      </c>
      <c r="K70" s="849">
        <f t="array" ref="K70">IFERROR(VLOOKUP(J55,Dex!$B$3:$N200,10,FALSE),"")</f>
        <v>70</v>
      </c>
      <c r="L70" s="850" t="str">
        <f t="array" ref="L70">IFERROR(VLOOKUP(K70,Dex!$P$22:$Q$276,2,FALSE),"")</f>
        <v/>
      </c>
      <c r="M70" s="851"/>
      <c r="N70" s="846"/>
      <c r="O70" s="848" t="s">
        <v>515</v>
      </c>
      <c r="P70" s="849">
        <f t="array" ref="P70">IFERROR(VLOOKUP(O55,Dex!$B$3:$N200,10,FALSE),"")</f>
        <v>50</v>
      </c>
      <c r="Q70" s="850" t="str">
        <f t="array" ref="Q70">IFERROR(VLOOKUP(P70,Dex!$P$22:$Q$276,2,FALSE),"")</f>
        <v/>
      </c>
      <c r="R70" s="851"/>
      <c r="S70" s="846"/>
      <c r="T70" s="848" t="s">
        <v>515</v>
      </c>
      <c r="U70" s="849">
        <f t="array" ref="U70">IFERROR(VLOOKUP(T55,Dex!$B$3:$N200,10,FALSE),"")</f>
        <v>53</v>
      </c>
      <c r="V70" s="850" t="str">
        <f t="array" ref="V70">IFERROR(VLOOKUP(U70,Dex!$P$22:$Q$276,2,FALSE),"")</f>
        <v/>
      </c>
      <c r="W70" s="851"/>
      <c r="X70" s="846"/>
      <c r="Y70" s="848" t="s">
        <v>515</v>
      </c>
      <c r="Z70" s="849">
        <f t="array" ref="Z70">IFERROR(VLOOKUP(Y55,Dex!$B$3:$N200,10,FALSE),"")</f>
        <v>70</v>
      </c>
      <c r="AA70" s="850" t="str">
        <f t="array" ref="AA70">IFERROR(VLOOKUP(Z70,Dex!$P$22:$Q$276,2,FALSE),"")</f>
        <v/>
      </c>
      <c r="AB70" s="851"/>
      <c r="AC70" s="847"/>
      <c r="AD70" s="848" t="s">
        <v>515</v>
      </c>
      <c r="AE70" s="849">
        <f t="array" ref="AE70">IFERROR(VLOOKUP(AD55,Dex!$B$3:$N200,10,FALSE),"")</f>
        <v>105</v>
      </c>
      <c r="AF70" s="850" t="str">
        <f t="array" ref="AF70">IFERROR(VLOOKUP(AE70,Dex!$P$22:$Q$276,2,FALSE),"")</f>
        <v/>
      </c>
      <c r="AG70" s="851"/>
      <c r="AH70" s="841"/>
      <c r="AI70" s="612"/>
    </row>
    <row r="71" ht="16.5" customHeight="1">
      <c r="A71" s="545"/>
      <c r="B71" s="836"/>
      <c r="C71" s="830"/>
      <c r="D71" s="837"/>
      <c r="E71" s="848" t="s">
        <v>516</v>
      </c>
      <c r="F71" s="849">
        <f t="array" ref="F71">IFERROR(VLOOKUP(E55,Dex!$B$3:$N200,11,FALSE),"")</f>
        <v>105</v>
      </c>
      <c r="G71" s="850" t="str">
        <f t="array" ref="G71">IFERROR(VLOOKUP(F71,Dex!$P$22:$Q$276,2,FALSE),"")</f>
        <v/>
      </c>
      <c r="H71" s="851"/>
      <c r="I71" s="846"/>
      <c r="J71" s="848" t="s">
        <v>516</v>
      </c>
      <c r="K71" s="849">
        <f t="array" ref="K71">IFERROR(VLOOKUP(J55,Dex!$B$3:$N200,11,FALSE),"")</f>
        <v>95</v>
      </c>
      <c r="L71" s="850" t="str">
        <f t="array" ref="L71">IFERROR(VLOOKUP(K71,Dex!$P$22:$Q$276,2,FALSE),"")</f>
        <v/>
      </c>
      <c r="M71" s="851"/>
      <c r="N71" s="846"/>
      <c r="O71" s="848" t="s">
        <v>516</v>
      </c>
      <c r="P71" s="849">
        <f t="array" ref="P71">IFERROR(VLOOKUP(O55,Dex!$B$3:$N200,11,FALSE),"")</f>
        <v>95</v>
      </c>
      <c r="Q71" s="850" t="str">
        <f t="array" ref="Q71">IFERROR(VLOOKUP(P71,Dex!$P$22:$Q$276,2,FALSE),"")</f>
        <v/>
      </c>
      <c r="R71" s="851"/>
      <c r="S71" s="846"/>
      <c r="T71" s="848" t="s">
        <v>516</v>
      </c>
      <c r="U71" s="849">
        <f t="array" ref="U71">IFERROR(VLOOKUP(T55,Dex!$B$3:$N200,11,FALSE),"")</f>
        <v>35</v>
      </c>
      <c r="V71" s="850" t="str">
        <f t="array" ref="V71">IFERROR(VLOOKUP(U71,Dex!$P$22:$Q$276,2,FALSE),"")</f>
        <v/>
      </c>
      <c r="W71" s="851"/>
      <c r="X71" s="846"/>
      <c r="Y71" s="848" t="s">
        <v>516</v>
      </c>
      <c r="Z71" s="849">
        <f t="array" ref="Z71">IFERROR(VLOOKUP(Y55,Dex!$B$3:$N200,11,FALSE),"")</f>
        <v>70</v>
      </c>
      <c r="AA71" s="850" t="str">
        <f t="array" ref="AA71">IFERROR(VLOOKUP(Z71,Dex!$P$22:$Q$276,2,FALSE),"")</f>
        <v/>
      </c>
      <c r="AB71" s="851"/>
      <c r="AC71" s="847"/>
      <c r="AD71" s="848" t="s">
        <v>516</v>
      </c>
      <c r="AE71" s="849">
        <f t="array" ref="AE71">IFERROR(VLOOKUP(AD55,Dex!$B$3:$N200,11,FALSE),"")</f>
        <v>165</v>
      </c>
      <c r="AF71" s="850" t="str">
        <f t="array" ref="AF71">IFERROR(VLOOKUP(AE71,Dex!$P$22:$Q$276,2,FALSE),"")</f>
        <v/>
      </c>
      <c r="AG71" s="851"/>
      <c r="AH71" s="841"/>
      <c r="AI71" s="612"/>
    </row>
    <row r="72" ht="16.5" customHeight="1">
      <c r="A72" s="545"/>
      <c r="B72" s="836"/>
      <c r="C72" s="830"/>
      <c r="D72" s="837"/>
      <c r="E72" s="848" t="s">
        <v>517</v>
      </c>
      <c r="F72" s="849">
        <f t="array" ref="F72">IFERROR(VLOOKUP(E55,Dex!$B$3:$N200,12,FALSE),"")</f>
        <v>107</v>
      </c>
      <c r="G72" s="850" t="str">
        <f t="array" ref="G72">IFERROR(VLOOKUP(F72,Dex!$P$22:$Q$276,2,FALSE),"")</f>
        <v/>
      </c>
      <c r="H72" s="851"/>
      <c r="I72" s="846"/>
      <c r="J72" s="848" t="s">
        <v>517</v>
      </c>
      <c r="K72" s="849">
        <f t="array" ref="K72">IFERROR(VLOOKUP(J55,Dex!$B$3:$N200,12,FALSE),"")</f>
        <v>80</v>
      </c>
      <c r="L72" s="850" t="str">
        <f t="array" ref="L72">IFERROR(VLOOKUP(K72,Dex!$P$22:$Q$276,2,FALSE),"")</f>
        <v/>
      </c>
      <c r="M72" s="851"/>
      <c r="N72" s="846"/>
      <c r="O72" s="848" t="s">
        <v>517</v>
      </c>
      <c r="P72" s="849">
        <f t="array" ref="P72">IFERROR(VLOOKUP(O55,Dex!$B$3:$N200,12,FALSE),"")</f>
        <v>85</v>
      </c>
      <c r="Q72" s="850" t="str">
        <f t="array" ref="Q72">IFERROR(VLOOKUP(P72,Dex!$P$22:$Q$276,2,FALSE),"")</f>
        <v/>
      </c>
      <c r="R72" s="851"/>
      <c r="S72" s="846"/>
      <c r="T72" s="848" t="s">
        <v>517</v>
      </c>
      <c r="U72" s="849">
        <f t="array" ref="U72">IFERROR(VLOOKUP(T55,Dex!$B$3:$N200,12,FALSE),"")</f>
        <v>110</v>
      </c>
      <c r="V72" s="850" t="str">
        <f t="array" ref="V72">IFERROR(VLOOKUP(U72,Dex!$P$22:$Q$276,2,FALSE),"")</f>
        <v/>
      </c>
      <c r="W72" s="851"/>
      <c r="X72" s="846"/>
      <c r="Y72" s="848" t="s">
        <v>517</v>
      </c>
      <c r="Z72" s="849">
        <f t="array" ref="Z72">IFERROR(VLOOKUP(Y55,Dex!$B$3:$N200,12,FALSE),"")</f>
        <v>60</v>
      </c>
      <c r="AA72" s="850" t="str">
        <f t="array" ref="AA72">IFERROR(VLOOKUP(Z72,Dex!$P$22:$Q$276,2,FALSE),"")</f>
        <v/>
      </c>
      <c r="AB72" s="851"/>
      <c r="AC72" s="847"/>
      <c r="AD72" s="848" t="s">
        <v>517</v>
      </c>
      <c r="AE72" s="849">
        <f t="array" ref="AE72">IFERROR(VLOOKUP(AD55,Dex!$B$3:$N200,12,FALSE),"")</f>
        <v>110</v>
      </c>
      <c r="AF72" s="850" t="str">
        <f t="array" ref="AF72">IFERROR(VLOOKUP(AE72,Dex!$P$22:$Q$276,2,FALSE),"")</f>
        <v/>
      </c>
      <c r="AG72" s="851"/>
      <c r="AH72" s="841"/>
      <c r="AI72" s="612"/>
    </row>
    <row r="73" ht="15.75" customHeight="1">
      <c r="A73" s="545"/>
      <c r="B73" s="836"/>
      <c r="C73" s="830"/>
      <c r="D73" s="837"/>
      <c r="E73" s="852" t="s">
        <v>518</v>
      </c>
      <c r="F73" s="853">
        <f t="array" ref="F73">IFERROR(VLOOKUP(E55,Dex!$B$3:$N200,13,FALSE),"")</f>
        <v>86</v>
      </c>
      <c r="G73" s="854" t="str">
        <f t="array" ref="G73">IFERROR(VLOOKUP(F73,Dex!$P$22:$Q$276,2,FALSE),"")</f>
        <v/>
      </c>
      <c r="H73" s="855"/>
      <c r="I73" s="846"/>
      <c r="J73" s="852" t="s">
        <v>518</v>
      </c>
      <c r="K73" s="853">
        <f t="array" ref="K73">IFERROR(VLOOKUP(J55,Dex!$B$3:$N200,13,FALSE),"")</f>
        <v>150</v>
      </c>
      <c r="L73" s="854" t="str">
        <f t="array" ref="L73">IFERROR(VLOOKUP(K73,Dex!$P$22:$Q$276,2,FALSE),"")</f>
        <v/>
      </c>
      <c r="M73" s="855"/>
      <c r="N73" s="846"/>
      <c r="O73" s="852" t="s">
        <v>518</v>
      </c>
      <c r="P73" s="853">
        <f t="array" ref="P73">IFERROR(VLOOKUP(O55,Dex!$B$3:$N200,13,FALSE),"")</f>
        <v>110</v>
      </c>
      <c r="Q73" s="854" t="str">
        <f t="array" ref="Q73">IFERROR(VLOOKUP(P73,Dex!$P$22:$Q$276,2,FALSE),"")</f>
        <v/>
      </c>
      <c r="R73" s="855"/>
      <c r="S73" s="846"/>
      <c r="T73" s="852" t="s">
        <v>518</v>
      </c>
      <c r="U73" s="853">
        <f t="array" ref="U73">IFERROR(VLOOKUP(T55,Dex!$B$3:$N200,13,FALSE),"")</f>
        <v>87</v>
      </c>
      <c r="V73" s="854" t="str">
        <f t="array" ref="V73">IFERROR(VLOOKUP(U73,Dex!$P$22:$Q$276,2,FALSE),"")</f>
        <v/>
      </c>
      <c r="W73" s="855"/>
      <c r="X73" s="846"/>
      <c r="Y73" s="852" t="s">
        <v>518</v>
      </c>
      <c r="Z73" s="853">
        <f t="array" ref="Z73">IFERROR(VLOOKUP(Y55,Dex!$B$3:$N200,13,FALSE),"")</f>
        <v>105</v>
      </c>
      <c r="AA73" s="854" t="str">
        <f t="array" ref="AA73">IFERROR(VLOOKUP(Z73,Dex!$P$22:$Q$276,2,FALSE),"")</f>
        <v/>
      </c>
      <c r="AB73" s="855"/>
      <c r="AC73" s="847"/>
      <c r="AD73" s="852" t="s">
        <v>518</v>
      </c>
      <c r="AE73" s="853">
        <f t="array" ref="AE73">IFERROR(VLOOKUP(AD55,Dex!$B$3:$N200,13,FALSE),"")</f>
        <v>45</v>
      </c>
      <c r="AF73" s="854" t="str">
        <f t="array" ref="AF73">IFERROR(VLOOKUP(AE73,Dex!$P$22:$Q$276,2,FALSE),"")</f>
        <v/>
      </c>
      <c r="AG73" s="855"/>
      <c r="AH73" s="841"/>
      <c r="AI73" s="612"/>
    </row>
    <row r="74" ht="17.25" customHeight="1">
      <c r="A74" s="545"/>
      <c r="B74" s="836"/>
      <c r="C74" s="830"/>
      <c r="D74" s="837"/>
      <c r="E74" s="856" t="s">
        <v>519</v>
      </c>
      <c r="F74" s="630"/>
      <c r="G74" s="631"/>
      <c r="H74" s="632">
        <f>ROUNDDOWN((ROUNDDOWN(((((2*F73+31)*E56)/100+5)),0))*1.1,0)</f>
        <v>83</v>
      </c>
      <c r="I74" s="857"/>
      <c r="J74" s="856" t="s">
        <v>519</v>
      </c>
      <c r="K74" s="630"/>
      <c r="L74" s="631"/>
      <c r="M74" s="632">
        <f>ROUNDDOWN((ROUNDDOWN(((((2*K73+31)*J56)/100+5)),0))*1.1,0)</f>
        <v>136</v>
      </c>
      <c r="N74" s="857"/>
      <c r="O74" s="858" t="s">
        <v>519</v>
      </c>
      <c r="P74" s="635"/>
      <c r="Q74" s="636"/>
      <c r="R74" s="632">
        <f>ROUNDDOWN((ROUNDDOWN(((((2*P73+31)*O56)/100+5)),0))*1,0)</f>
        <v>95</v>
      </c>
      <c r="S74" s="857"/>
      <c r="T74" s="858" t="s">
        <v>519</v>
      </c>
      <c r="U74" s="635"/>
      <c r="V74" s="636"/>
      <c r="W74" s="632">
        <f>ROUNDDOWN((ROUNDDOWN(((((2*U73+31)*T56)/100+5)),0))*1,0)</f>
        <v>78</v>
      </c>
      <c r="X74" s="857"/>
      <c r="Y74" s="856" t="s">
        <v>519</v>
      </c>
      <c r="Z74" s="630"/>
      <c r="AA74" s="631"/>
      <c r="AB74" s="632">
        <f>ROUNDDOWN((ROUNDDOWN(((((2*Z73+31)*Y56)/100+5)),0))*1.1,0)</f>
        <v>100</v>
      </c>
      <c r="AC74" s="859"/>
      <c r="AD74" s="856" t="s">
        <v>519</v>
      </c>
      <c r="AE74" s="630"/>
      <c r="AF74" s="631"/>
      <c r="AG74" s="632">
        <f>ROUNDDOWN((ROUNDDOWN(((((2*AE73+31)*AD56)/100+5)),0))*1,0)</f>
        <v>48</v>
      </c>
      <c r="AH74" s="860"/>
      <c r="AI74" s="612"/>
    </row>
    <row r="75" ht="17.25" customHeight="1">
      <c r="A75" s="545"/>
      <c r="B75" s="861"/>
      <c r="C75" s="862"/>
      <c r="D75" s="863"/>
      <c r="E75" s="862"/>
      <c r="F75" s="862"/>
      <c r="G75" s="862"/>
      <c r="H75" s="862"/>
      <c r="I75" s="864"/>
      <c r="J75" s="862"/>
      <c r="K75" s="862"/>
      <c r="L75" s="862"/>
      <c r="M75" s="862"/>
      <c r="N75" s="864"/>
      <c r="O75" s="865" t="s">
        <v>593</v>
      </c>
      <c r="P75" s="643"/>
      <c r="Q75" s="644"/>
      <c r="R75" s="756">
        <f>R74*2</f>
        <v>190</v>
      </c>
      <c r="S75" s="864"/>
      <c r="T75" s="865" t="s">
        <v>594</v>
      </c>
      <c r="U75" s="643"/>
      <c r="V75" s="644"/>
      <c r="W75" s="756">
        <f>W74*2</f>
        <v>156</v>
      </c>
      <c r="X75" s="864"/>
      <c r="Y75" s="862"/>
      <c r="Z75" s="862"/>
      <c r="AA75" s="862"/>
      <c r="AB75" s="862"/>
      <c r="AC75" s="866"/>
      <c r="AD75" s="862"/>
      <c r="AE75" s="862"/>
      <c r="AF75" s="862"/>
      <c r="AG75" s="862"/>
      <c r="AH75" s="867"/>
      <c r="AI75" s="612"/>
    </row>
    <row r="76" ht="15.0" customHeight="1">
      <c r="A76" s="519"/>
      <c r="B76" s="868"/>
      <c r="C76" s="869"/>
      <c r="D76" s="870"/>
      <c r="E76" s="869"/>
      <c r="F76" s="869"/>
      <c r="G76" s="869"/>
      <c r="H76" s="869"/>
      <c r="I76" s="870"/>
      <c r="J76" s="869"/>
      <c r="K76" s="869"/>
      <c r="L76" s="869"/>
      <c r="M76" s="869"/>
      <c r="N76" s="870"/>
      <c r="O76" s="871"/>
      <c r="P76" s="871"/>
      <c r="Q76" s="871"/>
      <c r="R76" s="871"/>
      <c r="S76" s="870"/>
      <c r="T76" s="871"/>
      <c r="U76" s="871"/>
      <c r="V76" s="871"/>
      <c r="W76" s="871"/>
      <c r="X76" s="870"/>
      <c r="Y76" s="869"/>
      <c r="Z76" s="869"/>
      <c r="AA76" s="869"/>
      <c r="AB76" s="869"/>
      <c r="AC76" s="870"/>
      <c r="AD76" s="869"/>
      <c r="AE76" s="869"/>
      <c r="AF76" s="869"/>
      <c r="AG76" s="869"/>
      <c r="AH76" s="872"/>
      <c r="AI76" s="525"/>
    </row>
    <row r="77" ht="15.0" customHeight="1">
      <c r="A77" s="519"/>
      <c r="B77" s="873"/>
      <c r="C77" s="874"/>
      <c r="D77" s="875"/>
      <c r="E77" s="876"/>
      <c r="F77" s="876"/>
      <c r="G77" s="876"/>
      <c r="H77" s="876"/>
      <c r="I77" s="875"/>
      <c r="J77" s="876"/>
      <c r="K77" s="876"/>
      <c r="L77" s="876"/>
      <c r="M77" s="876"/>
      <c r="N77" s="875"/>
      <c r="O77" s="876"/>
      <c r="P77" s="876"/>
      <c r="Q77" s="876"/>
      <c r="R77" s="876"/>
      <c r="S77" s="875"/>
      <c r="T77" s="876"/>
      <c r="U77" s="876"/>
      <c r="V77" s="876"/>
      <c r="W77" s="876"/>
      <c r="X77" s="875"/>
      <c r="Y77" s="876"/>
      <c r="Z77" s="876"/>
      <c r="AA77" s="876"/>
      <c r="AB77" s="876"/>
      <c r="AC77" s="875"/>
      <c r="AD77" s="876"/>
      <c r="AE77" s="876"/>
      <c r="AF77" s="876"/>
      <c r="AG77" s="876"/>
      <c r="AH77" s="877"/>
      <c r="AI77" s="525"/>
    </row>
    <row r="78">
      <c r="A78" s="545"/>
      <c r="B78" s="878"/>
      <c r="C78" s="879"/>
      <c r="D78" s="880"/>
      <c r="E78" s="881" t="s">
        <v>595</v>
      </c>
      <c r="F78" s="882"/>
      <c r="G78" s="882"/>
      <c r="H78" s="882"/>
      <c r="I78" s="882"/>
      <c r="J78" s="882"/>
      <c r="K78" s="882"/>
      <c r="L78" s="882"/>
      <c r="M78" s="882"/>
      <c r="N78" s="882"/>
      <c r="O78" s="882"/>
      <c r="P78" s="882"/>
      <c r="Q78" s="882"/>
      <c r="R78" s="882"/>
      <c r="S78" s="882"/>
      <c r="T78" s="882"/>
      <c r="U78" s="882"/>
      <c r="V78" s="882"/>
      <c r="W78" s="882"/>
      <c r="X78" s="882"/>
      <c r="Y78" s="882"/>
      <c r="Z78" s="882"/>
      <c r="AA78" s="882"/>
      <c r="AB78" s="882"/>
      <c r="AC78" s="882"/>
      <c r="AD78" s="882"/>
      <c r="AE78" s="882"/>
      <c r="AF78" s="882"/>
      <c r="AG78" s="883"/>
      <c r="AH78" s="884"/>
      <c r="AI78" s="534"/>
    </row>
    <row r="79" ht="96.75" customHeight="1">
      <c r="A79" s="519"/>
      <c r="B79" s="885"/>
      <c r="C79" s="886" t="str">
        <f>IMAGE("https://i.ibb.co/z204J6T/Erika.png")</f>
        <v/>
      </c>
      <c r="D79" s="887"/>
      <c r="E79" s="888" t="str">
        <f t="array" ref="E79">IFERROR(VLOOKUP(E80,Dex!$B$3:$G200,3,FALSE),"")</f>
        <v/>
      </c>
      <c r="F79" s="539"/>
      <c r="G79" s="539"/>
      <c r="H79" s="540"/>
      <c r="I79" s="887"/>
      <c r="J79" s="888" t="str">
        <f t="array" ref="J79">IFERROR(VLOOKUP(J80,Dex!$B$3:$G200,3,FALSE),"")</f>
        <v/>
      </c>
      <c r="K79" s="539"/>
      <c r="L79" s="539"/>
      <c r="M79" s="540"/>
      <c r="N79" s="887"/>
      <c r="O79" s="888" t="str">
        <f t="array" ref="O79">IFERROR(VLOOKUP(O80,Dex!$B$3:$G200,3,FALSE),"")</f>
        <v/>
      </c>
      <c r="P79" s="539"/>
      <c r="Q79" s="539"/>
      <c r="R79" s="540"/>
      <c r="S79" s="887"/>
      <c r="T79" s="888" t="str">
        <f t="array" ref="T79">IFERROR(VLOOKUP(T80,Dex!$B$3:$G200,3,FALSE),"")</f>
        <v/>
      </c>
      <c r="U79" s="539"/>
      <c r="V79" s="539"/>
      <c r="W79" s="540"/>
      <c r="X79" s="887"/>
      <c r="Y79" s="888" t="str">
        <f t="array" ref="Y79">IFERROR(VLOOKUP(Y80,Dex!$B$3:$G200,3,FALSE),"")</f>
        <v/>
      </c>
      <c r="Z79" s="539"/>
      <c r="AA79" s="539"/>
      <c r="AB79" s="540"/>
      <c r="AC79" s="889"/>
      <c r="AD79" s="888" t="str">
        <f t="array" ref="AD79">IFERROR(VLOOKUP(AD80,Dex!$B$3:$G200,3,FALSE),"")</f>
        <v/>
      </c>
      <c r="AE79" s="539"/>
      <c r="AF79" s="539"/>
      <c r="AG79" s="540"/>
      <c r="AH79" s="890"/>
      <c r="AI79" s="525"/>
    </row>
    <row r="80" ht="18.75" customHeight="1">
      <c r="A80" s="545"/>
      <c r="B80" s="891"/>
      <c r="C80" s="892" t="s">
        <v>596</v>
      </c>
      <c r="D80" s="893"/>
      <c r="E80" s="894" t="s">
        <v>597</v>
      </c>
      <c r="F80" s="895"/>
      <c r="G80" s="895"/>
      <c r="H80" s="896"/>
      <c r="I80" s="897"/>
      <c r="J80" s="894" t="s">
        <v>598</v>
      </c>
      <c r="K80" s="895"/>
      <c r="L80" s="895"/>
      <c r="M80" s="896"/>
      <c r="N80" s="897"/>
      <c r="O80" s="894" t="s">
        <v>599</v>
      </c>
      <c r="P80" s="895"/>
      <c r="Q80" s="895"/>
      <c r="R80" s="896"/>
      <c r="S80" s="897"/>
      <c r="T80" s="894" t="s">
        <v>600</v>
      </c>
      <c r="U80" s="895"/>
      <c r="V80" s="895"/>
      <c r="W80" s="896"/>
      <c r="X80" s="897"/>
      <c r="Y80" s="894" t="s">
        <v>601</v>
      </c>
      <c r="Z80" s="895"/>
      <c r="AA80" s="895"/>
      <c r="AB80" s="896"/>
      <c r="AD80" s="894" t="s">
        <v>602</v>
      </c>
      <c r="AE80" s="895"/>
      <c r="AF80" s="895"/>
      <c r="AG80" s="896"/>
      <c r="AH80" s="898"/>
      <c r="AI80" s="554"/>
    </row>
    <row r="81">
      <c r="A81" s="545"/>
      <c r="B81" s="899"/>
      <c r="C81" s="556"/>
      <c r="D81" s="900"/>
      <c r="E81" s="901">
        <v>44.0</v>
      </c>
      <c r="F81" s="902"/>
      <c r="G81" s="902"/>
      <c r="H81" s="903"/>
      <c r="I81" s="904"/>
      <c r="J81" s="901">
        <v>44.0</v>
      </c>
      <c r="K81" s="902"/>
      <c r="L81" s="902"/>
      <c r="M81" s="903"/>
      <c r="N81" s="904"/>
      <c r="O81" s="901">
        <v>44.0</v>
      </c>
      <c r="P81" s="902"/>
      <c r="Q81" s="902"/>
      <c r="R81" s="903"/>
      <c r="S81" s="904"/>
      <c r="T81" s="901">
        <v>44.0</v>
      </c>
      <c r="U81" s="902"/>
      <c r="V81" s="902"/>
      <c r="W81" s="903"/>
      <c r="X81" s="904"/>
      <c r="Y81" s="901">
        <v>44.0</v>
      </c>
      <c r="Z81" s="902"/>
      <c r="AA81" s="902"/>
      <c r="AB81" s="903"/>
      <c r="AD81" s="901">
        <v>44.0</v>
      </c>
      <c r="AE81" s="902"/>
      <c r="AF81" s="902"/>
      <c r="AG81" s="903"/>
      <c r="AH81" s="905"/>
      <c r="AI81" s="906"/>
    </row>
    <row r="82" ht="25.5" customHeight="1">
      <c r="A82" s="545"/>
      <c r="B82" s="907"/>
      <c r="C82" s="908"/>
      <c r="D82" s="909"/>
      <c r="E82" s="910"/>
      <c r="F82" s="911" t="str">
        <f t="array" ref="F82">IFERROR(VLOOKUP(E80,Dex!$B$3:$H200,5,FALSE),"")</f>
        <v/>
      </c>
      <c r="G82" s="912" t="str">
        <f t="array" ref="G82">IFERROR(VLOOKUP(E80,Dex!$B$3:$H200,7,FALSE),"")</f>
        <v/>
      </c>
      <c r="H82" s="913"/>
      <c r="I82" s="914"/>
      <c r="J82" s="910"/>
      <c r="K82" s="911" t="str">
        <f t="array" ref="K82">IFERROR(VLOOKUP(J80,Dex!$B$3:$H200,5,FALSE),"")</f>
        <v/>
      </c>
      <c r="L82" s="912" t="str">
        <f t="array" ref="L82">IFERROR(VLOOKUP(J80,Dex!$B$3:$H200,7,FALSE),"")</f>
        <v/>
      </c>
      <c r="M82" s="913"/>
      <c r="N82" s="914"/>
      <c r="O82" s="910"/>
      <c r="P82" s="911" t="str">
        <f t="array" ref="P82">IFERROR(VLOOKUP(O80,Dex!$B$3:$H200,5,FALSE),"")</f>
        <v/>
      </c>
      <c r="Q82" s="912" t="str">
        <f t="array" ref="Q82">IFERROR(VLOOKUP(O80,Dex!$B$3:$H200,7,FALSE),"")</f>
        <v/>
      </c>
      <c r="R82" s="913"/>
      <c r="S82" s="914"/>
      <c r="T82" s="910"/>
      <c r="U82" s="911" t="str">
        <f t="array" ref="U82">IFERROR(VLOOKUP(T80,Dex!$B$3:$H200,5,FALSE),"")</f>
        <v/>
      </c>
      <c r="V82" s="912" t="str">
        <f t="array" ref="V82">IFERROR(VLOOKUP(T80,Dex!$B$3:$H200,7,FALSE),"")</f>
        <v/>
      </c>
      <c r="W82" s="913"/>
      <c r="X82" s="914"/>
      <c r="Y82" s="910"/>
      <c r="Z82" s="911" t="str">
        <f t="array" ref="Z82">IFERROR(VLOOKUP(Y80,Dex!$B$3:$H200,5,FALSE),"")</f>
        <v/>
      </c>
      <c r="AA82" s="912" t="str">
        <f t="array" ref="AA82">IFERROR(VLOOKUP(Y80,Dex!$B$3:$H200,7,FALSE),"")</f>
        <v/>
      </c>
      <c r="AB82" s="913"/>
      <c r="AD82" s="910"/>
      <c r="AE82" s="911" t="str">
        <f t="array" ref="AE82">IFERROR(VLOOKUP(AD80,Dex!$B$3:$H200,5,FALSE),"")</f>
        <v/>
      </c>
      <c r="AF82" s="912" t="str">
        <f t="array" ref="AF82">IFERROR(VLOOKUP(AD80,Dex!$B$3:$H200,7,FALSE),"")</f>
        <v/>
      </c>
      <c r="AG82" s="913"/>
      <c r="AH82" s="915"/>
      <c r="AI82" s="525"/>
    </row>
    <row r="83" ht="2.25" customHeight="1">
      <c r="A83" s="574"/>
      <c r="B83" s="907"/>
      <c r="C83" s="916"/>
      <c r="D83" s="909"/>
      <c r="E83" s="917"/>
      <c r="F83" s="918"/>
      <c r="G83" s="918"/>
      <c r="H83" s="919"/>
      <c r="I83" s="914"/>
      <c r="J83" s="917"/>
      <c r="K83" s="918"/>
      <c r="L83" s="918"/>
      <c r="M83" s="919"/>
      <c r="N83" s="914"/>
      <c r="O83" s="917"/>
      <c r="P83" s="918"/>
      <c r="Q83" s="918"/>
      <c r="R83" s="919"/>
      <c r="S83" s="914"/>
      <c r="T83" s="917"/>
      <c r="U83" s="918"/>
      <c r="V83" s="918"/>
      <c r="W83" s="919"/>
      <c r="X83" s="914"/>
      <c r="Y83" s="917"/>
      <c r="Z83" s="918"/>
      <c r="AA83" s="918"/>
      <c r="AB83" s="919"/>
      <c r="AD83" s="917"/>
      <c r="AE83" s="918"/>
      <c r="AF83" s="918"/>
      <c r="AG83" s="919"/>
      <c r="AH83" s="915"/>
      <c r="AI83" s="525"/>
    </row>
    <row r="84" ht="20.25" customHeight="1">
      <c r="A84" s="545"/>
      <c r="B84" s="907"/>
      <c r="C84" s="920"/>
      <c r="D84" s="909"/>
      <c r="E84" s="921" t="s">
        <v>532</v>
      </c>
      <c r="F84" s="922"/>
      <c r="G84" s="922"/>
      <c r="H84" s="923"/>
      <c r="I84" s="924"/>
      <c r="J84" s="921" t="s">
        <v>566</v>
      </c>
      <c r="K84" s="922"/>
      <c r="L84" s="922"/>
      <c r="M84" s="923"/>
      <c r="N84" s="924"/>
      <c r="O84" s="921" t="s">
        <v>532</v>
      </c>
      <c r="P84" s="922"/>
      <c r="Q84" s="922"/>
      <c r="R84" s="923"/>
      <c r="S84" s="924"/>
      <c r="T84" s="921" t="s">
        <v>564</v>
      </c>
      <c r="U84" s="922"/>
      <c r="V84" s="922"/>
      <c r="W84" s="923"/>
      <c r="X84" s="924"/>
      <c r="Y84" s="921" t="s">
        <v>482</v>
      </c>
      <c r="Z84" s="922"/>
      <c r="AA84" s="922"/>
      <c r="AB84" s="923"/>
      <c r="AD84" s="921" t="s">
        <v>532</v>
      </c>
      <c r="AE84" s="922"/>
      <c r="AF84" s="922"/>
      <c r="AG84" s="923"/>
      <c r="AH84" s="890"/>
      <c r="AI84" s="525"/>
    </row>
    <row r="85">
      <c r="A85" s="545"/>
      <c r="B85" s="925"/>
      <c r="C85" s="926"/>
      <c r="D85" s="927"/>
      <c r="E85" s="928" t="s">
        <v>603</v>
      </c>
      <c r="F85" s="902"/>
      <c r="G85" s="902"/>
      <c r="H85" s="903"/>
      <c r="I85" s="924"/>
      <c r="J85" s="928" t="s">
        <v>569</v>
      </c>
      <c r="K85" s="902"/>
      <c r="L85" s="902"/>
      <c r="M85" s="903"/>
      <c r="N85" s="924"/>
      <c r="O85" s="928" t="s">
        <v>604</v>
      </c>
      <c r="P85" s="902"/>
      <c r="Q85" s="902"/>
      <c r="R85" s="903"/>
      <c r="S85" s="924"/>
      <c r="T85" s="928" t="s">
        <v>605</v>
      </c>
      <c r="U85" s="902"/>
      <c r="V85" s="902"/>
      <c r="W85" s="903"/>
      <c r="X85" s="924"/>
      <c r="Y85" s="928" t="s">
        <v>115</v>
      </c>
      <c r="Z85" s="902"/>
      <c r="AA85" s="902"/>
      <c r="AB85" s="903"/>
      <c r="AD85" s="928" t="s">
        <v>120</v>
      </c>
      <c r="AE85" s="902"/>
      <c r="AF85" s="902"/>
      <c r="AG85" s="903"/>
      <c r="AH85" s="929"/>
      <c r="AI85" s="930"/>
    </row>
    <row r="86" ht="20.25" customHeight="1">
      <c r="A86" s="545"/>
      <c r="B86" s="907"/>
      <c r="C86" s="916"/>
      <c r="D86" s="909"/>
      <c r="E86" s="931" t="s">
        <v>606</v>
      </c>
      <c r="F86" s="882"/>
      <c r="G86" s="883"/>
      <c r="H86" s="932" t="str">
        <f>IMAGE("https://i.ibb.co/6ZBsLZp/corner.png",4,28,28)</f>
        <v/>
      </c>
      <c r="I86" s="933"/>
      <c r="J86" s="931" t="s">
        <v>607</v>
      </c>
      <c r="K86" s="882"/>
      <c r="L86" s="883"/>
      <c r="M86" s="932" t="str">
        <f>IMAGE("https://raw.githubusercontent.com/msikma/pokesprite/master/items/hold-item/grassy-seed.png",3)</f>
        <v/>
      </c>
      <c r="N86" s="933"/>
      <c r="O86" s="931" t="s">
        <v>608</v>
      </c>
      <c r="P86" s="882"/>
      <c r="Q86" s="883"/>
      <c r="R86" s="932" t="str">
        <f>IMAGE("https://raw.githubusercontent.com/msikma/pokesprite/master/items/mega-stone/sceptilite.png",3)</f>
        <v/>
      </c>
      <c r="S86" s="933"/>
      <c r="T86" s="931" t="s">
        <v>541</v>
      </c>
      <c r="U86" s="882"/>
      <c r="V86" s="883"/>
      <c r="W86" s="932" t="str">
        <f>IMAGE("https://raw.githubusercontent.com/msikma/pokesprite/master/items/hold-item/life-orb.png",3)</f>
        <v/>
      </c>
      <c r="X86" s="933"/>
      <c r="Y86" s="931" t="s">
        <v>539</v>
      </c>
      <c r="Z86" s="882"/>
      <c r="AA86" s="883"/>
      <c r="AB86" s="932" t="str">
        <f>IMAGE("https://raw.githubusercontent.com/msikma/pokesprite/master/items/hold-item/black-sludge.png",3)</f>
        <v/>
      </c>
      <c r="AD86" s="931" t="s">
        <v>541</v>
      </c>
      <c r="AE86" s="882"/>
      <c r="AF86" s="883"/>
      <c r="AG86" s="932" t="str">
        <f>IMAGE("https://raw.githubusercontent.com/msikma/pokesprite/master/items/hold-item/life-orb.png",3)</f>
        <v/>
      </c>
      <c r="AH86" s="915"/>
      <c r="AI86" s="525"/>
    </row>
    <row r="87" ht="20.25" customHeight="1">
      <c r="A87" s="545"/>
      <c r="B87" s="907"/>
      <c r="C87" s="920"/>
      <c r="D87" s="909"/>
      <c r="E87" s="921" t="s">
        <v>609</v>
      </c>
      <c r="F87" s="922"/>
      <c r="G87" s="934"/>
      <c r="H87" s="935" t="str">
        <f>IMAGE("https://raw.githubusercontent.com/msikma/pokesprite/master/misc/types/gen8/rock.png",4,20,20)</f>
        <v/>
      </c>
      <c r="I87" s="933"/>
      <c r="J87" s="921" t="s">
        <v>287</v>
      </c>
      <c r="K87" s="922"/>
      <c r="L87" s="934"/>
      <c r="M87" s="935" t="str">
        <f>IMAGE("https://raw.githubusercontent.com/msikma/pokesprite/master/misc/types/gen8/normal.png",4,20,20)</f>
        <v/>
      </c>
      <c r="N87" s="933"/>
      <c r="O87" s="921" t="s">
        <v>287</v>
      </c>
      <c r="P87" s="922"/>
      <c r="Q87" s="934"/>
      <c r="R87" s="935" t="str">
        <f>IMAGE("https://raw.githubusercontent.com/msikma/pokesprite/master/misc/types/gen8/normal.png",4,20,20)</f>
        <v/>
      </c>
      <c r="S87" s="933"/>
      <c r="T87" s="921" t="s">
        <v>610</v>
      </c>
      <c r="U87" s="922"/>
      <c r="V87" s="934"/>
      <c r="W87" s="935" t="str">
        <f>IMAGE("https://raw.githubusercontent.com/msikma/pokesprite/master/misc/types/gen8/normal.png",4,20,20)</f>
        <v/>
      </c>
      <c r="X87" s="933"/>
      <c r="Y87" s="921" t="s">
        <v>611</v>
      </c>
      <c r="Z87" s="922"/>
      <c r="AA87" s="934"/>
      <c r="AB87" s="935" t="str">
        <f>IMAGE("https://raw.githubusercontent.com/msikma/pokesprite/master/misc/types/gen8/electric.png",4,20,20)</f>
        <v/>
      </c>
      <c r="AD87" s="921" t="s">
        <v>287</v>
      </c>
      <c r="AE87" s="922"/>
      <c r="AF87" s="934"/>
      <c r="AG87" s="935" t="str">
        <f>IMAGE("https://raw.githubusercontent.com/msikma/pokesprite/master/misc/types/gen8/normal.png",4,20,20)</f>
        <v/>
      </c>
      <c r="AH87" s="915"/>
      <c r="AI87" s="525"/>
    </row>
    <row r="88" ht="20.25" customHeight="1">
      <c r="A88" s="545"/>
      <c r="B88" s="907"/>
      <c r="C88" s="936"/>
      <c r="D88" s="909"/>
      <c r="E88" s="928" t="s">
        <v>612</v>
      </c>
      <c r="F88" s="902"/>
      <c r="G88" s="937"/>
      <c r="H88" s="938" t="str">
        <f>IMAGE("https://raw.githubusercontent.com/msikma/pokesprite/master/misc/types/gen8/bug.png",4,20,20)</f>
        <v/>
      </c>
      <c r="I88" s="933"/>
      <c r="J88" s="928" t="s">
        <v>613</v>
      </c>
      <c r="K88" s="902"/>
      <c r="L88" s="937"/>
      <c r="M88" s="938" t="str">
        <f>IMAGE("https://raw.githubusercontent.com/msikma/pokesprite/master/misc/types/gen8/flying.png",4,20,20)</f>
        <v/>
      </c>
      <c r="N88" s="933"/>
      <c r="O88" s="928" t="s">
        <v>499</v>
      </c>
      <c r="P88" s="902"/>
      <c r="Q88" s="937"/>
      <c r="R88" s="938" t="str">
        <f>IMAGE("https://raw.githubusercontent.com/msikma/pokesprite/master/misc/types/gen8/grass.png",4,20,20)</f>
        <v/>
      </c>
      <c r="S88" s="933"/>
      <c r="T88" s="928" t="s">
        <v>581</v>
      </c>
      <c r="U88" s="902"/>
      <c r="V88" s="937"/>
      <c r="W88" s="938" t="str">
        <f t="shared" ref="W88:W89" si="5">IMAGE("https://raw.githubusercontent.com/msikma/pokesprite/master/misc/types/gen8/electric.png",4,20,20)</f>
        <v/>
      </c>
      <c r="X88" s="933"/>
      <c r="Y88" s="928" t="s">
        <v>614</v>
      </c>
      <c r="Z88" s="902"/>
      <c r="AA88" s="937"/>
      <c r="AB88" s="938" t="str">
        <f>IMAGE("https://raw.githubusercontent.com/msikma/pokesprite/master/misc/types/gen8/poison.png",4,20,20)</f>
        <v/>
      </c>
      <c r="AD88" s="928" t="s">
        <v>615</v>
      </c>
      <c r="AE88" s="902"/>
      <c r="AF88" s="937"/>
      <c r="AG88" s="938" t="str">
        <f>IMAGE("https://raw.githubusercontent.com/msikma/pokesprite/master/misc/types/gen8/grass.png",4,20,20)</f>
        <v/>
      </c>
      <c r="AH88" s="915"/>
      <c r="AI88" s="525"/>
    </row>
    <row r="89" ht="20.25" customHeight="1">
      <c r="A89" s="545"/>
      <c r="B89" s="907"/>
      <c r="C89" s="936"/>
      <c r="D89" s="909"/>
      <c r="E89" s="928" t="s">
        <v>616</v>
      </c>
      <c r="F89" s="902"/>
      <c r="G89" s="937"/>
      <c r="H89" s="938" t="str">
        <f>IMAGE("https://raw.githubusercontent.com/msikma/pokesprite/master/misc/types/gen8/grass.png",4,20,20)</f>
        <v/>
      </c>
      <c r="I89" s="933"/>
      <c r="J89" s="928" t="s">
        <v>583</v>
      </c>
      <c r="K89" s="902"/>
      <c r="L89" s="937"/>
      <c r="M89" s="938" t="str">
        <f>IMAGE("https://raw.githubusercontent.com/msikma/pokesprite/master/misc/types/gen8/fighting.png",4,20,20)</f>
        <v/>
      </c>
      <c r="N89" s="933"/>
      <c r="O89" s="928" t="s">
        <v>617</v>
      </c>
      <c r="P89" s="902"/>
      <c r="Q89" s="937"/>
      <c r="R89" s="938" t="str">
        <f>IMAGE("https://raw.githubusercontent.com/msikma/pokesprite/master/misc/types/gen8/dragon.png",4,20,20)</f>
        <v/>
      </c>
      <c r="S89" s="933"/>
      <c r="T89" s="928" t="s">
        <v>618</v>
      </c>
      <c r="U89" s="902"/>
      <c r="V89" s="937"/>
      <c r="W89" s="938" t="str">
        <f t="shared" si="5"/>
        <v/>
      </c>
      <c r="X89" s="933"/>
      <c r="Y89" s="928" t="s">
        <v>619</v>
      </c>
      <c r="Z89" s="902"/>
      <c r="AA89" s="937"/>
      <c r="AB89" s="938" t="str">
        <f>IMAGE("https://raw.githubusercontent.com/msikma/pokesprite/master/misc/types/gen8/fire.png",4,20,20)</f>
        <v/>
      </c>
      <c r="AD89" s="928" t="s">
        <v>620</v>
      </c>
      <c r="AE89" s="902"/>
      <c r="AF89" s="937"/>
      <c r="AG89" s="938" t="str">
        <f>IMAGE("https://raw.githubusercontent.com/msikma/pokesprite/master/misc/types/gen8/steel.png",4,20,20)</f>
        <v/>
      </c>
      <c r="AH89" s="915"/>
      <c r="AI89" s="525"/>
    </row>
    <row r="90" ht="21.0" customHeight="1">
      <c r="A90" s="545"/>
      <c r="B90" s="907"/>
      <c r="C90" s="936"/>
      <c r="D90" s="909"/>
      <c r="E90" s="939" t="s">
        <v>579</v>
      </c>
      <c r="F90" s="940"/>
      <c r="G90" s="941"/>
      <c r="H90" s="942" t="str">
        <f>IMAGE("https://raw.githubusercontent.com/msikma/pokesprite/master/misc/types/gen8/dark.png",4,20,20)</f>
        <v/>
      </c>
      <c r="I90" s="933"/>
      <c r="J90" s="939" t="s">
        <v>621</v>
      </c>
      <c r="K90" s="940"/>
      <c r="L90" s="941"/>
      <c r="M90" s="942" t="str">
        <f>IMAGE("https://raw.githubusercontent.com/msikma/pokesprite/master/misc/types/gen8/rock.png",4,20,20)</f>
        <v/>
      </c>
      <c r="N90" s="933"/>
      <c r="O90" s="939" t="s">
        <v>622</v>
      </c>
      <c r="P90" s="940"/>
      <c r="Q90" s="941"/>
      <c r="R90" s="942" t="str">
        <f>IMAGE("https://raw.githubusercontent.com/msikma/pokesprite/master/misc/types/gen8/ground.png",4,20,20)</f>
        <v/>
      </c>
      <c r="S90" s="933"/>
      <c r="T90" s="939" t="s">
        <v>553</v>
      </c>
      <c r="U90" s="940"/>
      <c r="V90" s="941"/>
      <c r="W90" s="942" t="str">
        <f>IMAGE("https://raw.githubusercontent.com/msikma/pokesprite/master/misc/types/gen8/grass.png",4,20,20)</f>
        <v/>
      </c>
      <c r="X90" s="933"/>
      <c r="Y90" s="939" t="s">
        <v>623</v>
      </c>
      <c r="Z90" s="940"/>
      <c r="AA90" s="941"/>
      <c r="AB90" s="942" t="str">
        <f>IMAGE("https://raw.githubusercontent.com/msikma/pokesprite/master/misc/types/gen8/psychic.png",4,20,20)</f>
        <v/>
      </c>
      <c r="AC90" s="895"/>
      <c r="AD90" s="939" t="s">
        <v>624</v>
      </c>
      <c r="AE90" s="940"/>
      <c r="AF90" s="941"/>
      <c r="AG90" s="942" t="str">
        <f>IMAGE("https://raw.githubusercontent.com/msikma/pokesprite/master/misc/types/gen8/fighting.png",4,20,20)</f>
        <v/>
      </c>
      <c r="AH90" s="915"/>
      <c r="AI90" s="525"/>
    </row>
    <row r="91" ht="3.0" customHeight="1">
      <c r="A91" s="574"/>
      <c r="B91" s="907"/>
      <c r="C91" s="943"/>
      <c r="D91" s="944"/>
      <c r="E91" s="945"/>
      <c r="F91" s="945"/>
      <c r="G91" s="945"/>
      <c r="H91" s="945"/>
      <c r="I91" s="944"/>
      <c r="J91" s="945"/>
      <c r="K91" s="945"/>
      <c r="L91" s="945"/>
      <c r="M91" s="945"/>
      <c r="N91" s="944"/>
      <c r="O91" s="945"/>
      <c r="P91" s="945"/>
      <c r="Q91" s="945"/>
      <c r="R91" s="945"/>
      <c r="S91" s="944"/>
      <c r="T91" s="945"/>
      <c r="U91" s="945"/>
      <c r="V91" s="945"/>
      <c r="W91" s="945"/>
      <c r="X91" s="944"/>
      <c r="Y91" s="945"/>
      <c r="Z91" s="946"/>
      <c r="AA91" s="946"/>
      <c r="AB91" s="947"/>
      <c r="AC91" s="948"/>
      <c r="AD91" s="945"/>
      <c r="AE91" s="946"/>
      <c r="AF91" s="946"/>
      <c r="AG91" s="947"/>
      <c r="AH91" s="915"/>
      <c r="AI91" s="525"/>
    </row>
    <row r="92" ht="16.5" customHeight="1">
      <c r="A92" s="545"/>
      <c r="B92" s="949"/>
      <c r="C92" s="943"/>
      <c r="D92" s="950"/>
      <c r="E92" s="951" t="s">
        <v>512</v>
      </c>
      <c r="F92" s="606"/>
      <c r="G92" s="606"/>
      <c r="H92" s="607"/>
      <c r="I92" s="952"/>
      <c r="J92" s="951" t="s">
        <v>512</v>
      </c>
      <c r="K92" s="606"/>
      <c r="L92" s="606"/>
      <c r="M92" s="607"/>
      <c r="N92" s="952"/>
      <c r="O92" s="951" t="s">
        <v>512</v>
      </c>
      <c r="P92" s="606"/>
      <c r="Q92" s="606"/>
      <c r="R92" s="607"/>
      <c r="S92" s="952"/>
      <c r="T92" s="951" t="s">
        <v>512</v>
      </c>
      <c r="U92" s="606"/>
      <c r="V92" s="606"/>
      <c r="W92" s="607"/>
      <c r="X92" s="952"/>
      <c r="Y92" s="951" t="s">
        <v>512</v>
      </c>
      <c r="Z92" s="606"/>
      <c r="AA92" s="606"/>
      <c r="AB92" s="607"/>
      <c r="AC92" s="953"/>
      <c r="AD92" s="951" t="s">
        <v>512</v>
      </c>
      <c r="AE92" s="606"/>
      <c r="AF92" s="606"/>
      <c r="AG92" s="607"/>
      <c r="AH92" s="954"/>
      <c r="AI92" s="612"/>
    </row>
    <row r="93" ht="16.5" customHeight="1">
      <c r="A93" s="545"/>
      <c r="B93" s="949"/>
      <c r="C93" s="943"/>
      <c r="D93" s="950"/>
      <c r="E93" s="955" t="s">
        <v>513</v>
      </c>
      <c r="F93" s="956">
        <f t="array" ref="F93">IFERROR(VLOOKUP(E80,Dex!$B$3:$N200,8,FALSE),"")</f>
        <v>80</v>
      </c>
      <c r="G93" s="957" t="str">
        <f t="array" ref="G93">IFERROR(VLOOKUP(F93,Dex!$P$22:$Q$276,2,FALSE),"")</f>
        <v/>
      </c>
      <c r="H93" s="958"/>
      <c r="I93" s="959"/>
      <c r="J93" s="955" t="s">
        <v>513</v>
      </c>
      <c r="K93" s="956">
        <f t="array" ref="K93">IFERROR(VLOOKUP(J80,Dex!$B$3:$N200,8,FALSE),"")</f>
        <v>78</v>
      </c>
      <c r="L93" s="957" t="str">
        <f t="array" ref="L93">IFERROR(VLOOKUP(K93,Dex!$P$22:$Q$276,2,FALSE),"")</f>
        <v/>
      </c>
      <c r="M93" s="958"/>
      <c r="N93" s="959"/>
      <c r="O93" s="955" t="s">
        <v>513</v>
      </c>
      <c r="P93" s="956">
        <f t="array" ref="P93">IFERROR(VLOOKUP(O80,Dex!$B$3:$N200,8,FALSE),"")</f>
        <v>70</v>
      </c>
      <c r="Q93" s="957" t="str">
        <f t="array" ref="Q93">IFERROR(VLOOKUP(P93,Dex!$P$22:$Q$276,2,FALSE),"")</f>
        <v/>
      </c>
      <c r="R93" s="958"/>
      <c r="S93" s="959"/>
      <c r="T93" s="955" t="s">
        <v>513</v>
      </c>
      <c r="U93" s="956">
        <f t="array" ref="U93">IFERROR(VLOOKUP(T80,Dex!$B$3:$N200,8,FALSE),"")</f>
        <v>75</v>
      </c>
      <c r="V93" s="957" t="str">
        <f t="array" ref="V93">IFERROR(VLOOKUP(U93,Dex!$P$22:$Q$276,2,FALSE),"")</f>
        <v/>
      </c>
      <c r="W93" s="958"/>
      <c r="X93" s="959"/>
      <c r="Y93" s="955" t="s">
        <v>513</v>
      </c>
      <c r="Z93" s="956">
        <f t="array" ref="Z93">IFERROR(VLOOKUP(Y80,Dex!$B$3:$N200,8,FALSE),"")</f>
        <v>95</v>
      </c>
      <c r="AA93" s="957" t="str">
        <f t="array" ref="AA93">IFERROR(VLOOKUP(Z93,Dex!$P$22:$Q$276,2,FALSE),"")</f>
        <v/>
      </c>
      <c r="AB93" s="958"/>
      <c r="AC93" s="960"/>
      <c r="AD93" s="955" t="s">
        <v>513</v>
      </c>
      <c r="AE93" s="956">
        <f t="array" ref="AE93">IFERROR(VLOOKUP(AD80,Dex!$B$3:$N200,8,FALSE),"")</f>
        <v>59</v>
      </c>
      <c r="AF93" s="957" t="str">
        <f t="array" ref="AF93">IFERROR(VLOOKUP(AE93,Dex!$P$22:$Q$276,2,FALSE),"")</f>
        <v/>
      </c>
      <c r="AG93" s="958"/>
      <c r="AH93" s="954"/>
      <c r="AI93" s="612"/>
    </row>
    <row r="94" ht="16.5" customHeight="1">
      <c r="A94" s="545"/>
      <c r="B94" s="949"/>
      <c r="C94" s="943"/>
      <c r="D94" s="950"/>
      <c r="E94" s="961" t="s">
        <v>514</v>
      </c>
      <c r="F94" s="962">
        <f t="array" ref="F94">IFERROR(VLOOKUP(E80,Dex!$B$3:$N200,9,FALSE),"")</f>
        <v>120</v>
      </c>
      <c r="G94" s="963" t="str">
        <f t="array" ref="G94">IFERROR(VLOOKUP(F94,Dex!$P$22:$Q$276,2,FALSE),"")</f>
        <v/>
      </c>
      <c r="H94" s="964"/>
      <c r="I94" s="959"/>
      <c r="J94" s="961" t="s">
        <v>514</v>
      </c>
      <c r="K94" s="962">
        <f t="array" ref="K94">IFERROR(VLOOKUP(J80,Dex!$B$3:$N200,9,FALSE),"")</f>
        <v>92</v>
      </c>
      <c r="L94" s="963" t="str">
        <f t="array" ref="L94">IFERROR(VLOOKUP(K94,Dex!$P$22:$Q$276,2,FALSE),"")</f>
        <v/>
      </c>
      <c r="M94" s="964"/>
      <c r="N94" s="959"/>
      <c r="O94" s="961" t="s">
        <v>514</v>
      </c>
      <c r="P94" s="962">
        <f t="array" ref="P94">IFERROR(VLOOKUP(O80,Dex!$B$3:$N200,9,FALSE),"")</f>
        <v>135</v>
      </c>
      <c r="Q94" s="963" t="str">
        <f t="array" ref="Q94">IFERROR(VLOOKUP(P94,Dex!$P$22:$Q$276,2,FALSE),"")</f>
        <v/>
      </c>
      <c r="R94" s="964"/>
      <c r="S94" s="959"/>
      <c r="T94" s="961" t="s">
        <v>514</v>
      </c>
      <c r="U94" s="962">
        <f t="array" ref="U94">IFERROR(VLOOKUP(T80,Dex!$B$3:$N200,9,FALSE),"")</f>
        <v>98</v>
      </c>
      <c r="V94" s="963" t="str">
        <f t="array" ref="V94">IFERROR(VLOOKUP(U94,Dex!$P$22:$Q$276,2,FALSE),"")</f>
        <v/>
      </c>
      <c r="W94" s="964"/>
      <c r="X94" s="959"/>
      <c r="Y94" s="961" t="s">
        <v>514</v>
      </c>
      <c r="Z94" s="962">
        <f t="array" ref="Z94">IFERROR(VLOOKUP(Y80,Dex!$B$3:$N200,9,FALSE),"")</f>
        <v>75</v>
      </c>
      <c r="AA94" s="963" t="str">
        <f t="array" ref="AA94">IFERROR(VLOOKUP(Z94,Dex!$P$22:$Q$276,2,FALSE),"")</f>
        <v/>
      </c>
      <c r="AB94" s="964"/>
      <c r="AC94" s="960"/>
      <c r="AD94" s="961" t="s">
        <v>514</v>
      </c>
      <c r="AE94" s="962">
        <f t="array" ref="AE94">IFERROR(VLOOKUP(AD80,Dex!$B$3:$N200,9,FALSE),"")</f>
        <v>181</v>
      </c>
      <c r="AF94" s="963" t="str">
        <f t="array" ref="AF94">IFERROR(VLOOKUP(AE94,Dex!$P$22:$Q$276,2,FALSE),"")</f>
        <v/>
      </c>
      <c r="AG94" s="964"/>
      <c r="AH94" s="954"/>
      <c r="AI94" s="612"/>
    </row>
    <row r="95" ht="16.5" customHeight="1">
      <c r="A95" s="545"/>
      <c r="B95" s="949"/>
      <c r="C95" s="943"/>
      <c r="D95" s="950"/>
      <c r="E95" s="961" t="s">
        <v>515</v>
      </c>
      <c r="F95" s="962">
        <f t="array" ref="F95">IFERROR(VLOOKUP(E80,Dex!$B$3:$N200,10,FALSE),"")</f>
        <v>84</v>
      </c>
      <c r="G95" s="963" t="str">
        <f t="array" ref="G95">IFERROR(VLOOKUP(F95,Dex!$P$22:$Q$276,2,FALSE),"")</f>
        <v/>
      </c>
      <c r="H95" s="964"/>
      <c r="I95" s="959"/>
      <c r="J95" s="961" t="s">
        <v>515</v>
      </c>
      <c r="K95" s="962">
        <f t="array" ref="K95">IFERROR(VLOOKUP(J80,Dex!$B$3:$N200,10,FALSE),"")</f>
        <v>75</v>
      </c>
      <c r="L95" s="963" t="str">
        <f t="array" ref="L95">IFERROR(VLOOKUP(K95,Dex!$P$22:$Q$276,2,FALSE),"")</f>
        <v/>
      </c>
      <c r="M95" s="964"/>
      <c r="N95" s="959"/>
      <c r="O95" s="961" t="s">
        <v>515</v>
      </c>
      <c r="P95" s="962">
        <f t="array" ref="P95">IFERROR(VLOOKUP(O80,Dex!$B$3:$N200,10,FALSE),"")</f>
        <v>75</v>
      </c>
      <c r="Q95" s="963" t="str">
        <f t="array" ref="Q95">IFERROR(VLOOKUP(P95,Dex!$P$22:$Q$276,2,FALSE),"")</f>
        <v/>
      </c>
      <c r="R95" s="964"/>
      <c r="S95" s="959"/>
      <c r="T95" s="961" t="s">
        <v>515</v>
      </c>
      <c r="U95" s="962">
        <f t="array" ref="U95">IFERROR(VLOOKUP(T80,Dex!$B$3:$N200,10,FALSE),"")</f>
        <v>70</v>
      </c>
      <c r="V95" s="963" t="str">
        <f t="array" ref="V95">IFERROR(VLOOKUP(U95,Dex!$P$22:$Q$276,2,FALSE),"")</f>
        <v/>
      </c>
      <c r="W95" s="964"/>
      <c r="X95" s="959"/>
      <c r="Y95" s="961" t="s">
        <v>515</v>
      </c>
      <c r="Z95" s="962">
        <f t="array" ref="Z95">IFERROR(VLOOKUP(Y80,Dex!$B$3:$N200,10,FALSE),"")</f>
        <v>105</v>
      </c>
      <c r="AA95" s="963" t="str">
        <f t="array" ref="AA95">IFERROR(VLOOKUP(Z95,Dex!$P$22:$Q$276,2,FALSE),"")</f>
        <v/>
      </c>
      <c r="AB95" s="964"/>
      <c r="AC95" s="960"/>
      <c r="AD95" s="961" t="s">
        <v>515</v>
      </c>
      <c r="AE95" s="962">
        <f t="array" ref="AE95">IFERROR(VLOOKUP(AD80,Dex!$B$3:$N200,10,FALSE),"")</f>
        <v>131</v>
      </c>
      <c r="AF95" s="963" t="str">
        <f t="array" ref="AF95">IFERROR(VLOOKUP(AE95,Dex!$P$22:$Q$276,2,FALSE),"")</f>
        <v/>
      </c>
      <c r="AG95" s="964"/>
      <c r="AH95" s="954"/>
      <c r="AI95" s="612"/>
    </row>
    <row r="96" ht="16.5" customHeight="1">
      <c r="A96" s="545"/>
      <c r="B96" s="949"/>
      <c r="C96" s="943"/>
      <c r="D96" s="950"/>
      <c r="E96" s="961" t="s">
        <v>516</v>
      </c>
      <c r="F96" s="962">
        <f t="array" ref="F96">IFERROR(VLOOKUP(E80,Dex!$B$3:$N200,11,FALSE),"")</f>
        <v>60</v>
      </c>
      <c r="G96" s="963" t="str">
        <f t="array" ref="G96">IFERROR(VLOOKUP(F96,Dex!$P$22:$Q$276,2,FALSE),"")</f>
        <v/>
      </c>
      <c r="H96" s="964"/>
      <c r="I96" s="959"/>
      <c r="J96" s="961" t="s">
        <v>516</v>
      </c>
      <c r="K96" s="962">
        <f t="array" ref="K96">IFERROR(VLOOKUP(J80,Dex!$B$3:$N200,11,FALSE),"")</f>
        <v>74</v>
      </c>
      <c r="L96" s="963" t="str">
        <f t="array" ref="L96">IFERROR(VLOOKUP(K96,Dex!$P$22:$Q$276,2,FALSE),"")</f>
        <v/>
      </c>
      <c r="M96" s="964"/>
      <c r="N96" s="959"/>
      <c r="O96" s="961" t="s">
        <v>516</v>
      </c>
      <c r="P96" s="962">
        <f t="array" ref="P96">IFERROR(VLOOKUP(O80,Dex!$B$3:$N200,11,FALSE),"")</f>
        <v>110</v>
      </c>
      <c r="Q96" s="963" t="str">
        <f t="array" ref="Q96">IFERROR(VLOOKUP(P96,Dex!$P$22:$Q$276,2,FALSE),"")</f>
        <v/>
      </c>
      <c r="R96" s="964"/>
      <c r="S96" s="959"/>
      <c r="T96" s="961" t="s">
        <v>516</v>
      </c>
      <c r="U96" s="962">
        <f t="array" ref="U96">IFERROR(VLOOKUP(T80,Dex!$B$3:$N200,11,FALSE),"")</f>
        <v>114</v>
      </c>
      <c r="V96" s="963" t="str">
        <f t="array" ref="V96">IFERROR(VLOOKUP(U96,Dex!$P$22:$Q$276,2,FALSE),"")</f>
        <v/>
      </c>
      <c r="W96" s="964"/>
      <c r="X96" s="959"/>
      <c r="Y96" s="961" t="s">
        <v>516</v>
      </c>
      <c r="Z96" s="962">
        <f t="array" ref="Z96">IFERROR(VLOOKUP(Y80,Dex!$B$3:$N200,11,FALSE),"")</f>
        <v>115</v>
      </c>
      <c r="AA96" s="963" t="str">
        <f t="array" ref="AA96">IFERROR(VLOOKUP(Z96,Dex!$P$22:$Q$276,2,FALSE),"")</f>
        <v/>
      </c>
      <c r="AB96" s="964"/>
      <c r="AC96" s="960"/>
      <c r="AD96" s="961" t="s">
        <v>516</v>
      </c>
      <c r="AE96" s="962">
        <f t="array" ref="AE96">IFERROR(VLOOKUP(AD80,Dex!$B$3:$N200,11,FALSE),"")</f>
        <v>59</v>
      </c>
      <c r="AF96" s="963" t="str">
        <f t="array" ref="AF96">IFERROR(VLOOKUP(AE96,Dex!$P$22:$Q$276,2,FALSE),"")</f>
        <v/>
      </c>
      <c r="AG96" s="964"/>
      <c r="AH96" s="954"/>
      <c r="AI96" s="612"/>
    </row>
    <row r="97" ht="16.5" customHeight="1">
      <c r="A97" s="545"/>
      <c r="B97" s="949"/>
      <c r="C97" s="943"/>
      <c r="D97" s="950"/>
      <c r="E97" s="961" t="s">
        <v>517</v>
      </c>
      <c r="F97" s="962">
        <f t="array" ref="F97">IFERROR(VLOOKUP(E80,Dex!$B$3:$N200,12,FALSE),"")</f>
        <v>96</v>
      </c>
      <c r="G97" s="963" t="str">
        <f t="array" ref="G97">IFERROR(VLOOKUP(F97,Dex!$P$22:$Q$276,2,FALSE),"")</f>
        <v/>
      </c>
      <c r="H97" s="964"/>
      <c r="I97" s="959"/>
      <c r="J97" s="961" t="s">
        <v>517</v>
      </c>
      <c r="K97" s="962">
        <f t="array" ref="K97">IFERROR(VLOOKUP(J80,Dex!$B$3:$N200,12,FALSE),"")</f>
        <v>63</v>
      </c>
      <c r="L97" s="963" t="str">
        <f t="array" ref="L97">IFERROR(VLOOKUP(K97,Dex!$P$22:$Q$276,2,FALSE),"")</f>
        <v/>
      </c>
      <c r="M97" s="964"/>
      <c r="N97" s="959"/>
      <c r="O97" s="961" t="s">
        <v>517</v>
      </c>
      <c r="P97" s="962">
        <f t="array" ref="P97">IFERROR(VLOOKUP(O80,Dex!$B$3:$N200,12,FALSE),"")</f>
        <v>85</v>
      </c>
      <c r="Q97" s="963" t="str">
        <f t="array" ref="Q97">IFERROR(VLOOKUP(P97,Dex!$P$22:$Q$276,2,FALSE),"")</f>
        <v/>
      </c>
      <c r="R97" s="964"/>
      <c r="S97" s="959"/>
      <c r="T97" s="961" t="s">
        <v>517</v>
      </c>
      <c r="U97" s="962">
        <f t="array" ref="U97">IFERROR(VLOOKUP(T80,Dex!$B$3:$N200,12,FALSE),"")</f>
        <v>70</v>
      </c>
      <c r="V97" s="963" t="str">
        <f t="array" ref="V97">IFERROR(VLOOKUP(U97,Dex!$P$22:$Q$276,2,FALSE),"")</f>
        <v/>
      </c>
      <c r="W97" s="964"/>
      <c r="X97" s="959"/>
      <c r="Y97" s="961" t="s">
        <v>517</v>
      </c>
      <c r="Z97" s="962">
        <f t="array" ref="Z97">IFERROR(VLOOKUP(Y80,Dex!$B$3:$N200,12,FALSE),"")</f>
        <v>70</v>
      </c>
      <c r="AA97" s="963" t="str">
        <f t="array" ref="AA97">IFERROR(VLOOKUP(Z97,Dex!$P$22:$Q$276,2,FALSE),"")</f>
        <v/>
      </c>
      <c r="AB97" s="964"/>
      <c r="AC97" s="960"/>
      <c r="AD97" s="961" t="s">
        <v>517</v>
      </c>
      <c r="AE97" s="962">
        <f t="array" ref="AE97">IFERROR(VLOOKUP(AD80,Dex!$B$3:$N200,12,FALSE),"")</f>
        <v>31</v>
      </c>
      <c r="AF97" s="963" t="str">
        <f t="array" ref="AF97">IFERROR(VLOOKUP(AE97,Dex!$P$22:$Q$276,2,FALSE),"")</f>
        <v/>
      </c>
      <c r="AG97" s="964"/>
      <c r="AH97" s="954"/>
      <c r="AI97" s="612"/>
    </row>
    <row r="98" ht="15.75" customHeight="1">
      <c r="A98" s="545"/>
      <c r="B98" s="949"/>
      <c r="C98" s="943"/>
      <c r="D98" s="950"/>
      <c r="E98" s="965" t="s">
        <v>518</v>
      </c>
      <c r="F98" s="966">
        <f t="array" ref="F98">IFERROR(VLOOKUP(E80,Dex!$B$3:$N200,13,FALSE),"")</f>
        <v>110</v>
      </c>
      <c r="G98" s="967" t="str">
        <f t="array" ref="G98">IFERROR(VLOOKUP(F98,Dex!$P$22:$Q$276,2,FALSE),"")</f>
        <v/>
      </c>
      <c r="H98" s="968"/>
      <c r="I98" s="959"/>
      <c r="J98" s="965" t="s">
        <v>518</v>
      </c>
      <c r="K98" s="966">
        <f t="array" ref="K98">IFERROR(VLOOKUP(J80,Dex!$B$3:$N200,13,FALSE),"")</f>
        <v>118</v>
      </c>
      <c r="L98" s="967" t="str">
        <f t="array" ref="L98">IFERROR(VLOOKUP(K98,Dex!$P$22:$Q$276,2,FALSE),"")</f>
        <v/>
      </c>
      <c r="M98" s="968"/>
      <c r="N98" s="959"/>
      <c r="O98" s="965" t="s">
        <v>518</v>
      </c>
      <c r="P98" s="966">
        <f t="array" ref="P98">IFERROR(VLOOKUP(O80,Dex!$B$3:$N200,13,FALSE),"")</f>
        <v>145</v>
      </c>
      <c r="Q98" s="967" t="str">
        <f t="array" ref="Q98">IFERROR(VLOOKUP(P98,Dex!$P$22:$Q$276,2,FALSE),"")</f>
        <v/>
      </c>
      <c r="R98" s="968"/>
      <c r="S98" s="959"/>
      <c r="T98" s="965" t="s">
        <v>518</v>
      </c>
      <c r="U98" s="966">
        <f t="array" ref="U98">IFERROR(VLOOKUP(T80,Dex!$B$3:$N200,13,FALSE),"")</f>
        <v>75</v>
      </c>
      <c r="V98" s="967" t="str">
        <f t="array" ref="V98">IFERROR(VLOOKUP(U98,Dex!$P$22:$Q$276,2,FALSE),"")</f>
        <v/>
      </c>
      <c r="W98" s="968"/>
      <c r="X98" s="959"/>
      <c r="Y98" s="965" t="s">
        <v>518</v>
      </c>
      <c r="Z98" s="966">
        <f t="array" ref="Z98">IFERROR(VLOOKUP(Y80,Dex!$B$3:$N200,13,FALSE),"")</f>
        <v>30</v>
      </c>
      <c r="AA98" s="967" t="str">
        <f t="array" ref="AA98">IFERROR(VLOOKUP(Z98,Dex!$P$22:$Q$276,2,FALSE),"")</f>
        <v/>
      </c>
      <c r="AB98" s="968"/>
      <c r="AC98" s="960"/>
      <c r="AD98" s="965" t="s">
        <v>518</v>
      </c>
      <c r="AE98" s="966">
        <f t="array" ref="AE98">IFERROR(VLOOKUP(AD80,Dex!$B$3:$N200,13,FALSE),"")</f>
        <v>109</v>
      </c>
      <c r="AF98" s="967" t="str">
        <f t="array" ref="AF98">IFERROR(VLOOKUP(AE98,Dex!$P$22:$Q$276,2,FALSE),"")</f>
        <v/>
      </c>
      <c r="AG98" s="968"/>
      <c r="AH98" s="954"/>
      <c r="AI98" s="612"/>
    </row>
    <row r="99" ht="16.5" customHeight="1">
      <c r="A99" s="545"/>
      <c r="B99" s="949"/>
      <c r="C99" s="943"/>
      <c r="D99" s="950"/>
      <c r="E99" s="969" t="s">
        <v>519</v>
      </c>
      <c r="F99" s="630"/>
      <c r="G99" s="631"/>
      <c r="H99" s="632">
        <f>ROUNDDOWN((ROUNDDOWN(((((2*F98+31)*E81)/100+5)),0))*1.1,0)</f>
        <v>126</v>
      </c>
      <c r="I99" s="970"/>
      <c r="J99" s="971" t="s">
        <v>519</v>
      </c>
      <c r="K99" s="635"/>
      <c r="L99" s="636"/>
      <c r="M99" s="632">
        <f>ROUNDDOWN((ROUNDDOWN(((((2*K98+31)*J81)/100+5)),0))*1,0)</f>
        <v>122</v>
      </c>
      <c r="N99" s="970"/>
      <c r="O99" s="969" t="s">
        <v>519</v>
      </c>
      <c r="P99" s="630"/>
      <c r="Q99" s="631"/>
      <c r="R99" s="632">
        <f>ROUNDDOWN((ROUNDDOWN(((((2*P98+31)*O81)/100+5)),0))*1.1,0)</f>
        <v>160</v>
      </c>
      <c r="S99" s="970"/>
      <c r="T99" s="969" t="s">
        <v>519</v>
      </c>
      <c r="U99" s="630"/>
      <c r="V99" s="631"/>
      <c r="W99" s="632">
        <f>ROUNDDOWN((ROUNDDOWN(((((2*U98+31)*T81)/100+5)),0))*1.1,0)</f>
        <v>92</v>
      </c>
      <c r="X99" s="970"/>
      <c r="Y99" s="969" t="s">
        <v>519</v>
      </c>
      <c r="Z99" s="630"/>
      <c r="AA99" s="631"/>
      <c r="AB99" s="632">
        <f>ROUNDDOWN((ROUNDDOWN(((((2*Z98+31)*Y81)/100+5)),0))*1,0)</f>
        <v>45</v>
      </c>
      <c r="AC99" s="972"/>
      <c r="AD99" s="969" t="s">
        <v>519</v>
      </c>
      <c r="AE99" s="630"/>
      <c r="AF99" s="631"/>
      <c r="AG99" s="632">
        <f>ROUNDDOWN((ROUNDDOWN(((((2*AE98+31)*AD81)/100+5)),0))*1.1,0)</f>
        <v>125</v>
      </c>
      <c r="AH99" s="973"/>
      <c r="AI99" s="612"/>
    </row>
    <row r="100" ht="16.5" customHeight="1">
      <c r="A100" s="545"/>
      <c r="B100" s="974"/>
      <c r="C100" s="975"/>
      <c r="D100" s="976"/>
      <c r="E100" s="975"/>
      <c r="F100" s="975"/>
      <c r="G100" s="975"/>
      <c r="H100" s="975"/>
      <c r="I100" s="977"/>
      <c r="J100" s="978" t="s">
        <v>594</v>
      </c>
      <c r="K100" s="643"/>
      <c r="L100" s="644"/>
      <c r="M100" s="756">
        <f>M99*2</f>
        <v>244</v>
      </c>
      <c r="N100" s="977"/>
      <c r="O100" s="975"/>
      <c r="P100" s="975"/>
      <c r="Q100" s="975"/>
      <c r="R100" s="975"/>
      <c r="S100" s="977"/>
      <c r="T100" s="975"/>
      <c r="U100" s="975"/>
      <c r="V100" s="975"/>
      <c r="W100" s="975"/>
      <c r="X100" s="977"/>
      <c r="Y100" s="975"/>
      <c r="Z100" s="975"/>
      <c r="AA100" s="975"/>
      <c r="AB100" s="975"/>
      <c r="AC100" s="979"/>
      <c r="AD100" s="975"/>
      <c r="AE100" s="975"/>
      <c r="AF100" s="975"/>
      <c r="AG100" s="975"/>
      <c r="AH100" s="980"/>
      <c r="AI100" s="612"/>
    </row>
    <row r="101" ht="15.0" customHeight="1">
      <c r="A101" s="519"/>
      <c r="B101" s="981"/>
      <c r="C101" s="982"/>
      <c r="D101" s="983"/>
      <c r="E101" s="982"/>
      <c r="F101" s="982"/>
      <c r="G101" s="982"/>
      <c r="H101" s="982"/>
      <c r="I101" s="983"/>
      <c r="J101" s="984"/>
      <c r="K101" s="984"/>
      <c r="L101" s="984"/>
      <c r="M101" s="984"/>
      <c r="N101" s="983"/>
      <c r="O101" s="982"/>
      <c r="P101" s="982"/>
      <c r="Q101" s="982"/>
      <c r="R101" s="982"/>
      <c r="S101" s="983"/>
      <c r="T101" s="982"/>
      <c r="U101" s="982"/>
      <c r="V101" s="982"/>
      <c r="W101" s="982"/>
      <c r="X101" s="983"/>
      <c r="Y101" s="982"/>
      <c r="Z101" s="982"/>
      <c r="AA101" s="982"/>
      <c r="AB101" s="982"/>
      <c r="AC101" s="983"/>
      <c r="AD101" s="982"/>
      <c r="AE101" s="982"/>
      <c r="AF101" s="982"/>
      <c r="AG101" s="982"/>
      <c r="AH101" s="985"/>
      <c r="AI101" s="525"/>
    </row>
    <row r="102" ht="15.0" customHeight="1">
      <c r="A102" s="519"/>
      <c r="B102" s="986"/>
      <c r="C102" s="987"/>
      <c r="D102" s="988"/>
      <c r="E102" s="988"/>
      <c r="F102" s="988"/>
      <c r="G102" s="988"/>
      <c r="H102" s="988"/>
      <c r="I102" s="988"/>
      <c r="J102" s="988"/>
      <c r="K102" s="988"/>
      <c r="L102" s="988"/>
      <c r="M102" s="988"/>
      <c r="N102" s="988"/>
      <c r="O102" s="988"/>
      <c r="P102" s="988"/>
      <c r="Q102" s="988"/>
      <c r="R102" s="988"/>
      <c r="S102" s="988"/>
      <c r="T102" s="988"/>
      <c r="U102" s="988"/>
      <c r="V102" s="988"/>
      <c r="W102" s="988"/>
      <c r="X102" s="988"/>
      <c r="Y102" s="988"/>
      <c r="Z102" s="988"/>
      <c r="AA102" s="988"/>
      <c r="AB102" s="988"/>
      <c r="AC102" s="988"/>
      <c r="AD102" s="988"/>
      <c r="AE102" s="988"/>
      <c r="AF102" s="988"/>
      <c r="AG102" s="988"/>
      <c r="AH102" s="989"/>
      <c r="AI102" s="525"/>
    </row>
    <row r="103" ht="16.5" customHeight="1">
      <c r="A103" s="519"/>
      <c r="B103" s="990"/>
      <c r="C103" s="991"/>
      <c r="D103" s="992"/>
      <c r="E103" s="993" t="s">
        <v>625</v>
      </c>
      <c r="F103" s="994"/>
      <c r="G103" s="994"/>
      <c r="H103" s="994"/>
      <c r="I103" s="994"/>
      <c r="J103" s="994"/>
      <c r="K103" s="994"/>
      <c r="L103" s="994"/>
      <c r="M103" s="994"/>
      <c r="N103" s="994"/>
      <c r="O103" s="994"/>
      <c r="P103" s="994"/>
      <c r="Q103" s="994"/>
      <c r="R103" s="994"/>
      <c r="S103" s="994"/>
      <c r="T103" s="994"/>
      <c r="U103" s="994"/>
      <c r="V103" s="994"/>
      <c r="W103" s="994"/>
      <c r="X103" s="994"/>
      <c r="Y103" s="994"/>
      <c r="Z103" s="994"/>
      <c r="AA103" s="994"/>
      <c r="AB103" s="994"/>
      <c r="AC103" s="994"/>
      <c r="AD103" s="994"/>
      <c r="AE103" s="994"/>
      <c r="AF103" s="994"/>
      <c r="AG103" s="995"/>
      <c r="AH103" s="996"/>
      <c r="AI103" s="525"/>
    </row>
    <row r="104" ht="96.75" customHeight="1">
      <c r="A104" s="997"/>
      <c r="B104" s="998"/>
      <c r="C104" s="999" t="str">
        <f>IMAGE("https://i.ibb.co/m8V4wv5/Sabrina.png")</f>
        <v/>
      </c>
      <c r="D104" s="1000"/>
      <c r="E104" s="1001" t="str">
        <f t="array" ref="E104">IFERROR(VLOOKUP(E105,Dex!$B$3:$G200,3,FALSE),"")</f>
        <v/>
      </c>
      <c r="F104" s="539"/>
      <c r="G104" s="539"/>
      <c r="H104" s="540"/>
      <c r="I104" s="1002"/>
      <c r="J104" s="1001" t="str">
        <f t="array" ref="J104">IFERROR(VLOOKUP(J105,Dex!$B$3:$G200,3,FALSE),"")</f>
        <v/>
      </c>
      <c r="K104" s="539"/>
      <c r="L104" s="539"/>
      <c r="M104" s="540"/>
      <c r="N104" s="1002"/>
      <c r="O104" s="1001" t="str">
        <f t="array" ref="O104">IFERROR(VLOOKUP(O105,Dex!$B$3:$G200,3,FALSE),"")</f>
        <v/>
      </c>
      <c r="P104" s="539"/>
      <c r="Q104" s="539"/>
      <c r="R104" s="540"/>
      <c r="S104" s="1002"/>
      <c r="T104" s="1001" t="str">
        <f t="array" ref="T104">IFERROR(VLOOKUP(T105,Dex!$B$3:$G200,3,FALSE),"")</f>
        <v/>
      </c>
      <c r="U104" s="539"/>
      <c r="V104" s="539"/>
      <c r="W104" s="540"/>
      <c r="X104" s="1002"/>
      <c r="Y104" s="1001" t="str">
        <f t="array" ref="Y104">IFERROR(VLOOKUP(Y105,Dex!$B$3:$G200,3,FALSE),"")</f>
        <v/>
      </c>
      <c r="Z104" s="539"/>
      <c r="AA104" s="539"/>
      <c r="AB104" s="540"/>
      <c r="AC104" s="1002"/>
      <c r="AD104" s="1001" t="str">
        <f t="array" ref="AD104">IFERROR(VLOOKUP(AD105,Dex!$B$3:$G200,3,FALSE),"")</f>
        <v/>
      </c>
      <c r="AE104" s="539"/>
      <c r="AF104" s="539"/>
      <c r="AG104" s="540"/>
      <c r="AH104" s="1003"/>
      <c r="AI104" s="813"/>
    </row>
    <row r="105" ht="18.75" customHeight="1">
      <c r="A105" s="545"/>
      <c r="B105" s="1004"/>
      <c r="C105" s="1005" t="s">
        <v>626</v>
      </c>
      <c r="D105" s="1006"/>
      <c r="E105" s="1007" t="s">
        <v>627</v>
      </c>
      <c r="F105" s="1008"/>
      <c r="G105" s="1008"/>
      <c r="H105" s="1009"/>
      <c r="J105" s="1010" t="s">
        <v>628</v>
      </c>
      <c r="K105" s="1008"/>
      <c r="L105" s="1008"/>
      <c r="M105" s="1009"/>
      <c r="O105" s="1010" t="s">
        <v>629</v>
      </c>
      <c r="P105" s="1008"/>
      <c r="Q105" s="1008"/>
      <c r="R105" s="1009"/>
      <c r="T105" s="1010" t="s">
        <v>630</v>
      </c>
      <c r="U105" s="1008"/>
      <c r="V105" s="1008"/>
      <c r="W105" s="1009"/>
      <c r="Y105" s="1010" t="s">
        <v>631</v>
      </c>
      <c r="Z105" s="1008"/>
      <c r="AA105" s="1008"/>
      <c r="AB105" s="1009"/>
      <c r="AD105" s="1010" t="s">
        <v>632</v>
      </c>
      <c r="AE105" s="1008"/>
      <c r="AF105" s="1008"/>
      <c r="AG105" s="1009"/>
      <c r="AH105" s="1011"/>
      <c r="AI105" s="554"/>
    </row>
    <row r="106">
      <c r="A106" s="545"/>
      <c r="B106" s="1012"/>
      <c r="C106" s="556"/>
      <c r="D106" s="1013"/>
      <c r="E106" s="1014">
        <v>59.0</v>
      </c>
      <c r="F106" s="1008"/>
      <c r="G106" s="1008"/>
      <c r="H106" s="1009"/>
      <c r="J106" s="1015">
        <v>59.0</v>
      </c>
      <c r="K106" s="1016"/>
      <c r="L106" s="1016"/>
      <c r="M106" s="1017"/>
      <c r="O106" s="1015">
        <v>59.0</v>
      </c>
      <c r="P106" s="1016"/>
      <c r="Q106" s="1016"/>
      <c r="R106" s="1017"/>
      <c r="T106" s="1015">
        <v>59.0</v>
      </c>
      <c r="U106" s="1016"/>
      <c r="V106" s="1016"/>
      <c r="W106" s="1017"/>
      <c r="Y106" s="1015">
        <v>59.0</v>
      </c>
      <c r="Z106" s="1016"/>
      <c r="AA106" s="1016"/>
      <c r="AB106" s="1017"/>
      <c r="AD106" s="1015">
        <v>59.0</v>
      </c>
      <c r="AE106" s="1016"/>
      <c r="AF106" s="1016"/>
      <c r="AG106" s="1017"/>
      <c r="AH106" s="1018"/>
      <c r="AI106" s="562"/>
    </row>
    <row r="107" ht="25.5" customHeight="1">
      <c r="A107" s="545"/>
      <c r="B107" s="990"/>
      <c r="C107" s="1019"/>
      <c r="D107" s="1020"/>
      <c r="E107" s="1021"/>
      <c r="F107" s="1022" t="str">
        <f t="array" ref="F107">IFERROR(VLOOKUP(E105,Dex!$B$3:$H200,5,FALSE),"")</f>
        <v/>
      </c>
      <c r="G107" s="1022" t="str">
        <f t="array" ref="G107">IFERROR(VLOOKUP(E105,Dex!$B$3:$H200,7,FALSE),"")</f>
        <v/>
      </c>
      <c r="H107" s="1023"/>
      <c r="J107" s="1024"/>
      <c r="K107" s="1025" t="str">
        <f t="array" ref="K107">IFERROR(VLOOKUP(J105,Dex!$B$3:$H200,5,FALSE),"")</f>
        <v/>
      </c>
      <c r="L107" s="1026" t="str">
        <f t="array" ref="L107">IFERROR(VLOOKUP(J105,Dex!$B$3:$H200,7,FALSE),"")</f>
        <v/>
      </c>
      <c r="M107" s="1027"/>
      <c r="O107" s="1024"/>
      <c r="P107" s="1028" t="str">
        <f t="array" ref="P107">IFERROR(VLOOKUP(O105,Dex!$B$3:$H200,5,FALSE),"")</f>
        <v/>
      </c>
      <c r="Q107" s="1029"/>
      <c r="R107" s="1027"/>
      <c r="T107" s="1024"/>
      <c r="U107" s="1025" t="str">
        <f t="array" ref="U107">IFERROR(VLOOKUP(T105,Dex!$B$3:$H200,5,FALSE),"")</f>
        <v/>
      </c>
      <c r="V107" s="1026" t="str">
        <f t="array" ref="V107">IFERROR(VLOOKUP(T105,Dex!$B$3:$H200,7,FALSE),"")</f>
        <v/>
      </c>
      <c r="W107" s="1027"/>
      <c r="Y107" s="1024"/>
      <c r="Z107" s="1025" t="str">
        <f t="array" ref="Z107">IFERROR(VLOOKUP(Y105,Dex!$B$3:$H200,5,FALSE),"")</f>
        <v/>
      </c>
      <c r="AA107" s="1026" t="str">
        <f t="array" ref="AA107">IFERROR(VLOOKUP(Y105,Dex!$B$3:$H200,7,FALSE),"")</f>
        <v/>
      </c>
      <c r="AB107" s="1027"/>
      <c r="AD107" s="1024"/>
      <c r="AE107" s="1025" t="str">
        <f t="array" ref="AE107">IFERROR(VLOOKUP(AD105,Dex!$B$3:$H200,5,FALSE),"")</f>
        <v/>
      </c>
      <c r="AF107" s="1026" t="str">
        <f t="array" ref="AF107">IFERROR(VLOOKUP(AD105,Dex!$B$3:$H200,7,FALSE),"")</f>
        <v/>
      </c>
      <c r="AG107" s="1027"/>
      <c r="AH107" s="1003"/>
      <c r="AI107" s="525"/>
    </row>
    <row r="108" ht="2.25" customHeight="1">
      <c r="A108" s="574"/>
      <c r="B108" s="990"/>
      <c r="C108" s="1030"/>
      <c r="D108" s="1031"/>
      <c r="E108" s="1032"/>
      <c r="F108" s="1033"/>
      <c r="G108" s="1033"/>
      <c r="H108" s="1034"/>
      <c r="J108" s="1035"/>
      <c r="K108" s="1036"/>
      <c r="L108" s="1036"/>
      <c r="M108" s="1037"/>
      <c r="O108" s="1035"/>
      <c r="P108" s="1036"/>
      <c r="Q108" s="1036"/>
      <c r="R108" s="1037"/>
      <c r="T108" s="1035"/>
      <c r="U108" s="1036"/>
      <c r="V108" s="1036"/>
      <c r="W108" s="1037"/>
      <c r="Y108" s="1035"/>
      <c r="Z108" s="1036"/>
      <c r="AA108" s="1036"/>
      <c r="AB108" s="1037"/>
      <c r="AD108" s="1035"/>
      <c r="AE108" s="1036"/>
      <c r="AF108" s="1036"/>
      <c r="AG108" s="1037"/>
      <c r="AH108" s="1003"/>
      <c r="AI108" s="525"/>
    </row>
    <row r="109" ht="20.25" customHeight="1">
      <c r="A109" s="545"/>
      <c r="B109" s="990"/>
      <c r="C109" s="1038"/>
      <c r="D109" s="1031"/>
      <c r="E109" s="1039" t="s">
        <v>633</v>
      </c>
      <c r="F109" s="1008"/>
      <c r="G109" s="1008"/>
      <c r="H109" s="1009"/>
      <c r="J109" s="1040" t="s">
        <v>633</v>
      </c>
      <c r="K109" s="1041"/>
      <c r="L109" s="1041"/>
      <c r="M109" s="1042"/>
      <c r="O109" s="1040" t="s">
        <v>634</v>
      </c>
      <c r="P109" s="1041"/>
      <c r="Q109" s="1041"/>
      <c r="R109" s="1042"/>
      <c r="T109" s="1040" t="s">
        <v>633</v>
      </c>
      <c r="U109" s="1041"/>
      <c r="V109" s="1041"/>
      <c r="W109" s="1042"/>
      <c r="Y109" s="1040" t="s">
        <v>634</v>
      </c>
      <c r="Z109" s="1041"/>
      <c r="AA109" s="1041"/>
      <c r="AB109" s="1042"/>
      <c r="AD109" s="1040" t="s">
        <v>633</v>
      </c>
      <c r="AE109" s="1041"/>
      <c r="AF109" s="1041"/>
      <c r="AG109" s="1042"/>
      <c r="AH109" s="1003"/>
      <c r="AI109" s="525"/>
    </row>
    <row r="110">
      <c r="A110" s="545"/>
      <c r="B110" s="990"/>
      <c r="C110" s="1043"/>
      <c r="D110" s="1031"/>
      <c r="E110" s="1039" t="s">
        <v>100</v>
      </c>
      <c r="F110" s="1008"/>
      <c r="G110" s="1008"/>
      <c r="H110" s="1009"/>
      <c r="J110" s="1044" t="s">
        <v>635</v>
      </c>
      <c r="K110" s="1016"/>
      <c r="L110" s="1016"/>
      <c r="M110" s="1017"/>
      <c r="O110" s="1044" t="s">
        <v>113</v>
      </c>
      <c r="P110" s="1016"/>
      <c r="Q110" s="1016"/>
      <c r="R110" s="1017"/>
      <c r="T110" s="1044" t="s">
        <v>119</v>
      </c>
      <c r="U110" s="1016"/>
      <c r="V110" s="1016"/>
      <c r="W110" s="1017"/>
      <c r="Y110" s="1044" t="s">
        <v>63</v>
      </c>
      <c r="Z110" s="1016"/>
      <c r="AA110" s="1016"/>
      <c r="AB110" s="1017"/>
      <c r="AD110" s="1044" t="s">
        <v>636</v>
      </c>
      <c r="AE110" s="1016"/>
      <c r="AF110" s="1016"/>
      <c r="AG110" s="1017"/>
      <c r="AH110" s="1003"/>
      <c r="AI110" s="525"/>
    </row>
    <row r="111" ht="20.25" customHeight="1">
      <c r="A111" s="545"/>
      <c r="B111" s="990"/>
      <c r="C111" s="1030"/>
      <c r="D111" s="1031"/>
      <c r="E111" s="1045" t="s">
        <v>573</v>
      </c>
      <c r="G111" s="1046"/>
      <c r="H111" s="1047" t="str">
        <f>IMAGE("https://raw.githubusercontent.com/msikma/pokesprite/master/items/hold-item/focus-sash.png",3)</f>
        <v/>
      </c>
      <c r="J111" s="1045" t="s">
        <v>637</v>
      </c>
      <c r="L111" s="1046"/>
      <c r="M111" s="1047" t="str">
        <f>IMAGE("https://raw.githubusercontent.com/msikma/pokesprite/master/items/mega-stone/cameruptite.png",3)</f>
        <v/>
      </c>
      <c r="O111" s="1045" t="s">
        <v>492</v>
      </c>
      <c r="Q111" s="1046"/>
      <c r="R111" s="1047" t="str">
        <f>IMAGE("https://raw.githubusercontent.com/msikma/pokesprite/master/items/berry/iapapa.png",3)</f>
        <v/>
      </c>
      <c r="T111" s="1045" t="s">
        <v>638</v>
      </c>
      <c r="V111" s="1046"/>
      <c r="W111" s="1047" t="str">
        <f>IMAGE("https://raw.githubusercontent.com/msikma/pokesprite/master/items/z-crystals/fightinium-z--held.png",3)</f>
        <v/>
      </c>
      <c r="Y111" s="1048" t="s">
        <v>639</v>
      </c>
      <c r="AA111" s="1046"/>
      <c r="AB111" s="1049" t="str">
        <f>IMAGE("https://i.ibb.co/SK50ng3/booster.png",4,22,22)</f>
        <v/>
      </c>
      <c r="AD111" s="1045" t="s">
        <v>540</v>
      </c>
      <c r="AF111" s="1046"/>
      <c r="AG111" s="1047" t="str">
        <f>IMAGE("https://raw.githubusercontent.com/msikma/pokesprite/master/items/hold-item/mystic-water.png",3)</f>
        <v/>
      </c>
      <c r="AH111" s="1003"/>
      <c r="AI111" s="525"/>
    </row>
    <row r="112" ht="20.25" customHeight="1">
      <c r="A112" s="545"/>
      <c r="B112" s="990"/>
      <c r="C112" s="1038"/>
      <c r="D112" s="1031"/>
      <c r="E112" s="1050" t="s">
        <v>640</v>
      </c>
      <c r="F112" s="1051"/>
      <c r="G112" s="1052"/>
      <c r="H112" s="1053" t="str">
        <f>IMAGE("https://raw.githubusercontent.com/msikma/pokesprite/master/misc/types/gen8/fairy.png",4,20,20)</f>
        <v/>
      </c>
      <c r="J112" s="1050" t="s">
        <v>619</v>
      </c>
      <c r="K112" s="1051"/>
      <c r="L112" s="1052"/>
      <c r="M112" s="1053" t="str">
        <f>IMAGE("https://raw.githubusercontent.com/msikma/pokesprite/master/misc/types/gen8/fire.png",4,20,20)</f>
        <v/>
      </c>
      <c r="O112" s="1050" t="s">
        <v>287</v>
      </c>
      <c r="P112" s="1051"/>
      <c r="Q112" s="1052"/>
      <c r="R112" s="1053" t="str">
        <f>IMAGE("https://raw.githubusercontent.com/msikma/pokesprite/master/misc/types/gen8/normal.png",4,20,20)</f>
        <v/>
      </c>
      <c r="T112" s="1050" t="s">
        <v>641</v>
      </c>
      <c r="U112" s="1051"/>
      <c r="V112" s="1052"/>
      <c r="W112" s="1053" t="str">
        <f>IMAGE("https://raw.githubusercontent.com/msikma/pokesprite/master/misc/types/gen8/fairy.png",4,20,20)</f>
        <v/>
      </c>
      <c r="Y112" s="1050" t="s">
        <v>548</v>
      </c>
      <c r="Z112" s="1051"/>
      <c r="AA112" s="1052"/>
      <c r="AB112" s="1053" t="str">
        <f>IMAGE("https://raw.githubusercontent.com/msikma/pokesprite/master/misc/types/gen8/fighting.png",4,20,20)</f>
        <v/>
      </c>
      <c r="AD112" s="1050" t="s">
        <v>642</v>
      </c>
      <c r="AE112" s="1051"/>
      <c r="AF112" s="1052"/>
      <c r="AG112" s="1053" t="str">
        <f>IMAGE("https://raw.githubusercontent.com/msikma/pokesprite/master/misc/types/gen8/water.png",4,20,20)</f>
        <v/>
      </c>
      <c r="AH112" s="1003"/>
      <c r="AI112" s="525"/>
    </row>
    <row r="113" ht="20.25" customHeight="1">
      <c r="A113" s="545"/>
      <c r="B113" s="990"/>
      <c r="C113" s="1054"/>
      <c r="D113" s="1031"/>
      <c r="E113" s="1039" t="s">
        <v>643</v>
      </c>
      <c r="F113" s="1008"/>
      <c r="G113" s="1055"/>
      <c r="H113" s="1056" t="str">
        <f>IMAGE("https://raw.githubusercontent.com/msikma/pokesprite/master/misc/types/gen8/water.png",4,20,20)</f>
        <v/>
      </c>
      <c r="J113" s="1044" t="s">
        <v>644</v>
      </c>
      <c r="K113" s="1016"/>
      <c r="L113" s="1016"/>
      <c r="M113" s="1057" t="str">
        <f>IMAGE("https://raw.githubusercontent.com/msikma/pokesprite/master/misc/types/gen8/ground.png",4,20,20)</f>
        <v/>
      </c>
      <c r="O113" s="1044" t="s">
        <v>645</v>
      </c>
      <c r="P113" s="1016"/>
      <c r="Q113" s="1016"/>
      <c r="R113" s="1057" t="str">
        <f>IMAGE("https://raw.githubusercontent.com/msikma/pokesprite/master/misc/types/gen8/ice.png",4,20,20)</f>
        <v/>
      </c>
      <c r="T113" s="1044" t="s">
        <v>646</v>
      </c>
      <c r="U113" s="1016"/>
      <c r="V113" s="1016"/>
      <c r="W113" s="1057" t="str">
        <f>IMAGE("https://raw.githubusercontent.com/msikma/pokesprite/master/misc/types/gen8/steel.png",4,20,20)</f>
        <v/>
      </c>
      <c r="Y113" s="1044" t="s">
        <v>580</v>
      </c>
      <c r="Z113" s="1016"/>
      <c r="AA113" s="1016"/>
      <c r="AB113" s="1057" t="str">
        <f>IMAGE("https://raw.githubusercontent.com/msikma/pokesprite/master/misc/types/gen8/electric.png",4,20,20)</f>
        <v/>
      </c>
      <c r="AD113" s="1044" t="s">
        <v>647</v>
      </c>
      <c r="AE113" s="1016"/>
      <c r="AF113" s="1016"/>
      <c r="AG113" s="1057" t="str">
        <f>IMAGE("https://raw.githubusercontent.com/msikma/pokesprite/master/misc/types/gen8/ghost.png",4,20,20)</f>
        <v/>
      </c>
      <c r="AH113" s="1003"/>
      <c r="AI113" s="525"/>
    </row>
    <row r="114" ht="20.25" customHeight="1">
      <c r="A114" s="545"/>
      <c r="B114" s="990"/>
      <c r="C114" s="1054"/>
      <c r="D114" s="1031"/>
      <c r="E114" s="1039" t="s">
        <v>641</v>
      </c>
      <c r="F114" s="1008"/>
      <c r="G114" s="1055"/>
      <c r="H114" s="1056" t="str">
        <f>IMAGE("https://raw.githubusercontent.com/msikma/pokesprite/master/misc/types/gen8/fairy.png",4,20,20)</f>
        <v/>
      </c>
      <c r="J114" s="1044" t="s">
        <v>648</v>
      </c>
      <c r="K114" s="1016"/>
      <c r="L114" s="1016"/>
      <c r="M114" s="1057" t="str">
        <f>IMAGE("https://raw.githubusercontent.com/msikma/pokesprite/master/misc/types/gen8/water.png",4,20,20)</f>
        <v/>
      </c>
      <c r="O114" s="1044" t="s">
        <v>583</v>
      </c>
      <c r="P114" s="1016"/>
      <c r="Q114" s="1016"/>
      <c r="R114" s="1057" t="str">
        <f>IMAGE("https://raw.githubusercontent.com/msikma/pokesprite/master/misc/types/gen8/fighting.png",4,20,20)</f>
        <v/>
      </c>
      <c r="T114" s="1044" t="s">
        <v>590</v>
      </c>
      <c r="U114" s="1016"/>
      <c r="V114" s="1016"/>
      <c r="W114" s="1057" t="str">
        <f>IMAGE("https://raw.githubusercontent.com/msikma/pokesprite/master/misc/types/gen8/fighting.png",4,20,20)</f>
        <v/>
      </c>
      <c r="Y114" s="1044" t="s">
        <v>579</v>
      </c>
      <c r="Z114" s="1016"/>
      <c r="AA114" s="1016"/>
      <c r="AB114" s="1057" t="str">
        <f>IMAGE("https://raw.githubusercontent.com/msikma/pokesprite/master/misc/types/gen8/dark.png",4,20,20)</f>
        <v/>
      </c>
      <c r="AD114" s="1044" t="s">
        <v>209</v>
      </c>
      <c r="AE114" s="1016"/>
      <c r="AF114" s="1016"/>
      <c r="AG114" s="1057" t="str">
        <f>IMAGE("https://raw.githubusercontent.com/msikma/pokesprite/master/misc/types/gen8/grass.png",4,20,20)</f>
        <v/>
      </c>
      <c r="AH114" s="1003"/>
      <c r="AI114" s="525"/>
    </row>
    <row r="115" ht="21.0" customHeight="1">
      <c r="A115" s="545"/>
      <c r="B115" s="990"/>
      <c r="C115" s="1054"/>
      <c r="D115" s="1031"/>
      <c r="E115" s="1058" t="s">
        <v>542</v>
      </c>
      <c r="F115" s="1059"/>
      <c r="G115" s="1060"/>
      <c r="H115" s="1061" t="str">
        <f>IMAGE("https://raw.githubusercontent.com/msikma/pokesprite/master/misc/types/gen8/water.png",4,20,20)</f>
        <v/>
      </c>
      <c r="I115" s="1008"/>
      <c r="J115" s="1062" t="s">
        <v>507</v>
      </c>
      <c r="K115" s="1063"/>
      <c r="L115" s="1063"/>
      <c r="M115" s="1064" t="str">
        <f>IMAGE("https://raw.githubusercontent.com/msikma/pokesprite/master/misc/types/gen8/normal.png",4,20,20)</f>
        <v/>
      </c>
      <c r="N115" s="1008"/>
      <c r="O115" s="1062" t="s">
        <v>622</v>
      </c>
      <c r="P115" s="1063"/>
      <c r="Q115" s="1063"/>
      <c r="R115" s="1064" t="str">
        <f>IMAGE("https://raw.githubusercontent.com/msikma/pokesprite/master/misc/types/gen8/ground.png",4,20,20)</f>
        <v/>
      </c>
      <c r="S115" s="1008"/>
      <c r="T115" s="1062" t="s">
        <v>547</v>
      </c>
      <c r="U115" s="1063"/>
      <c r="V115" s="1063"/>
      <c r="W115" s="1064" t="str">
        <f>IMAGE("https://raw.githubusercontent.com/msikma/pokesprite/master/misc/types/gen8/electric.png",4,20,20)</f>
        <v/>
      </c>
      <c r="X115" s="1008"/>
      <c r="Y115" s="1062" t="s">
        <v>589</v>
      </c>
      <c r="Z115" s="1063"/>
      <c r="AA115" s="1063"/>
      <c r="AB115" s="1064" t="str">
        <f>IMAGE("https://raw.githubusercontent.com/msikma/pokesprite/master/misc/types/gen8/ice.png",4,20,20)</f>
        <v/>
      </c>
      <c r="AC115" s="1008"/>
      <c r="AD115" s="1062" t="s">
        <v>649</v>
      </c>
      <c r="AE115" s="1063"/>
      <c r="AF115" s="1063"/>
      <c r="AG115" s="1064" t="str">
        <f>IMAGE("https://raw.githubusercontent.com/msikma/pokesprite/master/misc/types/gen8/water.png",4,20,20)</f>
        <v/>
      </c>
      <c r="AH115" s="1003"/>
      <c r="AI115" s="525"/>
    </row>
    <row r="116" ht="3.0" customHeight="1">
      <c r="A116" s="574"/>
      <c r="B116" s="990"/>
      <c r="C116" s="1065"/>
      <c r="D116" s="1066"/>
      <c r="E116" s="1067"/>
      <c r="F116" s="1067"/>
      <c r="G116" s="1067"/>
      <c r="H116" s="1067"/>
      <c r="I116" s="1068"/>
      <c r="J116" s="1067"/>
      <c r="K116" s="1067"/>
      <c r="L116" s="1067"/>
      <c r="M116" s="1067"/>
      <c r="N116" s="1068"/>
      <c r="O116" s="1067"/>
      <c r="P116" s="1067"/>
      <c r="Q116" s="1067"/>
      <c r="R116" s="1067"/>
      <c r="S116" s="1068"/>
      <c r="T116" s="1067"/>
      <c r="U116" s="1067"/>
      <c r="V116" s="1067"/>
      <c r="W116" s="1067"/>
      <c r="X116" s="1068"/>
      <c r="Y116" s="1067"/>
      <c r="Z116" s="1069"/>
      <c r="AA116" s="1069"/>
      <c r="AB116" s="1070"/>
      <c r="AC116" s="1068"/>
      <c r="AD116" s="1071"/>
      <c r="AE116" s="1071"/>
      <c r="AF116" s="1071"/>
      <c r="AG116" s="1070"/>
      <c r="AH116" s="996"/>
      <c r="AI116" s="525"/>
    </row>
    <row r="117" ht="16.5" customHeight="1">
      <c r="A117" s="545"/>
      <c r="B117" s="1072"/>
      <c r="C117" s="1065"/>
      <c r="D117" s="1073"/>
      <c r="E117" s="1074" t="s">
        <v>512</v>
      </c>
      <c r="F117" s="606"/>
      <c r="G117" s="606"/>
      <c r="H117" s="607"/>
      <c r="I117" s="1075"/>
      <c r="J117" s="1074" t="s">
        <v>512</v>
      </c>
      <c r="K117" s="606"/>
      <c r="L117" s="606"/>
      <c r="M117" s="607"/>
      <c r="N117" s="1075"/>
      <c r="O117" s="1074" t="s">
        <v>512</v>
      </c>
      <c r="P117" s="606"/>
      <c r="Q117" s="606"/>
      <c r="R117" s="607"/>
      <c r="S117" s="1075"/>
      <c r="T117" s="1074" t="s">
        <v>512</v>
      </c>
      <c r="U117" s="606"/>
      <c r="V117" s="606"/>
      <c r="W117" s="607"/>
      <c r="X117" s="1075"/>
      <c r="Y117" s="1074" t="s">
        <v>512</v>
      </c>
      <c r="Z117" s="606"/>
      <c r="AA117" s="606"/>
      <c r="AB117" s="607"/>
      <c r="AC117" s="1075"/>
      <c r="AD117" s="1074" t="s">
        <v>512</v>
      </c>
      <c r="AE117" s="606"/>
      <c r="AF117" s="606"/>
      <c r="AG117" s="607"/>
      <c r="AH117" s="1076"/>
      <c r="AI117" s="612"/>
    </row>
    <row r="118" ht="16.5" customHeight="1">
      <c r="A118" s="545"/>
      <c r="B118" s="1072"/>
      <c r="C118" s="1065"/>
      <c r="D118" s="1073"/>
      <c r="E118" s="1077" t="s">
        <v>513</v>
      </c>
      <c r="F118" s="1078">
        <f t="array" ref="F118">IFERROR(VLOOKUP(E105,Dex!$B$3:$N200,8,FALSE),"")</f>
        <v>70</v>
      </c>
      <c r="G118" s="1079" t="str">
        <f t="array" ref="G118">IFERROR(VLOOKUP(F118,Dex!$P$22:$Q$276,2,FALSE),"")</f>
        <v/>
      </c>
      <c r="H118" s="1080"/>
      <c r="I118" s="1075"/>
      <c r="J118" s="1077" t="s">
        <v>513</v>
      </c>
      <c r="K118" s="1078">
        <f t="array" ref="K118">IFERROR(VLOOKUP(J105,Dex!$B$3:$N200,8,FALSE),"")</f>
        <v>90</v>
      </c>
      <c r="L118" s="1079" t="str">
        <f t="array" ref="L118">IFERROR(VLOOKUP(K118,Dex!$P$22:$Q$276,2,FALSE),"")</f>
        <v/>
      </c>
      <c r="M118" s="1080"/>
      <c r="N118" s="1075"/>
      <c r="O118" s="1077" t="s">
        <v>513</v>
      </c>
      <c r="P118" s="1078">
        <f t="array" ref="P118">IFERROR(VLOOKUP(O105,Dex!$B$3:$N200,8,FALSE),"")</f>
        <v>100</v>
      </c>
      <c r="Q118" s="1079" t="str">
        <f t="array" ref="Q118">IFERROR(VLOOKUP(P118,Dex!$P$22:$Q$276,2,FALSE),"")</f>
        <v/>
      </c>
      <c r="R118" s="1080"/>
      <c r="S118" s="1075"/>
      <c r="T118" s="1077" t="s">
        <v>513</v>
      </c>
      <c r="U118" s="1078">
        <f t="array" ref="U118">IFERROR(VLOOKUP(T105,Dex!$B$3:$N200,8,FALSE),"")</f>
        <v>80</v>
      </c>
      <c r="V118" s="1079" t="str">
        <f t="array" ref="V118">IFERROR(VLOOKUP(U118,Dex!$P$22:$Q$276,2,FALSE),"")</f>
        <v/>
      </c>
      <c r="W118" s="1080"/>
      <c r="X118" s="1081"/>
      <c r="Y118" s="1077" t="s">
        <v>513</v>
      </c>
      <c r="Z118" s="1078">
        <f t="array" ref="Z118">IFERROR(VLOOKUP(Y105,Dex!$B$3:$N200,8,FALSE),"")</f>
        <v>154</v>
      </c>
      <c r="AA118" s="1079" t="str">
        <f t="array" ref="AA118">IFERROR(VLOOKUP(Z118,Dex!$P$22:$Q$276,2,FALSE),"")</f>
        <v/>
      </c>
      <c r="AB118" s="1080"/>
      <c r="AC118" s="1081"/>
      <c r="AD118" s="1077" t="s">
        <v>513</v>
      </c>
      <c r="AE118" s="1078">
        <f t="array" ref="AE118">IFERROR(VLOOKUP(AD105,Dex!$B$3:$N200,8,FALSE),"")</f>
        <v>100</v>
      </c>
      <c r="AF118" s="1079" t="str">
        <f t="array" ref="AF118">IFERROR(VLOOKUP(AE118,Dex!$P$22:$Q$276,2,FALSE),"")</f>
        <v/>
      </c>
      <c r="AG118" s="1080"/>
      <c r="AH118" s="1082"/>
      <c r="AI118" s="612"/>
    </row>
    <row r="119" ht="16.5" customHeight="1">
      <c r="A119" s="545"/>
      <c r="B119" s="1072"/>
      <c r="C119" s="1065"/>
      <c r="D119" s="1073"/>
      <c r="E119" s="1083" t="s">
        <v>514</v>
      </c>
      <c r="F119" s="1084">
        <f t="array" ref="F119">IFERROR(VLOOKUP(E105,Dex!$B$3:$N200,9,FALSE),"")</f>
        <v>75</v>
      </c>
      <c r="G119" s="1085" t="str">
        <f t="array" ref="G119">IFERROR(VLOOKUP(F119,Dex!$P$22:$Q$276,2,FALSE),"")</f>
        <v/>
      </c>
      <c r="H119" s="1086"/>
      <c r="I119" s="1075"/>
      <c r="J119" s="1083" t="s">
        <v>514</v>
      </c>
      <c r="K119" s="1084">
        <f t="array" ref="K119">IFERROR(VLOOKUP(J105,Dex!$B$3:$N200,9,FALSE),"")</f>
        <v>100</v>
      </c>
      <c r="L119" s="1085" t="str">
        <f t="array" ref="L119">IFERROR(VLOOKUP(K119,Dex!$P$22:$Q$276,2,FALSE),"")</f>
        <v/>
      </c>
      <c r="M119" s="1086"/>
      <c r="N119" s="1075"/>
      <c r="O119" s="1083" t="s">
        <v>514</v>
      </c>
      <c r="P119" s="1084">
        <f t="array" ref="P119">IFERROR(VLOOKUP(O105,Dex!$B$3:$N200,9,FALSE),"")</f>
        <v>145</v>
      </c>
      <c r="Q119" s="1085" t="str">
        <f t="array" ref="Q119">IFERROR(VLOOKUP(P119,Dex!$P$22:$Q$276,2,FALSE),"")</f>
        <v/>
      </c>
      <c r="R119" s="1086"/>
      <c r="S119" s="1075"/>
      <c r="T119" s="1083" t="s">
        <v>514</v>
      </c>
      <c r="U119" s="1084">
        <f t="array" ref="U119">IFERROR(VLOOKUP(T105,Dex!$B$3:$N200,9,FALSE),"")</f>
        <v>95</v>
      </c>
      <c r="V119" s="1085" t="str">
        <f t="array" ref="V119">IFERROR(VLOOKUP(U119,Dex!$P$22:$Q$276,2,FALSE),"")</f>
        <v/>
      </c>
      <c r="W119" s="1086"/>
      <c r="X119" s="1081"/>
      <c r="Y119" s="1083" t="s">
        <v>514</v>
      </c>
      <c r="Z119" s="1084">
        <f t="array" ref="Z119">IFERROR(VLOOKUP(Y105,Dex!$B$3:$N200,9,FALSE),"")</f>
        <v>140</v>
      </c>
      <c r="AA119" s="1085" t="str">
        <f t="array" ref="AA119">IFERROR(VLOOKUP(Z119,Dex!$P$22:$Q$276,2,FALSE),"")</f>
        <v/>
      </c>
      <c r="AB119" s="1086"/>
      <c r="AC119" s="1081"/>
      <c r="AD119" s="1083" t="s">
        <v>514</v>
      </c>
      <c r="AE119" s="1084">
        <f t="array" ref="AE119">IFERROR(VLOOKUP(AD105,Dex!$B$3:$N200,9,FALSE),"")</f>
        <v>60</v>
      </c>
      <c r="AF119" s="1085" t="str">
        <f t="array" ref="AF119">IFERROR(VLOOKUP(AE119,Dex!$P$22:$Q$276,2,FALSE),"")</f>
        <v/>
      </c>
      <c r="AG119" s="1086"/>
      <c r="AH119" s="1082"/>
      <c r="AI119" s="612"/>
    </row>
    <row r="120" ht="16.5" customHeight="1">
      <c r="A120" s="545"/>
      <c r="B120" s="1072"/>
      <c r="C120" s="1065"/>
      <c r="D120" s="1073"/>
      <c r="E120" s="1083" t="s">
        <v>515</v>
      </c>
      <c r="F120" s="1084">
        <f t="array" ref="F120">IFERROR(VLOOKUP(E105,Dex!$B$3:$N200,10,FALSE),"")</f>
        <v>115</v>
      </c>
      <c r="G120" s="1085" t="str">
        <f t="array" ref="G120">IFERROR(VLOOKUP(F120,Dex!$P$22:$Q$276,2,FALSE),"")</f>
        <v/>
      </c>
      <c r="H120" s="1086"/>
      <c r="I120" s="1075"/>
      <c r="J120" s="1083" t="s">
        <v>515</v>
      </c>
      <c r="K120" s="1084">
        <f t="array" ref="K120">IFERROR(VLOOKUP(J105,Dex!$B$3:$N200,10,FALSE),"")</f>
        <v>110</v>
      </c>
      <c r="L120" s="1085" t="str">
        <f t="array" ref="L120">IFERROR(VLOOKUP(K120,Dex!$P$22:$Q$276,2,FALSE),"")</f>
        <v/>
      </c>
      <c r="M120" s="1086"/>
      <c r="N120" s="1075"/>
      <c r="O120" s="1083" t="s">
        <v>515</v>
      </c>
      <c r="P120" s="1084">
        <f t="array" ref="P120">IFERROR(VLOOKUP(O105,Dex!$B$3:$N200,10,FALSE),"")</f>
        <v>130</v>
      </c>
      <c r="Q120" s="1085" t="str">
        <f t="array" ref="Q120">IFERROR(VLOOKUP(P120,Dex!$P$22:$Q$276,2,FALSE),"")</f>
        <v/>
      </c>
      <c r="R120" s="1086"/>
      <c r="S120" s="1075"/>
      <c r="T120" s="1083" t="s">
        <v>515</v>
      </c>
      <c r="U120" s="1084">
        <f t="array" ref="U120">IFERROR(VLOOKUP(T105,Dex!$B$3:$N200,10,FALSE),"")</f>
        <v>115</v>
      </c>
      <c r="V120" s="1085" t="str">
        <f t="array" ref="V120">IFERROR(VLOOKUP(U120,Dex!$P$22:$Q$276,2,FALSE),"")</f>
        <v/>
      </c>
      <c r="W120" s="1086"/>
      <c r="X120" s="1081"/>
      <c r="Y120" s="1083" t="s">
        <v>515</v>
      </c>
      <c r="Z120" s="1084">
        <f t="array" ref="Z120">IFERROR(VLOOKUP(Y105,Dex!$B$3:$N200,10,FALSE),"")</f>
        <v>108</v>
      </c>
      <c r="AA120" s="1085" t="str">
        <f t="array" ref="AA120">IFERROR(VLOOKUP(Z120,Dex!$P$22:$Q$276,2,FALSE),"")</f>
        <v/>
      </c>
      <c r="AB120" s="1086"/>
      <c r="AC120" s="1081"/>
      <c r="AD120" s="1083" t="s">
        <v>515</v>
      </c>
      <c r="AE120" s="1084">
        <f t="array" ref="AE120">IFERROR(VLOOKUP(AD105,Dex!$B$3:$N200,10,FALSE),"")</f>
        <v>80</v>
      </c>
      <c r="AF120" s="1085" t="str">
        <f t="array" ref="AF120">IFERROR(VLOOKUP(AE120,Dex!$P$22:$Q$276,2,FALSE),"")</f>
        <v/>
      </c>
      <c r="AG120" s="1086"/>
      <c r="AH120" s="1082"/>
      <c r="AI120" s="612"/>
    </row>
    <row r="121" ht="16.5" customHeight="1">
      <c r="A121" s="545"/>
      <c r="B121" s="1072"/>
      <c r="C121" s="1065"/>
      <c r="D121" s="1073"/>
      <c r="E121" s="1083" t="s">
        <v>516</v>
      </c>
      <c r="F121" s="1084">
        <f t="array" ref="F121">IFERROR(VLOOKUP(E105,Dex!$B$3:$N200,11,FALSE),"")</f>
        <v>95</v>
      </c>
      <c r="G121" s="1085" t="str">
        <f t="array" ref="G121">IFERROR(VLOOKUP(F121,Dex!$P$22:$Q$276,2,FALSE),"")</f>
        <v/>
      </c>
      <c r="H121" s="1086"/>
      <c r="I121" s="1075"/>
      <c r="J121" s="1083" t="s">
        <v>516</v>
      </c>
      <c r="K121" s="1084">
        <f t="array" ref="K121">IFERROR(VLOOKUP(J105,Dex!$B$3:$N200,11,FALSE),"")</f>
        <v>145</v>
      </c>
      <c r="L121" s="1085" t="str">
        <f t="array" ref="L121">IFERROR(VLOOKUP(K121,Dex!$P$22:$Q$276,2,FALSE),"")</f>
        <v/>
      </c>
      <c r="M121" s="1086"/>
      <c r="N121" s="1075"/>
      <c r="O121" s="1083" t="s">
        <v>516</v>
      </c>
      <c r="P121" s="1084">
        <f t="array" ref="P121">IFERROR(VLOOKUP(O105,Dex!$B$3:$N200,11,FALSE),"")</f>
        <v>65</v>
      </c>
      <c r="Q121" s="1085" t="str">
        <f t="array" ref="Q121">IFERROR(VLOOKUP(P121,Dex!$P$22:$Q$276,2,FALSE),"")</f>
        <v/>
      </c>
      <c r="R121" s="1086"/>
      <c r="S121" s="1075"/>
      <c r="T121" s="1083" t="s">
        <v>516</v>
      </c>
      <c r="U121" s="1084">
        <f t="array" ref="U121">IFERROR(VLOOKUP(T105,Dex!$B$3:$N200,11,FALSE),"")</f>
        <v>130</v>
      </c>
      <c r="V121" s="1085" t="str">
        <f t="array" ref="V121">IFERROR(VLOOKUP(U121,Dex!$P$22:$Q$276,2,FALSE),"")</f>
        <v/>
      </c>
      <c r="W121" s="1086"/>
      <c r="X121" s="1081"/>
      <c r="Y121" s="1083" t="s">
        <v>516</v>
      </c>
      <c r="Z121" s="1084">
        <f t="array" ref="Z121">IFERROR(VLOOKUP(Y105,Dex!$B$3:$N200,11,FALSE),"")</f>
        <v>50</v>
      </c>
      <c r="AA121" s="1085" t="str">
        <f t="array" ref="AA121">IFERROR(VLOOKUP(Z121,Dex!$P$22:$Q$276,2,FALSE),"")</f>
        <v/>
      </c>
      <c r="AB121" s="1086"/>
      <c r="AC121" s="1081"/>
      <c r="AD121" s="1083" t="s">
        <v>516</v>
      </c>
      <c r="AE121" s="1084">
        <f t="array" ref="AE121">IFERROR(VLOOKUP(AD105,Dex!$B$3:$N200,11,FALSE),"")</f>
        <v>75</v>
      </c>
      <c r="AF121" s="1085" t="str">
        <f t="array" ref="AF121">IFERROR(VLOOKUP(AE121,Dex!$P$22:$Q$276,2,FALSE),"")</f>
        <v/>
      </c>
      <c r="AG121" s="1086"/>
      <c r="AH121" s="1082"/>
      <c r="AI121" s="612"/>
    </row>
    <row r="122" ht="16.5" customHeight="1">
      <c r="A122" s="545"/>
      <c r="B122" s="1072"/>
      <c r="C122" s="1065"/>
      <c r="D122" s="1073"/>
      <c r="E122" s="1083" t="s">
        <v>517</v>
      </c>
      <c r="F122" s="1084">
        <f t="array" ref="F122">IFERROR(VLOOKUP(E105,Dex!$B$3:$N200,12,FALSE),"")</f>
        <v>130</v>
      </c>
      <c r="G122" s="1085" t="str">
        <f t="array" ref="G122">IFERROR(VLOOKUP(F122,Dex!$P$22:$Q$276,2,FALSE),"")</f>
        <v/>
      </c>
      <c r="H122" s="1086"/>
      <c r="I122" s="1075"/>
      <c r="J122" s="1083" t="s">
        <v>517</v>
      </c>
      <c r="K122" s="1084">
        <f t="array" ref="K122">IFERROR(VLOOKUP(J105,Dex!$B$3:$N200,12,FALSE),"")</f>
        <v>115</v>
      </c>
      <c r="L122" s="1085" t="str">
        <f t="array" ref="L122">IFERROR(VLOOKUP(K122,Dex!$P$22:$Q$276,2,FALSE),"")</f>
        <v/>
      </c>
      <c r="M122" s="1086"/>
      <c r="N122" s="1075"/>
      <c r="O122" s="1083" t="s">
        <v>517</v>
      </c>
      <c r="P122" s="1084">
        <f t="array" ref="P122">IFERROR(VLOOKUP(O105,Dex!$B$3:$N200,12,FALSE),"")</f>
        <v>110</v>
      </c>
      <c r="Q122" s="1085" t="str">
        <f t="array" ref="Q122">IFERROR(VLOOKUP(P122,Dex!$P$22:$Q$276,2,FALSE),"")</f>
        <v/>
      </c>
      <c r="R122" s="1086"/>
      <c r="S122" s="1075"/>
      <c r="T122" s="1083" t="s">
        <v>517</v>
      </c>
      <c r="U122" s="1084">
        <f t="array" ref="U122">IFERROR(VLOOKUP(T105,Dex!$B$3:$N200,12,FALSE),"")</f>
        <v>115</v>
      </c>
      <c r="V122" s="1085" t="str">
        <f t="array" ref="V122">IFERROR(VLOOKUP(U122,Dex!$P$22:$Q$276,2,FALSE),"")</f>
        <v/>
      </c>
      <c r="W122" s="1086"/>
      <c r="X122" s="1081"/>
      <c r="Y122" s="1083" t="s">
        <v>517</v>
      </c>
      <c r="Z122" s="1084">
        <f t="array" ref="Z122">IFERROR(VLOOKUP(Y105,Dex!$B$3:$N200,12,FALSE),"")</f>
        <v>68</v>
      </c>
      <c r="AA122" s="1085" t="str">
        <f t="array" ref="AA122">IFERROR(VLOOKUP(Z122,Dex!$P$22:$Q$276,2,FALSE),"")</f>
        <v/>
      </c>
      <c r="AB122" s="1086"/>
      <c r="AC122" s="1081"/>
      <c r="AD122" s="1083" t="s">
        <v>517</v>
      </c>
      <c r="AE122" s="1084">
        <f t="array" ref="AE122">IFERROR(VLOOKUP(AD105,Dex!$B$3:$N200,12,FALSE),"")</f>
        <v>105</v>
      </c>
      <c r="AF122" s="1085" t="str">
        <f t="array" ref="AF122">IFERROR(VLOOKUP(AE122,Dex!$P$22:$Q$276,2,FALSE),"")</f>
        <v/>
      </c>
      <c r="AG122" s="1086"/>
      <c r="AH122" s="1082"/>
      <c r="AI122" s="612"/>
    </row>
    <row r="123" ht="15.75" customHeight="1">
      <c r="A123" s="545"/>
      <c r="B123" s="1072"/>
      <c r="C123" s="1065"/>
      <c r="D123" s="1073"/>
      <c r="E123" s="1087" t="s">
        <v>518</v>
      </c>
      <c r="F123" s="1088">
        <f t="array" ref="F123">IFERROR(VLOOKUP(E105,Dex!$B$3:$N200,13,FALSE),"")</f>
        <v>85</v>
      </c>
      <c r="G123" s="1089" t="str">
        <f t="array" ref="G123">IFERROR(VLOOKUP(F123,Dex!$P$22:$Q$276,2,FALSE),"")</f>
        <v/>
      </c>
      <c r="H123" s="1090"/>
      <c r="I123" s="1075"/>
      <c r="J123" s="1087" t="s">
        <v>518</v>
      </c>
      <c r="K123" s="1088">
        <f t="array" ref="K123">IFERROR(VLOOKUP(J105,Dex!$B$3:$N200,13,FALSE),"")</f>
        <v>20</v>
      </c>
      <c r="L123" s="1089" t="str">
        <f t="array" ref="L123">IFERROR(VLOOKUP(K123,Dex!$P$22:$Q$276,2,FALSE),"")</f>
        <v/>
      </c>
      <c r="M123" s="1090"/>
      <c r="N123" s="1075"/>
      <c r="O123" s="1087" t="s">
        <v>518</v>
      </c>
      <c r="P123" s="1088">
        <f t="array" ref="P123">IFERROR(VLOOKUP(O105,Dex!$B$3:$N200,13,FALSE),"")</f>
        <v>30</v>
      </c>
      <c r="Q123" s="1089" t="str">
        <f t="array" ref="Q123">IFERROR(VLOOKUP(P123,Dex!$P$22:$Q$276,2,FALSE),"")</f>
        <v/>
      </c>
      <c r="R123" s="1090"/>
      <c r="S123" s="1075"/>
      <c r="T123" s="1087" t="s">
        <v>518</v>
      </c>
      <c r="U123" s="1088">
        <f t="array" ref="U123">IFERROR(VLOOKUP(T105,Dex!$B$3:$N200,13,FALSE),"")</f>
        <v>65</v>
      </c>
      <c r="V123" s="1089" t="str">
        <f t="array" ref="V123">IFERROR(VLOOKUP(U123,Dex!$P$22:$Q$276,2,FALSE),"")</f>
        <v/>
      </c>
      <c r="W123" s="1090"/>
      <c r="X123" s="1081"/>
      <c r="Y123" s="1087" t="s">
        <v>518</v>
      </c>
      <c r="Z123" s="1088">
        <f t="array" ref="Z123">IFERROR(VLOOKUP(Y105,Dex!$B$3:$N200,13,FALSE),"")</f>
        <v>50</v>
      </c>
      <c r="AA123" s="1089" t="str">
        <f t="array" ref="AA123">IFERROR(VLOOKUP(Z123,Dex!$P$22:$Q$276,2,FALSE),"")</f>
        <v/>
      </c>
      <c r="AB123" s="1090"/>
      <c r="AC123" s="1081"/>
      <c r="AD123" s="1087" t="s">
        <v>518</v>
      </c>
      <c r="AE123" s="1088">
        <f t="array" ref="AE123">IFERROR(VLOOKUP(AD105,Dex!$B$3:$N200,13,FALSE),"")</f>
        <v>60</v>
      </c>
      <c r="AF123" s="1089" t="str">
        <f t="array" ref="AF123">IFERROR(VLOOKUP(AE123,Dex!$P$22:$Q$276,2,FALSE),"")</f>
        <v/>
      </c>
      <c r="AG123" s="1090"/>
      <c r="AH123" s="1082"/>
      <c r="AI123" s="612"/>
    </row>
    <row r="124" ht="16.5" customHeight="1">
      <c r="A124" s="545"/>
      <c r="B124" s="1072"/>
      <c r="C124" s="1065"/>
      <c r="D124" s="1073"/>
      <c r="E124" s="1091" t="s">
        <v>519</v>
      </c>
      <c r="F124" s="630"/>
      <c r="G124" s="631"/>
      <c r="H124" s="632">
        <f>ROUNDDOWN((ROUNDDOWN(((((2*F123+0)*E106)/100+5)),0))*0.9,0)</f>
        <v>94</v>
      </c>
      <c r="I124" s="1075"/>
      <c r="J124" s="1091" t="s">
        <v>519</v>
      </c>
      <c r="K124" s="630"/>
      <c r="L124" s="631"/>
      <c r="M124" s="632">
        <f>ROUNDDOWN((ROUNDDOWN(((((2*K123+0)*J106)/100+5)),0))*0.9,0)</f>
        <v>25</v>
      </c>
      <c r="N124" s="1075"/>
      <c r="O124" s="1091" t="s">
        <v>519</v>
      </c>
      <c r="P124" s="630"/>
      <c r="Q124" s="631"/>
      <c r="R124" s="632">
        <f>ROUNDDOWN((ROUNDDOWN(((((2*P123+0)*O106)/100+5)),0))*0.9,0)</f>
        <v>36</v>
      </c>
      <c r="S124" s="1075"/>
      <c r="T124" s="1091" t="s">
        <v>519</v>
      </c>
      <c r="U124" s="630"/>
      <c r="V124" s="631"/>
      <c r="W124" s="632">
        <f>ROUNDDOWN((ROUNDDOWN(((((2*U123+0)*T106)/100+5)),0))*0.9,0)</f>
        <v>72</v>
      </c>
      <c r="X124" s="1075"/>
      <c r="Y124" s="1091" t="s">
        <v>519</v>
      </c>
      <c r="Z124" s="630"/>
      <c r="AA124" s="631"/>
      <c r="AB124" s="632">
        <f>ROUNDDOWN((ROUNDDOWN(((((2*Z123+0)*Y106)/100+5)),0))*0.9,0)</f>
        <v>57</v>
      </c>
      <c r="AC124" s="1075"/>
      <c r="AD124" s="1091" t="s">
        <v>519</v>
      </c>
      <c r="AE124" s="630"/>
      <c r="AF124" s="631"/>
      <c r="AG124" s="632">
        <f>ROUNDDOWN((ROUNDDOWN(((((2*AE123+0)*AD106)/100+5)),0))*0.9,0)</f>
        <v>67</v>
      </c>
      <c r="AH124" s="1076"/>
      <c r="AI124" s="612"/>
    </row>
    <row r="125" ht="15.0" customHeight="1">
      <c r="A125" s="519"/>
      <c r="B125" s="1092"/>
      <c r="C125" s="1093"/>
      <c r="D125" s="1094"/>
      <c r="E125" s="1095"/>
      <c r="F125" s="1095"/>
      <c r="G125" s="1095"/>
      <c r="H125" s="1095"/>
      <c r="I125" s="1094"/>
      <c r="J125" s="1095"/>
      <c r="K125" s="1095"/>
      <c r="L125" s="1095"/>
      <c r="M125" s="1095"/>
      <c r="N125" s="1094"/>
      <c r="O125" s="1095"/>
      <c r="P125" s="1095"/>
      <c r="Q125" s="1095"/>
      <c r="R125" s="1095"/>
      <c r="S125" s="1094"/>
      <c r="T125" s="1095"/>
      <c r="U125" s="1095"/>
      <c r="V125" s="1095"/>
      <c r="W125" s="1095"/>
      <c r="X125" s="1094"/>
      <c r="Y125" s="1095"/>
      <c r="Z125" s="1095"/>
      <c r="AA125" s="1095"/>
      <c r="AB125" s="1095"/>
      <c r="AC125" s="1094"/>
      <c r="AD125" s="1095"/>
      <c r="AE125" s="1095"/>
      <c r="AF125" s="1095"/>
      <c r="AG125" s="1095"/>
      <c r="AH125" s="1096"/>
      <c r="AI125" s="525"/>
    </row>
    <row r="126" ht="15.0" customHeight="1">
      <c r="A126" s="519"/>
      <c r="B126" s="1097"/>
      <c r="C126" s="1098"/>
      <c r="D126" s="1099"/>
      <c r="E126" s="1100"/>
      <c r="F126" s="1100"/>
      <c r="G126" s="1100"/>
      <c r="H126" s="1100"/>
      <c r="I126" s="1099"/>
      <c r="J126" s="1100"/>
      <c r="K126" s="1100"/>
      <c r="L126" s="1100"/>
      <c r="M126" s="1100"/>
      <c r="N126" s="1099"/>
      <c r="O126" s="1100"/>
      <c r="P126" s="1100"/>
      <c r="Q126" s="1100"/>
      <c r="R126" s="1100"/>
      <c r="S126" s="1099"/>
      <c r="T126" s="1100"/>
      <c r="U126" s="1100"/>
      <c r="V126" s="1100"/>
      <c r="W126" s="1100"/>
      <c r="X126" s="1099"/>
      <c r="Y126" s="1100"/>
      <c r="Z126" s="1100"/>
      <c r="AA126" s="1100"/>
      <c r="AB126" s="1100"/>
      <c r="AC126" s="1099"/>
      <c r="AD126" s="1100"/>
      <c r="AE126" s="1100"/>
      <c r="AF126" s="1100"/>
      <c r="AG126" s="1100"/>
      <c r="AH126" s="1101"/>
      <c r="AI126" s="525"/>
    </row>
    <row r="127">
      <c r="A127" s="519"/>
      <c r="B127" s="1102"/>
      <c r="C127" s="1103"/>
      <c r="D127" s="1103"/>
      <c r="E127" s="1104" t="s">
        <v>650</v>
      </c>
      <c r="F127" s="1105"/>
      <c r="G127" s="1105"/>
      <c r="H127" s="1105"/>
      <c r="I127" s="1105"/>
      <c r="J127" s="1105"/>
      <c r="K127" s="1105"/>
      <c r="L127" s="1105"/>
      <c r="M127" s="1105"/>
      <c r="N127" s="1105"/>
      <c r="O127" s="1105"/>
      <c r="P127" s="1105"/>
      <c r="Q127" s="1105"/>
      <c r="R127" s="1105"/>
      <c r="S127" s="1105"/>
      <c r="T127" s="1105"/>
      <c r="U127" s="1105"/>
      <c r="V127" s="1105"/>
      <c r="W127" s="1105"/>
      <c r="X127" s="1105"/>
      <c r="Y127" s="1105"/>
      <c r="Z127" s="1105"/>
      <c r="AA127" s="1105"/>
      <c r="AB127" s="1105"/>
      <c r="AC127" s="1105"/>
      <c r="AD127" s="1105"/>
      <c r="AE127" s="1105"/>
      <c r="AF127" s="1105"/>
      <c r="AG127" s="1106"/>
      <c r="AH127" s="1107"/>
      <c r="AI127" s="525"/>
    </row>
    <row r="128" ht="96.75" customHeight="1">
      <c r="A128" s="519"/>
      <c r="B128" s="1108"/>
      <c r="C128" s="1109" t="str">
        <f>IMAGE("https://i.ibb.co/3THVf4D/Koga.png")</f>
        <v/>
      </c>
      <c r="D128" s="1110"/>
      <c r="E128" s="1111" t="str">
        <f t="array" ref="E128">IFERROR(VLOOKUP(E129,Dex!$B$3:$G200,3,FALSE),"")</f>
        <v/>
      </c>
      <c r="F128" s="539"/>
      <c r="G128" s="539"/>
      <c r="H128" s="540"/>
      <c r="I128" s="1112"/>
      <c r="J128" s="1111" t="str">
        <f t="array" ref="J128">IFERROR(VLOOKUP(J129,Dex!$B$3:$G200,3,FALSE),"")</f>
        <v/>
      </c>
      <c r="K128" s="539"/>
      <c r="L128" s="539"/>
      <c r="M128" s="540"/>
      <c r="N128" s="1112"/>
      <c r="O128" s="1111" t="str">
        <f t="array" ref="O128">IFERROR(VLOOKUP(O129,Dex!$B$3:$G200,3,FALSE),"")</f>
        <v/>
      </c>
      <c r="P128" s="539"/>
      <c r="Q128" s="539"/>
      <c r="R128" s="540"/>
      <c r="S128" s="1112"/>
      <c r="T128" s="1111" t="str">
        <f t="array" ref="T128">IFERROR(VLOOKUP(T129,Dex!$B$3:$G200,3,FALSE),"")</f>
        <v/>
      </c>
      <c r="U128" s="539"/>
      <c r="V128" s="539"/>
      <c r="W128" s="540"/>
      <c r="X128" s="1112"/>
      <c r="Y128" s="1111" t="str">
        <f t="array" ref="Y128">IFERROR(VLOOKUP(Y129,Dex!$B$3:$G200,3,FALSE),"")</f>
        <v/>
      </c>
      <c r="Z128" s="539"/>
      <c r="AA128" s="539"/>
      <c r="AB128" s="540"/>
      <c r="AC128" s="1112"/>
      <c r="AD128" s="1111" t="str">
        <f t="array" ref="AD128">IFERROR(VLOOKUP(AD129,Dex!$B$3:$G200,3,FALSE),"")</f>
        <v/>
      </c>
      <c r="AE128" s="539"/>
      <c r="AF128" s="539"/>
      <c r="AG128" s="540"/>
      <c r="AH128" s="1113"/>
      <c r="AI128" s="525"/>
    </row>
    <row r="129" ht="18.75" customHeight="1">
      <c r="A129" s="545"/>
      <c r="B129" s="1114"/>
      <c r="C129" s="1115" t="s">
        <v>651</v>
      </c>
      <c r="E129" s="1116" t="s">
        <v>652</v>
      </c>
      <c r="F129" s="1117"/>
      <c r="G129" s="1117"/>
      <c r="H129" s="1118"/>
      <c r="J129" s="1116" t="s">
        <v>653</v>
      </c>
      <c r="K129" s="1117"/>
      <c r="L129" s="1117"/>
      <c r="M129" s="1118"/>
      <c r="O129" s="1116" t="s">
        <v>654</v>
      </c>
      <c r="P129" s="1117"/>
      <c r="Q129" s="1117"/>
      <c r="R129" s="1118"/>
      <c r="T129" s="1116" t="s">
        <v>655</v>
      </c>
      <c r="U129" s="1117"/>
      <c r="V129" s="1117"/>
      <c r="W129" s="1118"/>
      <c r="Y129" s="1116" t="s">
        <v>656</v>
      </c>
      <c r="Z129" s="1117"/>
      <c r="AA129" s="1117"/>
      <c r="AB129" s="1118"/>
      <c r="AD129" s="1116" t="s">
        <v>657</v>
      </c>
      <c r="AE129" s="1117"/>
      <c r="AF129" s="1117"/>
      <c r="AG129" s="1118"/>
      <c r="AH129" s="1119"/>
      <c r="AI129" s="554"/>
    </row>
    <row r="130">
      <c r="A130" s="545"/>
      <c r="B130" s="1120"/>
      <c r="C130" s="556"/>
      <c r="E130" s="1121">
        <v>68.0</v>
      </c>
      <c r="F130" s="1105"/>
      <c r="G130" s="1105"/>
      <c r="H130" s="1122"/>
      <c r="J130" s="1121">
        <v>68.0</v>
      </c>
      <c r="K130" s="1105"/>
      <c r="L130" s="1105"/>
      <c r="M130" s="1122"/>
      <c r="O130" s="1121">
        <v>68.0</v>
      </c>
      <c r="P130" s="1105"/>
      <c r="Q130" s="1105"/>
      <c r="R130" s="1122"/>
      <c r="T130" s="1121">
        <v>68.0</v>
      </c>
      <c r="U130" s="1105"/>
      <c r="V130" s="1105"/>
      <c r="W130" s="1122"/>
      <c r="Y130" s="1121">
        <v>68.0</v>
      </c>
      <c r="Z130" s="1105"/>
      <c r="AA130" s="1105"/>
      <c r="AB130" s="1122"/>
      <c r="AD130" s="1121">
        <v>68.0</v>
      </c>
      <c r="AE130" s="1105"/>
      <c r="AF130" s="1105"/>
      <c r="AG130" s="1122"/>
      <c r="AH130" s="1123"/>
      <c r="AI130" s="562"/>
    </row>
    <row r="131" ht="25.5" customHeight="1">
      <c r="A131" s="545"/>
      <c r="B131" s="1124"/>
      <c r="C131" s="1125"/>
      <c r="E131" s="1126"/>
      <c r="F131" s="1127" t="str">
        <f t="array" ref="F131">IFERROR(VLOOKUP(E129,Dex!$B$3:$H200,5,FALSE),"")</f>
        <v/>
      </c>
      <c r="G131" s="1128" t="str">
        <f t="array" ref="G131">IFERROR(VLOOKUP(E129,Dex!$B$3:$H200,7,FALSE),"")</f>
        <v/>
      </c>
      <c r="H131" s="1129"/>
      <c r="J131" s="1126"/>
      <c r="K131" s="1127" t="str">
        <f t="array" ref="K131">IFERROR(VLOOKUP(J129,Dex!$B$3:$H200,5,FALSE),"")</f>
        <v/>
      </c>
      <c r="L131" s="1128" t="str">
        <f t="array" ref="L131">IFERROR(VLOOKUP(J129,Dex!$B$3:$H200,7,FALSE),"")</f>
        <v/>
      </c>
      <c r="M131" s="1129"/>
      <c r="O131" s="1126"/>
      <c r="P131" s="1127" t="str">
        <f t="array" ref="P131">IFERROR(VLOOKUP(O129,Dex!$B$3:$H200,5,FALSE),"")</f>
        <v/>
      </c>
      <c r="Q131" s="1128" t="str">
        <f t="array" ref="Q131">IFERROR(VLOOKUP(O129,Dex!$B$3:$H200,7,FALSE),"")</f>
        <v/>
      </c>
      <c r="R131" s="1129"/>
      <c r="T131" s="1126"/>
      <c r="U131" s="1127" t="str">
        <f t="array" ref="U131">IFERROR(VLOOKUP(T129,Dex!$B$3:$H200,5,FALSE),"")</f>
        <v/>
      </c>
      <c r="V131" s="1128" t="str">
        <f t="array" ref="V131">IFERROR(VLOOKUP(T129,Dex!$B$3:$H200,7,FALSE),"")</f>
        <v/>
      </c>
      <c r="W131" s="1129"/>
      <c r="Y131" s="1126"/>
      <c r="Z131" s="1127" t="str">
        <f t="array" ref="Z131">IFERROR(VLOOKUP(Y129,Dex!$B$3:$H200,5,FALSE),"")</f>
        <v/>
      </c>
      <c r="AA131" s="1128" t="str">
        <f t="array" ref="AA131">IFERROR(VLOOKUP(Y129,Dex!$B$3:$H200,7,FALSE),"")</f>
        <v/>
      </c>
      <c r="AB131" s="1129"/>
      <c r="AD131" s="1126"/>
      <c r="AE131" s="1127" t="str">
        <f t="array" ref="AE131">IFERROR(VLOOKUP(AD129,Dex!$B$3:$H200,5,FALSE),"")</f>
        <v/>
      </c>
      <c r="AF131" s="1128" t="str">
        <f t="array" ref="AF131">IFERROR(VLOOKUP(AD129,Dex!$B$3:$H200,7,FALSE),"")</f>
        <v/>
      </c>
      <c r="AG131" s="1129"/>
      <c r="AH131" s="1113"/>
      <c r="AI131" s="525"/>
    </row>
    <row r="132" ht="2.25" customHeight="1">
      <c r="A132" s="574"/>
      <c r="B132" s="1102"/>
      <c r="C132" s="1130"/>
      <c r="E132" s="1131"/>
      <c r="F132" s="1132"/>
      <c r="G132" s="1132"/>
      <c r="H132" s="1133"/>
      <c r="J132" s="1131"/>
      <c r="K132" s="1132"/>
      <c r="L132" s="1132"/>
      <c r="M132" s="1133"/>
      <c r="O132" s="1131"/>
      <c r="P132" s="1132"/>
      <c r="Q132" s="1132"/>
      <c r="R132" s="1133"/>
      <c r="T132" s="1131"/>
      <c r="U132" s="1132"/>
      <c r="V132" s="1132"/>
      <c r="W132" s="1133"/>
      <c r="Y132" s="1131"/>
      <c r="Z132" s="1132"/>
      <c r="AA132" s="1132"/>
      <c r="AB132" s="1133"/>
      <c r="AD132" s="1131"/>
      <c r="AE132" s="1132"/>
      <c r="AF132" s="1132"/>
      <c r="AG132" s="1133"/>
      <c r="AH132" s="1113"/>
      <c r="AI132" s="525"/>
    </row>
    <row r="133" ht="20.25" customHeight="1">
      <c r="A133" s="545"/>
      <c r="B133" s="1102"/>
      <c r="C133" s="1134"/>
      <c r="E133" s="1135" t="s">
        <v>531</v>
      </c>
      <c r="F133" s="1136"/>
      <c r="G133" s="1136"/>
      <c r="H133" s="1137"/>
      <c r="J133" s="1135" t="s">
        <v>531</v>
      </c>
      <c r="K133" s="1136"/>
      <c r="L133" s="1136"/>
      <c r="M133" s="1137"/>
      <c r="O133" s="1135" t="s">
        <v>566</v>
      </c>
      <c r="P133" s="1136"/>
      <c r="Q133" s="1136"/>
      <c r="R133" s="1137"/>
      <c r="T133" s="1135" t="s">
        <v>531</v>
      </c>
      <c r="U133" s="1136"/>
      <c r="V133" s="1136"/>
      <c r="W133" s="1137"/>
      <c r="Y133" s="1135" t="s">
        <v>658</v>
      </c>
      <c r="Z133" s="1136"/>
      <c r="AA133" s="1136"/>
      <c r="AB133" s="1137"/>
      <c r="AD133" s="1135" t="s">
        <v>658</v>
      </c>
      <c r="AE133" s="1136"/>
      <c r="AF133" s="1136"/>
      <c r="AG133" s="1137"/>
      <c r="AH133" s="1113"/>
      <c r="AI133" s="525"/>
    </row>
    <row r="134" ht="20.25" customHeight="1">
      <c r="A134" s="545"/>
      <c r="B134" s="1102"/>
      <c r="C134" s="1138"/>
      <c r="E134" s="1139" t="s">
        <v>102</v>
      </c>
      <c r="F134" s="1105"/>
      <c r="G134" s="1105"/>
      <c r="H134" s="1122"/>
      <c r="J134" s="1139" t="s">
        <v>659</v>
      </c>
      <c r="K134" s="1105"/>
      <c r="L134" s="1105"/>
      <c r="M134" s="1122"/>
      <c r="O134" s="1139" t="s">
        <v>108</v>
      </c>
      <c r="P134" s="1105"/>
      <c r="Q134" s="1105"/>
      <c r="R134" s="1122"/>
      <c r="T134" s="1139" t="s">
        <v>660</v>
      </c>
      <c r="U134" s="1105"/>
      <c r="V134" s="1105"/>
      <c r="W134" s="1122"/>
      <c r="Y134" s="1139" t="s">
        <v>56</v>
      </c>
      <c r="Z134" s="1105"/>
      <c r="AA134" s="1105"/>
      <c r="AB134" s="1122"/>
      <c r="AD134" s="1140" t="s">
        <v>661</v>
      </c>
      <c r="AE134" s="1105"/>
      <c r="AF134" s="1105"/>
      <c r="AG134" s="1122"/>
      <c r="AH134" s="1113"/>
      <c r="AI134" s="525"/>
    </row>
    <row r="135" ht="20.25" customHeight="1">
      <c r="A135" s="545"/>
      <c r="B135" s="1102"/>
      <c r="C135" s="1130"/>
      <c r="E135" s="1141" t="s">
        <v>662</v>
      </c>
      <c r="F135" s="1142"/>
      <c r="G135" s="1143"/>
      <c r="H135" s="1144" t="str">
        <f>IMAGE("https://raw.githubusercontent.com/msikma/pokesprite/master/items/hold-item/twisted-spoon.png",3)</f>
        <v/>
      </c>
      <c r="J135" s="1141" t="s">
        <v>663</v>
      </c>
      <c r="K135" s="1142"/>
      <c r="L135" s="1143"/>
      <c r="M135" s="1144" t="str">
        <f>IMAGE("https://raw.githubusercontent.com/msikma/pokesprite/master/items/z-crystals/darkinium-z--held.png",3)</f>
        <v/>
      </c>
      <c r="O135" s="1141" t="s">
        <v>664</v>
      </c>
      <c r="P135" s="1142"/>
      <c r="Q135" s="1143"/>
      <c r="R135" s="1144" t="str">
        <f>IMAGE("https://raw.githubusercontent.com/msikma/pokesprite/master/items/hold-item/black-glasses.png",3)</f>
        <v/>
      </c>
      <c r="T135" s="1141" t="s">
        <v>573</v>
      </c>
      <c r="U135" s="1142"/>
      <c r="V135" s="1143"/>
      <c r="W135" s="1144" t="str">
        <f>IMAGE("https://raw.githubusercontent.com/msikma/pokesprite/master/items/hold-item/focus-sash.png",3)</f>
        <v/>
      </c>
      <c r="Y135" s="1141" t="s">
        <v>541</v>
      </c>
      <c r="Z135" s="1142"/>
      <c r="AA135" s="1143"/>
      <c r="AB135" s="1144" t="str">
        <f>IMAGE("https://raw.githubusercontent.com/msikma/pokesprite/master/items/hold-item/life-orb.png",3)</f>
        <v/>
      </c>
      <c r="AD135" s="1141" t="s">
        <v>665</v>
      </c>
      <c r="AE135" s="1142"/>
      <c r="AF135" s="1143"/>
      <c r="AG135" s="1144" t="str">
        <f>IMAGE("https://raw.githubusercontent.com/msikma/pokesprite/master/items/mega-stone/banettite.png",3)</f>
        <v/>
      </c>
      <c r="AH135" s="1113"/>
      <c r="AI135" s="525"/>
    </row>
    <row r="136" ht="20.25" customHeight="1">
      <c r="A136" s="545"/>
      <c r="B136" s="1102"/>
      <c r="C136" s="1134"/>
      <c r="E136" s="1135" t="s">
        <v>552</v>
      </c>
      <c r="F136" s="1136"/>
      <c r="G136" s="1136"/>
      <c r="H136" s="1145" t="str">
        <f>IMAGE("https://raw.githubusercontent.com/msikma/pokesprite/master/misc/types/gen8/psychic.png",4,20,20)</f>
        <v/>
      </c>
      <c r="J136" s="1135" t="s">
        <v>666</v>
      </c>
      <c r="K136" s="1136"/>
      <c r="L136" s="1136"/>
      <c r="M136" s="1145" t="str">
        <f>IMAGE("https://raw.githubusercontent.com/msikma/pokesprite/master/misc/types/gen8/dark.png",4,20,20)</f>
        <v/>
      </c>
      <c r="O136" s="1135" t="s">
        <v>667</v>
      </c>
      <c r="P136" s="1136"/>
      <c r="Q136" s="1136"/>
      <c r="R136" s="1145" t="str">
        <f>IMAGE("https://raw.githubusercontent.com/msikma/pokesprite/master/misc/types/gen8/dark.png",4,20,20)</f>
        <v/>
      </c>
      <c r="T136" s="1135" t="s">
        <v>666</v>
      </c>
      <c r="U136" s="1136"/>
      <c r="V136" s="1136"/>
      <c r="W136" s="1145" t="str">
        <f>IMAGE("https://raw.githubusercontent.com/msikma/pokesprite/master/misc/types/gen8/dark.png",4,20,20)</f>
        <v/>
      </c>
      <c r="Y136" s="1135" t="s">
        <v>644</v>
      </c>
      <c r="Z136" s="1136"/>
      <c r="AA136" s="1136"/>
      <c r="AB136" s="1145" t="str">
        <f>IMAGE("https://raw.githubusercontent.com/msikma/pokesprite/master/misc/types/gen8/ground.png",4,20,20)</f>
        <v/>
      </c>
      <c r="AD136" s="1135" t="s">
        <v>610</v>
      </c>
      <c r="AE136" s="1136"/>
      <c r="AF136" s="1136"/>
      <c r="AG136" s="1145" t="str">
        <f>IMAGE("https://raw.githubusercontent.com/msikma/pokesprite/master/misc/types/gen8/normal.png",4,20,20)</f>
        <v/>
      </c>
      <c r="AH136" s="1113"/>
      <c r="AI136" s="525"/>
    </row>
    <row r="137" ht="20.25" customHeight="1">
      <c r="A137" s="545"/>
      <c r="B137" s="1102"/>
      <c r="C137" s="1146"/>
      <c r="E137" s="1139" t="s">
        <v>641</v>
      </c>
      <c r="F137" s="1105"/>
      <c r="G137" s="1105"/>
      <c r="H137" s="1147" t="str">
        <f>IMAGE("https://raw.githubusercontent.com/msikma/pokesprite/master/misc/types/gen8/fairy.png",4,20,20)</f>
        <v/>
      </c>
      <c r="J137" s="1139" t="s">
        <v>668</v>
      </c>
      <c r="K137" s="1105"/>
      <c r="L137" s="1105"/>
      <c r="M137" s="1147" t="str">
        <f>IMAGE("https://raw.githubusercontent.com/msikma/pokesprite/master/misc/types/gen8/psychic.png",4,20,20)</f>
        <v/>
      </c>
      <c r="O137" s="1139" t="s">
        <v>549</v>
      </c>
      <c r="P137" s="1105"/>
      <c r="Q137" s="1105"/>
      <c r="R137" s="1147" t="str">
        <f>IMAGE("https://raw.githubusercontent.com/msikma/pokesprite/master/misc/types/gen8/ground.png",4,20,20)</f>
        <v/>
      </c>
      <c r="T137" s="1139" t="s">
        <v>619</v>
      </c>
      <c r="U137" s="1105"/>
      <c r="V137" s="1105"/>
      <c r="W137" s="1147" t="str">
        <f>IMAGE("https://raw.githubusercontent.com/msikma/pokesprite/master/misc/types/gen8/fire.png",4,20,20)</f>
        <v/>
      </c>
      <c r="Y137" s="1139" t="s">
        <v>545</v>
      </c>
      <c r="Z137" s="1105"/>
      <c r="AA137" s="1105"/>
      <c r="AB137" s="1147" t="str">
        <f>IMAGE("https://raw.githubusercontent.com/msikma/pokesprite/master/misc/types/gen8/poison.png",4,20,20)</f>
        <v/>
      </c>
      <c r="AD137" s="1139" t="s">
        <v>618</v>
      </c>
      <c r="AE137" s="1105"/>
      <c r="AF137" s="1105"/>
      <c r="AG137" s="1147" t="str">
        <f>IMAGE("https://raw.githubusercontent.com/msikma/pokesprite/master/misc/types/gen8/electric.png",4,20,20)</f>
        <v/>
      </c>
      <c r="AH137" s="1113"/>
      <c r="AI137" s="525"/>
    </row>
    <row r="138" ht="20.25" customHeight="1">
      <c r="A138" s="545"/>
      <c r="B138" s="1102"/>
      <c r="C138" s="1146"/>
      <c r="E138" s="1139" t="s">
        <v>590</v>
      </c>
      <c r="F138" s="1105"/>
      <c r="G138" s="1105"/>
      <c r="H138" s="1147" t="str">
        <f>IMAGE("https://raw.githubusercontent.com/msikma/pokesprite/master/misc/types/gen8/fighting.png",4,20,20)</f>
        <v/>
      </c>
      <c r="J138" s="1139" t="s">
        <v>547</v>
      </c>
      <c r="K138" s="1105"/>
      <c r="L138" s="1105"/>
      <c r="M138" s="1147" t="str">
        <f>IMAGE("https://raw.githubusercontent.com/msikma/pokesprite/master/misc/types/gen8/electric.png",4,20,20)</f>
        <v/>
      </c>
      <c r="O138" s="1139" t="s">
        <v>583</v>
      </c>
      <c r="P138" s="1105"/>
      <c r="Q138" s="1105"/>
      <c r="R138" s="1147" t="str">
        <f>IMAGE("https://raw.githubusercontent.com/msikma/pokesprite/master/misc/types/gen8/fighting.png",4,20,20)</f>
        <v/>
      </c>
      <c r="T138" s="1139" t="s">
        <v>669</v>
      </c>
      <c r="U138" s="1105"/>
      <c r="V138" s="1105"/>
      <c r="W138" s="1147" t="str">
        <f>IMAGE("https://raw.githubusercontent.com/msikma/pokesprite/master/misc/types/gen8/psychic.png",4,20,20)</f>
        <v/>
      </c>
      <c r="Y138" s="1139" t="s">
        <v>670</v>
      </c>
      <c r="Z138" s="1105"/>
      <c r="AA138" s="1105"/>
      <c r="AB138" s="1147" t="str">
        <f>IMAGE("https://raw.githubusercontent.com/msikma/pokesprite/master/misc/types/gen8/ice.png",4,20,20)</f>
        <v/>
      </c>
      <c r="AD138" s="1139" t="s">
        <v>548</v>
      </c>
      <c r="AE138" s="1105"/>
      <c r="AF138" s="1105"/>
      <c r="AG138" s="1147" t="str">
        <f>IMAGE("https://raw.githubusercontent.com/msikma/pokesprite/master/misc/types/gen8/fighting.png",4,20,20)</f>
        <v/>
      </c>
      <c r="AH138" s="1113"/>
      <c r="AI138" s="525"/>
    </row>
    <row r="139" ht="21.0" customHeight="1">
      <c r="A139" s="545"/>
      <c r="B139" s="1102"/>
      <c r="C139" s="1146"/>
      <c r="D139" s="1117"/>
      <c r="E139" s="1148" t="s">
        <v>671</v>
      </c>
      <c r="F139" s="1149"/>
      <c r="G139" s="1149"/>
      <c r="H139" s="1150" t="str">
        <f>IMAGE("https://raw.githubusercontent.com/msikma/pokesprite/master/misc/types/gen8/fire.png",4,20,20)</f>
        <v/>
      </c>
      <c r="I139" s="1117"/>
      <c r="J139" s="1148" t="s">
        <v>590</v>
      </c>
      <c r="K139" s="1149"/>
      <c r="L139" s="1149"/>
      <c r="M139" s="1150" t="str">
        <f>IMAGE("https://raw.githubusercontent.com/msikma/pokesprite/master/misc/types/gen8/fighting.png",4,20,20)</f>
        <v/>
      </c>
      <c r="N139" s="1117"/>
      <c r="O139" s="1148" t="s">
        <v>621</v>
      </c>
      <c r="P139" s="1149"/>
      <c r="Q139" s="1149"/>
      <c r="R139" s="1150" t="str">
        <f>IMAGE("https://raw.githubusercontent.com/msikma/pokesprite/master/misc/types/gen8/rock.png",4,20,20)</f>
        <v/>
      </c>
      <c r="S139" s="1117"/>
      <c r="T139" s="1148" t="s">
        <v>553</v>
      </c>
      <c r="U139" s="1149"/>
      <c r="V139" s="1149"/>
      <c r="W139" s="1150" t="str">
        <f>IMAGE("https://raw.githubusercontent.com/msikma/pokesprite/master/misc/types/gen8/grass.png",4,20,20)</f>
        <v/>
      </c>
      <c r="X139" s="1117"/>
      <c r="Y139" s="1148" t="s">
        <v>547</v>
      </c>
      <c r="Z139" s="1149"/>
      <c r="AA139" s="1149"/>
      <c r="AB139" s="1150" t="str">
        <f>IMAGE("https://raw.githubusercontent.com/msikma/pokesprite/master/misc/types/gen8/electric.png",4,20,20)</f>
        <v/>
      </c>
      <c r="AC139" s="1117"/>
      <c r="AD139" s="1148" t="s">
        <v>553</v>
      </c>
      <c r="AE139" s="1149"/>
      <c r="AF139" s="1149"/>
      <c r="AG139" s="1150" t="str">
        <f>IMAGE("https://raw.githubusercontent.com/msikma/pokesprite/master/misc/types/gen8/grass.png",4,20,20)</f>
        <v/>
      </c>
      <c r="AH139" s="1113"/>
      <c r="AI139" s="525"/>
    </row>
    <row r="140" ht="3.0" customHeight="1">
      <c r="A140" s="574"/>
      <c r="B140" s="1102"/>
      <c r="C140" s="1151"/>
      <c r="D140" s="1152"/>
      <c r="E140" s="1153"/>
      <c r="F140" s="1153"/>
      <c r="G140" s="1153"/>
      <c r="H140" s="1153"/>
      <c r="I140" s="1152"/>
      <c r="J140" s="1153"/>
      <c r="K140" s="1153"/>
      <c r="L140" s="1153"/>
      <c r="M140" s="1153"/>
      <c r="N140" s="1152"/>
      <c r="O140" s="1153"/>
      <c r="P140" s="1153"/>
      <c r="Q140" s="1153"/>
      <c r="R140" s="1153"/>
      <c r="S140" s="1152"/>
      <c r="T140" s="1153"/>
      <c r="U140" s="1153"/>
      <c r="V140" s="1153"/>
      <c r="W140" s="1153"/>
      <c r="X140" s="1152"/>
      <c r="Y140" s="1153"/>
      <c r="Z140" s="1154"/>
      <c r="AA140" s="1154"/>
      <c r="AB140" s="1155"/>
      <c r="AC140" s="1152"/>
      <c r="AD140" s="1156"/>
      <c r="AE140" s="1156"/>
      <c r="AF140" s="1156"/>
      <c r="AG140" s="1155"/>
      <c r="AH140" s="1157"/>
      <c r="AI140" s="525"/>
    </row>
    <row r="141" ht="16.5" customHeight="1">
      <c r="A141" s="545"/>
      <c r="B141" s="1158"/>
      <c r="C141" s="1103"/>
      <c r="D141" s="1159"/>
      <c r="E141" s="1160" t="s">
        <v>512</v>
      </c>
      <c r="F141" s="606"/>
      <c r="G141" s="606"/>
      <c r="H141" s="607"/>
      <c r="I141" s="1161"/>
      <c r="J141" s="1160" t="s">
        <v>512</v>
      </c>
      <c r="K141" s="606"/>
      <c r="L141" s="606"/>
      <c r="M141" s="607"/>
      <c r="N141" s="1161"/>
      <c r="O141" s="1160" t="s">
        <v>512</v>
      </c>
      <c r="P141" s="606"/>
      <c r="Q141" s="606"/>
      <c r="R141" s="607"/>
      <c r="S141" s="1161"/>
      <c r="T141" s="1160" t="s">
        <v>512</v>
      </c>
      <c r="U141" s="606"/>
      <c r="V141" s="606"/>
      <c r="W141" s="607"/>
      <c r="X141" s="1161"/>
      <c r="Y141" s="1160" t="s">
        <v>512</v>
      </c>
      <c r="Z141" s="606"/>
      <c r="AA141" s="606"/>
      <c r="AB141" s="607"/>
      <c r="AC141" s="1161"/>
      <c r="AD141" s="1160" t="s">
        <v>512</v>
      </c>
      <c r="AE141" s="606"/>
      <c r="AF141" s="606"/>
      <c r="AG141" s="607"/>
      <c r="AH141" s="1162"/>
      <c r="AI141" s="612"/>
    </row>
    <row r="142" ht="16.5" customHeight="1">
      <c r="A142" s="545"/>
      <c r="B142" s="1158"/>
      <c r="C142" s="1103"/>
      <c r="D142" s="1159"/>
      <c r="E142" s="1163" t="s">
        <v>513</v>
      </c>
      <c r="F142" s="1164">
        <f t="array" ref="F142">IFERROR(VLOOKUP(E129,Dex!$B$3:$N200,8,FALSE),"")</f>
        <v>70</v>
      </c>
      <c r="G142" s="1165" t="str">
        <f t="array" ref="G142">IFERROR(VLOOKUP(F142,Dex!$P$22:$Q$276,2,FALSE),"")</f>
        <v/>
      </c>
      <c r="H142" s="1166"/>
      <c r="I142" s="1167"/>
      <c r="J142" s="1163" t="s">
        <v>513</v>
      </c>
      <c r="K142" s="1164">
        <f t="array" ref="K142">IFERROR(VLOOKUP(J129,Dex!$B$3:$N200,8,FALSE),"")</f>
        <v>80</v>
      </c>
      <c r="L142" s="1165" t="str">
        <f t="array" ref="L142">IFERROR(VLOOKUP(K142,Dex!$P$22:$Q$276,2,FALSE),"")</f>
        <v/>
      </c>
      <c r="M142" s="1166"/>
      <c r="N142" s="1167"/>
      <c r="O142" s="1163" t="s">
        <v>513</v>
      </c>
      <c r="P142" s="1164">
        <f t="array" ref="P142">IFERROR(VLOOKUP(O129,Dex!$B$3:$N200,8,FALSE),"")</f>
        <v>95</v>
      </c>
      <c r="Q142" s="1165" t="str">
        <f t="array" ref="Q142">IFERROR(VLOOKUP(P142,Dex!$P$22:$Q$276,2,FALSE),"")</f>
        <v/>
      </c>
      <c r="R142" s="1166"/>
      <c r="S142" s="1167"/>
      <c r="T142" s="1163" t="s">
        <v>513</v>
      </c>
      <c r="U142" s="1164">
        <f t="array" ref="U142">IFERROR(VLOOKUP(T129,Dex!$B$3:$N200,8,FALSE),"")</f>
        <v>55</v>
      </c>
      <c r="V142" s="1165" t="str">
        <f t="array" ref="V142">IFERROR(VLOOKUP(U142,Dex!$P$22:$Q$276,2,FALSE),"")</f>
        <v/>
      </c>
      <c r="W142" s="1166"/>
      <c r="X142" s="1167"/>
      <c r="Y142" s="1163" t="s">
        <v>513</v>
      </c>
      <c r="Z142" s="1164">
        <f t="array" ref="Z142">IFERROR(VLOOKUP(Y129,Dex!$B$3:$N200,8,FALSE),"")</f>
        <v>81</v>
      </c>
      <c r="AA142" s="1165" t="str">
        <f t="array" ref="AA142">IFERROR(VLOOKUP(Z142,Dex!$P$22:$Q$276,2,FALSE),"")</f>
        <v/>
      </c>
      <c r="AB142" s="1166"/>
      <c r="AC142" s="1167"/>
      <c r="AD142" s="1163" t="s">
        <v>513</v>
      </c>
      <c r="AE142" s="1164">
        <f t="array" ref="AE142">IFERROR(VLOOKUP(AD129,Dex!$B$3:$N200,8,FALSE),"")</f>
        <v>75</v>
      </c>
      <c r="AF142" s="1165" t="str">
        <f t="array" ref="AF142">IFERROR(VLOOKUP(AE142,Dex!$P$22:$Q$276,2,FALSE),"")</f>
        <v/>
      </c>
      <c r="AG142" s="1166"/>
      <c r="AH142" s="1168"/>
      <c r="AI142" s="612"/>
    </row>
    <row r="143" ht="16.5" customHeight="1">
      <c r="A143" s="545"/>
      <c r="B143" s="1158"/>
      <c r="C143" s="1103"/>
      <c r="D143" s="1159"/>
      <c r="E143" s="1169" t="s">
        <v>514</v>
      </c>
      <c r="F143" s="1170">
        <f t="array" ref="F143">IFERROR(VLOOKUP(E129,Dex!$B$3:$N200,9,FALSE),"")</f>
        <v>85</v>
      </c>
      <c r="G143" s="1171" t="str">
        <f t="array" ref="G143">IFERROR(VLOOKUP(F143,Dex!$P$22:$Q$276,2,FALSE),"")</f>
        <v/>
      </c>
      <c r="H143" s="1172"/>
      <c r="I143" s="1167"/>
      <c r="J143" s="1169" t="s">
        <v>514</v>
      </c>
      <c r="K143" s="1170">
        <f t="array" ref="K143">IFERROR(VLOOKUP(J129,Dex!$B$3:$N200,9,FALSE),"")</f>
        <v>160</v>
      </c>
      <c r="L143" s="1171" t="str">
        <f t="array" ref="L143">IFERROR(VLOOKUP(K143,Dex!$P$22:$Q$276,2,FALSE),"")</f>
        <v/>
      </c>
      <c r="M143" s="1172"/>
      <c r="N143" s="1167"/>
      <c r="O143" s="1169" t="s">
        <v>514</v>
      </c>
      <c r="P143" s="1170">
        <f t="array" ref="P143">IFERROR(VLOOKUP(O129,Dex!$B$3:$N200,9,FALSE),"")</f>
        <v>117</v>
      </c>
      <c r="Q143" s="1171" t="str">
        <f t="array" ref="Q143">IFERROR(VLOOKUP(P143,Dex!$P$22:$Q$276,2,FALSE),"")</f>
        <v/>
      </c>
      <c r="R143" s="1172"/>
      <c r="S143" s="1167"/>
      <c r="T143" s="1169" t="s">
        <v>514</v>
      </c>
      <c r="U143" s="1170">
        <f t="array" ref="U143">IFERROR(VLOOKUP(T129,Dex!$B$3:$N200,9,FALSE),"")</f>
        <v>80</v>
      </c>
      <c r="V143" s="1171" t="str">
        <f t="array" ref="V143">IFERROR(VLOOKUP(U143,Dex!$P$22:$Q$276,2,FALSE),"")</f>
        <v/>
      </c>
      <c r="W143" s="1172"/>
      <c r="X143" s="1167"/>
      <c r="Y143" s="1169" t="s">
        <v>514</v>
      </c>
      <c r="Z143" s="1170">
        <f t="array" ref="Z143">IFERROR(VLOOKUP(Y129,Dex!$B$3:$N200,9,FALSE),"")</f>
        <v>102</v>
      </c>
      <c r="AA143" s="1171" t="str">
        <f t="array" ref="AA143">IFERROR(VLOOKUP(Z143,Dex!$P$22:$Q$276,2,FALSE),"")</f>
        <v/>
      </c>
      <c r="AB143" s="1172"/>
      <c r="AC143" s="1167"/>
      <c r="AD143" s="1169" t="s">
        <v>514</v>
      </c>
      <c r="AE143" s="1170">
        <f t="array" ref="AE143">IFERROR(VLOOKUP(AD129,Dex!$B$3:$N200,9,FALSE),"")</f>
        <v>120</v>
      </c>
      <c r="AF143" s="1171" t="str">
        <f t="array" ref="AF143">IFERROR(VLOOKUP(AE143,Dex!$P$22:$Q$276,2,FALSE),"")</f>
        <v/>
      </c>
      <c r="AG143" s="1172"/>
      <c r="AH143" s="1168"/>
      <c r="AI143" s="612"/>
    </row>
    <row r="144" ht="16.5" customHeight="1">
      <c r="A144" s="545"/>
      <c r="B144" s="1158"/>
      <c r="C144" s="1103"/>
      <c r="D144" s="1159"/>
      <c r="E144" s="1169" t="s">
        <v>515</v>
      </c>
      <c r="F144" s="1170">
        <f t="array" ref="F144">IFERROR(VLOOKUP(E129,Dex!$B$3:$N200,10,FALSE),"")</f>
        <v>75</v>
      </c>
      <c r="G144" s="1171" t="str">
        <f t="array" ref="G144">IFERROR(VLOOKUP(F144,Dex!$P$22:$Q$276,2,FALSE),"")</f>
        <v/>
      </c>
      <c r="H144" s="1172"/>
      <c r="I144" s="1167"/>
      <c r="J144" s="1169" t="s">
        <v>515</v>
      </c>
      <c r="K144" s="1170">
        <f t="array" ref="K144">IFERROR(VLOOKUP(J129,Dex!$B$3:$N200,10,FALSE),"")</f>
        <v>60</v>
      </c>
      <c r="L144" s="1171" t="str">
        <f t="array" ref="L144">IFERROR(VLOOKUP(K144,Dex!$P$22:$Q$276,2,FALSE),"")</f>
        <v/>
      </c>
      <c r="M144" s="1172"/>
      <c r="N144" s="1167"/>
      <c r="O144" s="1169" t="s">
        <v>515</v>
      </c>
      <c r="P144" s="1170">
        <f t="array" ref="P144">IFERROR(VLOOKUP(O129,Dex!$B$3:$N200,10,FALSE),"")</f>
        <v>80</v>
      </c>
      <c r="Q144" s="1171" t="str">
        <f t="array" ref="Q144">IFERROR(VLOOKUP(P144,Dex!$P$22:$Q$276,2,FALSE),"")</f>
        <v/>
      </c>
      <c r="R144" s="1172"/>
      <c r="S144" s="1167"/>
      <c r="T144" s="1169" t="s">
        <v>515</v>
      </c>
      <c r="U144" s="1170">
        <f t="array" ref="U144">IFERROR(VLOOKUP(T129,Dex!$B$3:$N200,10,FALSE),"")</f>
        <v>80</v>
      </c>
      <c r="V144" s="1171" t="str">
        <f t="array" ref="V144">IFERROR(VLOOKUP(U144,Dex!$P$22:$Q$276,2,FALSE),"")</f>
        <v/>
      </c>
      <c r="W144" s="1172"/>
      <c r="X144" s="1167"/>
      <c r="Y144" s="1169" t="s">
        <v>515</v>
      </c>
      <c r="Z144" s="1170">
        <f t="array" ref="Z144">IFERROR(VLOOKUP(Y129,Dex!$B$3:$N200,10,FALSE),"")</f>
        <v>77</v>
      </c>
      <c r="AA144" s="1171" t="str">
        <f t="array" ref="AA144">IFERROR(VLOOKUP(Z144,Dex!$P$22:$Q$276,2,FALSE),"")</f>
        <v/>
      </c>
      <c r="AB144" s="1172"/>
      <c r="AC144" s="1167"/>
      <c r="AD144" s="1169" t="s">
        <v>515</v>
      </c>
      <c r="AE144" s="1170">
        <f t="array" ref="AE144">IFERROR(VLOOKUP(AD129,Dex!$B$3:$N200,10,FALSE),"")</f>
        <v>80</v>
      </c>
      <c r="AF144" s="1171" t="str">
        <f t="array" ref="AF144">IFERROR(VLOOKUP(AE144,Dex!$P$22:$Q$276,2,FALSE),"")</f>
        <v/>
      </c>
      <c r="AG144" s="1172"/>
      <c r="AH144" s="1168"/>
      <c r="AI144" s="612"/>
    </row>
    <row r="145" ht="16.5" customHeight="1">
      <c r="A145" s="545"/>
      <c r="B145" s="1158"/>
      <c r="C145" s="1103"/>
      <c r="D145" s="1159"/>
      <c r="E145" s="1169" t="s">
        <v>516</v>
      </c>
      <c r="F145" s="1170">
        <f t="array" ref="F145">IFERROR(VLOOKUP(E129,Dex!$B$3:$N200,11,FALSE),"")</f>
        <v>130</v>
      </c>
      <c r="G145" s="1171" t="str">
        <f t="array" ref="G145">IFERROR(VLOOKUP(F145,Dex!$P$22:$Q$276,2,FALSE),"")</f>
        <v/>
      </c>
      <c r="H145" s="1172"/>
      <c r="I145" s="1167"/>
      <c r="J145" s="1169" t="s">
        <v>516</v>
      </c>
      <c r="K145" s="1170">
        <f t="array" ref="K145">IFERROR(VLOOKUP(J129,Dex!$B$3:$N200,11,FALSE),"")</f>
        <v>170</v>
      </c>
      <c r="L145" s="1171" t="str">
        <f t="array" ref="L145">IFERROR(VLOOKUP(K145,Dex!$P$22:$Q$276,2,FALSE),"")</f>
        <v/>
      </c>
      <c r="M145" s="1172"/>
      <c r="N145" s="1167"/>
      <c r="O145" s="1169" t="s">
        <v>516</v>
      </c>
      <c r="P145" s="1170">
        <f t="array" ref="P145">IFERROR(VLOOKUP(O129,Dex!$B$3:$N200,11,FALSE),"")</f>
        <v>65</v>
      </c>
      <c r="Q145" s="1171" t="str">
        <f t="array" ref="Q145">IFERROR(VLOOKUP(P145,Dex!$P$22:$Q$276,2,FALSE),"")</f>
        <v/>
      </c>
      <c r="R145" s="1172"/>
      <c r="S145" s="1167"/>
      <c r="T145" s="1169" t="s">
        <v>516</v>
      </c>
      <c r="U145" s="1170">
        <f t="array" ref="U145">IFERROR(VLOOKUP(T129,Dex!$B$3:$N200,11,FALSE),"")</f>
        <v>135</v>
      </c>
      <c r="V145" s="1171" t="str">
        <f t="array" ref="V145">IFERROR(VLOOKUP(U145,Dex!$P$22:$Q$276,2,FALSE),"")</f>
        <v/>
      </c>
      <c r="W145" s="1172"/>
      <c r="X145" s="1167"/>
      <c r="Y145" s="1169" t="s">
        <v>516</v>
      </c>
      <c r="Z145" s="1170">
        <f t="array" ref="Z145">IFERROR(VLOOKUP(Y129,Dex!$B$3:$N200,11,FALSE),"")</f>
        <v>85</v>
      </c>
      <c r="AA145" s="1171" t="str">
        <f t="array" ref="AA145">IFERROR(VLOOKUP(Z145,Dex!$P$22:$Q$276,2,FALSE),"")</f>
        <v/>
      </c>
      <c r="AB145" s="1172"/>
      <c r="AC145" s="1167"/>
      <c r="AD145" s="1169" t="s">
        <v>516</v>
      </c>
      <c r="AE145" s="1170">
        <f t="array" ref="AE145">IFERROR(VLOOKUP(AD129,Dex!$B$3:$N200,11,FALSE),"")</f>
        <v>155</v>
      </c>
      <c r="AF145" s="1171" t="str">
        <f t="array" ref="AF145">IFERROR(VLOOKUP(AE145,Dex!$P$22:$Q$276,2,FALSE),"")</f>
        <v/>
      </c>
      <c r="AG145" s="1172"/>
      <c r="AH145" s="1168"/>
      <c r="AI145" s="612"/>
    </row>
    <row r="146" ht="16.5" customHeight="1">
      <c r="A146" s="545"/>
      <c r="B146" s="1158"/>
      <c r="C146" s="1103"/>
      <c r="D146" s="1159"/>
      <c r="E146" s="1169" t="s">
        <v>517</v>
      </c>
      <c r="F146" s="1170">
        <f t="array" ref="F146">IFERROR(VLOOKUP(E129,Dex!$B$3:$N200,12,FALSE),"")</f>
        <v>115</v>
      </c>
      <c r="G146" s="1171" t="str">
        <f t="array" ref="G146">IFERROR(VLOOKUP(F146,Dex!$P$22:$Q$276,2,FALSE),"")</f>
        <v/>
      </c>
      <c r="H146" s="1172"/>
      <c r="I146" s="1167"/>
      <c r="J146" s="1169" t="s">
        <v>517</v>
      </c>
      <c r="K146" s="1170">
        <f t="array" ref="K146">IFERROR(VLOOKUP(J129,Dex!$B$3:$N200,12,FALSE),"")</f>
        <v>130</v>
      </c>
      <c r="L146" s="1171" t="str">
        <f t="array" ref="L146">IFERROR(VLOOKUP(K146,Dex!$P$22:$Q$276,2,FALSE),"")</f>
        <v/>
      </c>
      <c r="M146" s="1172"/>
      <c r="N146" s="1167"/>
      <c r="O146" s="1169" t="s">
        <v>517</v>
      </c>
      <c r="P146" s="1170">
        <f t="array" ref="P146">IFERROR(VLOOKUP(O129,Dex!$B$3:$N200,12,FALSE),"")</f>
        <v>70</v>
      </c>
      <c r="Q146" s="1171" t="str">
        <f t="array" ref="Q146">IFERROR(VLOOKUP(P146,Dex!$P$22:$Q$276,2,FALSE),"")</f>
        <v/>
      </c>
      <c r="R146" s="1172"/>
      <c r="S146" s="1167"/>
      <c r="T146" s="1169" t="s">
        <v>517</v>
      </c>
      <c r="U146" s="1170">
        <f t="array" ref="U146">IFERROR(VLOOKUP(T129,Dex!$B$3:$N200,12,FALSE),"")</f>
        <v>120</v>
      </c>
      <c r="V146" s="1171" t="str">
        <f t="array" ref="V146">IFERROR(VLOOKUP(U146,Dex!$P$22:$Q$276,2,FALSE),"")</f>
        <v/>
      </c>
      <c r="W146" s="1172"/>
      <c r="X146" s="1167"/>
      <c r="Y146" s="1169" t="s">
        <v>517</v>
      </c>
      <c r="Z146" s="1170">
        <f t="array" ref="Z146">IFERROR(VLOOKUP(Y129,Dex!$B$3:$N200,12,FALSE),"")</f>
        <v>75</v>
      </c>
      <c r="AA146" s="1171" t="str">
        <f t="array" ref="AA146">IFERROR(VLOOKUP(Z146,Dex!$P$22:$Q$276,2,FALSE),"")</f>
        <v/>
      </c>
      <c r="AB146" s="1172"/>
      <c r="AC146" s="1167"/>
      <c r="AD146" s="1169" t="s">
        <v>517</v>
      </c>
      <c r="AE146" s="1170">
        <f t="array" ref="AE146">IFERROR(VLOOKUP(AD129,Dex!$B$3:$N200,12,FALSE),"")</f>
        <v>80</v>
      </c>
      <c r="AF146" s="1171" t="str">
        <f t="array" ref="AF146">IFERROR(VLOOKUP(AE146,Dex!$P$22:$Q$276,2,FALSE),"")</f>
        <v/>
      </c>
      <c r="AG146" s="1172"/>
      <c r="AH146" s="1168"/>
      <c r="AI146" s="612"/>
    </row>
    <row r="147" ht="15.75" customHeight="1">
      <c r="A147" s="545"/>
      <c r="B147" s="1158"/>
      <c r="C147" s="1103"/>
      <c r="D147" s="1159"/>
      <c r="E147" s="1173" t="s">
        <v>518</v>
      </c>
      <c r="F147" s="1174">
        <f t="array" ref="F147">IFERROR(VLOOKUP(E129,Dex!$B$3:$N200,13,FALSE),"")</f>
        <v>95</v>
      </c>
      <c r="G147" s="1175" t="str">
        <f t="array" ref="G147">IFERROR(VLOOKUP(F147,Dex!$P$22:$Q$276,2,FALSE),"")</f>
        <v/>
      </c>
      <c r="H147" s="1176"/>
      <c r="I147" s="1167"/>
      <c r="J147" s="1173" t="s">
        <v>518</v>
      </c>
      <c r="K147" s="1174">
        <f t="array" ref="K147">IFERROR(VLOOKUP(J129,Dex!$B$3:$N200,13,FALSE),"")</f>
        <v>80</v>
      </c>
      <c r="L147" s="1175" t="str">
        <f t="array" ref="L147">IFERROR(VLOOKUP(K147,Dex!$P$22:$Q$276,2,FALSE),"")</f>
        <v/>
      </c>
      <c r="M147" s="1176"/>
      <c r="N147" s="1167"/>
      <c r="O147" s="1173" t="s">
        <v>518</v>
      </c>
      <c r="P147" s="1174">
        <f t="array" ref="P147">IFERROR(VLOOKUP(O129,Dex!$B$3:$N200,13,FALSE),"")</f>
        <v>92</v>
      </c>
      <c r="Q147" s="1175" t="str">
        <f t="array" ref="Q147">IFERROR(VLOOKUP(P147,Dex!$P$22:$Q$276,2,FALSE),"")</f>
        <v/>
      </c>
      <c r="R147" s="1176"/>
      <c r="S147" s="1167"/>
      <c r="T147" s="1173" t="s">
        <v>518</v>
      </c>
      <c r="U147" s="1174">
        <f t="array" ref="U147">IFERROR(VLOOKUP(T129,Dex!$B$3:$N200,13,FALSE),"")</f>
        <v>100</v>
      </c>
      <c r="V147" s="1175" t="str">
        <f t="array" ref="V147">IFERROR(VLOOKUP(U147,Dex!$P$22:$Q$276,2,FALSE),"")</f>
        <v/>
      </c>
      <c r="W147" s="1176"/>
      <c r="X147" s="1167"/>
      <c r="Y147" s="1173" t="s">
        <v>518</v>
      </c>
      <c r="Z147" s="1174">
        <f t="array" ref="Z147">IFERROR(VLOOKUP(Y129,Dex!$B$3:$N200,13,FALSE),"")</f>
        <v>85</v>
      </c>
      <c r="AA147" s="1175" t="str">
        <f t="array" ref="AA147">IFERROR(VLOOKUP(Z147,Dex!$P$22:$Q$276,2,FALSE),"")</f>
        <v/>
      </c>
      <c r="AB147" s="1176"/>
      <c r="AC147" s="1167"/>
      <c r="AD147" s="1173" t="s">
        <v>518</v>
      </c>
      <c r="AE147" s="1174">
        <f t="array" ref="AE147">IFERROR(VLOOKUP(AD129,Dex!$B$3:$N200,13,FALSE),"")</f>
        <v>111</v>
      </c>
      <c r="AF147" s="1175" t="str">
        <f t="array" ref="AF147">IFERROR(VLOOKUP(AE147,Dex!$P$22:$Q$276,2,FALSE),"")</f>
        <v/>
      </c>
      <c r="AG147" s="1176"/>
      <c r="AH147" s="1168"/>
      <c r="AI147" s="612"/>
    </row>
    <row r="148" ht="16.5" customHeight="1">
      <c r="A148" s="545"/>
      <c r="B148" s="1158"/>
      <c r="C148" s="1103"/>
      <c r="D148" s="1159"/>
      <c r="E148" s="1177" t="s">
        <v>519</v>
      </c>
      <c r="F148" s="635"/>
      <c r="G148" s="636"/>
      <c r="H148" s="632">
        <f>ROUNDDOWN((ROUNDDOWN(((((2*F147+30)*E130)/100+5)),0))*1,0)</f>
        <v>154</v>
      </c>
      <c r="I148" s="1161"/>
      <c r="J148" s="1177" t="s">
        <v>519</v>
      </c>
      <c r="K148" s="635"/>
      <c r="L148" s="636"/>
      <c r="M148" s="632">
        <f>ROUNDDOWN((ROUNDDOWN(((((2*K147+31)*J130)/100+5)),0))*1,0)</f>
        <v>134</v>
      </c>
      <c r="N148" s="1161"/>
      <c r="O148" s="1177" t="s">
        <v>519</v>
      </c>
      <c r="P148" s="635"/>
      <c r="Q148" s="636"/>
      <c r="R148" s="632">
        <f>ROUNDDOWN((ROUNDDOWN(((((2*P147+31)*O130)/100+5)),0))*1,0)</f>
        <v>151</v>
      </c>
      <c r="S148" s="1161"/>
      <c r="T148" s="1177" t="s">
        <v>519</v>
      </c>
      <c r="U148" s="635"/>
      <c r="V148" s="636"/>
      <c r="W148" s="632">
        <f>ROUNDDOWN((ROUNDDOWN(((((2*U147+31)*T130)/100+5)),0))*1,0)</f>
        <v>162</v>
      </c>
      <c r="X148" s="1161"/>
      <c r="Y148" s="1177" t="s">
        <v>519</v>
      </c>
      <c r="Z148" s="635"/>
      <c r="AA148" s="636"/>
      <c r="AB148" s="632">
        <f>ROUNDDOWN((ROUNDDOWN(((((2*Z147+31)*Y130)/100+5)),0))*1,0)</f>
        <v>141</v>
      </c>
      <c r="AC148" s="1161"/>
      <c r="AD148" s="1177" t="s">
        <v>519</v>
      </c>
      <c r="AE148" s="635"/>
      <c r="AF148" s="636"/>
      <c r="AG148" s="632">
        <f>ROUNDDOWN((ROUNDDOWN(((((2*AE147+31)*AD130)/100+5)),0))*1,0)</f>
        <v>177</v>
      </c>
      <c r="AH148" s="1162"/>
      <c r="AI148" s="612"/>
    </row>
    <row r="149" ht="16.5" customHeight="1">
      <c r="A149" s="545"/>
      <c r="B149" s="1158"/>
      <c r="C149" s="1103"/>
      <c r="D149" s="1178"/>
      <c r="E149" s="1179" t="s">
        <v>672</v>
      </c>
      <c r="F149" s="643"/>
      <c r="G149" s="644"/>
      <c r="H149" s="756">
        <f>H148*2</f>
        <v>308</v>
      </c>
      <c r="I149" s="1180"/>
      <c r="J149" s="1179" t="s">
        <v>672</v>
      </c>
      <c r="K149" s="643"/>
      <c r="L149" s="644"/>
      <c r="M149" s="756">
        <f>M148*2</f>
        <v>268</v>
      </c>
      <c r="N149" s="1180"/>
      <c r="O149" s="1179" t="s">
        <v>672</v>
      </c>
      <c r="P149" s="643"/>
      <c r="Q149" s="644"/>
      <c r="R149" s="756">
        <f>R148*2</f>
        <v>302</v>
      </c>
      <c r="S149" s="1180"/>
      <c r="T149" s="1179" t="s">
        <v>672</v>
      </c>
      <c r="U149" s="643"/>
      <c r="V149" s="644"/>
      <c r="W149" s="756">
        <f>W148*2</f>
        <v>324</v>
      </c>
      <c r="X149" s="1180"/>
      <c r="Y149" s="1179" t="s">
        <v>672</v>
      </c>
      <c r="Z149" s="643"/>
      <c r="AA149" s="644"/>
      <c r="AB149" s="756">
        <f>AB148*2</f>
        <v>282</v>
      </c>
      <c r="AC149" s="1180"/>
      <c r="AD149" s="1179" t="s">
        <v>672</v>
      </c>
      <c r="AE149" s="643"/>
      <c r="AF149" s="644"/>
      <c r="AG149" s="756">
        <f>AG148*2</f>
        <v>354</v>
      </c>
      <c r="AH149" s="1107"/>
      <c r="AI149" s="612"/>
    </row>
    <row r="150" ht="15.0" customHeight="1">
      <c r="A150" s="519"/>
      <c r="B150" s="1181"/>
      <c r="C150" s="1182"/>
      <c r="D150" s="1183"/>
      <c r="E150" s="1183"/>
      <c r="F150" s="1183"/>
      <c r="G150" s="1183"/>
      <c r="H150" s="1183"/>
      <c r="I150" s="1183"/>
      <c r="J150" s="1184"/>
      <c r="K150" s="1184"/>
      <c r="L150" s="1184"/>
      <c r="M150" s="1183"/>
      <c r="N150" s="1183"/>
      <c r="O150" s="1184"/>
      <c r="P150" s="1184"/>
      <c r="Q150" s="1184"/>
      <c r="R150" s="1184"/>
      <c r="S150" s="1183"/>
      <c r="T150" s="1184"/>
      <c r="U150" s="1184"/>
      <c r="V150" s="1184"/>
      <c r="W150" s="1184"/>
      <c r="X150" s="1183"/>
      <c r="Y150" s="1184"/>
      <c r="Z150" s="1184"/>
      <c r="AA150" s="1184"/>
      <c r="AB150" s="1184"/>
      <c r="AC150" s="1183"/>
      <c r="AD150" s="1184"/>
      <c r="AE150" s="1184"/>
      <c r="AF150" s="1184"/>
      <c r="AG150" s="1183"/>
      <c r="AH150" s="1185"/>
      <c r="AI150" s="525"/>
    </row>
    <row r="151" ht="15.0" customHeight="1">
      <c r="A151" s="519"/>
      <c r="B151" s="1186"/>
      <c r="C151" s="1187"/>
      <c r="D151" s="1188"/>
      <c r="E151" s="1188"/>
      <c r="F151" s="1188"/>
      <c r="G151" s="1188"/>
      <c r="H151" s="1188"/>
      <c r="I151" s="1188"/>
      <c r="J151" s="1188"/>
      <c r="K151" s="1188"/>
      <c r="L151" s="1188"/>
      <c r="M151" s="1188"/>
      <c r="N151" s="1188"/>
      <c r="O151" s="1188"/>
      <c r="P151" s="1188"/>
      <c r="Q151" s="1188"/>
      <c r="R151" s="1188"/>
      <c r="S151" s="1188"/>
      <c r="T151" s="1188"/>
      <c r="U151" s="1188"/>
      <c r="V151" s="1188"/>
      <c r="W151" s="1188"/>
      <c r="X151" s="1188"/>
      <c r="Y151" s="1188"/>
      <c r="Z151" s="1188"/>
      <c r="AA151" s="1188"/>
      <c r="AB151" s="1188"/>
      <c r="AC151" s="1188"/>
      <c r="AD151" s="1188"/>
      <c r="AE151" s="1188"/>
      <c r="AF151" s="1188"/>
      <c r="AG151" s="1188"/>
      <c r="AH151" s="1189"/>
      <c r="AI151" s="525"/>
    </row>
    <row r="152" ht="16.5" customHeight="1">
      <c r="A152" s="519"/>
      <c r="B152" s="1190"/>
      <c r="C152" s="1191"/>
      <c r="D152" s="1192"/>
      <c r="E152" s="1193" t="s">
        <v>673</v>
      </c>
      <c r="F152" s="1194"/>
      <c r="G152" s="1194"/>
      <c r="H152" s="1194"/>
      <c r="I152" s="1194"/>
      <c r="J152" s="1194"/>
      <c r="K152" s="1194"/>
      <c r="L152" s="1194"/>
      <c r="M152" s="1194"/>
      <c r="N152" s="1194"/>
      <c r="O152" s="1194"/>
      <c r="P152" s="1194"/>
      <c r="Q152" s="1194"/>
      <c r="R152" s="1194"/>
      <c r="S152" s="1194"/>
      <c r="T152" s="1194"/>
      <c r="U152" s="1194"/>
      <c r="V152" s="1194"/>
      <c r="W152" s="1194"/>
      <c r="X152" s="1194"/>
      <c r="Y152" s="1194"/>
      <c r="Z152" s="1194"/>
      <c r="AA152" s="1194"/>
      <c r="AB152" s="1194"/>
      <c r="AC152" s="1194"/>
      <c r="AD152" s="1194"/>
      <c r="AE152" s="1194"/>
      <c r="AF152" s="1194"/>
      <c r="AG152" s="1195"/>
      <c r="AH152" s="1196"/>
      <c r="AI152" s="525"/>
    </row>
    <row r="153" ht="96.75" customHeight="1">
      <c r="A153" s="519"/>
      <c r="B153" s="1197"/>
      <c r="C153" s="1198" t="str">
        <f>IMAGE("https://i.ibb.co/zQPJrBn/Blaine.png")</f>
        <v/>
      </c>
      <c r="D153" s="1199"/>
      <c r="E153" s="1200" t="str">
        <f t="array" ref="E153">IFERROR(VLOOKUP(E154,Dex!$B$3:$G200,3,FALSE),"")</f>
        <v/>
      </c>
      <c r="F153" s="539"/>
      <c r="G153" s="539"/>
      <c r="H153" s="540"/>
      <c r="I153" s="1201"/>
      <c r="J153" s="1200" t="str">
        <f t="array" ref="J153">IFERROR(VLOOKUP(J154,Dex!$B$3:$G200,3,FALSE),"")</f>
        <v/>
      </c>
      <c r="K153" s="539"/>
      <c r="L153" s="539"/>
      <c r="M153" s="540"/>
      <c r="N153" s="1201"/>
      <c r="O153" s="1200" t="str">
        <f t="array" ref="O153">IFERROR(VLOOKUP(O154,Dex!$B$3:$G200,3,FALSE),"")</f>
        <v/>
      </c>
      <c r="P153" s="539"/>
      <c r="Q153" s="539"/>
      <c r="R153" s="540"/>
      <c r="S153" s="1201"/>
      <c r="T153" s="1200" t="str">
        <f t="array" ref="T153">IFERROR(VLOOKUP(T154,Dex!$B$3:$G200,3,FALSE),"")</f>
        <v/>
      </c>
      <c r="U153" s="539"/>
      <c r="V153" s="539"/>
      <c r="W153" s="540"/>
      <c r="X153" s="1201"/>
      <c r="Y153" s="1200" t="str">
        <f t="array" ref="Y153">IFERROR(VLOOKUP(Y154,Dex!$B$3:$G200,3,FALSE),"")</f>
        <v/>
      </c>
      <c r="Z153" s="539"/>
      <c r="AA153" s="539"/>
      <c r="AB153" s="540"/>
      <c r="AC153" s="1201"/>
      <c r="AD153" s="1200" t="str">
        <f t="array" ref="AD153">IFERROR(VLOOKUP(AD154,Dex!$B$3:$G200,3,FALSE),"")</f>
        <v/>
      </c>
      <c r="AE153" s="539"/>
      <c r="AF153" s="539"/>
      <c r="AG153" s="540"/>
      <c r="AH153" s="1202"/>
      <c r="AI153" s="525"/>
    </row>
    <row r="154" ht="18.75" customHeight="1">
      <c r="A154" s="545"/>
      <c r="B154" s="1203"/>
      <c r="C154" s="1204" t="s">
        <v>674</v>
      </c>
      <c r="D154" s="1205"/>
      <c r="E154" s="1206" t="s">
        <v>675</v>
      </c>
      <c r="F154" s="1207"/>
      <c r="G154" s="1207"/>
      <c r="H154" s="1208"/>
      <c r="J154" s="1206" t="s">
        <v>676</v>
      </c>
      <c r="K154" s="1207"/>
      <c r="L154" s="1207"/>
      <c r="M154" s="1208"/>
      <c r="O154" s="1206" t="s">
        <v>677</v>
      </c>
      <c r="P154" s="1207"/>
      <c r="Q154" s="1207"/>
      <c r="R154" s="1208"/>
      <c r="T154" s="1206" t="s">
        <v>678</v>
      </c>
      <c r="U154" s="1207"/>
      <c r="V154" s="1207"/>
      <c r="W154" s="1208"/>
      <c r="Y154" s="1206" t="s">
        <v>679</v>
      </c>
      <c r="Z154" s="1207"/>
      <c r="AA154" s="1207"/>
      <c r="AB154" s="1208"/>
      <c r="AD154" s="1206" t="s">
        <v>680</v>
      </c>
      <c r="AE154" s="1207"/>
      <c r="AF154" s="1207"/>
      <c r="AG154" s="1208"/>
      <c r="AH154" s="1209"/>
      <c r="AI154" s="554"/>
    </row>
    <row r="155">
      <c r="A155" s="545"/>
      <c r="B155" s="1210"/>
      <c r="C155" s="556"/>
      <c r="D155" s="1211"/>
      <c r="E155" s="1212">
        <v>76.0</v>
      </c>
      <c r="F155" s="1213"/>
      <c r="G155" s="1213"/>
      <c r="H155" s="1214"/>
      <c r="J155" s="1212">
        <v>76.0</v>
      </c>
      <c r="K155" s="1213"/>
      <c r="L155" s="1213"/>
      <c r="M155" s="1214"/>
      <c r="O155" s="1212">
        <v>76.0</v>
      </c>
      <c r="P155" s="1213"/>
      <c r="Q155" s="1213"/>
      <c r="R155" s="1214"/>
      <c r="T155" s="1212">
        <v>76.0</v>
      </c>
      <c r="U155" s="1213"/>
      <c r="V155" s="1213"/>
      <c r="W155" s="1214"/>
      <c r="Y155" s="1212">
        <v>76.0</v>
      </c>
      <c r="Z155" s="1213"/>
      <c r="AA155" s="1213"/>
      <c r="AB155" s="1214"/>
      <c r="AD155" s="1212">
        <v>76.0</v>
      </c>
      <c r="AE155" s="1213"/>
      <c r="AF155" s="1213"/>
      <c r="AG155" s="1214"/>
      <c r="AH155" s="1215"/>
      <c r="AI155" s="525"/>
    </row>
    <row r="156" ht="25.5" customHeight="1">
      <c r="A156" s="545"/>
      <c r="B156" s="1190"/>
      <c r="C156" s="1216"/>
      <c r="D156" s="1217"/>
      <c r="E156" s="1218"/>
      <c r="F156" s="1219" t="str">
        <f t="array" ref="F156">IFERROR(VLOOKUP(E154,Dex!$B$3:$H200,5,FALSE),"")</f>
        <v/>
      </c>
      <c r="G156" s="1220" t="str">
        <f t="array" ref="G156">IFERROR(VLOOKUP(E154,Dex!$B$3:$H200,7,FALSE),"")</f>
        <v/>
      </c>
      <c r="H156" s="1221"/>
      <c r="J156" s="1218"/>
      <c r="K156" s="1219" t="str">
        <f t="array" ref="K156">IFERROR(VLOOKUP(J154,Dex!$B$3:$H200,5,FALSE),"")</f>
        <v/>
      </c>
      <c r="L156" s="1220" t="str">
        <f t="array" ref="L156">IFERROR(VLOOKUP(J154,Dex!$B$3:$H200,7,FALSE),"")</f>
        <v/>
      </c>
      <c r="M156" s="1221"/>
      <c r="O156" s="1218"/>
      <c r="P156" s="1219" t="str">
        <f t="array" ref="P156">IFERROR(VLOOKUP(O154,Dex!$B$3:$H200,5,FALSE),"")</f>
        <v/>
      </c>
      <c r="Q156" s="1220" t="str">
        <f t="array" ref="Q156">IFERROR(VLOOKUP(O154,Dex!$B$3:$H200,7,FALSE),"")</f>
        <v/>
      </c>
      <c r="R156" s="1221"/>
      <c r="T156" s="1218"/>
      <c r="U156" s="1219" t="str">
        <f t="array" ref="U156">IFERROR(VLOOKUP(T154,Dex!$B$3:$H200,5,FALSE),"")</f>
        <v/>
      </c>
      <c r="V156" s="1220" t="str">
        <f t="array" ref="V156">IFERROR(VLOOKUP(T154,Dex!$B$3:$H200,7,FALSE),"")</f>
        <v/>
      </c>
      <c r="W156" s="1221"/>
      <c r="Y156" s="1218"/>
      <c r="Z156" s="1219" t="str">
        <f t="array" ref="Z156">IFERROR(VLOOKUP(Y154,Dex!$B$3:$H200,5,FALSE),"")</f>
        <v/>
      </c>
      <c r="AA156" s="1220" t="str">
        <f t="array" ref="AA156">IFERROR(VLOOKUP(Y154,Dex!$B$3:$H200,7,FALSE),"")</f>
        <v/>
      </c>
      <c r="AB156" s="1221"/>
      <c r="AD156" s="1218"/>
      <c r="AE156" s="1219" t="str">
        <f t="array" ref="AE156">IFERROR(VLOOKUP(AD154,Dex!$B$3:$H200,5,FALSE),"")</f>
        <v/>
      </c>
      <c r="AF156" s="1220" t="str">
        <f t="array" ref="AF156">IFERROR(VLOOKUP(AD154,Dex!$B$3:$H200,7,FALSE),"")</f>
        <v/>
      </c>
      <c r="AG156" s="1221"/>
      <c r="AH156" s="1202"/>
      <c r="AI156" s="525"/>
    </row>
    <row r="157" ht="2.25" customHeight="1">
      <c r="A157" s="574"/>
      <c r="B157" s="1190"/>
      <c r="C157" s="1222"/>
      <c r="D157" s="1217"/>
      <c r="E157" s="1223"/>
      <c r="F157" s="1224"/>
      <c r="G157" s="1224"/>
      <c r="H157" s="1225"/>
      <c r="J157" s="1223"/>
      <c r="K157" s="1224"/>
      <c r="L157" s="1224"/>
      <c r="M157" s="1225"/>
      <c r="O157" s="1223"/>
      <c r="P157" s="1224"/>
      <c r="Q157" s="1224"/>
      <c r="R157" s="1225"/>
      <c r="T157" s="1223"/>
      <c r="U157" s="1224"/>
      <c r="V157" s="1224"/>
      <c r="W157" s="1225"/>
      <c r="Y157" s="1223"/>
      <c r="Z157" s="1224"/>
      <c r="AA157" s="1224"/>
      <c r="AB157" s="1225"/>
      <c r="AD157" s="1223"/>
      <c r="AE157" s="1224"/>
      <c r="AF157" s="1224"/>
      <c r="AG157" s="1225"/>
      <c r="AH157" s="1202"/>
      <c r="AI157" s="525"/>
    </row>
    <row r="158" ht="20.25" customHeight="1">
      <c r="A158" s="545"/>
      <c r="B158" s="1190"/>
      <c r="C158" s="1226"/>
      <c r="D158" s="1217"/>
      <c r="E158" s="1227" t="s">
        <v>564</v>
      </c>
      <c r="F158" s="1228"/>
      <c r="G158" s="1228"/>
      <c r="H158" s="1229"/>
      <c r="J158" s="1227" t="s">
        <v>532</v>
      </c>
      <c r="K158" s="1228"/>
      <c r="L158" s="1228"/>
      <c r="M158" s="1229"/>
      <c r="O158" s="1227" t="s">
        <v>564</v>
      </c>
      <c r="P158" s="1228"/>
      <c r="Q158" s="1228"/>
      <c r="R158" s="1229"/>
      <c r="T158" s="1227" t="s">
        <v>531</v>
      </c>
      <c r="U158" s="1228"/>
      <c r="V158" s="1228"/>
      <c r="W158" s="1229"/>
      <c r="Y158" s="1227" t="s">
        <v>532</v>
      </c>
      <c r="Z158" s="1228"/>
      <c r="AA158" s="1228"/>
      <c r="AB158" s="1229"/>
      <c r="AD158" s="1227" t="s">
        <v>532</v>
      </c>
      <c r="AE158" s="1228"/>
      <c r="AF158" s="1228"/>
      <c r="AG158" s="1229"/>
      <c r="AH158" s="1202"/>
      <c r="AI158" s="525"/>
    </row>
    <row r="159">
      <c r="A159" s="545"/>
      <c r="B159" s="1190"/>
      <c r="C159" s="1230"/>
      <c r="D159" s="1217"/>
      <c r="E159" s="1231" t="s">
        <v>58</v>
      </c>
      <c r="F159" s="1213"/>
      <c r="G159" s="1213"/>
      <c r="H159" s="1214"/>
      <c r="J159" s="1231" t="s">
        <v>58</v>
      </c>
      <c r="K159" s="1213"/>
      <c r="L159" s="1213"/>
      <c r="M159" s="1214"/>
      <c r="O159" s="1231" t="s">
        <v>58</v>
      </c>
      <c r="P159" s="1213"/>
      <c r="Q159" s="1213"/>
      <c r="R159" s="1214"/>
      <c r="T159" s="1231" t="s">
        <v>681</v>
      </c>
      <c r="U159" s="1213"/>
      <c r="V159" s="1213"/>
      <c r="W159" s="1214"/>
      <c r="Y159" s="1231" t="s">
        <v>682</v>
      </c>
      <c r="Z159" s="1213"/>
      <c r="AA159" s="1213"/>
      <c r="AB159" s="1214"/>
      <c r="AD159" s="1231" t="s">
        <v>683</v>
      </c>
      <c r="AE159" s="1213"/>
      <c r="AF159" s="1213"/>
      <c r="AG159" s="1214"/>
      <c r="AH159" s="1202"/>
      <c r="AI159" s="525"/>
    </row>
    <row r="160" ht="20.25" customHeight="1">
      <c r="A160" s="545"/>
      <c r="B160" s="1190"/>
      <c r="C160" s="1222"/>
      <c r="D160" s="1217"/>
      <c r="E160" s="1232" t="s">
        <v>684</v>
      </c>
      <c r="F160" s="1194"/>
      <c r="G160" s="1195"/>
      <c r="H160" s="1233" t="str">
        <f>IMAGE("https://raw.githubusercontent.com/msikma/pokesprite/master/items/berry/shuca.png",3)</f>
        <v/>
      </c>
      <c r="J160" s="1232" t="s">
        <v>685</v>
      </c>
      <c r="K160" s="1194"/>
      <c r="L160" s="1195"/>
      <c r="M160" s="1233" t="str">
        <f>IMAGE("https://raw.githubusercontent.com/msikma/pokesprite/master/items/gem/fighting.png",3)</f>
        <v/>
      </c>
      <c r="O160" s="1232" t="s">
        <v>686</v>
      </c>
      <c r="P160" s="1194"/>
      <c r="Q160" s="1195"/>
      <c r="R160" s="1233" t="str">
        <f>IMAGE("https://raw.githubusercontent.com/msikma/pokesprite/master/items/gem/water.png",3)</f>
        <v/>
      </c>
      <c r="T160" s="1232" t="s">
        <v>573</v>
      </c>
      <c r="U160" s="1194"/>
      <c r="V160" s="1195"/>
      <c r="W160" s="1233" t="str">
        <f>IMAGE("https://raw.githubusercontent.com/msikma/pokesprite/master/items/hold-item/focus-sash.png",3)</f>
        <v/>
      </c>
      <c r="Y160" s="1232" t="s">
        <v>687</v>
      </c>
      <c r="Z160" s="1194"/>
      <c r="AA160" s="1195"/>
      <c r="AB160" s="1233" t="str">
        <f>IMAGE("https://raw.githubusercontent.com/msikma/pokesprite/master/items/z-crystals/flyinium-z--held.png",3)</f>
        <v/>
      </c>
      <c r="AD160" s="1232" t="s">
        <v>688</v>
      </c>
      <c r="AE160" s="1194"/>
      <c r="AF160" s="1195"/>
      <c r="AG160" s="1233" t="str">
        <f>IMAGE("https://raw.githubusercontent.com/msikma/pokesprite/master/items/mega-stone/charizardite-x.png",3)</f>
        <v/>
      </c>
      <c r="AH160" s="1202"/>
      <c r="AI160" s="525"/>
    </row>
    <row r="161" ht="20.25" customHeight="1">
      <c r="A161" s="545"/>
      <c r="B161" s="1190"/>
      <c r="C161" s="1226"/>
      <c r="D161" s="1217"/>
      <c r="E161" s="1227" t="s">
        <v>644</v>
      </c>
      <c r="F161" s="1228"/>
      <c r="G161" s="1228"/>
      <c r="H161" s="1234" t="str">
        <f>IMAGE("https://raw.githubusercontent.com/msikma/pokesprite/master/misc/types/gen8/ground.png",4,20,20)</f>
        <v/>
      </c>
      <c r="J161" s="1227" t="s">
        <v>689</v>
      </c>
      <c r="K161" s="1228"/>
      <c r="L161" s="1228"/>
      <c r="M161" s="1234" t="str">
        <f>IMAGE("https://raw.githubusercontent.com/msikma/pokesprite/master/misc/types/gen8/ice.png",4,20,20)</f>
        <v/>
      </c>
      <c r="O161" s="1227" t="s">
        <v>617</v>
      </c>
      <c r="P161" s="1228"/>
      <c r="Q161" s="1228"/>
      <c r="R161" s="1234" t="str">
        <f>IMAGE("https://raw.githubusercontent.com/msikma/pokesprite/master/misc/types/gen8/dragon.png",4,20,20)</f>
        <v/>
      </c>
      <c r="T161" s="1227" t="s">
        <v>237</v>
      </c>
      <c r="U161" s="1228"/>
      <c r="V161" s="1228"/>
      <c r="W161" s="1234" t="str">
        <f t="shared" ref="W161:W162" si="6">IMAGE("https://raw.githubusercontent.com/msikma/pokesprite/master/misc/types/gen8/grass.png",4,20,20)</f>
        <v/>
      </c>
      <c r="Y161" s="1227" t="s">
        <v>690</v>
      </c>
      <c r="Z161" s="1228"/>
      <c r="AA161" s="1228"/>
      <c r="AB161" s="1234" t="str">
        <f>IMAGE("https://raw.githubusercontent.com/msikma/pokesprite/master/misc/types/gen8/fire.png",4,20,20)</f>
        <v/>
      </c>
      <c r="AD161" s="1227" t="s">
        <v>219</v>
      </c>
      <c r="AE161" s="1228"/>
      <c r="AF161" s="1228"/>
      <c r="AG161" s="1234" t="str">
        <f>IMAGE("https://raw.githubusercontent.com/msikma/pokesprite/master/misc/types/gen8/dragon.png",4,20,20)</f>
        <v/>
      </c>
      <c r="AH161" s="1202"/>
      <c r="AI161" s="525"/>
    </row>
    <row r="162" ht="20.25" customHeight="1">
      <c r="A162" s="545"/>
      <c r="B162" s="1190"/>
      <c r="C162" s="1235"/>
      <c r="D162" s="1217"/>
      <c r="E162" s="1231" t="s">
        <v>581</v>
      </c>
      <c r="F162" s="1213"/>
      <c r="G162" s="1213"/>
      <c r="H162" s="1236" t="str">
        <f t="shared" ref="H162:H163" si="7">IMAGE("https://raw.githubusercontent.com/msikma/pokesprite/master/misc/types/gen8/electric.png",4,20,20)</f>
        <v/>
      </c>
      <c r="J162" s="1231" t="s">
        <v>579</v>
      </c>
      <c r="K162" s="1213"/>
      <c r="L162" s="1213"/>
      <c r="M162" s="1236" t="str">
        <f>IMAGE("https://raw.githubusercontent.com/msikma/pokesprite/master/misc/types/gen8/dark.png",4,20,20)</f>
        <v/>
      </c>
      <c r="O162" s="1231" t="s">
        <v>691</v>
      </c>
      <c r="P162" s="1213"/>
      <c r="Q162" s="1213"/>
      <c r="R162" s="1236" t="str">
        <f>IMAGE("https://raw.githubusercontent.com/msikma/pokesprite/master/misc/types/gen8/water.png",4,20,20)</f>
        <v/>
      </c>
      <c r="T162" s="1231" t="s">
        <v>692</v>
      </c>
      <c r="U162" s="1213"/>
      <c r="V162" s="1213"/>
      <c r="W162" s="1236" t="str">
        <f t="shared" si="6"/>
        <v/>
      </c>
      <c r="Y162" s="1231" t="s">
        <v>693</v>
      </c>
      <c r="Z162" s="1213"/>
      <c r="AA162" s="1213"/>
      <c r="AB162" s="1236" t="str">
        <f>IMAGE("https://raw.githubusercontent.com/msikma/pokesprite/master/misc/types/gen8/flying.png",4,20,20)</f>
        <v/>
      </c>
      <c r="AD162" s="1231" t="s">
        <v>694</v>
      </c>
      <c r="AE162" s="1213"/>
      <c r="AF162" s="1213"/>
      <c r="AG162" s="1236" t="str">
        <f>IMAGE("https://raw.githubusercontent.com/msikma/pokesprite/master/misc/types/gen8/fire.png",4,20,20)</f>
        <v/>
      </c>
      <c r="AH162" s="1202"/>
      <c r="AI162" s="525"/>
    </row>
    <row r="163" ht="20.25" customHeight="1">
      <c r="A163" s="545"/>
      <c r="B163" s="1190"/>
      <c r="C163" s="1235"/>
      <c r="D163" s="1217"/>
      <c r="E163" s="1231" t="s">
        <v>547</v>
      </c>
      <c r="F163" s="1213"/>
      <c r="G163" s="1213"/>
      <c r="H163" s="1236" t="str">
        <f t="shared" si="7"/>
        <v/>
      </c>
      <c r="J163" s="1231" t="s">
        <v>695</v>
      </c>
      <c r="K163" s="1213"/>
      <c r="L163" s="1213"/>
      <c r="M163" s="1236" t="str">
        <f>IMAGE("https://raw.githubusercontent.com/msikma/pokesprite/master/misc/types/gen8/ground.png",4,20,20)</f>
        <v/>
      </c>
      <c r="O163" s="1231" t="s">
        <v>619</v>
      </c>
      <c r="P163" s="1213"/>
      <c r="Q163" s="1213"/>
      <c r="R163" s="1236" t="str">
        <f>IMAGE("https://raw.githubusercontent.com/msikma/pokesprite/master/misc/types/gen8/fire.png",4,20,20)</f>
        <v/>
      </c>
      <c r="T163" s="1231" t="s">
        <v>614</v>
      </c>
      <c r="U163" s="1213"/>
      <c r="V163" s="1213"/>
      <c r="W163" s="1236" t="str">
        <f>IMAGE("https://raw.githubusercontent.com/msikma/pokesprite/master/misc/types/gen8/poison.png",4,20,20)</f>
        <v/>
      </c>
      <c r="Y163" s="1231" t="s">
        <v>549</v>
      </c>
      <c r="Z163" s="1213"/>
      <c r="AA163" s="1213"/>
      <c r="AB163" s="1236" t="str">
        <f>IMAGE("https://raw.githubusercontent.com/msikma/pokesprite/master/misc/types/gen8/ground.png",4,20,20)</f>
        <v/>
      </c>
      <c r="AD163" s="1231" t="s">
        <v>696</v>
      </c>
      <c r="AE163" s="1213"/>
      <c r="AF163" s="1213"/>
      <c r="AG163" s="1236" t="str">
        <f>IMAGE("https://raw.githubusercontent.com/msikma/pokesprite/master/misc/types/gen8/dragon.png",4,20,20)</f>
        <v/>
      </c>
      <c r="AH163" s="1202"/>
      <c r="AI163" s="525"/>
    </row>
    <row r="164" ht="21.0" customHeight="1">
      <c r="A164" s="545"/>
      <c r="B164" s="1190"/>
      <c r="C164" s="1235"/>
      <c r="D164" s="1217"/>
      <c r="E164" s="1237" t="s">
        <v>697</v>
      </c>
      <c r="F164" s="1238"/>
      <c r="G164" s="1238"/>
      <c r="H164" s="1239" t="str">
        <f>IMAGE("https://raw.githubusercontent.com/msikma/pokesprite/master/misc/types/gen8/dark.png",4,20,20)</f>
        <v/>
      </c>
      <c r="I164" s="1207"/>
      <c r="J164" s="1237" t="s">
        <v>583</v>
      </c>
      <c r="K164" s="1238"/>
      <c r="L164" s="1238"/>
      <c r="M164" s="1239" t="str">
        <f>IMAGE("https://raw.githubusercontent.com/msikma/pokesprite/master/misc/types/gen8/fighting.png",4,20,20)</f>
        <v/>
      </c>
      <c r="N164" s="1207"/>
      <c r="O164" s="1237" t="s">
        <v>698</v>
      </c>
      <c r="P164" s="1238"/>
      <c r="Q164" s="1238"/>
      <c r="R164" s="1239" t="str">
        <f>IMAGE("https://raw.githubusercontent.com/msikma/pokesprite/master/misc/types/gen8/normal.png",4,20,20)</f>
        <v/>
      </c>
      <c r="S164" s="1207"/>
      <c r="T164" s="1237" t="s">
        <v>699</v>
      </c>
      <c r="U164" s="1238"/>
      <c r="V164" s="1238"/>
      <c r="W164" s="1239" t="str">
        <f>IMAGE("https://raw.githubusercontent.com/msikma/pokesprite/master/misc/types/gen8/fire.png",4,20,20)</f>
        <v/>
      </c>
      <c r="X164" s="1207"/>
      <c r="Y164" s="1237" t="s">
        <v>692</v>
      </c>
      <c r="Z164" s="1238"/>
      <c r="AA164" s="1238"/>
      <c r="AB164" s="1239" t="str">
        <f>IMAGE("https://raw.githubusercontent.com/msikma/pokesprite/master/misc/types/gen8/grass.png",4,20,20)</f>
        <v/>
      </c>
      <c r="AC164" s="1207"/>
      <c r="AD164" s="1237" t="s">
        <v>549</v>
      </c>
      <c r="AE164" s="1238"/>
      <c r="AF164" s="1238"/>
      <c r="AG164" s="1239" t="str">
        <f>IMAGE("https://raw.githubusercontent.com/msikma/pokesprite/master/misc/types/gen8/ground.png",4,20,20)</f>
        <v/>
      </c>
      <c r="AH164" s="1202"/>
      <c r="AI164" s="525"/>
    </row>
    <row r="165" ht="3.0" customHeight="1">
      <c r="A165" s="574"/>
      <c r="B165" s="1190"/>
      <c r="C165" s="1240"/>
      <c r="D165" s="1241"/>
      <c r="E165" s="1242"/>
      <c r="F165" s="1242"/>
      <c r="G165" s="1242"/>
      <c r="H165" s="1242"/>
      <c r="I165" s="1243"/>
      <c r="J165" s="1242"/>
      <c r="K165" s="1242"/>
      <c r="L165" s="1242"/>
      <c r="M165" s="1242"/>
      <c r="N165" s="1243"/>
      <c r="O165" s="1242"/>
      <c r="P165" s="1242"/>
      <c r="Q165" s="1242"/>
      <c r="R165" s="1242"/>
      <c r="S165" s="1243"/>
      <c r="T165" s="1242"/>
      <c r="U165" s="1242"/>
      <c r="V165" s="1242"/>
      <c r="W165" s="1242"/>
      <c r="X165" s="1243"/>
      <c r="Y165" s="1242"/>
      <c r="Z165" s="1244"/>
      <c r="AA165" s="1244"/>
      <c r="AB165" s="1245"/>
      <c r="AC165" s="1243"/>
      <c r="AD165" s="1246"/>
      <c r="AE165" s="1246"/>
      <c r="AF165" s="1246"/>
      <c r="AG165" s="1245"/>
      <c r="AH165" s="1202"/>
      <c r="AI165" s="525"/>
    </row>
    <row r="166" ht="15.75" customHeight="1">
      <c r="A166" s="545"/>
      <c r="B166" s="1247"/>
      <c r="C166" s="1240"/>
      <c r="D166" s="1248"/>
      <c r="E166" s="1249" t="s">
        <v>512</v>
      </c>
      <c r="F166" s="606"/>
      <c r="G166" s="606"/>
      <c r="H166" s="607"/>
      <c r="I166" s="1250"/>
      <c r="J166" s="1249" t="s">
        <v>512</v>
      </c>
      <c r="K166" s="606"/>
      <c r="L166" s="606"/>
      <c r="M166" s="607"/>
      <c r="N166" s="1250"/>
      <c r="O166" s="1249" t="s">
        <v>512</v>
      </c>
      <c r="P166" s="606"/>
      <c r="Q166" s="606"/>
      <c r="R166" s="607"/>
      <c r="S166" s="1250"/>
      <c r="T166" s="1249" t="s">
        <v>512</v>
      </c>
      <c r="U166" s="606"/>
      <c r="V166" s="606"/>
      <c r="W166" s="607"/>
      <c r="X166" s="1250"/>
      <c r="Y166" s="1249" t="s">
        <v>512</v>
      </c>
      <c r="Z166" s="606"/>
      <c r="AA166" s="606"/>
      <c r="AB166" s="607"/>
      <c r="AC166" s="1250"/>
      <c r="AD166" s="1249" t="s">
        <v>512</v>
      </c>
      <c r="AE166" s="606"/>
      <c r="AF166" s="606"/>
      <c r="AG166" s="607"/>
      <c r="AH166" s="1251"/>
      <c r="AI166" s="612"/>
    </row>
    <row r="167" ht="16.5" customHeight="1">
      <c r="A167" s="545"/>
      <c r="B167" s="1247"/>
      <c r="C167" s="1240"/>
      <c r="D167" s="1248"/>
      <c r="E167" s="1252" t="s">
        <v>513</v>
      </c>
      <c r="F167" s="1253">
        <f t="array" ref="F167">IFERROR(VLOOKUP(E154,Dex!$B$3:$N200,8,FALSE),"")</f>
        <v>85</v>
      </c>
      <c r="G167" s="1254" t="str">
        <f t="array" ref="G167">IFERROR(VLOOKUP(F167,Dex!$P$22:$Q$276,2,FALSE),"")</f>
        <v/>
      </c>
      <c r="H167" s="1255"/>
      <c r="I167" s="1256"/>
      <c r="J167" s="1252" t="s">
        <v>513</v>
      </c>
      <c r="K167" s="1253">
        <f t="array" ref="K167">IFERROR(VLOOKUP(J154,Dex!$B$3:$N200,8,FALSE),"")</f>
        <v>115</v>
      </c>
      <c r="L167" s="1254" t="str">
        <f t="array" ref="L167">IFERROR(VLOOKUP(K167,Dex!$P$22:$Q$276,2,FALSE),"")</f>
        <v/>
      </c>
      <c r="M167" s="1255"/>
      <c r="N167" s="1256"/>
      <c r="O167" s="1252" t="s">
        <v>513</v>
      </c>
      <c r="P167" s="1253">
        <f t="array" ref="P167">IFERROR(VLOOKUP(O154,Dex!$B$3:$N200,8,FALSE),"")</f>
        <v>99</v>
      </c>
      <c r="Q167" s="1254" t="str">
        <f t="array" ref="Q167">IFERROR(VLOOKUP(P167,Dex!$P$22:$Q$276,2,FALSE),"")</f>
        <v/>
      </c>
      <c r="R167" s="1255"/>
      <c r="S167" s="1256"/>
      <c r="T167" s="1252" t="s">
        <v>513</v>
      </c>
      <c r="U167" s="1253">
        <f t="array" ref="U167">IFERROR(VLOOKUP(T154,Dex!$B$3:$N200,8,FALSE),"")</f>
        <v>80</v>
      </c>
      <c r="V167" s="1254" t="str">
        <f t="array" ref="V167">IFERROR(VLOOKUP(U167,Dex!$P$22:$Q$276,2,FALSE),"")</f>
        <v/>
      </c>
      <c r="W167" s="1255"/>
      <c r="X167" s="1256"/>
      <c r="Y167" s="1252" t="s">
        <v>513</v>
      </c>
      <c r="Z167" s="1253">
        <f t="array" ref="Z167">IFERROR(VLOOKUP(Y154,Dex!$B$3:$N200,8,FALSE),"")</f>
        <v>106</v>
      </c>
      <c r="AA167" s="1254" t="str">
        <f t="array" ref="AA167">IFERROR(VLOOKUP(Z167,Dex!$P$22:$Q$276,2,FALSE),"")</f>
        <v/>
      </c>
      <c r="AB167" s="1255"/>
      <c r="AC167" s="1256"/>
      <c r="AD167" s="1252" t="s">
        <v>513</v>
      </c>
      <c r="AE167" s="1253">
        <f t="array" ref="AE167">IFERROR(VLOOKUP(AD154,Dex!$B$3:$N200,8,FALSE),"")</f>
        <v>78</v>
      </c>
      <c r="AF167" s="1254" t="str">
        <f t="array" ref="AF167">IFERROR(VLOOKUP(AE167,Dex!$P$22:$Q$276,2,FALSE),"")</f>
        <v/>
      </c>
      <c r="AG167" s="1255"/>
      <c r="AH167" s="1257"/>
      <c r="AI167" s="612"/>
    </row>
    <row r="168" ht="16.5" customHeight="1">
      <c r="A168" s="545"/>
      <c r="B168" s="1247"/>
      <c r="C168" s="1240"/>
      <c r="D168" s="1248"/>
      <c r="E168" s="1258" t="s">
        <v>514</v>
      </c>
      <c r="F168" s="1259">
        <f t="array" ref="F168">IFERROR(VLOOKUP(E154,Dex!$B$3:$N200,9,FALSE),"")</f>
        <v>81</v>
      </c>
      <c r="G168" s="1260" t="str">
        <f t="array" ref="G168">IFERROR(VLOOKUP(F168,Dex!$P$22:$Q$276,2,FALSE),"")</f>
        <v/>
      </c>
      <c r="H168" s="1261"/>
      <c r="I168" s="1256"/>
      <c r="J168" s="1258" t="s">
        <v>514</v>
      </c>
      <c r="K168" s="1259">
        <f t="array" ref="K168">IFERROR(VLOOKUP(J154,Dex!$B$3:$N200,9,FALSE),"")</f>
        <v>131</v>
      </c>
      <c r="L168" s="1260" t="str">
        <f t="array" ref="L168">IFERROR(VLOOKUP(K168,Dex!$P$22:$Q$276,2,FALSE),"")</f>
        <v/>
      </c>
      <c r="M168" s="1261"/>
      <c r="N168" s="1256"/>
      <c r="O168" s="1258" t="s">
        <v>514</v>
      </c>
      <c r="P168" s="1259">
        <f t="array" ref="P168">IFERROR(VLOOKUP(O154,Dex!$B$3:$N200,9,FALSE),"")</f>
        <v>83</v>
      </c>
      <c r="Q168" s="1260" t="str">
        <f t="array" ref="Q168">IFERROR(VLOOKUP(P168,Dex!$P$22:$Q$276,2,FALSE),"")</f>
        <v/>
      </c>
      <c r="R168" s="1261"/>
      <c r="S168" s="1256"/>
      <c r="T168" s="1258" t="s">
        <v>514</v>
      </c>
      <c r="U168" s="1259">
        <f t="array" ref="U168">IFERROR(VLOOKUP(T154,Dex!$B$3:$N200,9,FALSE),"")</f>
        <v>82</v>
      </c>
      <c r="V168" s="1260" t="str">
        <f t="array" ref="V168">IFERROR(VLOOKUP(U168,Dex!$P$22:$Q$276,2,FALSE),"")</f>
        <v/>
      </c>
      <c r="W168" s="1261"/>
      <c r="X168" s="1256"/>
      <c r="Y168" s="1258" t="s">
        <v>514</v>
      </c>
      <c r="Z168" s="1259">
        <f t="array" ref="Z168">IFERROR(VLOOKUP(Y154,Dex!$B$3:$N200,9,FALSE),"")</f>
        <v>130</v>
      </c>
      <c r="AA168" s="1260" t="str">
        <f t="array" ref="AA168">IFERROR(VLOOKUP(Z168,Dex!$P$22:$Q$276,2,FALSE),"")</f>
        <v/>
      </c>
      <c r="AB168" s="1261"/>
      <c r="AC168" s="1256"/>
      <c r="AD168" s="1258" t="s">
        <v>514</v>
      </c>
      <c r="AE168" s="1259">
        <f t="array" ref="AE168">IFERROR(VLOOKUP(AD154,Dex!$B$3:$N200,9,FALSE),"")</f>
        <v>130</v>
      </c>
      <c r="AF168" s="1260" t="str">
        <f t="array" ref="AF168">IFERROR(VLOOKUP(AE168,Dex!$P$22:$Q$276,2,FALSE),"")</f>
        <v/>
      </c>
      <c r="AG168" s="1261"/>
      <c r="AH168" s="1257"/>
      <c r="AI168" s="612"/>
    </row>
    <row r="169" ht="16.5" customHeight="1">
      <c r="A169" s="545"/>
      <c r="B169" s="1247"/>
      <c r="C169" s="1240"/>
      <c r="D169" s="1248"/>
      <c r="E169" s="1258" t="s">
        <v>515</v>
      </c>
      <c r="F169" s="1259">
        <f t="array" ref="F169">IFERROR(VLOOKUP(E154,Dex!$B$3:$N200,10,FALSE),"")</f>
        <v>97</v>
      </c>
      <c r="G169" s="1260" t="str">
        <f t="array" ref="G169">IFERROR(VLOOKUP(F169,Dex!$P$22:$Q$276,2,FALSE),"")</f>
        <v/>
      </c>
      <c r="H169" s="1261"/>
      <c r="I169" s="1256"/>
      <c r="J169" s="1258" t="s">
        <v>515</v>
      </c>
      <c r="K169" s="1259">
        <f t="array" ref="K169">IFERROR(VLOOKUP(J154,Dex!$B$3:$N200,10,FALSE),"")</f>
        <v>131</v>
      </c>
      <c r="L169" s="1260" t="str">
        <f t="array" ref="L169">IFERROR(VLOOKUP(K169,Dex!$P$22:$Q$276,2,FALSE),"")</f>
        <v/>
      </c>
      <c r="M169" s="1261"/>
      <c r="N169" s="1256"/>
      <c r="O169" s="1258" t="s">
        <v>515</v>
      </c>
      <c r="P169" s="1259">
        <f t="array" ref="P169">IFERROR(VLOOKUP(O154,Dex!$B$3:$N200,10,FALSE),"")</f>
        <v>91</v>
      </c>
      <c r="Q169" s="1260" t="str">
        <f t="array" ref="Q169">IFERROR(VLOOKUP(P169,Dex!$P$22:$Q$276,2,FALSE),"")</f>
        <v/>
      </c>
      <c r="R169" s="1261"/>
      <c r="S169" s="1256"/>
      <c r="T169" s="1258" t="s">
        <v>515</v>
      </c>
      <c r="U169" s="1259">
        <f t="array" ref="U169">IFERROR(VLOOKUP(T154,Dex!$B$3:$N200,10,FALSE),"")</f>
        <v>83</v>
      </c>
      <c r="V169" s="1260" t="str">
        <f t="array" ref="V169">IFERROR(VLOOKUP(U169,Dex!$P$22:$Q$276,2,FALSE),"")</f>
        <v/>
      </c>
      <c r="W169" s="1261"/>
      <c r="X169" s="1256"/>
      <c r="Y169" s="1258" t="s">
        <v>515</v>
      </c>
      <c r="Z169" s="1259">
        <f t="array" ref="Z169">IFERROR(VLOOKUP(Y154,Dex!$B$3:$N200,10,FALSE),"")</f>
        <v>90</v>
      </c>
      <c r="AA169" s="1260" t="str">
        <f t="array" ref="AA169">IFERROR(VLOOKUP(Z169,Dex!$P$22:$Q$276,2,FALSE),"")</f>
        <v/>
      </c>
      <c r="AB169" s="1261"/>
      <c r="AC169" s="1256"/>
      <c r="AD169" s="1258" t="s">
        <v>515</v>
      </c>
      <c r="AE169" s="1259">
        <f t="array" ref="AE169">IFERROR(VLOOKUP(AD154,Dex!$B$3:$N200,10,FALSE),"")</f>
        <v>111</v>
      </c>
      <c r="AF169" s="1260" t="str">
        <f t="array" ref="AF169">IFERROR(VLOOKUP(AE169,Dex!$P$22:$Q$276,2,FALSE),"")</f>
        <v/>
      </c>
      <c r="AG169" s="1261"/>
      <c r="AH169" s="1257"/>
      <c r="AI169" s="612"/>
    </row>
    <row r="170" ht="16.5" customHeight="1">
      <c r="A170" s="545"/>
      <c r="B170" s="1247"/>
      <c r="C170" s="1240"/>
      <c r="D170" s="1248"/>
      <c r="E170" s="1258" t="s">
        <v>516</v>
      </c>
      <c r="F170" s="1259">
        <f t="array" ref="F170">IFERROR(VLOOKUP(E154,Dex!$B$3:$N200,11,FALSE),"")</f>
        <v>121</v>
      </c>
      <c r="G170" s="1260" t="str">
        <f t="array" ref="G170">IFERROR(VLOOKUP(F170,Dex!$P$22:$Q$276,2,FALSE),"")</f>
        <v/>
      </c>
      <c r="H170" s="1261"/>
      <c r="I170" s="1256"/>
      <c r="J170" s="1258" t="s">
        <v>516</v>
      </c>
      <c r="K170" s="1259">
        <f t="array" ref="K170">IFERROR(VLOOKUP(J154,Dex!$B$3:$N200,11,FALSE),"")</f>
        <v>53</v>
      </c>
      <c r="L170" s="1260" t="str">
        <f t="array" ref="L170">IFERROR(VLOOKUP(K170,Dex!$P$22:$Q$276,2,FALSE),"")</f>
        <v/>
      </c>
      <c r="M170" s="1261"/>
      <c r="N170" s="1256"/>
      <c r="O170" s="1258" t="s">
        <v>516</v>
      </c>
      <c r="P170" s="1259">
        <f t="array" ref="P170">IFERROR(VLOOKUP(O154,Dex!$B$3:$N200,11,FALSE),"")</f>
        <v>125</v>
      </c>
      <c r="Q170" s="1260" t="str">
        <f t="array" ref="Q170">IFERROR(VLOOKUP(P170,Dex!$P$22:$Q$276,2,FALSE),"")</f>
        <v/>
      </c>
      <c r="R170" s="1261"/>
      <c r="S170" s="1256"/>
      <c r="T170" s="1258" t="s">
        <v>516</v>
      </c>
      <c r="U170" s="1259">
        <f t="array" ref="U170">IFERROR(VLOOKUP(T154,Dex!$B$3:$N200,11,FALSE),"")</f>
        <v>100</v>
      </c>
      <c r="V170" s="1260" t="str">
        <f t="array" ref="V170">IFERROR(VLOOKUP(U170,Dex!$P$22:$Q$276,2,FALSE),"")</f>
        <v/>
      </c>
      <c r="W170" s="1261"/>
      <c r="X170" s="1256"/>
      <c r="Y170" s="1258" t="s">
        <v>516</v>
      </c>
      <c r="Z170" s="1259">
        <f t="array" ref="Z170">IFERROR(VLOOKUP(Y154,Dex!$B$3:$N200,11,FALSE),"")</f>
        <v>110</v>
      </c>
      <c r="AA170" s="1260" t="str">
        <f t="array" ref="AA170">IFERROR(VLOOKUP(Z170,Dex!$P$22:$Q$276,2,FALSE),"")</f>
        <v/>
      </c>
      <c r="AB170" s="1261"/>
      <c r="AC170" s="1256"/>
      <c r="AD170" s="1258" t="s">
        <v>516</v>
      </c>
      <c r="AE170" s="1259">
        <f t="array" ref="AE170">IFERROR(VLOOKUP(AD154,Dex!$B$3:$N200,11,FALSE),"")</f>
        <v>130</v>
      </c>
      <c r="AF170" s="1260" t="str">
        <f t="array" ref="AF170">IFERROR(VLOOKUP(AE170,Dex!$P$22:$Q$276,2,FALSE),"")</f>
        <v/>
      </c>
      <c r="AG170" s="1261"/>
      <c r="AH170" s="1257"/>
      <c r="AI170" s="612"/>
    </row>
    <row r="171" ht="16.5" customHeight="1">
      <c r="A171" s="545"/>
      <c r="B171" s="1247"/>
      <c r="C171" s="1240"/>
      <c r="D171" s="1248"/>
      <c r="E171" s="1258" t="s">
        <v>517</v>
      </c>
      <c r="F171" s="1259">
        <f t="array" ref="F171">IFERROR(VLOOKUP(E154,Dex!$B$3:$N200,12,FALSE),"")</f>
        <v>85</v>
      </c>
      <c r="G171" s="1260" t="str">
        <f t="array" ref="G171">IFERROR(VLOOKUP(F171,Dex!$P$22:$Q$276,2,FALSE),"")</f>
        <v/>
      </c>
      <c r="H171" s="1261"/>
      <c r="I171" s="1256"/>
      <c r="J171" s="1258" t="s">
        <v>517</v>
      </c>
      <c r="K171" s="1259">
        <f t="array" ref="K171">IFERROR(VLOOKUP(J154,Dex!$B$3:$N200,12,FALSE),"")</f>
        <v>53</v>
      </c>
      <c r="L171" s="1260" t="str">
        <f t="array" ref="L171">IFERROR(VLOOKUP(K171,Dex!$P$22:$Q$276,2,FALSE),"")</f>
        <v/>
      </c>
      <c r="M171" s="1261"/>
      <c r="N171" s="1256"/>
      <c r="O171" s="1258" t="s">
        <v>517</v>
      </c>
      <c r="P171" s="1259">
        <f t="array" ref="P171">IFERROR(VLOOKUP(O154,Dex!$B$3:$N200,12,FALSE),"")</f>
        <v>83</v>
      </c>
      <c r="Q171" s="1260" t="str">
        <f t="array" ref="Q171">IFERROR(VLOOKUP(P171,Dex!$P$22:$Q$276,2,FALSE),"")</f>
        <v/>
      </c>
      <c r="R171" s="1261"/>
      <c r="S171" s="1256"/>
      <c r="T171" s="1258" t="s">
        <v>517</v>
      </c>
      <c r="U171" s="1259">
        <f t="array" ref="U171">IFERROR(VLOOKUP(T154,Dex!$B$3:$N200,12,FALSE),"")</f>
        <v>100</v>
      </c>
      <c r="V171" s="1260" t="str">
        <f t="array" ref="V171">IFERROR(VLOOKUP(U171,Dex!$P$22:$Q$276,2,FALSE),"")</f>
        <v/>
      </c>
      <c r="W171" s="1261"/>
      <c r="X171" s="1256"/>
      <c r="Y171" s="1258" t="s">
        <v>517</v>
      </c>
      <c r="Z171" s="1259">
        <f t="array" ref="Z171">IFERROR(VLOOKUP(Y154,Dex!$B$3:$N200,12,FALSE),"")</f>
        <v>154</v>
      </c>
      <c r="AA171" s="1260" t="str">
        <f t="array" ref="AA171">IFERROR(VLOOKUP(Z171,Dex!$P$22:$Q$276,2,FALSE),"")</f>
        <v/>
      </c>
      <c r="AB171" s="1261"/>
      <c r="AC171" s="1256"/>
      <c r="AD171" s="1258" t="s">
        <v>517</v>
      </c>
      <c r="AE171" s="1259">
        <f t="array" ref="AE171">IFERROR(VLOOKUP(AD154,Dex!$B$3:$N200,12,FALSE),"")</f>
        <v>85</v>
      </c>
      <c r="AF171" s="1260" t="str">
        <f t="array" ref="AF171">IFERROR(VLOOKUP(AE171,Dex!$P$22:$Q$276,2,FALSE),"")</f>
        <v/>
      </c>
      <c r="AG171" s="1261"/>
      <c r="AH171" s="1257"/>
      <c r="AI171" s="612"/>
    </row>
    <row r="172" ht="15.75" customHeight="1">
      <c r="A172" s="545"/>
      <c r="B172" s="1247"/>
      <c r="C172" s="1240"/>
      <c r="D172" s="1248"/>
      <c r="E172" s="1262" t="s">
        <v>518</v>
      </c>
      <c r="F172" s="1263">
        <f t="array" ref="F172">IFERROR(VLOOKUP(E154,Dex!$B$3:$N200,13,FALSE),"")</f>
        <v>101</v>
      </c>
      <c r="G172" s="1264" t="str">
        <f t="array" ref="G172">IFERROR(VLOOKUP(F172,Dex!$P$22:$Q$276,2,FALSE),"")</f>
        <v/>
      </c>
      <c r="H172" s="1265"/>
      <c r="I172" s="1256"/>
      <c r="J172" s="1262" t="s">
        <v>518</v>
      </c>
      <c r="K172" s="1263">
        <f t="array" ref="K172">IFERROR(VLOOKUP(J154,Dex!$B$3:$N200,13,FALSE),"")</f>
        <v>87</v>
      </c>
      <c r="L172" s="1264" t="str">
        <f t="array" ref="L172">IFERROR(VLOOKUP(K172,Dex!$P$22:$Q$276,2,FALSE),"")</f>
        <v/>
      </c>
      <c r="M172" s="1265"/>
      <c r="N172" s="1256"/>
      <c r="O172" s="1262" t="s">
        <v>518</v>
      </c>
      <c r="P172" s="1263">
        <f t="array" ref="P172">IFERROR(VLOOKUP(O154,Dex!$B$3:$N200,13,FALSE),"")</f>
        <v>109</v>
      </c>
      <c r="Q172" s="1264" t="str">
        <f t="array" ref="Q172">IFERROR(VLOOKUP(P172,Dex!$P$22:$Q$276,2,FALSE),"")</f>
        <v/>
      </c>
      <c r="R172" s="1265"/>
      <c r="S172" s="1256"/>
      <c r="T172" s="1262" t="s">
        <v>518</v>
      </c>
      <c r="U172" s="1263">
        <f t="array" ref="U172">IFERROR(VLOOKUP(T154,Dex!$B$3:$N200,13,FALSE),"")</f>
        <v>80</v>
      </c>
      <c r="V172" s="1264" t="str">
        <f t="array" ref="V172">IFERROR(VLOOKUP(U172,Dex!$P$22:$Q$276,2,FALSE),"")</f>
        <v/>
      </c>
      <c r="W172" s="1265"/>
      <c r="X172" s="1256"/>
      <c r="Y172" s="1262" t="s">
        <v>518</v>
      </c>
      <c r="Z172" s="1263">
        <f t="array" ref="Z172">IFERROR(VLOOKUP(Y154,Dex!$B$3:$N200,13,FALSE),"")</f>
        <v>90</v>
      </c>
      <c r="AA172" s="1264" t="str">
        <f t="array" ref="AA172">IFERROR(VLOOKUP(Z172,Dex!$P$22:$Q$276,2,FALSE),"")</f>
        <v/>
      </c>
      <c r="AB172" s="1265"/>
      <c r="AC172" s="1256"/>
      <c r="AD172" s="1262" t="s">
        <v>518</v>
      </c>
      <c r="AE172" s="1263">
        <f t="array" ref="AE172">IFERROR(VLOOKUP(AD154,Dex!$B$3:$N200,13,FALSE),"")</f>
        <v>100</v>
      </c>
      <c r="AF172" s="1264" t="str">
        <f t="array" ref="AF172">IFERROR(VLOOKUP(AE172,Dex!$P$22:$Q$276,2,FALSE),"")</f>
        <v/>
      </c>
      <c r="AG172" s="1265"/>
      <c r="AH172" s="1257"/>
      <c r="AI172" s="612"/>
    </row>
    <row r="173" ht="15.75" customHeight="1">
      <c r="A173" s="545"/>
      <c r="B173" s="1247"/>
      <c r="C173" s="1240"/>
      <c r="D173" s="1248"/>
      <c r="E173" s="1266" t="s">
        <v>519</v>
      </c>
      <c r="F173" s="630"/>
      <c r="G173" s="631"/>
      <c r="H173" s="632">
        <f>ROUNDDOWN((ROUNDDOWN(((((2*F172+31)*E155)/100+5)),0))*1.1,0)</f>
        <v>200</v>
      </c>
      <c r="I173" s="1250"/>
      <c r="J173" s="1266" t="s">
        <v>519</v>
      </c>
      <c r="K173" s="630"/>
      <c r="L173" s="631"/>
      <c r="M173" s="632">
        <f>ROUNDDOWN((ROUNDDOWN(((((2*K172+31)*J155)/100+5)),0))*1.1,0)</f>
        <v>176</v>
      </c>
      <c r="N173" s="1250"/>
      <c r="O173" s="1266" t="s">
        <v>519</v>
      </c>
      <c r="P173" s="630"/>
      <c r="Q173" s="631"/>
      <c r="R173" s="632">
        <f>ROUNDDOWN((ROUNDDOWN(((((2*P172+31)*O155)/100+5)),0))*1.1,0)</f>
        <v>213</v>
      </c>
      <c r="S173" s="1250"/>
      <c r="T173" s="1267" t="s">
        <v>519</v>
      </c>
      <c r="U173" s="635"/>
      <c r="V173" s="636"/>
      <c r="W173" s="632">
        <f>ROUNDDOWN((ROUNDDOWN(((((2*U172+31)*T155)/100+5)),0))*1,0)</f>
        <v>150</v>
      </c>
      <c r="X173" s="1250"/>
      <c r="Y173" s="1266" t="s">
        <v>519</v>
      </c>
      <c r="Z173" s="630"/>
      <c r="AA173" s="631"/>
      <c r="AB173" s="632">
        <f>ROUNDDOWN((ROUNDDOWN(((((2*Z172+31)*Y155)/100+5)),0))*1.1,0)</f>
        <v>181</v>
      </c>
      <c r="AC173" s="1250"/>
      <c r="AD173" s="1266" t="s">
        <v>519</v>
      </c>
      <c r="AE173" s="630"/>
      <c r="AF173" s="631"/>
      <c r="AG173" s="632">
        <f>ROUNDDOWN((ROUNDDOWN(((((2*AE172+31)*AD155)/100+5)),0))*1.1,0)</f>
        <v>198</v>
      </c>
      <c r="AH173" s="1251"/>
      <c r="AI173" s="612"/>
    </row>
    <row r="174" ht="15.75" customHeight="1">
      <c r="A174" s="545"/>
      <c r="B174" s="1247"/>
      <c r="C174" s="1240"/>
      <c r="D174" s="1248"/>
      <c r="E174" s="1268"/>
      <c r="F174" s="1268"/>
      <c r="G174" s="1268"/>
      <c r="H174" s="1268"/>
      <c r="I174" s="1250"/>
      <c r="J174" s="1269"/>
      <c r="K174" s="1269"/>
      <c r="L174" s="1269"/>
      <c r="M174" s="1268"/>
      <c r="N174" s="1250"/>
      <c r="O174" s="1269"/>
      <c r="P174" s="1269"/>
      <c r="Q174" s="1269"/>
      <c r="R174" s="1268"/>
      <c r="S174" s="1250"/>
      <c r="T174" s="1270" t="s">
        <v>700</v>
      </c>
      <c r="U174" s="643"/>
      <c r="V174" s="644"/>
      <c r="W174" s="1271">
        <f>W173*2</f>
        <v>300</v>
      </c>
      <c r="X174" s="1250"/>
      <c r="Y174" s="1269"/>
      <c r="Z174" s="1269"/>
      <c r="AA174" s="1269"/>
      <c r="AB174" s="1268"/>
      <c r="AC174" s="1250"/>
      <c r="AD174" s="1269"/>
      <c r="AE174" s="1269"/>
      <c r="AF174" s="1269"/>
      <c r="AG174" s="1268"/>
      <c r="AH174" s="1251"/>
      <c r="AI174" s="612"/>
    </row>
    <row r="175" ht="15.0" customHeight="1">
      <c r="A175" s="519"/>
      <c r="B175" s="1272"/>
      <c r="C175" s="1273"/>
      <c r="D175" s="1274"/>
      <c r="E175" s="1274"/>
      <c r="F175" s="1274"/>
      <c r="G175" s="1274"/>
      <c r="H175" s="1274"/>
      <c r="I175" s="1274"/>
      <c r="J175" s="1274"/>
      <c r="K175" s="1274"/>
      <c r="L175" s="1274"/>
      <c r="M175" s="1274"/>
      <c r="N175" s="1274"/>
      <c r="O175" s="1275"/>
      <c r="P175" s="1275"/>
      <c r="Q175" s="1275"/>
      <c r="R175" s="1275"/>
      <c r="S175" s="1274"/>
      <c r="T175" s="1274"/>
      <c r="U175" s="1274"/>
      <c r="V175" s="1274"/>
      <c r="W175" s="1274"/>
      <c r="X175" s="1274"/>
      <c r="Y175" s="1274"/>
      <c r="Z175" s="1274"/>
      <c r="AA175" s="1274"/>
      <c r="AB175" s="1274"/>
      <c r="AC175" s="1274"/>
      <c r="AD175" s="1274"/>
      <c r="AE175" s="1274"/>
      <c r="AF175" s="1274"/>
      <c r="AG175" s="1274"/>
      <c r="AH175" s="1276"/>
      <c r="AI175" s="525"/>
    </row>
    <row r="176" ht="15.0" customHeight="1">
      <c r="A176" s="519"/>
      <c r="B176" s="1277"/>
      <c r="C176" s="1278"/>
      <c r="D176" s="1279"/>
      <c r="E176" s="1280"/>
      <c r="F176" s="1280"/>
      <c r="G176" s="1280"/>
      <c r="H176" s="1280"/>
      <c r="I176" s="1279"/>
      <c r="J176" s="1280"/>
      <c r="K176" s="1280"/>
      <c r="L176" s="1280"/>
      <c r="M176" s="1280"/>
      <c r="N176" s="1279"/>
      <c r="O176" s="1280"/>
      <c r="P176" s="1280"/>
      <c r="Q176" s="1280"/>
      <c r="R176" s="1280"/>
      <c r="S176" s="1279"/>
      <c r="T176" s="1280"/>
      <c r="U176" s="1280"/>
      <c r="V176" s="1280"/>
      <c r="W176" s="1280"/>
      <c r="X176" s="1279"/>
      <c r="Y176" s="1280"/>
      <c r="Z176" s="1280"/>
      <c r="AA176" s="1280"/>
      <c r="AB176" s="1280"/>
      <c r="AC176" s="1279"/>
      <c r="AD176" s="1280"/>
      <c r="AE176" s="1280"/>
      <c r="AF176" s="1280"/>
      <c r="AG176" s="1280"/>
      <c r="AH176" s="1281"/>
      <c r="AI176" s="525"/>
    </row>
    <row r="177">
      <c r="A177" s="519"/>
      <c r="B177" s="1282"/>
      <c r="C177" s="1283"/>
      <c r="D177" s="1283"/>
      <c r="E177" s="1284" t="s">
        <v>701</v>
      </c>
      <c r="F177" s="1285"/>
      <c r="G177" s="1285"/>
      <c r="H177" s="1285"/>
      <c r="I177" s="1285"/>
      <c r="J177" s="1285"/>
      <c r="K177" s="1285"/>
      <c r="L177" s="1285"/>
      <c r="M177" s="1285"/>
      <c r="N177" s="1285"/>
      <c r="O177" s="1285"/>
      <c r="P177" s="1285"/>
      <c r="Q177" s="1285"/>
      <c r="R177" s="1285"/>
      <c r="S177" s="1285"/>
      <c r="T177" s="1285"/>
      <c r="U177" s="1285"/>
      <c r="V177" s="1285"/>
      <c r="W177" s="1285"/>
      <c r="X177" s="1285"/>
      <c r="Y177" s="1285"/>
      <c r="Z177" s="1285"/>
      <c r="AA177" s="1285"/>
      <c r="AB177" s="1285"/>
      <c r="AC177" s="1285"/>
      <c r="AD177" s="1285"/>
      <c r="AE177" s="1285"/>
      <c r="AF177" s="1285"/>
      <c r="AG177" s="1286"/>
      <c r="AH177" s="1287"/>
      <c r="AI177" s="525"/>
    </row>
    <row r="178" ht="96.75" customHeight="1">
      <c r="A178" s="519"/>
      <c r="B178" s="1288"/>
      <c r="C178" s="1289" t="str">
        <f>IMAGE("https://i.ibb.co/yFkD5QH/Clair.png")</f>
        <v/>
      </c>
      <c r="D178" s="1290"/>
      <c r="E178" s="1291" t="str">
        <f t="array" ref="E178">IFERROR(VLOOKUP(E179,Dex!$B$3:$G200,3,FALSE),"")</f>
        <v/>
      </c>
      <c r="F178" s="539"/>
      <c r="G178" s="539"/>
      <c r="H178" s="540"/>
      <c r="I178" s="1292"/>
      <c r="J178" s="1291" t="str">
        <f t="array" ref="J178">IFERROR(VLOOKUP(J179,Dex!$B$3:$G200,3,FALSE),"")</f>
        <v/>
      </c>
      <c r="K178" s="539"/>
      <c r="L178" s="539"/>
      <c r="M178" s="540"/>
      <c r="N178" s="1292"/>
      <c r="O178" s="1291" t="str">
        <f t="array" ref="O178">IFERROR(VLOOKUP(O179,Dex!$B$3:$G200,3,FALSE),"")</f>
        <v/>
      </c>
      <c r="P178" s="539"/>
      <c r="Q178" s="539"/>
      <c r="R178" s="540"/>
      <c r="S178" s="1292"/>
      <c r="T178" s="1291" t="str">
        <f t="array" ref="T178">IFERROR(VLOOKUP(T179,Dex!$B$3:$G200,3,FALSE),"")</f>
        <v/>
      </c>
      <c r="U178" s="539"/>
      <c r="V178" s="539"/>
      <c r="W178" s="540"/>
      <c r="X178" s="1292"/>
      <c r="Y178" s="1291" t="str">
        <f t="array" ref="Y178">IFERROR(VLOOKUP(Y179,Dex!$B$3:$G200,3,FALSE),"")</f>
        <v/>
      </c>
      <c r="Z178" s="539"/>
      <c r="AA178" s="539"/>
      <c r="AB178" s="540"/>
      <c r="AC178" s="1292"/>
      <c r="AD178" s="1291" t="str">
        <f t="array" ref="AD178">IFERROR(VLOOKUP(AD179,Dex!$B$3:$G200,3,FALSE),"")</f>
        <v/>
      </c>
      <c r="AE178" s="539"/>
      <c r="AF178" s="539"/>
      <c r="AG178" s="540"/>
      <c r="AH178" s="1293"/>
      <c r="AI178" s="525"/>
    </row>
    <row r="179" ht="18.75" customHeight="1">
      <c r="A179" s="545"/>
      <c r="B179" s="1294"/>
      <c r="C179" s="1295" t="s">
        <v>702</v>
      </c>
      <c r="D179" s="1296"/>
      <c r="E179" s="1297" t="s">
        <v>162</v>
      </c>
      <c r="F179" s="1298"/>
      <c r="G179" s="1298"/>
      <c r="H179" s="1299"/>
      <c r="J179" s="1297" t="s">
        <v>703</v>
      </c>
      <c r="K179" s="1298"/>
      <c r="L179" s="1298"/>
      <c r="M179" s="1299"/>
      <c r="O179" s="1297" t="s">
        <v>630</v>
      </c>
      <c r="P179" s="1298"/>
      <c r="Q179" s="1298"/>
      <c r="R179" s="1299"/>
      <c r="T179" s="1297" t="s">
        <v>704</v>
      </c>
      <c r="U179" s="1298"/>
      <c r="V179" s="1298"/>
      <c r="W179" s="1299"/>
      <c r="Y179" s="1297" t="s">
        <v>705</v>
      </c>
      <c r="Z179" s="1298"/>
      <c r="AA179" s="1298"/>
      <c r="AB179" s="1299"/>
      <c r="AD179" s="1297" t="s">
        <v>706</v>
      </c>
      <c r="AE179" s="1298"/>
      <c r="AF179" s="1298"/>
      <c r="AG179" s="1299"/>
      <c r="AH179" s="1300"/>
      <c r="AI179" s="554"/>
    </row>
    <row r="180">
      <c r="A180" s="545"/>
      <c r="B180" s="1301"/>
      <c r="C180" s="556"/>
      <c r="D180" s="1302"/>
      <c r="E180" s="1303">
        <v>81.0</v>
      </c>
      <c r="F180" s="1285"/>
      <c r="G180" s="1285"/>
      <c r="H180" s="1304"/>
      <c r="J180" s="1303">
        <v>81.0</v>
      </c>
      <c r="K180" s="1285"/>
      <c r="L180" s="1285"/>
      <c r="M180" s="1304"/>
      <c r="O180" s="1303">
        <v>81.0</v>
      </c>
      <c r="P180" s="1285"/>
      <c r="Q180" s="1285"/>
      <c r="R180" s="1304"/>
      <c r="T180" s="1303">
        <v>81.0</v>
      </c>
      <c r="U180" s="1285"/>
      <c r="V180" s="1285"/>
      <c r="W180" s="1304"/>
      <c r="Y180" s="1303">
        <v>81.0</v>
      </c>
      <c r="Z180" s="1285"/>
      <c r="AA180" s="1285"/>
      <c r="AB180" s="1304"/>
      <c r="AD180" s="1303">
        <v>81.0</v>
      </c>
      <c r="AE180" s="1285"/>
      <c r="AF180" s="1285"/>
      <c r="AG180" s="1304"/>
      <c r="AH180" s="1305"/>
      <c r="AI180" s="1306"/>
    </row>
    <row r="181" ht="25.5" customHeight="1">
      <c r="A181" s="545"/>
      <c r="B181" s="1307"/>
      <c r="C181" s="1308"/>
      <c r="D181" s="1309"/>
      <c r="E181" s="1310"/>
      <c r="F181" s="1311" t="str">
        <f t="array" ref="F181">IFERROR(VLOOKUP(E179,Dex!$B$3:$H200,5,FALSE),"")</f>
        <v/>
      </c>
      <c r="G181" s="1312" t="str">
        <f t="array" ref="G181">IFERROR(VLOOKUP(E179,Dex!$B$3:$H200,7,FALSE),"")</f>
        <v/>
      </c>
      <c r="H181" s="1313"/>
      <c r="J181" s="1310"/>
      <c r="K181" s="1311" t="str">
        <f t="array" ref="K181">IFERROR(VLOOKUP(J179,Dex!$B$3:$H200,5,FALSE),"")</f>
        <v/>
      </c>
      <c r="L181" s="1312" t="str">
        <f t="array" ref="L181">IFERROR(VLOOKUP(J179,Dex!$B$3:$H200,7,FALSE),"")</f>
        <v/>
      </c>
      <c r="M181" s="1313"/>
      <c r="O181" s="1310"/>
      <c r="P181" s="1311" t="str">
        <f t="array" ref="P181">IFERROR(VLOOKUP(O179,Dex!$B$3:$H200,5,FALSE),"")</f>
        <v/>
      </c>
      <c r="Q181" s="1312" t="str">
        <f t="array" ref="Q181">IFERROR(VLOOKUP(O179,Dex!$B$3:$H200,7,FALSE),"")</f>
        <v/>
      </c>
      <c r="R181" s="1313"/>
      <c r="T181" s="1310"/>
      <c r="U181" s="1311" t="str">
        <f t="array" ref="U181">IFERROR(VLOOKUP(T179,Dex!$B$3:$H200,5,FALSE),"")</f>
        <v/>
      </c>
      <c r="V181" s="1312" t="str">
        <f t="array" ref="V181">IFERROR(VLOOKUP(T179,Dex!$B$3:$H200,7,FALSE),"")</f>
        <v/>
      </c>
      <c r="W181" s="1313"/>
      <c r="Y181" s="1310"/>
      <c r="Z181" s="1311" t="str">
        <f t="array" ref="Z181">IFERROR(VLOOKUP(Y179,Dex!$B$3:$H200,5,FALSE),"")</f>
        <v/>
      </c>
      <c r="AA181" s="1312" t="str">
        <f t="array" ref="AA181">IFERROR(VLOOKUP(Y179,Dex!$B$3:$H200,7,FALSE),"")</f>
        <v/>
      </c>
      <c r="AB181" s="1313"/>
      <c r="AD181" s="1310"/>
      <c r="AE181" s="1311" t="str">
        <f t="array" ref="AE181">IFERROR(VLOOKUP(AD179,Dex!$B$3:$H200,5,FALSE),"")</f>
        <v/>
      </c>
      <c r="AF181" s="1312" t="str">
        <f t="array" ref="AF181">IFERROR(VLOOKUP(AD179,Dex!$B$3:$H200,7,FALSE),"")</f>
        <v/>
      </c>
      <c r="AG181" s="1313"/>
      <c r="AH181" s="1293"/>
      <c r="AI181" s="525"/>
    </row>
    <row r="182" ht="2.25" customHeight="1">
      <c r="A182" s="574"/>
      <c r="B182" s="1307"/>
      <c r="C182" s="1314"/>
      <c r="D182" s="1309"/>
      <c r="E182" s="1315"/>
      <c r="F182" s="1316"/>
      <c r="G182" s="1316"/>
      <c r="H182" s="1317"/>
      <c r="J182" s="1315"/>
      <c r="K182" s="1316"/>
      <c r="L182" s="1316"/>
      <c r="M182" s="1317"/>
      <c r="O182" s="1315"/>
      <c r="P182" s="1316"/>
      <c r="Q182" s="1316"/>
      <c r="R182" s="1317"/>
      <c r="T182" s="1315"/>
      <c r="U182" s="1316"/>
      <c r="V182" s="1316"/>
      <c r="W182" s="1317"/>
      <c r="Y182" s="1315"/>
      <c r="Z182" s="1316"/>
      <c r="AA182" s="1316"/>
      <c r="AB182" s="1317"/>
      <c r="AD182" s="1315"/>
      <c r="AE182" s="1316"/>
      <c r="AF182" s="1316"/>
      <c r="AG182" s="1317"/>
      <c r="AH182" s="1293"/>
      <c r="AI182" s="525"/>
    </row>
    <row r="183" ht="20.25" customHeight="1">
      <c r="A183" s="545"/>
      <c r="B183" s="1307"/>
      <c r="C183" s="1318"/>
      <c r="D183" s="1309"/>
      <c r="E183" s="1319" t="s">
        <v>707</v>
      </c>
      <c r="F183" s="1320"/>
      <c r="G183" s="1320"/>
      <c r="H183" s="1321"/>
      <c r="J183" s="1319" t="s">
        <v>532</v>
      </c>
      <c r="K183" s="1320"/>
      <c r="L183" s="1320"/>
      <c r="M183" s="1321"/>
      <c r="O183" s="1319" t="s">
        <v>531</v>
      </c>
      <c r="P183" s="1320"/>
      <c r="Q183" s="1320"/>
      <c r="R183" s="1321"/>
      <c r="T183" s="1319" t="s">
        <v>566</v>
      </c>
      <c r="U183" s="1320"/>
      <c r="V183" s="1320"/>
      <c r="W183" s="1321"/>
      <c r="Y183" s="1319" t="s">
        <v>564</v>
      </c>
      <c r="Z183" s="1320"/>
      <c r="AA183" s="1320"/>
      <c r="AB183" s="1321"/>
      <c r="AD183" s="1319" t="s">
        <v>564</v>
      </c>
      <c r="AE183" s="1320"/>
      <c r="AF183" s="1320"/>
      <c r="AG183" s="1321"/>
      <c r="AH183" s="1293"/>
      <c r="AI183" s="525"/>
    </row>
    <row r="184">
      <c r="A184" s="545"/>
      <c r="B184" s="1307"/>
      <c r="C184" s="1322"/>
      <c r="D184" s="1309"/>
      <c r="E184" s="1323" t="s">
        <v>96</v>
      </c>
      <c r="F184" s="1285"/>
      <c r="G184" s="1285"/>
      <c r="H184" s="1304"/>
      <c r="J184" s="1323" t="s">
        <v>58</v>
      </c>
      <c r="K184" s="1285"/>
      <c r="L184" s="1285"/>
      <c r="M184" s="1304"/>
      <c r="O184" s="1323" t="s">
        <v>119</v>
      </c>
      <c r="P184" s="1285"/>
      <c r="Q184" s="1285"/>
      <c r="R184" s="1304"/>
      <c r="T184" s="1323" t="s">
        <v>708</v>
      </c>
      <c r="U184" s="1285"/>
      <c r="V184" s="1285"/>
      <c r="W184" s="1304"/>
      <c r="Y184" s="1323" t="s">
        <v>709</v>
      </c>
      <c r="Z184" s="1285"/>
      <c r="AA184" s="1285"/>
      <c r="AB184" s="1304"/>
      <c r="AD184" s="1323" t="s">
        <v>99</v>
      </c>
      <c r="AE184" s="1285"/>
      <c r="AF184" s="1285"/>
      <c r="AG184" s="1304"/>
      <c r="AH184" s="1293"/>
      <c r="AI184" s="525"/>
    </row>
    <row r="185" ht="20.25" customHeight="1">
      <c r="A185" s="545"/>
      <c r="B185" s="1307"/>
      <c r="C185" s="1314"/>
      <c r="D185" s="1309"/>
      <c r="E185" s="1324" t="s">
        <v>537</v>
      </c>
      <c r="F185" s="1325"/>
      <c r="G185" s="1326"/>
      <c r="H185" s="1327" t="str">
        <f>IMAGE("https://raw.githubusercontent.com/msikma/pokesprite/master/items/berry/sitrus.png",3)</f>
        <v/>
      </c>
      <c r="J185" s="1324" t="s">
        <v>639</v>
      </c>
      <c r="K185" s="1325"/>
      <c r="L185" s="1326"/>
      <c r="M185" s="1327" t="str">
        <f>IMAGE("https://i.ibb.co/SK50ng3/booster.png",4,22,22)</f>
        <v/>
      </c>
      <c r="O185" s="1324" t="s">
        <v>710</v>
      </c>
      <c r="P185" s="1325"/>
      <c r="Q185" s="1326"/>
      <c r="R185" s="1327" t="str">
        <f>IMAGE("https://raw.githubusercontent.com/msikma/pokesprite/master/items/hold-item/weakness-policy.png",3)</f>
        <v/>
      </c>
      <c r="T185" s="1328" t="s">
        <v>711</v>
      </c>
      <c r="U185" s="1325"/>
      <c r="V185" s="1326"/>
      <c r="W185" s="1327" t="str">
        <f>IMAGE("https://raw.githubusercontent.com/msikma/pokesprite/master/items/z-crystals/ultranecrozium-z--held.png",3)</f>
        <v/>
      </c>
      <c r="Y185" s="1324" t="s">
        <v>712</v>
      </c>
      <c r="Z185" s="1325"/>
      <c r="AA185" s="1326"/>
      <c r="AB185" s="1327" t="str">
        <f>IMAGE("https://raw.githubusercontent.com/msikma/pokesprite/master/items/hold-item/power-herb.png",3)</f>
        <v/>
      </c>
      <c r="AD185" s="1324" t="s">
        <v>713</v>
      </c>
      <c r="AE185" s="1325"/>
      <c r="AF185" s="1326"/>
      <c r="AG185" s="1327" t="str">
        <f>IMAGE("https://raw.githubusercontent.com/msikma/pokesprite/master/items/hold-item/assault-vest.png",3)</f>
        <v/>
      </c>
      <c r="AH185" s="1293"/>
      <c r="AI185" s="525"/>
    </row>
    <row r="186" ht="20.25" customHeight="1">
      <c r="A186" s="545"/>
      <c r="B186" s="1307"/>
      <c r="C186" s="1318"/>
      <c r="D186" s="1309"/>
      <c r="E186" s="1319" t="s">
        <v>191</v>
      </c>
      <c r="F186" s="1320"/>
      <c r="G186" s="1320"/>
      <c r="H186" s="1329" t="str">
        <f>IMAGE("https://raw.githubusercontent.com/msikma/pokesprite/master/misc/types/gen8/rock.png",4,20,20)</f>
        <v/>
      </c>
      <c r="J186" s="1319" t="s">
        <v>219</v>
      </c>
      <c r="K186" s="1320"/>
      <c r="L186" s="1320"/>
      <c r="M186" s="1329" t="str">
        <f>IMAGE("https://raw.githubusercontent.com/msikma/pokesprite/master/misc/types/gen8/dragon.png",4,20,20)</f>
        <v/>
      </c>
      <c r="O186" s="1319" t="s">
        <v>274</v>
      </c>
      <c r="P186" s="1320"/>
      <c r="Q186" s="1320"/>
      <c r="R186" s="1329" t="str">
        <f>IMAGE("https://raw.githubusercontent.com/msikma/pokesprite/master/misc/types/gen8/steel.png",4,20,20)</f>
        <v/>
      </c>
      <c r="T186" s="1319" t="s">
        <v>219</v>
      </c>
      <c r="U186" s="1320"/>
      <c r="V186" s="1320"/>
      <c r="W186" s="1329" t="str">
        <f>IMAGE("https://raw.githubusercontent.com/msikma/pokesprite/master/misc/types/gen8/dragon.png",4,20,20)</f>
        <v/>
      </c>
      <c r="Y186" s="1319" t="s">
        <v>714</v>
      </c>
      <c r="Z186" s="1320"/>
      <c r="AA186" s="1320"/>
      <c r="AB186" s="1329" t="str">
        <f>IMAGE("https://raw.githubusercontent.com/msikma/pokesprite/master/misc/types/gen8/dragon.png",4,20,20)</f>
        <v/>
      </c>
      <c r="AD186" s="1319" t="s">
        <v>715</v>
      </c>
      <c r="AE186" s="1320"/>
      <c r="AF186" s="1320"/>
      <c r="AG186" s="1329" t="str">
        <f>IMAGE("https://raw.githubusercontent.com/msikma/pokesprite/master/misc/types/gen8/dragon.png",4,20,20)</f>
        <v/>
      </c>
      <c r="AH186" s="1293"/>
      <c r="AI186" s="525"/>
    </row>
    <row r="187" ht="20.25" customHeight="1">
      <c r="A187" s="545"/>
      <c r="B187" s="1307"/>
      <c r="C187" s="1330"/>
      <c r="D187" s="1309"/>
      <c r="E187" s="1323" t="s">
        <v>195</v>
      </c>
      <c r="F187" s="1285"/>
      <c r="G187" s="1285"/>
      <c r="H187" s="1331" t="str">
        <f>IMAGE("https://raw.githubusercontent.com/msikma/pokesprite/master/misc/types/gen8/bug.png",4,20,20)</f>
        <v/>
      </c>
      <c r="J187" s="1323" t="s">
        <v>579</v>
      </c>
      <c r="K187" s="1285"/>
      <c r="L187" s="1285"/>
      <c r="M187" s="1331" t="str">
        <f>IMAGE("https://raw.githubusercontent.com/msikma/pokesprite/master/misc/types/gen8/dark.png",4,20,20)</f>
        <v/>
      </c>
      <c r="O187" s="1323" t="s">
        <v>641</v>
      </c>
      <c r="P187" s="1285"/>
      <c r="Q187" s="1285"/>
      <c r="R187" s="1331" t="str">
        <f>IMAGE("https://raw.githubusercontent.com/msikma/pokesprite/master/misc/types/gen8/fairy.png",4,20,20)</f>
        <v/>
      </c>
      <c r="T187" s="1323" t="s">
        <v>716</v>
      </c>
      <c r="U187" s="1285"/>
      <c r="V187" s="1285"/>
      <c r="W187" s="1331" t="str">
        <f>IMAGE("https://raw.githubusercontent.com/msikma/pokesprite/master/misc/types/gen8/psychic.png",4,20,20)</f>
        <v/>
      </c>
      <c r="Y187" s="1323" t="s">
        <v>155</v>
      </c>
      <c r="Z187" s="1285"/>
      <c r="AA187" s="1285"/>
      <c r="AB187" s="1331" t="str">
        <f>IMAGE("https://raw.githubusercontent.com/msikma/pokesprite/master/misc/types/gen8/rock.png",4,20,20)</f>
        <v/>
      </c>
      <c r="AD187" s="1323" t="s">
        <v>717</v>
      </c>
      <c r="AE187" s="1285"/>
      <c r="AF187" s="1285"/>
      <c r="AG187" s="1331" t="str">
        <f>IMAGE("https://raw.githubusercontent.com/msikma/pokesprite/master/misc/types/gen8/steel.png",4,20,20)</f>
        <v/>
      </c>
      <c r="AH187" s="1293"/>
      <c r="AI187" s="525"/>
    </row>
    <row r="188" ht="20.25" customHeight="1">
      <c r="A188" s="545"/>
      <c r="B188" s="1307"/>
      <c r="C188" s="1330"/>
      <c r="D188" s="1309"/>
      <c r="E188" s="1323" t="s">
        <v>579</v>
      </c>
      <c r="F188" s="1285"/>
      <c r="G188" s="1285"/>
      <c r="H188" s="1331" t="str">
        <f>IMAGE("https://raw.githubusercontent.com/msikma/pokesprite/master/misc/types/gen8/dark.png",4,20,20)</f>
        <v/>
      </c>
      <c r="J188" s="1323" t="s">
        <v>549</v>
      </c>
      <c r="K188" s="1285"/>
      <c r="L188" s="1285"/>
      <c r="M188" s="1331" t="str">
        <f>IMAGE("https://raw.githubusercontent.com/msikma/pokesprite/master/misc/types/gen8/ground.png",4,20,20)</f>
        <v/>
      </c>
      <c r="O188" s="1323" t="s">
        <v>547</v>
      </c>
      <c r="P188" s="1285"/>
      <c r="Q188" s="1285"/>
      <c r="R188" s="1331" t="str">
        <f>IMAGE("https://raw.githubusercontent.com/msikma/pokesprite/master/misc/types/gen8/electric.png",4,20,20)</f>
        <v/>
      </c>
      <c r="T188" s="1323" t="s">
        <v>549</v>
      </c>
      <c r="U188" s="1285"/>
      <c r="V188" s="1285"/>
      <c r="W188" s="1331" t="str">
        <f>IMAGE("https://raw.githubusercontent.com/msikma/pokesprite/master/misc/types/gen8/ground.png",4,20,20)</f>
        <v/>
      </c>
      <c r="Y188" s="1323" t="s">
        <v>619</v>
      </c>
      <c r="Z188" s="1285"/>
      <c r="AA188" s="1285"/>
      <c r="AB188" s="1331" t="str">
        <f>IMAGE("https://raw.githubusercontent.com/msikma/pokesprite/master/misc/types/gen8/fire.png",4,20,20)</f>
        <v/>
      </c>
      <c r="AD188" s="1323" t="s">
        <v>547</v>
      </c>
      <c r="AE188" s="1285"/>
      <c r="AF188" s="1285"/>
      <c r="AG188" s="1331" t="str">
        <f>IMAGE("https://raw.githubusercontent.com/msikma/pokesprite/master/misc/types/gen8/electric.png",4,20,20)</f>
        <v/>
      </c>
      <c r="AH188" s="1293"/>
      <c r="AI188" s="525"/>
    </row>
    <row r="189" ht="21.0" customHeight="1">
      <c r="A189" s="545"/>
      <c r="B189" s="1307"/>
      <c r="C189" s="1330"/>
      <c r="D189" s="1309"/>
      <c r="E189" s="1332" t="s">
        <v>503</v>
      </c>
      <c r="F189" s="1333"/>
      <c r="G189" s="1333"/>
      <c r="H189" s="1334" t="str">
        <f>IMAGE("https://raw.githubusercontent.com/msikma/pokesprite/master/misc/types/gen8/poison.png",4,20,20)</f>
        <v/>
      </c>
      <c r="I189" s="1298"/>
      <c r="J189" s="1332" t="s">
        <v>154</v>
      </c>
      <c r="K189" s="1333"/>
      <c r="L189" s="1333"/>
      <c r="M189" s="1334" t="str">
        <f>IMAGE("https://raw.githubusercontent.com/msikma/pokesprite/master/misc/types/gen8/dragon.png",4,20,20)</f>
        <v/>
      </c>
      <c r="N189" s="1298"/>
      <c r="O189" s="1332" t="s">
        <v>718</v>
      </c>
      <c r="P189" s="1333"/>
      <c r="Q189" s="1333"/>
      <c r="R189" s="1334" t="str">
        <f>IMAGE("https://raw.githubusercontent.com/msikma/pokesprite/master/misc/types/gen8/fighting.png",4,20,20)</f>
        <v/>
      </c>
      <c r="S189" s="1298"/>
      <c r="T189" s="1332" t="s">
        <v>719</v>
      </c>
      <c r="U189" s="1333"/>
      <c r="V189" s="1333"/>
      <c r="W189" s="1334" t="str">
        <f>IMAGE("https://raw.githubusercontent.com/msikma/pokesprite/master/misc/types/gen8/dragon.png",4,20,20)</f>
        <v/>
      </c>
      <c r="X189" s="1298"/>
      <c r="Y189" s="1332" t="s">
        <v>501</v>
      </c>
      <c r="Z189" s="1333"/>
      <c r="AA189" s="1333"/>
      <c r="AB189" s="1334" t="str">
        <f>IMAGE("https://raw.githubusercontent.com/msikma/pokesprite/master/misc/types/gen8/normal.png",4,20,20)</f>
        <v/>
      </c>
      <c r="AC189" s="1298"/>
      <c r="AD189" s="1332" t="s">
        <v>720</v>
      </c>
      <c r="AE189" s="1333"/>
      <c r="AF189" s="1333"/>
      <c r="AG189" s="1334" t="str">
        <f>IMAGE("https://raw.githubusercontent.com/msikma/pokesprite/master/misc/types/gen8/fighting.png",4,20,20)</f>
        <v/>
      </c>
      <c r="AH189" s="1293"/>
      <c r="AI189" s="525"/>
    </row>
    <row r="190" ht="3.0" customHeight="1">
      <c r="A190" s="574"/>
      <c r="B190" s="1307"/>
      <c r="C190" s="1283"/>
      <c r="D190" s="1335"/>
      <c r="E190" s="1336"/>
      <c r="F190" s="1336"/>
      <c r="G190" s="1336"/>
      <c r="H190" s="1336"/>
      <c r="I190" s="1335"/>
      <c r="J190" s="1336"/>
      <c r="K190" s="1336"/>
      <c r="L190" s="1336"/>
      <c r="M190" s="1336"/>
      <c r="N190" s="1335"/>
      <c r="O190" s="1336"/>
      <c r="P190" s="1336"/>
      <c r="Q190" s="1336"/>
      <c r="R190" s="1336"/>
      <c r="S190" s="1335"/>
      <c r="T190" s="1336"/>
      <c r="U190" s="1336"/>
      <c r="V190" s="1336"/>
      <c r="W190" s="1336"/>
      <c r="X190" s="1335"/>
      <c r="Y190" s="1336"/>
      <c r="Z190" s="1337"/>
      <c r="AA190" s="1337"/>
      <c r="AB190" s="1338"/>
      <c r="AC190" s="1335"/>
      <c r="AD190" s="1339"/>
      <c r="AE190" s="1339"/>
      <c r="AF190" s="1339"/>
      <c r="AG190" s="1338"/>
      <c r="AH190" s="1340"/>
      <c r="AI190" s="525"/>
    </row>
    <row r="191" ht="16.5" customHeight="1">
      <c r="A191" s="545"/>
      <c r="B191" s="1282"/>
      <c r="C191" s="1283"/>
      <c r="D191" s="1341"/>
      <c r="E191" s="1342" t="s">
        <v>512</v>
      </c>
      <c r="F191" s="606"/>
      <c r="G191" s="606"/>
      <c r="H191" s="607"/>
      <c r="I191" s="1343"/>
      <c r="J191" s="1342" t="s">
        <v>512</v>
      </c>
      <c r="K191" s="606"/>
      <c r="L191" s="606"/>
      <c r="M191" s="607"/>
      <c r="N191" s="1343"/>
      <c r="O191" s="1342" t="s">
        <v>512</v>
      </c>
      <c r="P191" s="606"/>
      <c r="Q191" s="606"/>
      <c r="R191" s="607"/>
      <c r="S191" s="1343"/>
      <c r="T191" s="1342" t="s">
        <v>512</v>
      </c>
      <c r="U191" s="606"/>
      <c r="V191" s="606"/>
      <c r="W191" s="607"/>
      <c r="X191" s="1343"/>
      <c r="Y191" s="1342" t="s">
        <v>512</v>
      </c>
      <c r="Z191" s="606"/>
      <c r="AA191" s="606"/>
      <c r="AB191" s="607"/>
      <c r="AC191" s="1343"/>
      <c r="AD191" s="1342" t="s">
        <v>512</v>
      </c>
      <c r="AE191" s="606"/>
      <c r="AF191" s="606"/>
      <c r="AG191" s="607"/>
      <c r="AH191" s="1344"/>
      <c r="AI191" s="612"/>
    </row>
    <row r="192" ht="16.5" customHeight="1">
      <c r="A192" s="545"/>
      <c r="B192" s="1282"/>
      <c r="C192" s="1283"/>
      <c r="D192" s="1341"/>
      <c r="E192" s="1345" t="s">
        <v>513</v>
      </c>
      <c r="F192" s="1346">
        <f t="array" ref="F192">IFERROR(VLOOKUP(E179,Dex!$B$3:$N200,8,FALSE),"")</f>
        <v>20</v>
      </c>
      <c r="G192" s="1347" t="str">
        <f t="array" ref="G192">IFERROR(VLOOKUP(F192,Dex!$P$22:$Q$276,2,FALSE),"")</f>
        <v/>
      </c>
      <c r="H192" s="1348"/>
      <c r="I192" s="1349"/>
      <c r="J192" s="1345" t="s">
        <v>513</v>
      </c>
      <c r="K192" s="1346">
        <f t="array" ref="K192">IFERROR(VLOOKUP(J179,Dex!$B$3:$N200,8,FALSE),"")</f>
        <v>105</v>
      </c>
      <c r="L192" s="1347" t="str">
        <f t="array" ref="L192">IFERROR(VLOOKUP(K192,Dex!$P$22:$Q$276,2,FALSE),"")</f>
        <v/>
      </c>
      <c r="M192" s="1348"/>
      <c r="N192" s="1349"/>
      <c r="O192" s="1345" t="s">
        <v>513</v>
      </c>
      <c r="P192" s="1346">
        <f t="array" ref="P192">IFERROR(VLOOKUP(O179,Dex!$B$3:$N200,8,FALSE),"")</f>
        <v>80</v>
      </c>
      <c r="Q192" s="1347" t="str">
        <f t="array" ref="Q192">IFERROR(VLOOKUP(P192,Dex!$P$22:$Q$276,2,FALSE),"")</f>
        <v/>
      </c>
      <c r="R192" s="1348"/>
      <c r="S192" s="1349"/>
      <c r="T192" s="1345" t="s">
        <v>513</v>
      </c>
      <c r="U192" s="1346">
        <f t="array" ref="U192">IFERROR(VLOOKUP(T179,Dex!$B$3:$N200,8,FALSE),"")</f>
        <v>97</v>
      </c>
      <c r="V192" s="1347" t="str">
        <f t="array" ref="V192">IFERROR(VLOOKUP(U192,Dex!$P$22:$Q$276,2,FALSE),"")</f>
        <v/>
      </c>
      <c r="W192" s="1348"/>
      <c r="X192" s="1349"/>
      <c r="Y192" s="1345" t="s">
        <v>513</v>
      </c>
      <c r="Z192" s="1346">
        <f t="array" ref="Z192">IFERROR(VLOOKUP(Y179,Dex!$B$3:$N200,8,FALSE),"")</f>
        <v>140</v>
      </c>
      <c r="AA192" s="1347" t="str">
        <f t="array" ref="AA192">IFERROR(VLOOKUP(Z192,Dex!$P$22:$Q$276,2,FALSE),"")</f>
        <v/>
      </c>
      <c r="AB192" s="1348"/>
      <c r="AC192" s="1349"/>
      <c r="AD192" s="1345" t="s">
        <v>513</v>
      </c>
      <c r="AE192" s="1346">
        <f t="array" ref="AE192">IFERROR(VLOOKUP(AD179,Dex!$B$3:$N200,8,FALSE),"")</f>
        <v>90</v>
      </c>
      <c r="AF192" s="1347" t="str">
        <f t="array" ref="AF192">IFERROR(VLOOKUP(AE192,Dex!$P$22:$Q$276,2,FALSE),"")</f>
        <v/>
      </c>
      <c r="AG192" s="1348"/>
      <c r="AH192" s="1350"/>
      <c r="AI192" s="612"/>
    </row>
    <row r="193" ht="16.5" customHeight="1">
      <c r="A193" s="545"/>
      <c r="B193" s="1282"/>
      <c r="C193" s="1283"/>
      <c r="D193" s="1341"/>
      <c r="E193" s="1351" t="s">
        <v>514</v>
      </c>
      <c r="F193" s="1352">
        <f t="array" ref="F193">IFERROR(VLOOKUP(E179,Dex!$B$3:$N200,9,FALSE),"")</f>
        <v>10</v>
      </c>
      <c r="G193" s="1353" t="str">
        <f t="array" ref="G193">IFERROR(VLOOKUP(F193,Dex!$P$22:$Q$276,2,FALSE),"")</f>
        <v/>
      </c>
      <c r="H193" s="1354"/>
      <c r="I193" s="1349"/>
      <c r="J193" s="1351" t="s">
        <v>514</v>
      </c>
      <c r="K193" s="1352">
        <f t="array" ref="K193">IFERROR(VLOOKUP(J179,Dex!$B$3:$N200,9,FALSE),"")</f>
        <v>139</v>
      </c>
      <c r="L193" s="1353" t="str">
        <f t="array" ref="L193">IFERROR(VLOOKUP(K193,Dex!$P$22:$Q$276,2,FALSE),"")</f>
        <v/>
      </c>
      <c r="M193" s="1354"/>
      <c r="N193" s="1349"/>
      <c r="O193" s="1351" t="s">
        <v>514</v>
      </c>
      <c r="P193" s="1352">
        <f t="array" ref="P193">IFERROR(VLOOKUP(O179,Dex!$B$3:$N200,9,FALSE),"")</f>
        <v>95</v>
      </c>
      <c r="Q193" s="1353" t="str">
        <f t="array" ref="Q193">IFERROR(VLOOKUP(P193,Dex!$P$22:$Q$276,2,FALSE),"")</f>
        <v/>
      </c>
      <c r="R193" s="1354"/>
      <c r="S193" s="1349"/>
      <c r="T193" s="1351" t="s">
        <v>514</v>
      </c>
      <c r="U193" s="1352">
        <f t="array" ref="U193">IFERROR(VLOOKUP(T179,Dex!$B$3:$N200,9,FALSE),"")</f>
        <v>167</v>
      </c>
      <c r="V193" s="1353" t="str">
        <f t="array" ref="V193">IFERROR(VLOOKUP(U193,Dex!$P$22:$Q$276,2,FALSE),"")</f>
        <v/>
      </c>
      <c r="W193" s="1354"/>
      <c r="X193" s="1349"/>
      <c r="Y193" s="1351" t="s">
        <v>514</v>
      </c>
      <c r="Z193" s="1352">
        <f t="array" ref="Z193">IFERROR(VLOOKUP(Y179,Dex!$B$3:$N200,9,FALSE),"")</f>
        <v>85</v>
      </c>
      <c r="AA193" s="1353" t="str">
        <f t="array" ref="AA193">IFERROR(VLOOKUP(Z193,Dex!$P$22:$Q$276,2,FALSE),"")</f>
        <v/>
      </c>
      <c r="AB193" s="1354"/>
      <c r="AC193" s="1349"/>
      <c r="AD193" s="1351" t="s">
        <v>514</v>
      </c>
      <c r="AE193" s="1352">
        <f t="array" ref="AE193">IFERROR(VLOOKUP(AD179,Dex!$B$3:$N200,9,FALSE),"")</f>
        <v>105</v>
      </c>
      <c r="AF193" s="1353" t="str">
        <f t="array" ref="AF193">IFERROR(VLOOKUP(AE193,Dex!$P$22:$Q$276,2,FALSE),"")</f>
        <v/>
      </c>
      <c r="AG193" s="1354"/>
      <c r="AH193" s="1350"/>
      <c r="AI193" s="612"/>
    </row>
    <row r="194" ht="16.5" customHeight="1">
      <c r="A194" s="545"/>
      <c r="B194" s="1282"/>
      <c r="C194" s="1283"/>
      <c r="D194" s="1341"/>
      <c r="E194" s="1351" t="s">
        <v>515</v>
      </c>
      <c r="F194" s="1352">
        <f t="array" ref="F194">IFERROR(VLOOKUP(E179,Dex!$B$3:$N200,10,FALSE),"")</f>
        <v>230</v>
      </c>
      <c r="G194" s="1353" t="str">
        <f t="array" ref="G194">IFERROR(VLOOKUP(F194,Dex!$P$22:$Q$276,2,FALSE),"")</f>
        <v/>
      </c>
      <c r="H194" s="1354"/>
      <c r="I194" s="1349"/>
      <c r="J194" s="1351" t="s">
        <v>515</v>
      </c>
      <c r="K194" s="1352">
        <f t="array" ref="K194">IFERROR(VLOOKUP(J179,Dex!$B$3:$N200,10,FALSE),"")</f>
        <v>71</v>
      </c>
      <c r="L194" s="1353" t="str">
        <f t="array" ref="L194">IFERROR(VLOOKUP(K194,Dex!$P$22:$Q$276,2,FALSE),"")</f>
        <v/>
      </c>
      <c r="M194" s="1354"/>
      <c r="N194" s="1349"/>
      <c r="O194" s="1351" t="s">
        <v>515</v>
      </c>
      <c r="P194" s="1352">
        <f t="array" ref="P194">IFERROR(VLOOKUP(O179,Dex!$B$3:$N200,10,FALSE),"")</f>
        <v>115</v>
      </c>
      <c r="Q194" s="1353" t="str">
        <f t="array" ref="Q194">IFERROR(VLOOKUP(P194,Dex!$P$22:$Q$276,2,FALSE),"")</f>
        <v/>
      </c>
      <c r="R194" s="1354"/>
      <c r="S194" s="1349"/>
      <c r="T194" s="1351" t="s">
        <v>515</v>
      </c>
      <c r="U194" s="1352">
        <f t="array" ref="U194">IFERROR(VLOOKUP(T179,Dex!$B$3:$N200,10,FALSE),"")</f>
        <v>97</v>
      </c>
      <c r="V194" s="1353" t="str">
        <f t="array" ref="V194">IFERROR(VLOOKUP(U194,Dex!$P$22:$Q$276,2,FALSE),"")</f>
        <v/>
      </c>
      <c r="W194" s="1354"/>
      <c r="X194" s="1349"/>
      <c r="Y194" s="1351" t="s">
        <v>515</v>
      </c>
      <c r="Z194" s="1352">
        <f t="array" ref="Z194">IFERROR(VLOOKUP(Y179,Dex!$B$3:$N200,10,FALSE),"")</f>
        <v>95</v>
      </c>
      <c r="AA194" s="1353" t="str">
        <f t="array" ref="AA194">IFERROR(VLOOKUP(Z194,Dex!$P$22:$Q$276,2,FALSE),"")</f>
        <v/>
      </c>
      <c r="AB194" s="1354"/>
      <c r="AC194" s="1349"/>
      <c r="AD194" s="1351" t="s">
        <v>515</v>
      </c>
      <c r="AE194" s="1352">
        <f t="array" ref="AE194">IFERROR(VLOOKUP(AD179,Dex!$B$3:$N200,10,FALSE),"")</f>
        <v>130</v>
      </c>
      <c r="AF194" s="1353" t="str">
        <f t="array" ref="AF194">IFERROR(VLOOKUP(AE194,Dex!$P$22:$Q$276,2,FALSE),"")</f>
        <v/>
      </c>
      <c r="AG194" s="1354"/>
      <c r="AH194" s="1350"/>
      <c r="AI194" s="612"/>
    </row>
    <row r="195" ht="16.5" customHeight="1">
      <c r="A195" s="545"/>
      <c r="B195" s="1282"/>
      <c r="C195" s="1283"/>
      <c r="D195" s="1341"/>
      <c r="E195" s="1351" t="s">
        <v>516</v>
      </c>
      <c r="F195" s="1352">
        <f t="array" ref="F195">IFERROR(VLOOKUP(E179,Dex!$B$3:$N200,11,FALSE),"")</f>
        <v>10</v>
      </c>
      <c r="G195" s="1353" t="str">
        <f t="array" ref="G195">IFERROR(VLOOKUP(F195,Dex!$P$22:$Q$276,2,FALSE),"")</f>
        <v/>
      </c>
      <c r="H195" s="1354"/>
      <c r="I195" s="1349"/>
      <c r="J195" s="1351" t="s">
        <v>516</v>
      </c>
      <c r="K195" s="1352">
        <f t="array" ref="K195">IFERROR(VLOOKUP(J179,Dex!$B$3:$N200,11,FALSE),"")</f>
        <v>55</v>
      </c>
      <c r="L195" s="1353" t="str">
        <f t="array" ref="L195">IFERROR(VLOOKUP(K195,Dex!$P$22:$Q$276,2,FALSE),"")</f>
        <v/>
      </c>
      <c r="M195" s="1354"/>
      <c r="N195" s="1349"/>
      <c r="O195" s="1351" t="s">
        <v>516</v>
      </c>
      <c r="P195" s="1352">
        <f t="array" ref="P195">IFERROR(VLOOKUP(O179,Dex!$B$3:$N200,11,FALSE),"")</f>
        <v>130</v>
      </c>
      <c r="Q195" s="1353" t="str">
        <f t="array" ref="Q195">IFERROR(VLOOKUP(P195,Dex!$P$22:$Q$276,2,FALSE),"")</f>
        <v/>
      </c>
      <c r="R195" s="1354"/>
      <c r="S195" s="1349"/>
      <c r="T195" s="1351" t="s">
        <v>516</v>
      </c>
      <c r="U195" s="1352">
        <f t="array" ref="U195">IFERROR(VLOOKUP(T179,Dex!$B$3:$N200,11,FALSE),"")</f>
        <v>167</v>
      </c>
      <c r="V195" s="1353" t="str">
        <f t="array" ref="V195">IFERROR(VLOOKUP(U195,Dex!$P$22:$Q$276,2,FALSE),"")</f>
        <v/>
      </c>
      <c r="W195" s="1354"/>
      <c r="X195" s="1349"/>
      <c r="Y195" s="1351" t="s">
        <v>516</v>
      </c>
      <c r="Z195" s="1352">
        <f t="array" ref="Z195">IFERROR(VLOOKUP(Y179,Dex!$B$3:$N200,11,FALSE),"")</f>
        <v>145</v>
      </c>
      <c r="AA195" s="1353" t="str">
        <f t="array" ref="AA195">IFERROR(VLOOKUP(Z195,Dex!$P$22:$Q$276,2,FALSE),"")</f>
        <v/>
      </c>
      <c r="AB195" s="1354"/>
      <c r="AC195" s="1349"/>
      <c r="AD195" s="1351" t="s">
        <v>516</v>
      </c>
      <c r="AE195" s="1352">
        <f t="array" ref="AE195">IFERROR(VLOOKUP(AD179,Dex!$B$3:$N200,11,FALSE),"")</f>
        <v>125</v>
      </c>
      <c r="AF195" s="1353" t="str">
        <f t="array" ref="AF195">IFERROR(VLOOKUP(AE195,Dex!$P$22:$Q$276,2,FALSE),"")</f>
        <v/>
      </c>
      <c r="AG195" s="1354"/>
      <c r="AH195" s="1350"/>
      <c r="AI195" s="612"/>
    </row>
    <row r="196" ht="16.5" customHeight="1">
      <c r="A196" s="545"/>
      <c r="B196" s="1282"/>
      <c r="C196" s="1283"/>
      <c r="D196" s="1341"/>
      <c r="E196" s="1351" t="s">
        <v>517</v>
      </c>
      <c r="F196" s="1352">
        <f t="array" ref="F196">IFERROR(VLOOKUP(E179,Dex!$B$3:$N200,12,FALSE),"")</f>
        <v>230</v>
      </c>
      <c r="G196" s="1353" t="str">
        <f t="array" ref="G196">IFERROR(VLOOKUP(F196,Dex!$P$22:$Q$276,2,FALSE),"")</f>
        <v/>
      </c>
      <c r="H196" s="1354"/>
      <c r="I196" s="1349"/>
      <c r="J196" s="1351" t="s">
        <v>517</v>
      </c>
      <c r="K196" s="1352">
        <f t="array" ref="K196">IFERROR(VLOOKUP(J179,Dex!$B$3:$N200,12,FALSE),"")</f>
        <v>101</v>
      </c>
      <c r="L196" s="1353" t="str">
        <f t="array" ref="L196">IFERROR(VLOOKUP(K196,Dex!$P$22:$Q$276,2,FALSE),"")</f>
        <v/>
      </c>
      <c r="M196" s="1354"/>
      <c r="N196" s="1349"/>
      <c r="O196" s="1351" t="s">
        <v>517</v>
      </c>
      <c r="P196" s="1352">
        <f t="array" ref="P196">IFERROR(VLOOKUP(O179,Dex!$B$3:$N200,12,FALSE),"")</f>
        <v>115</v>
      </c>
      <c r="Q196" s="1353" t="str">
        <f t="array" ref="Q196">IFERROR(VLOOKUP(P196,Dex!$P$22:$Q$276,2,FALSE),"")</f>
        <v/>
      </c>
      <c r="R196" s="1354"/>
      <c r="S196" s="1349"/>
      <c r="T196" s="1351" t="s">
        <v>517</v>
      </c>
      <c r="U196" s="1352">
        <f t="array" ref="U196">IFERROR(VLOOKUP(T179,Dex!$B$3:$N200,12,FALSE),"")</f>
        <v>97</v>
      </c>
      <c r="V196" s="1353" t="str">
        <f t="array" ref="V196">IFERROR(VLOOKUP(U196,Dex!$P$22:$Q$276,2,FALSE),"")</f>
        <v/>
      </c>
      <c r="W196" s="1354"/>
      <c r="X196" s="1349"/>
      <c r="Y196" s="1351" t="s">
        <v>517</v>
      </c>
      <c r="Z196" s="1352">
        <f t="array" ref="Z196">IFERROR(VLOOKUP(Y179,Dex!$B$3:$N200,12,FALSE),"")</f>
        <v>95</v>
      </c>
      <c r="AA196" s="1353" t="str">
        <f t="array" ref="AA196">IFERROR(VLOOKUP(Z196,Dex!$P$22:$Q$276,2,FALSE),"")</f>
        <v/>
      </c>
      <c r="AB196" s="1354"/>
      <c r="AC196" s="1349"/>
      <c r="AD196" s="1351" t="s">
        <v>517</v>
      </c>
      <c r="AE196" s="1352">
        <f t="array" ref="AE196">IFERROR(VLOOKUP(AD179,Dex!$B$3:$N200,12,FALSE),"")</f>
        <v>65</v>
      </c>
      <c r="AF196" s="1353" t="str">
        <f t="array" ref="AF196">IFERROR(VLOOKUP(AE196,Dex!$P$22:$Q$276,2,FALSE),"")</f>
        <v/>
      </c>
      <c r="AG196" s="1354"/>
      <c r="AH196" s="1350"/>
      <c r="AI196" s="612"/>
    </row>
    <row r="197" ht="15.75" customHeight="1">
      <c r="A197" s="545"/>
      <c r="B197" s="1282"/>
      <c r="C197" s="1283"/>
      <c r="D197" s="1341"/>
      <c r="E197" s="1355" t="s">
        <v>518</v>
      </c>
      <c r="F197" s="1356">
        <f t="array" ref="F197">IFERROR(VLOOKUP(E179,Dex!$B$3:$N200,13,FALSE),"")</f>
        <v>5</v>
      </c>
      <c r="G197" s="1357" t="str">
        <f t="array" ref="G197">IFERROR(VLOOKUP(F197,Dex!$P$22:$Q$276,2,FALSE),"")</f>
        <v/>
      </c>
      <c r="H197" s="1358"/>
      <c r="I197" s="1349"/>
      <c r="J197" s="1355" t="s">
        <v>518</v>
      </c>
      <c r="K197" s="1356">
        <f t="array" ref="K197">IFERROR(VLOOKUP(J179,Dex!$B$3:$N200,13,FALSE),"")</f>
        <v>119</v>
      </c>
      <c r="L197" s="1357" t="str">
        <f t="array" ref="L197">IFERROR(VLOOKUP(K197,Dex!$P$22:$Q$276,2,FALSE),"")</f>
        <v/>
      </c>
      <c r="M197" s="1358"/>
      <c r="N197" s="1349"/>
      <c r="O197" s="1355" t="s">
        <v>518</v>
      </c>
      <c r="P197" s="1356">
        <f t="array" ref="P197">IFERROR(VLOOKUP(O179,Dex!$B$3:$N200,13,FALSE),"")</f>
        <v>65</v>
      </c>
      <c r="Q197" s="1357" t="str">
        <f t="array" ref="Q197">IFERROR(VLOOKUP(P197,Dex!$P$22:$Q$276,2,FALSE),"")</f>
        <v/>
      </c>
      <c r="R197" s="1358"/>
      <c r="S197" s="1349"/>
      <c r="T197" s="1355" t="s">
        <v>518</v>
      </c>
      <c r="U197" s="1356">
        <f t="array" ref="U197">IFERROR(VLOOKUP(T179,Dex!$B$3:$N200,13,FALSE),"")</f>
        <v>129</v>
      </c>
      <c r="V197" s="1357" t="str">
        <f t="array" ref="V197">IFERROR(VLOOKUP(U197,Dex!$P$22:$Q$276,2,FALSE),"")</f>
        <v/>
      </c>
      <c r="W197" s="1358"/>
      <c r="X197" s="1349"/>
      <c r="Y197" s="1355" t="s">
        <v>518</v>
      </c>
      <c r="Z197" s="1356">
        <f t="array" ref="Z197">IFERROR(VLOOKUP(Y179,Dex!$B$3:$N200,13,FALSE),"")</f>
        <v>130</v>
      </c>
      <c r="AA197" s="1357" t="str">
        <f t="array" ref="AA197">IFERROR(VLOOKUP(Z197,Dex!$P$22:$Q$276,2,FALSE),"")</f>
        <v/>
      </c>
      <c r="AB197" s="1358"/>
      <c r="AC197" s="1349"/>
      <c r="AD197" s="1355" t="s">
        <v>518</v>
      </c>
      <c r="AE197" s="1356">
        <f t="array" ref="AE197">IFERROR(VLOOKUP(AD179,Dex!$B$3:$N200,13,FALSE),"")</f>
        <v>85</v>
      </c>
      <c r="AF197" s="1357" t="str">
        <f t="array" ref="AF197">IFERROR(VLOOKUP(AE197,Dex!$P$22:$Q$276,2,FALSE),"")</f>
        <v/>
      </c>
      <c r="AG197" s="1358"/>
      <c r="AH197" s="1350"/>
      <c r="AI197" s="612"/>
    </row>
    <row r="198" ht="16.5" customHeight="1">
      <c r="A198" s="545"/>
      <c r="B198" s="1282"/>
      <c r="C198" s="1283"/>
      <c r="D198" s="1341"/>
      <c r="E198" s="1359" t="s">
        <v>519</v>
      </c>
      <c r="F198" s="630"/>
      <c r="G198" s="631"/>
      <c r="H198" s="632">
        <f>ROUNDDOWN((ROUNDDOWN(((((2*F197+31)*E180)/100+5)),0))*1,0)</f>
        <v>38</v>
      </c>
      <c r="I198" s="1343"/>
      <c r="J198" s="1359" t="s">
        <v>519</v>
      </c>
      <c r="K198" s="630"/>
      <c r="L198" s="631"/>
      <c r="M198" s="632">
        <f>ROUNDDOWN((ROUNDDOWN(((((2*K197+31)*J180)/100+5)),0))*1.1,0)</f>
        <v>244</v>
      </c>
      <c r="N198" s="1343"/>
      <c r="O198" s="1359" t="s">
        <v>519</v>
      </c>
      <c r="P198" s="630"/>
      <c r="Q198" s="631"/>
      <c r="R198" s="632">
        <f>ROUNDDOWN((ROUNDDOWN(((((2*P197+31)*O180)/100+5)),0))*1,0)</f>
        <v>135</v>
      </c>
      <c r="S198" s="1343"/>
      <c r="T198" s="1359" t="s">
        <v>519</v>
      </c>
      <c r="U198" s="630"/>
      <c r="V198" s="631"/>
      <c r="W198" s="632">
        <f>ROUNDDOWN((ROUNDDOWN(((((2*U197+31)*T180)/100+5)),0))*1,0)</f>
        <v>239</v>
      </c>
      <c r="X198" s="1343"/>
      <c r="Y198" s="1359" t="s">
        <v>519</v>
      </c>
      <c r="Z198" s="630"/>
      <c r="AA198" s="631"/>
      <c r="AB198" s="632">
        <f>ROUNDDOWN((ROUNDDOWN(((((2*Z197+31)*Y180)/100+5)),0))*1.1,0)</f>
        <v>264</v>
      </c>
      <c r="AC198" s="1343"/>
      <c r="AD198" s="1359" t="s">
        <v>519</v>
      </c>
      <c r="AE198" s="630"/>
      <c r="AF198" s="631"/>
      <c r="AG198" s="632">
        <f>ROUNDDOWN((ROUNDDOWN(((((2*AE197+31)*AD180)/100+5)),0))*1.1,0)</f>
        <v>183</v>
      </c>
      <c r="AH198" s="1344"/>
      <c r="AI198" s="612"/>
    </row>
    <row r="199" ht="7.5" customHeight="1">
      <c r="A199" s="519"/>
      <c r="B199" s="1360"/>
      <c r="C199" s="1361"/>
      <c r="D199" s="1362"/>
      <c r="E199" s="1363"/>
      <c r="F199" s="1363"/>
      <c r="G199" s="1363"/>
      <c r="H199" s="1363"/>
      <c r="I199" s="1363"/>
      <c r="J199" s="1363"/>
      <c r="K199" s="1363"/>
      <c r="L199" s="1363"/>
      <c r="M199" s="1363"/>
      <c r="N199" s="1363"/>
      <c r="O199" s="1363"/>
      <c r="P199" s="1363"/>
      <c r="Q199" s="1363"/>
      <c r="R199" s="1363"/>
      <c r="S199" s="1363"/>
      <c r="T199" s="1363"/>
      <c r="U199" s="1363"/>
      <c r="V199" s="1363"/>
      <c r="W199" s="1363"/>
      <c r="X199" s="1363"/>
      <c r="Y199" s="1363"/>
      <c r="Z199" s="1363"/>
      <c r="AA199" s="1363"/>
      <c r="AB199" s="1363"/>
      <c r="AC199" s="1363"/>
      <c r="AD199" s="1363"/>
      <c r="AE199" s="1363"/>
      <c r="AF199" s="1363"/>
      <c r="AG199" s="1363"/>
      <c r="AH199" s="1364"/>
      <c r="AI199" s="525"/>
    </row>
    <row r="200" ht="3.75" customHeight="1">
      <c r="A200" s="516"/>
      <c r="B200" s="1365"/>
      <c r="C200" s="1366"/>
      <c r="D200" s="1365"/>
      <c r="E200" s="1365"/>
      <c r="F200" s="1365"/>
      <c r="G200" s="1365"/>
      <c r="H200" s="1365"/>
      <c r="I200" s="1365"/>
      <c r="J200" s="1365"/>
      <c r="K200" s="1365"/>
      <c r="L200" s="1365"/>
      <c r="M200" s="1365"/>
      <c r="N200" s="1365"/>
      <c r="O200" s="1365"/>
      <c r="P200" s="1365"/>
      <c r="Q200" s="1365"/>
      <c r="R200" s="1365"/>
      <c r="S200" s="1365"/>
      <c r="T200" s="1365"/>
      <c r="U200" s="1365"/>
      <c r="V200" s="1365"/>
      <c r="W200" s="1365"/>
      <c r="X200" s="1365"/>
      <c r="Y200" s="1365"/>
      <c r="Z200" s="1365"/>
      <c r="AA200" s="1365"/>
      <c r="AB200" s="1365"/>
      <c r="AC200" s="1365"/>
      <c r="AD200" s="1365"/>
      <c r="AE200" s="1365"/>
      <c r="AF200" s="1365"/>
      <c r="AG200" s="1365"/>
      <c r="AH200" s="1365"/>
      <c r="AI200" s="516"/>
    </row>
  </sheetData>
  <mergeCells count="941">
    <mergeCell ref="O29:R29"/>
    <mergeCell ref="O30:R30"/>
    <mergeCell ref="O31:R31"/>
    <mergeCell ref="T31:W31"/>
    <mergeCell ref="Y29:AB29"/>
    <mergeCell ref="Y30:AB30"/>
    <mergeCell ref="Y31:AB31"/>
    <mergeCell ref="AD31:AG31"/>
    <mergeCell ref="C30:C31"/>
    <mergeCell ref="E31:H31"/>
    <mergeCell ref="J31:M31"/>
    <mergeCell ref="J25:L25"/>
    <mergeCell ref="E28:AG28"/>
    <mergeCell ref="J29:M29"/>
    <mergeCell ref="T29:W29"/>
    <mergeCell ref="J30:M30"/>
    <mergeCell ref="T30:W30"/>
    <mergeCell ref="AD30:AG30"/>
    <mergeCell ref="Y35:AB35"/>
    <mergeCell ref="Y36:AA36"/>
    <mergeCell ref="T34:W34"/>
    <mergeCell ref="Y34:AB34"/>
    <mergeCell ref="J35:M35"/>
    <mergeCell ref="T35:W35"/>
    <mergeCell ref="E36:G36"/>
    <mergeCell ref="J36:L36"/>
    <mergeCell ref="T36:V36"/>
    <mergeCell ref="J37:L37"/>
    <mergeCell ref="J38:L38"/>
    <mergeCell ref="T37:V37"/>
    <mergeCell ref="T38:V38"/>
    <mergeCell ref="O35:R35"/>
    <mergeCell ref="O36:Q36"/>
    <mergeCell ref="E37:G37"/>
    <mergeCell ref="O37:Q37"/>
    <mergeCell ref="Y37:AA37"/>
    <mergeCell ref="E38:G38"/>
    <mergeCell ref="O38:Q38"/>
    <mergeCell ref="Y38:AA38"/>
    <mergeCell ref="L18:M18"/>
    <mergeCell ref="L19:M19"/>
    <mergeCell ref="L20:M20"/>
    <mergeCell ref="Q20:R20"/>
    <mergeCell ref="V20:W20"/>
    <mergeCell ref="AA20:AB20"/>
    <mergeCell ref="AF20:AG20"/>
    <mergeCell ref="V21:W21"/>
    <mergeCell ref="V22:W22"/>
    <mergeCell ref="V23:W23"/>
    <mergeCell ref="X29:X40"/>
    <mergeCell ref="G20:H20"/>
    <mergeCell ref="G21:H21"/>
    <mergeCell ref="Q21:R21"/>
    <mergeCell ref="AA21:AB21"/>
    <mergeCell ref="G22:H22"/>
    <mergeCell ref="Q22:R22"/>
    <mergeCell ref="AA22:AB22"/>
    <mergeCell ref="T24:V24"/>
    <mergeCell ref="Y24:AA24"/>
    <mergeCell ref="AD24:AF24"/>
    <mergeCell ref="G23:H23"/>
    <mergeCell ref="L23:M23"/>
    <mergeCell ref="Q23:R23"/>
    <mergeCell ref="AA23:AB23"/>
    <mergeCell ref="E24:G24"/>
    <mergeCell ref="J24:L24"/>
    <mergeCell ref="O24:Q24"/>
    <mergeCell ref="AD36:AF36"/>
    <mergeCell ref="AD37:AF37"/>
    <mergeCell ref="J39:L39"/>
    <mergeCell ref="O39:Q39"/>
    <mergeCell ref="T39:V39"/>
    <mergeCell ref="Y39:AA39"/>
    <mergeCell ref="AD39:AF39"/>
    <mergeCell ref="T42:W42"/>
    <mergeCell ref="Y42:AB42"/>
    <mergeCell ref="AD42:AG42"/>
    <mergeCell ref="J65:L65"/>
    <mergeCell ref="J67:M67"/>
    <mergeCell ref="O67:R67"/>
    <mergeCell ref="T67:W67"/>
    <mergeCell ref="AD67:AG67"/>
    <mergeCell ref="Q68:R68"/>
    <mergeCell ref="AF68:AG68"/>
    <mergeCell ref="V70:W70"/>
    <mergeCell ref="V71:W71"/>
    <mergeCell ref="AA71:AB71"/>
    <mergeCell ref="AF71:AG71"/>
    <mergeCell ref="V68:W68"/>
    <mergeCell ref="AA68:AB68"/>
    <mergeCell ref="V69:W69"/>
    <mergeCell ref="AA69:AB69"/>
    <mergeCell ref="AF69:AG69"/>
    <mergeCell ref="AA70:AB70"/>
    <mergeCell ref="AF70:AG70"/>
    <mergeCell ref="Q71:R71"/>
    <mergeCell ref="Q72:R72"/>
    <mergeCell ref="V72:W72"/>
    <mergeCell ref="AA72:AB72"/>
    <mergeCell ref="AF72:AG72"/>
    <mergeCell ref="L68:M68"/>
    <mergeCell ref="L69:M69"/>
    <mergeCell ref="Q69:R69"/>
    <mergeCell ref="L70:M70"/>
    <mergeCell ref="Q70:R70"/>
    <mergeCell ref="L71:M71"/>
    <mergeCell ref="L72:M72"/>
    <mergeCell ref="L73:M73"/>
    <mergeCell ref="Q73:R73"/>
    <mergeCell ref="V73:W73"/>
    <mergeCell ref="AA73:AB73"/>
    <mergeCell ref="AF73:AG73"/>
    <mergeCell ref="J74:L74"/>
    <mergeCell ref="O74:Q74"/>
    <mergeCell ref="AD74:AF74"/>
    <mergeCell ref="T74:V74"/>
    <mergeCell ref="Y74:AA74"/>
    <mergeCell ref="O75:Q75"/>
    <mergeCell ref="T75:V75"/>
    <mergeCell ref="E78:AG78"/>
    <mergeCell ref="E79:H79"/>
    <mergeCell ref="J79:M79"/>
    <mergeCell ref="Y79:AB79"/>
    <mergeCell ref="T133:W133"/>
    <mergeCell ref="Y133:AB133"/>
    <mergeCell ref="AD133:AG133"/>
    <mergeCell ref="V122:W122"/>
    <mergeCell ref="V123:W123"/>
    <mergeCell ref="T124:V124"/>
    <mergeCell ref="X128:X139"/>
    <mergeCell ref="AC128:AC139"/>
    <mergeCell ref="T129:W129"/>
    <mergeCell ref="T130:W130"/>
    <mergeCell ref="O133:R133"/>
    <mergeCell ref="O134:R134"/>
    <mergeCell ref="Q120:R120"/>
    <mergeCell ref="Q121:R121"/>
    <mergeCell ref="Q122:R122"/>
    <mergeCell ref="Q123:R123"/>
    <mergeCell ref="O124:Q124"/>
    <mergeCell ref="O129:R129"/>
    <mergeCell ref="O130:R130"/>
    <mergeCell ref="J135:L135"/>
    <mergeCell ref="J136:L136"/>
    <mergeCell ref="O136:Q136"/>
    <mergeCell ref="T136:V136"/>
    <mergeCell ref="Y136:AA136"/>
    <mergeCell ref="T137:V137"/>
    <mergeCell ref="Y137:AA137"/>
    <mergeCell ref="O137:Q137"/>
    <mergeCell ref="O138:Q138"/>
    <mergeCell ref="T138:V138"/>
    <mergeCell ref="Y138:AA138"/>
    <mergeCell ref="O139:Q139"/>
    <mergeCell ref="T139:V139"/>
    <mergeCell ref="Y139:AA139"/>
    <mergeCell ref="Q96:R96"/>
    <mergeCell ref="Q97:R97"/>
    <mergeCell ref="L98:M98"/>
    <mergeCell ref="V98:W98"/>
    <mergeCell ref="O99:Q99"/>
    <mergeCell ref="T99:V99"/>
    <mergeCell ref="N104:N115"/>
    <mergeCell ref="T115:V115"/>
    <mergeCell ref="J115:L115"/>
    <mergeCell ref="O115:Q115"/>
    <mergeCell ref="J117:M117"/>
    <mergeCell ref="O117:R117"/>
    <mergeCell ref="T117:W117"/>
    <mergeCell ref="Q118:R118"/>
    <mergeCell ref="V118:W118"/>
    <mergeCell ref="L118:M118"/>
    <mergeCell ref="L119:M119"/>
    <mergeCell ref="Q119:R119"/>
    <mergeCell ref="V119:W119"/>
    <mergeCell ref="L120:M120"/>
    <mergeCell ref="V120:W120"/>
    <mergeCell ref="V121:W121"/>
    <mergeCell ref="Y129:AB129"/>
    <mergeCell ref="Y130:AB130"/>
    <mergeCell ref="J133:M133"/>
    <mergeCell ref="J134:M134"/>
    <mergeCell ref="T134:W134"/>
    <mergeCell ref="Y134:AB134"/>
    <mergeCell ref="O135:Q135"/>
    <mergeCell ref="T135:V135"/>
    <mergeCell ref="Y135:AA135"/>
    <mergeCell ref="V145:W145"/>
    <mergeCell ref="AA145:AB145"/>
    <mergeCell ref="V146:W146"/>
    <mergeCell ref="AA146:AB146"/>
    <mergeCell ref="V147:W147"/>
    <mergeCell ref="AA147:AB147"/>
    <mergeCell ref="Y148:AA148"/>
    <mergeCell ref="Y149:AA149"/>
    <mergeCell ref="Q146:R146"/>
    <mergeCell ref="Q147:R147"/>
    <mergeCell ref="O148:Q148"/>
    <mergeCell ref="T148:V148"/>
    <mergeCell ref="O149:Q149"/>
    <mergeCell ref="T149:V149"/>
    <mergeCell ref="Q98:R98"/>
    <mergeCell ref="S104:S115"/>
    <mergeCell ref="S128:S139"/>
    <mergeCell ref="Q142:R142"/>
    <mergeCell ref="Q143:R143"/>
    <mergeCell ref="Q144:R144"/>
    <mergeCell ref="Q145:R145"/>
    <mergeCell ref="AD137:AF137"/>
    <mergeCell ref="AD138:AF138"/>
    <mergeCell ref="AD139:AF139"/>
    <mergeCell ref="AD141:AG141"/>
    <mergeCell ref="AF142:AG142"/>
    <mergeCell ref="AF143:AG143"/>
    <mergeCell ref="AF144:AG144"/>
    <mergeCell ref="AD178:AG178"/>
    <mergeCell ref="AD179:AG179"/>
    <mergeCell ref="AD180:AG180"/>
    <mergeCell ref="AD183:AG183"/>
    <mergeCell ref="AD184:AG184"/>
    <mergeCell ref="AD185:AF185"/>
    <mergeCell ref="AD186:AF186"/>
    <mergeCell ref="AD187:AF187"/>
    <mergeCell ref="AD188:AF188"/>
    <mergeCell ref="AD189:AF189"/>
    <mergeCell ref="AF145:AG145"/>
    <mergeCell ref="AF146:AG146"/>
    <mergeCell ref="AF147:AG147"/>
    <mergeCell ref="AD148:AF148"/>
    <mergeCell ref="AD149:AF149"/>
    <mergeCell ref="AC153:AC164"/>
    <mergeCell ref="AC178:AC189"/>
    <mergeCell ref="Y104:AB104"/>
    <mergeCell ref="AD104:AG104"/>
    <mergeCell ref="AD106:AG106"/>
    <mergeCell ref="AD109:AG109"/>
    <mergeCell ref="AD110:AG110"/>
    <mergeCell ref="AD111:AF111"/>
    <mergeCell ref="AD112:AF112"/>
    <mergeCell ref="X104:X115"/>
    <mergeCell ref="AC104:AC115"/>
    <mergeCell ref="Y105:AB105"/>
    <mergeCell ref="Y106:AB106"/>
    <mergeCell ref="Y109:AB109"/>
    <mergeCell ref="Y110:AB110"/>
    <mergeCell ref="Y111:AA111"/>
    <mergeCell ref="AF122:AG122"/>
    <mergeCell ref="AF123:AG123"/>
    <mergeCell ref="AD113:AF113"/>
    <mergeCell ref="AD115:AF115"/>
    <mergeCell ref="AD117:AG117"/>
    <mergeCell ref="AF118:AG118"/>
    <mergeCell ref="AF119:AG119"/>
    <mergeCell ref="AF120:AG120"/>
    <mergeCell ref="AF121:AG121"/>
    <mergeCell ref="Y115:AA115"/>
    <mergeCell ref="Y117:AB117"/>
    <mergeCell ref="AA118:AB118"/>
    <mergeCell ref="AA119:AB119"/>
    <mergeCell ref="AA120:AB120"/>
    <mergeCell ref="AA121:AB121"/>
    <mergeCell ref="AA122:AB122"/>
    <mergeCell ref="AA123:AB123"/>
    <mergeCell ref="Y124:AA124"/>
    <mergeCell ref="AD124:AF124"/>
    <mergeCell ref="E127:AG127"/>
    <mergeCell ref="J128:M128"/>
    <mergeCell ref="O128:R128"/>
    <mergeCell ref="T128:W128"/>
    <mergeCell ref="Y128:AB128"/>
    <mergeCell ref="AD128:AG128"/>
    <mergeCell ref="AD129:AG129"/>
    <mergeCell ref="AD130:AG130"/>
    <mergeCell ref="AD134:AG134"/>
    <mergeCell ref="AD135:AF135"/>
    <mergeCell ref="AD136:AF136"/>
    <mergeCell ref="J137:L137"/>
    <mergeCell ref="J138:L138"/>
    <mergeCell ref="L121:M121"/>
    <mergeCell ref="L122:M122"/>
    <mergeCell ref="L123:M123"/>
    <mergeCell ref="J124:L124"/>
    <mergeCell ref="N128:N139"/>
    <mergeCell ref="J129:M129"/>
    <mergeCell ref="J130:M130"/>
    <mergeCell ref="J139:L139"/>
    <mergeCell ref="J141:M141"/>
    <mergeCell ref="L142:M142"/>
    <mergeCell ref="L143:M143"/>
    <mergeCell ref="L144:M144"/>
    <mergeCell ref="L145:M145"/>
    <mergeCell ref="L146:M146"/>
    <mergeCell ref="J154:M154"/>
    <mergeCell ref="O154:R154"/>
    <mergeCell ref="J153:M153"/>
    <mergeCell ref="J155:M155"/>
    <mergeCell ref="T154:W154"/>
    <mergeCell ref="T155:W155"/>
    <mergeCell ref="J158:M158"/>
    <mergeCell ref="O158:R158"/>
    <mergeCell ref="AF169:AG169"/>
    <mergeCell ref="AF170:AG170"/>
    <mergeCell ref="AF171:AG171"/>
    <mergeCell ref="AF172:AG172"/>
    <mergeCell ref="AD173:AF173"/>
    <mergeCell ref="E177:AG177"/>
    <mergeCell ref="E178:H178"/>
    <mergeCell ref="E183:H183"/>
    <mergeCell ref="E184:H184"/>
    <mergeCell ref="E187:G187"/>
    <mergeCell ref="E188:G188"/>
    <mergeCell ref="E189:G189"/>
    <mergeCell ref="E185:G185"/>
    <mergeCell ref="J185:L185"/>
    <mergeCell ref="T185:V185"/>
    <mergeCell ref="J178:M178"/>
    <mergeCell ref="O178:R178"/>
    <mergeCell ref="C179:C180"/>
    <mergeCell ref="E179:H179"/>
    <mergeCell ref="E180:H180"/>
    <mergeCell ref="C181:C183"/>
    <mergeCell ref="O185:Q185"/>
    <mergeCell ref="J187:L187"/>
    <mergeCell ref="J188:L188"/>
    <mergeCell ref="O188:Q188"/>
    <mergeCell ref="T188:V188"/>
    <mergeCell ref="J189:L189"/>
    <mergeCell ref="O189:Q189"/>
    <mergeCell ref="T189:V189"/>
    <mergeCell ref="C184:C186"/>
    <mergeCell ref="E186:G186"/>
    <mergeCell ref="J186:L186"/>
    <mergeCell ref="O186:Q186"/>
    <mergeCell ref="T186:V186"/>
    <mergeCell ref="O187:Q187"/>
    <mergeCell ref="T187:V187"/>
    <mergeCell ref="Y187:AA187"/>
    <mergeCell ref="Y188:AA188"/>
    <mergeCell ref="Y189:AA189"/>
    <mergeCell ref="Y178:AB178"/>
    <mergeCell ref="Y179:AB179"/>
    <mergeCell ref="Y180:AB180"/>
    <mergeCell ref="Y183:AB183"/>
    <mergeCell ref="Y184:AB184"/>
    <mergeCell ref="Y185:AA185"/>
    <mergeCell ref="Y186:AA186"/>
    <mergeCell ref="O184:R184"/>
    <mergeCell ref="T184:W184"/>
    <mergeCell ref="O173:Q173"/>
    <mergeCell ref="T173:V173"/>
    <mergeCell ref="T174:V174"/>
    <mergeCell ref="N178:N189"/>
    <mergeCell ref="S178:S189"/>
    <mergeCell ref="X178:X189"/>
    <mergeCell ref="T180:W180"/>
    <mergeCell ref="J164:L164"/>
    <mergeCell ref="O164:Q164"/>
    <mergeCell ref="J166:M166"/>
    <mergeCell ref="O166:R166"/>
    <mergeCell ref="T166:W166"/>
    <mergeCell ref="Q167:R167"/>
    <mergeCell ref="V167:W167"/>
    <mergeCell ref="L167:M167"/>
    <mergeCell ref="L168:M168"/>
    <mergeCell ref="Q168:R168"/>
    <mergeCell ref="V168:W168"/>
    <mergeCell ref="L169:M169"/>
    <mergeCell ref="V169:W169"/>
    <mergeCell ref="V170:W170"/>
    <mergeCell ref="L170:M170"/>
    <mergeCell ref="L171:M171"/>
    <mergeCell ref="Q171:R171"/>
    <mergeCell ref="V171:W171"/>
    <mergeCell ref="L172:M172"/>
    <mergeCell ref="Q172:R172"/>
    <mergeCell ref="V172:W172"/>
    <mergeCell ref="T178:W178"/>
    <mergeCell ref="J179:M179"/>
    <mergeCell ref="O179:R179"/>
    <mergeCell ref="T179:W179"/>
    <mergeCell ref="J180:M180"/>
    <mergeCell ref="O180:R180"/>
    <mergeCell ref="J173:L173"/>
    <mergeCell ref="J183:M183"/>
    <mergeCell ref="J184:M184"/>
    <mergeCell ref="O183:R183"/>
    <mergeCell ref="T183:W183"/>
    <mergeCell ref="Y4:AB4"/>
    <mergeCell ref="AD4:AG4"/>
    <mergeCell ref="E4:H4"/>
    <mergeCell ref="E5:H5"/>
    <mergeCell ref="O4:R4"/>
    <mergeCell ref="O5:R5"/>
    <mergeCell ref="T5:W5"/>
    <mergeCell ref="Y5:AB5"/>
    <mergeCell ref="C5:C6"/>
    <mergeCell ref="E6:H6"/>
    <mergeCell ref="C7:C9"/>
    <mergeCell ref="F7:G7"/>
    <mergeCell ref="J6:M6"/>
    <mergeCell ref="O6:R6"/>
    <mergeCell ref="T6:W6"/>
    <mergeCell ref="Y6:AB6"/>
    <mergeCell ref="J5:M5"/>
    <mergeCell ref="K7:L7"/>
    <mergeCell ref="E9:H9"/>
    <mergeCell ref="J9:M9"/>
    <mergeCell ref="O9:R9"/>
    <mergeCell ref="T9:W9"/>
    <mergeCell ref="Y9:AB9"/>
    <mergeCell ref="AD9:AG9"/>
    <mergeCell ref="C10:C12"/>
    <mergeCell ref="E10:H10"/>
    <mergeCell ref="E11:G11"/>
    <mergeCell ref="J10:M10"/>
    <mergeCell ref="O10:R10"/>
    <mergeCell ref="T10:W10"/>
    <mergeCell ref="Y10:AB10"/>
    <mergeCell ref="O11:Q11"/>
    <mergeCell ref="T11:V11"/>
    <mergeCell ref="AD10:AG10"/>
    <mergeCell ref="AD11:AF11"/>
    <mergeCell ref="E12:G12"/>
    <mergeCell ref="J12:L12"/>
    <mergeCell ref="O12:Q12"/>
    <mergeCell ref="T12:V12"/>
    <mergeCell ref="Y12:AA12"/>
    <mergeCell ref="AD12:AF12"/>
    <mergeCell ref="E13:G13"/>
    <mergeCell ref="J13:L13"/>
    <mergeCell ref="O13:Q13"/>
    <mergeCell ref="T13:V13"/>
    <mergeCell ref="J4:M4"/>
    <mergeCell ref="J11:L11"/>
    <mergeCell ref="E3:AG3"/>
    <mergeCell ref="T4:W4"/>
    <mergeCell ref="X4:X15"/>
    <mergeCell ref="AC4:AC15"/>
    <mergeCell ref="AD5:AG5"/>
    <mergeCell ref="AD6:AG6"/>
    <mergeCell ref="Y11:AA11"/>
    <mergeCell ref="E15:G15"/>
    <mergeCell ref="J15:L15"/>
    <mergeCell ref="J17:M17"/>
    <mergeCell ref="O17:R17"/>
    <mergeCell ref="T17:W17"/>
    <mergeCell ref="Y17:AB17"/>
    <mergeCell ref="AD17:AG17"/>
    <mergeCell ref="V18:W18"/>
    <mergeCell ref="V19:W19"/>
    <mergeCell ref="AF18:AG18"/>
    <mergeCell ref="AF19:AG19"/>
    <mergeCell ref="E17:H17"/>
    <mergeCell ref="G18:H18"/>
    <mergeCell ref="Q18:R18"/>
    <mergeCell ref="AA18:AB18"/>
    <mergeCell ref="G19:H19"/>
    <mergeCell ref="Q19:R19"/>
    <mergeCell ref="AA19:AB19"/>
    <mergeCell ref="Y13:AA13"/>
    <mergeCell ref="AD13:AF13"/>
    <mergeCell ref="E14:G14"/>
    <mergeCell ref="J14:L14"/>
    <mergeCell ref="O14:Q14"/>
    <mergeCell ref="T14:V14"/>
    <mergeCell ref="Y14:AA14"/>
    <mergeCell ref="AD14:AF14"/>
    <mergeCell ref="O15:Q15"/>
    <mergeCell ref="T15:V15"/>
    <mergeCell ref="Y15:AA15"/>
    <mergeCell ref="AD15:AF15"/>
    <mergeCell ref="L21:M21"/>
    <mergeCell ref="L22:M22"/>
    <mergeCell ref="E34:H34"/>
    <mergeCell ref="E35:H35"/>
    <mergeCell ref="E29:H29"/>
    <mergeCell ref="E30:H30"/>
    <mergeCell ref="C32:C34"/>
    <mergeCell ref="F32:G32"/>
    <mergeCell ref="J34:M34"/>
    <mergeCell ref="O34:R34"/>
    <mergeCell ref="C35:C37"/>
    <mergeCell ref="E39:G39"/>
    <mergeCell ref="E40:G40"/>
    <mergeCell ref="J40:L40"/>
    <mergeCell ref="O40:Q40"/>
    <mergeCell ref="T40:V40"/>
    <mergeCell ref="Y40:AA40"/>
    <mergeCell ref="E42:H42"/>
    <mergeCell ref="J42:M42"/>
    <mergeCell ref="O42:R42"/>
    <mergeCell ref="G43:H43"/>
    <mergeCell ref="Q43:R43"/>
    <mergeCell ref="AA43:AB43"/>
    <mergeCell ref="G44:H44"/>
    <mergeCell ref="Q44:R44"/>
    <mergeCell ref="AA44:AB44"/>
    <mergeCell ref="L43:M43"/>
    <mergeCell ref="L44:M44"/>
    <mergeCell ref="G45:H45"/>
    <mergeCell ref="L45:M45"/>
    <mergeCell ref="Q45:R45"/>
    <mergeCell ref="L46:M46"/>
    <mergeCell ref="Q46:R46"/>
    <mergeCell ref="V47:W47"/>
    <mergeCell ref="V48:W48"/>
    <mergeCell ref="V43:W43"/>
    <mergeCell ref="V44:W44"/>
    <mergeCell ref="V45:W45"/>
    <mergeCell ref="AA45:AB45"/>
    <mergeCell ref="V46:W46"/>
    <mergeCell ref="AA46:AB46"/>
    <mergeCell ref="AA47:AB47"/>
    <mergeCell ref="AA48:AB48"/>
    <mergeCell ref="G46:H46"/>
    <mergeCell ref="G47:H47"/>
    <mergeCell ref="L47:M47"/>
    <mergeCell ref="Q47:R47"/>
    <mergeCell ref="G48:H48"/>
    <mergeCell ref="L48:M48"/>
    <mergeCell ref="Q48:R48"/>
    <mergeCell ref="J54:M54"/>
    <mergeCell ref="O54:R54"/>
    <mergeCell ref="J49:L49"/>
    <mergeCell ref="O49:Q49"/>
    <mergeCell ref="T49:V49"/>
    <mergeCell ref="Y49:AA49"/>
    <mergeCell ref="J50:L50"/>
    <mergeCell ref="O50:Q50"/>
    <mergeCell ref="E53:AG53"/>
    <mergeCell ref="T55:W55"/>
    <mergeCell ref="T56:W56"/>
    <mergeCell ref="U57:V57"/>
    <mergeCell ref="O59:R59"/>
    <mergeCell ref="T59:W59"/>
    <mergeCell ref="Y59:AB59"/>
    <mergeCell ref="T54:W54"/>
    <mergeCell ref="Y54:AB54"/>
    <mergeCell ref="J55:M55"/>
    <mergeCell ref="O55:R55"/>
    <mergeCell ref="Y55:AB55"/>
    <mergeCell ref="J56:M56"/>
    <mergeCell ref="O56:R56"/>
    <mergeCell ref="Y56:AB56"/>
    <mergeCell ref="Y60:AB60"/>
    <mergeCell ref="Y61:AA61"/>
    <mergeCell ref="Y62:AA62"/>
    <mergeCell ref="Y63:AA63"/>
    <mergeCell ref="Y64:AA64"/>
    <mergeCell ref="Y65:AA65"/>
    <mergeCell ref="Y67:AB67"/>
    <mergeCell ref="J59:M59"/>
    <mergeCell ref="J60:M60"/>
    <mergeCell ref="O60:R60"/>
    <mergeCell ref="T60:W60"/>
    <mergeCell ref="J61:L61"/>
    <mergeCell ref="O61:Q61"/>
    <mergeCell ref="T61:V61"/>
    <mergeCell ref="E61:G61"/>
    <mergeCell ref="E62:G62"/>
    <mergeCell ref="J62:L62"/>
    <mergeCell ref="O62:Q62"/>
    <mergeCell ref="T62:V62"/>
    <mergeCell ref="J63:L63"/>
    <mergeCell ref="O63:Q63"/>
    <mergeCell ref="T63:V63"/>
    <mergeCell ref="E63:G63"/>
    <mergeCell ref="E64:G64"/>
    <mergeCell ref="J64:L64"/>
    <mergeCell ref="O64:Q64"/>
    <mergeCell ref="T64:V64"/>
    <mergeCell ref="O65:Q65"/>
    <mergeCell ref="T65:V65"/>
    <mergeCell ref="AF43:AG43"/>
    <mergeCell ref="AF44:AG44"/>
    <mergeCell ref="AF45:AG45"/>
    <mergeCell ref="AF46:AG46"/>
    <mergeCell ref="AF47:AG47"/>
    <mergeCell ref="AF48:AG48"/>
    <mergeCell ref="AC54:AC65"/>
    <mergeCell ref="AD65:AF65"/>
    <mergeCell ref="AD87:AF87"/>
    <mergeCell ref="AD88:AF88"/>
    <mergeCell ref="AD89:AF89"/>
    <mergeCell ref="AD90:AF90"/>
    <mergeCell ref="AD63:AF63"/>
    <mergeCell ref="AD64:AF64"/>
    <mergeCell ref="AC79:AC90"/>
    <mergeCell ref="AD79:AG79"/>
    <mergeCell ref="AD80:AG80"/>
    <mergeCell ref="AD81:AG81"/>
    <mergeCell ref="AD84:AG84"/>
    <mergeCell ref="AD38:AF38"/>
    <mergeCell ref="AD40:AF40"/>
    <mergeCell ref="AF21:AG21"/>
    <mergeCell ref="AF22:AG22"/>
    <mergeCell ref="AF23:AG23"/>
    <mergeCell ref="AC29:AC40"/>
    <mergeCell ref="AD29:AG29"/>
    <mergeCell ref="AD34:AG34"/>
    <mergeCell ref="AD35:AG35"/>
    <mergeCell ref="AD49:AF49"/>
    <mergeCell ref="AD54:AG54"/>
    <mergeCell ref="AD55:AG55"/>
    <mergeCell ref="AD56:AG56"/>
    <mergeCell ref="AD59:AG59"/>
    <mergeCell ref="AD60:AG60"/>
    <mergeCell ref="AD61:AF61"/>
    <mergeCell ref="AD62:AF62"/>
    <mergeCell ref="AD85:AG85"/>
    <mergeCell ref="AD86:AF86"/>
    <mergeCell ref="J81:M81"/>
    <mergeCell ref="J84:M84"/>
    <mergeCell ref="O84:R84"/>
    <mergeCell ref="J85:M85"/>
    <mergeCell ref="O85:R85"/>
    <mergeCell ref="J86:L86"/>
    <mergeCell ref="J87:L87"/>
    <mergeCell ref="J88:L88"/>
    <mergeCell ref="O88:Q88"/>
    <mergeCell ref="J89:L89"/>
    <mergeCell ref="O89:Q89"/>
    <mergeCell ref="J90:L90"/>
    <mergeCell ref="O90:Q90"/>
    <mergeCell ref="O92:R92"/>
    <mergeCell ref="O79:R79"/>
    <mergeCell ref="T79:W79"/>
    <mergeCell ref="J80:M80"/>
    <mergeCell ref="O80:R80"/>
    <mergeCell ref="Y80:AB80"/>
    <mergeCell ref="O81:R81"/>
    <mergeCell ref="Y81:AB81"/>
    <mergeCell ref="O86:Q86"/>
    <mergeCell ref="O87:Q87"/>
    <mergeCell ref="T80:W80"/>
    <mergeCell ref="T81:W81"/>
    <mergeCell ref="T84:W84"/>
    <mergeCell ref="Y84:AB84"/>
    <mergeCell ref="T85:W85"/>
    <mergeCell ref="Y85:AB85"/>
    <mergeCell ref="Y86:AA86"/>
    <mergeCell ref="J92:M92"/>
    <mergeCell ref="L93:M93"/>
    <mergeCell ref="L94:M94"/>
    <mergeCell ref="L95:M95"/>
    <mergeCell ref="Q93:R93"/>
    <mergeCell ref="Q94:R94"/>
    <mergeCell ref="Q95:R95"/>
    <mergeCell ref="AA93:AB93"/>
    <mergeCell ref="AA94:AB94"/>
    <mergeCell ref="AA95:AB95"/>
    <mergeCell ref="AF94:AG94"/>
    <mergeCell ref="AF95:AG95"/>
    <mergeCell ref="Y87:AA87"/>
    <mergeCell ref="Y88:AA88"/>
    <mergeCell ref="Y89:AA89"/>
    <mergeCell ref="Y90:AA90"/>
    <mergeCell ref="Y92:AB92"/>
    <mergeCell ref="AD92:AG92"/>
    <mergeCell ref="AF93:AG93"/>
    <mergeCell ref="C57:C59"/>
    <mergeCell ref="C60:C62"/>
    <mergeCell ref="C80:C81"/>
    <mergeCell ref="C82:C84"/>
    <mergeCell ref="C85:C87"/>
    <mergeCell ref="C105:C106"/>
    <mergeCell ref="C107:C109"/>
    <mergeCell ref="C110:C112"/>
    <mergeCell ref="E49:G49"/>
    <mergeCell ref="E54:H54"/>
    <mergeCell ref="C55:C56"/>
    <mergeCell ref="E55:H55"/>
    <mergeCell ref="E56:H56"/>
    <mergeCell ref="E59:H59"/>
    <mergeCell ref="E60:H60"/>
    <mergeCell ref="E65:G65"/>
    <mergeCell ref="E67:H67"/>
    <mergeCell ref="G68:H68"/>
    <mergeCell ref="G69:H69"/>
    <mergeCell ref="G70:H70"/>
    <mergeCell ref="G71:H71"/>
    <mergeCell ref="G72:H72"/>
    <mergeCell ref="G73:H73"/>
    <mergeCell ref="E74:G74"/>
    <mergeCell ref="E80:H80"/>
    <mergeCell ref="E81:H81"/>
    <mergeCell ref="E84:H84"/>
    <mergeCell ref="E85:H85"/>
    <mergeCell ref="E86:G86"/>
    <mergeCell ref="E87:G87"/>
    <mergeCell ref="E88:G88"/>
    <mergeCell ref="E89:G89"/>
    <mergeCell ref="E90:G90"/>
    <mergeCell ref="E92:H92"/>
    <mergeCell ref="G93:H93"/>
    <mergeCell ref="G94:H94"/>
    <mergeCell ref="E110:H110"/>
    <mergeCell ref="E111:G111"/>
    <mergeCell ref="E112:G112"/>
    <mergeCell ref="E113:G113"/>
    <mergeCell ref="C134:C136"/>
    <mergeCell ref="E134:H134"/>
    <mergeCell ref="E135:G135"/>
    <mergeCell ref="E136:G136"/>
    <mergeCell ref="E124:G124"/>
    <mergeCell ref="D128:D139"/>
    <mergeCell ref="E128:H128"/>
    <mergeCell ref="I128:I139"/>
    <mergeCell ref="C129:C130"/>
    <mergeCell ref="E129:H129"/>
    <mergeCell ref="C131:C133"/>
    <mergeCell ref="E160:G160"/>
    <mergeCell ref="E161:G161"/>
    <mergeCell ref="C154:C155"/>
    <mergeCell ref="E154:H154"/>
    <mergeCell ref="E155:H155"/>
    <mergeCell ref="C156:C158"/>
    <mergeCell ref="E158:H158"/>
    <mergeCell ref="C159:C161"/>
    <mergeCell ref="E159:H159"/>
    <mergeCell ref="G147:H147"/>
    <mergeCell ref="E148:G148"/>
    <mergeCell ref="E149:G149"/>
    <mergeCell ref="E153:H153"/>
    <mergeCell ref="I153:I164"/>
    <mergeCell ref="E162:G162"/>
    <mergeCell ref="E163:G163"/>
    <mergeCell ref="E164:G164"/>
    <mergeCell ref="E166:H166"/>
    <mergeCell ref="G167:H167"/>
    <mergeCell ref="G168:H168"/>
    <mergeCell ref="G169:H169"/>
    <mergeCell ref="G170:H170"/>
    <mergeCell ref="G171:H171"/>
    <mergeCell ref="G195:H195"/>
    <mergeCell ref="G196:H196"/>
    <mergeCell ref="G197:H197"/>
    <mergeCell ref="E198:G198"/>
    <mergeCell ref="G172:H172"/>
    <mergeCell ref="E173:G173"/>
    <mergeCell ref="I178:I189"/>
    <mergeCell ref="E191:H191"/>
    <mergeCell ref="G192:H192"/>
    <mergeCell ref="G193:H193"/>
    <mergeCell ref="G194:H194"/>
    <mergeCell ref="E106:H106"/>
    <mergeCell ref="E109:H109"/>
    <mergeCell ref="E114:G114"/>
    <mergeCell ref="E115:G115"/>
    <mergeCell ref="G95:H95"/>
    <mergeCell ref="G96:H96"/>
    <mergeCell ref="G97:H97"/>
    <mergeCell ref="G98:H98"/>
    <mergeCell ref="E99:G99"/>
    <mergeCell ref="I104:I115"/>
    <mergeCell ref="E105:H105"/>
    <mergeCell ref="E117:H117"/>
    <mergeCell ref="G118:H118"/>
    <mergeCell ref="G119:H119"/>
    <mergeCell ref="G120:H120"/>
    <mergeCell ref="G121:H121"/>
    <mergeCell ref="G122:H122"/>
    <mergeCell ref="G123:H123"/>
    <mergeCell ref="E130:H130"/>
    <mergeCell ref="E133:H133"/>
    <mergeCell ref="E137:G137"/>
    <mergeCell ref="E138:G138"/>
    <mergeCell ref="E139:G139"/>
    <mergeCell ref="E141:H141"/>
    <mergeCell ref="G142:H142"/>
    <mergeCell ref="G143:H143"/>
    <mergeCell ref="G144:H144"/>
    <mergeCell ref="G145:H145"/>
    <mergeCell ref="G146:H146"/>
    <mergeCell ref="T86:V86"/>
    <mergeCell ref="T87:V87"/>
    <mergeCell ref="T88:V88"/>
    <mergeCell ref="T89:V89"/>
    <mergeCell ref="T90:V90"/>
    <mergeCell ref="T92:W92"/>
    <mergeCell ref="V93:W93"/>
    <mergeCell ref="AA96:AB96"/>
    <mergeCell ref="AA97:AB97"/>
    <mergeCell ref="AA98:AB98"/>
    <mergeCell ref="AF98:AG98"/>
    <mergeCell ref="Y99:AA99"/>
    <mergeCell ref="AD99:AF99"/>
    <mergeCell ref="V94:W94"/>
    <mergeCell ref="V95:W95"/>
    <mergeCell ref="L96:M96"/>
    <mergeCell ref="V96:W96"/>
    <mergeCell ref="AF96:AG96"/>
    <mergeCell ref="L97:M97"/>
    <mergeCell ref="V97:W97"/>
    <mergeCell ref="AF97:AG97"/>
    <mergeCell ref="J105:M105"/>
    <mergeCell ref="AD105:AG105"/>
    <mergeCell ref="J99:L99"/>
    <mergeCell ref="J100:L100"/>
    <mergeCell ref="E103:AG103"/>
    <mergeCell ref="E104:H104"/>
    <mergeCell ref="J104:M104"/>
    <mergeCell ref="O104:R104"/>
    <mergeCell ref="T104:W104"/>
    <mergeCell ref="Y112:AA112"/>
    <mergeCell ref="Y113:AA113"/>
    <mergeCell ref="Y114:AA114"/>
    <mergeCell ref="AD114:AF114"/>
    <mergeCell ref="J113:L113"/>
    <mergeCell ref="J114:L114"/>
    <mergeCell ref="O105:R105"/>
    <mergeCell ref="T105:W105"/>
    <mergeCell ref="J106:M106"/>
    <mergeCell ref="J109:M109"/>
    <mergeCell ref="J110:M110"/>
    <mergeCell ref="J111:L111"/>
    <mergeCell ref="J112:L112"/>
    <mergeCell ref="O106:R106"/>
    <mergeCell ref="T106:W106"/>
    <mergeCell ref="P107:Q107"/>
    <mergeCell ref="O109:R109"/>
    <mergeCell ref="T109:W109"/>
    <mergeCell ref="O110:R110"/>
    <mergeCell ref="T110:W110"/>
    <mergeCell ref="O111:Q111"/>
    <mergeCell ref="T111:V111"/>
    <mergeCell ref="O112:Q112"/>
    <mergeCell ref="T112:V112"/>
    <mergeCell ref="O113:Q113"/>
    <mergeCell ref="T113:V113"/>
    <mergeCell ref="O114:Q114"/>
    <mergeCell ref="T114:V114"/>
    <mergeCell ref="O141:R141"/>
    <mergeCell ref="T141:W141"/>
    <mergeCell ref="Y141:AB141"/>
    <mergeCell ref="V142:W142"/>
    <mergeCell ref="AA142:AB142"/>
    <mergeCell ref="V143:W143"/>
    <mergeCell ref="V144:W144"/>
    <mergeCell ref="AA143:AB143"/>
    <mergeCell ref="AA144:AB144"/>
    <mergeCell ref="E152:AG152"/>
    <mergeCell ref="O153:R153"/>
    <mergeCell ref="T153:W153"/>
    <mergeCell ref="Y153:AB153"/>
    <mergeCell ref="Y154:AB154"/>
    <mergeCell ref="AD153:AG153"/>
    <mergeCell ref="AD154:AG154"/>
    <mergeCell ref="Y155:AB155"/>
    <mergeCell ref="AD155:AG155"/>
    <mergeCell ref="Y158:AB158"/>
    <mergeCell ref="AD158:AG158"/>
    <mergeCell ref="AD159:AG159"/>
    <mergeCell ref="AD162:AF162"/>
    <mergeCell ref="AD163:AF163"/>
    <mergeCell ref="Y159:AB159"/>
    <mergeCell ref="Y160:AA160"/>
    <mergeCell ref="AD160:AF160"/>
    <mergeCell ref="Y161:AA161"/>
    <mergeCell ref="AD161:AF161"/>
    <mergeCell ref="Y162:AA162"/>
    <mergeCell ref="Y163:AA163"/>
    <mergeCell ref="AA168:AB168"/>
    <mergeCell ref="AA169:AB169"/>
    <mergeCell ref="AA170:AB170"/>
    <mergeCell ref="AA171:AB171"/>
    <mergeCell ref="AA172:AB172"/>
    <mergeCell ref="Y173:AA173"/>
    <mergeCell ref="Y164:AA164"/>
    <mergeCell ref="AD164:AF164"/>
    <mergeCell ref="Y166:AB166"/>
    <mergeCell ref="AD166:AG166"/>
    <mergeCell ref="AA167:AB167"/>
    <mergeCell ref="AF167:AG167"/>
    <mergeCell ref="AF168:AG168"/>
    <mergeCell ref="Q169:R169"/>
    <mergeCell ref="Q170:R170"/>
    <mergeCell ref="J191:M191"/>
    <mergeCell ref="T191:W191"/>
    <mergeCell ref="AD191:AG191"/>
    <mergeCell ref="L192:M192"/>
    <mergeCell ref="V192:W192"/>
    <mergeCell ref="AF192:AG192"/>
    <mergeCell ref="AA195:AB195"/>
    <mergeCell ref="AA196:AB196"/>
    <mergeCell ref="AA197:AB197"/>
    <mergeCell ref="Y198:AA198"/>
    <mergeCell ref="AF196:AG196"/>
    <mergeCell ref="AF197:AG197"/>
    <mergeCell ref="AD198:AF198"/>
    <mergeCell ref="Y191:AB191"/>
    <mergeCell ref="AA192:AB192"/>
    <mergeCell ref="AA193:AB193"/>
    <mergeCell ref="AF193:AG193"/>
    <mergeCell ref="AA194:AB194"/>
    <mergeCell ref="AF194:AG194"/>
    <mergeCell ref="AF195:AG195"/>
    <mergeCell ref="O191:R191"/>
    <mergeCell ref="Q192:R192"/>
    <mergeCell ref="L193:M193"/>
    <mergeCell ref="Q193:R193"/>
    <mergeCell ref="V193:W193"/>
    <mergeCell ref="Q194:R194"/>
    <mergeCell ref="V194:W194"/>
    <mergeCell ref="L194:M194"/>
    <mergeCell ref="L195:M195"/>
    <mergeCell ref="Q195:R195"/>
    <mergeCell ref="V195:W195"/>
    <mergeCell ref="L196:M196"/>
    <mergeCell ref="V196:W196"/>
    <mergeCell ref="L197:M197"/>
    <mergeCell ref="V197:W197"/>
    <mergeCell ref="T158:W158"/>
    <mergeCell ref="J159:M159"/>
    <mergeCell ref="O159:R159"/>
    <mergeCell ref="T159:W159"/>
    <mergeCell ref="J160:L160"/>
    <mergeCell ref="O160:Q160"/>
    <mergeCell ref="T160:V160"/>
    <mergeCell ref="J161:L161"/>
    <mergeCell ref="O161:Q161"/>
    <mergeCell ref="T161:V161"/>
    <mergeCell ref="J162:L162"/>
    <mergeCell ref="O162:Q162"/>
    <mergeCell ref="T162:V162"/>
    <mergeCell ref="J163:L163"/>
    <mergeCell ref="O163:Q163"/>
    <mergeCell ref="T163:V163"/>
    <mergeCell ref="L147:M147"/>
    <mergeCell ref="J148:L148"/>
    <mergeCell ref="J149:L149"/>
    <mergeCell ref="N153:N164"/>
    <mergeCell ref="S153:S164"/>
    <mergeCell ref="X153:X164"/>
    <mergeCell ref="O155:R155"/>
    <mergeCell ref="T164:V164"/>
    <mergeCell ref="Q196:R196"/>
    <mergeCell ref="Q197:R197"/>
    <mergeCell ref="J198:L198"/>
    <mergeCell ref="O198:Q198"/>
    <mergeCell ref="T198:V198"/>
  </mergeCells>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0" priority="1" operator="between">
      <formula>1</formula>
      <formula>95</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1" priority="2" operator="between">
      <formula>96</formula>
      <formula>195</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2" priority="3" operator="between">
      <formula>196</formula>
      <formula>260</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3" priority="4" operator="between">
      <formula>261</formula>
      <formula>299</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4" priority="5" operator="between">
      <formula>300</formula>
      <formula>350</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5" priority="6" operator="between">
      <formula>351</formula>
      <formula>450</formula>
    </cfRule>
  </conditionalFormatting>
  <conditionalFormatting sqref="H24 M24:M25 R24 W24 AB24 AG24 H49 M49:M50 R49:R50 W49 AB49 AG49 H74 M74 R74:R75 W74:W75 AB74 AG74 H99 M99:M100 R99 W99 AB99 AG99:AG100 H124 M124 R124 W124 AB124 AG124 H148:H149 M148:M149 R148:R149 W148:W149 AB148:AB149 AG148:AG149 H173 M173 R173:R174 W173:W174 AB173 AG173 H198 M198 R198 W198 AB198 AG198">
    <cfRule type="cellIs" dxfId="6" priority="7" operator="between">
      <formula>451</formula>
      <formula>1000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16"/>
      <c r="B1" s="1367"/>
      <c r="C1" s="1368"/>
      <c r="D1" s="1367"/>
      <c r="E1" s="1367"/>
      <c r="F1" s="1367"/>
      <c r="G1" s="1367"/>
      <c r="H1" s="1367"/>
      <c r="I1" s="1367"/>
      <c r="J1" s="1367"/>
      <c r="K1" s="1367"/>
      <c r="L1" s="1367"/>
      <c r="M1" s="1367"/>
      <c r="N1" s="1367"/>
      <c r="O1" s="1367"/>
      <c r="P1" s="1367"/>
      <c r="Q1" s="1367"/>
      <c r="R1" s="1367"/>
      <c r="S1" s="1367"/>
      <c r="T1" s="1367"/>
      <c r="U1" s="1367"/>
      <c r="V1" s="1367"/>
      <c r="W1" s="1367"/>
      <c r="X1" s="1367"/>
      <c r="Y1" s="1367"/>
      <c r="Z1" s="1367"/>
      <c r="AA1" s="1367"/>
      <c r="AB1" s="1367"/>
      <c r="AC1" s="1367"/>
      <c r="AD1" s="1367"/>
      <c r="AE1" s="1367"/>
      <c r="AF1" s="1367"/>
      <c r="AG1" s="1367"/>
      <c r="AH1" s="1367"/>
      <c r="AI1" s="1369"/>
    </row>
    <row r="2" ht="7.5" customHeight="1">
      <c r="A2" s="519"/>
      <c r="B2" s="1370"/>
      <c r="C2" s="1371"/>
      <c r="D2" s="1372"/>
      <c r="E2" s="1372"/>
      <c r="F2" s="1372"/>
      <c r="G2" s="1372"/>
      <c r="H2" s="1372"/>
      <c r="I2" s="1372"/>
      <c r="J2" s="1372"/>
      <c r="K2" s="1372"/>
      <c r="L2" s="1372"/>
      <c r="M2" s="1372"/>
      <c r="N2" s="1372"/>
      <c r="O2" s="1372"/>
      <c r="P2" s="1372"/>
      <c r="Q2" s="1372"/>
      <c r="R2" s="1372"/>
      <c r="S2" s="1372"/>
      <c r="T2" s="1372"/>
      <c r="U2" s="1372"/>
      <c r="V2" s="1372"/>
      <c r="W2" s="1372"/>
      <c r="X2" s="1372"/>
      <c r="Y2" s="1372"/>
      <c r="Z2" s="1372"/>
      <c r="AA2" s="1372"/>
      <c r="AB2" s="1372"/>
      <c r="AC2" s="1372"/>
      <c r="AD2" s="1372"/>
      <c r="AE2" s="1372"/>
      <c r="AF2" s="1372"/>
      <c r="AG2" s="1372"/>
      <c r="AH2" s="1373"/>
      <c r="AI2" s="534"/>
    </row>
    <row r="3">
      <c r="A3" s="526"/>
      <c r="B3" s="527"/>
      <c r="C3" s="528"/>
      <c r="D3" s="529"/>
      <c r="E3" s="530" t="s">
        <v>721</v>
      </c>
      <c r="F3" s="531"/>
      <c r="G3" s="531"/>
      <c r="H3" s="531"/>
      <c r="I3" s="531"/>
      <c r="J3" s="531"/>
      <c r="K3" s="531"/>
      <c r="L3" s="531"/>
      <c r="M3" s="531"/>
      <c r="N3" s="531"/>
      <c r="O3" s="531"/>
      <c r="P3" s="531"/>
      <c r="Q3" s="531"/>
      <c r="R3" s="531"/>
      <c r="S3" s="531"/>
      <c r="T3" s="531"/>
      <c r="U3" s="531"/>
      <c r="V3" s="531"/>
      <c r="W3" s="531"/>
      <c r="X3" s="531"/>
      <c r="Y3" s="531"/>
      <c r="Z3" s="531"/>
      <c r="AA3" s="531"/>
      <c r="AB3" s="531"/>
      <c r="AC3" s="531"/>
      <c r="AD3" s="531"/>
      <c r="AE3" s="531"/>
      <c r="AF3" s="531"/>
      <c r="AG3" s="532"/>
      <c r="AH3" s="533"/>
      <c r="AI3" s="534"/>
    </row>
    <row r="4" ht="96.75" customHeight="1">
      <c r="A4" s="545"/>
      <c r="B4" s="1374"/>
      <c r="C4" s="1375" t="str">
        <f>IMAGE("https://i.ibb.co/v10Rh61/Brock.png")</f>
        <v/>
      </c>
      <c r="D4" s="1376"/>
      <c r="E4" s="1377" t="str">
        <f t="array" ref="E4">IFERROR(VLOOKUP(E5,Dex!$B$3:$G101,3,FALSE),"")</f>
        <v/>
      </c>
      <c r="F4" s="539"/>
      <c r="G4" s="539"/>
      <c r="H4" s="540"/>
      <c r="I4" s="1378"/>
      <c r="J4" s="1377" t="str">
        <f t="array" ref="J4">IFERROR(VLOOKUP(J5,Dex!$B$3:$G101,3,FALSE),"")</f>
        <v/>
      </c>
      <c r="K4" s="539"/>
      <c r="L4" s="539"/>
      <c r="M4" s="540"/>
      <c r="N4" s="1378"/>
      <c r="O4" s="1377" t="str">
        <f t="array" ref="O4">IFERROR(VLOOKUP(O5,Dex!$B$3:$G101,3,FALSE),"")</f>
        <v/>
      </c>
      <c r="P4" s="539"/>
      <c r="Q4" s="539"/>
      <c r="R4" s="540"/>
      <c r="S4" s="1378"/>
      <c r="T4" s="1377" t="str">
        <f t="array" ref="T4">IFERROR(VLOOKUP(T5,Dex!$B$3:$G101,3,FALSE),"")</f>
        <v/>
      </c>
      <c r="U4" s="539"/>
      <c r="V4" s="539"/>
      <c r="W4" s="540"/>
      <c r="X4" s="1378"/>
      <c r="Y4" s="1377" t="str">
        <f t="array" ref="Y4">IFERROR(VLOOKUP(Y5,Dex!$B$3:$G101,3,FALSE),"")</f>
        <v/>
      </c>
      <c r="Z4" s="539"/>
      <c r="AA4" s="539"/>
      <c r="AB4" s="540"/>
      <c r="AC4" s="1378"/>
      <c r="AD4" s="1377" t="str">
        <f t="array" ref="AD4">IFERROR(VLOOKUP(AD5,Dex!$B$3:$G101,3,FALSE),"")</f>
        <v/>
      </c>
      <c r="AE4" s="539"/>
      <c r="AF4" s="539"/>
      <c r="AG4" s="540"/>
      <c r="AH4" s="1379"/>
      <c r="AI4" s="1380"/>
    </row>
    <row r="5" ht="18.75" customHeight="1">
      <c r="A5" s="545"/>
      <c r="B5" s="1381"/>
      <c r="C5" s="547" t="s">
        <v>722</v>
      </c>
      <c r="D5" s="1382"/>
      <c r="E5" s="1383" t="s">
        <v>723</v>
      </c>
      <c r="F5" s="550"/>
      <c r="G5" s="550"/>
      <c r="H5" s="551"/>
      <c r="J5" s="1383" t="s">
        <v>724</v>
      </c>
      <c r="K5" s="550"/>
      <c r="L5" s="550"/>
      <c r="M5" s="551"/>
      <c r="O5" s="1383" t="s">
        <v>725</v>
      </c>
      <c r="P5" s="550"/>
      <c r="Q5" s="550"/>
      <c r="R5" s="551"/>
      <c r="T5" s="1383" t="s">
        <v>726</v>
      </c>
      <c r="U5" s="550"/>
      <c r="V5" s="550"/>
      <c r="W5" s="551"/>
      <c r="Y5" s="1383" t="s">
        <v>727</v>
      </c>
      <c r="Z5" s="550"/>
      <c r="AA5" s="550"/>
      <c r="AB5" s="551"/>
      <c r="AD5" s="1383" t="s">
        <v>728</v>
      </c>
      <c r="AE5" s="550"/>
      <c r="AF5" s="550"/>
      <c r="AG5" s="551"/>
      <c r="AH5" s="1384"/>
      <c r="AI5" s="1385"/>
    </row>
    <row r="6">
      <c r="A6" s="545"/>
      <c r="B6" s="1386"/>
      <c r="C6" s="556"/>
      <c r="D6" s="1387"/>
      <c r="E6" s="1388" t="s">
        <v>729</v>
      </c>
      <c r="F6" s="586"/>
      <c r="G6" s="586"/>
      <c r="H6" s="587"/>
      <c r="J6" s="1388" t="s">
        <v>729</v>
      </c>
      <c r="K6" s="586"/>
      <c r="L6" s="586"/>
      <c r="M6" s="587"/>
      <c r="O6" s="1388" t="s">
        <v>729</v>
      </c>
      <c r="P6" s="586"/>
      <c r="Q6" s="586"/>
      <c r="R6" s="587"/>
      <c r="T6" s="1388" t="s">
        <v>729</v>
      </c>
      <c r="U6" s="586"/>
      <c r="V6" s="586"/>
      <c r="W6" s="587"/>
      <c r="Y6" s="1388" t="s">
        <v>729</v>
      </c>
      <c r="Z6" s="586"/>
      <c r="AA6" s="586"/>
      <c r="AB6" s="587"/>
      <c r="AD6" s="1388" t="s">
        <v>729</v>
      </c>
      <c r="AE6" s="586"/>
      <c r="AF6" s="586"/>
      <c r="AG6" s="587"/>
      <c r="AH6" s="1389"/>
      <c r="AI6" s="1390"/>
    </row>
    <row r="7" ht="25.5" customHeight="1">
      <c r="A7" s="574"/>
      <c r="B7" s="527"/>
      <c r="C7" s="1391"/>
      <c r="D7" s="1392"/>
      <c r="E7" s="1393"/>
      <c r="F7" s="1394" t="str">
        <f t="array" ref="F7">IFERROR(VLOOKUP(E5,Dex!$B$3:$H101,5,FALSE),"")</f>
        <v/>
      </c>
      <c r="G7" s="1394" t="str">
        <f t="array" ref="G7">IFERROR(VLOOKUP(E5,Dex!$B$3:$H101,7,FALSE),"")</f>
        <v/>
      </c>
      <c r="H7" s="1395"/>
      <c r="J7" s="1393"/>
      <c r="K7" s="1394" t="str">
        <f t="array" ref="K7">IFERROR(VLOOKUP(J5,Dex!$B$3:$H101,5,FALSE),"")</f>
        <v/>
      </c>
      <c r="L7" s="1394" t="str">
        <f t="array" ref="L7">IFERROR(VLOOKUP(J5,Dex!$B$3:$H101,7,FALSE),"")</f>
        <v/>
      </c>
      <c r="M7" s="1395"/>
      <c r="O7" s="1393"/>
      <c r="P7" s="1394" t="str">
        <f t="array" ref="P7">IFERROR(VLOOKUP(O5,Dex!$B$3:$H101,5,FALSE),"")</f>
        <v/>
      </c>
      <c r="Q7" s="1394" t="str">
        <f t="array" ref="Q7">IFERROR(VLOOKUP(O5,Dex!$B$3:$H101,7,FALSE),"")</f>
        <v/>
      </c>
      <c r="R7" s="1395"/>
      <c r="T7" s="1393"/>
      <c r="U7" s="1394" t="str">
        <f t="array" ref="U7">IFERROR(VLOOKUP(T5,Dex!$B$3:$H101,5,FALSE),"")</f>
        <v/>
      </c>
      <c r="V7" s="1394" t="str">
        <f t="array" ref="V7">IFERROR(VLOOKUP(T5,Dex!$B$3:$H101,7,FALSE),"")</f>
        <v/>
      </c>
      <c r="W7" s="1395"/>
      <c r="Y7" s="1393"/>
      <c r="Z7" s="1394" t="str">
        <f t="array" ref="Z7">IFERROR(VLOOKUP(Y5,Dex!$B$3:$H101,5,FALSE),"")</f>
        <v/>
      </c>
      <c r="AA7" s="1394" t="str">
        <f t="array" ref="AA7">IFERROR(VLOOKUP(Y5,Dex!$B$3:$H101,7,FALSE),"")</f>
        <v/>
      </c>
      <c r="AB7" s="1395"/>
      <c r="AD7" s="1393"/>
      <c r="AE7" s="1394" t="str">
        <f t="array" ref="AE7">IFERROR(VLOOKUP(AD5,Dex!$B$3:$H101,5,FALSE),"")</f>
        <v/>
      </c>
      <c r="AF7" s="1394" t="str">
        <f t="array" ref="AF7">IFERROR(VLOOKUP(AD5,Dex!$B$3:$H101,7,FALSE),"")</f>
        <v/>
      </c>
      <c r="AG7" s="1395"/>
      <c r="AH7" s="1396"/>
      <c r="AI7" s="534"/>
    </row>
    <row r="8" ht="2.25" customHeight="1">
      <c r="A8" s="545"/>
      <c r="B8" s="527"/>
      <c r="C8" s="1397"/>
      <c r="D8" s="1392"/>
      <c r="E8" s="1398"/>
      <c r="F8" s="1399"/>
      <c r="G8" s="1399"/>
      <c r="H8" s="1400"/>
      <c r="J8" s="1398"/>
      <c r="K8" s="1399"/>
      <c r="L8" s="1399"/>
      <c r="M8" s="1400"/>
      <c r="O8" s="1398"/>
      <c r="P8" s="1399"/>
      <c r="Q8" s="1399"/>
      <c r="R8" s="1400"/>
      <c r="T8" s="1398"/>
      <c r="U8" s="1399"/>
      <c r="V8" s="1399"/>
      <c r="W8" s="1400"/>
      <c r="Y8" s="1398"/>
      <c r="Z8" s="1399"/>
      <c r="AA8" s="1399"/>
      <c r="AB8" s="1400"/>
      <c r="AD8" s="1398"/>
      <c r="AE8" s="1399"/>
      <c r="AF8" s="1399"/>
      <c r="AG8" s="1400"/>
      <c r="AH8" s="1396"/>
      <c r="AI8" s="534"/>
    </row>
    <row r="9" ht="20.25" customHeight="1">
      <c r="A9" s="545"/>
      <c r="B9" s="527"/>
      <c r="C9" s="1401"/>
      <c r="D9" s="1392"/>
      <c r="E9" s="1402" t="s">
        <v>532</v>
      </c>
      <c r="F9" s="581"/>
      <c r="G9" s="581"/>
      <c r="H9" s="582"/>
      <c r="J9" s="1402" t="s">
        <v>565</v>
      </c>
      <c r="K9" s="581"/>
      <c r="L9" s="581"/>
      <c r="M9" s="582"/>
      <c r="O9" s="1402" t="s">
        <v>480</v>
      </c>
      <c r="P9" s="581"/>
      <c r="Q9" s="581"/>
      <c r="R9" s="582"/>
      <c r="T9" s="1402" t="s">
        <v>532</v>
      </c>
      <c r="U9" s="581"/>
      <c r="V9" s="581"/>
      <c r="W9" s="582"/>
      <c r="Y9" s="1402" t="s">
        <v>531</v>
      </c>
      <c r="Z9" s="581"/>
      <c r="AA9" s="581"/>
      <c r="AB9" s="582"/>
      <c r="AD9" s="1402" t="s">
        <v>532</v>
      </c>
      <c r="AE9" s="581"/>
      <c r="AF9" s="581"/>
      <c r="AG9" s="582"/>
      <c r="AH9" s="1379"/>
      <c r="AI9" s="534"/>
    </row>
    <row r="10">
      <c r="A10" s="545"/>
      <c r="B10" s="527"/>
      <c r="C10" s="1403"/>
      <c r="D10" s="1392"/>
      <c r="E10" s="1404" t="s">
        <v>63</v>
      </c>
      <c r="F10" s="586"/>
      <c r="G10" s="586"/>
      <c r="H10" s="587"/>
      <c r="J10" s="1404" t="s">
        <v>74</v>
      </c>
      <c r="K10" s="586"/>
      <c r="L10" s="586"/>
      <c r="M10" s="587"/>
      <c r="O10" s="1404" t="s">
        <v>730</v>
      </c>
      <c r="P10" s="586"/>
      <c r="Q10" s="586"/>
      <c r="R10" s="587"/>
      <c r="T10" s="1404" t="s">
        <v>63</v>
      </c>
      <c r="U10" s="586"/>
      <c r="V10" s="586"/>
      <c r="W10" s="587"/>
      <c r="Y10" s="1404" t="s">
        <v>731</v>
      </c>
      <c r="Z10" s="586"/>
      <c r="AA10" s="586"/>
      <c r="AB10" s="587"/>
      <c r="AD10" s="1404" t="s">
        <v>732</v>
      </c>
      <c r="AE10" s="586"/>
      <c r="AF10" s="586"/>
      <c r="AG10" s="587"/>
      <c r="AH10" s="1379"/>
      <c r="AI10" s="534"/>
    </row>
    <row r="11" ht="20.25" customHeight="1">
      <c r="A11" s="545"/>
      <c r="B11" s="527"/>
      <c r="C11" s="1397"/>
      <c r="D11" s="1392"/>
      <c r="E11" s="1405" t="s">
        <v>490</v>
      </c>
      <c r="F11" s="531"/>
      <c r="G11" s="532"/>
      <c r="H11" s="1406" t="str">
        <f>IMAGE("https://raw.githubusercontent.com/msikma/pokesprite/master/items/berry/lum.png",3)</f>
        <v/>
      </c>
      <c r="J11" s="1405" t="s">
        <v>541</v>
      </c>
      <c r="K11" s="531"/>
      <c r="L11" s="532"/>
      <c r="M11" s="1406" t="str">
        <f>IMAGE("https://raw.githubusercontent.com/msikma/pokesprite/master/items/hold-item/life-orb.png",3)</f>
        <v/>
      </c>
      <c r="O11" s="1405" t="s">
        <v>733</v>
      </c>
      <c r="P11" s="531"/>
      <c r="Q11" s="532"/>
      <c r="R11" s="1406" t="str">
        <f>IMAGE("https://raw.githubusercontent.com/msikma/pokesprite/master/items/hold-item/leftovers.png",3)</f>
        <v/>
      </c>
      <c r="T11" s="1405" t="s">
        <v>639</v>
      </c>
      <c r="U11" s="531"/>
      <c r="V11" s="532"/>
      <c r="W11" s="1406" t="str">
        <f>IMAGE("https://i.ibb.co/SK50ng3/booster.png",4,22,22)</f>
        <v/>
      </c>
      <c r="Y11" s="1405" t="s">
        <v>733</v>
      </c>
      <c r="Z11" s="531"/>
      <c r="AA11" s="532"/>
      <c r="AB11" s="1406" t="str">
        <f>IMAGE("https://raw.githubusercontent.com/msikma/pokesprite/master/items/hold-item/leftovers.png",3)</f>
        <v/>
      </c>
      <c r="AD11" s="1405" t="s">
        <v>734</v>
      </c>
      <c r="AE11" s="531"/>
      <c r="AF11" s="532"/>
      <c r="AG11" s="1406" t="str">
        <f>IMAGE("https://raw.githubusercontent.com/msikma/pokesprite/master/items/mega-stone/aerodactylite.png",3)</f>
        <v/>
      </c>
      <c r="AH11" s="1396"/>
      <c r="AI11" s="534"/>
    </row>
    <row r="12" ht="20.25" customHeight="1">
      <c r="A12" s="545"/>
      <c r="B12" s="527"/>
      <c r="C12" s="1401"/>
      <c r="D12" s="1392"/>
      <c r="E12" s="1407" t="s">
        <v>191</v>
      </c>
      <c r="F12" s="581"/>
      <c r="G12" s="1408"/>
      <c r="H12" s="1409" t="str">
        <f>IMAGE("https://raw.githubusercontent.com/msikma/pokesprite/master/misc/types/gen8/rock.png",4,20,20)</f>
        <v/>
      </c>
      <c r="J12" s="1407" t="s">
        <v>612</v>
      </c>
      <c r="K12" s="581"/>
      <c r="L12" s="1408"/>
      <c r="M12" s="1409" t="str">
        <f>IMAGE("https://raw.githubusercontent.com/msikma/pokesprite/master/misc/types/gen8/bug.png",4,20,20)</f>
        <v/>
      </c>
      <c r="O12" s="1407" t="s">
        <v>192</v>
      </c>
      <c r="P12" s="581"/>
      <c r="Q12" s="1408"/>
      <c r="R12" s="1409" t="str">
        <f>IMAGE("https://raw.githubusercontent.com/msikma/pokesprite/master/misc/types/gen8/poison.png",4,20,20)</f>
        <v/>
      </c>
      <c r="T12" s="1407" t="s">
        <v>579</v>
      </c>
      <c r="U12" s="581"/>
      <c r="V12" s="1408"/>
      <c r="W12" s="1409" t="str">
        <f>IMAGE("https://raw.githubusercontent.com/msikma/pokesprite/master/misc/types/gen8/dark.png",4,20,20)</f>
        <v/>
      </c>
      <c r="Y12" s="1407" t="s">
        <v>735</v>
      </c>
      <c r="Z12" s="581"/>
      <c r="AA12" s="1408"/>
      <c r="AB12" s="1409" t="str">
        <f>IMAGE("https://raw.githubusercontent.com/msikma/pokesprite/master/misc/types/gen8/normal.png",4,20,20)</f>
        <v/>
      </c>
      <c r="AD12" s="1407" t="s">
        <v>219</v>
      </c>
      <c r="AE12" s="581"/>
      <c r="AF12" s="1408"/>
      <c r="AG12" s="1409" t="str">
        <f>IMAGE("https://raw.githubusercontent.com/msikma/pokesprite/master/misc/types/gen8/dragon.png",4,20,20)</f>
        <v/>
      </c>
      <c r="AH12" s="1379"/>
      <c r="AI12" s="534"/>
    </row>
    <row r="13" ht="20.25" customHeight="1">
      <c r="A13" s="545"/>
      <c r="B13" s="527"/>
      <c r="C13" s="1410"/>
      <c r="D13" s="1392"/>
      <c r="E13" s="1411" t="s">
        <v>583</v>
      </c>
      <c r="F13" s="586"/>
      <c r="G13" s="1412"/>
      <c r="H13" s="1413" t="str">
        <f>IMAGE("https://raw.githubusercontent.com/msikma/pokesprite/master/misc/types/gen8/fighting.png",4,20,20)</f>
        <v/>
      </c>
      <c r="J13" s="1411" t="s">
        <v>549</v>
      </c>
      <c r="K13" s="586"/>
      <c r="L13" s="1412"/>
      <c r="M13" s="1413" t="str">
        <f>IMAGE("https://raw.githubusercontent.com/msikma/pokesprite/master/misc/types/gen8/ground.png",4,20,20)</f>
        <v/>
      </c>
      <c r="O13" s="1404" t="s">
        <v>736</v>
      </c>
      <c r="P13" s="586"/>
      <c r="Q13" s="1412"/>
      <c r="R13" s="1413" t="str">
        <f>IMAGE("https://raw.githubusercontent.com/msikma/pokesprite/master/misc/types/gen8/ground.png",4,20,20)</f>
        <v/>
      </c>
      <c r="T13" s="1411" t="s">
        <v>549</v>
      </c>
      <c r="U13" s="586"/>
      <c r="V13" s="1412"/>
      <c r="W13" s="1413" t="str">
        <f>IMAGE("https://raw.githubusercontent.com/msikma/pokesprite/master/misc/types/gen8/ground.png",4,20,20)</f>
        <v/>
      </c>
      <c r="Y13" s="1411" t="s">
        <v>644</v>
      </c>
      <c r="Z13" s="586"/>
      <c r="AA13" s="1412"/>
      <c r="AB13" s="1413" t="str">
        <f>IMAGE("https://raw.githubusercontent.com/msikma/pokesprite/master/misc/types/gen8/ground.png",4,20,20)</f>
        <v/>
      </c>
      <c r="AD13" s="1411" t="s">
        <v>621</v>
      </c>
      <c r="AE13" s="586"/>
      <c r="AF13" s="1412"/>
      <c r="AG13" s="1413" t="str">
        <f>IMAGE("https://raw.githubusercontent.com/msikma/pokesprite/master/misc/types/gen8/rock.png",4,20,20)</f>
        <v/>
      </c>
      <c r="AH13" s="1379"/>
      <c r="AI13" s="534"/>
    </row>
    <row r="14" ht="20.25" customHeight="1">
      <c r="A14" s="545"/>
      <c r="B14" s="527"/>
      <c r="C14" s="1410"/>
      <c r="D14" s="1392"/>
      <c r="E14" s="1404" t="s">
        <v>737</v>
      </c>
      <c r="F14" s="586"/>
      <c r="G14" s="1412"/>
      <c r="H14" s="1414" t="str">
        <f>IMAGE("https://raw.githubusercontent.com/msikma/pokesprite/master/misc/types/gen8/rock.png",4,20,20)</f>
        <v/>
      </c>
      <c r="J14" s="1404" t="s">
        <v>621</v>
      </c>
      <c r="K14" s="586"/>
      <c r="L14" s="1412"/>
      <c r="M14" s="1414" t="str">
        <f>IMAGE("https://raw.githubusercontent.com/msikma/pokesprite/master/misc/types/gen8/rock.png",4,20,20)</f>
        <v/>
      </c>
      <c r="O14" s="1404" t="s">
        <v>738</v>
      </c>
      <c r="P14" s="586"/>
      <c r="Q14" s="1412"/>
      <c r="R14" s="1414" t="str">
        <f>IMAGE("https://raw.githubusercontent.com/msikma/pokesprite/master/misc/types/gen8/psychic.png",4,20,20)</f>
        <v/>
      </c>
      <c r="T14" s="1404" t="s">
        <v>739</v>
      </c>
      <c r="U14" s="586"/>
      <c r="V14" s="1412"/>
      <c r="W14" s="1414" t="str">
        <f>IMAGE("https://raw.githubusercontent.com/msikma/pokesprite/master/misc/types/gen8/steel.png",4,20,20)</f>
        <v/>
      </c>
      <c r="Y14" s="1404" t="s">
        <v>740</v>
      </c>
      <c r="Z14" s="586"/>
      <c r="AA14" s="1412"/>
      <c r="AB14" s="1414" t="str">
        <f>IMAGE("https://raw.githubusercontent.com/msikma/pokesprite/master/misc/types/gen8/fighting.png",4,20,20)</f>
        <v/>
      </c>
      <c r="AD14" s="1404" t="s">
        <v>549</v>
      </c>
      <c r="AE14" s="586"/>
      <c r="AF14" s="1412"/>
      <c r="AG14" s="1414" t="str">
        <f>IMAGE("https://raw.githubusercontent.com/msikma/pokesprite/master/misc/types/gen8/ground.png",4,20,20)</f>
        <v/>
      </c>
      <c r="AH14" s="1379"/>
      <c r="AI14" s="534"/>
    </row>
    <row r="15" ht="21.0" customHeight="1">
      <c r="A15" s="574"/>
      <c r="B15" s="527"/>
      <c r="C15" s="1410"/>
      <c r="D15" s="1392"/>
      <c r="E15" s="1415" t="s">
        <v>741</v>
      </c>
      <c r="F15" s="1416"/>
      <c r="G15" s="1417"/>
      <c r="H15" s="1418" t="str">
        <f>IMAGE("https://raw.githubusercontent.com/msikma/pokesprite/master/misc/types/gen8/psychic.png",4,20,20)</f>
        <v/>
      </c>
      <c r="I15" s="550"/>
      <c r="J15" s="1415" t="s">
        <v>742</v>
      </c>
      <c r="K15" s="1416"/>
      <c r="L15" s="1417"/>
      <c r="M15" s="1418" t="str">
        <f>IMAGE("https://raw.githubusercontent.com/msikma/pokesprite/master/misc/types/gen8/grass.png",4,20,20)</f>
        <v/>
      </c>
      <c r="N15" s="550"/>
      <c r="O15" s="1415" t="s">
        <v>698</v>
      </c>
      <c r="P15" s="1416"/>
      <c r="Q15" s="1417"/>
      <c r="R15" s="1418" t="str">
        <f>IMAGE("https://raw.githubusercontent.com/msikma/pokesprite/master/misc/types/gen8/normal.png",4,20,20)</f>
        <v/>
      </c>
      <c r="S15" s="550"/>
      <c r="T15" s="1415" t="s">
        <v>689</v>
      </c>
      <c r="U15" s="1416"/>
      <c r="V15" s="1417"/>
      <c r="W15" s="1418" t="str">
        <f>IMAGE("https://raw.githubusercontent.com/msikma/pokesprite/master/misc/types/gen8/ice.png",4,20,20)</f>
        <v/>
      </c>
      <c r="X15" s="550"/>
      <c r="Y15" s="1415" t="s">
        <v>743</v>
      </c>
      <c r="Z15" s="1416"/>
      <c r="AA15" s="1417"/>
      <c r="AB15" s="1418" t="str">
        <f>IMAGE("https://raw.githubusercontent.com/msikma/pokesprite/master/misc/types/gen8/normal.png",4,20,20)</f>
        <v/>
      </c>
      <c r="AC15" s="550"/>
      <c r="AD15" s="1415" t="s">
        <v>744</v>
      </c>
      <c r="AE15" s="1416"/>
      <c r="AF15" s="1417"/>
      <c r="AG15" s="1418" t="str">
        <f>IMAGE("https://raw.githubusercontent.com/msikma/pokesprite/master/misc/types/gen8/flying.png",4,20,20)</f>
        <v/>
      </c>
      <c r="AH15" s="1379"/>
      <c r="AI15" s="534"/>
    </row>
    <row r="16" ht="3.0" customHeight="1">
      <c r="A16" s="545"/>
      <c r="B16" s="563"/>
      <c r="C16" s="1419"/>
      <c r="D16" s="598"/>
      <c r="E16" s="1420"/>
      <c r="F16" s="1420"/>
      <c r="G16" s="1420"/>
      <c r="H16" s="1420"/>
      <c r="I16" s="598"/>
      <c r="J16" s="1420"/>
      <c r="K16" s="1420"/>
      <c r="L16" s="1420"/>
      <c r="M16" s="1420"/>
      <c r="N16" s="598"/>
      <c r="O16" s="1420"/>
      <c r="P16" s="1420"/>
      <c r="Q16" s="1420"/>
      <c r="R16" s="1420"/>
      <c r="S16" s="598"/>
      <c r="T16" s="1420"/>
      <c r="U16" s="1420"/>
      <c r="V16" s="1420"/>
      <c r="W16" s="1420"/>
      <c r="X16" s="598"/>
      <c r="Y16" s="1420"/>
      <c r="Z16" s="1421"/>
      <c r="AA16" s="1421"/>
      <c r="AB16" s="1422"/>
      <c r="AC16" s="598"/>
      <c r="AD16" s="1423"/>
      <c r="AE16" s="1423"/>
      <c r="AF16" s="1423"/>
      <c r="AG16" s="1422"/>
      <c r="AH16" s="573"/>
      <c r="AI16" s="525"/>
    </row>
    <row r="17" ht="16.5" customHeight="1">
      <c r="A17" s="545"/>
      <c r="B17" s="602"/>
      <c r="C17" s="1419"/>
      <c r="D17" s="628"/>
      <c r="E17" s="605" t="s">
        <v>512</v>
      </c>
      <c r="F17" s="606"/>
      <c r="G17" s="606"/>
      <c r="H17" s="607"/>
      <c r="I17" s="617"/>
      <c r="J17" s="605" t="s">
        <v>512</v>
      </c>
      <c r="K17" s="606"/>
      <c r="L17" s="606"/>
      <c r="M17" s="607"/>
      <c r="N17" s="617"/>
      <c r="O17" s="605" t="s">
        <v>512</v>
      </c>
      <c r="P17" s="606"/>
      <c r="Q17" s="606"/>
      <c r="R17" s="607"/>
      <c r="S17" s="617"/>
      <c r="T17" s="605" t="s">
        <v>512</v>
      </c>
      <c r="U17" s="606"/>
      <c r="V17" s="606"/>
      <c r="W17" s="607"/>
      <c r="X17" s="617"/>
      <c r="Y17" s="605" t="s">
        <v>512</v>
      </c>
      <c r="Z17" s="606"/>
      <c r="AA17" s="606"/>
      <c r="AB17" s="607"/>
      <c r="AC17" s="617"/>
      <c r="AD17" s="605" t="s">
        <v>512</v>
      </c>
      <c r="AE17" s="606"/>
      <c r="AF17" s="606"/>
      <c r="AG17" s="607"/>
      <c r="AH17" s="639"/>
      <c r="AI17" s="612"/>
    </row>
    <row r="18" ht="16.5" customHeight="1">
      <c r="A18" s="545"/>
      <c r="B18" s="602"/>
      <c r="C18" s="1419"/>
      <c r="D18" s="628"/>
      <c r="E18" s="613" t="s">
        <v>513</v>
      </c>
      <c r="F18" s="614">
        <f t="array" ref="F18">IFERROR(VLOOKUP(E5,Dex!$B$3:$N101,8,FALSE),"")</f>
        <v>90</v>
      </c>
      <c r="G18" s="615" t="str">
        <f t="array" ref="G18">IFERROR(VLOOKUP(F18,Dex!$P$22:$Q$276,2,FALSE),"")</f>
        <v/>
      </c>
      <c r="H18" s="616"/>
      <c r="I18" s="1424"/>
      <c r="J18" s="613" t="s">
        <v>513</v>
      </c>
      <c r="K18" s="614">
        <f t="array" ref="K18">IFERROR(VLOOKUP(J5,Dex!$B$3:$N101,8,FALSE),"")</f>
        <v>89</v>
      </c>
      <c r="L18" s="615" t="str">
        <f t="array" ref="L18">IFERROR(VLOOKUP(K18,Dex!$P$22:$Q$276,2,FALSE),"")</f>
        <v/>
      </c>
      <c r="M18" s="616"/>
      <c r="N18" s="1424"/>
      <c r="O18" s="613" t="s">
        <v>513</v>
      </c>
      <c r="P18" s="614">
        <f t="array" ref="P18">IFERROR(VLOOKUP(O5,Dex!$B$3:$N101,8,FALSE),"")</f>
        <v>216</v>
      </c>
      <c r="Q18" s="615" t="str">
        <f t="array" ref="Q18">IFERROR(VLOOKUP(P18,Dex!$P$22:$Q$276,2,FALSE),"")</f>
        <v/>
      </c>
      <c r="R18" s="616"/>
      <c r="S18" s="1424"/>
      <c r="T18" s="613" t="s">
        <v>513</v>
      </c>
      <c r="U18" s="614">
        <f t="array" ref="U18">IFERROR(VLOOKUP(T5,Dex!$B$3:$N101,8,FALSE),"")</f>
        <v>90</v>
      </c>
      <c r="V18" s="615" t="str">
        <f t="array" ref="V18">IFERROR(VLOOKUP(U18,Dex!$P$22:$Q$276,2,FALSE),"")</f>
        <v/>
      </c>
      <c r="W18" s="616"/>
      <c r="X18" s="1424"/>
      <c r="Y18" s="613" t="s">
        <v>513</v>
      </c>
      <c r="Z18" s="614">
        <f t="array" ref="Z18">IFERROR(VLOOKUP(Y5,Dex!$B$3:$N101,8,FALSE),"")</f>
        <v>113</v>
      </c>
      <c r="AA18" s="615" t="str">
        <f t="array" ref="AA18">IFERROR(VLOOKUP(Z18,Dex!$P$22:$Q$276,2,FALSE),"")</f>
        <v/>
      </c>
      <c r="AB18" s="616"/>
      <c r="AC18" s="1424"/>
      <c r="AD18" s="613" t="s">
        <v>513</v>
      </c>
      <c r="AE18" s="614">
        <f t="array" ref="AE18">IFERROR(VLOOKUP(AD5,Dex!$B$3:$N101,8,FALSE),"")</f>
        <v>80</v>
      </c>
      <c r="AF18" s="615" t="str">
        <f t="array" ref="AF18">IFERROR(VLOOKUP(AE18,Dex!$P$22:$Q$276,2,FALSE),"")</f>
        <v/>
      </c>
      <c r="AG18" s="616"/>
      <c r="AH18" s="1425"/>
      <c r="AI18" s="612"/>
    </row>
    <row r="19" ht="16.5" customHeight="1">
      <c r="A19" s="545"/>
      <c r="B19" s="602"/>
      <c r="C19" s="1419"/>
      <c r="D19" s="628"/>
      <c r="E19" s="620" t="s">
        <v>514</v>
      </c>
      <c r="F19" s="621">
        <f t="array" ref="F19">IFERROR(VLOOKUP(E5,Dex!$B$3:$N101,9,FALSE),"")</f>
        <v>120</v>
      </c>
      <c r="G19" s="622" t="str">
        <f t="array" ref="G19">IFERROR(VLOOKUP(F19,Dex!$P$22:$Q$276,2,FALSE),"")</f>
        <v/>
      </c>
      <c r="H19" s="623"/>
      <c r="I19" s="1424"/>
      <c r="J19" s="620" t="s">
        <v>514</v>
      </c>
      <c r="K19" s="621">
        <f t="array" ref="K19">IFERROR(VLOOKUP(J5,Dex!$B$3:$N101,9,FALSE),"")</f>
        <v>125</v>
      </c>
      <c r="L19" s="622" t="str">
        <f t="array" ref="L19">IFERROR(VLOOKUP(K19,Dex!$P$22:$Q$276,2,FALSE),"")</f>
        <v/>
      </c>
      <c r="M19" s="623"/>
      <c r="N19" s="1424"/>
      <c r="O19" s="620" t="s">
        <v>514</v>
      </c>
      <c r="P19" s="621">
        <f t="array" ref="P19">IFERROR(VLOOKUP(O5,Dex!$B$3:$N101,9,FALSE),"")</f>
        <v>100</v>
      </c>
      <c r="Q19" s="622" t="str">
        <f t="array" ref="Q19">IFERROR(VLOOKUP(P19,Dex!$P$22:$Q$276,2,FALSE),"")</f>
        <v/>
      </c>
      <c r="R19" s="623"/>
      <c r="S19" s="1424"/>
      <c r="T19" s="620" t="s">
        <v>514</v>
      </c>
      <c r="U19" s="621">
        <f t="array" ref="U19">IFERROR(VLOOKUP(T5,Dex!$B$3:$N101,9,FALSE),"")</f>
        <v>112</v>
      </c>
      <c r="V19" s="622" t="str">
        <f t="array" ref="V19">IFERROR(VLOOKUP(U19,Dex!$P$22:$Q$276,2,FALSE),"")</f>
        <v/>
      </c>
      <c r="W19" s="623"/>
      <c r="X19" s="1424"/>
      <c r="Y19" s="620" t="s">
        <v>514</v>
      </c>
      <c r="Z19" s="621">
        <f t="array" ref="Z19">IFERROR(VLOOKUP(Y5,Dex!$B$3:$N101,9,FALSE),"")</f>
        <v>70</v>
      </c>
      <c r="AA19" s="622" t="str">
        <f t="array" ref="AA19">IFERROR(VLOOKUP(Z19,Dex!$P$22:$Q$276,2,FALSE),"")</f>
        <v/>
      </c>
      <c r="AB19" s="623"/>
      <c r="AC19" s="1424"/>
      <c r="AD19" s="620" t="s">
        <v>514</v>
      </c>
      <c r="AE19" s="621">
        <f t="array" ref="AE19">IFERROR(VLOOKUP(AD5,Dex!$B$3:$N101,9,FALSE),"")</f>
        <v>135</v>
      </c>
      <c r="AF19" s="622" t="str">
        <f t="array" ref="AF19">IFERROR(VLOOKUP(AE19,Dex!$P$22:$Q$276,2,FALSE),"")</f>
        <v/>
      </c>
      <c r="AG19" s="623"/>
      <c r="AH19" s="1425"/>
      <c r="AI19" s="612"/>
    </row>
    <row r="20" ht="16.5" customHeight="1">
      <c r="A20" s="545"/>
      <c r="B20" s="602"/>
      <c r="C20" s="1419"/>
      <c r="D20" s="628"/>
      <c r="E20" s="620" t="s">
        <v>515</v>
      </c>
      <c r="F20" s="621">
        <f t="array" ref="F20">IFERROR(VLOOKUP(E5,Dex!$B$3:$N101,10,FALSE),"")</f>
        <v>80</v>
      </c>
      <c r="G20" s="622" t="str">
        <f t="array" ref="G20">IFERROR(VLOOKUP(F20,Dex!$P$22:$Q$276,2,FALSE),"")</f>
        <v/>
      </c>
      <c r="H20" s="623"/>
      <c r="I20" s="1424"/>
      <c r="J20" s="620" t="s">
        <v>515</v>
      </c>
      <c r="K20" s="621">
        <f t="array" ref="K20">IFERROR(VLOOKUP(J5,Dex!$B$3:$N101,10,FALSE),"")</f>
        <v>90</v>
      </c>
      <c r="L20" s="622" t="str">
        <f t="array" ref="L20">IFERROR(VLOOKUP(K20,Dex!$P$22:$Q$276,2,FALSE),"")</f>
        <v/>
      </c>
      <c r="M20" s="623"/>
      <c r="N20" s="1424"/>
      <c r="O20" s="620" t="s">
        <v>515</v>
      </c>
      <c r="P20" s="621">
        <f t="array" ref="P20">IFERROR(VLOOKUP(O5,Dex!$B$3:$N101,10,FALSE),"")</f>
        <v>121</v>
      </c>
      <c r="Q20" s="622" t="str">
        <f t="array" ref="Q20">IFERROR(VLOOKUP(P20,Dex!$P$22:$Q$276,2,FALSE),"")</f>
        <v/>
      </c>
      <c r="R20" s="623"/>
      <c r="S20" s="1424"/>
      <c r="T20" s="620" t="s">
        <v>515</v>
      </c>
      <c r="U20" s="621">
        <f t="array" ref="U20">IFERROR(VLOOKUP(T5,Dex!$B$3:$N101,10,FALSE),"")</f>
        <v>120</v>
      </c>
      <c r="V20" s="622" t="str">
        <f t="array" ref="V20">IFERROR(VLOOKUP(U20,Dex!$P$22:$Q$276,2,FALSE),"")</f>
        <v/>
      </c>
      <c r="W20" s="623"/>
      <c r="X20" s="1424"/>
      <c r="Y20" s="620" t="s">
        <v>515</v>
      </c>
      <c r="Z20" s="621">
        <f t="array" ref="Z20">IFERROR(VLOOKUP(Y5,Dex!$B$3:$N101,10,FALSE),"")</f>
        <v>120</v>
      </c>
      <c r="AA20" s="622" t="str">
        <f t="array" ref="AA20">IFERROR(VLOOKUP(Z20,Dex!$P$22:$Q$276,2,FALSE),"")</f>
        <v/>
      </c>
      <c r="AB20" s="623"/>
      <c r="AC20" s="1424"/>
      <c r="AD20" s="620" t="s">
        <v>515</v>
      </c>
      <c r="AE20" s="621">
        <f t="array" ref="AE20">IFERROR(VLOOKUP(AD5,Dex!$B$3:$N101,10,FALSE),"")</f>
        <v>85</v>
      </c>
      <c r="AF20" s="622" t="str">
        <f t="array" ref="AF20">IFERROR(VLOOKUP(AE20,Dex!$P$22:$Q$276,2,FALSE),"")</f>
        <v/>
      </c>
      <c r="AG20" s="623"/>
      <c r="AH20" s="1425"/>
      <c r="AI20" s="612"/>
    </row>
    <row r="21" ht="16.5" customHeight="1">
      <c r="A21" s="545"/>
      <c r="B21" s="602"/>
      <c r="C21" s="1419"/>
      <c r="D21" s="628"/>
      <c r="E21" s="620" t="s">
        <v>516</v>
      </c>
      <c r="F21" s="621">
        <f t="array" ref="F21">IFERROR(VLOOKUP(E5,Dex!$B$3:$N101,11,FALSE),"")</f>
        <v>68</v>
      </c>
      <c r="G21" s="622" t="str">
        <f t="array" ref="G21">IFERROR(VLOOKUP(F21,Dex!$P$22:$Q$276,2,FALSE),"")</f>
        <v/>
      </c>
      <c r="H21" s="623"/>
      <c r="I21" s="1424"/>
      <c r="J21" s="620" t="s">
        <v>516</v>
      </c>
      <c r="K21" s="621">
        <f t="array" ref="K21">IFERROR(VLOOKUP(J5,Dex!$B$3:$N101,11,FALSE),"")</f>
        <v>115</v>
      </c>
      <c r="L21" s="622" t="str">
        <f t="array" ref="L21">IFERROR(VLOOKUP(K21,Dex!$P$22:$Q$276,2,FALSE),"")</f>
        <v/>
      </c>
      <c r="M21" s="623"/>
      <c r="N21" s="1424"/>
      <c r="O21" s="620" t="s">
        <v>516</v>
      </c>
      <c r="P21" s="621">
        <f t="array" ref="P21">IFERROR(VLOOKUP(O5,Dex!$B$3:$N101,11,FALSE),"")</f>
        <v>91</v>
      </c>
      <c r="Q21" s="622" t="str">
        <f t="array" ref="Q21">IFERROR(VLOOKUP(P21,Dex!$P$22:$Q$276,2,FALSE),"")</f>
        <v/>
      </c>
      <c r="R21" s="623"/>
      <c r="S21" s="1424"/>
      <c r="T21" s="620" t="s">
        <v>516</v>
      </c>
      <c r="U21" s="621">
        <f t="array" ref="U21">IFERROR(VLOOKUP(T5,Dex!$B$3:$N101,11,FALSE),"")</f>
        <v>72</v>
      </c>
      <c r="V21" s="622" t="str">
        <f t="array" ref="V21">IFERROR(VLOOKUP(U21,Dex!$P$22:$Q$276,2,FALSE),"")</f>
        <v/>
      </c>
      <c r="W21" s="623"/>
      <c r="X21" s="1424"/>
      <c r="Y21" s="620" t="s">
        <v>516</v>
      </c>
      <c r="Z21" s="621">
        <f t="array" ref="Z21">IFERROR(VLOOKUP(Y5,Dex!$B$3:$N101,11,FALSE),"")</f>
        <v>135</v>
      </c>
      <c r="AA21" s="622" t="str">
        <f t="array" ref="AA21">IFERROR(VLOOKUP(Z21,Dex!$P$22:$Q$276,2,FALSE),"")</f>
        <v/>
      </c>
      <c r="AB21" s="623"/>
      <c r="AC21" s="1424"/>
      <c r="AD21" s="620" t="s">
        <v>516</v>
      </c>
      <c r="AE21" s="621">
        <f t="array" ref="AE21">IFERROR(VLOOKUP(AD5,Dex!$B$3:$N101,11,FALSE),"")</f>
        <v>70</v>
      </c>
      <c r="AF21" s="622" t="str">
        <f t="array" ref="AF21">IFERROR(VLOOKUP(AE21,Dex!$P$22:$Q$276,2,FALSE),"")</f>
        <v/>
      </c>
      <c r="AG21" s="623"/>
      <c r="AH21" s="1425"/>
      <c r="AI21" s="612"/>
    </row>
    <row r="22" ht="16.5" customHeight="1">
      <c r="A22" s="545"/>
      <c r="B22" s="602"/>
      <c r="C22" s="1419"/>
      <c r="D22" s="628"/>
      <c r="E22" s="620" t="s">
        <v>517</v>
      </c>
      <c r="F22" s="621">
        <f t="array" ref="F22">IFERROR(VLOOKUP(E5,Dex!$B$3:$N101,12,FALSE),"")</f>
        <v>108</v>
      </c>
      <c r="G22" s="622" t="str">
        <f t="array" ref="G22">IFERROR(VLOOKUP(F22,Dex!$P$22:$Q$276,2,FALSE),"")</f>
        <v/>
      </c>
      <c r="H22" s="623"/>
      <c r="I22" s="1424"/>
      <c r="J22" s="620" t="s">
        <v>517</v>
      </c>
      <c r="K22" s="621">
        <f t="array" ref="K22">IFERROR(VLOOKUP(J5,Dex!$B$3:$N101,12,FALSE),"")</f>
        <v>80</v>
      </c>
      <c r="L22" s="622" t="str">
        <f t="array" ref="L22">IFERROR(VLOOKUP(K22,Dex!$P$22:$Q$276,2,FALSE),"")</f>
        <v/>
      </c>
      <c r="M22" s="623"/>
      <c r="N22" s="1424"/>
      <c r="O22" s="620" t="s">
        <v>517</v>
      </c>
      <c r="P22" s="621">
        <f t="array" ref="P22">IFERROR(VLOOKUP(O5,Dex!$B$3:$N101,12,FALSE),"")</f>
        <v>95</v>
      </c>
      <c r="Q22" s="622" t="str">
        <f t="array" ref="Q22">IFERROR(VLOOKUP(P22,Dex!$P$22:$Q$276,2,FALSE),"")</f>
        <v/>
      </c>
      <c r="R22" s="623"/>
      <c r="S22" s="1424"/>
      <c r="T22" s="620" t="s">
        <v>517</v>
      </c>
      <c r="U22" s="621">
        <f t="array" ref="U22">IFERROR(VLOOKUP(T5,Dex!$B$3:$N101,12,FALSE),"")</f>
        <v>70</v>
      </c>
      <c r="V22" s="622" t="str">
        <f t="array" ref="V22">IFERROR(VLOOKUP(U22,Dex!$P$22:$Q$276,2,FALSE),"")</f>
        <v/>
      </c>
      <c r="W22" s="623"/>
      <c r="X22" s="1424"/>
      <c r="Y22" s="620" t="s">
        <v>517</v>
      </c>
      <c r="Z22" s="621">
        <f t="array" ref="Z22">IFERROR(VLOOKUP(Y5,Dex!$B$3:$N101,12,FALSE),"")</f>
        <v>65</v>
      </c>
      <c r="AA22" s="622" t="str">
        <f t="array" ref="AA22">IFERROR(VLOOKUP(Z22,Dex!$P$22:$Q$276,2,FALSE),"")</f>
        <v/>
      </c>
      <c r="AB22" s="623"/>
      <c r="AC22" s="1424"/>
      <c r="AD22" s="620" t="s">
        <v>517</v>
      </c>
      <c r="AE22" s="621">
        <f t="array" ref="AE22">IFERROR(VLOOKUP(AD5,Dex!$B$3:$N101,12,FALSE),"")</f>
        <v>95</v>
      </c>
      <c r="AF22" s="622" t="str">
        <f t="array" ref="AF22">IFERROR(VLOOKUP(AE22,Dex!$P$22:$Q$276,2,FALSE),"")</f>
        <v/>
      </c>
      <c r="AG22" s="623"/>
      <c r="AH22" s="1425"/>
      <c r="AI22" s="612"/>
    </row>
    <row r="23" ht="15.75" customHeight="1">
      <c r="A23" s="545"/>
      <c r="B23" s="602"/>
      <c r="C23" s="1426" t="s">
        <v>745</v>
      </c>
      <c r="D23" s="628"/>
      <c r="E23" s="624" t="s">
        <v>518</v>
      </c>
      <c r="F23" s="625">
        <f t="array" ref="F23">IFERROR(VLOOKUP(E5,Dex!$B$3:$N101,13,FALSE),"")</f>
        <v>124</v>
      </c>
      <c r="G23" s="626" t="str">
        <f t="array" ref="G23">IFERROR(VLOOKUP(F23,Dex!$P$22:$Q$276,2,FALSE),"")</f>
        <v/>
      </c>
      <c r="H23" s="627"/>
      <c r="I23" s="1424"/>
      <c r="J23" s="624" t="s">
        <v>518</v>
      </c>
      <c r="K23" s="625">
        <f t="array" ref="K23">IFERROR(VLOOKUP(J5,Dex!$B$3:$N101,13,FALSE),"")</f>
        <v>101</v>
      </c>
      <c r="L23" s="626" t="str">
        <f t="array" ref="L23">IFERROR(VLOOKUP(K23,Dex!$P$22:$Q$276,2,FALSE),"")</f>
        <v/>
      </c>
      <c r="M23" s="627"/>
      <c r="N23" s="1424"/>
      <c r="O23" s="624" t="s">
        <v>518</v>
      </c>
      <c r="P23" s="625">
        <f t="array" ref="P23">IFERROR(VLOOKUP(O5,Dex!$B$3:$N101,13,FALSE),"")</f>
        <v>85</v>
      </c>
      <c r="Q23" s="626" t="str">
        <f t="array" ref="Q23">IFERROR(VLOOKUP(P23,Dex!$P$22:$Q$276,2,FALSE),"")</f>
        <v/>
      </c>
      <c r="R23" s="627"/>
      <c r="S23" s="1424"/>
      <c r="T23" s="624" t="s">
        <v>518</v>
      </c>
      <c r="U23" s="625">
        <f t="array" ref="U23">IFERROR(VLOOKUP(T5,Dex!$B$3:$N101,13,FALSE),"")</f>
        <v>106</v>
      </c>
      <c r="V23" s="626" t="str">
        <f t="array" ref="V23">IFERROR(VLOOKUP(U23,Dex!$P$22:$Q$276,2,FALSE),"")</f>
        <v/>
      </c>
      <c r="W23" s="627"/>
      <c r="X23" s="1424"/>
      <c r="Y23" s="624" t="s">
        <v>518</v>
      </c>
      <c r="Z23" s="625">
        <f t="array" ref="Z23">IFERROR(VLOOKUP(Y5,Dex!$B$3:$N101,13,FALSE),"")</f>
        <v>52</v>
      </c>
      <c r="AA23" s="626" t="str">
        <f t="array" ref="AA23">IFERROR(VLOOKUP(Z23,Dex!$P$22:$Q$276,2,FALSE),"")</f>
        <v/>
      </c>
      <c r="AB23" s="627"/>
      <c r="AC23" s="1424"/>
      <c r="AD23" s="624" t="s">
        <v>518</v>
      </c>
      <c r="AE23" s="625">
        <f t="array" ref="AE23">IFERROR(VLOOKUP(AD5,Dex!$B$3:$N101,13,FALSE),"")</f>
        <v>150</v>
      </c>
      <c r="AF23" s="626" t="str">
        <f t="array" ref="AF23">IFERROR(VLOOKUP(AE23,Dex!$P$22:$Q$276,2,FALSE),"")</f>
        <v/>
      </c>
      <c r="AG23" s="627"/>
      <c r="AH23" s="1425"/>
      <c r="AI23" s="612"/>
    </row>
    <row r="24" ht="16.5" customHeight="1">
      <c r="A24" s="545"/>
      <c r="B24" s="602"/>
      <c r="C24" s="1427" t="s">
        <v>746</v>
      </c>
      <c r="D24" s="628"/>
      <c r="E24" s="629" t="s">
        <v>519</v>
      </c>
      <c r="F24" s="630"/>
      <c r="G24" s="631"/>
      <c r="H24" s="632">
        <f>ROUNDDOWN((ROUNDDOWN(((((2*F23+31)*68)/100+5)),0))*1.1,0)</f>
        <v>213</v>
      </c>
      <c r="I24" s="617"/>
      <c r="J24" s="629" t="s">
        <v>519</v>
      </c>
      <c r="K24" s="630"/>
      <c r="L24" s="631"/>
      <c r="M24" s="632">
        <f>ROUNDDOWN((ROUNDDOWN(((((2*K23+31)*68)/100+5)),0))*1.1,0)</f>
        <v>179</v>
      </c>
      <c r="N24" s="617"/>
      <c r="O24" s="629" t="s">
        <v>519</v>
      </c>
      <c r="P24" s="630"/>
      <c r="Q24" s="631"/>
      <c r="R24" s="632">
        <f>ROUNDDOWN((ROUNDDOWN(((((2*P23+31)*68)/100+5)),0))*1,0)</f>
        <v>141</v>
      </c>
      <c r="S24" s="617"/>
      <c r="T24" s="629" t="s">
        <v>519</v>
      </c>
      <c r="U24" s="630"/>
      <c r="V24" s="631"/>
      <c r="W24" s="632">
        <f>ROUNDDOWN((ROUNDDOWN(((((2*U23+31)*68)/100+5)),0))*1.1,0)</f>
        <v>187</v>
      </c>
      <c r="X24" s="617"/>
      <c r="Y24" s="629" t="s">
        <v>519</v>
      </c>
      <c r="Z24" s="630"/>
      <c r="AA24" s="631"/>
      <c r="AB24" s="632">
        <f>ROUNDDOWN((ROUNDDOWN(((((2*Z23+31)*68)/100+5)),0))*1,0)</f>
        <v>96</v>
      </c>
      <c r="AC24" s="617"/>
      <c r="AD24" s="629" t="s">
        <v>519</v>
      </c>
      <c r="AE24" s="630"/>
      <c r="AF24" s="631"/>
      <c r="AG24" s="632">
        <f>ROUNDDOWN((ROUNDDOWN(((((2*AE23+31)*68)/100+5)),0))*1.1,0)</f>
        <v>253</v>
      </c>
      <c r="AH24" s="639"/>
      <c r="AI24" s="612"/>
    </row>
    <row r="25" ht="16.5" customHeight="1">
      <c r="A25" s="545"/>
      <c r="B25" s="1428"/>
      <c r="C25" s="1419"/>
      <c r="D25" s="1429"/>
      <c r="E25" s="1419"/>
      <c r="F25" s="1419"/>
      <c r="G25" s="1419"/>
      <c r="H25" s="1419"/>
      <c r="I25" s="1430"/>
      <c r="J25" s="1419"/>
      <c r="K25" s="1419"/>
      <c r="L25" s="1419"/>
      <c r="M25" s="1419"/>
      <c r="N25" s="1430"/>
      <c r="O25" s="1419"/>
      <c r="P25" s="1419"/>
      <c r="Q25" s="1419"/>
      <c r="R25" s="1419"/>
      <c r="S25" s="1430"/>
      <c r="T25" s="1419"/>
      <c r="U25" s="1419"/>
      <c r="V25" s="1419"/>
      <c r="W25" s="1419"/>
      <c r="X25" s="1430"/>
      <c r="Y25" s="1419"/>
      <c r="Z25" s="1419"/>
      <c r="AA25" s="1419"/>
      <c r="AB25" s="1419"/>
      <c r="AC25" s="1430"/>
      <c r="AD25" s="1419"/>
      <c r="AE25" s="1419"/>
      <c r="AF25" s="1419"/>
      <c r="AG25" s="1419"/>
      <c r="AH25" s="1431"/>
      <c r="AI25" s="612"/>
    </row>
    <row r="26" ht="15.0" customHeight="1">
      <c r="A26" s="545"/>
      <c r="B26" s="1432"/>
      <c r="C26" s="1433"/>
      <c r="D26" s="1434"/>
      <c r="E26" s="1433"/>
      <c r="F26" s="1433"/>
      <c r="G26" s="1433"/>
      <c r="H26" s="1433"/>
      <c r="I26" s="1434"/>
      <c r="J26" s="1433"/>
      <c r="K26" s="1433"/>
      <c r="L26" s="1433"/>
      <c r="M26" s="1433"/>
      <c r="N26" s="1434"/>
      <c r="O26" s="1433"/>
      <c r="P26" s="1433"/>
      <c r="Q26" s="1433"/>
      <c r="R26" s="1433"/>
      <c r="S26" s="1434"/>
      <c r="T26" s="1433"/>
      <c r="U26" s="1433"/>
      <c r="V26" s="1433"/>
      <c r="W26" s="1433"/>
      <c r="X26" s="1434"/>
      <c r="Y26" s="1433"/>
      <c r="Z26" s="1433"/>
      <c r="AA26" s="1433"/>
      <c r="AB26" s="1433"/>
      <c r="AC26" s="1434"/>
      <c r="AD26" s="1433"/>
      <c r="AE26" s="1433"/>
      <c r="AF26" s="1433"/>
      <c r="AG26" s="1433"/>
      <c r="AH26" s="1435"/>
      <c r="AI26" s="534"/>
    </row>
    <row r="27" ht="15.0" customHeight="1">
      <c r="A27" s="545"/>
      <c r="B27" s="1436"/>
      <c r="C27" s="1437"/>
      <c r="D27" s="1438"/>
      <c r="E27" s="1438"/>
      <c r="F27" s="1438"/>
      <c r="G27" s="1438"/>
      <c r="H27" s="1438"/>
      <c r="I27" s="1438"/>
      <c r="J27" s="1438"/>
      <c r="K27" s="1438"/>
      <c r="L27" s="1438"/>
      <c r="M27" s="1438"/>
      <c r="N27" s="1438"/>
      <c r="O27" s="1438"/>
      <c r="P27" s="1438"/>
      <c r="Q27" s="1438"/>
      <c r="R27" s="1438"/>
      <c r="S27" s="1438"/>
      <c r="T27" s="1438"/>
      <c r="U27" s="1438"/>
      <c r="V27" s="1438"/>
      <c r="W27" s="1438"/>
      <c r="X27" s="1438"/>
      <c r="Y27" s="1438"/>
      <c r="Z27" s="1438"/>
      <c r="AA27" s="1438"/>
      <c r="AB27" s="1438"/>
      <c r="AC27" s="1438"/>
      <c r="AD27" s="1438"/>
      <c r="AE27" s="1438"/>
      <c r="AF27" s="1438"/>
      <c r="AG27" s="1438"/>
      <c r="AH27" s="1439"/>
      <c r="AI27" s="534"/>
    </row>
    <row r="28">
      <c r="A28" s="545"/>
      <c r="B28" s="659"/>
      <c r="C28" s="660"/>
      <c r="D28" s="661"/>
      <c r="E28" s="662" t="s">
        <v>747</v>
      </c>
      <c r="F28" s="663"/>
      <c r="G28" s="663"/>
      <c r="H28" s="663"/>
      <c r="I28" s="663"/>
      <c r="J28" s="663"/>
      <c r="K28" s="663"/>
      <c r="L28" s="663"/>
      <c r="M28" s="663"/>
      <c r="N28" s="663"/>
      <c r="O28" s="663"/>
      <c r="P28" s="663"/>
      <c r="Q28" s="663"/>
      <c r="R28" s="663"/>
      <c r="S28" s="663"/>
      <c r="T28" s="663"/>
      <c r="U28" s="663"/>
      <c r="V28" s="663"/>
      <c r="W28" s="663"/>
      <c r="X28" s="663"/>
      <c r="Y28" s="663"/>
      <c r="Z28" s="663"/>
      <c r="AA28" s="663"/>
      <c r="AB28" s="663"/>
      <c r="AC28" s="663"/>
      <c r="AD28" s="663"/>
      <c r="AE28" s="663"/>
      <c r="AF28" s="663"/>
      <c r="AG28" s="664"/>
      <c r="AH28" s="665"/>
      <c r="AI28" s="534"/>
    </row>
    <row r="29" ht="96.75" customHeight="1">
      <c r="A29" s="545"/>
      <c r="B29" s="1440"/>
      <c r="C29" s="1441" t="str">
        <f>IMAGE("https://i.ibb.co/mh2zYn4/Misty.png")</f>
        <v/>
      </c>
      <c r="D29" s="1442"/>
      <c r="E29" s="1443" t="str">
        <f t="array" ref="E29">IFERROR(VLOOKUP(E30,Dex!$B$3:$G101,3,FALSE),"")</f>
        <v/>
      </c>
      <c r="F29" s="539"/>
      <c r="G29" s="539"/>
      <c r="H29" s="540"/>
      <c r="I29" s="1444"/>
      <c r="J29" s="1443" t="str">
        <f t="array" ref="J29">IFERROR(VLOOKUP(J30,Dex!$B$3:$G101,3,FALSE),"")</f>
        <v/>
      </c>
      <c r="K29" s="539"/>
      <c r="L29" s="539"/>
      <c r="M29" s="540"/>
      <c r="N29" s="1444"/>
      <c r="O29" s="1443" t="str">
        <f t="array" ref="O29">IFERROR(VLOOKUP(O30,Dex!$B$3:$G101,3,FALSE),"")</f>
        <v/>
      </c>
      <c r="P29" s="539"/>
      <c r="Q29" s="539"/>
      <c r="R29" s="540"/>
      <c r="S29" s="1444"/>
      <c r="T29" s="1443" t="str">
        <f t="array" ref="T29">IFERROR(VLOOKUP(T30,Dex!$B$3:$G101,3,FALSE),"")</f>
        <v/>
      </c>
      <c r="U29" s="539"/>
      <c r="V29" s="539"/>
      <c r="W29" s="540"/>
      <c r="X29" s="1444"/>
      <c r="Y29" s="1443" t="str">
        <f t="array" ref="Y29">IFERROR(VLOOKUP(Y30,Dex!$B$3:$G101,3,FALSE),"")</f>
        <v/>
      </c>
      <c r="Z29" s="539"/>
      <c r="AA29" s="539"/>
      <c r="AB29" s="540"/>
      <c r="AC29" s="1444"/>
      <c r="AD29" s="1443" t="str">
        <f t="array" ref="AD29">IFERROR(VLOOKUP(AD30,Dex!$B$3:$G101,3,FALSE),"")</f>
        <v/>
      </c>
      <c r="AE29" s="539"/>
      <c r="AF29" s="539"/>
      <c r="AG29" s="540"/>
      <c r="AH29" s="1445"/>
      <c r="AI29" s="534"/>
    </row>
    <row r="30" ht="18.75" customHeight="1">
      <c r="A30" s="545"/>
      <c r="B30" s="1446"/>
      <c r="C30" s="675" t="s">
        <v>748</v>
      </c>
      <c r="D30" s="1447"/>
      <c r="E30" s="1448" t="s">
        <v>749</v>
      </c>
      <c r="F30" s="678"/>
      <c r="G30" s="678"/>
      <c r="H30" s="679"/>
      <c r="J30" s="1448" t="s">
        <v>750</v>
      </c>
      <c r="K30" s="678"/>
      <c r="L30" s="678"/>
      <c r="M30" s="679"/>
      <c r="O30" s="1448" t="s">
        <v>751</v>
      </c>
      <c r="P30" s="678"/>
      <c r="Q30" s="678"/>
      <c r="R30" s="679"/>
      <c r="T30" s="1448" t="s">
        <v>706</v>
      </c>
      <c r="U30" s="678"/>
      <c r="V30" s="678"/>
      <c r="W30" s="679"/>
      <c r="Y30" s="1448" t="s">
        <v>752</v>
      </c>
      <c r="Z30" s="678"/>
      <c r="AA30" s="678"/>
      <c r="AB30" s="679"/>
      <c r="AD30" s="1448" t="s">
        <v>753</v>
      </c>
      <c r="AE30" s="678"/>
      <c r="AF30" s="678"/>
      <c r="AG30" s="679"/>
      <c r="AH30" s="1449"/>
      <c r="AI30" s="1385"/>
    </row>
    <row r="31">
      <c r="A31" s="519"/>
      <c r="B31" s="1450"/>
      <c r="C31" s="556"/>
      <c r="D31" s="1451"/>
      <c r="E31" s="1452" t="s">
        <v>729</v>
      </c>
      <c r="F31" s="686"/>
      <c r="G31" s="686"/>
      <c r="H31" s="687"/>
      <c r="J31" s="1452" t="s">
        <v>729</v>
      </c>
      <c r="K31" s="686"/>
      <c r="L31" s="686"/>
      <c r="M31" s="687"/>
      <c r="O31" s="1452" t="s">
        <v>729</v>
      </c>
      <c r="P31" s="686"/>
      <c r="Q31" s="686"/>
      <c r="R31" s="687"/>
      <c r="T31" s="1452" t="s">
        <v>729</v>
      </c>
      <c r="U31" s="686"/>
      <c r="V31" s="686"/>
      <c r="W31" s="687"/>
      <c r="Y31" s="1452" t="s">
        <v>729</v>
      </c>
      <c r="Z31" s="686"/>
      <c r="AA31" s="686"/>
      <c r="AB31" s="687"/>
      <c r="AD31" s="1452" t="s">
        <v>729</v>
      </c>
      <c r="AE31" s="686"/>
      <c r="AF31" s="686"/>
      <c r="AG31" s="687"/>
      <c r="AH31" s="1453"/>
      <c r="AI31" s="1390"/>
    </row>
    <row r="32" ht="25.5" customHeight="1">
      <c r="A32" s="519"/>
      <c r="B32" s="659"/>
      <c r="C32" s="1454"/>
      <c r="D32" s="1455"/>
      <c r="E32" s="1456"/>
      <c r="F32" s="1457" t="str">
        <f t="array" ref="F32">IFERROR(VLOOKUP(E30,Dex!$B$3:$H101,5,FALSE),"")</f>
        <v/>
      </c>
      <c r="G32" s="1458" t="str">
        <f t="array" ref="G32">IFERROR(VLOOKUP(E30,Dex!$B$3:$H101,7,FALSE),"")</f>
        <v/>
      </c>
      <c r="H32" s="1459"/>
      <c r="J32" s="1456"/>
      <c r="K32" s="1460" t="str">
        <f t="array" ref="K32">IFERROR(VLOOKUP(J30,Dex!$B$3:$H101,5,FALSE),"")</f>
        <v/>
      </c>
      <c r="L32" s="693"/>
      <c r="M32" s="1459"/>
      <c r="O32" s="1456"/>
      <c r="P32" s="1457" t="str">
        <f t="array" ref="P32">IFERROR(VLOOKUP(O30,Dex!$B$3:$H101,5,FALSE),"")</f>
        <v/>
      </c>
      <c r="Q32" s="1458" t="str">
        <f t="array" ref="Q32">IFERROR(VLOOKUP(O30,Dex!$B$3:$H101,7,FALSE),"")</f>
        <v/>
      </c>
      <c r="R32" s="1459"/>
      <c r="T32" s="1456"/>
      <c r="U32" s="1457" t="str">
        <f t="array" ref="U32">IFERROR(VLOOKUP(T30,Dex!$B$3:$H101,5,FALSE),"")</f>
        <v/>
      </c>
      <c r="V32" s="1458" t="str">
        <f t="array" ref="V32">IFERROR(VLOOKUP(T30,Dex!$B$3:$H101,7,FALSE),"")</f>
        <v/>
      </c>
      <c r="W32" s="1459"/>
      <c r="Y32" s="1456"/>
      <c r="Z32" s="1457" t="str">
        <f t="array" ref="Z32">IFERROR(VLOOKUP(Y30,Dex!$B$3:$H101,5,FALSE),"")</f>
        <v/>
      </c>
      <c r="AA32" s="1458" t="str">
        <f t="array" ref="AA32">IFERROR(VLOOKUP(Y30,Dex!$B$3:$H101,7,FALSE),"")</f>
        <v/>
      </c>
      <c r="AB32" s="1459"/>
      <c r="AD32" s="1456"/>
      <c r="AE32" s="1457" t="str">
        <f t="array" ref="AE32">IFERROR(VLOOKUP(AD30,Dex!$B$3:$H101,5,FALSE),"")</f>
        <v/>
      </c>
      <c r="AF32" s="1458" t="str">
        <f t="array" ref="AF32">IFERROR(VLOOKUP(AD30,Dex!$B$3:$H101,7,FALSE),"")</f>
        <v/>
      </c>
      <c r="AG32" s="1459"/>
      <c r="AH32" s="1461"/>
      <c r="AI32" s="534"/>
    </row>
    <row r="33" ht="2.25" customHeight="1">
      <c r="A33" s="519"/>
      <c r="B33" s="659"/>
      <c r="C33" s="697"/>
      <c r="D33" s="1455"/>
      <c r="E33" s="1462"/>
      <c r="F33" s="1463"/>
      <c r="G33" s="1463"/>
      <c r="H33" s="1464"/>
      <c r="J33" s="1462"/>
      <c r="K33" s="1463"/>
      <c r="L33" s="1463"/>
      <c r="M33" s="1464"/>
      <c r="O33" s="1462"/>
      <c r="P33" s="1463"/>
      <c r="Q33" s="1463"/>
      <c r="R33" s="1464"/>
      <c r="T33" s="1462"/>
      <c r="U33" s="1463"/>
      <c r="V33" s="1463"/>
      <c r="W33" s="1464"/>
      <c r="Y33" s="1462"/>
      <c r="Z33" s="1463"/>
      <c r="AA33" s="1463"/>
      <c r="AB33" s="1464"/>
      <c r="AD33" s="1462"/>
      <c r="AE33" s="1463"/>
      <c r="AF33" s="1463"/>
      <c r="AG33" s="1464"/>
      <c r="AH33" s="1461"/>
      <c r="AI33" s="534"/>
    </row>
    <row r="34" ht="20.25" customHeight="1">
      <c r="A34" s="545"/>
      <c r="B34" s="659"/>
      <c r="C34" s="701"/>
      <c r="D34" s="1455"/>
      <c r="E34" s="1465" t="s">
        <v>564</v>
      </c>
      <c r="F34" s="703"/>
      <c r="G34" s="703"/>
      <c r="H34" s="704"/>
      <c r="J34" s="1465" t="s">
        <v>532</v>
      </c>
      <c r="K34" s="703"/>
      <c r="L34" s="703"/>
      <c r="M34" s="704"/>
      <c r="O34" s="1465" t="s">
        <v>531</v>
      </c>
      <c r="P34" s="703"/>
      <c r="Q34" s="703"/>
      <c r="R34" s="704"/>
      <c r="T34" s="1465" t="s">
        <v>754</v>
      </c>
      <c r="U34" s="703"/>
      <c r="V34" s="703"/>
      <c r="W34" s="704"/>
      <c r="Y34" s="1465" t="s">
        <v>564</v>
      </c>
      <c r="Z34" s="703"/>
      <c r="AA34" s="703"/>
      <c r="AB34" s="704"/>
      <c r="AD34" s="1465" t="s">
        <v>532</v>
      </c>
      <c r="AE34" s="703"/>
      <c r="AF34" s="703"/>
      <c r="AG34" s="704"/>
      <c r="AH34" s="1445"/>
      <c r="AI34" s="534"/>
    </row>
    <row r="35">
      <c r="A35" s="545"/>
      <c r="B35" s="659"/>
      <c r="C35" s="1466"/>
      <c r="D35" s="1455"/>
      <c r="E35" s="1467" t="s">
        <v>63</v>
      </c>
      <c r="F35" s="686"/>
      <c r="G35" s="686"/>
      <c r="H35" s="687"/>
      <c r="J35" s="1467" t="s">
        <v>755</v>
      </c>
      <c r="K35" s="686"/>
      <c r="L35" s="686"/>
      <c r="M35" s="687"/>
      <c r="O35" s="1467" t="s">
        <v>533</v>
      </c>
      <c r="P35" s="686"/>
      <c r="Q35" s="686"/>
      <c r="R35" s="687"/>
      <c r="T35" s="1467" t="s">
        <v>93</v>
      </c>
      <c r="U35" s="686"/>
      <c r="V35" s="686"/>
      <c r="W35" s="687"/>
      <c r="Y35" s="1467" t="s">
        <v>756</v>
      </c>
      <c r="Z35" s="686"/>
      <c r="AA35" s="686"/>
      <c r="AB35" s="687"/>
      <c r="AD35" s="1467" t="s">
        <v>757</v>
      </c>
      <c r="AE35" s="686"/>
      <c r="AF35" s="686"/>
      <c r="AG35" s="687"/>
      <c r="AH35" s="1445"/>
      <c r="AI35" s="534"/>
    </row>
    <row r="36" ht="20.25" customHeight="1">
      <c r="A36" s="545"/>
      <c r="B36" s="659"/>
      <c r="C36" s="697"/>
      <c r="D36" s="1455"/>
      <c r="E36" s="1468" t="s">
        <v>573</v>
      </c>
      <c r="F36" s="663"/>
      <c r="G36" s="664"/>
      <c r="H36" s="1469" t="str">
        <f>IMAGE("https://raw.githubusercontent.com/msikma/pokesprite/master/items/hold-item/focus-sash.png",3)</f>
        <v/>
      </c>
      <c r="J36" s="1468" t="s">
        <v>540</v>
      </c>
      <c r="K36" s="663"/>
      <c r="L36" s="664"/>
      <c r="M36" s="1469" t="str">
        <f>IMAGE("https://raw.githubusercontent.com/msikma/pokesprite/master/items/hold-item/mystic-water.png",3)</f>
        <v/>
      </c>
      <c r="O36" s="1468" t="s">
        <v>541</v>
      </c>
      <c r="P36" s="663"/>
      <c r="Q36" s="664"/>
      <c r="R36" s="1469" t="str">
        <f>IMAGE("https://raw.githubusercontent.com/msikma/pokesprite/master/items/hold-item/life-orb.png",3)</f>
        <v/>
      </c>
      <c r="T36" s="1468" t="s">
        <v>713</v>
      </c>
      <c r="U36" s="663"/>
      <c r="V36" s="664"/>
      <c r="W36" s="1469" t="str">
        <f>IMAGE("https://raw.githubusercontent.com/msikma/pokesprite/master/items/hold-item/assault-vest.png",3)</f>
        <v/>
      </c>
      <c r="Y36" s="1468" t="s">
        <v>638</v>
      </c>
      <c r="Z36" s="663"/>
      <c r="AA36" s="664"/>
      <c r="AB36" s="1469" t="str">
        <f>IMAGE("https://raw.githubusercontent.com/msikma/pokesprite/master/items/z-crystals/fightinium-z--held.png",3)</f>
        <v/>
      </c>
      <c r="AD36" s="1468" t="s">
        <v>758</v>
      </c>
      <c r="AE36" s="663"/>
      <c r="AF36" s="664"/>
      <c r="AG36" s="1469" t="str">
        <f>IMAGE("https://raw.githubusercontent.com/msikma/pokesprite/master/items/mega-stone/gyaradosite.png",3)</f>
        <v/>
      </c>
      <c r="AH36" s="1461"/>
      <c r="AI36" s="534"/>
    </row>
    <row r="37" ht="20.25" customHeight="1">
      <c r="A37" s="574"/>
      <c r="B37" s="659"/>
      <c r="C37" s="701"/>
      <c r="D37" s="1455"/>
      <c r="E37" s="1465" t="s">
        <v>649</v>
      </c>
      <c r="F37" s="703"/>
      <c r="G37" s="1470"/>
      <c r="H37" s="1471" t="str">
        <f>IMAGE("https://raw.githubusercontent.com/msikma/pokesprite/master/misc/types/gen8/water.png",4,20,20)</f>
        <v/>
      </c>
      <c r="J37" s="1465" t="s">
        <v>759</v>
      </c>
      <c r="K37" s="703"/>
      <c r="L37" s="1470"/>
      <c r="M37" s="1471" t="str">
        <f t="shared" ref="M37:M38" si="1">IMAGE("https://raw.githubusercontent.com/msikma/pokesprite/master/misc/types/gen8/water.png",4,20,20)</f>
        <v/>
      </c>
      <c r="O37" s="1465" t="s">
        <v>649</v>
      </c>
      <c r="P37" s="703"/>
      <c r="Q37" s="1470"/>
      <c r="R37" s="1471" t="str">
        <f>IMAGE("https://raw.githubusercontent.com/msikma/pokesprite/master/misc/types/gen8/water.png",4,20,20)</f>
        <v/>
      </c>
      <c r="T37" s="1465" t="s">
        <v>720</v>
      </c>
      <c r="U37" s="703"/>
      <c r="V37" s="1470"/>
      <c r="W37" s="1471" t="str">
        <f>IMAGE("https://raw.githubusercontent.com/msikma/pokesprite/master/misc/types/gen8/fighting.png",4,20,20)</f>
        <v/>
      </c>
      <c r="Y37" s="1465" t="s">
        <v>259</v>
      </c>
      <c r="Z37" s="703"/>
      <c r="AA37" s="1470"/>
      <c r="AB37" s="1471" t="str">
        <f>IMAGE("https://raw.githubusercontent.com/msikma/pokesprite/master/misc/types/gen8/dark.png",4,20,20)</f>
        <v/>
      </c>
      <c r="AD37" s="1465" t="s">
        <v>219</v>
      </c>
      <c r="AE37" s="703"/>
      <c r="AF37" s="1470"/>
      <c r="AG37" s="1471" t="str">
        <f>IMAGE("https://raw.githubusercontent.com/msikma/pokesprite/master/misc/types/gen8/dragon.png",4,20,20)</f>
        <v/>
      </c>
      <c r="AH37" s="1445"/>
      <c r="AI37" s="534"/>
    </row>
    <row r="38" ht="20.25" customHeight="1">
      <c r="A38" s="545"/>
      <c r="B38" s="659"/>
      <c r="C38" s="1472"/>
      <c r="D38" s="1455"/>
      <c r="E38" s="1467" t="s">
        <v>586</v>
      </c>
      <c r="F38" s="686"/>
      <c r="G38" s="693"/>
      <c r="H38" s="1473" t="str">
        <f>IMAGE("https://raw.githubusercontent.com/msikma/pokesprite/master/misc/types/gen8/ice.png",4,20,20)</f>
        <v/>
      </c>
      <c r="J38" s="1467" t="s">
        <v>760</v>
      </c>
      <c r="K38" s="686"/>
      <c r="L38" s="693"/>
      <c r="M38" s="1473" t="str">
        <f t="shared" si="1"/>
        <v/>
      </c>
      <c r="O38" s="1467" t="s">
        <v>617</v>
      </c>
      <c r="P38" s="686"/>
      <c r="Q38" s="693"/>
      <c r="R38" s="1473" t="str">
        <f>IMAGE("https://raw.githubusercontent.com/msikma/pokesprite/master/misc/types/gen8/dragon.png",4,20,20)</f>
        <v/>
      </c>
      <c r="T38" s="1467" t="s">
        <v>133</v>
      </c>
      <c r="U38" s="686"/>
      <c r="V38" s="693"/>
      <c r="W38" s="1473" t="str">
        <f>IMAGE("https://raw.githubusercontent.com/msikma/pokesprite/master/misc/types/gen8/electric.png",4,20,20)</f>
        <v/>
      </c>
      <c r="Y38" s="1467" t="s">
        <v>761</v>
      </c>
      <c r="Z38" s="686"/>
      <c r="AA38" s="693"/>
      <c r="AB38" s="1473" t="str">
        <f>IMAGE("https://raw.githubusercontent.com/msikma/pokesprite/master/misc/types/gen8/electric.png",4,20,20)</f>
        <v/>
      </c>
      <c r="AD38" s="1467" t="s">
        <v>760</v>
      </c>
      <c r="AE38" s="686"/>
      <c r="AF38" s="693"/>
      <c r="AG38" s="1473" t="str">
        <f>IMAGE("https://raw.githubusercontent.com/msikma/pokesprite/master/misc/types/gen8/water.png",4,20,20)</f>
        <v/>
      </c>
      <c r="AH38" s="1445"/>
      <c r="AI38" s="534"/>
    </row>
    <row r="39" ht="20.25" customHeight="1">
      <c r="A39" s="545"/>
      <c r="B39" s="659"/>
      <c r="C39" s="1472"/>
      <c r="D39" s="1455"/>
      <c r="E39" s="1467" t="s">
        <v>542</v>
      </c>
      <c r="F39" s="686"/>
      <c r="G39" s="693"/>
      <c r="H39" s="1473" t="str">
        <f>IMAGE("https://raw.githubusercontent.com/msikma/pokesprite/master/misc/types/gen8/water.png",4,20,20)</f>
        <v/>
      </c>
      <c r="J39" s="1467" t="s">
        <v>548</v>
      </c>
      <c r="K39" s="686"/>
      <c r="L39" s="693"/>
      <c r="M39" s="1473" t="str">
        <f t="shared" ref="M39:M40" si="2">IMAGE("https://raw.githubusercontent.com/msikma/pokesprite/master/misc/types/gen8/fighting.png",4,20,20)</f>
        <v/>
      </c>
      <c r="O39" s="1467" t="s">
        <v>546</v>
      </c>
      <c r="P39" s="686"/>
      <c r="Q39" s="693"/>
      <c r="R39" s="1473" t="str">
        <f>IMAGE("https://raw.githubusercontent.com/msikma/pokesprite/master/misc/types/gen8/flying.png",4,20,20)</f>
        <v/>
      </c>
      <c r="T39" s="1467" t="s">
        <v>585</v>
      </c>
      <c r="U39" s="686"/>
      <c r="V39" s="693"/>
      <c r="W39" s="1473" t="str">
        <f>IMAGE("https://raw.githubusercontent.com/msikma/pokesprite/master/misc/types/gen8/dragon.png",4,20,20)</f>
        <v/>
      </c>
      <c r="Y39" s="1467" t="s">
        <v>699</v>
      </c>
      <c r="Z39" s="686"/>
      <c r="AA39" s="693"/>
      <c r="AB39" s="1473" t="str">
        <f>IMAGE("https://raw.githubusercontent.com/msikma/pokesprite/master/misc/types/gen8/water.png",4,20,20)</f>
        <v/>
      </c>
      <c r="AD39" s="1467" t="s">
        <v>762</v>
      </c>
      <c r="AE39" s="686"/>
      <c r="AF39" s="693"/>
      <c r="AG39" s="1473" t="str">
        <f>IMAGE("https://raw.githubusercontent.com/msikma/pokesprite/master/misc/types/gen8/dark.png",4,20,20)</f>
        <v/>
      </c>
      <c r="AH39" s="1445"/>
      <c r="AI39" s="534"/>
    </row>
    <row r="40" ht="21.0" customHeight="1">
      <c r="A40" s="545"/>
      <c r="B40" s="659"/>
      <c r="C40" s="1472"/>
      <c r="D40" s="1455"/>
      <c r="E40" s="1474" t="s">
        <v>670</v>
      </c>
      <c r="F40" s="715"/>
      <c r="G40" s="1475"/>
      <c r="H40" s="1476" t="str">
        <f>IMAGE("https://raw.githubusercontent.com/msikma/pokesprite/master/misc/types/gen8/ice.png",4,20,20)</f>
        <v/>
      </c>
      <c r="I40" s="678"/>
      <c r="J40" s="1474" t="s">
        <v>168</v>
      </c>
      <c r="K40" s="715"/>
      <c r="L40" s="1475"/>
      <c r="M40" s="1476" t="str">
        <f t="shared" si="2"/>
        <v/>
      </c>
      <c r="N40" s="678"/>
      <c r="O40" s="1474" t="s">
        <v>542</v>
      </c>
      <c r="P40" s="715"/>
      <c r="Q40" s="1475"/>
      <c r="R40" s="1476" t="str">
        <f>IMAGE("https://raw.githubusercontent.com/msikma/pokesprite/master/misc/types/gen8/water.png",4,20,20)</f>
        <v/>
      </c>
      <c r="S40" s="678"/>
      <c r="T40" s="1474" t="s">
        <v>646</v>
      </c>
      <c r="U40" s="715"/>
      <c r="V40" s="1475"/>
      <c r="W40" s="1476" t="str">
        <f>IMAGE("https://raw.githubusercontent.com/msikma/pokesprite/master/misc/types/gen8/steel.png",4,20,20)</f>
        <v/>
      </c>
      <c r="X40" s="678"/>
      <c r="Y40" s="1474" t="s">
        <v>590</v>
      </c>
      <c r="Z40" s="715"/>
      <c r="AA40" s="1475"/>
      <c r="AB40" s="1476" t="str">
        <f>IMAGE("https://raw.githubusercontent.com/msikma/pokesprite/master/misc/types/gen8/fighting.png",4,20,20)</f>
        <v/>
      </c>
      <c r="AC40" s="678"/>
      <c r="AD40" s="1474" t="s">
        <v>549</v>
      </c>
      <c r="AE40" s="715"/>
      <c r="AF40" s="1475"/>
      <c r="AG40" s="1476" t="str">
        <f>IMAGE("https://raw.githubusercontent.com/msikma/pokesprite/master/misc/types/gen8/ground.png",4,20,20)</f>
        <v/>
      </c>
      <c r="AH40" s="1445"/>
      <c r="AI40" s="534"/>
    </row>
    <row r="41" ht="3.0" customHeight="1">
      <c r="A41" s="545"/>
      <c r="B41" s="1477"/>
      <c r="C41" s="1478"/>
      <c r="D41" s="719"/>
      <c r="E41" s="720"/>
      <c r="F41" s="720"/>
      <c r="G41" s="720"/>
      <c r="H41" s="720"/>
      <c r="I41" s="719"/>
      <c r="J41" s="720"/>
      <c r="K41" s="720"/>
      <c r="L41" s="720"/>
      <c r="M41" s="720"/>
      <c r="N41" s="719"/>
      <c r="O41" s="720"/>
      <c r="P41" s="720"/>
      <c r="Q41" s="720"/>
      <c r="R41" s="720"/>
      <c r="S41" s="719"/>
      <c r="T41" s="720"/>
      <c r="U41" s="720"/>
      <c r="V41" s="720"/>
      <c r="W41" s="720"/>
      <c r="X41" s="719"/>
      <c r="Y41" s="720"/>
      <c r="Z41" s="1479"/>
      <c r="AA41" s="1479"/>
      <c r="AB41" s="1480"/>
      <c r="AC41" s="719"/>
      <c r="AD41" s="1481"/>
      <c r="AE41" s="1481"/>
      <c r="AF41" s="1481"/>
      <c r="AG41" s="1480"/>
      <c r="AH41" s="673"/>
      <c r="AI41" s="525"/>
    </row>
    <row r="42" ht="16.5" customHeight="1">
      <c r="A42" s="545"/>
      <c r="B42" s="1482"/>
      <c r="C42" s="1478"/>
      <c r="D42" s="1483"/>
      <c r="E42" s="726" t="s">
        <v>512</v>
      </c>
      <c r="F42" s="606"/>
      <c r="G42" s="606"/>
      <c r="H42" s="607"/>
      <c r="I42" s="735"/>
      <c r="J42" s="726" t="s">
        <v>512</v>
      </c>
      <c r="K42" s="606"/>
      <c r="L42" s="606"/>
      <c r="M42" s="607"/>
      <c r="N42" s="735"/>
      <c r="O42" s="726" t="s">
        <v>512</v>
      </c>
      <c r="P42" s="606"/>
      <c r="Q42" s="606"/>
      <c r="R42" s="607"/>
      <c r="S42" s="735"/>
      <c r="T42" s="726" t="s">
        <v>512</v>
      </c>
      <c r="U42" s="606"/>
      <c r="V42" s="606"/>
      <c r="W42" s="607"/>
      <c r="X42" s="735"/>
      <c r="Y42" s="726" t="s">
        <v>512</v>
      </c>
      <c r="Z42" s="606"/>
      <c r="AA42" s="606"/>
      <c r="AB42" s="607"/>
      <c r="AC42" s="735"/>
      <c r="AD42" s="726" t="s">
        <v>512</v>
      </c>
      <c r="AE42" s="606"/>
      <c r="AF42" s="606"/>
      <c r="AG42" s="607"/>
      <c r="AH42" s="730"/>
      <c r="AI42" s="612"/>
    </row>
    <row r="43" ht="16.5" customHeight="1">
      <c r="A43" s="545"/>
      <c r="B43" s="1482"/>
      <c r="C43" s="1478"/>
      <c r="D43" s="1483"/>
      <c r="E43" s="731" t="s">
        <v>513</v>
      </c>
      <c r="F43" s="732">
        <f t="array" ref="F43">IFERROR(VLOOKUP(E30,Dex!$B$3:$N101,8,FALSE),"")</f>
        <v>56</v>
      </c>
      <c r="G43" s="733" t="str">
        <f t="array" ref="G43">IFERROR(VLOOKUP(F43,Dex!$P$22:$Q$276,2,FALSE),"")</f>
        <v/>
      </c>
      <c r="H43" s="734"/>
      <c r="I43" s="1484"/>
      <c r="J43" s="731" t="s">
        <v>513</v>
      </c>
      <c r="K43" s="732">
        <f t="array" ref="K43">IFERROR(VLOOKUP(J30,Dex!$B$3:$N101,8,FALSE),"")</f>
        <v>100</v>
      </c>
      <c r="L43" s="733" t="str">
        <f t="array" ref="L43">IFERROR(VLOOKUP(K43,Dex!$P$22:$Q$276,2,FALSE),"")</f>
        <v/>
      </c>
      <c r="M43" s="734"/>
      <c r="N43" s="1484"/>
      <c r="O43" s="731" t="s">
        <v>513</v>
      </c>
      <c r="P43" s="732">
        <f t="array" ref="P43">IFERROR(VLOOKUP(O30,Dex!$B$3:$N101,8,FALSE),"")</f>
        <v>75</v>
      </c>
      <c r="Q43" s="733" t="str">
        <f t="array" ref="Q43">IFERROR(VLOOKUP(P43,Dex!$P$22:$Q$276,2,FALSE),"")</f>
        <v/>
      </c>
      <c r="R43" s="734"/>
      <c r="S43" s="1484"/>
      <c r="T43" s="731" t="s">
        <v>513</v>
      </c>
      <c r="U43" s="732">
        <f t="array" ref="U43">IFERROR(VLOOKUP(T30,Dex!$B$3:$N101,8,FALSE),"")</f>
        <v>90</v>
      </c>
      <c r="V43" s="733" t="str">
        <f t="array" ref="V43">IFERROR(VLOOKUP(U43,Dex!$P$22:$Q$276,2,FALSE),"")</f>
        <v/>
      </c>
      <c r="W43" s="734"/>
      <c r="X43" s="1484"/>
      <c r="Y43" s="731" t="s">
        <v>513</v>
      </c>
      <c r="Z43" s="732">
        <f t="array" ref="Z43">IFERROR(VLOOKUP(Y30,Dex!$B$3:$N101,8,FALSE),"")</f>
        <v>79</v>
      </c>
      <c r="AA43" s="733" t="str">
        <f t="array" ref="AA43">IFERROR(VLOOKUP(Z43,Dex!$P$22:$Q$276,2,FALSE),"")</f>
        <v/>
      </c>
      <c r="AB43" s="734"/>
      <c r="AC43" s="1484"/>
      <c r="AD43" s="731" t="s">
        <v>513</v>
      </c>
      <c r="AE43" s="732">
        <f t="array" ref="AE43">IFERROR(VLOOKUP(AD30,Dex!$B$3:$N101,8,FALSE),"")</f>
        <v>95</v>
      </c>
      <c r="AF43" s="733" t="str">
        <f t="array" ref="AF43">IFERROR(VLOOKUP(AE43,Dex!$P$22:$Q$276,2,FALSE),"")</f>
        <v/>
      </c>
      <c r="AG43" s="734"/>
      <c r="AH43" s="1485"/>
      <c r="AI43" s="612"/>
    </row>
    <row r="44" ht="16.5" customHeight="1">
      <c r="A44" s="545"/>
      <c r="B44" s="1482"/>
      <c r="C44" s="1478"/>
      <c r="D44" s="1483"/>
      <c r="E44" s="738" t="s">
        <v>514</v>
      </c>
      <c r="F44" s="739">
        <f t="array" ref="F44">IFERROR(VLOOKUP(E30,Dex!$B$3:$N101,9,FALSE),"")</f>
        <v>80</v>
      </c>
      <c r="G44" s="740" t="str">
        <f t="array" ref="G44">IFERROR(VLOOKUP(F44,Dex!$P$22:$Q$276,2,FALSE),"")</f>
        <v/>
      </c>
      <c r="H44" s="741"/>
      <c r="I44" s="1484"/>
      <c r="J44" s="738" t="s">
        <v>514</v>
      </c>
      <c r="K44" s="739">
        <f t="array" ref="K44">IFERROR(VLOOKUP(J30,Dex!$B$3:$N101,9,FALSE),"")</f>
        <v>160</v>
      </c>
      <c r="L44" s="740" t="str">
        <f t="array" ref="L44">IFERROR(VLOOKUP(K44,Dex!$P$22:$Q$276,2,FALSE),"")</f>
        <v/>
      </c>
      <c r="M44" s="741"/>
      <c r="N44" s="1484"/>
      <c r="O44" s="738" t="s">
        <v>514</v>
      </c>
      <c r="P44" s="739">
        <f t="array" ref="P44">IFERROR(VLOOKUP(O30,Dex!$B$3:$N101,9,FALSE),"")</f>
        <v>95</v>
      </c>
      <c r="Q44" s="740" t="str">
        <f t="array" ref="Q44">IFERROR(VLOOKUP(P44,Dex!$P$22:$Q$276,2,FALSE),"")</f>
        <v/>
      </c>
      <c r="R44" s="741"/>
      <c r="S44" s="1484"/>
      <c r="T44" s="738" t="s">
        <v>514</v>
      </c>
      <c r="U44" s="739">
        <f t="array" ref="U44">IFERROR(VLOOKUP(T30,Dex!$B$3:$N101,9,FALSE),"")</f>
        <v>105</v>
      </c>
      <c r="V44" s="740" t="str">
        <f t="array" ref="V44">IFERROR(VLOOKUP(U44,Dex!$P$22:$Q$276,2,FALSE),"")</f>
        <v/>
      </c>
      <c r="W44" s="741"/>
      <c r="X44" s="1484"/>
      <c r="Y44" s="738" t="s">
        <v>514</v>
      </c>
      <c r="Z44" s="739">
        <f t="array" ref="Z44">IFERROR(VLOOKUP(Y30,Dex!$B$3:$N101,9,FALSE),"")</f>
        <v>105</v>
      </c>
      <c r="AA44" s="740" t="str">
        <f t="array" ref="AA44">IFERROR(VLOOKUP(Z44,Dex!$P$22:$Q$276,2,FALSE),"")</f>
        <v/>
      </c>
      <c r="AB44" s="741"/>
      <c r="AC44" s="1484"/>
      <c r="AD44" s="738" t="s">
        <v>514</v>
      </c>
      <c r="AE44" s="739">
        <f t="array" ref="AE44">IFERROR(VLOOKUP(AD30,Dex!$B$3:$N101,9,FALSE),"")</f>
        <v>155</v>
      </c>
      <c r="AF44" s="740" t="str">
        <f t="array" ref="AF44">IFERROR(VLOOKUP(AE44,Dex!$P$22:$Q$276,2,FALSE),"")</f>
        <v/>
      </c>
      <c r="AG44" s="741"/>
      <c r="AH44" s="1485"/>
      <c r="AI44" s="612"/>
    </row>
    <row r="45" ht="16.5" customHeight="1">
      <c r="A45" s="545"/>
      <c r="B45" s="1482"/>
      <c r="C45" s="1478"/>
      <c r="D45" s="1483"/>
      <c r="E45" s="738" t="s">
        <v>515</v>
      </c>
      <c r="F45" s="739">
        <f t="array" ref="F45">IFERROR(VLOOKUP(E30,Dex!$B$3:$N101,10,FALSE),"")</f>
        <v>114</v>
      </c>
      <c r="G45" s="740" t="str">
        <f t="array" ref="G45">IFERROR(VLOOKUP(F45,Dex!$P$22:$Q$276,2,FALSE),"")</f>
        <v/>
      </c>
      <c r="H45" s="741"/>
      <c r="I45" s="1484"/>
      <c r="J45" s="738" t="s">
        <v>515</v>
      </c>
      <c r="K45" s="739">
        <f t="array" ref="K45">IFERROR(VLOOKUP(J30,Dex!$B$3:$N101,10,FALSE),"")</f>
        <v>97</v>
      </c>
      <c r="L45" s="740" t="str">
        <f t="array" ref="L45">IFERROR(VLOOKUP(K45,Dex!$P$22:$Q$276,2,FALSE),"")</f>
        <v/>
      </c>
      <c r="M45" s="741"/>
      <c r="N45" s="1484"/>
      <c r="O45" s="738" t="s">
        <v>515</v>
      </c>
      <c r="P45" s="739">
        <f t="array" ref="P45">IFERROR(VLOOKUP(O30,Dex!$B$3:$N101,10,FALSE),"")</f>
        <v>95</v>
      </c>
      <c r="Q45" s="740" t="str">
        <f t="array" ref="Q45">IFERROR(VLOOKUP(P45,Dex!$P$22:$Q$276,2,FALSE),"")</f>
        <v/>
      </c>
      <c r="R45" s="741"/>
      <c r="S45" s="1484"/>
      <c r="T45" s="738" t="s">
        <v>515</v>
      </c>
      <c r="U45" s="739">
        <f t="array" ref="U45">IFERROR(VLOOKUP(T30,Dex!$B$3:$N101,10,FALSE),"")</f>
        <v>130</v>
      </c>
      <c r="V45" s="740" t="str">
        <f t="array" ref="V45">IFERROR(VLOOKUP(U45,Dex!$P$22:$Q$276,2,FALSE),"")</f>
        <v/>
      </c>
      <c r="W45" s="741"/>
      <c r="X45" s="1484"/>
      <c r="Y45" s="738" t="s">
        <v>515</v>
      </c>
      <c r="Z45" s="739">
        <f t="array" ref="Z45">IFERROR(VLOOKUP(Y30,Dex!$B$3:$N101,10,FALSE),"")</f>
        <v>70</v>
      </c>
      <c r="AA45" s="740" t="str">
        <f t="array" ref="AA45">IFERROR(VLOOKUP(Z45,Dex!$P$22:$Q$276,2,FALSE),"")</f>
        <v/>
      </c>
      <c r="AB45" s="741"/>
      <c r="AC45" s="1484"/>
      <c r="AD45" s="738" t="s">
        <v>515</v>
      </c>
      <c r="AE45" s="739">
        <f t="array" ref="AE45">IFERROR(VLOOKUP(AD30,Dex!$B$3:$N101,10,FALSE),"")</f>
        <v>109</v>
      </c>
      <c r="AF45" s="740" t="str">
        <f t="array" ref="AF45">IFERROR(VLOOKUP(AE45,Dex!$P$22:$Q$276,2,FALSE),"")</f>
        <v/>
      </c>
      <c r="AG45" s="741"/>
      <c r="AH45" s="1485"/>
      <c r="AI45" s="612"/>
    </row>
    <row r="46" ht="16.5" customHeight="1">
      <c r="A46" s="545"/>
      <c r="B46" s="1482"/>
      <c r="C46" s="1478"/>
      <c r="D46" s="1483"/>
      <c r="E46" s="738" t="s">
        <v>516</v>
      </c>
      <c r="F46" s="739">
        <f t="array" ref="F46">IFERROR(VLOOKUP(E30,Dex!$B$3:$N101,11,FALSE),"")</f>
        <v>124</v>
      </c>
      <c r="G46" s="740" t="str">
        <f t="array" ref="G46">IFERROR(VLOOKUP(F46,Dex!$P$22:$Q$276,2,FALSE),"")</f>
        <v/>
      </c>
      <c r="H46" s="741"/>
      <c r="I46" s="1484"/>
      <c r="J46" s="738" t="s">
        <v>516</v>
      </c>
      <c r="K46" s="739">
        <f t="array" ref="K46">IFERROR(VLOOKUP(J30,Dex!$B$3:$N101,11,FALSE),"")</f>
        <v>106</v>
      </c>
      <c r="L46" s="740" t="str">
        <f t="array" ref="L46">IFERROR(VLOOKUP(K46,Dex!$P$22:$Q$276,2,FALSE),"")</f>
        <v/>
      </c>
      <c r="M46" s="741"/>
      <c r="N46" s="1484"/>
      <c r="O46" s="738" t="s">
        <v>516</v>
      </c>
      <c r="P46" s="739">
        <f t="array" ref="P46">IFERROR(VLOOKUP(O30,Dex!$B$3:$N101,11,FALSE),"")</f>
        <v>95</v>
      </c>
      <c r="Q46" s="740" t="str">
        <f t="array" ref="Q46">IFERROR(VLOOKUP(P46,Dex!$P$22:$Q$276,2,FALSE),"")</f>
        <v/>
      </c>
      <c r="R46" s="741"/>
      <c r="S46" s="1484"/>
      <c r="T46" s="738" t="s">
        <v>516</v>
      </c>
      <c r="U46" s="739">
        <f t="array" ref="U46">IFERROR(VLOOKUP(T30,Dex!$B$3:$N101,11,FALSE),"")</f>
        <v>125</v>
      </c>
      <c r="V46" s="740" t="str">
        <f t="array" ref="V46">IFERROR(VLOOKUP(U46,Dex!$P$22:$Q$276,2,FALSE),"")</f>
        <v/>
      </c>
      <c r="W46" s="741"/>
      <c r="X46" s="1484"/>
      <c r="Y46" s="738" t="s">
        <v>516</v>
      </c>
      <c r="Z46" s="739">
        <f t="array" ref="Z46">IFERROR(VLOOKUP(Y30,Dex!$B$3:$N101,11,FALSE),"")</f>
        <v>145</v>
      </c>
      <c r="AA46" s="740" t="str">
        <f t="array" ref="AA46">IFERROR(VLOOKUP(Z46,Dex!$P$22:$Q$276,2,FALSE),"")</f>
        <v/>
      </c>
      <c r="AB46" s="741"/>
      <c r="AC46" s="1484"/>
      <c r="AD46" s="738" t="s">
        <v>516</v>
      </c>
      <c r="AE46" s="739">
        <f t="array" ref="AE46">IFERROR(VLOOKUP(AD30,Dex!$B$3:$N101,11,FALSE),"")</f>
        <v>70</v>
      </c>
      <c r="AF46" s="740" t="str">
        <f t="array" ref="AF46">IFERROR(VLOOKUP(AE46,Dex!$P$22:$Q$276,2,FALSE),"")</f>
        <v/>
      </c>
      <c r="AG46" s="741"/>
      <c r="AH46" s="1485"/>
      <c r="AI46" s="612"/>
    </row>
    <row r="47" ht="16.5" customHeight="1">
      <c r="A47" s="545"/>
      <c r="B47" s="1482"/>
      <c r="C47" s="1478"/>
      <c r="D47" s="1483"/>
      <c r="E47" s="738" t="s">
        <v>517</v>
      </c>
      <c r="F47" s="739">
        <f t="array" ref="F47">IFERROR(VLOOKUP(E30,Dex!$B$3:$N101,12,FALSE),"")</f>
        <v>60</v>
      </c>
      <c r="G47" s="740" t="str">
        <f t="array" ref="G47">IFERROR(VLOOKUP(F47,Dex!$P$22:$Q$276,2,FALSE),"")</f>
        <v/>
      </c>
      <c r="H47" s="741"/>
      <c r="I47" s="1484"/>
      <c r="J47" s="738" t="s">
        <v>517</v>
      </c>
      <c r="K47" s="739">
        <f t="array" ref="K47">IFERROR(VLOOKUP(J30,Dex!$B$3:$N101,12,FALSE),"")</f>
        <v>87</v>
      </c>
      <c r="L47" s="740" t="str">
        <f t="array" ref="L47">IFERROR(VLOOKUP(K47,Dex!$P$22:$Q$276,2,FALSE),"")</f>
        <v/>
      </c>
      <c r="M47" s="741"/>
      <c r="N47" s="1484"/>
      <c r="O47" s="738" t="s">
        <v>517</v>
      </c>
      <c r="P47" s="739">
        <f t="array" ref="P47">IFERROR(VLOOKUP(O30,Dex!$B$3:$N101,12,FALSE),"")</f>
        <v>95</v>
      </c>
      <c r="Q47" s="740" t="str">
        <f t="array" ref="Q47">IFERROR(VLOOKUP(P47,Dex!$P$22:$Q$276,2,FALSE),"")</f>
        <v/>
      </c>
      <c r="R47" s="741"/>
      <c r="S47" s="1484"/>
      <c r="T47" s="738" t="s">
        <v>517</v>
      </c>
      <c r="U47" s="739">
        <f t="array" ref="U47">IFERROR(VLOOKUP(T30,Dex!$B$3:$N101,12,FALSE),"")</f>
        <v>65</v>
      </c>
      <c r="V47" s="740" t="str">
        <f t="array" ref="V47">IFERROR(VLOOKUP(U47,Dex!$P$22:$Q$276,2,FALSE),"")</f>
        <v/>
      </c>
      <c r="W47" s="741"/>
      <c r="X47" s="1484"/>
      <c r="Y47" s="738" t="s">
        <v>517</v>
      </c>
      <c r="Z47" s="739">
        <f t="array" ref="Z47">IFERROR(VLOOKUP(Y30,Dex!$B$3:$N101,12,FALSE),"")</f>
        <v>80</v>
      </c>
      <c r="AA47" s="740" t="str">
        <f t="array" ref="AA47">IFERROR(VLOOKUP(Z47,Dex!$P$22:$Q$276,2,FALSE),"")</f>
        <v/>
      </c>
      <c r="AB47" s="741"/>
      <c r="AC47" s="1484"/>
      <c r="AD47" s="738" t="s">
        <v>517</v>
      </c>
      <c r="AE47" s="739">
        <f t="array" ref="AE47">IFERROR(VLOOKUP(AD30,Dex!$B$3:$N101,12,FALSE),"")</f>
        <v>130</v>
      </c>
      <c r="AF47" s="740" t="str">
        <f t="array" ref="AF47">IFERROR(VLOOKUP(AE47,Dex!$P$22:$Q$276,2,FALSE),"")</f>
        <v/>
      </c>
      <c r="AG47" s="741"/>
      <c r="AH47" s="1485"/>
      <c r="AI47" s="612"/>
    </row>
    <row r="48" ht="15.75" customHeight="1">
      <c r="A48" s="545"/>
      <c r="B48" s="1482"/>
      <c r="C48" s="1426" t="s">
        <v>745</v>
      </c>
      <c r="D48" s="1483"/>
      <c r="E48" s="742" t="s">
        <v>518</v>
      </c>
      <c r="F48" s="743">
        <f t="array" ref="F48">IFERROR(VLOOKUP(E30,Dex!$B$3:$N101,13,FALSE),"")</f>
        <v>136</v>
      </c>
      <c r="G48" s="744" t="str">
        <f t="array" ref="G48">IFERROR(VLOOKUP(F48,Dex!$P$22:$Q$276,2,FALSE),"")</f>
        <v/>
      </c>
      <c r="H48" s="745"/>
      <c r="I48" s="1484"/>
      <c r="J48" s="742" t="s">
        <v>518</v>
      </c>
      <c r="K48" s="743">
        <f t="array" ref="K48">IFERROR(VLOOKUP(J30,Dex!$B$3:$N101,13,FALSE),"")</f>
        <v>100</v>
      </c>
      <c r="L48" s="744" t="str">
        <f t="array" ref="L48">IFERROR(VLOOKUP(K48,Dex!$P$22:$Q$276,2,FALSE),"")</f>
        <v/>
      </c>
      <c r="M48" s="745"/>
      <c r="N48" s="1484"/>
      <c r="O48" s="742" t="s">
        <v>518</v>
      </c>
      <c r="P48" s="743">
        <f t="array" ref="P48">IFERROR(VLOOKUP(O30,Dex!$B$3:$N101,13,FALSE),"")</f>
        <v>85</v>
      </c>
      <c r="Q48" s="744" t="str">
        <f t="array" ref="Q48">IFERROR(VLOOKUP(P48,Dex!$P$22:$Q$276,2,FALSE),"")</f>
        <v/>
      </c>
      <c r="R48" s="745"/>
      <c r="S48" s="1484"/>
      <c r="T48" s="742" t="s">
        <v>518</v>
      </c>
      <c r="U48" s="743">
        <f t="array" ref="U48">IFERROR(VLOOKUP(T30,Dex!$B$3:$N101,13,FALSE),"")</f>
        <v>85</v>
      </c>
      <c r="V48" s="744" t="str">
        <f t="array" ref="V48">IFERROR(VLOOKUP(U48,Dex!$P$22:$Q$276,2,FALSE),"")</f>
        <v/>
      </c>
      <c r="W48" s="745"/>
      <c r="X48" s="1484"/>
      <c r="Y48" s="742" t="s">
        <v>518</v>
      </c>
      <c r="Z48" s="743">
        <f t="array" ref="Z48">IFERROR(VLOOKUP(Y30,Dex!$B$3:$N101,13,FALSE),"")</f>
        <v>101</v>
      </c>
      <c r="AA48" s="744" t="str">
        <f t="array" ref="AA48">IFERROR(VLOOKUP(Z48,Dex!$P$22:$Q$276,2,FALSE),"")</f>
        <v/>
      </c>
      <c r="AB48" s="745"/>
      <c r="AC48" s="1484"/>
      <c r="AD48" s="742" t="s">
        <v>518</v>
      </c>
      <c r="AE48" s="743">
        <f t="array" ref="AE48">IFERROR(VLOOKUP(AD30,Dex!$B$3:$N101,13,FALSE),"")</f>
        <v>81</v>
      </c>
      <c r="AF48" s="744" t="str">
        <f t="array" ref="AF48">IFERROR(VLOOKUP(AE48,Dex!$P$22:$Q$276,2,FALSE),"")</f>
        <v/>
      </c>
      <c r="AG48" s="745"/>
      <c r="AH48" s="1485"/>
      <c r="AI48" s="612"/>
    </row>
    <row r="49" ht="16.5" customHeight="1">
      <c r="A49" s="545"/>
      <c r="B49" s="1482"/>
      <c r="C49" s="1427" t="s">
        <v>746</v>
      </c>
      <c r="D49" s="1483"/>
      <c r="E49" s="746" t="s">
        <v>519</v>
      </c>
      <c r="F49" s="630"/>
      <c r="G49" s="631"/>
      <c r="H49" s="632">
        <f>ROUNDDOWN((ROUNDDOWN(((((2*F48+31)*68)/100+5)),0))*1.1,0)</f>
        <v>232</v>
      </c>
      <c r="I49" s="735"/>
      <c r="J49" s="746" t="s">
        <v>519</v>
      </c>
      <c r="K49" s="630"/>
      <c r="L49" s="631"/>
      <c r="M49" s="632">
        <f>ROUNDDOWN((ROUNDDOWN(((((2*K48+31)*68)/100+5)),0))*1.1,0)</f>
        <v>178</v>
      </c>
      <c r="N49" s="735"/>
      <c r="O49" s="748" t="s">
        <v>519</v>
      </c>
      <c r="P49" s="635"/>
      <c r="Q49" s="636"/>
      <c r="R49" s="632">
        <f>ROUNDDOWN((ROUNDDOWN(((((2*P48+31)*68)/100+5)),0))*1,0)</f>
        <v>141</v>
      </c>
      <c r="S49" s="735"/>
      <c r="T49" s="746" t="s">
        <v>519</v>
      </c>
      <c r="U49" s="630"/>
      <c r="V49" s="631"/>
      <c r="W49" s="632">
        <f>ROUNDDOWN((ROUNDDOWN(((((2*U48+31)*68)/100+5)),0))*1,0)</f>
        <v>141</v>
      </c>
      <c r="X49" s="735"/>
      <c r="Y49" s="746" t="s">
        <v>519</v>
      </c>
      <c r="Z49" s="630"/>
      <c r="AA49" s="631"/>
      <c r="AB49" s="632">
        <f>ROUNDDOWN((ROUNDDOWN(((((2*Z48+31)*68)/100+5)),0))*1.1,0)</f>
        <v>179</v>
      </c>
      <c r="AC49" s="735"/>
      <c r="AD49" s="746" t="s">
        <v>519</v>
      </c>
      <c r="AE49" s="630"/>
      <c r="AF49" s="631"/>
      <c r="AG49" s="632">
        <f>ROUNDDOWN((ROUNDDOWN(((((2*AE48+31)*68)/100+5)),0))*1.1,0)</f>
        <v>149</v>
      </c>
      <c r="AH49" s="730"/>
      <c r="AI49" s="612"/>
    </row>
    <row r="50" ht="16.5" customHeight="1">
      <c r="A50" s="545"/>
      <c r="B50" s="1482"/>
      <c r="C50" s="1478"/>
      <c r="D50" s="1483"/>
      <c r="E50" s="1486"/>
      <c r="F50" s="1486"/>
      <c r="G50" s="1486"/>
      <c r="H50" s="1487"/>
      <c r="I50" s="735"/>
      <c r="J50" s="1486"/>
      <c r="K50" s="1486"/>
      <c r="L50" s="1486"/>
      <c r="M50" s="1487"/>
      <c r="N50" s="735"/>
      <c r="O50" s="755" t="s">
        <v>555</v>
      </c>
      <c r="P50" s="643"/>
      <c r="Q50" s="644"/>
      <c r="R50" s="645">
        <f>ROUNDDOWN(R49*2,0)</f>
        <v>282</v>
      </c>
      <c r="S50" s="735"/>
      <c r="T50" s="1486"/>
      <c r="U50" s="1486"/>
      <c r="V50" s="1486"/>
      <c r="W50" s="1487"/>
      <c r="X50" s="735"/>
      <c r="Y50" s="1486"/>
      <c r="Z50" s="1486"/>
      <c r="AA50" s="1486"/>
      <c r="AB50" s="1487"/>
      <c r="AC50" s="735"/>
      <c r="AD50" s="1486"/>
      <c r="AE50" s="1486"/>
      <c r="AF50" s="1486"/>
      <c r="AG50" s="1487"/>
      <c r="AH50" s="730"/>
      <c r="AI50" s="612"/>
    </row>
    <row r="51" ht="15.0" customHeight="1">
      <c r="A51" s="574"/>
      <c r="B51" s="1488"/>
      <c r="C51" s="1489"/>
      <c r="D51" s="1490"/>
      <c r="E51" s="1491"/>
      <c r="F51" s="1491"/>
      <c r="G51" s="1491"/>
      <c r="H51" s="1490"/>
      <c r="I51" s="1490"/>
      <c r="J51" s="1490"/>
      <c r="K51" s="1490"/>
      <c r="L51" s="1490"/>
      <c r="M51" s="1490"/>
      <c r="N51" s="1490"/>
      <c r="O51" s="1490"/>
      <c r="P51" s="1490"/>
      <c r="Q51" s="1490"/>
      <c r="R51" s="1490"/>
      <c r="S51" s="1490"/>
      <c r="T51" s="1490"/>
      <c r="U51" s="1490"/>
      <c r="V51" s="1490"/>
      <c r="W51" s="1490"/>
      <c r="X51" s="1490"/>
      <c r="Y51" s="1490"/>
      <c r="Z51" s="1490"/>
      <c r="AA51" s="1490"/>
      <c r="AB51" s="1490"/>
      <c r="AC51" s="1490"/>
      <c r="AD51" s="1490"/>
      <c r="AE51" s="1490"/>
      <c r="AF51" s="1490"/>
      <c r="AG51" s="1490"/>
      <c r="AH51" s="1492"/>
      <c r="AI51" s="534"/>
    </row>
    <row r="52" ht="15.0" customHeight="1">
      <c r="A52" s="574"/>
      <c r="B52" s="1493"/>
      <c r="C52" s="1494"/>
      <c r="D52" s="1495"/>
      <c r="E52" s="1495"/>
      <c r="F52" s="1495"/>
      <c r="G52" s="1495"/>
      <c r="H52" s="1495"/>
      <c r="I52" s="1495"/>
      <c r="J52" s="1495"/>
      <c r="K52" s="1495"/>
      <c r="L52" s="1495"/>
      <c r="M52" s="1495"/>
      <c r="N52" s="1495"/>
      <c r="O52" s="1495"/>
      <c r="P52" s="1495"/>
      <c r="Q52" s="1495"/>
      <c r="R52" s="1495"/>
      <c r="S52" s="1495"/>
      <c r="T52" s="1495"/>
      <c r="U52" s="1495"/>
      <c r="V52" s="1495"/>
      <c r="W52" s="1495"/>
      <c r="X52" s="1495"/>
      <c r="Y52" s="1495"/>
      <c r="Z52" s="1495"/>
      <c r="AA52" s="1495"/>
      <c r="AB52" s="1495"/>
      <c r="AC52" s="1495"/>
      <c r="AD52" s="1495"/>
      <c r="AE52" s="1495"/>
      <c r="AF52" s="1495"/>
      <c r="AG52" s="1495"/>
      <c r="AH52" s="1496"/>
      <c r="AI52" s="534"/>
    </row>
    <row r="53">
      <c r="A53" s="545"/>
      <c r="B53" s="770"/>
      <c r="C53" s="771"/>
      <c r="D53" s="772"/>
      <c r="E53" s="773" t="s">
        <v>763</v>
      </c>
      <c r="F53" s="774"/>
      <c r="G53" s="774"/>
      <c r="H53" s="774"/>
      <c r="I53" s="774"/>
      <c r="J53" s="774"/>
      <c r="K53" s="774"/>
      <c r="L53" s="774"/>
      <c r="M53" s="774"/>
      <c r="N53" s="774"/>
      <c r="O53" s="774"/>
      <c r="P53" s="774"/>
      <c r="Q53" s="774"/>
      <c r="R53" s="774"/>
      <c r="S53" s="774"/>
      <c r="T53" s="774"/>
      <c r="U53" s="774"/>
      <c r="V53" s="774"/>
      <c r="W53" s="774"/>
      <c r="X53" s="774"/>
      <c r="Y53" s="774"/>
      <c r="Z53" s="774"/>
      <c r="AA53" s="774"/>
      <c r="AB53" s="774"/>
      <c r="AC53" s="774"/>
      <c r="AD53" s="774"/>
      <c r="AE53" s="774"/>
      <c r="AF53" s="774"/>
      <c r="AG53" s="775"/>
      <c r="AH53" s="776"/>
      <c r="AI53" s="534"/>
    </row>
    <row r="54" ht="96.75" customHeight="1">
      <c r="A54" s="545"/>
      <c r="B54" s="1497"/>
      <c r="C54" s="1498" t="str">
        <f>IMAGE("https://i.ibb.co/w6kjj5K/Surge.png")</f>
        <v/>
      </c>
      <c r="D54" s="1499"/>
      <c r="E54" s="1500" t="str">
        <f t="array" ref="E54">IFERROR(VLOOKUP(E55,Dex!$B$3:$G101,3,FALSE),"")</f>
        <v/>
      </c>
      <c r="F54" s="539"/>
      <c r="G54" s="539"/>
      <c r="H54" s="540"/>
      <c r="I54" s="1501"/>
      <c r="J54" s="1500" t="str">
        <f t="array" ref="J54">IFERROR(VLOOKUP(J55,Dex!$B$3:$G101,3,FALSE),"")</f>
        <v/>
      </c>
      <c r="K54" s="539"/>
      <c r="L54" s="539"/>
      <c r="M54" s="540"/>
      <c r="N54" s="1501"/>
      <c r="O54" s="1500" t="str">
        <f t="array" ref="O54">IFERROR(VLOOKUP(O55,Dex!$B$3:$G101,3,FALSE),"")</f>
        <v/>
      </c>
      <c r="P54" s="539"/>
      <c r="Q54" s="539"/>
      <c r="R54" s="540"/>
      <c r="S54" s="1501"/>
      <c r="T54" s="1500" t="str">
        <f t="array" ref="T54">IFERROR(VLOOKUP(T55,Dex!$B$3:$G101,3,FALSE),"")</f>
        <v/>
      </c>
      <c r="U54" s="539"/>
      <c r="V54" s="539"/>
      <c r="W54" s="540"/>
      <c r="X54" s="1501"/>
      <c r="Y54" s="1500" t="str">
        <f t="array" ref="Y54">IFERROR(VLOOKUP(Y55,Dex!$B$3:$G101,3,FALSE),"")</f>
        <v/>
      </c>
      <c r="Z54" s="539"/>
      <c r="AA54" s="539"/>
      <c r="AB54" s="540"/>
      <c r="AC54" s="1501"/>
      <c r="AD54" s="1500" t="str">
        <f t="array" ref="AD54">IFERROR(VLOOKUP(AD55,Dex!$B$3:$G101,3,FALSE),"")</f>
        <v/>
      </c>
      <c r="AE54" s="539"/>
      <c r="AF54" s="539"/>
      <c r="AG54" s="540"/>
      <c r="AH54" s="1502"/>
      <c r="AI54" s="534"/>
    </row>
    <row r="55" ht="18.75" customHeight="1">
      <c r="A55" s="545"/>
      <c r="B55" s="1503"/>
      <c r="C55" s="785" t="s">
        <v>764</v>
      </c>
      <c r="E55" s="1504" t="s">
        <v>562</v>
      </c>
      <c r="F55" s="788"/>
      <c r="G55" s="788"/>
      <c r="H55" s="789"/>
      <c r="J55" s="1504" t="s">
        <v>765</v>
      </c>
      <c r="K55" s="788"/>
      <c r="L55" s="788"/>
      <c r="M55" s="789"/>
      <c r="O55" s="1504" t="s">
        <v>766</v>
      </c>
      <c r="P55" s="788"/>
      <c r="Q55" s="788"/>
      <c r="R55" s="789"/>
      <c r="T55" s="1504" t="s">
        <v>631</v>
      </c>
      <c r="U55" s="788"/>
      <c r="V55" s="788"/>
      <c r="W55" s="789"/>
      <c r="Y55" s="1504" t="s">
        <v>767</v>
      </c>
      <c r="Z55" s="788"/>
      <c r="AA55" s="788"/>
      <c r="AB55" s="789"/>
      <c r="AD55" s="1504" t="s">
        <v>768</v>
      </c>
      <c r="AE55" s="788"/>
      <c r="AF55" s="788"/>
      <c r="AG55" s="789"/>
      <c r="AH55" s="1505"/>
      <c r="AI55" s="1385"/>
    </row>
    <row r="56">
      <c r="A56" s="545"/>
      <c r="B56" s="1506"/>
      <c r="C56" s="556"/>
      <c r="E56" s="1507" t="s">
        <v>729</v>
      </c>
      <c r="F56" s="795"/>
      <c r="G56" s="795"/>
      <c r="H56" s="796"/>
      <c r="J56" s="1507" t="s">
        <v>729</v>
      </c>
      <c r="K56" s="795"/>
      <c r="L56" s="795"/>
      <c r="M56" s="796"/>
      <c r="O56" s="1507" t="s">
        <v>729</v>
      </c>
      <c r="P56" s="795"/>
      <c r="Q56" s="795"/>
      <c r="R56" s="796"/>
      <c r="T56" s="1507" t="s">
        <v>729</v>
      </c>
      <c r="U56" s="795"/>
      <c r="V56" s="795"/>
      <c r="W56" s="796"/>
      <c r="Y56" s="1507" t="s">
        <v>729</v>
      </c>
      <c r="Z56" s="795"/>
      <c r="AA56" s="795"/>
      <c r="AB56" s="796"/>
      <c r="AD56" s="1507" t="s">
        <v>729</v>
      </c>
      <c r="AE56" s="795"/>
      <c r="AF56" s="795"/>
      <c r="AG56" s="796"/>
      <c r="AH56" s="1508"/>
      <c r="AI56" s="1390"/>
    </row>
    <row r="57" ht="25.5" customHeight="1">
      <c r="A57" s="545"/>
      <c r="B57" s="770"/>
      <c r="C57" s="1509"/>
      <c r="E57" s="1510"/>
      <c r="F57" s="1511" t="str">
        <f t="array" ref="F57">IFERROR(VLOOKUP(E55,Dex!$B$3:$H101,5,FALSE),"")</f>
        <v/>
      </c>
      <c r="G57" s="1512" t="str">
        <f t="array" ref="G57">IFERROR(VLOOKUP(E55,Dex!$B$3:$H101,7,FALSE),"")</f>
        <v/>
      </c>
      <c r="H57" s="1513"/>
      <c r="J57" s="1510"/>
      <c r="K57" s="1511" t="str">
        <f t="array" ref="K57">IFERROR(VLOOKUP(J55,Dex!$B$3:$H101,5,FALSE),"")</f>
        <v/>
      </c>
      <c r="L57" s="1512" t="str">
        <f t="array" ref="L57">IFERROR(VLOOKUP(J55,Dex!$B$3:$H101,7,FALSE),"")</f>
        <v/>
      </c>
      <c r="M57" s="1513"/>
      <c r="O57" s="1510"/>
      <c r="P57" s="1511" t="str">
        <f t="array" ref="P57">IFERROR(VLOOKUP(O55,Dex!$B$3:$H101,5,FALSE),"")</f>
        <v/>
      </c>
      <c r="Q57" s="1512" t="str">
        <f t="array" ref="Q57">IFERROR(VLOOKUP(O55,Dex!$B$3:$H101,7,FALSE),"")</f>
        <v/>
      </c>
      <c r="R57" s="1513"/>
      <c r="T57" s="1510"/>
      <c r="U57" s="1511" t="str">
        <f t="array" ref="U57">IFERROR(VLOOKUP(T55,Dex!$B$3:$H101,5,FALSE),"")</f>
        <v/>
      </c>
      <c r="V57" s="1512" t="str">
        <f t="array" ref="V57">IFERROR(VLOOKUP(T55,Dex!$B$3:$H101,7,FALSE),"")</f>
        <v/>
      </c>
      <c r="W57" s="1513"/>
      <c r="Y57" s="1510"/>
      <c r="Z57" s="1511" t="str">
        <f t="array" ref="Z57">IFERROR(VLOOKUP(Y55,Dex!$B$3:$H101,5,FALSE),"")</f>
        <v/>
      </c>
      <c r="AA57" s="1512" t="str">
        <f t="array" ref="AA57">IFERROR(VLOOKUP(Y55,Dex!$B$3:$H101,7,FALSE),"")</f>
        <v/>
      </c>
      <c r="AB57" s="1513"/>
      <c r="AD57" s="1510"/>
      <c r="AE57" s="1514" t="str">
        <f t="array" ref="AE57">IFERROR(VLOOKUP(AD55,Dex!$B$3:$H101,5,FALSE),"")</f>
        <v/>
      </c>
      <c r="AF57" s="807"/>
      <c r="AG57" s="1513"/>
      <c r="AH57" s="1515"/>
      <c r="AI57" s="534"/>
    </row>
    <row r="58" ht="2.25" customHeight="1">
      <c r="A58" s="545"/>
      <c r="B58" s="770"/>
      <c r="C58" s="809"/>
      <c r="E58" s="1516"/>
      <c r="F58" s="1517"/>
      <c r="G58" s="1517"/>
      <c r="H58" s="1518"/>
      <c r="J58" s="1516"/>
      <c r="K58" s="1517"/>
      <c r="L58" s="1517"/>
      <c r="M58" s="1518"/>
      <c r="O58" s="1516"/>
      <c r="P58" s="1517"/>
      <c r="Q58" s="1517"/>
      <c r="R58" s="1518"/>
      <c r="T58" s="1516"/>
      <c r="U58" s="1517"/>
      <c r="V58" s="1517"/>
      <c r="W58" s="1518"/>
      <c r="Y58" s="1516"/>
      <c r="Z58" s="1517"/>
      <c r="AA58" s="1517"/>
      <c r="AB58" s="1518"/>
      <c r="AD58" s="1516"/>
      <c r="AE58" s="1517"/>
      <c r="AF58" s="1517"/>
      <c r="AG58" s="1518"/>
      <c r="AH58" s="1515"/>
      <c r="AI58" s="1519"/>
    </row>
    <row r="59" ht="20.25" customHeight="1">
      <c r="A59" s="545"/>
      <c r="B59" s="770"/>
      <c r="C59" s="814"/>
      <c r="E59" s="1520" t="s">
        <v>532</v>
      </c>
      <c r="F59" s="816"/>
      <c r="G59" s="816"/>
      <c r="H59" s="817"/>
      <c r="J59" s="1520" t="s">
        <v>532</v>
      </c>
      <c r="K59" s="816"/>
      <c r="L59" s="816"/>
      <c r="M59" s="817"/>
      <c r="O59" s="1520" t="s">
        <v>564</v>
      </c>
      <c r="P59" s="816"/>
      <c r="Q59" s="816"/>
      <c r="R59" s="817"/>
      <c r="T59" s="1520" t="s">
        <v>480</v>
      </c>
      <c r="U59" s="816"/>
      <c r="V59" s="816"/>
      <c r="W59" s="817"/>
      <c r="Y59" s="1520" t="s">
        <v>564</v>
      </c>
      <c r="Z59" s="816"/>
      <c r="AA59" s="816"/>
      <c r="AB59" s="817"/>
      <c r="AD59" s="1520" t="s">
        <v>564</v>
      </c>
      <c r="AE59" s="816"/>
      <c r="AF59" s="816"/>
      <c r="AG59" s="817"/>
      <c r="AH59" s="1502"/>
      <c r="AI59" s="534"/>
    </row>
    <row r="60" ht="20.25" customHeight="1">
      <c r="A60" s="545"/>
      <c r="B60" s="770"/>
      <c r="C60" s="1521"/>
      <c r="E60" s="1522" t="s">
        <v>570</v>
      </c>
      <c r="F60" s="795"/>
      <c r="G60" s="795"/>
      <c r="H60" s="796"/>
      <c r="J60" s="1522" t="s">
        <v>63</v>
      </c>
      <c r="K60" s="795"/>
      <c r="L60" s="795"/>
      <c r="M60" s="796"/>
      <c r="O60" s="1522" t="s">
        <v>63</v>
      </c>
      <c r="P60" s="795"/>
      <c r="Q60" s="795"/>
      <c r="R60" s="796"/>
      <c r="T60" s="1522" t="s">
        <v>63</v>
      </c>
      <c r="U60" s="795"/>
      <c r="V60" s="795"/>
      <c r="W60" s="796"/>
      <c r="Y60" s="1522" t="s">
        <v>62</v>
      </c>
      <c r="Z60" s="795"/>
      <c r="AA60" s="795"/>
      <c r="AB60" s="796"/>
      <c r="AD60" s="1523" t="s">
        <v>769</v>
      </c>
      <c r="AE60" s="795"/>
      <c r="AF60" s="795"/>
      <c r="AG60" s="796"/>
      <c r="AH60" s="1502"/>
      <c r="AI60" s="534"/>
    </row>
    <row r="61" ht="20.25" customHeight="1">
      <c r="A61" s="519"/>
      <c r="B61" s="770"/>
      <c r="C61" s="809"/>
      <c r="E61" s="1524" t="s">
        <v>573</v>
      </c>
      <c r="F61" s="774"/>
      <c r="G61" s="775"/>
      <c r="H61" s="1525" t="str">
        <f>IMAGE("https://raw.githubusercontent.com/msikma/pokesprite/master/items/hold-item/focus-sash.png",3)</f>
        <v/>
      </c>
      <c r="J61" s="1524" t="s">
        <v>490</v>
      </c>
      <c r="K61" s="774"/>
      <c r="L61" s="775"/>
      <c r="M61" s="1525" t="str">
        <f>IMAGE("https://raw.githubusercontent.com/msikma/pokesprite/master/items/berry/lum.png",3)</f>
        <v/>
      </c>
      <c r="O61" s="1524" t="s">
        <v>770</v>
      </c>
      <c r="P61" s="774"/>
      <c r="Q61" s="775"/>
      <c r="R61" s="1525" t="str">
        <f>IMAGE("https://raw.githubusercontent.com/msikma/pokesprite/master/items/gem/fire.png",3)</f>
        <v/>
      </c>
      <c r="T61" s="1524" t="s">
        <v>713</v>
      </c>
      <c r="U61" s="774"/>
      <c r="V61" s="775"/>
      <c r="W61" s="1525" t="str">
        <f>IMAGE("https://raw.githubusercontent.com/msikma/pokesprite/master/items/hold-item/assault-vest.png",3)</f>
        <v/>
      </c>
      <c r="Y61" s="1524" t="s">
        <v>733</v>
      </c>
      <c r="Z61" s="774"/>
      <c r="AA61" s="775"/>
      <c r="AB61" s="1525" t="str">
        <f>IMAGE("https://raw.githubusercontent.com/msikma/pokesprite/master/items/hold-item/leftovers.png",3)</f>
        <v/>
      </c>
      <c r="AD61" s="1524" t="s">
        <v>771</v>
      </c>
      <c r="AE61" s="774"/>
      <c r="AF61" s="775"/>
      <c r="AG61" s="1525" t="str">
        <f>IMAGE("https://raw.githubusercontent.com/msikma/pokesprite/master/items/mega-stone/manectite.png",3)</f>
        <v/>
      </c>
      <c r="AH61" s="1515"/>
      <c r="AI61" s="534"/>
    </row>
    <row r="62" ht="20.25" customHeight="1">
      <c r="A62" s="519"/>
      <c r="B62" s="770"/>
      <c r="C62" s="814"/>
      <c r="E62" s="1520" t="s">
        <v>504</v>
      </c>
      <c r="F62" s="816"/>
      <c r="G62" s="1526"/>
      <c r="H62" s="1527" t="str">
        <f>IMAGE("https://raw.githubusercontent.com/msikma/pokesprite/master/misc/types/gen8/electric.png",4,20,20)</f>
        <v/>
      </c>
      <c r="J62" s="1520" t="s">
        <v>219</v>
      </c>
      <c r="K62" s="816"/>
      <c r="L62" s="1526"/>
      <c r="M62" s="1527" t="str">
        <f>IMAGE("https://raw.githubusercontent.com/msikma/pokesprite/master/misc/types/gen8/dragon.png",4,20,20)</f>
        <v/>
      </c>
      <c r="O62" s="1520" t="s">
        <v>146</v>
      </c>
      <c r="P62" s="816"/>
      <c r="Q62" s="1526"/>
      <c r="R62" s="1527" t="str">
        <f>IMAGE("https://raw.githubusercontent.com/msikma/pokesprite/master/misc/types/gen8/fire.png",4,20,20)</f>
        <v/>
      </c>
      <c r="T62" s="1520" t="s">
        <v>580</v>
      </c>
      <c r="U62" s="816"/>
      <c r="V62" s="1526"/>
      <c r="W62" s="1527" t="str">
        <f>IMAGE("https://raw.githubusercontent.com/msikma/pokesprite/master/misc/types/gen8/electric.png",4,20,20)</f>
        <v/>
      </c>
      <c r="Y62" s="1520" t="s">
        <v>170</v>
      </c>
      <c r="Z62" s="816"/>
      <c r="AA62" s="1526"/>
      <c r="AB62" s="1527" t="str">
        <f>IMAGE("https://raw.githubusercontent.com/msikma/pokesprite/master/misc/types/gen8/psychic.png",4,20,20)</f>
        <v/>
      </c>
      <c r="AD62" s="1520" t="s">
        <v>578</v>
      </c>
      <c r="AE62" s="816"/>
      <c r="AF62" s="1526"/>
      <c r="AG62" s="1527" t="str">
        <f>IMAGE("https://raw.githubusercontent.com/msikma/pokesprite/master/misc/types/gen8/electric.png",4,20,20)</f>
        <v/>
      </c>
      <c r="AH62" s="1502"/>
      <c r="AI62" s="534"/>
    </row>
    <row r="63" ht="20.25" customHeight="1">
      <c r="A63" s="519"/>
      <c r="B63" s="770"/>
      <c r="C63" s="1528"/>
      <c r="E63" s="1522" t="s">
        <v>583</v>
      </c>
      <c r="F63" s="795"/>
      <c r="G63" s="807"/>
      <c r="H63" s="1529" t="str">
        <f t="shared" ref="H63:H64" si="3">IMAGE("https://raw.githubusercontent.com/msikma/pokesprite/master/misc/types/gen8/fighting.png",4,20,20)</f>
        <v/>
      </c>
      <c r="J63" s="1522" t="s">
        <v>772</v>
      </c>
      <c r="K63" s="795"/>
      <c r="L63" s="807"/>
      <c r="M63" s="1529" t="str">
        <f>IMAGE("https://raw.githubusercontent.com/msikma/pokesprite/master/misc/types/gen8/electric.png",4,20,20)</f>
        <v/>
      </c>
      <c r="O63" s="1522" t="s">
        <v>773</v>
      </c>
      <c r="P63" s="795"/>
      <c r="Q63" s="807"/>
      <c r="R63" s="1529" t="str">
        <f>IMAGE("https://raw.githubusercontent.com/msikma/pokesprite/master/misc/types/gen8/poison.png",4,20,20)</f>
        <v/>
      </c>
      <c r="T63" s="1522" t="s">
        <v>548</v>
      </c>
      <c r="U63" s="795"/>
      <c r="V63" s="807"/>
      <c r="W63" s="1529" t="str">
        <f>IMAGE("https://raw.githubusercontent.com/msikma/pokesprite/master/misc/types/gen8/fighting.png",4,20,20)</f>
        <v/>
      </c>
      <c r="Y63" s="1522" t="s">
        <v>774</v>
      </c>
      <c r="Z63" s="795"/>
      <c r="AA63" s="807"/>
      <c r="AB63" s="1529" t="str">
        <f>IMAGE("https://raw.githubusercontent.com/msikma/pokesprite/master/misc/types/gen8/electric.png",4,20,20)</f>
        <v/>
      </c>
      <c r="AD63" s="1522" t="s">
        <v>553</v>
      </c>
      <c r="AE63" s="795"/>
      <c r="AF63" s="807"/>
      <c r="AG63" s="1529" t="str">
        <f>IMAGE("https://raw.githubusercontent.com/msikma/pokesprite/master/misc/types/gen8/grass.png",4,20,20)</f>
        <v/>
      </c>
      <c r="AH63" s="1502"/>
      <c r="AI63" s="534"/>
    </row>
    <row r="64" ht="20.25" customHeight="1">
      <c r="A64" s="545"/>
      <c r="B64" s="770"/>
      <c r="C64" s="1528"/>
      <c r="E64" s="1522" t="s">
        <v>584</v>
      </c>
      <c r="F64" s="795"/>
      <c r="G64" s="807"/>
      <c r="H64" s="1529" t="str">
        <f t="shared" si="3"/>
        <v/>
      </c>
      <c r="J64" s="1522" t="s">
        <v>621</v>
      </c>
      <c r="K64" s="795"/>
      <c r="L64" s="807"/>
      <c r="M64" s="1529" t="str">
        <f>IMAGE("https://raw.githubusercontent.com/msikma/pokesprite/master/misc/types/gen8/rock.png",4,20,20)</f>
        <v/>
      </c>
      <c r="O64" s="1522" t="s">
        <v>775</v>
      </c>
      <c r="P64" s="795"/>
      <c r="Q64" s="807"/>
      <c r="R64" s="1529" t="str">
        <f>IMAGE("https://raw.githubusercontent.com/msikma/pokesprite/master/misc/types/gen8/grass.png",4,20,20)</f>
        <v/>
      </c>
      <c r="T64" s="1522" t="s">
        <v>589</v>
      </c>
      <c r="U64" s="795"/>
      <c r="V64" s="807"/>
      <c r="W64" s="1529" t="str">
        <f>IMAGE("https://raw.githubusercontent.com/msikma/pokesprite/master/misc/types/gen8/ice.png",4,20,20)</f>
        <v/>
      </c>
      <c r="Y64" s="1522" t="s">
        <v>585</v>
      </c>
      <c r="Z64" s="795"/>
      <c r="AA64" s="807"/>
      <c r="AB64" s="1529" t="str">
        <f>IMAGE("https://raw.githubusercontent.com/msikma/pokesprite/master/misc/types/gen8/dragon.png",4,20,20)</f>
        <v/>
      </c>
      <c r="AD64" s="1522" t="s">
        <v>619</v>
      </c>
      <c r="AE64" s="795"/>
      <c r="AF64" s="807"/>
      <c r="AG64" s="1529" t="str">
        <f>IMAGE("https://raw.githubusercontent.com/msikma/pokesprite/master/misc/types/gen8/fire.png",4,20,20)</f>
        <v/>
      </c>
      <c r="AH64" s="1502"/>
      <c r="AI64" s="534"/>
    </row>
    <row r="65" ht="21.0" customHeight="1">
      <c r="A65" s="545"/>
      <c r="B65" s="770"/>
      <c r="C65" s="1528"/>
      <c r="D65" s="788"/>
      <c r="E65" s="1530" t="s">
        <v>589</v>
      </c>
      <c r="F65" s="828"/>
      <c r="G65" s="1531"/>
      <c r="H65" s="1532" t="str">
        <f>IMAGE("https://raw.githubusercontent.com/msikma/pokesprite/master/misc/types/gen8/ice.png",4,20,20)</f>
        <v/>
      </c>
      <c r="I65" s="788"/>
      <c r="J65" s="1530" t="s">
        <v>589</v>
      </c>
      <c r="K65" s="828"/>
      <c r="L65" s="1531"/>
      <c r="M65" s="1532" t="str">
        <f>IMAGE("https://raw.githubusercontent.com/msikma/pokesprite/master/misc/types/gen8/ice.png",4,20,20)</f>
        <v/>
      </c>
      <c r="N65" s="788"/>
      <c r="O65" s="1530" t="s">
        <v>776</v>
      </c>
      <c r="P65" s="828"/>
      <c r="Q65" s="1531"/>
      <c r="R65" s="1532" t="str">
        <f>IMAGE("https://raw.githubusercontent.com/msikma/pokesprite/master/misc/types/gen8/fairy.png",4,20,20)</f>
        <v/>
      </c>
      <c r="S65" s="788"/>
      <c r="T65" s="1530" t="s">
        <v>777</v>
      </c>
      <c r="U65" s="828"/>
      <c r="V65" s="1531"/>
      <c r="W65" s="1532" t="str">
        <f>IMAGE("https://raw.githubusercontent.com/msikma/pokesprite/master/misc/types/gen8/normal.png",4,20,20)</f>
        <v/>
      </c>
      <c r="X65" s="788"/>
      <c r="Y65" s="1530" t="s">
        <v>776</v>
      </c>
      <c r="Z65" s="828"/>
      <c r="AA65" s="1531"/>
      <c r="AB65" s="1532" t="str">
        <f>IMAGE("https://raw.githubusercontent.com/msikma/pokesprite/master/misc/types/gen8/fairy.png",4,20,20)</f>
        <v/>
      </c>
      <c r="AC65" s="788"/>
      <c r="AD65" s="1530" t="s">
        <v>581</v>
      </c>
      <c r="AE65" s="828"/>
      <c r="AF65" s="1531"/>
      <c r="AG65" s="1532" t="str">
        <f>IMAGE("https://raw.githubusercontent.com/msikma/pokesprite/master/misc/types/gen8/electric.png",4,20,20)</f>
        <v/>
      </c>
      <c r="AH65" s="1502"/>
      <c r="AI65" s="534"/>
    </row>
    <row r="66" ht="3.0" customHeight="1">
      <c r="A66" s="545"/>
      <c r="B66" s="799"/>
      <c r="C66" s="1533"/>
      <c r="D66" s="835"/>
      <c r="E66" s="832"/>
      <c r="F66" s="832"/>
      <c r="G66" s="832"/>
      <c r="H66" s="832"/>
      <c r="I66" s="835"/>
      <c r="J66" s="832"/>
      <c r="K66" s="832"/>
      <c r="L66" s="832"/>
      <c r="M66" s="832"/>
      <c r="N66" s="835"/>
      <c r="O66" s="832"/>
      <c r="P66" s="832"/>
      <c r="Q66" s="832"/>
      <c r="R66" s="832"/>
      <c r="S66" s="835"/>
      <c r="T66" s="832"/>
      <c r="U66" s="832"/>
      <c r="V66" s="832"/>
      <c r="W66" s="832"/>
      <c r="X66" s="835"/>
      <c r="Y66" s="832"/>
      <c r="Z66" s="833"/>
      <c r="AA66" s="833"/>
      <c r="AB66" s="834"/>
      <c r="AC66" s="835"/>
      <c r="AD66" s="1534"/>
      <c r="AE66" s="1534"/>
      <c r="AF66" s="1534"/>
      <c r="AG66" s="834"/>
      <c r="AH66" s="808"/>
      <c r="AI66" s="525"/>
    </row>
    <row r="67" ht="16.5" customHeight="1">
      <c r="A67" s="545"/>
      <c r="B67" s="836"/>
      <c r="C67" s="1533"/>
      <c r="D67" s="1535"/>
      <c r="E67" s="838" t="s">
        <v>512</v>
      </c>
      <c r="F67" s="606"/>
      <c r="G67" s="606"/>
      <c r="H67" s="607"/>
      <c r="I67" s="846"/>
      <c r="J67" s="838" t="s">
        <v>512</v>
      </c>
      <c r="K67" s="606"/>
      <c r="L67" s="606"/>
      <c r="M67" s="607"/>
      <c r="N67" s="846"/>
      <c r="O67" s="838" t="s">
        <v>512</v>
      </c>
      <c r="P67" s="606"/>
      <c r="Q67" s="606"/>
      <c r="R67" s="607"/>
      <c r="S67" s="846"/>
      <c r="T67" s="838" t="s">
        <v>512</v>
      </c>
      <c r="U67" s="606"/>
      <c r="V67" s="606"/>
      <c r="W67" s="607"/>
      <c r="X67" s="846"/>
      <c r="Y67" s="838" t="s">
        <v>512</v>
      </c>
      <c r="Z67" s="606"/>
      <c r="AA67" s="606"/>
      <c r="AB67" s="607"/>
      <c r="AC67" s="846"/>
      <c r="AD67" s="838" t="s">
        <v>512</v>
      </c>
      <c r="AE67" s="606"/>
      <c r="AF67" s="606"/>
      <c r="AG67" s="607"/>
      <c r="AH67" s="841"/>
      <c r="AI67" s="612"/>
    </row>
    <row r="68" ht="16.5" customHeight="1">
      <c r="A68" s="545"/>
      <c r="B68" s="836"/>
      <c r="C68" s="1533"/>
      <c r="D68" s="1535"/>
      <c r="E68" s="842" t="s">
        <v>513</v>
      </c>
      <c r="F68" s="843">
        <f t="array" ref="F68">IFERROR(VLOOKUP(E55,Dex!$B$3:$N101,8,FALSE),"")</f>
        <v>70</v>
      </c>
      <c r="G68" s="844" t="str">
        <f t="array" ref="G68">IFERROR(VLOOKUP(F68,Dex!$P$22:$Q$276,2,FALSE),"")</f>
        <v/>
      </c>
      <c r="H68" s="845"/>
      <c r="I68" s="1536"/>
      <c r="J68" s="842" t="s">
        <v>513</v>
      </c>
      <c r="K68" s="843">
        <f t="array" ref="K68">IFERROR(VLOOKUP(J55,Dex!$B$3:$N101,8,FALSE),"")</f>
        <v>110</v>
      </c>
      <c r="L68" s="844" t="str">
        <f t="array" ref="L68">IFERROR(VLOOKUP(K68,Dex!$P$22:$Q$276,2,FALSE),"")</f>
        <v/>
      </c>
      <c r="M68" s="845"/>
      <c r="N68" s="1536"/>
      <c r="O68" s="842" t="s">
        <v>513</v>
      </c>
      <c r="P68" s="843">
        <f t="array" ref="P68">IFERROR(VLOOKUP(O55,Dex!$B$3:$N101,8,FALSE),"")</f>
        <v>80</v>
      </c>
      <c r="Q68" s="844" t="str">
        <f t="array" ref="Q68">IFERROR(VLOOKUP(P68,Dex!$P$22:$Q$276,2,FALSE),"")</f>
        <v/>
      </c>
      <c r="R68" s="845"/>
      <c r="S68" s="1536"/>
      <c r="T68" s="842" t="s">
        <v>513</v>
      </c>
      <c r="U68" s="843">
        <f t="array" ref="U68">IFERROR(VLOOKUP(T55,Dex!$B$3:$N101,8,FALSE),"")</f>
        <v>154</v>
      </c>
      <c r="V68" s="844" t="str">
        <f t="array" ref="V68">IFERROR(VLOOKUP(U68,Dex!$P$22:$Q$276,2,FALSE),"")</f>
        <v/>
      </c>
      <c r="W68" s="845"/>
      <c r="X68" s="1536"/>
      <c r="Y68" s="842" t="s">
        <v>513</v>
      </c>
      <c r="Z68" s="843">
        <f t="array" ref="Z68">IFERROR(VLOOKUP(Y55,Dex!$B$3:$N101,8,FALSE),"")</f>
        <v>100</v>
      </c>
      <c r="AA68" s="844" t="str">
        <f t="array" ref="AA68">IFERROR(VLOOKUP(Z68,Dex!$P$22:$Q$276,2,FALSE),"")</f>
        <v/>
      </c>
      <c r="AB68" s="845"/>
      <c r="AC68" s="1536"/>
      <c r="AD68" s="842" t="s">
        <v>513</v>
      </c>
      <c r="AE68" s="843">
        <f t="array" ref="AE68">IFERROR(VLOOKUP(AD55,Dex!$B$3:$N101,8,FALSE),"")</f>
        <v>70</v>
      </c>
      <c r="AF68" s="844" t="str">
        <f t="array" ref="AF68">IFERROR(VLOOKUP(AE68,Dex!$P$22:$Q$276,2,FALSE),"")</f>
        <v/>
      </c>
      <c r="AG68" s="845"/>
      <c r="AH68" s="1537"/>
      <c r="AI68" s="612"/>
    </row>
    <row r="69" ht="16.5" customHeight="1">
      <c r="A69" s="545"/>
      <c r="B69" s="836"/>
      <c r="C69" s="1533"/>
      <c r="D69" s="1535"/>
      <c r="E69" s="848" t="s">
        <v>514</v>
      </c>
      <c r="F69" s="849">
        <f t="array" ref="F69">IFERROR(VLOOKUP(E55,Dex!$B$3:$N101,9,FALSE),"")</f>
        <v>115</v>
      </c>
      <c r="G69" s="850" t="str">
        <f t="array" ref="G69">IFERROR(VLOOKUP(F69,Dex!$P$22:$Q$276,2,FALSE),"")</f>
        <v/>
      </c>
      <c r="H69" s="851"/>
      <c r="I69" s="1536"/>
      <c r="J69" s="848" t="s">
        <v>514</v>
      </c>
      <c r="K69" s="849">
        <f t="array" ref="K69">IFERROR(VLOOKUP(J55,Dex!$B$3:$N101,9,FALSE),"")</f>
        <v>134</v>
      </c>
      <c r="L69" s="850" t="str">
        <f t="array" ref="L69">IFERROR(VLOOKUP(K69,Dex!$P$22:$Q$276,2,FALSE),"")</f>
        <v/>
      </c>
      <c r="M69" s="851"/>
      <c r="N69" s="1536"/>
      <c r="O69" s="848" t="s">
        <v>514</v>
      </c>
      <c r="P69" s="849">
        <f t="array" ref="P69">IFERROR(VLOOKUP(O55,Dex!$B$3:$N101,9,FALSE),"")</f>
        <v>70</v>
      </c>
      <c r="Q69" s="850" t="str">
        <f t="array" ref="Q69">IFERROR(VLOOKUP(P69,Dex!$P$22:$Q$276,2,FALSE),"")</f>
        <v/>
      </c>
      <c r="R69" s="851"/>
      <c r="S69" s="1536"/>
      <c r="T69" s="848" t="s">
        <v>514</v>
      </c>
      <c r="U69" s="849">
        <f t="array" ref="U69">IFERROR(VLOOKUP(T55,Dex!$B$3:$N101,9,FALSE),"")</f>
        <v>140</v>
      </c>
      <c r="V69" s="850" t="str">
        <f t="array" ref="V69">IFERROR(VLOOKUP(U69,Dex!$P$22:$Q$276,2,FALSE),"")</f>
        <v/>
      </c>
      <c r="W69" s="851"/>
      <c r="X69" s="1536"/>
      <c r="Y69" s="848" t="s">
        <v>514</v>
      </c>
      <c r="Z69" s="849">
        <f t="array" ref="Z69">IFERROR(VLOOKUP(Y55,Dex!$B$3:$N101,9,FALSE),"")</f>
        <v>85</v>
      </c>
      <c r="AA69" s="850" t="str">
        <f t="array" ref="AA69">IFERROR(VLOOKUP(Z69,Dex!$P$22:$Q$276,2,FALSE),"")</f>
        <v/>
      </c>
      <c r="AB69" s="851"/>
      <c r="AC69" s="1536"/>
      <c r="AD69" s="848" t="s">
        <v>514</v>
      </c>
      <c r="AE69" s="849">
        <f t="array" ref="AE69">IFERROR(VLOOKUP(AD55,Dex!$B$3:$N101,9,FALSE),"")</f>
        <v>75</v>
      </c>
      <c r="AF69" s="850" t="str">
        <f t="array" ref="AF69">IFERROR(VLOOKUP(AE69,Dex!$P$22:$Q$276,2,FALSE),"")</f>
        <v/>
      </c>
      <c r="AG69" s="851"/>
      <c r="AH69" s="1537"/>
      <c r="AI69" s="612"/>
    </row>
    <row r="70" ht="16.5" customHeight="1">
      <c r="A70" s="545"/>
      <c r="B70" s="836"/>
      <c r="C70" s="1533"/>
      <c r="D70" s="1535"/>
      <c r="E70" s="848" t="s">
        <v>515</v>
      </c>
      <c r="F70" s="849">
        <f t="array" ref="F70">IFERROR(VLOOKUP(E55,Dex!$B$3:$N101,10,FALSE),"")</f>
        <v>70</v>
      </c>
      <c r="G70" s="850" t="str">
        <f t="array" ref="G70">IFERROR(VLOOKUP(F70,Dex!$P$22:$Q$276,2,FALSE),"")</f>
        <v/>
      </c>
      <c r="H70" s="851"/>
      <c r="I70" s="1536"/>
      <c r="J70" s="848" t="s">
        <v>515</v>
      </c>
      <c r="K70" s="849">
        <f t="array" ref="K70">IFERROR(VLOOKUP(J55,Dex!$B$3:$N101,10,FALSE),"")</f>
        <v>110</v>
      </c>
      <c r="L70" s="850" t="str">
        <f t="array" ref="L70">IFERROR(VLOOKUP(K70,Dex!$P$22:$Q$276,2,FALSE),"")</f>
        <v/>
      </c>
      <c r="M70" s="851"/>
      <c r="N70" s="1536"/>
      <c r="O70" s="848" t="s">
        <v>515</v>
      </c>
      <c r="P70" s="849">
        <f t="array" ref="P70">IFERROR(VLOOKUP(O55,Dex!$B$3:$N101,10,FALSE),"")</f>
        <v>60</v>
      </c>
      <c r="Q70" s="850" t="str">
        <f t="array" ref="Q70">IFERROR(VLOOKUP(P70,Dex!$P$22:$Q$276,2,FALSE),"")</f>
        <v/>
      </c>
      <c r="R70" s="851"/>
      <c r="S70" s="1536"/>
      <c r="T70" s="848" t="s">
        <v>515</v>
      </c>
      <c r="U70" s="849">
        <f t="array" ref="U70">IFERROR(VLOOKUP(T55,Dex!$B$3:$N101,10,FALSE),"")</f>
        <v>108</v>
      </c>
      <c r="V70" s="850" t="str">
        <f t="array" ref="V70">IFERROR(VLOOKUP(U70,Dex!$P$22:$Q$276,2,FALSE),"")</f>
        <v/>
      </c>
      <c r="W70" s="851"/>
      <c r="X70" s="1536"/>
      <c r="Y70" s="848" t="s">
        <v>515</v>
      </c>
      <c r="Z70" s="849">
        <f t="array" ref="Z70">IFERROR(VLOOKUP(Y55,Dex!$B$3:$N101,10,FALSE),"")</f>
        <v>100</v>
      </c>
      <c r="AA70" s="850" t="str">
        <f t="array" ref="AA70">IFERROR(VLOOKUP(Z70,Dex!$P$22:$Q$276,2,FALSE),"")</f>
        <v/>
      </c>
      <c r="AB70" s="851"/>
      <c r="AC70" s="1536"/>
      <c r="AD70" s="848" t="s">
        <v>515</v>
      </c>
      <c r="AE70" s="849">
        <f t="array" ref="AE70">IFERROR(VLOOKUP(AD55,Dex!$B$3:$N101,10,FALSE),"")</f>
        <v>80</v>
      </c>
      <c r="AF70" s="850" t="str">
        <f t="array" ref="AF70">IFERROR(VLOOKUP(AE70,Dex!$P$22:$Q$276,2,FALSE),"")</f>
        <v/>
      </c>
      <c r="AG70" s="851"/>
      <c r="AH70" s="1537"/>
      <c r="AI70" s="612"/>
    </row>
    <row r="71" ht="16.5" customHeight="1">
      <c r="A71" s="545"/>
      <c r="B71" s="836"/>
      <c r="C71" s="1533"/>
      <c r="D71" s="1535"/>
      <c r="E71" s="848" t="s">
        <v>516</v>
      </c>
      <c r="F71" s="849">
        <f t="array" ref="F71">IFERROR(VLOOKUP(E55,Dex!$B$3:$N101,11,FALSE),"")</f>
        <v>70</v>
      </c>
      <c r="G71" s="850" t="str">
        <f t="array" ref="G71">IFERROR(VLOOKUP(F71,Dex!$P$22:$Q$276,2,FALSE),"")</f>
        <v/>
      </c>
      <c r="H71" s="851"/>
      <c r="I71" s="1536"/>
      <c r="J71" s="848" t="s">
        <v>516</v>
      </c>
      <c r="K71" s="849">
        <f t="array" ref="K71">IFERROR(VLOOKUP(J55,Dex!$B$3:$N101,11,FALSE),"")</f>
        <v>70</v>
      </c>
      <c r="L71" s="850" t="str">
        <f t="array" ref="L71">IFERROR(VLOOKUP(K71,Dex!$P$22:$Q$276,2,FALSE),"")</f>
        <v/>
      </c>
      <c r="M71" s="851"/>
      <c r="N71" s="1536"/>
      <c r="O71" s="848" t="s">
        <v>516</v>
      </c>
      <c r="P71" s="849">
        <f t="array" ref="P71">IFERROR(VLOOKUP(O55,Dex!$B$3:$N101,11,FALSE),"")</f>
        <v>140</v>
      </c>
      <c r="Q71" s="850" t="str">
        <f t="array" ref="Q71">IFERROR(VLOOKUP(P71,Dex!$P$22:$Q$276,2,FALSE),"")</f>
        <v/>
      </c>
      <c r="R71" s="851"/>
      <c r="S71" s="1536"/>
      <c r="T71" s="848" t="s">
        <v>516</v>
      </c>
      <c r="U71" s="849">
        <f t="array" ref="U71">IFERROR(VLOOKUP(T55,Dex!$B$3:$N101,11,FALSE),"")</f>
        <v>50</v>
      </c>
      <c r="V71" s="850" t="str">
        <f t="array" ref="V71">IFERROR(VLOOKUP(U71,Dex!$P$22:$Q$276,2,FALSE),"")</f>
        <v/>
      </c>
      <c r="W71" s="851"/>
      <c r="X71" s="1536"/>
      <c r="Y71" s="848" t="s">
        <v>516</v>
      </c>
      <c r="Z71" s="849">
        <f t="array" ref="Z71">IFERROR(VLOOKUP(Y55,Dex!$B$3:$N101,11,FALSE),"")</f>
        <v>135</v>
      </c>
      <c r="AA71" s="850" t="str">
        <f t="array" ref="AA71">IFERROR(VLOOKUP(Z71,Dex!$P$22:$Q$276,2,FALSE),"")</f>
        <v/>
      </c>
      <c r="AB71" s="851"/>
      <c r="AC71" s="1536"/>
      <c r="AD71" s="848" t="s">
        <v>516</v>
      </c>
      <c r="AE71" s="849">
        <f t="array" ref="AE71">IFERROR(VLOOKUP(AD55,Dex!$B$3:$N101,11,FALSE),"")</f>
        <v>135</v>
      </c>
      <c r="AF71" s="850" t="str">
        <f t="array" ref="AF71">IFERROR(VLOOKUP(AE71,Dex!$P$22:$Q$276,2,FALSE),"")</f>
        <v/>
      </c>
      <c r="AG71" s="851"/>
      <c r="AH71" s="1537"/>
      <c r="AI71" s="612"/>
    </row>
    <row r="72" ht="16.5" customHeight="1">
      <c r="A72" s="545"/>
      <c r="B72" s="836"/>
      <c r="C72" s="1533"/>
      <c r="D72" s="1535"/>
      <c r="E72" s="848" t="s">
        <v>517</v>
      </c>
      <c r="F72" s="849">
        <f t="array" ref="F72">IFERROR(VLOOKUP(E55,Dex!$B$3:$N101,12,FALSE),"")</f>
        <v>60</v>
      </c>
      <c r="G72" s="850" t="str">
        <f t="array" ref="G72">IFERROR(VLOOKUP(F72,Dex!$P$22:$Q$276,2,FALSE),"")</f>
        <v/>
      </c>
      <c r="H72" s="851"/>
      <c r="I72" s="1536"/>
      <c r="J72" s="848" t="s">
        <v>517</v>
      </c>
      <c r="K72" s="849">
        <f t="array" ref="K72">IFERROR(VLOOKUP(J55,Dex!$B$3:$N101,12,FALSE),"")</f>
        <v>84</v>
      </c>
      <c r="L72" s="850" t="str">
        <f t="array" ref="L72">IFERROR(VLOOKUP(K72,Dex!$P$22:$Q$276,2,FALSE),"")</f>
        <v/>
      </c>
      <c r="M72" s="851"/>
      <c r="N72" s="1536"/>
      <c r="O72" s="848" t="s">
        <v>517</v>
      </c>
      <c r="P72" s="849">
        <f t="array" ref="P72">IFERROR(VLOOKUP(O55,Dex!$B$3:$N101,12,FALSE),"")</f>
        <v>110</v>
      </c>
      <c r="Q72" s="850" t="str">
        <f t="array" ref="Q72">IFERROR(VLOOKUP(P72,Dex!$P$22:$Q$276,2,FALSE),"")</f>
        <v/>
      </c>
      <c r="R72" s="851"/>
      <c r="S72" s="1536"/>
      <c r="T72" s="848" t="s">
        <v>517</v>
      </c>
      <c r="U72" s="849">
        <f t="array" ref="U72">IFERROR(VLOOKUP(T55,Dex!$B$3:$N101,12,FALSE),"")</f>
        <v>68</v>
      </c>
      <c r="V72" s="850" t="str">
        <f t="array" ref="V72">IFERROR(VLOOKUP(U72,Dex!$P$22:$Q$276,2,FALSE),"")</f>
        <v/>
      </c>
      <c r="W72" s="851"/>
      <c r="X72" s="1536"/>
      <c r="Y72" s="848" t="s">
        <v>517</v>
      </c>
      <c r="Z72" s="849">
        <f t="array" ref="Z72">IFERROR(VLOOKUP(Y55,Dex!$B$3:$N101,12,FALSE),"")</f>
        <v>115</v>
      </c>
      <c r="AA72" s="850" t="str">
        <f t="array" ref="AA72">IFERROR(VLOOKUP(Z72,Dex!$P$22:$Q$276,2,FALSE),"")</f>
        <v/>
      </c>
      <c r="AB72" s="851"/>
      <c r="AC72" s="1536"/>
      <c r="AD72" s="848" t="s">
        <v>517</v>
      </c>
      <c r="AE72" s="849">
        <f t="array" ref="AE72">IFERROR(VLOOKUP(AD55,Dex!$B$3:$N101,12,FALSE),"")</f>
        <v>80</v>
      </c>
      <c r="AF72" s="850" t="str">
        <f t="array" ref="AF72">IFERROR(VLOOKUP(AE72,Dex!$P$22:$Q$276,2,FALSE),"")</f>
        <v/>
      </c>
      <c r="AG72" s="851"/>
      <c r="AH72" s="1537"/>
      <c r="AI72" s="612"/>
    </row>
    <row r="73" ht="15.75" customHeight="1">
      <c r="A73" s="545"/>
      <c r="B73" s="836"/>
      <c r="C73" s="1426" t="s">
        <v>745</v>
      </c>
      <c r="D73" s="1535"/>
      <c r="E73" s="852" t="s">
        <v>518</v>
      </c>
      <c r="F73" s="853">
        <f t="array" ref="F73">IFERROR(VLOOKUP(E55,Dex!$B$3:$N101,13,FALSE),"")</f>
        <v>105</v>
      </c>
      <c r="G73" s="854" t="str">
        <f t="array" ref="G73">IFERROR(VLOOKUP(F73,Dex!$P$22:$Q$276,2,FALSE),"")</f>
        <v/>
      </c>
      <c r="H73" s="855"/>
      <c r="I73" s="1536"/>
      <c r="J73" s="852" t="s">
        <v>518</v>
      </c>
      <c r="K73" s="853">
        <f t="array" ref="K73">IFERROR(VLOOKUP(J55,Dex!$B$3:$N101,13,FALSE),"")</f>
        <v>72</v>
      </c>
      <c r="L73" s="854" t="str">
        <f t="array" ref="L73">IFERROR(VLOOKUP(K73,Dex!$P$22:$Q$276,2,FALSE),"")</f>
        <v/>
      </c>
      <c r="M73" s="855"/>
      <c r="N73" s="1536"/>
      <c r="O73" s="852" t="s">
        <v>518</v>
      </c>
      <c r="P73" s="853">
        <f t="array" ref="P73">IFERROR(VLOOKUP(O55,Dex!$B$3:$N101,13,FALSE),"")</f>
        <v>110</v>
      </c>
      <c r="Q73" s="854" t="str">
        <f t="array" ref="Q73">IFERROR(VLOOKUP(P73,Dex!$P$22:$Q$276,2,FALSE),"")</f>
        <v/>
      </c>
      <c r="R73" s="855"/>
      <c r="S73" s="1536"/>
      <c r="T73" s="852" t="s">
        <v>518</v>
      </c>
      <c r="U73" s="853">
        <f t="array" ref="U73">IFERROR(VLOOKUP(T55,Dex!$B$3:$N101,13,FALSE),"")</f>
        <v>50</v>
      </c>
      <c r="V73" s="854" t="str">
        <f t="array" ref="V73">IFERROR(VLOOKUP(U73,Dex!$P$22:$Q$276,2,FALSE),"")</f>
        <v/>
      </c>
      <c r="W73" s="855"/>
      <c r="X73" s="1536"/>
      <c r="Y73" s="852" t="s">
        <v>518</v>
      </c>
      <c r="Z73" s="853">
        <f t="array" ref="Z73">IFERROR(VLOOKUP(Y55,Dex!$B$3:$N101,13,FALSE),"")</f>
        <v>135</v>
      </c>
      <c r="AA73" s="854" t="str">
        <f t="array" ref="AA73">IFERROR(VLOOKUP(Z73,Dex!$P$22:$Q$276,2,FALSE),"")</f>
        <v/>
      </c>
      <c r="AB73" s="855"/>
      <c r="AC73" s="1536"/>
      <c r="AD73" s="852" t="s">
        <v>518</v>
      </c>
      <c r="AE73" s="853">
        <f t="array" ref="AE73">IFERROR(VLOOKUP(AD55,Dex!$B$3:$N101,13,FALSE),"")</f>
        <v>135</v>
      </c>
      <c r="AF73" s="854" t="str">
        <f t="array" ref="AF73">IFERROR(VLOOKUP(AE73,Dex!$P$22:$Q$276,2,FALSE),"")</f>
        <v/>
      </c>
      <c r="AG73" s="855"/>
      <c r="AH73" s="1537"/>
      <c r="AI73" s="612"/>
    </row>
    <row r="74" ht="16.5" customHeight="1">
      <c r="A74" s="545"/>
      <c r="B74" s="836"/>
      <c r="C74" s="1427" t="s">
        <v>746</v>
      </c>
      <c r="D74" s="1535"/>
      <c r="E74" s="856" t="s">
        <v>519</v>
      </c>
      <c r="F74" s="630"/>
      <c r="G74" s="631"/>
      <c r="H74" s="632">
        <f>ROUNDDOWN((ROUNDDOWN(((((2*F73+31)*68)/100+5)),0))*1.1,0)</f>
        <v>184</v>
      </c>
      <c r="I74" s="846"/>
      <c r="J74" s="856" t="s">
        <v>519</v>
      </c>
      <c r="K74" s="630"/>
      <c r="L74" s="631"/>
      <c r="M74" s="632">
        <f>ROUNDDOWN((ROUNDDOWN(((((2*K73+31)*68)/100+5)),0))*1.1,0)</f>
        <v>136</v>
      </c>
      <c r="N74" s="846"/>
      <c r="O74" s="856" t="s">
        <v>519</v>
      </c>
      <c r="P74" s="630"/>
      <c r="Q74" s="631"/>
      <c r="R74" s="632">
        <f>ROUNDDOWN((ROUNDDOWN(((((2*P73+31)*68)/100+5)),0))*1.1,0)</f>
        <v>192</v>
      </c>
      <c r="S74" s="846"/>
      <c r="T74" s="856" t="s">
        <v>519</v>
      </c>
      <c r="U74" s="630"/>
      <c r="V74" s="631"/>
      <c r="W74" s="632">
        <f>ROUNDDOWN((ROUNDDOWN(((((2*U73+31)*68)/100+5)),0))*1,0)</f>
        <v>94</v>
      </c>
      <c r="X74" s="846"/>
      <c r="Y74" s="856" t="s">
        <v>519</v>
      </c>
      <c r="Z74" s="630"/>
      <c r="AA74" s="631"/>
      <c r="AB74" s="632">
        <f>ROUNDDOWN((ROUNDDOWN(((((2*Z73+31)*68)/100+5)),0))*1.1,0)</f>
        <v>229</v>
      </c>
      <c r="AC74" s="846"/>
      <c r="AD74" s="856" t="s">
        <v>519</v>
      </c>
      <c r="AE74" s="630"/>
      <c r="AF74" s="631"/>
      <c r="AG74" s="632">
        <f>ROUNDDOWN((ROUNDDOWN(((((2*AE73+31)*68)/100+5)),0))*1.1,0)</f>
        <v>229</v>
      </c>
      <c r="AH74" s="841"/>
      <c r="AI74" s="612"/>
    </row>
    <row r="75" ht="7.5" customHeight="1">
      <c r="A75" s="545"/>
      <c r="B75" s="1538"/>
      <c r="C75" s="1539"/>
      <c r="D75" s="1540"/>
      <c r="E75" s="1540"/>
      <c r="F75" s="1540"/>
      <c r="G75" s="1540"/>
      <c r="H75" s="1540"/>
      <c r="I75" s="1540"/>
      <c r="J75" s="1540"/>
      <c r="K75" s="1540"/>
      <c r="L75" s="1540"/>
      <c r="M75" s="1540"/>
      <c r="N75" s="1540"/>
      <c r="O75" s="1540"/>
      <c r="P75" s="1540"/>
      <c r="Q75" s="1540"/>
      <c r="R75" s="1540"/>
      <c r="S75" s="1540"/>
      <c r="T75" s="1540"/>
      <c r="U75" s="1540"/>
      <c r="V75" s="1540"/>
      <c r="W75" s="1540"/>
      <c r="X75" s="1540"/>
      <c r="Y75" s="1540"/>
      <c r="Z75" s="1540"/>
      <c r="AA75" s="1540"/>
      <c r="AB75" s="1540"/>
      <c r="AC75" s="1540"/>
      <c r="AD75" s="1540"/>
      <c r="AE75" s="1540"/>
      <c r="AF75" s="1540"/>
      <c r="AG75" s="1540"/>
      <c r="AH75" s="1541"/>
      <c r="AI75" s="534"/>
    </row>
    <row r="76" ht="7.5" customHeight="1">
      <c r="A76" s="545"/>
      <c r="B76" s="1542"/>
      <c r="C76" s="1543"/>
      <c r="D76" s="1544"/>
      <c r="E76" s="1544"/>
      <c r="F76" s="1544"/>
      <c r="G76" s="1544"/>
      <c r="H76" s="1544"/>
      <c r="I76" s="1544"/>
      <c r="J76" s="1544"/>
      <c r="K76" s="1544"/>
      <c r="L76" s="1544"/>
      <c r="M76" s="1544"/>
      <c r="N76" s="1544"/>
      <c r="O76" s="1544"/>
      <c r="P76" s="1544"/>
      <c r="Q76" s="1544"/>
      <c r="R76" s="1544"/>
      <c r="S76" s="1544"/>
      <c r="T76" s="1544"/>
      <c r="U76" s="1544"/>
      <c r="V76" s="1544"/>
      <c r="W76" s="1544"/>
      <c r="X76" s="1544"/>
      <c r="Y76" s="1544"/>
      <c r="Z76" s="1544"/>
      <c r="AA76" s="1544"/>
      <c r="AB76" s="1544"/>
      <c r="AC76" s="1544"/>
      <c r="AD76" s="1544"/>
      <c r="AE76" s="1544"/>
      <c r="AF76" s="1544"/>
      <c r="AG76" s="1544"/>
      <c r="AH76" s="1545"/>
      <c r="AI76" s="534"/>
    </row>
    <row r="77">
      <c r="A77" s="545"/>
      <c r="B77" s="878"/>
      <c r="C77" s="879"/>
      <c r="D77" s="880"/>
      <c r="E77" s="1546" t="s">
        <v>778</v>
      </c>
      <c r="F77" s="882"/>
      <c r="G77" s="882"/>
      <c r="H77" s="882"/>
      <c r="I77" s="882"/>
      <c r="J77" s="882"/>
      <c r="K77" s="882"/>
      <c r="L77" s="882"/>
      <c r="M77" s="882"/>
      <c r="N77" s="882"/>
      <c r="O77" s="882"/>
      <c r="P77" s="882"/>
      <c r="Q77" s="882"/>
      <c r="R77" s="882"/>
      <c r="S77" s="882"/>
      <c r="T77" s="882"/>
      <c r="U77" s="882"/>
      <c r="V77" s="882"/>
      <c r="W77" s="882"/>
      <c r="X77" s="882"/>
      <c r="Y77" s="882"/>
      <c r="Z77" s="882"/>
      <c r="AA77" s="882"/>
      <c r="AB77" s="882"/>
      <c r="AC77" s="882"/>
      <c r="AD77" s="882"/>
      <c r="AE77" s="882"/>
      <c r="AF77" s="882"/>
      <c r="AG77" s="883"/>
      <c r="AH77" s="884"/>
      <c r="AI77" s="534"/>
    </row>
    <row r="78" ht="96.75" customHeight="1">
      <c r="A78" s="545"/>
      <c r="B78" s="1547"/>
      <c r="C78" s="1548" t="str">
        <f>IMAGE("https://i.ibb.co/z204J6T/Erika.png")</f>
        <v/>
      </c>
      <c r="D78" s="1549"/>
      <c r="E78" s="1550" t="str">
        <f t="array" ref="E78">IFERROR(VLOOKUP(E79,Dex!$B$3:$G101,3,FALSE),"")</f>
        <v/>
      </c>
      <c r="F78" s="539"/>
      <c r="G78" s="539"/>
      <c r="H78" s="540"/>
      <c r="I78" s="1551"/>
      <c r="J78" s="1550" t="str">
        <f t="array" ref="J78">IFERROR(VLOOKUP(J79,Dex!$B$3:$G101,3,FALSE),"")</f>
        <v/>
      </c>
      <c r="K78" s="539"/>
      <c r="L78" s="539"/>
      <c r="M78" s="540"/>
      <c r="N78" s="1551"/>
      <c r="O78" s="1550" t="str">
        <f t="array" ref="O78">IFERROR(VLOOKUP(O79,Dex!$B$3:$G101,3,FALSE),"")</f>
        <v/>
      </c>
      <c r="P78" s="539"/>
      <c r="Q78" s="539"/>
      <c r="R78" s="540"/>
      <c r="S78" s="1551"/>
      <c r="T78" s="1550" t="str">
        <f t="array" ref="T78">IFERROR(VLOOKUP(T79,Dex!$B$3:$G101,3,FALSE),"")</f>
        <v/>
      </c>
      <c r="U78" s="539"/>
      <c r="V78" s="539"/>
      <c r="W78" s="540"/>
      <c r="X78" s="1551"/>
      <c r="Y78" s="1550" t="str">
        <f t="array" ref="Y78">IFERROR(VLOOKUP(Y79,Dex!$B$3:$G101,3,FALSE),"")</f>
        <v/>
      </c>
      <c r="Z78" s="539"/>
      <c r="AA78" s="539"/>
      <c r="AB78" s="540"/>
      <c r="AC78" s="1551"/>
      <c r="AD78" s="1550" t="str">
        <f t="array" ref="AD78">IFERROR(VLOOKUP(AD79,Dex!$B$3:$G101,3,FALSE),"")</f>
        <v/>
      </c>
      <c r="AE78" s="539"/>
      <c r="AF78" s="539"/>
      <c r="AG78" s="540"/>
      <c r="AH78" s="1552"/>
      <c r="AI78" s="534"/>
    </row>
    <row r="79" ht="18.75" customHeight="1">
      <c r="A79" s="545"/>
      <c r="B79" s="1553"/>
      <c r="C79" s="892" t="s">
        <v>779</v>
      </c>
      <c r="D79" s="1554"/>
      <c r="E79" s="1555" t="s">
        <v>780</v>
      </c>
      <c r="F79" s="895"/>
      <c r="G79" s="895"/>
      <c r="H79" s="896"/>
      <c r="J79" s="1555" t="s">
        <v>263</v>
      </c>
      <c r="K79" s="895"/>
      <c r="L79" s="895"/>
      <c r="M79" s="896"/>
      <c r="O79" s="1555" t="s">
        <v>598</v>
      </c>
      <c r="P79" s="895"/>
      <c r="Q79" s="895"/>
      <c r="R79" s="896"/>
      <c r="T79" s="1555" t="s">
        <v>602</v>
      </c>
      <c r="U79" s="895"/>
      <c r="V79" s="895"/>
      <c r="W79" s="896"/>
      <c r="Y79" s="1555" t="s">
        <v>630</v>
      </c>
      <c r="Z79" s="895"/>
      <c r="AA79" s="895"/>
      <c r="AB79" s="896"/>
      <c r="AD79" s="1555" t="s">
        <v>563</v>
      </c>
      <c r="AE79" s="895"/>
      <c r="AF79" s="895"/>
      <c r="AG79" s="896"/>
      <c r="AH79" s="1556"/>
      <c r="AI79" s="1385"/>
    </row>
    <row r="80">
      <c r="A80" s="545"/>
      <c r="B80" s="1557"/>
      <c r="C80" s="556"/>
      <c r="D80" s="1558"/>
      <c r="E80" s="1559" t="s">
        <v>729</v>
      </c>
      <c r="F80" s="902"/>
      <c r="G80" s="902"/>
      <c r="H80" s="903"/>
      <c r="J80" s="1559" t="s">
        <v>729</v>
      </c>
      <c r="K80" s="902"/>
      <c r="L80" s="902"/>
      <c r="M80" s="903"/>
      <c r="O80" s="1559" t="s">
        <v>729</v>
      </c>
      <c r="P80" s="902"/>
      <c r="Q80" s="902"/>
      <c r="R80" s="903"/>
      <c r="T80" s="1559" t="s">
        <v>729</v>
      </c>
      <c r="U80" s="902"/>
      <c r="V80" s="902"/>
      <c r="W80" s="903"/>
      <c r="Y80" s="1559" t="s">
        <v>729</v>
      </c>
      <c r="Z80" s="902"/>
      <c r="AA80" s="902"/>
      <c r="AB80" s="903"/>
      <c r="AD80" s="1559" t="s">
        <v>729</v>
      </c>
      <c r="AE80" s="902"/>
      <c r="AF80" s="902"/>
      <c r="AG80" s="903"/>
      <c r="AH80" s="1560"/>
      <c r="AI80" s="1561"/>
    </row>
    <row r="81" ht="25.5" customHeight="1">
      <c r="A81" s="574"/>
      <c r="B81" s="878"/>
      <c r="C81" s="1562"/>
      <c r="D81" s="1563"/>
      <c r="E81" s="1564"/>
      <c r="F81" s="1565" t="str">
        <f t="array" ref="F81">IFERROR(VLOOKUP(E79,Dex!$B$3:$H101,5,FALSE),"")</f>
        <v/>
      </c>
      <c r="G81" s="1566" t="str">
        <f t="array" ref="G81">IFERROR(VLOOKUP(E79,Dex!$B$3:$H101,7,FALSE),"")</f>
        <v/>
      </c>
      <c r="H81" s="1567"/>
      <c r="J81" s="1564"/>
      <c r="K81" s="1568" t="str">
        <f t="array" ref="K81">IFERROR(VLOOKUP(J79,Dex!$B$3:$H101,5,FALSE),"")</f>
        <v/>
      </c>
      <c r="L81" s="1569"/>
      <c r="M81" s="1567"/>
      <c r="O81" s="1564"/>
      <c r="P81" s="1565" t="str">
        <f t="array" ref="P81">IFERROR(VLOOKUP(O79,Dex!$B$3:$H101,5,FALSE),"")</f>
        <v/>
      </c>
      <c r="Q81" s="1566" t="str">
        <f t="array" ref="Q81">IFERROR(VLOOKUP(O79,Dex!$B$3:$H101,7,FALSE),"")</f>
        <v/>
      </c>
      <c r="R81" s="1567"/>
      <c r="T81" s="1564"/>
      <c r="U81" s="1565" t="str">
        <f t="array" ref="U81">IFERROR(VLOOKUP(T79,Dex!$B$3:$H101,5,FALSE),"")</f>
        <v/>
      </c>
      <c r="V81" s="1566" t="str">
        <f t="array" ref="V81">IFERROR(VLOOKUP(T79,Dex!$B$3:$H101,7,FALSE),"")</f>
        <v/>
      </c>
      <c r="W81" s="1567"/>
      <c r="Y81" s="1564"/>
      <c r="Z81" s="1565" t="str">
        <f t="array" ref="Z81">IFERROR(VLOOKUP(Y79,Dex!$B$3:$H101,5,FALSE),"")</f>
        <v/>
      </c>
      <c r="AA81" s="1566" t="str">
        <f t="array" ref="AA81">IFERROR(VLOOKUP(Y79,Dex!$B$3:$H101,7,FALSE),"")</f>
        <v/>
      </c>
      <c r="AB81" s="1567"/>
      <c r="AD81" s="1564"/>
      <c r="AE81" s="1565" t="str">
        <f t="array" ref="AE81">IFERROR(VLOOKUP(AD79,Dex!$B$3:$H101,5,FALSE),"")</f>
        <v/>
      </c>
      <c r="AF81" s="1566" t="str">
        <f t="array" ref="AF81">IFERROR(VLOOKUP(AD79,Dex!$B$3:$H101,7,FALSE),"")</f>
        <v/>
      </c>
      <c r="AG81" s="1567"/>
      <c r="AH81" s="1570"/>
      <c r="AI81" s="534"/>
    </row>
    <row r="82" ht="2.25" customHeight="1">
      <c r="A82" s="545"/>
      <c r="B82" s="878"/>
      <c r="C82" s="916"/>
      <c r="D82" s="1571"/>
      <c r="E82" s="1572"/>
      <c r="F82" s="1573"/>
      <c r="G82" s="1573"/>
      <c r="H82" s="1574"/>
      <c r="J82" s="1572"/>
      <c r="K82" s="1573"/>
      <c r="L82" s="1573"/>
      <c r="M82" s="1574"/>
      <c r="O82" s="1572"/>
      <c r="P82" s="1573"/>
      <c r="Q82" s="1573"/>
      <c r="R82" s="1574"/>
      <c r="T82" s="1572"/>
      <c r="U82" s="1573"/>
      <c r="V82" s="1573"/>
      <c r="W82" s="1574"/>
      <c r="Y82" s="1572"/>
      <c r="Z82" s="1573"/>
      <c r="AA82" s="1573"/>
      <c r="AB82" s="1574"/>
      <c r="AD82" s="1572"/>
      <c r="AE82" s="1573"/>
      <c r="AF82" s="1573"/>
      <c r="AG82" s="1574"/>
      <c r="AH82" s="1570"/>
      <c r="AI82" s="534"/>
    </row>
    <row r="83" ht="20.25" customHeight="1">
      <c r="A83" s="545"/>
      <c r="B83" s="878"/>
      <c r="C83" s="920"/>
      <c r="D83" s="1571"/>
      <c r="E83" s="1575" t="s">
        <v>532</v>
      </c>
      <c r="F83" s="922"/>
      <c r="G83" s="922"/>
      <c r="H83" s="923"/>
      <c r="J83" s="1575" t="s">
        <v>564</v>
      </c>
      <c r="K83" s="922"/>
      <c r="L83" s="922"/>
      <c r="M83" s="923"/>
      <c r="O83" s="1575" t="s">
        <v>566</v>
      </c>
      <c r="P83" s="922"/>
      <c r="Q83" s="922"/>
      <c r="R83" s="923"/>
      <c r="T83" s="1575" t="s">
        <v>532</v>
      </c>
      <c r="U83" s="922"/>
      <c r="V83" s="922"/>
      <c r="W83" s="923"/>
      <c r="Y83" s="1575" t="s">
        <v>482</v>
      </c>
      <c r="Z83" s="922"/>
      <c r="AA83" s="922"/>
      <c r="AB83" s="923"/>
      <c r="AD83" s="1575" t="s">
        <v>531</v>
      </c>
      <c r="AE83" s="922"/>
      <c r="AF83" s="922"/>
      <c r="AG83" s="923"/>
      <c r="AH83" s="1552"/>
      <c r="AI83" s="534"/>
    </row>
    <row r="84">
      <c r="A84" s="545"/>
      <c r="B84" s="878"/>
      <c r="C84" s="1576"/>
      <c r="D84" s="1571"/>
      <c r="E84" s="1577" t="s">
        <v>781</v>
      </c>
      <c r="F84" s="902"/>
      <c r="G84" s="902"/>
      <c r="H84" s="903"/>
      <c r="J84" s="1577" t="s">
        <v>98</v>
      </c>
      <c r="K84" s="902"/>
      <c r="L84" s="902"/>
      <c r="M84" s="903"/>
      <c r="O84" s="1577" t="s">
        <v>569</v>
      </c>
      <c r="P84" s="902"/>
      <c r="Q84" s="902"/>
      <c r="R84" s="903"/>
      <c r="T84" s="1577" t="s">
        <v>120</v>
      </c>
      <c r="U84" s="902"/>
      <c r="V84" s="902"/>
      <c r="W84" s="903"/>
      <c r="Y84" s="1577" t="s">
        <v>119</v>
      </c>
      <c r="Z84" s="902"/>
      <c r="AA84" s="902"/>
      <c r="AB84" s="903"/>
      <c r="AD84" s="1577" t="s">
        <v>782</v>
      </c>
      <c r="AE84" s="902"/>
      <c r="AF84" s="902"/>
      <c r="AG84" s="903"/>
      <c r="AH84" s="1552"/>
      <c r="AI84" s="534"/>
    </row>
    <row r="85" ht="20.25" customHeight="1">
      <c r="A85" s="545"/>
      <c r="B85" s="878"/>
      <c r="C85" s="916"/>
      <c r="D85" s="1571"/>
      <c r="E85" s="1578" t="s">
        <v>541</v>
      </c>
      <c r="F85" s="882"/>
      <c r="G85" s="883"/>
      <c r="H85" s="1579" t="str">
        <f>IMAGE("https://raw.githubusercontent.com/msikma/pokesprite/master/items/hold-item/life-orb.png",3)</f>
        <v/>
      </c>
      <c r="J85" s="1578" t="s">
        <v>573</v>
      </c>
      <c r="K85" s="882"/>
      <c r="L85" s="883"/>
      <c r="M85" s="1579" t="str">
        <f>IMAGE("https://raw.githubusercontent.com/msikma/pokesprite/master/items/hold-item/focus-sash.png",3)</f>
        <v/>
      </c>
      <c r="O85" s="1578" t="s">
        <v>607</v>
      </c>
      <c r="P85" s="882"/>
      <c r="Q85" s="883"/>
      <c r="R85" s="1579" t="str">
        <f>IMAGE("https://raw.githubusercontent.com/msikma/pokesprite/master/items/hold-item/grassy-seed.png",3)</f>
        <v/>
      </c>
      <c r="T85" s="1578" t="s">
        <v>541</v>
      </c>
      <c r="U85" s="882"/>
      <c r="V85" s="883"/>
      <c r="W85" s="1579" t="str">
        <f>IMAGE("https://raw.githubusercontent.com/msikma/pokesprite/master/items/hold-item/life-orb.png",3)</f>
        <v/>
      </c>
      <c r="Y85" s="1578" t="s">
        <v>607</v>
      </c>
      <c r="Z85" s="882"/>
      <c r="AA85" s="883"/>
      <c r="AB85" s="1579" t="str">
        <f>IMAGE("https://raw.githubusercontent.com/msikma/pokesprite/master/items/hold-item/grassy-seed.png",3)</f>
        <v/>
      </c>
      <c r="AD85" s="1578" t="s">
        <v>576</v>
      </c>
      <c r="AE85" s="882"/>
      <c r="AF85" s="883"/>
      <c r="AG85" s="1579" t="str">
        <f>IMAGE("https://raw.githubusercontent.com/msikma/pokesprite/master/items/mega-stone/ampharosite.png",3)</f>
        <v/>
      </c>
      <c r="AH85" s="1570"/>
      <c r="AI85" s="534"/>
    </row>
    <row r="86" ht="20.25" customHeight="1">
      <c r="A86" s="545"/>
      <c r="B86" s="878"/>
      <c r="C86" s="920"/>
      <c r="D86" s="1571"/>
      <c r="E86" s="1575" t="s">
        <v>783</v>
      </c>
      <c r="F86" s="922"/>
      <c r="G86" s="1580"/>
      <c r="H86" s="1581" t="str">
        <f>IMAGE("https://raw.githubusercontent.com/msikma/pokesprite/master/misc/types/gen8/grass.png",4,20,20)</f>
        <v/>
      </c>
      <c r="J86" s="1575" t="s">
        <v>784</v>
      </c>
      <c r="K86" s="922"/>
      <c r="L86" s="1580"/>
      <c r="M86" s="1581" t="str">
        <f>IMAGE("https://raw.githubusercontent.com/msikma/pokesprite/master/misc/types/gen8/grass.png",4,20,20)</f>
        <v/>
      </c>
      <c r="O86" s="1575" t="s">
        <v>287</v>
      </c>
      <c r="P86" s="922"/>
      <c r="Q86" s="1580"/>
      <c r="R86" s="1581" t="str">
        <f>IMAGE("https://raw.githubusercontent.com/msikma/pokesprite/master/misc/types/gen8/normal.png",4,20,20)</f>
        <v/>
      </c>
      <c r="T86" s="1575" t="s">
        <v>287</v>
      </c>
      <c r="U86" s="922"/>
      <c r="V86" s="1580"/>
      <c r="W86" s="1581" t="str">
        <f>IMAGE("https://raw.githubusercontent.com/msikma/pokesprite/master/misc/types/gen8/normal.png",4,20,20)</f>
        <v/>
      </c>
      <c r="Y86" s="1575" t="s">
        <v>170</v>
      </c>
      <c r="Z86" s="922"/>
      <c r="AA86" s="1580"/>
      <c r="AB86" s="1581" t="str">
        <f>IMAGE("https://raw.githubusercontent.com/msikma/pokesprite/master/misc/types/gen8/psychic.png",4,20,20)</f>
        <v/>
      </c>
      <c r="AD86" s="1575" t="s">
        <v>581</v>
      </c>
      <c r="AE86" s="922"/>
      <c r="AF86" s="1580"/>
      <c r="AG86" s="1581" t="str">
        <f>IMAGE("https://raw.githubusercontent.com/msikma/pokesprite/master/misc/types/gen8/electric.png",4,20,20)</f>
        <v/>
      </c>
      <c r="AH86" s="1552"/>
      <c r="AI86" s="534"/>
    </row>
    <row r="87" ht="20.25" customHeight="1">
      <c r="A87" s="545"/>
      <c r="B87" s="878"/>
      <c r="C87" s="1582"/>
      <c r="D87" s="1571"/>
      <c r="E87" s="1577" t="s">
        <v>785</v>
      </c>
      <c r="F87" s="902"/>
      <c r="G87" s="1569"/>
      <c r="H87" s="1583" t="str">
        <f>IMAGE("https://raw.githubusercontent.com/msikma/pokesprite/master/misc/types/gen8/ice.png",4,20,20)</f>
        <v/>
      </c>
      <c r="J87" s="1577" t="s">
        <v>671</v>
      </c>
      <c r="K87" s="902"/>
      <c r="L87" s="1569"/>
      <c r="M87" s="1583" t="str">
        <f>IMAGE("https://raw.githubusercontent.com/msikma/pokesprite/master/misc/types/gen8/fire.png",4,20,20)</f>
        <v/>
      </c>
      <c r="O87" s="1577" t="s">
        <v>583</v>
      </c>
      <c r="P87" s="902"/>
      <c r="Q87" s="1569"/>
      <c r="R87" s="1583" t="str">
        <f>IMAGE("https://raw.githubusercontent.com/msikma/pokesprite/master/misc/types/gen8/fighting.png",4,20,20)</f>
        <v/>
      </c>
      <c r="T87" s="1577" t="s">
        <v>615</v>
      </c>
      <c r="U87" s="902"/>
      <c r="V87" s="1569"/>
      <c r="W87" s="1583" t="str">
        <f>IMAGE("https://raw.githubusercontent.com/msikma/pokesprite/master/misc/types/gen8/grass.png",4,20,20)</f>
        <v/>
      </c>
      <c r="Y87" s="1577" t="s">
        <v>786</v>
      </c>
      <c r="Z87" s="902"/>
      <c r="AA87" s="1569"/>
      <c r="AB87" s="1583" t="str">
        <f>IMAGE("https://raw.githubusercontent.com/msikma/pokesprite/master/misc/types/gen8/fairy.png",4,20,20)</f>
        <v/>
      </c>
      <c r="AD87" s="1577" t="s">
        <v>617</v>
      </c>
      <c r="AE87" s="902"/>
      <c r="AF87" s="1569"/>
      <c r="AG87" s="1583" t="str">
        <f>IMAGE("https://raw.githubusercontent.com/msikma/pokesprite/master/misc/types/gen8/dragon.png",4,20,20)</f>
        <v/>
      </c>
      <c r="AH87" s="1552"/>
      <c r="AI87" s="534"/>
    </row>
    <row r="88" ht="20.25" customHeight="1">
      <c r="A88" s="545"/>
      <c r="B88" s="878"/>
      <c r="C88" s="1582"/>
      <c r="D88" s="1571"/>
      <c r="E88" s="1577" t="s">
        <v>579</v>
      </c>
      <c r="F88" s="902"/>
      <c r="G88" s="1569"/>
      <c r="H88" s="1584" t="str">
        <f>IMAGE("https://raw.githubusercontent.com/msikma/pokesprite/master/misc/types/gen8/dark.png",4,20,20)</f>
        <v/>
      </c>
      <c r="J88" s="1577" t="s">
        <v>585</v>
      </c>
      <c r="K88" s="902"/>
      <c r="L88" s="1569"/>
      <c r="M88" s="1584" t="str">
        <f>IMAGE("https://raw.githubusercontent.com/msikma/pokesprite/master/misc/types/gen8/dragon.png",4,20,20)</f>
        <v/>
      </c>
      <c r="O88" s="1577" t="s">
        <v>613</v>
      </c>
      <c r="P88" s="902"/>
      <c r="Q88" s="1569"/>
      <c r="R88" s="1584" t="str">
        <f>IMAGE("https://raw.githubusercontent.com/msikma/pokesprite/master/misc/types/gen8/flying.png",4,20,20)</f>
        <v/>
      </c>
      <c r="T88" s="1577" t="s">
        <v>787</v>
      </c>
      <c r="U88" s="902"/>
      <c r="V88" s="1569"/>
      <c r="W88" s="1584" t="str">
        <f>IMAGE("https://raw.githubusercontent.com/msikma/pokesprite/master/misc/types/gen8/steel.png",4,20,20)</f>
        <v/>
      </c>
      <c r="Y88" s="1577" t="s">
        <v>788</v>
      </c>
      <c r="Z88" s="902"/>
      <c r="AA88" s="1569"/>
      <c r="AB88" s="1584" t="str">
        <f>IMAGE("https://raw.githubusercontent.com/msikma/pokesprite/master/misc/types/gen8/psychic.png",4,20,20)</f>
        <v/>
      </c>
      <c r="AD88" s="1577" t="s">
        <v>789</v>
      </c>
      <c r="AE88" s="902"/>
      <c r="AF88" s="1569"/>
      <c r="AG88" s="1584" t="str">
        <f>IMAGE("https://raw.githubusercontent.com/msikma/pokesprite/master/misc/types/gen8/bug.png",4,20,20)</f>
        <v/>
      </c>
      <c r="AH88" s="1552"/>
      <c r="AI88" s="534"/>
    </row>
    <row r="89" ht="21.0" customHeight="1">
      <c r="A89" s="545"/>
      <c r="B89" s="878"/>
      <c r="C89" s="1582"/>
      <c r="D89" s="1571"/>
      <c r="E89" s="1585" t="s">
        <v>612</v>
      </c>
      <c r="F89" s="940"/>
      <c r="G89" s="1586"/>
      <c r="H89" s="1587" t="str">
        <f>IMAGE("https://raw.githubusercontent.com/msikma/pokesprite/master/misc/types/gen8/bug.png",4,20,20)</f>
        <v/>
      </c>
      <c r="I89" s="895"/>
      <c r="J89" s="1585" t="s">
        <v>579</v>
      </c>
      <c r="K89" s="940"/>
      <c r="L89" s="1586"/>
      <c r="M89" s="1587" t="str">
        <f>IMAGE("https://raw.githubusercontent.com/msikma/pokesprite/master/misc/types/gen8/dark.png",4,20,20)</f>
        <v/>
      </c>
      <c r="N89" s="895"/>
      <c r="O89" s="1585" t="s">
        <v>621</v>
      </c>
      <c r="P89" s="940"/>
      <c r="Q89" s="1586"/>
      <c r="R89" s="1587" t="str">
        <f>IMAGE("https://raw.githubusercontent.com/msikma/pokesprite/master/misc/types/gen8/rock.png",4,20,20)</f>
        <v/>
      </c>
      <c r="S89" s="895"/>
      <c r="T89" s="1585" t="s">
        <v>624</v>
      </c>
      <c r="U89" s="940"/>
      <c r="V89" s="1586"/>
      <c r="W89" s="1587" t="str">
        <f>IMAGE("https://raw.githubusercontent.com/msikma/pokesprite/master/misc/types/gen8/fighting.png",4,20,20)</f>
        <v/>
      </c>
      <c r="X89" s="895"/>
      <c r="Y89" s="1585" t="s">
        <v>718</v>
      </c>
      <c r="Z89" s="940"/>
      <c r="AA89" s="1586"/>
      <c r="AB89" s="1587" t="str">
        <f>IMAGE("https://raw.githubusercontent.com/msikma/pokesprite/master/misc/types/gen8/fighting.png",4,20,20)</f>
        <v/>
      </c>
      <c r="AC89" s="895"/>
      <c r="AD89" s="1585" t="s">
        <v>590</v>
      </c>
      <c r="AE89" s="940"/>
      <c r="AF89" s="1586"/>
      <c r="AG89" s="1587" t="str">
        <f>IMAGE("https://raw.githubusercontent.com/msikma/pokesprite/master/misc/types/gen8/fighting.png",4,20,20)</f>
        <v/>
      </c>
      <c r="AH89" s="1552"/>
      <c r="AI89" s="534"/>
    </row>
    <row r="90" ht="3.0" customHeight="1">
      <c r="A90" s="519"/>
      <c r="B90" s="907"/>
      <c r="C90" s="1588"/>
      <c r="D90" s="944"/>
      <c r="E90" s="945"/>
      <c r="F90" s="945"/>
      <c r="G90" s="945"/>
      <c r="H90" s="945"/>
      <c r="I90" s="944"/>
      <c r="J90" s="945"/>
      <c r="K90" s="945"/>
      <c r="L90" s="945"/>
      <c r="M90" s="945"/>
      <c r="N90" s="944"/>
      <c r="O90" s="945"/>
      <c r="P90" s="945"/>
      <c r="Q90" s="945"/>
      <c r="R90" s="945"/>
      <c r="S90" s="944"/>
      <c r="T90" s="945"/>
      <c r="U90" s="945"/>
      <c r="V90" s="945"/>
      <c r="W90" s="945"/>
      <c r="X90" s="944"/>
      <c r="Y90" s="945"/>
      <c r="Z90" s="946"/>
      <c r="AA90" s="946"/>
      <c r="AB90" s="947"/>
      <c r="AC90" s="944"/>
      <c r="AD90" s="1589"/>
      <c r="AE90" s="1589"/>
      <c r="AF90" s="1589"/>
      <c r="AG90" s="947"/>
      <c r="AH90" s="915"/>
      <c r="AI90" s="525"/>
    </row>
    <row r="91" ht="16.5" customHeight="1">
      <c r="A91" s="545"/>
      <c r="B91" s="949"/>
      <c r="C91" s="1588"/>
      <c r="D91" s="1590"/>
      <c r="E91" s="951" t="s">
        <v>512</v>
      </c>
      <c r="F91" s="606"/>
      <c r="G91" s="606"/>
      <c r="H91" s="607"/>
      <c r="I91" s="959"/>
      <c r="J91" s="951" t="s">
        <v>512</v>
      </c>
      <c r="K91" s="606"/>
      <c r="L91" s="606"/>
      <c r="M91" s="607"/>
      <c r="N91" s="959"/>
      <c r="O91" s="951" t="s">
        <v>512</v>
      </c>
      <c r="P91" s="606"/>
      <c r="Q91" s="606"/>
      <c r="R91" s="607"/>
      <c r="S91" s="959"/>
      <c r="T91" s="951" t="s">
        <v>512</v>
      </c>
      <c r="U91" s="606"/>
      <c r="V91" s="606"/>
      <c r="W91" s="607"/>
      <c r="X91" s="959"/>
      <c r="Y91" s="951" t="s">
        <v>512</v>
      </c>
      <c r="Z91" s="606"/>
      <c r="AA91" s="606"/>
      <c r="AB91" s="607"/>
      <c r="AC91" s="959"/>
      <c r="AD91" s="951" t="s">
        <v>512</v>
      </c>
      <c r="AE91" s="606"/>
      <c r="AF91" s="606"/>
      <c r="AG91" s="607"/>
      <c r="AH91" s="954"/>
      <c r="AI91" s="612"/>
    </row>
    <row r="92" ht="16.5" customHeight="1">
      <c r="A92" s="545"/>
      <c r="B92" s="949"/>
      <c r="C92" s="1588"/>
      <c r="D92" s="1590"/>
      <c r="E92" s="955" t="s">
        <v>513</v>
      </c>
      <c r="F92" s="956">
        <f t="array" ref="F92">IFERROR(VLOOKUP(E79,Dex!$B$3:$N101,8,FALSE),"")</f>
        <v>76</v>
      </c>
      <c r="G92" s="957" t="str">
        <f t="array" ref="G92">IFERROR(VLOOKUP(F92,Dex!$P$22:$Q$276,2,FALSE),"")</f>
        <v/>
      </c>
      <c r="H92" s="958"/>
      <c r="I92" s="1591"/>
      <c r="J92" s="955" t="s">
        <v>513</v>
      </c>
      <c r="K92" s="956">
        <f t="array" ref="K92">IFERROR(VLOOKUP(J79,Dex!$B$3:$N101,8,FALSE),"")</f>
        <v>75</v>
      </c>
      <c r="L92" s="957" t="str">
        <f t="array" ref="L92">IFERROR(VLOOKUP(K92,Dex!$P$22:$Q$276,2,FALSE),"")</f>
        <v/>
      </c>
      <c r="M92" s="958"/>
      <c r="N92" s="1591"/>
      <c r="O92" s="955" t="s">
        <v>513</v>
      </c>
      <c r="P92" s="956">
        <f t="array" ref="P92">IFERROR(VLOOKUP(O79,Dex!$B$3:$N101,8,FALSE),"")</f>
        <v>78</v>
      </c>
      <c r="Q92" s="957" t="str">
        <f t="array" ref="Q92">IFERROR(VLOOKUP(P92,Dex!$P$22:$Q$276,2,FALSE),"")</f>
        <v/>
      </c>
      <c r="R92" s="958"/>
      <c r="S92" s="1591"/>
      <c r="T92" s="955" t="s">
        <v>513</v>
      </c>
      <c r="U92" s="956">
        <f t="array" ref="U92">IFERROR(VLOOKUP(T79,Dex!$B$3:$N101,8,FALSE),"")</f>
        <v>59</v>
      </c>
      <c r="V92" s="957" t="str">
        <f t="array" ref="V92">IFERROR(VLOOKUP(U92,Dex!$P$22:$Q$276,2,FALSE),"")</f>
        <v/>
      </c>
      <c r="W92" s="958"/>
      <c r="X92" s="1591"/>
      <c r="Y92" s="955" t="s">
        <v>513</v>
      </c>
      <c r="Z92" s="956">
        <f t="array" ref="Z92">IFERROR(VLOOKUP(Y79,Dex!$B$3:$N101,8,FALSE),"")</f>
        <v>80</v>
      </c>
      <c r="AA92" s="957" t="str">
        <f t="array" ref="AA92">IFERROR(VLOOKUP(Z92,Dex!$P$22:$Q$276,2,FALSE),"")</f>
        <v/>
      </c>
      <c r="AB92" s="958"/>
      <c r="AC92" s="1591"/>
      <c r="AD92" s="955" t="s">
        <v>513</v>
      </c>
      <c r="AE92" s="956">
        <f t="array" ref="AE92">IFERROR(VLOOKUP(AD79,Dex!$B$3:$N101,8,FALSE),"")</f>
        <v>90</v>
      </c>
      <c r="AF92" s="957" t="str">
        <f t="array" ref="AF92">IFERROR(VLOOKUP(AE92,Dex!$P$22:$Q$276,2,FALSE),"")</f>
        <v/>
      </c>
      <c r="AG92" s="958"/>
      <c r="AH92" s="954"/>
      <c r="AI92" s="612"/>
    </row>
    <row r="93" ht="16.5" customHeight="1">
      <c r="A93" s="545"/>
      <c r="B93" s="949"/>
      <c r="C93" s="1588"/>
      <c r="D93" s="1590"/>
      <c r="E93" s="961" t="s">
        <v>514</v>
      </c>
      <c r="F93" s="962">
        <f t="array" ref="F93">IFERROR(VLOOKUP(E79,Dex!$B$3:$N101,9,FALSE),"")</f>
        <v>110</v>
      </c>
      <c r="G93" s="963" t="str">
        <f t="array" ref="G93">IFERROR(VLOOKUP(F93,Dex!$P$22:$Q$276,2,FALSE),"")</f>
        <v/>
      </c>
      <c r="H93" s="964"/>
      <c r="I93" s="1591"/>
      <c r="J93" s="961" t="s">
        <v>514</v>
      </c>
      <c r="K93" s="962">
        <f t="array" ref="K93">IFERROR(VLOOKUP(J79,Dex!$B$3:$N101,9,FALSE),"")</f>
        <v>75</v>
      </c>
      <c r="L93" s="963" t="str">
        <f t="array" ref="L93">IFERROR(VLOOKUP(K93,Dex!$P$22:$Q$276,2,FALSE),"")</f>
        <v/>
      </c>
      <c r="M93" s="964"/>
      <c r="N93" s="1591"/>
      <c r="O93" s="961" t="s">
        <v>514</v>
      </c>
      <c r="P93" s="962">
        <f t="array" ref="P93">IFERROR(VLOOKUP(O79,Dex!$B$3:$N101,9,FALSE),"")</f>
        <v>92</v>
      </c>
      <c r="Q93" s="963" t="str">
        <f t="array" ref="Q93">IFERROR(VLOOKUP(P93,Dex!$P$22:$Q$276,2,FALSE),"")</f>
        <v/>
      </c>
      <c r="R93" s="964"/>
      <c r="S93" s="1591"/>
      <c r="T93" s="961" t="s">
        <v>514</v>
      </c>
      <c r="U93" s="962">
        <f t="array" ref="U93">IFERROR(VLOOKUP(T79,Dex!$B$3:$N101,9,FALSE),"")</f>
        <v>181</v>
      </c>
      <c r="V93" s="963" t="str">
        <f t="array" ref="V93">IFERROR(VLOOKUP(U93,Dex!$P$22:$Q$276,2,FALSE),"")</f>
        <v/>
      </c>
      <c r="W93" s="964"/>
      <c r="X93" s="1591"/>
      <c r="Y93" s="961" t="s">
        <v>514</v>
      </c>
      <c r="Z93" s="962">
        <f t="array" ref="Z93">IFERROR(VLOOKUP(Y79,Dex!$B$3:$N101,9,FALSE),"")</f>
        <v>95</v>
      </c>
      <c r="AA93" s="963" t="str">
        <f t="array" ref="AA93">IFERROR(VLOOKUP(Z93,Dex!$P$22:$Q$276,2,FALSE),"")</f>
        <v/>
      </c>
      <c r="AB93" s="964"/>
      <c r="AC93" s="1591"/>
      <c r="AD93" s="961" t="s">
        <v>514</v>
      </c>
      <c r="AE93" s="962">
        <f t="array" ref="AE93">IFERROR(VLOOKUP(AD79,Dex!$B$3:$N101,9,FALSE),"")</f>
        <v>95</v>
      </c>
      <c r="AF93" s="963" t="str">
        <f t="array" ref="AF93">IFERROR(VLOOKUP(AE93,Dex!$P$22:$Q$276,2,FALSE),"")</f>
        <v/>
      </c>
      <c r="AG93" s="964"/>
      <c r="AH93" s="954"/>
      <c r="AI93" s="612"/>
    </row>
    <row r="94" ht="16.5" customHeight="1">
      <c r="A94" s="545"/>
      <c r="B94" s="949"/>
      <c r="C94" s="1588"/>
      <c r="D94" s="1590"/>
      <c r="E94" s="961" t="s">
        <v>515</v>
      </c>
      <c r="F94" s="962">
        <f t="array" ref="F94">IFERROR(VLOOKUP(E79,Dex!$B$3:$N101,10,FALSE),"")</f>
        <v>70</v>
      </c>
      <c r="G94" s="963" t="str">
        <f t="array" ref="G94">IFERROR(VLOOKUP(F94,Dex!$P$22:$Q$276,2,FALSE),"")</f>
        <v/>
      </c>
      <c r="H94" s="964"/>
      <c r="I94" s="1591"/>
      <c r="J94" s="961" t="s">
        <v>515</v>
      </c>
      <c r="K94" s="962">
        <f t="array" ref="K94">IFERROR(VLOOKUP(J79,Dex!$B$3:$N101,10,FALSE),"")</f>
        <v>95</v>
      </c>
      <c r="L94" s="963" t="str">
        <f t="array" ref="L94">IFERROR(VLOOKUP(K94,Dex!$P$22:$Q$276,2,FALSE),"")</f>
        <v/>
      </c>
      <c r="M94" s="964"/>
      <c r="N94" s="1591"/>
      <c r="O94" s="961" t="s">
        <v>515</v>
      </c>
      <c r="P94" s="962">
        <f t="array" ref="P94">IFERROR(VLOOKUP(O79,Dex!$B$3:$N101,10,FALSE),"")</f>
        <v>75</v>
      </c>
      <c r="Q94" s="963" t="str">
        <f t="array" ref="Q94">IFERROR(VLOOKUP(P94,Dex!$P$22:$Q$276,2,FALSE),"")</f>
        <v/>
      </c>
      <c r="R94" s="964"/>
      <c r="S94" s="1591"/>
      <c r="T94" s="961" t="s">
        <v>515</v>
      </c>
      <c r="U94" s="962">
        <f t="array" ref="U94">IFERROR(VLOOKUP(T79,Dex!$B$3:$N101,10,FALSE),"")</f>
        <v>131</v>
      </c>
      <c r="V94" s="963" t="str">
        <f t="array" ref="V94">IFERROR(VLOOKUP(U94,Dex!$P$22:$Q$276,2,FALSE),"")</f>
        <v/>
      </c>
      <c r="W94" s="964"/>
      <c r="X94" s="1591"/>
      <c r="Y94" s="961" t="s">
        <v>515</v>
      </c>
      <c r="Z94" s="962">
        <f t="array" ref="Z94">IFERROR(VLOOKUP(Y79,Dex!$B$3:$N101,10,FALSE),"")</f>
        <v>115</v>
      </c>
      <c r="AA94" s="963" t="str">
        <f t="array" ref="AA94">IFERROR(VLOOKUP(Z94,Dex!$P$22:$Q$276,2,FALSE),"")</f>
        <v/>
      </c>
      <c r="AB94" s="964"/>
      <c r="AC94" s="1591"/>
      <c r="AD94" s="961" t="s">
        <v>515</v>
      </c>
      <c r="AE94" s="962">
        <f t="array" ref="AE94">IFERROR(VLOOKUP(AD79,Dex!$B$3:$N101,10,FALSE),"")</f>
        <v>105</v>
      </c>
      <c r="AF94" s="963" t="str">
        <f t="array" ref="AF94">IFERROR(VLOOKUP(AE94,Dex!$P$22:$Q$276,2,FALSE),"")</f>
        <v/>
      </c>
      <c r="AG94" s="964"/>
      <c r="AH94" s="954"/>
      <c r="AI94" s="612"/>
    </row>
    <row r="95" ht="16.5" customHeight="1">
      <c r="A95" s="545"/>
      <c r="B95" s="949"/>
      <c r="C95" s="1588"/>
      <c r="D95" s="1590"/>
      <c r="E95" s="961" t="s">
        <v>516</v>
      </c>
      <c r="F95" s="962">
        <f t="array" ref="F95">IFERROR(VLOOKUP(E79,Dex!$B$3:$N101,11,FALSE),"")</f>
        <v>81</v>
      </c>
      <c r="G95" s="963" t="str">
        <f t="array" ref="G95">IFERROR(VLOOKUP(F95,Dex!$P$22:$Q$276,2,FALSE),"")</f>
        <v/>
      </c>
      <c r="H95" s="964"/>
      <c r="I95" s="1591"/>
      <c r="J95" s="961" t="s">
        <v>516</v>
      </c>
      <c r="K95" s="962">
        <f t="array" ref="K95">IFERROR(VLOOKUP(J79,Dex!$B$3:$N101,11,FALSE),"")</f>
        <v>75</v>
      </c>
      <c r="L95" s="963" t="str">
        <f t="array" ref="L95">IFERROR(VLOOKUP(K95,Dex!$P$22:$Q$276,2,FALSE),"")</f>
        <v/>
      </c>
      <c r="M95" s="964"/>
      <c r="N95" s="1591"/>
      <c r="O95" s="961" t="s">
        <v>516</v>
      </c>
      <c r="P95" s="962">
        <f t="array" ref="P95">IFERROR(VLOOKUP(O79,Dex!$B$3:$N101,11,FALSE),"")</f>
        <v>74</v>
      </c>
      <c r="Q95" s="963" t="str">
        <f t="array" ref="Q95">IFERROR(VLOOKUP(P95,Dex!$P$22:$Q$276,2,FALSE),"")</f>
        <v/>
      </c>
      <c r="R95" s="964"/>
      <c r="S95" s="1591"/>
      <c r="T95" s="961" t="s">
        <v>516</v>
      </c>
      <c r="U95" s="962">
        <f t="array" ref="U95">IFERROR(VLOOKUP(T79,Dex!$B$3:$N101,11,FALSE),"")</f>
        <v>59</v>
      </c>
      <c r="V95" s="963" t="str">
        <f t="array" ref="V95">IFERROR(VLOOKUP(U95,Dex!$P$22:$Q$276,2,FALSE),"")</f>
        <v/>
      </c>
      <c r="W95" s="964"/>
      <c r="X95" s="1591"/>
      <c r="Y95" s="961" t="s">
        <v>516</v>
      </c>
      <c r="Z95" s="962">
        <f t="array" ref="Z95">IFERROR(VLOOKUP(Y79,Dex!$B$3:$N101,11,FALSE),"")</f>
        <v>130</v>
      </c>
      <c r="AA95" s="963" t="str">
        <f t="array" ref="AA95">IFERROR(VLOOKUP(Z95,Dex!$P$22:$Q$276,2,FALSE),"")</f>
        <v/>
      </c>
      <c r="AB95" s="964"/>
      <c r="AC95" s="1591"/>
      <c r="AD95" s="961" t="s">
        <v>516</v>
      </c>
      <c r="AE95" s="962">
        <f t="array" ref="AE95">IFERROR(VLOOKUP(AD79,Dex!$B$3:$N101,11,FALSE),"")</f>
        <v>165</v>
      </c>
      <c r="AF95" s="963" t="str">
        <f t="array" ref="AF95">IFERROR(VLOOKUP(AE95,Dex!$P$22:$Q$276,2,FALSE),"")</f>
        <v/>
      </c>
      <c r="AG95" s="964"/>
      <c r="AH95" s="954"/>
      <c r="AI95" s="612"/>
    </row>
    <row r="96" ht="16.5" customHeight="1">
      <c r="A96" s="545"/>
      <c r="B96" s="949"/>
      <c r="C96" s="1588"/>
      <c r="D96" s="1590"/>
      <c r="E96" s="961" t="s">
        <v>517</v>
      </c>
      <c r="F96" s="962">
        <f t="array" ref="F96">IFERROR(VLOOKUP(E79,Dex!$B$3:$N101,12,FALSE),"")</f>
        <v>70</v>
      </c>
      <c r="G96" s="963" t="str">
        <f t="array" ref="G96">IFERROR(VLOOKUP(F96,Dex!$P$22:$Q$276,2,FALSE),"")</f>
        <v/>
      </c>
      <c r="H96" s="964"/>
      <c r="I96" s="1591"/>
      <c r="J96" s="961" t="s">
        <v>517</v>
      </c>
      <c r="K96" s="962">
        <f t="array" ref="K96">IFERROR(VLOOKUP(J79,Dex!$B$3:$N101,12,FALSE),"")</f>
        <v>95</v>
      </c>
      <c r="L96" s="963" t="str">
        <f t="array" ref="L96">IFERROR(VLOOKUP(K96,Dex!$P$22:$Q$276,2,FALSE),"")</f>
        <v/>
      </c>
      <c r="M96" s="964"/>
      <c r="N96" s="1591"/>
      <c r="O96" s="961" t="s">
        <v>517</v>
      </c>
      <c r="P96" s="962">
        <f t="array" ref="P96">IFERROR(VLOOKUP(O79,Dex!$B$3:$N101,12,FALSE),"")</f>
        <v>63</v>
      </c>
      <c r="Q96" s="963" t="str">
        <f t="array" ref="Q96">IFERROR(VLOOKUP(P96,Dex!$P$22:$Q$276,2,FALSE),"")</f>
        <v/>
      </c>
      <c r="R96" s="964"/>
      <c r="S96" s="1591"/>
      <c r="T96" s="961" t="s">
        <v>517</v>
      </c>
      <c r="U96" s="962">
        <f t="array" ref="U96">IFERROR(VLOOKUP(T79,Dex!$B$3:$N101,12,FALSE),"")</f>
        <v>31</v>
      </c>
      <c r="V96" s="963" t="str">
        <f t="array" ref="V96">IFERROR(VLOOKUP(U96,Dex!$P$22:$Q$276,2,FALSE),"")</f>
        <v/>
      </c>
      <c r="W96" s="964"/>
      <c r="X96" s="1591"/>
      <c r="Y96" s="961" t="s">
        <v>517</v>
      </c>
      <c r="Z96" s="962">
        <f t="array" ref="Z96">IFERROR(VLOOKUP(Y79,Dex!$B$3:$N101,12,FALSE),"")</f>
        <v>115</v>
      </c>
      <c r="AA96" s="963" t="str">
        <f t="array" ref="AA96">IFERROR(VLOOKUP(Z96,Dex!$P$22:$Q$276,2,FALSE),"")</f>
        <v/>
      </c>
      <c r="AB96" s="964"/>
      <c r="AC96" s="1591"/>
      <c r="AD96" s="961" t="s">
        <v>517</v>
      </c>
      <c r="AE96" s="962">
        <f t="array" ref="AE96">IFERROR(VLOOKUP(AD79,Dex!$B$3:$N101,12,FALSE),"")</f>
        <v>110</v>
      </c>
      <c r="AF96" s="963" t="str">
        <f t="array" ref="AF96">IFERROR(VLOOKUP(AE96,Dex!$P$22:$Q$276,2,FALSE),"")</f>
        <v/>
      </c>
      <c r="AG96" s="964"/>
      <c r="AH96" s="954"/>
      <c r="AI96" s="612"/>
    </row>
    <row r="97" ht="15.75" customHeight="1">
      <c r="A97" s="545"/>
      <c r="B97" s="949"/>
      <c r="C97" s="1426" t="s">
        <v>745</v>
      </c>
      <c r="D97" s="1590"/>
      <c r="E97" s="965" t="s">
        <v>518</v>
      </c>
      <c r="F97" s="966">
        <f t="array" ref="F97">IFERROR(VLOOKUP(E79,Dex!$B$3:$N101,13,FALSE),"")</f>
        <v>123</v>
      </c>
      <c r="G97" s="967" t="str">
        <f t="array" ref="G97">IFERROR(VLOOKUP(F97,Dex!$P$22:$Q$276,2,FALSE),"")</f>
        <v/>
      </c>
      <c r="H97" s="968"/>
      <c r="I97" s="1591"/>
      <c r="J97" s="965" t="s">
        <v>518</v>
      </c>
      <c r="K97" s="966">
        <f t="array" ref="K97">IFERROR(VLOOKUP(J79,Dex!$B$3:$N101,13,FALSE),"")</f>
        <v>113</v>
      </c>
      <c r="L97" s="967" t="str">
        <f t="array" ref="L97">IFERROR(VLOOKUP(K97,Dex!$P$22:$Q$276,2,FALSE),"")</f>
        <v/>
      </c>
      <c r="M97" s="968"/>
      <c r="N97" s="1591"/>
      <c r="O97" s="965" t="s">
        <v>518</v>
      </c>
      <c r="P97" s="966">
        <f t="array" ref="P97">IFERROR(VLOOKUP(O79,Dex!$B$3:$N101,13,FALSE),"")</f>
        <v>118</v>
      </c>
      <c r="Q97" s="967" t="str">
        <f t="array" ref="Q97">IFERROR(VLOOKUP(P97,Dex!$P$22:$Q$276,2,FALSE),"")</f>
        <v/>
      </c>
      <c r="R97" s="968"/>
      <c r="S97" s="1591"/>
      <c r="T97" s="965" t="s">
        <v>518</v>
      </c>
      <c r="U97" s="966">
        <f t="array" ref="U97">IFERROR(VLOOKUP(T79,Dex!$B$3:$N101,13,FALSE),"")</f>
        <v>109</v>
      </c>
      <c r="V97" s="967" t="str">
        <f t="array" ref="V97">IFERROR(VLOOKUP(U97,Dex!$P$22:$Q$276,2,FALSE),"")</f>
        <v/>
      </c>
      <c r="W97" s="968"/>
      <c r="X97" s="1591"/>
      <c r="Y97" s="965" t="s">
        <v>518</v>
      </c>
      <c r="Z97" s="966">
        <f t="array" ref="Z97">IFERROR(VLOOKUP(Y79,Dex!$B$3:$N101,13,FALSE),"")</f>
        <v>65</v>
      </c>
      <c r="AA97" s="967" t="str">
        <f t="array" ref="AA97">IFERROR(VLOOKUP(Z97,Dex!$P$22:$Q$276,2,FALSE),"")</f>
        <v/>
      </c>
      <c r="AB97" s="968"/>
      <c r="AC97" s="1591"/>
      <c r="AD97" s="965" t="s">
        <v>518</v>
      </c>
      <c r="AE97" s="966">
        <f t="array" ref="AE97">IFERROR(VLOOKUP(AD79,Dex!$B$3:$N101,13,FALSE),"")</f>
        <v>45</v>
      </c>
      <c r="AF97" s="967" t="str">
        <f t="array" ref="AF97">IFERROR(VLOOKUP(AE97,Dex!$P$22:$Q$276,2,FALSE),"")</f>
        <v/>
      </c>
      <c r="AG97" s="968"/>
      <c r="AH97" s="954"/>
      <c r="AI97" s="612"/>
    </row>
    <row r="98" ht="16.5" customHeight="1">
      <c r="A98" s="545"/>
      <c r="B98" s="949"/>
      <c r="C98" s="1427" t="s">
        <v>746</v>
      </c>
      <c r="D98" s="1590"/>
      <c r="E98" s="969" t="s">
        <v>519</v>
      </c>
      <c r="F98" s="630"/>
      <c r="G98" s="631"/>
      <c r="H98" s="632">
        <f>ROUNDDOWN((ROUNDDOWN(((((2*F97+31)*68)/100+5)),0))*1.1,0)</f>
        <v>212</v>
      </c>
      <c r="I98" s="959"/>
      <c r="J98" s="969" t="s">
        <v>519</v>
      </c>
      <c r="K98" s="630"/>
      <c r="L98" s="631"/>
      <c r="M98" s="632">
        <f>ROUNDDOWN((ROUNDDOWN(((((2*K97+31)*68)/100+5)),0))*1.1,0)</f>
        <v>196</v>
      </c>
      <c r="N98" s="959"/>
      <c r="O98" s="971" t="s">
        <v>519</v>
      </c>
      <c r="P98" s="635"/>
      <c r="Q98" s="636"/>
      <c r="R98" s="632">
        <f>ROUNDDOWN((ROUNDDOWN(((((2*P97+31)*68)/100+5)),0))*1,0)</f>
        <v>186</v>
      </c>
      <c r="S98" s="959"/>
      <c r="T98" s="969" t="s">
        <v>519</v>
      </c>
      <c r="U98" s="630"/>
      <c r="V98" s="631"/>
      <c r="W98" s="632">
        <f>ROUNDDOWN((ROUNDDOWN(((((2*U97+31)*68)/100+5)),0))*1.1,0)</f>
        <v>191</v>
      </c>
      <c r="X98" s="959"/>
      <c r="Y98" s="969" t="s">
        <v>519</v>
      </c>
      <c r="Z98" s="630"/>
      <c r="AA98" s="631"/>
      <c r="AB98" s="632">
        <f>ROUNDDOWN((ROUNDDOWN(((((2*Z97+31)*68)/100+5)),0))*1,0)</f>
        <v>114</v>
      </c>
      <c r="AC98" s="959"/>
      <c r="AD98" s="969" t="s">
        <v>519</v>
      </c>
      <c r="AE98" s="630"/>
      <c r="AF98" s="631"/>
      <c r="AG98" s="632">
        <f>ROUNDDOWN((ROUNDDOWN(((((2*AE97+31)*68)/100+5)),0))*1,0)</f>
        <v>87</v>
      </c>
      <c r="AH98" s="954"/>
      <c r="AI98" s="612"/>
    </row>
    <row r="99" ht="16.5" customHeight="1">
      <c r="A99" s="545"/>
      <c r="B99" s="949"/>
      <c r="C99" s="1588"/>
      <c r="D99" s="1590"/>
      <c r="E99" s="1592"/>
      <c r="F99" s="1592"/>
      <c r="G99" s="1592"/>
      <c r="H99" s="1593"/>
      <c r="I99" s="959"/>
      <c r="J99" s="1592"/>
      <c r="K99" s="1592"/>
      <c r="L99" s="1592"/>
      <c r="M99" s="1593"/>
      <c r="N99" s="959"/>
      <c r="O99" s="978" t="s">
        <v>594</v>
      </c>
      <c r="P99" s="643"/>
      <c r="Q99" s="644"/>
      <c r="R99" s="1594">
        <f>R98*2</f>
        <v>372</v>
      </c>
      <c r="S99" s="959"/>
      <c r="T99" s="1592"/>
      <c r="U99" s="1592"/>
      <c r="V99" s="1592"/>
      <c r="W99" s="1593"/>
      <c r="X99" s="959"/>
      <c r="Y99" s="1592"/>
      <c r="Z99" s="1592"/>
      <c r="AA99" s="1592"/>
      <c r="AB99" s="1593"/>
      <c r="AC99" s="959"/>
      <c r="AD99" s="1592"/>
      <c r="AE99" s="1592"/>
      <c r="AF99" s="1592"/>
      <c r="AG99" s="1593"/>
      <c r="AH99" s="954"/>
      <c r="AI99" s="612"/>
    </row>
    <row r="100" ht="7.5" customHeight="1">
      <c r="A100" s="545"/>
      <c r="B100" s="1595"/>
      <c r="C100" s="1596"/>
      <c r="D100" s="1597"/>
      <c r="E100" s="1598"/>
      <c r="F100" s="1598"/>
      <c r="G100" s="1598"/>
      <c r="H100" s="1598"/>
      <c r="I100" s="1597"/>
      <c r="J100" s="1598"/>
      <c r="K100" s="1598"/>
      <c r="L100" s="1598"/>
      <c r="M100" s="1598"/>
      <c r="N100" s="1597"/>
      <c r="O100" s="1598"/>
      <c r="P100" s="1598"/>
      <c r="Q100" s="1598"/>
      <c r="R100" s="1599"/>
      <c r="S100" s="1597"/>
      <c r="T100" s="1598"/>
      <c r="U100" s="1598"/>
      <c r="V100" s="1598"/>
      <c r="W100" s="1597"/>
      <c r="X100" s="1597"/>
      <c r="Y100" s="1597"/>
      <c r="Z100" s="1597"/>
      <c r="AA100" s="1597"/>
      <c r="AB100" s="1597"/>
      <c r="AC100" s="1597"/>
      <c r="AD100" s="1597"/>
      <c r="AE100" s="1597"/>
      <c r="AF100" s="1597"/>
      <c r="AG100" s="1597"/>
      <c r="AH100" s="1600"/>
      <c r="AI100" s="534"/>
    </row>
    <row r="101" ht="3.75" customHeight="1">
      <c r="A101" s="1601"/>
      <c r="B101" s="1602"/>
      <c r="C101" s="1603"/>
      <c r="D101" s="1602"/>
      <c r="E101" s="1602"/>
      <c r="F101" s="1602"/>
      <c r="G101" s="1602"/>
      <c r="H101" s="1602"/>
      <c r="I101" s="1602"/>
      <c r="J101" s="1602"/>
      <c r="K101" s="1602"/>
      <c r="L101" s="1602"/>
      <c r="M101" s="1602"/>
      <c r="N101" s="1602"/>
      <c r="O101" s="1602"/>
      <c r="P101" s="1602"/>
      <c r="Q101" s="1602"/>
      <c r="R101" s="1602"/>
      <c r="S101" s="1602"/>
      <c r="T101" s="1602"/>
      <c r="U101" s="1602"/>
      <c r="V101" s="1602"/>
      <c r="W101" s="1602"/>
      <c r="X101" s="1602"/>
      <c r="Y101" s="1602"/>
      <c r="Z101" s="1602"/>
      <c r="AA101" s="1602"/>
      <c r="AB101" s="1602"/>
      <c r="AC101" s="1602"/>
      <c r="AD101" s="1602"/>
      <c r="AE101" s="1602"/>
      <c r="AF101" s="1602"/>
      <c r="AG101" s="1602"/>
      <c r="AH101" s="1602"/>
      <c r="AI101" s="1369"/>
    </row>
  </sheetData>
  <mergeCells count="474">
    <mergeCell ref="T42:W42"/>
    <mergeCell ref="Y42:AB42"/>
    <mergeCell ref="S29:S40"/>
    <mergeCell ref="X29:X40"/>
    <mergeCell ref="AC29:AC40"/>
    <mergeCell ref="T30:W30"/>
    <mergeCell ref="Y30:AB30"/>
    <mergeCell ref="T31:W31"/>
    <mergeCell ref="Y31:AB31"/>
    <mergeCell ref="T34:W34"/>
    <mergeCell ref="Y34:AB34"/>
    <mergeCell ref="AD34:AG34"/>
    <mergeCell ref="T35:W35"/>
    <mergeCell ref="Y35:AB35"/>
    <mergeCell ref="AD35:AG35"/>
    <mergeCell ref="T36:V36"/>
    <mergeCell ref="Y36:AA36"/>
    <mergeCell ref="AD36:AF36"/>
    <mergeCell ref="T37:V37"/>
    <mergeCell ref="Y37:AA37"/>
    <mergeCell ref="AD37:AF37"/>
    <mergeCell ref="T38:V38"/>
    <mergeCell ref="Y38:AA38"/>
    <mergeCell ref="AD38:AF38"/>
    <mergeCell ref="T39:V39"/>
    <mergeCell ref="Y39:AA39"/>
    <mergeCell ref="AD39:AF39"/>
    <mergeCell ref="T40:V40"/>
    <mergeCell ref="Y40:AA40"/>
    <mergeCell ref="AD40:AF40"/>
    <mergeCell ref="AD42:AG42"/>
    <mergeCell ref="G19:H19"/>
    <mergeCell ref="G20:H20"/>
    <mergeCell ref="L20:M20"/>
    <mergeCell ref="Q20:R20"/>
    <mergeCell ref="V20:W20"/>
    <mergeCell ref="L21:M21"/>
    <mergeCell ref="Q21:R21"/>
    <mergeCell ref="V21:W21"/>
    <mergeCell ref="Q23:R23"/>
    <mergeCell ref="O29:R29"/>
    <mergeCell ref="T29:W29"/>
    <mergeCell ref="O30:R30"/>
    <mergeCell ref="O31:R31"/>
    <mergeCell ref="J31:M31"/>
    <mergeCell ref="K32:L32"/>
    <mergeCell ref="J34:M34"/>
    <mergeCell ref="O34:R34"/>
    <mergeCell ref="C32:C34"/>
    <mergeCell ref="C35:C37"/>
    <mergeCell ref="J35:M35"/>
    <mergeCell ref="O35:R35"/>
    <mergeCell ref="L23:M23"/>
    <mergeCell ref="J29:M29"/>
    <mergeCell ref="C30:C31"/>
    <mergeCell ref="E30:H30"/>
    <mergeCell ref="J30:M30"/>
    <mergeCell ref="E31:H31"/>
    <mergeCell ref="E34:H34"/>
    <mergeCell ref="J36:L36"/>
    <mergeCell ref="O36:Q36"/>
    <mergeCell ref="J37:L37"/>
    <mergeCell ref="O37:Q37"/>
    <mergeCell ref="J38:L38"/>
    <mergeCell ref="O38:Q38"/>
    <mergeCell ref="G21:H21"/>
    <mergeCell ref="G22:H22"/>
    <mergeCell ref="L22:M22"/>
    <mergeCell ref="Q22:R22"/>
    <mergeCell ref="G23:H23"/>
    <mergeCell ref="I29:I40"/>
    <mergeCell ref="N29:N40"/>
    <mergeCell ref="AA43:AB43"/>
    <mergeCell ref="AF43:AG43"/>
    <mergeCell ref="AA44:AB44"/>
    <mergeCell ref="AF44:AG44"/>
    <mergeCell ref="AA45:AB45"/>
    <mergeCell ref="AF45:AG45"/>
    <mergeCell ref="G43:H43"/>
    <mergeCell ref="G44:H44"/>
    <mergeCell ref="L44:M44"/>
    <mergeCell ref="Q44:R44"/>
    <mergeCell ref="V44:W44"/>
    <mergeCell ref="L45:M45"/>
    <mergeCell ref="Q45:R45"/>
    <mergeCell ref="V45:W45"/>
    <mergeCell ref="J39:L39"/>
    <mergeCell ref="O39:Q39"/>
    <mergeCell ref="J40:L40"/>
    <mergeCell ref="O40:Q40"/>
    <mergeCell ref="J42:M42"/>
    <mergeCell ref="O42:R42"/>
    <mergeCell ref="L43:M43"/>
    <mergeCell ref="Q43:R43"/>
    <mergeCell ref="V43:W43"/>
    <mergeCell ref="AA46:AB46"/>
    <mergeCell ref="AA47:AB47"/>
    <mergeCell ref="AA48:AB48"/>
    <mergeCell ref="AF48:AG48"/>
    <mergeCell ref="AD49:AF49"/>
    <mergeCell ref="L46:M46"/>
    <mergeCell ref="Q46:R46"/>
    <mergeCell ref="V46:W46"/>
    <mergeCell ref="AF46:AG46"/>
    <mergeCell ref="Q47:R47"/>
    <mergeCell ref="V47:W47"/>
    <mergeCell ref="AF47:AG47"/>
    <mergeCell ref="L47:M47"/>
    <mergeCell ref="L48:M48"/>
    <mergeCell ref="Q48:R48"/>
    <mergeCell ref="V48:W48"/>
    <mergeCell ref="J49:L49"/>
    <mergeCell ref="T49:V49"/>
    <mergeCell ref="Y49:AA49"/>
    <mergeCell ref="AD54:AG54"/>
    <mergeCell ref="AD55:AG55"/>
    <mergeCell ref="AD56:AG56"/>
    <mergeCell ref="AE57:AF57"/>
    <mergeCell ref="O49:Q49"/>
    <mergeCell ref="O50:Q50"/>
    <mergeCell ref="E53:AG53"/>
    <mergeCell ref="J54:M54"/>
    <mergeCell ref="O54:R54"/>
    <mergeCell ref="T54:W54"/>
    <mergeCell ref="Y54:AB54"/>
    <mergeCell ref="E35:H35"/>
    <mergeCell ref="E36:G36"/>
    <mergeCell ref="E37:G37"/>
    <mergeCell ref="E38:G38"/>
    <mergeCell ref="E39:G39"/>
    <mergeCell ref="E40:G40"/>
    <mergeCell ref="E42:H42"/>
    <mergeCell ref="E54:H54"/>
    <mergeCell ref="E55:H55"/>
    <mergeCell ref="T55:W55"/>
    <mergeCell ref="Y55:AB55"/>
    <mergeCell ref="O55:R55"/>
    <mergeCell ref="O56:R56"/>
    <mergeCell ref="T56:W56"/>
    <mergeCell ref="Y56:AB56"/>
    <mergeCell ref="C55:C56"/>
    <mergeCell ref="C57:C59"/>
    <mergeCell ref="C60:C62"/>
    <mergeCell ref="E61:G61"/>
    <mergeCell ref="E62:G62"/>
    <mergeCell ref="J62:L62"/>
    <mergeCell ref="O62:Q62"/>
    <mergeCell ref="T62:V62"/>
    <mergeCell ref="Y62:AA62"/>
    <mergeCell ref="AD62:AF62"/>
    <mergeCell ref="J59:M59"/>
    <mergeCell ref="O59:R59"/>
    <mergeCell ref="T59:W59"/>
    <mergeCell ref="Y59:AB59"/>
    <mergeCell ref="AD59:AG59"/>
    <mergeCell ref="T60:W60"/>
    <mergeCell ref="Y60:AB60"/>
    <mergeCell ref="AD60:AG60"/>
    <mergeCell ref="J61:L61"/>
    <mergeCell ref="O61:Q61"/>
    <mergeCell ref="T61:V61"/>
    <mergeCell ref="Y61:AA61"/>
    <mergeCell ref="AD61:AF61"/>
    <mergeCell ref="J63:L63"/>
    <mergeCell ref="O63:Q63"/>
    <mergeCell ref="AF69:AG69"/>
    <mergeCell ref="AF70:AG70"/>
    <mergeCell ref="AF71:AG71"/>
    <mergeCell ref="T63:V63"/>
    <mergeCell ref="Y63:AA63"/>
    <mergeCell ref="AD63:AF63"/>
    <mergeCell ref="AD64:AF64"/>
    <mergeCell ref="AD65:AF65"/>
    <mergeCell ref="AD67:AG67"/>
    <mergeCell ref="AF68:AG68"/>
    <mergeCell ref="J60:M60"/>
    <mergeCell ref="O60:R60"/>
    <mergeCell ref="J64:L64"/>
    <mergeCell ref="O64:Q64"/>
    <mergeCell ref="T64:V64"/>
    <mergeCell ref="Y64:AA64"/>
    <mergeCell ref="T65:V65"/>
    <mergeCell ref="Y65:AA65"/>
    <mergeCell ref="I54:I65"/>
    <mergeCell ref="N54:N65"/>
    <mergeCell ref="S54:S65"/>
    <mergeCell ref="X54:X65"/>
    <mergeCell ref="AC54:AC65"/>
    <mergeCell ref="J55:M55"/>
    <mergeCell ref="J56:M56"/>
    <mergeCell ref="T67:W67"/>
    <mergeCell ref="V68:W68"/>
    <mergeCell ref="V69:W69"/>
    <mergeCell ref="AA69:AB69"/>
    <mergeCell ref="V70:W70"/>
    <mergeCell ref="AA70:AB70"/>
    <mergeCell ref="V71:W71"/>
    <mergeCell ref="AA71:AB71"/>
    <mergeCell ref="J65:L65"/>
    <mergeCell ref="O65:Q65"/>
    <mergeCell ref="J67:M67"/>
    <mergeCell ref="O67:R67"/>
    <mergeCell ref="Y67:AB67"/>
    <mergeCell ref="Q68:R68"/>
    <mergeCell ref="AA68:AB68"/>
    <mergeCell ref="Y85:AA85"/>
    <mergeCell ref="O86:Q86"/>
    <mergeCell ref="T86:V86"/>
    <mergeCell ref="Y86:AA86"/>
    <mergeCell ref="J89:L89"/>
    <mergeCell ref="O89:Q89"/>
    <mergeCell ref="T89:V89"/>
    <mergeCell ref="Y89:AA89"/>
    <mergeCell ref="G73:H73"/>
    <mergeCell ref="I78:I89"/>
    <mergeCell ref="N78:N89"/>
    <mergeCell ref="S78:S89"/>
    <mergeCell ref="X78:X89"/>
    <mergeCell ref="AC78:AC89"/>
    <mergeCell ref="T88:V88"/>
    <mergeCell ref="G95:H95"/>
    <mergeCell ref="G96:H96"/>
    <mergeCell ref="G97:H97"/>
    <mergeCell ref="E98:G98"/>
    <mergeCell ref="E74:G74"/>
    <mergeCell ref="E88:G88"/>
    <mergeCell ref="E89:G89"/>
    <mergeCell ref="E91:H91"/>
    <mergeCell ref="G92:H92"/>
    <mergeCell ref="G93:H93"/>
    <mergeCell ref="G94:H94"/>
    <mergeCell ref="J85:L85"/>
    <mergeCell ref="J86:L86"/>
    <mergeCell ref="J91:M91"/>
    <mergeCell ref="L92:M92"/>
    <mergeCell ref="L93:M93"/>
    <mergeCell ref="L94:M94"/>
    <mergeCell ref="L95:M95"/>
    <mergeCell ref="C81:C83"/>
    <mergeCell ref="K81:L81"/>
    <mergeCell ref="E83:H83"/>
    <mergeCell ref="C84:C86"/>
    <mergeCell ref="E84:H84"/>
    <mergeCell ref="E85:G85"/>
    <mergeCell ref="E86:G86"/>
    <mergeCell ref="E87:G87"/>
    <mergeCell ref="J87:L87"/>
    <mergeCell ref="O87:Q87"/>
    <mergeCell ref="T87:V87"/>
    <mergeCell ref="Y87:AA87"/>
    <mergeCell ref="Y88:AA88"/>
    <mergeCell ref="Y91:AB91"/>
    <mergeCell ref="AA92:AB92"/>
    <mergeCell ref="AA93:AB93"/>
    <mergeCell ref="AA94:AB94"/>
    <mergeCell ref="AA95:AB95"/>
    <mergeCell ref="Q93:R93"/>
    <mergeCell ref="Q94:R94"/>
    <mergeCell ref="V94:W94"/>
    <mergeCell ref="Q95:R95"/>
    <mergeCell ref="V95:W95"/>
    <mergeCell ref="J88:L88"/>
    <mergeCell ref="O88:Q88"/>
    <mergeCell ref="O91:R91"/>
    <mergeCell ref="T91:W91"/>
    <mergeCell ref="Q92:R92"/>
    <mergeCell ref="V92:W92"/>
    <mergeCell ref="V93:W93"/>
    <mergeCell ref="V96:W96"/>
    <mergeCell ref="V97:W97"/>
    <mergeCell ref="AF96:AG96"/>
    <mergeCell ref="AF97:AG97"/>
    <mergeCell ref="AD91:AG91"/>
    <mergeCell ref="AF92:AG92"/>
    <mergeCell ref="AF93:AG93"/>
    <mergeCell ref="AF94:AG94"/>
    <mergeCell ref="AF95:AG95"/>
    <mergeCell ref="AA96:AB96"/>
    <mergeCell ref="AA97:AB97"/>
    <mergeCell ref="J80:M80"/>
    <mergeCell ref="O80:R80"/>
    <mergeCell ref="T80:W80"/>
    <mergeCell ref="Y80:AB80"/>
    <mergeCell ref="J83:M83"/>
    <mergeCell ref="O83:R83"/>
    <mergeCell ref="T83:W83"/>
    <mergeCell ref="Y83:AB83"/>
    <mergeCell ref="AD83:AG83"/>
    <mergeCell ref="T84:W84"/>
    <mergeCell ref="Y84:AB84"/>
    <mergeCell ref="AD84:AG84"/>
    <mergeCell ref="O85:Q85"/>
    <mergeCell ref="T85:V85"/>
    <mergeCell ref="AD85:AF85"/>
    <mergeCell ref="AD86:AF86"/>
    <mergeCell ref="AD87:AF87"/>
    <mergeCell ref="AD88:AF88"/>
    <mergeCell ref="AD89:AF89"/>
    <mergeCell ref="O98:Q98"/>
    <mergeCell ref="T98:V98"/>
    <mergeCell ref="Y98:AA98"/>
    <mergeCell ref="AD98:AF98"/>
    <mergeCell ref="J84:M84"/>
    <mergeCell ref="O84:R84"/>
    <mergeCell ref="L96:M96"/>
    <mergeCell ref="Q96:R96"/>
    <mergeCell ref="L97:M97"/>
    <mergeCell ref="Q97:R97"/>
    <mergeCell ref="J98:L98"/>
    <mergeCell ref="O99:Q99"/>
    <mergeCell ref="Y4:AB4"/>
    <mergeCell ref="AC4:AC15"/>
    <mergeCell ref="Y5:AB5"/>
    <mergeCell ref="Y6:AB6"/>
    <mergeCell ref="Y9:AB9"/>
    <mergeCell ref="Y10:AB10"/>
    <mergeCell ref="Y11:AA11"/>
    <mergeCell ref="Y12:AA12"/>
    <mergeCell ref="O10:R10"/>
    <mergeCell ref="T10:W10"/>
    <mergeCell ref="J11:L11"/>
    <mergeCell ref="O11:Q11"/>
    <mergeCell ref="AD10:AG10"/>
    <mergeCell ref="AD11:AF11"/>
    <mergeCell ref="J12:L12"/>
    <mergeCell ref="O12:Q12"/>
    <mergeCell ref="T12:V12"/>
    <mergeCell ref="AD12:AF12"/>
    <mergeCell ref="J13:L13"/>
    <mergeCell ref="O13:Q13"/>
    <mergeCell ref="O4:R4"/>
    <mergeCell ref="O5:R5"/>
    <mergeCell ref="O14:Q14"/>
    <mergeCell ref="T4:W4"/>
    <mergeCell ref="X4:X15"/>
    <mergeCell ref="T5:W5"/>
    <mergeCell ref="T6:W6"/>
    <mergeCell ref="T9:W9"/>
    <mergeCell ref="T13:V13"/>
    <mergeCell ref="T14:V14"/>
    <mergeCell ref="J5:M5"/>
    <mergeCell ref="J6:M6"/>
    <mergeCell ref="AD5:AG5"/>
    <mergeCell ref="AD6:AG6"/>
    <mergeCell ref="AD13:AF13"/>
    <mergeCell ref="J9:M9"/>
    <mergeCell ref="O9:R9"/>
    <mergeCell ref="J4:M4"/>
    <mergeCell ref="J10:M10"/>
    <mergeCell ref="J14:L14"/>
    <mergeCell ref="E10:H10"/>
    <mergeCell ref="E14:G14"/>
    <mergeCell ref="E4:H4"/>
    <mergeCell ref="C5:C6"/>
    <mergeCell ref="E5:H5"/>
    <mergeCell ref="E6:H6"/>
    <mergeCell ref="C7:C9"/>
    <mergeCell ref="E9:H9"/>
    <mergeCell ref="C10:C12"/>
    <mergeCell ref="Y13:AA13"/>
    <mergeCell ref="Y14:AA14"/>
    <mergeCell ref="AA20:AB20"/>
    <mergeCell ref="AA21:AB21"/>
    <mergeCell ref="AA22:AB22"/>
    <mergeCell ref="Y17:AB17"/>
    <mergeCell ref="AD17:AG17"/>
    <mergeCell ref="AA18:AB18"/>
    <mergeCell ref="AF18:AG18"/>
    <mergeCell ref="AA19:AB19"/>
    <mergeCell ref="AF19:AG19"/>
    <mergeCell ref="AF20:AG20"/>
    <mergeCell ref="E3:AG3"/>
    <mergeCell ref="N4:N15"/>
    <mergeCell ref="S4:S15"/>
    <mergeCell ref="AD4:AG4"/>
    <mergeCell ref="O6:R6"/>
    <mergeCell ref="AD9:AG9"/>
    <mergeCell ref="T11:V11"/>
    <mergeCell ref="O17:R17"/>
    <mergeCell ref="T17:W17"/>
    <mergeCell ref="L18:M18"/>
    <mergeCell ref="Q18:R18"/>
    <mergeCell ref="V18:W18"/>
    <mergeCell ref="L19:M19"/>
    <mergeCell ref="Q19:R19"/>
    <mergeCell ref="V19:W19"/>
    <mergeCell ref="AD14:AF14"/>
    <mergeCell ref="J15:L15"/>
    <mergeCell ref="O15:Q15"/>
    <mergeCell ref="T15:V15"/>
    <mergeCell ref="Y15:AA15"/>
    <mergeCell ref="AD15:AF15"/>
    <mergeCell ref="J17:M17"/>
    <mergeCell ref="I4:I15"/>
    <mergeCell ref="E11:G11"/>
    <mergeCell ref="E12:G12"/>
    <mergeCell ref="E13:G13"/>
    <mergeCell ref="E15:G15"/>
    <mergeCell ref="E17:H17"/>
    <mergeCell ref="G18:H18"/>
    <mergeCell ref="AF21:AG21"/>
    <mergeCell ref="AF22:AG22"/>
    <mergeCell ref="AF23:AG23"/>
    <mergeCell ref="V22:W22"/>
    <mergeCell ref="V23:W23"/>
    <mergeCell ref="AA23:AB23"/>
    <mergeCell ref="E29:H29"/>
    <mergeCell ref="Y29:AB29"/>
    <mergeCell ref="AD29:AG29"/>
    <mergeCell ref="AD30:AG30"/>
    <mergeCell ref="AD31:AG31"/>
    <mergeCell ref="E24:G24"/>
    <mergeCell ref="J24:L24"/>
    <mergeCell ref="O24:Q24"/>
    <mergeCell ref="T24:V24"/>
    <mergeCell ref="Y24:AA24"/>
    <mergeCell ref="AD24:AF24"/>
    <mergeCell ref="E28:AG28"/>
    <mergeCell ref="Q71:R71"/>
    <mergeCell ref="Q72:R72"/>
    <mergeCell ref="V72:W72"/>
    <mergeCell ref="AA72:AB72"/>
    <mergeCell ref="AF72:AG72"/>
    <mergeCell ref="L68:M68"/>
    <mergeCell ref="L69:M69"/>
    <mergeCell ref="Q69:R69"/>
    <mergeCell ref="L70:M70"/>
    <mergeCell ref="Q70:R70"/>
    <mergeCell ref="L71:M71"/>
    <mergeCell ref="L72:M72"/>
    <mergeCell ref="T74:V74"/>
    <mergeCell ref="Y74:AA74"/>
    <mergeCell ref="L73:M73"/>
    <mergeCell ref="Q73:R73"/>
    <mergeCell ref="V73:W73"/>
    <mergeCell ref="AA73:AB73"/>
    <mergeCell ref="AF73:AG73"/>
    <mergeCell ref="J74:L74"/>
    <mergeCell ref="O74:Q74"/>
    <mergeCell ref="AD79:AG79"/>
    <mergeCell ref="AD80:AG80"/>
    <mergeCell ref="AD74:AF74"/>
    <mergeCell ref="E77:AG77"/>
    <mergeCell ref="J78:M78"/>
    <mergeCell ref="O78:R78"/>
    <mergeCell ref="T78:W78"/>
    <mergeCell ref="Y78:AB78"/>
    <mergeCell ref="AD78:AG78"/>
    <mergeCell ref="E59:H59"/>
    <mergeCell ref="E60:H60"/>
    <mergeCell ref="E63:G63"/>
    <mergeCell ref="E64:G64"/>
    <mergeCell ref="G45:H45"/>
    <mergeCell ref="G46:H46"/>
    <mergeCell ref="G47:H47"/>
    <mergeCell ref="G48:H48"/>
    <mergeCell ref="E49:G49"/>
    <mergeCell ref="D54:D65"/>
    <mergeCell ref="E56:H56"/>
    <mergeCell ref="E65:G65"/>
    <mergeCell ref="E67:H67"/>
    <mergeCell ref="G68:H68"/>
    <mergeCell ref="G69:H69"/>
    <mergeCell ref="G70:H70"/>
    <mergeCell ref="G71:H71"/>
    <mergeCell ref="G72:H72"/>
    <mergeCell ref="E78:H78"/>
    <mergeCell ref="C79:C80"/>
    <mergeCell ref="E79:H79"/>
    <mergeCell ref="E80:H80"/>
    <mergeCell ref="J79:M79"/>
    <mergeCell ref="O79:R79"/>
    <mergeCell ref="T79:W79"/>
    <mergeCell ref="Y79:AB79"/>
  </mergeCells>
  <conditionalFormatting sqref="H24 M24 R24 W24 AB24 AG24 H49:H50 M49:M50 R49:R50 W49 AB49 AG49 H74 M74 R74 W74 AB74 AG74 H98 M98 R98:R99 W98:W99 AB98 AG98">
    <cfRule type="cellIs" dxfId="0" priority="1" operator="between">
      <formula>1</formula>
      <formula>95</formula>
    </cfRule>
  </conditionalFormatting>
  <conditionalFormatting sqref="H24 M24 R24 W24 AB24 AG24 H49:H50 M49:M50 R49:R50 W49 AB49 AG49 H74 M74 R74 W74 AB74 AG74 H98 M98 R98:R99 W98:W99 AB98 AG98">
    <cfRule type="cellIs" dxfId="1" priority="2" operator="between">
      <formula>96</formula>
      <formula>195</formula>
    </cfRule>
  </conditionalFormatting>
  <conditionalFormatting sqref="H24 M24 R24 W24 AB24 AG24 H49:H50 M49:M50 R49:R50 W49 AB49 AG49 H74 M74 R74 W74 AB74 AG74 H98 M98 R98:R99 W98:W99 AB98 AG98">
    <cfRule type="cellIs" dxfId="2" priority="3" operator="between">
      <formula>196</formula>
      <formula>260</formula>
    </cfRule>
  </conditionalFormatting>
  <conditionalFormatting sqref="H24 M24 R24 W24 AB24 AG24 H49:H50 M49:M50 R49:R50 W49 AB49 AG49 H74 M74 R74 W74 AB74 AG74 H98 M98 R98:R99 W98:W99 AB98 AG98">
    <cfRule type="cellIs" dxfId="3" priority="4" operator="between">
      <formula>261</formula>
      <formula>299</formula>
    </cfRule>
  </conditionalFormatting>
  <conditionalFormatting sqref="H24 M24 R24 W24 AB24 AG24 H49:H50 M49:M50 R49:R50 W49 AB49 AG49 H74 M74 R74 W74 AB74 AG74 H98 M98 R98:R99 W98:W99 AB98 AG98">
    <cfRule type="cellIs" dxfId="4" priority="5" operator="between">
      <formula>300</formula>
      <formula>350</formula>
    </cfRule>
  </conditionalFormatting>
  <conditionalFormatting sqref="H24 M24 R24 W24 AB24 AG24 H49:H50 M49:M50 R49:R50 W49 AB49 AG49 H74 M74 R74 W74 AB74 AG74 H98 M98 R98:R99 W98:W99 AB98 AG98">
    <cfRule type="cellIs" dxfId="5" priority="6" operator="between">
      <formula>351</formula>
      <formula>450</formula>
    </cfRule>
  </conditionalFormatting>
  <conditionalFormatting sqref="H24 M24 R24 W24 AB24 AG24 H49:H50 M49:M50 R49:R50 W49 AB49 AG49 H74 M74 R74 W74 AB74 AG74 H98 M98 R98:R99 W98:W99 AB98 AG98">
    <cfRule type="cellIs" dxfId="6" priority="7" operator="between">
      <formula>451</formula>
      <formula>1000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490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1604"/>
      <c r="B1" s="1605"/>
      <c r="C1" s="1606"/>
      <c r="D1" s="1605"/>
      <c r="E1" s="1605"/>
      <c r="F1" s="1605"/>
      <c r="G1" s="1605"/>
      <c r="H1" s="1605"/>
      <c r="I1" s="1605"/>
      <c r="J1" s="1605"/>
      <c r="K1" s="1605"/>
      <c r="L1" s="1605"/>
      <c r="M1" s="1605"/>
      <c r="N1" s="1605"/>
      <c r="O1" s="1605"/>
      <c r="P1" s="1605"/>
      <c r="Q1" s="1605"/>
      <c r="R1" s="1605"/>
      <c r="S1" s="1605"/>
      <c r="T1" s="1605"/>
      <c r="U1" s="1605"/>
      <c r="V1" s="1605"/>
      <c r="W1" s="1605"/>
      <c r="X1" s="1605"/>
      <c r="Y1" s="1605"/>
      <c r="Z1" s="1605"/>
      <c r="AA1" s="1605"/>
      <c r="AB1" s="1605"/>
      <c r="AC1" s="1605"/>
      <c r="AD1" s="1605"/>
      <c r="AE1" s="1605"/>
      <c r="AF1" s="1605"/>
      <c r="AG1" s="1605"/>
      <c r="AH1" s="1605"/>
      <c r="AI1" s="1607"/>
    </row>
    <row r="2" ht="7.5" customHeight="1">
      <c r="A2" s="1608"/>
      <c r="B2" s="1609"/>
      <c r="C2" s="1610"/>
      <c r="D2" s="1611"/>
      <c r="E2" s="1612"/>
      <c r="F2" s="1612"/>
      <c r="G2" s="1612"/>
      <c r="H2" s="1612"/>
      <c r="I2" s="1611"/>
      <c r="J2" s="1612"/>
      <c r="K2" s="1612"/>
      <c r="L2" s="1612"/>
      <c r="M2" s="1612"/>
      <c r="N2" s="1611"/>
      <c r="O2" s="1612"/>
      <c r="P2" s="1612"/>
      <c r="Q2" s="1612"/>
      <c r="R2" s="1612"/>
      <c r="S2" s="1611"/>
      <c r="T2" s="1612"/>
      <c r="U2" s="1612"/>
      <c r="V2" s="1612"/>
      <c r="W2" s="1612"/>
      <c r="X2" s="1611"/>
      <c r="Y2" s="1612"/>
      <c r="Z2" s="1612"/>
      <c r="AA2" s="1612"/>
      <c r="AB2" s="1612"/>
      <c r="AC2" s="1611"/>
      <c r="AD2" s="1611"/>
      <c r="AE2" s="1611"/>
      <c r="AF2" s="1611"/>
      <c r="AG2" s="1611"/>
      <c r="AH2" s="1613"/>
      <c r="AI2" s="1614"/>
    </row>
    <row r="3" ht="96.75" customHeight="1">
      <c r="A3" s="1615"/>
      <c r="B3" s="1616"/>
      <c r="C3" s="1617" t="str">
        <f>IMAGE("https://i.ibb.co/gMdPsRL/Falkner.png")</f>
        <v/>
      </c>
      <c r="D3" s="1618"/>
      <c r="E3" s="1619" t="str">
        <f t="array" ref="E3">IFERROR(VLOOKUP(E4,Dex!$B$3:$G252,3,FALSE),"")</f>
        <v/>
      </c>
      <c r="F3" s="539"/>
      <c r="G3" s="539"/>
      <c r="H3" s="540"/>
      <c r="I3" s="1618"/>
      <c r="J3" s="1619" t="str">
        <f t="array" ref="J3">IFERROR(VLOOKUP(J4,Dex!$B$3:$G252,3,FALSE),"")</f>
        <v/>
      </c>
      <c r="K3" s="539"/>
      <c r="L3" s="539"/>
      <c r="M3" s="540"/>
      <c r="N3" s="1618"/>
      <c r="O3" s="1619" t="str">
        <f t="array" ref="O3">IFERROR(VLOOKUP(O4,Dex!$B$3:$G252,3,FALSE),"")</f>
        <v/>
      </c>
      <c r="P3" s="539"/>
      <c r="Q3" s="539"/>
      <c r="R3" s="540"/>
      <c r="S3" s="1620"/>
      <c r="T3" s="1619" t="str">
        <f t="array" ref="T3">IFERROR(VLOOKUP(T4,Dex!$B$3:$G252,3,FALSE),"")</f>
        <v/>
      </c>
      <c r="U3" s="539"/>
      <c r="V3" s="539"/>
      <c r="W3" s="540"/>
      <c r="X3" s="1620"/>
      <c r="Y3" s="1619" t="str">
        <f t="array" ref="Y3">IFERROR(VLOOKUP(Y4,Dex!$B$3:$G252,3,FALSE),"")</f>
        <v/>
      </c>
      <c r="Z3" s="539"/>
      <c r="AA3" s="539"/>
      <c r="AB3" s="540"/>
      <c r="AC3" s="1621"/>
      <c r="AD3" s="1622"/>
      <c r="AE3" s="1623"/>
      <c r="AF3" s="1623"/>
      <c r="AG3" s="1624"/>
      <c r="AH3" s="1625"/>
      <c r="AI3" s="1614"/>
    </row>
    <row r="4" ht="18.75" customHeight="1">
      <c r="A4" s="1626"/>
      <c r="B4" s="1627"/>
      <c r="C4" s="1628" t="s">
        <v>790</v>
      </c>
      <c r="D4" s="1629"/>
      <c r="E4" s="1630" t="s">
        <v>791</v>
      </c>
      <c r="F4" s="1631"/>
      <c r="G4" s="1631"/>
      <c r="H4" s="1632"/>
      <c r="I4" s="1629"/>
      <c r="J4" s="1630" t="s">
        <v>792</v>
      </c>
      <c r="K4" s="1631"/>
      <c r="L4" s="1631"/>
      <c r="M4" s="1632"/>
      <c r="N4" s="1629"/>
      <c r="O4" s="1630" t="s">
        <v>793</v>
      </c>
      <c r="P4" s="1631"/>
      <c r="Q4" s="1631"/>
      <c r="R4" s="1632"/>
      <c r="T4" s="1630" t="s">
        <v>794</v>
      </c>
      <c r="U4" s="1631"/>
      <c r="V4" s="1631"/>
      <c r="W4" s="1632"/>
      <c r="Y4" s="1630" t="s">
        <v>795</v>
      </c>
      <c r="Z4" s="1631"/>
      <c r="AA4" s="1631"/>
      <c r="AB4" s="1632"/>
      <c r="AC4" s="1633"/>
      <c r="AD4" s="1634"/>
      <c r="AE4" s="1623"/>
      <c r="AF4" s="1623"/>
      <c r="AG4" s="1624"/>
      <c r="AH4" s="1635"/>
      <c r="AI4" s="1636"/>
    </row>
    <row r="5">
      <c r="A5" s="1626"/>
      <c r="B5" s="1637"/>
      <c r="C5" s="1638"/>
      <c r="D5" s="1639"/>
      <c r="E5" s="1640" t="s">
        <v>796</v>
      </c>
      <c r="F5" s="1623"/>
      <c r="G5" s="1623"/>
      <c r="H5" s="1641"/>
      <c r="I5" s="1629"/>
      <c r="J5" s="1640" t="s">
        <v>729</v>
      </c>
      <c r="K5" s="1623"/>
      <c r="L5" s="1623"/>
      <c r="M5" s="1641"/>
      <c r="N5" s="1629"/>
      <c r="O5" s="1640" t="s">
        <v>797</v>
      </c>
      <c r="P5" s="1623"/>
      <c r="Q5" s="1623"/>
      <c r="R5" s="1641"/>
      <c r="T5" s="1640" t="s">
        <v>796</v>
      </c>
      <c r="U5" s="1623"/>
      <c r="V5" s="1623"/>
      <c r="W5" s="1641"/>
      <c r="Y5" s="1640" t="s">
        <v>796</v>
      </c>
      <c r="Z5" s="1623"/>
      <c r="AA5" s="1623"/>
      <c r="AB5" s="1641"/>
      <c r="AC5" s="1633"/>
      <c r="AD5" s="1642"/>
      <c r="AE5" s="1623"/>
      <c r="AF5" s="1623"/>
      <c r="AG5" s="1624"/>
      <c r="AH5" s="1643"/>
      <c r="AI5" s="1644"/>
    </row>
    <row r="6" ht="25.5" customHeight="1">
      <c r="A6" s="1626"/>
      <c r="B6" s="1645"/>
      <c r="C6" s="1646"/>
      <c r="D6" s="1647"/>
      <c r="E6" s="1648"/>
      <c r="F6" s="1649" t="str">
        <f t="array" ref="F6">IFERROR(VLOOKUP(E4,Dex!$B$3:$H252,5,FALSE),"")</f>
        <v/>
      </c>
      <c r="G6" s="1650" t="str">
        <f t="array" ref="G6">IFERROR(VLOOKUP(E4,Dex!$B$3:$H252,7,FALSE),"")</f>
        <v/>
      </c>
      <c r="H6" s="1651"/>
      <c r="I6" s="1634"/>
      <c r="J6" s="1648"/>
      <c r="K6" s="1649" t="str">
        <f t="array" ref="K6">IFERROR(VLOOKUP(J4,Dex!$B$3:$H252,5,FALSE),"")</f>
        <v/>
      </c>
      <c r="L6" s="1650" t="str">
        <f t="array" ref="L6">IFERROR(VLOOKUP(J4,Dex!$B$3:$H252,7,FALSE),"")</f>
        <v/>
      </c>
      <c r="M6" s="1651"/>
      <c r="N6" s="1634"/>
      <c r="O6" s="1648"/>
      <c r="P6" s="1649" t="str">
        <f t="array" ref="P6">IFERROR(VLOOKUP(O4,Dex!$B$3:$H252,5,FALSE),"")</f>
        <v/>
      </c>
      <c r="Q6" s="1650" t="str">
        <f t="array" ref="Q6">IFERROR(VLOOKUP(O4,Dex!$B$3:$H252,7,FALSE),"")</f>
        <v/>
      </c>
      <c r="R6" s="1651"/>
      <c r="T6" s="1648"/>
      <c r="U6" s="1649" t="str">
        <f t="array" ref="U6">IFERROR(VLOOKUP(T4,Dex!$B$3:$H252,5,FALSE),"")</f>
        <v/>
      </c>
      <c r="V6" s="1650" t="str">
        <f t="array" ref="V6">IFERROR(VLOOKUP(T4,Dex!$B$3:$H252,7,FALSE),"")</f>
        <v/>
      </c>
      <c r="W6" s="1651"/>
      <c r="Y6" s="1648"/>
      <c r="Z6" s="1652" t="str">
        <f t="array" ref="Z6">IFERROR(VLOOKUP(Y4,Dex!$B$3:$H252,5,FALSE),"")</f>
        <v/>
      </c>
      <c r="AA6" s="1624"/>
      <c r="AB6" s="1651"/>
      <c r="AC6" s="1633"/>
      <c r="AD6" s="1622"/>
      <c r="AE6" s="1623"/>
      <c r="AF6" s="1623"/>
      <c r="AG6" s="1624"/>
      <c r="AH6" s="1625"/>
      <c r="AI6" s="1614"/>
    </row>
    <row r="7" ht="2.25" customHeight="1">
      <c r="A7" s="1653"/>
      <c r="B7" s="1645"/>
      <c r="C7" s="1654"/>
      <c r="D7" s="1622"/>
      <c r="E7" s="1655"/>
      <c r="F7" s="1656"/>
      <c r="G7" s="1656"/>
      <c r="H7" s="1657"/>
      <c r="I7" s="1634"/>
      <c r="J7" s="1655"/>
      <c r="K7" s="1656"/>
      <c r="L7" s="1656"/>
      <c r="M7" s="1657"/>
      <c r="N7" s="1634"/>
      <c r="O7" s="1655"/>
      <c r="P7" s="1656"/>
      <c r="Q7" s="1656"/>
      <c r="R7" s="1657"/>
      <c r="T7" s="1655"/>
      <c r="U7" s="1656"/>
      <c r="V7" s="1656"/>
      <c r="W7" s="1657"/>
      <c r="Y7" s="1655"/>
      <c r="Z7" s="1656"/>
      <c r="AA7" s="1656"/>
      <c r="AB7" s="1657"/>
      <c r="AC7" s="1633"/>
      <c r="AD7" s="1658"/>
      <c r="AE7" s="1658"/>
      <c r="AF7" s="1658"/>
      <c r="AG7" s="1658"/>
      <c r="AH7" s="1625"/>
      <c r="AI7" s="1614"/>
    </row>
    <row r="8" ht="20.25" customHeight="1">
      <c r="A8" s="1626"/>
      <c r="B8" s="1645"/>
      <c r="C8" s="1659"/>
      <c r="D8" s="1622"/>
      <c r="E8" s="1660" t="s">
        <v>481</v>
      </c>
      <c r="F8" s="1661"/>
      <c r="G8" s="1661"/>
      <c r="H8" s="1662"/>
      <c r="I8" s="1663"/>
      <c r="J8" s="1660" t="s">
        <v>531</v>
      </c>
      <c r="K8" s="1661"/>
      <c r="L8" s="1661"/>
      <c r="M8" s="1662"/>
      <c r="N8" s="1663"/>
      <c r="O8" s="1660" t="s">
        <v>481</v>
      </c>
      <c r="P8" s="1661"/>
      <c r="Q8" s="1661"/>
      <c r="R8" s="1662"/>
      <c r="T8" s="1660" t="s">
        <v>481</v>
      </c>
      <c r="U8" s="1661"/>
      <c r="V8" s="1661"/>
      <c r="W8" s="1662"/>
      <c r="Y8" s="1660" t="s">
        <v>481</v>
      </c>
      <c r="Z8" s="1661"/>
      <c r="AA8" s="1661"/>
      <c r="AB8" s="1662"/>
      <c r="AC8" s="1633"/>
      <c r="AD8" s="1622"/>
      <c r="AE8" s="1623"/>
      <c r="AF8" s="1623"/>
      <c r="AG8" s="1624"/>
      <c r="AH8" s="1625"/>
      <c r="AI8" s="1614"/>
    </row>
    <row r="9" ht="20.25" customHeight="1">
      <c r="A9" s="1626"/>
      <c r="B9" s="1645"/>
      <c r="C9" s="1664"/>
      <c r="D9" s="1622"/>
      <c r="E9" s="1665" t="s">
        <v>798</v>
      </c>
      <c r="F9" s="1623"/>
      <c r="G9" s="1623"/>
      <c r="H9" s="1641"/>
      <c r="I9" s="1663"/>
      <c r="J9" s="1665" t="s">
        <v>756</v>
      </c>
      <c r="K9" s="1623"/>
      <c r="L9" s="1623"/>
      <c r="M9" s="1641"/>
      <c r="N9" s="1663"/>
      <c r="O9" s="1665" t="s">
        <v>67</v>
      </c>
      <c r="P9" s="1623"/>
      <c r="Q9" s="1623"/>
      <c r="R9" s="1641"/>
      <c r="T9" s="1665" t="s">
        <v>799</v>
      </c>
      <c r="U9" s="1623"/>
      <c r="V9" s="1623"/>
      <c r="W9" s="1641"/>
      <c r="Y9" s="1665" t="s">
        <v>731</v>
      </c>
      <c r="Z9" s="1623"/>
      <c r="AA9" s="1623"/>
      <c r="AB9" s="1641"/>
      <c r="AC9" s="1633"/>
      <c r="AD9" s="1622"/>
      <c r="AE9" s="1623"/>
      <c r="AF9" s="1623"/>
      <c r="AG9" s="1624"/>
      <c r="AH9" s="1625"/>
      <c r="AI9" s="1614"/>
    </row>
    <row r="10" ht="20.25" customHeight="1">
      <c r="A10" s="1626"/>
      <c r="B10" s="1645"/>
      <c r="C10" s="1666"/>
      <c r="D10" s="1622"/>
      <c r="E10" s="1667" t="s">
        <v>490</v>
      </c>
      <c r="F10" s="1668"/>
      <c r="G10" s="1669"/>
      <c r="H10" s="1670" t="str">
        <f>IMAGE("https://raw.githubusercontent.com/msikma/pokesprite/master/items/berry/lum.png",3)</f>
        <v/>
      </c>
      <c r="I10" s="1634"/>
      <c r="J10" s="1667" t="s">
        <v>488</v>
      </c>
      <c r="K10" s="1668"/>
      <c r="L10" s="1669"/>
      <c r="M10" s="1670" t="str">
        <f>IMAGE("https://raw.githubusercontent.com/msikma/pokesprite/master/items/medicine/berry-juice.png",3)</f>
        <v/>
      </c>
      <c r="N10" s="1634"/>
      <c r="O10" s="1667" t="s">
        <v>490</v>
      </c>
      <c r="P10" s="1668"/>
      <c r="Q10" s="1669"/>
      <c r="R10" s="1670" t="str">
        <f>IMAGE("https://raw.githubusercontent.com/msikma/pokesprite/master/items/berry/lum.png",3)</f>
        <v/>
      </c>
      <c r="T10" s="1667" t="s">
        <v>800</v>
      </c>
      <c r="U10" s="1668"/>
      <c r="V10" s="1669"/>
      <c r="W10" s="1670" t="str">
        <f>IMAGE("https://raw.githubusercontent.com/msikma/pokesprite/master/items/hold-item/muscle-band.png",3)</f>
        <v/>
      </c>
      <c r="Y10" s="1667" t="s">
        <v>801</v>
      </c>
      <c r="Z10" s="1668"/>
      <c r="AA10" s="1669"/>
      <c r="AB10" s="1670" t="str">
        <f>IMAGE("https://raw.githubusercontent.com/msikma/pokesprite/master/items/curry-ingredient/large-leek.png",3)</f>
        <v/>
      </c>
      <c r="AC10" s="1633"/>
      <c r="AD10" s="1622"/>
      <c r="AE10" s="1623"/>
      <c r="AF10" s="1623"/>
      <c r="AG10" s="1624"/>
      <c r="AH10" s="1625"/>
      <c r="AI10" s="1614"/>
    </row>
    <row r="11" ht="20.25" customHeight="1">
      <c r="A11" s="1626"/>
      <c r="B11" s="1645"/>
      <c r="C11" s="1671"/>
      <c r="D11" s="1622"/>
      <c r="E11" s="1660" t="s">
        <v>141</v>
      </c>
      <c r="F11" s="1661"/>
      <c r="G11" s="1661"/>
      <c r="H11" s="1672" t="str">
        <f>IMAGE("https://raw.githubusercontent.com/msikma/pokesprite/master/misc/types/gen8/fire.png",4,20,20)</f>
        <v/>
      </c>
      <c r="I11" s="1634"/>
      <c r="J11" s="1660" t="s">
        <v>581</v>
      </c>
      <c r="K11" s="1661"/>
      <c r="L11" s="1661"/>
      <c r="M11" s="1672" t="str">
        <f>IMAGE("https://raw.githubusercontent.com/msikma/pokesprite/master/misc/types/gen8/electric.png",4,20,20)</f>
        <v/>
      </c>
      <c r="N11" s="1634"/>
      <c r="O11" s="1660" t="s">
        <v>510</v>
      </c>
      <c r="P11" s="1661"/>
      <c r="Q11" s="1661"/>
      <c r="R11" s="1672" t="str">
        <f>IMAGE("https://raw.githubusercontent.com/msikma/pokesprite/master/misc/types/gen8/grass.png",4,20,20)</f>
        <v/>
      </c>
      <c r="T11" s="1660" t="s">
        <v>802</v>
      </c>
      <c r="U11" s="1661"/>
      <c r="V11" s="1661"/>
      <c r="W11" s="1672" t="str">
        <f>IMAGE("https://raw.githubusercontent.com/msikma/pokesprite/master/misc/types/gen8/flying.png",4,20,20)</f>
        <v/>
      </c>
      <c r="Y11" s="1660" t="s">
        <v>803</v>
      </c>
      <c r="Z11" s="1661"/>
      <c r="AA11" s="1661"/>
      <c r="AB11" s="1672" t="str">
        <f>IMAGE("https://raw.githubusercontent.com/msikma/pokesprite/master/misc/types/gen8/fighting.png",4,20,20)</f>
        <v/>
      </c>
      <c r="AC11" s="1633"/>
      <c r="AD11" s="1622"/>
      <c r="AE11" s="1623"/>
      <c r="AF11" s="1623"/>
      <c r="AG11" s="1624"/>
      <c r="AH11" s="1625"/>
      <c r="AI11" s="1614"/>
    </row>
    <row r="12" ht="20.25" customHeight="1">
      <c r="A12" s="1626"/>
      <c r="B12" s="1645"/>
      <c r="C12" s="1659"/>
      <c r="D12" s="1622"/>
      <c r="E12" s="1665" t="s">
        <v>804</v>
      </c>
      <c r="F12" s="1623"/>
      <c r="G12" s="1623"/>
      <c r="H12" s="1673" t="str">
        <f>IMAGE("https://raw.githubusercontent.com/msikma/pokesprite/master/misc/types/gen8/flying.png",4,20,20)</f>
        <v/>
      </c>
      <c r="I12" s="1634"/>
      <c r="J12" s="1665" t="s">
        <v>805</v>
      </c>
      <c r="K12" s="1623"/>
      <c r="L12" s="1623"/>
      <c r="M12" s="1673" t="str">
        <f>IMAGE("https://raw.githubusercontent.com/msikma/pokesprite/master/misc/types/gen8/flying.png",4,20,20)</f>
        <v/>
      </c>
      <c r="N12" s="1634"/>
      <c r="O12" s="1665" t="s">
        <v>496</v>
      </c>
      <c r="P12" s="1623"/>
      <c r="Q12" s="1623"/>
      <c r="R12" s="1673" t="str">
        <f>IMAGE("https://raw.githubusercontent.com/msikma/pokesprite/master/misc/types/gen8/rock.png",4,20,20)</f>
        <v/>
      </c>
      <c r="T12" s="1665" t="s">
        <v>806</v>
      </c>
      <c r="U12" s="1623"/>
      <c r="V12" s="1623"/>
      <c r="W12" s="1673" t="str">
        <f>IMAGE("https://raw.githubusercontent.com/msikma/pokesprite/master/misc/types/gen8/normal.png",4,20,20)</f>
        <v/>
      </c>
      <c r="Y12" s="1665" t="s">
        <v>807</v>
      </c>
      <c r="Z12" s="1623"/>
      <c r="AA12" s="1623"/>
      <c r="AB12" s="1673" t="str">
        <f>IMAGE("https://raw.githubusercontent.com/msikma/pokesprite/master/misc/types/gen8/normal.png",4,20,20)</f>
        <v/>
      </c>
      <c r="AC12" s="1633"/>
      <c r="AD12" s="1622"/>
      <c r="AE12" s="1623"/>
      <c r="AF12" s="1623"/>
      <c r="AG12" s="1624"/>
      <c r="AH12" s="1625"/>
      <c r="AI12" s="1614"/>
    </row>
    <row r="13" ht="20.25" customHeight="1">
      <c r="A13" s="1626"/>
      <c r="B13" s="1645"/>
      <c r="C13" s="1659"/>
      <c r="D13" s="1622"/>
      <c r="E13" s="1665" t="s">
        <v>499</v>
      </c>
      <c r="F13" s="1623"/>
      <c r="G13" s="1623"/>
      <c r="H13" s="1673" t="str">
        <f>IMAGE("https://raw.githubusercontent.com/msikma/pokesprite/master/misc/types/gen8/grass.png",4,20,20)</f>
        <v/>
      </c>
      <c r="I13" s="1634"/>
      <c r="J13" s="1665" t="s">
        <v>505</v>
      </c>
      <c r="K13" s="1623"/>
      <c r="L13" s="1623"/>
      <c r="M13" s="1673" t="str">
        <f>IMAGE("https://raw.githubusercontent.com/msikma/pokesprite/master/misc/types/gen8/ground.png",4,20,20)</f>
        <v/>
      </c>
      <c r="N13" s="1634"/>
      <c r="O13" s="1665" t="s">
        <v>808</v>
      </c>
      <c r="P13" s="1623"/>
      <c r="Q13" s="1623"/>
      <c r="R13" s="1673" t="str">
        <f>IMAGE("https://raw.githubusercontent.com/msikma/pokesprite/master/misc/types/gen8/bug.png",4,20,20)</f>
        <v/>
      </c>
      <c r="T13" s="1665" t="s">
        <v>809</v>
      </c>
      <c r="U13" s="1623"/>
      <c r="V13" s="1623"/>
      <c r="W13" s="1673" t="str">
        <f>IMAGE("https://raw.githubusercontent.com/msikma/pokesprite/master/misc/types/gen8/fighting.png",4,20,20)</f>
        <v/>
      </c>
      <c r="Y13" s="1665" t="s">
        <v>810</v>
      </c>
      <c r="Z13" s="1623"/>
      <c r="AA13" s="1623"/>
      <c r="AB13" s="1673" t="str">
        <f>IMAGE("https://raw.githubusercontent.com/msikma/pokesprite/master/misc/types/gen8/dark.png",4,20,20)</f>
        <v/>
      </c>
      <c r="AC13" s="1633"/>
      <c r="AD13" s="1622"/>
      <c r="AE13" s="1623"/>
      <c r="AF13" s="1623"/>
      <c r="AG13" s="1624"/>
      <c r="AH13" s="1625"/>
      <c r="AI13" s="1614"/>
    </row>
    <row r="14" ht="21.0" customHeight="1">
      <c r="A14" s="1626"/>
      <c r="B14" s="1645"/>
      <c r="C14" s="1659"/>
      <c r="D14" s="1622"/>
      <c r="E14" s="1674" t="s">
        <v>698</v>
      </c>
      <c r="F14" s="1675"/>
      <c r="G14" s="1675"/>
      <c r="H14" s="1676" t="str">
        <f>IMAGE("https://raw.githubusercontent.com/msikma/pokesprite/master/misc/types/gen8/normal.png",4,20,20)</f>
        <v/>
      </c>
      <c r="I14" s="1634"/>
      <c r="J14" s="1674" t="s">
        <v>698</v>
      </c>
      <c r="K14" s="1675"/>
      <c r="L14" s="1675"/>
      <c r="M14" s="1676" t="str">
        <f>IMAGE("https://raw.githubusercontent.com/msikma/pokesprite/master/misc/types/gen8/normal.png",4,20,20)</f>
        <v/>
      </c>
      <c r="N14" s="1634"/>
      <c r="O14" s="1674" t="s">
        <v>811</v>
      </c>
      <c r="P14" s="1675"/>
      <c r="Q14" s="1675"/>
      <c r="R14" s="1676" t="str">
        <f>IMAGE("https://raw.githubusercontent.com/msikma/pokesprite/master/misc/types/gen8/flying.png",4,20,20)</f>
        <v/>
      </c>
      <c r="S14" s="1631"/>
      <c r="T14" s="1674" t="s">
        <v>812</v>
      </c>
      <c r="U14" s="1675"/>
      <c r="V14" s="1675"/>
      <c r="W14" s="1676" t="str">
        <f>IMAGE("https://raw.githubusercontent.com/msikma/pokesprite/master/misc/types/gen8/dark.png",4,20,20)</f>
        <v/>
      </c>
      <c r="X14" s="1631"/>
      <c r="Y14" s="1674" t="s">
        <v>551</v>
      </c>
      <c r="Z14" s="1675"/>
      <c r="AA14" s="1675"/>
      <c r="AB14" s="1676" t="str">
        <f>IMAGE("https://raw.githubusercontent.com/msikma/pokesprite/master/misc/types/gen8/flying.png",4,20,20)</f>
        <v/>
      </c>
      <c r="AC14" s="1677"/>
      <c r="AD14" s="1622"/>
      <c r="AE14" s="1623"/>
      <c r="AF14" s="1623"/>
      <c r="AG14" s="1624"/>
      <c r="AH14" s="1625"/>
      <c r="AI14" s="1614"/>
    </row>
    <row r="15" ht="3.0" customHeight="1">
      <c r="A15" s="1653"/>
      <c r="B15" s="1678"/>
      <c r="C15" s="1679"/>
      <c r="D15" s="1680"/>
      <c r="E15" s="1681"/>
      <c r="F15" s="1681"/>
      <c r="G15" s="1681"/>
      <c r="H15" s="1681"/>
      <c r="I15" s="1680"/>
      <c r="J15" s="1681"/>
      <c r="K15" s="1681"/>
      <c r="L15" s="1681"/>
      <c r="M15" s="1681"/>
      <c r="N15" s="1680"/>
      <c r="O15" s="1681"/>
      <c r="P15" s="1681"/>
      <c r="Q15" s="1681"/>
      <c r="R15" s="1681"/>
      <c r="S15" s="1680"/>
      <c r="T15" s="1681"/>
      <c r="U15" s="1681"/>
      <c r="V15" s="1681"/>
      <c r="W15" s="1681"/>
      <c r="X15" s="1680"/>
      <c r="Y15" s="1681"/>
      <c r="Z15" s="1681"/>
      <c r="AA15" s="1681"/>
      <c r="AB15" s="1681"/>
      <c r="AC15" s="1682"/>
      <c r="AD15" s="1682"/>
      <c r="AE15" s="1682"/>
      <c r="AF15" s="1682"/>
      <c r="AG15" s="1682"/>
      <c r="AH15" s="1683"/>
      <c r="AI15" s="1684"/>
    </row>
    <row r="16" ht="16.5" customHeight="1">
      <c r="A16" s="1626"/>
      <c r="B16" s="1685"/>
      <c r="C16" s="1679"/>
      <c r="D16" s="1686"/>
      <c r="E16" s="1687" t="s">
        <v>512</v>
      </c>
      <c r="F16" s="606"/>
      <c r="G16" s="606"/>
      <c r="H16" s="607"/>
      <c r="I16" s="1686"/>
      <c r="J16" s="1687" t="s">
        <v>512</v>
      </c>
      <c r="K16" s="606"/>
      <c r="L16" s="606"/>
      <c r="M16" s="607"/>
      <c r="N16" s="1686"/>
      <c r="O16" s="1687" t="s">
        <v>512</v>
      </c>
      <c r="P16" s="606"/>
      <c r="Q16" s="606"/>
      <c r="R16" s="607"/>
      <c r="S16" s="1688"/>
      <c r="T16" s="1687" t="s">
        <v>512</v>
      </c>
      <c r="U16" s="606"/>
      <c r="V16" s="606"/>
      <c r="W16" s="607"/>
      <c r="X16" s="1689"/>
      <c r="Y16" s="1687" t="s">
        <v>512</v>
      </c>
      <c r="Z16" s="606"/>
      <c r="AA16" s="606"/>
      <c r="AB16" s="607"/>
      <c r="AC16" s="1690"/>
      <c r="AD16" s="1690"/>
      <c r="AE16" s="1690"/>
      <c r="AF16" s="1690"/>
      <c r="AG16" s="1690"/>
      <c r="AH16" s="1691"/>
      <c r="AI16" s="1692"/>
    </row>
    <row r="17" ht="16.5" customHeight="1">
      <c r="A17" s="1626"/>
      <c r="B17" s="1685"/>
      <c r="C17" s="1679"/>
      <c r="D17" s="1686"/>
      <c r="E17" s="1693" t="s">
        <v>513</v>
      </c>
      <c r="F17" s="1694">
        <f t="array" ref="F17">IFERROR(VLOOKUP(E4,Dex!$B$3:$N252,8,FALSE),"")</f>
        <v>55</v>
      </c>
      <c r="G17" s="1695" t="str">
        <f t="array" ref="G17">IFERROR(VLOOKUP(F17,Dex!$P$22:$Q$276,2,FALSE),"")</f>
        <v/>
      </c>
      <c r="H17" s="1696"/>
      <c r="I17" s="1686"/>
      <c r="J17" s="1693" t="s">
        <v>513</v>
      </c>
      <c r="K17" s="1694">
        <f t="array" ref="K17">IFERROR(VLOOKUP(J4,Dex!$B$3:$N252,8,FALSE),"")</f>
        <v>40</v>
      </c>
      <c r="L17" s="1695" t="str">
        <f t="array" ref="L17">IFERROR(VLOOKUP(K17,Dex!$P$22:$Q$276,2,FALSE),"")</f>
        <v/>
      </c>
      <c r="M17" s="1696"/>
      <c r="N17" s="1686"/>
      <c r="O17" s="1693" t="s">
        <v>513</v>
      </c>
      <c r="P17" s="1694">
        <f t="array" ref="P17">IFERROR(VLOOKUP(O4,Dex!$B$3:$N252,8,FALSE),"")</f>
        <v>65</v>
      </c>
      <c r="Q17" s="1697" t="str">
        <f t="array" ref="Q17">IFERROR(VLOOKUP(P17,Dex!$P$22:$Q$276,2,FALSE),"")</f>
        <v/>
      </c>
      <c r="R17" s="1698"/>
      <c r="S17" s="1699"/>
      <c r="T17" s="1693" t="s">
        <v>513</v>
      </c>
      <c r="U17" s="1694">
        <f t="array" ref="U17">IFERROR(VLOOKUP(T4,Dex!$B$3:$N252,8,FALSE),"")</f>
        <v>82</v>
      </c>
      <c r="V17" s="1695" t="str">
        <f t="array" ref="V17">IFERROR(VLOOKUP(U17,Dex!$P$22:$Q$276,2,FALSE),"")</f>
        <v/>
      </c>
      <c r="W17" s="1696"/>
      <c r="X17" s="1690"/>
      <c r="Y17" s="1693" t="s">
        <v>513</v>
      </c>
      <c r="Z17" s="1694">
        <f t="array" ref="Z17">IFERROR(VLOOKUP(Y4,Dex!$B$3:$N252,8,FALSE),"")</f>
        <v>52</v>
      </c>
      <c r="AA17" s="1695" t="str">
        <f t="array" ref="AA17">IFERROR(VLOOKUP(Z17,Dex!$P$22:$Q$276,2,FALSE),"")</f>
        <v/>
      </c>
      <c r="AB17" s="1696"/>
      <c r="AC17" s="1690"/>
      <c r="AD17" s="1690"/>
      <c r="AE17" s="1690"/>
      <c r="AF17" s="1690"/>
      <c r="AG17" s="1690"/>
      <c r="AH17" s="1691"/>
      <c r="AI17" s="1692"/>
    </row>
    <row r="18" ht="16.5" customHeight="1">
      <c r="A18" s="1626"/>
      <c r="B18" s="1685"/>
      <c r="C18" s="1679"/>
      <c r="D18" s="1686"/>
      <c r="E18" s="1700" t="s">
        <v>514</v>
      </c>
      <c r="F18" s="1701">
        <f t="array" ref="F18">IFERROR(VLOOKUP(E4,Dex!$B$3:$N252,9,FALSE),"")</f>
        <v>85</v>
      </c>
      <c r="G18" s="1702" t="str">
        <f t="array" ref="G18">IFERROR(VLOOKUP(F18,Dex!$P$22:$Q$276,2,FALSE),"")</f>
        <v/>
      </c>
      <c r="H18" s="1703"/>
      <c r="I18" s="1686"/>
      <c r="J18" s="1700" t="s">
        <v>514</v>
      </c>
      <c r="K18" s="1701">
        <f t="array" ref="K18">IFERROR(VLOOKUP(J4,Dex!$B$3:$N252,9,FALSE),"")</f>
        <v>40</v>
      </c>
      <c r="L18" s="1702" t="str">
        <f t="array" ref="L18">IFERROR(VLOOKUP(K18,Dex!$P$22:$Q$276,2,FALSE),"")</f>
        <v/>
      </c>
      <c r="M18" s="1703"/>
      <c r="N18" s="1686"/>
      <c r="O18" s="1700" t="s">
        <v>514</v>
      </c>
      <c r="P18" s="1701">
        <f t="array" ref="P18">IFERROR(VLOOKUP(O4,Dex!$B$3:$N252,9,FALSE),"")</f>
        <v>65</v>
      </c>
      <c r="Q18" s="1702" t="str">
        <f t="array" ref="Q18">IFERROR(VLOOKUP(P18,Dex!$P$22:$Q$276,2,FALSE),"")</f>
        <v/>
      </c>
      <c r="R18" s="1703"/>
      <c r="S18" s="1699"/>
      <c r="T18" s="1700" t="s">
        <v>514</v>
      </c>
      <c r="U18" s="1701">
        <f t="array" ref="U18">IFERROR(VLOOKUP(T4,Dex!$B$3:$N252,9,FALSE),"")</f>
        <v>96</v>
      </c>
      <c r="V18" s="1702" t="str">
        <f t="array" ref="V18">IFERROR(VLOOKUP(U18,Dex!$P$22:$Q$276,2,FALSE),"")</f>
        <v/>
      </c>
      <c r="W18" s="1703"/>
      <c r="X18" s="1690"/>
      <c r="Y18" s="1700" t="s">
        <v>514</v>
      </c>
      <c r="Z18" s="1701">
        <f t="array" ref="Z18">IFERROR(VLOOKUP(Y4,Dex!$B$3:$N252,9,FALSE),"")</f>
        <v>95</v>
      </c>
      <c r="AA18" s="1702" t="str">
        <f t="array" ref="AA18">IFERROR(VLOOKUP(Z18,Dex!$P$22:$Q$276,2,FALSE),"")</f>
        <v/>
      </c>
      <c r="AB18" s="1703"/>
      <c r="AC18" s="1690"/>
      <c r="AD18" s="1690"/>
      <c r="AE18" s="1690"/>
      <c r="AF18" s="1690"/>
      <c r="AG18" s="1690"/>
      <c r="AH18" s="1691"/>
      <c r="AI18" s="1692"/>
    </row>
    <row r="19" ht="16.5" customHeight="1">
      <c r="A19" s="1626"/>
      <c r="B19" s="1685"/>
      <c r="C19" s="1679"/>
      <c r="D19" s="1686"/>
      <c r="E19" s="1700" t="s">
        <v>515</v>
      </c>
      <c r="F19" s="1701">
        <f t="array" ref="F19">IFERROR(VLOOKUP(E4,Dex!$B$3:$N252,10,FALSE),"")</f>
        <v>50</v>
      </c>
      <c r="G19" s="1702" t="str">
        <f t="array" ref="G19">IFERROR(VLOOKUP(F19,Dex!$P$22:$Q$276,2,FALSE),"")</f>
        <v/>
      </c>
      <c r="H19" s="1703"/>
      <c r="I19" s="1686"/>
      <c r="J19" s="1700" t="s">
        <v>515</v>
      </c>
      <c r="K19" s="1701">
        <f t="array" ref="K19">IFERROR(VLOOKUP(J4,Dex!$B$3:$N252,10,FALSE),"")</f>
        <v>35</v>
      </c>
      <c r="L19" s="1702" t="str">
        <f t="array" ref="L19">IFERROR(VLOOKUP(K19,Dex!$P$22:$Q$276,2,FALSE),"")</f>
        <v/>
      </c>
      <c r="M19" s="1703"/>
      <c r="N19" s="1686"/>
      <c r="O19" s="1700" t="s">
        <v>515</v>
      </c>
      <c r="P19" s="1701">
        <f t="array" ref="P19">IFERROR(VLOOKUP(O4,Dex!$B$3:$N252,10,FALSE),"")</f>
        <v>45</v>
      </c>
      <c r="Q19" s="1702" t="str">
        <f t="array" ref="Q19">IFERROR(VLOOKUP(P19,Dex!$P$22:$Q$276,2,FALSE),"")</f>
        <v/>
      </c>
      <c r="R19" s="1703"/>
      <c r="S19" s="1699"/>
      <c r="T19" s="1700" t="s">
        <v>515</v>
      </c>
      <c r="U19" s="1701">
        <f t="array" ref="U19">IFERROR(VLOOKUP(T4,Dex!$B$3:$N252,10,FALSE),"")</f>
        <v>51</v>
      </c>
      <c r="V19" s="1702" t="str">
        <f t="array" ref="V19">IFERROR(VLOOKUP(U19,Dex!$P$22:$Q$276,2,FALSE),"")</f>
        <v/>
      </c>
      <c r="W19" s="1703"/>
      <c r="X19" s="1690"/>
      <c r="Y19" s="1700" t="s">
        <v>515</v>
      </c>
      <c r="Z19" s="1701">
        <f t="array" ref="Z19">IFERROR(VLOOKUP(Y4,Dex!$B$3:$N252,10,FALSE),"")</f>
        <v>55</v>
      </c>
      <c r="AA19" s="1702" t="str">
        <f t="array" ref="AA19">IFERROR(VLOOKUP(Z19,Dex!$P$22:$Q$276,2,FALSE),"")</f>
        <v/>
      </c>
      <c r="AB19" s="1703"/>
      <c r="AC19" s="1690"/>
      <c r="AD19" s="1690"/>
      <c r="AE19" s="1690"/>
      <c r="AF19" s="1690"/>
      <c r="AG19" s="1690"/>
      <c r="AH19" s="1691"/>
      <c r="AI19" s="1692"/>
    </row>
    <row r="20" ht="16.5" customHeight="1">
      <c r="A20" s="1626"/>
      <c r="B20" s="1685"/>
      <c r="C20" s="1679"/>
      <c r="D20" s="1686"/>
      <c r="E20" s="1700" t="s">
        <v>516</v>
      </c>
      <c r="F20" s="1701">
        <f t="array" ref="F20">IFERROR(VLOOKUP(E4,Dex!$B$3:$N252,11,FALSE),"")</f>
        <v>40</v>
      </c>
      <c r="G20" s="1702" t="str">
        <f t="array" ref="G20">IFERROR(VLOOKUP(F20,Dex!$P$22:$Q$276,2,FALSE),"")</f>
        <v/>
      </c>
      <c r="H20" s="1703"/>
      <c r="I20" s="1686"/>
      <c r="J20" s="1700" t="s">
        <v>516</v>
      </c>
      <c r="K20" s="1701">
        <f t="array" ref="K20">IFERROR(VLOOKUP(J4,Dex!$B$3:$N252,11,FALSE),"")</f>
        <v>55</v>
      </c>
      <c r="L20" s="1702" t="str">
        <f t="array" ref="L20">IFERROR(VLOOKUP(K20,Dex!$P$22:$Q$276,2,FALSE),"")</f>
        <v/>
      </c>
      <c r="M20" s="1703"/>
      <c r="N20" s="1686"/>
      <c r="O20" s="1700" t="s">
        <v>516</v>
      </c>
      <c r="P20" s="1701">
        <f t="array" ref="P20">IFERROR(VLOOKUP(O4,Dex!$B$3:$N252,11,FALSE),"")</f>
        <v>75</v>
      </c>
      <c r="Q20" s="1702" t="str">
        <f t="array" ref="Q20">IFERROR(VLOOKUP(P20,Dex!$P$22:$Q$276,2,FALSE),"")</f>
        <v/>
      </c>
      <c r="R20" s="1703"/>
      <c r="S20" s="1699"/>
      <c r="T20" s="1700" t="s">
        <v>516</v>
      </c>
      <c r="U20" s="1701">
        <f t="array" ref="U20">IFERROR(VLOOKUP(T4,Dex!$B$3:$N252,11,FALSE),"")</f>
        <v>45</v>
      </c>
      <c r="V20" s="1702" t="str">
        <f t="array" ref="V20">IFERROR(VLOOKUP(U20,Dex!$P$22:$Q$276,2,FALSE),"")</f>
        <v/>
      </c>
      <c r="W20" s="1703"/>
      <c r="X20" s="1690"/>
      <c r="Y20" s="1700" t="s">
        <v>516</v>
      </c>
      <c r="Z20" s="1701">
        <f t="array" ref="Z20">IFERROR(VLOOKUP(Y4,Dex!$B$3:$N252,11,FALSE),"")</f>
        <v>58</v>
      </c>
      <c r="AA20" s="1702" t="str">
        <f t="array" ref="AA20">IFERROR(VLOOKUP(Z20,Dex!$P$22:$Q$276,2,FALSE),"")</f>
        <v/>
      </c>
      <c r="AB20" s="1703"/>
      <c r="AC20" s="1690"/>
      <c r="AD20" s="1690"/>
      <c r="AE20" s="1690"/>
      <c r="AF20" s="1690"/>
      <c r="AG20" s="1690"/>
      <c r="AH20" s="1691"/>
      <c r="AI20" s="1692"/>
    </row>
    <row r="21" ht="16.5" customHeight="1">
      <c r="A21" s="1626"/>
      <c r="B21" s="1685"/>
      <c r="C21" s="1679"/>
      <c r="D21" s="1686"/>
      <c r="E21" s="1700" t="s">
        <v>517</v>
      </c>
      <c r="F21" s="1701">
        <f t="array" ref="F21">IFERROR(VLOOKUP(E4,Dex!$B$3:$N252,12,FALSE),"")</f>
        <v>50</v>
      </c>
      <c r="G21" s="1702" t="str">
        <f t="array" ref="G21">IFERROR(VLOOKUP(F21,Dex!$P$22:$Q$276,2,FALSE),"")</f>
        <v/>
      </c>
      <c r="H21" s="1703"/>
      <c r="I21" s="1686"/>
      <c r="J21" s="1700" t="s">
        <v>517</v>
      </c>
      <c r="K21" s="1701">
        <f t="array" ref="K21">IFERROR(VLOOKUP(J4,Dex!$B$3:$N252,12,FALSE),"")</f>
        <v>40</v>
      </c>
      <c r="L21" s="1702" t="str">
        <f t="array" ref="L21">IFERROR(VLOOKUP(K21,Dex!$P$22:$Q$276,2,FALSE),"")</f>
        <v/>
      </c>
      <c r="M21" s="1703"/>
      <c r="N21" s="1686"/>
      <c r="O21" s="1700" t="s">
        <v>517</v>
      </c>
      <c r="P21" s="1701">
        <f t="array" ref="P21">IFERROR(VLOOKUP(O4,Dex!$B$3:$N252,12,FALSE),"")</f>
        <v>45</v>
      </c>
      <c r="Q21" s="1702" t="str">
        <f t="array" ref="Q21">IFERROR(VLOOKUP(P21,Dex!$P$22:$Q$276,2,FALSE),"")</f>
        <v/>
      </c>
      <c r="R21" s="1703"/>
      <c r="S21" s="1699"/>
      <c r="T21" s="1700" t="s">
        <v>517</v>
      </c>
      <c r="U21" s="1701">
        <f t="array" ref="U21">IFERROR(VLOOKUP(T4,Dex!$B$3:$N252,12,FALSE),"")</f>
        <v>51</v>
      </c>
      <c r="V21" s="1702" t="str">
        <f t="array" ref="V21">IFERROR(VLOOKUP(U21,Dex!$P$22:$Q$276,2,FALSE),"")</f>
        <v/>
      </c>
      <c r="W21" s="1703"/>
      <c r="X21" s="1690"/>
      <c r="Y21" s="1700" t="s">
        <v>517</v>
      </c>
      <c r="Z21" s="1701">
        <f t="array" ref="Z21">IFERROR(VLOOKUP(Y4,Dex!$B$3:$N252,12,FALSE),"")</f>
        <v>62</v>
      </c>
      <c r="AA21" s="1702" t="str">
        <f t="array" ref="AA21">IFERROR(VLOOKUP(Z21,Dex!$P$22:$Q$276,2,FALSE),"")</f>
        <v/>
      </c>
      <c r="AB21" s="1703"/>
      <c r="AC21" s="1690"/>
      <c r="AD21" s="1690"/>
      <c r="AE21" s="1690"/>
      <c r="AF21" s="1690"/>
      <c r="AG21" s="1690"/>
      <c r="AH21" s="1691"/>
      <c r="AI21" s="1692"/>
    </row>
    <row r="22" ht="15.75" customHeight="1">
      <c r="A22" s="1626"/>
      <c r="B22" s="1685"/>
      <c r="C22" s="1426" t="s">
        <v>745</v>
      </c>
      <c r="D22" s="1686"/>
      <c r="E22" s="1704" t="s">
        <v>518</v>
      </c>
      <c r="F22" s="1705">
        <f t="array" ref="F22">IFERROR(VLOOKUP(E4,Dex!$B$3:$N252,13,FALSE),"")</f>
        <v>75</v>
      </c>
      <c r="G22" s="1706" t="str">
        <f t="array" ref="G22">IFERROR(VLOOKUP(F22,Dex!$P$22:$Q$276,2,FALSE),"")</f>
        <v/>
      </c>
      <c r="H22" s="1707"/>
      <c r="I22" s="1686"/>
      <c r="J22" s="1704" t="s">
        <v>518</v>
      </c>
      <c r="K22" s="1705">
        <f t="array" ref="K22">IFERROR(VLOOKUP(J4,Dex!$B$3:$N252,13,FALSE),"")</f>
        <v>70</v>
      </c>
      <c r="L22" s="1706" t="str">
        <f t="array" ref="L22">IFERROR(VLOOKUP(K22,Dex!$P$22:$Q$276,2,FALSE),"")</f>
        <v/>
      </c>
      <c r="M22" s="1707"/>
      <c r="N22" s="1686"/>
      <c r="O22" s="1704" t="s">
        <v>518</v>
      </c>
      <c r="P22" s="1705">
        <f t="array" ref="P22">IFERROR(VLOOKUP(O4,Dex!$B$3:$N252,13,FALSE),"")</f>
        <v>95</v>
      </c>
      <c r="Q22" s="1706" t="str">
        <f t="array" ref="Q22">IFERROR(VLOOKUP(P22,Dex!$P$22:$Q$276,2,FALSE),"")</f>
        <v/>
      </c>
      <c r="R22" s="1707"/>
      <c r="S22" s="1699"/>
      <c r="T22" s="1704" t="s">
        <v>518</v>
      </c>
      <c r="U22" s="1705">
        <f t="array" ref="U22">IFERROR(VLOOKUP(T4,Dex!$B$3:$N252,13,FALSE),"")</f>
        <v>92</v>
      </c>
      <c r="V22" s="1706" t="str">
        <f t="array" ref="V22">IFERROR(VLOOKUP(U22,Dex!$P$22:$Q$276,2,FALSE),"")</f>
        <v/>
      </c>
      <c r="W22" s="1707"/>
      <c r="X22" s="1690"/>
      <c r="Y22" s="1704" t="s">
        <v>518</v>
      </c>
      <c r="Z22" s="1705">
        <f t="array" ref="Z22">IFERROR(VLOOKUP(Y4,Dex!$B$3:$N252,13,FALSE),"")</f>
        <v>55</v>
      </c>
      <c r="AA22" s="1706" t="str">
        <f t="array" ref="AA22">IFERROR(VLOOKUP(Z22,Dex!$P$22:$Q$276,2,FALSE),"")</f>
        <v/>
      </c>
      <c r="AB22" s="1707"/>
      <c r="AC22" s="1690"/>
      <c r="AD22" s="1690"/>
      <c r="AE22" s="1690"/>
      <c r="AF22" s="1690"/>
      <c r="AG22" s="1690"/>
      <c r="AH22" s="1691"/>
      <c r="AI22" s="1692"/>
    </row>
    <row r="23" ht="16.5" customHeight="1">
      <c r="A23" s="1626"/>
      <c r="B23" s="1685"/>
      <c r="C23" s="1427" t="s">
        <v>813</v>
      </c>
      <c r="D23" s="1686"/>
      <c r="E23" s="1708" t="s">
        <v>519</v>
      </c>
      <c r="F23" s="630"/>
      <c r="G23" s="631"/>
      <c r="H23" s="632">
        <f>ROUNDDOWN((ROUNDDOWN(((((2*F22+31)*14)/100+5)),0))*1,0)</f>
        <v>30</v>
      </c>
      <c r="I23" s="1686"/>
      <c r="J23" s="1708" t="s">
        <v>519</v>
      </c>
      <c r="K23" s="630"/>
      <c r="L23" s="631"/>
      <c r="M23" s="632">
        <f>ROUNDDOWN((ROUNDDOWN(((((2*K22+31)*16)/100+5)),0))*1,0)</f>
        <v>32</v>
      </c>
      <c r="N23" s="1686"/>
      <c r="O23" s="1709" t="s">
        <v>519</v>
      </c>
      <c r="P23" s="635"/>
      <c r="Q23" s="636"/>
      <c r="R23" s="632">
        <f>ROUNDDOWN((ROUNDDOWN(((((2*P22+31)*13)/100+5)),0))*1,0)</f>
        <v>33</v>
      </c>
      <c r="S23" s="1688"/>
      <c r="T23" s="1708" t="s">
        <v>519</v>
      </c>
      <c r="U23" s="630"/>
      <c r="V23" s="631"/>
      <c r="W23" s="632">
        <f>ROUNDDOWN((ROUNDDOWN(((((2*U22+31)*14)/100+5)),0))*1,0)</f>
        <v>35</v>
      </c>
      <c r="X23" s="1689"/>
      <c r="Y23" s="1708" t="s">
        <v>519</v>
      </c>
      <c r="Z23" s="630"/>
      <c r="AA23" s="631"/>
      <c r="AB23" s="632">
        <f>ROUNDDOWN((ROUNDDOWN(((((2*Z22+31)*14)/100+5)),0))*1,0)</f>
        <v>24</v>
      </c>
      <c r="AC23" s="1690"/>
      <c r="AD23" s="1690"/>
      <c r="AE23" s="1690"/>
      <c r="AF23" s="1690"/>
      <c r="AG23" s="1690"/>
      <c r="AH23" s="1691"/>
      <c r="AI23" s="1692"/>
    </row>
    <row r="24" ht="16.5" customHeight="1">
      <c r="A24" s="1626"/>
      <c r="B24" s="1710"/>
      <c r="C24" s="1711"/>
      <c r="D24" s="1712"/>
      <c r="E24" s="1679"/>
      <c r="F24" s="1679"/>
      <c r="G24" s="1679"/>
      <c r="H24" s="1679"/>
      <c r="I24" s="1712"/>
      <c r="J24" s="1713"/>
      <c r="K24" s="1713"/>
      <c r="L24" s="1713"/>
      <c r="M24" s="1679"/>
      <c r="N24" s="1712"/>
      <c r="O24" s="1714" t="s">
        <v>814</v>
      </c>
      <c r="P24" s="643"/>
      <c r="Q24" s="644"/>
      <c r="R24" s="1715">
        <f>ROUNDDOWN(R23*1.5,0)</f>
        <v>49</v>
      </c>
      <c r="S24" s="1716"/>
      <c r="T24" s="1713"/>
      <c r="U24" s="1713"/>
      <c r="V24" s="1713"/>
      <c r="W24" s="1679"/>
      <c r="X24" s="1717"/>
      <c r="Y24" s="1714" t="s">
        <v>815</v>
      </c>
      <c r="Z24" s="643"/>
      <c r="AA24" s="644"/>
      <c r="AB24" s="1715">
        <f>ROUNDDOWN(AB23*1.5,0)</f>
        <v>36</v>
      </c>
      <c r="AC24" s="1717"/>
      <c r="AD24" s="1690"/>
      <c r="AE24" s="1690"/>
      <c r="AF24" s="1690"/>
      <c r="AG24" s="1690"/>
      <c r="AH24" s="1691"/>
      <c r="AI24" s="1692"/>
    </row>
    <row r="25" ht="15.0" customHeight="1">
      <c r="A25" s="1626"/>
      <c r="B25" s="1718"/>
      <c r="C25" s="1719"/>
      <c r="D25" s="1720"/>
      <c r="E25" s="1721"/>
      <c r="F25" s="1721"/>
      <c r="G25" s="1721"/>
      <c r="H25" s="1721"/>
      <c r="I25" s="1720"/>
      <c r="J25" s="1721"/>
      <c r="K25" s="1721"/>
      <c r="L25" s="1721"/>
      <c r="M25" s="1721"/>
      <c r="N25" s="1720"/>
      <c r="O25" s="1721"/>
      <c r="P25" s="1721"/>
      <c r="Q25" s="1721"/>
      <c r="R25" s="1721"/>
      <c r="S25" s="1721"/>
      <c r="T25" s="1721"/>
      <c r="U25" s="1721"/>
      <c r="V25" s="1721"/>
      <c r="W25" s="1721"/>
      <c r="X25" s="1721"/>
      <c r="Y25" s="1721"/>
      <c r="Z25" s="1721"/>
      <c r="AA25" s="1721"/>
      <c r="AB25" s="1721"/>
      <c r="AC25" s="1721"/>
      <c r="AD25" s="1721"/>
      <c r="AE25" s="1721"/>
      <c r="AF25" s="1721"/>
      <c r="AG25" s="1721"/>
      <c r="AH25" s="1722"/>
      <c r="AI25" s="1614"/>
    </row>
    <row r="26" ht="15.0" customHeight="1">
      <c r="A26" s="1626"/>
      <c r="B26" s="1723"/>
      <c r="C26" s="1724"/>
      <c r="D26" s="1725"/>
      <c r="E26" s="1725"/>
      <c r="F26" s="1725"/>
      <c r="G26" s="1725"/>
      <c r="H26" s="1725"/>
      <c r="I26" s="1725"/>
      <c r="J26" s="1725"/>
      <c r="K26" s="1725"/>
      <c r="L26" s="1725"/>
      <c r="M26" s="1725"/>
      <c r="N26" s="1725"/>
      <c r="O26" s="1725"/>
      <c r="P26" s="1725"/>
      <c r="Q26" s="1725"/>
      <c r="R26" s="1725"/>
      <c r="S26" s="1725"/>
      <c r="T26" s="1725"/>
      <c r="U26" s="1725"/>
      <c r="V26" s="1725"/>
      <c r="W26" s="1725"/>
      <c r="X26" s="1725"/>
      <c r="Y26" s="1725"/>
      <c r="Z26" s="1725"/>
      <c r="AA26" s="1725"/>
      <c r="AB26" s="1725"/>
      <c r="AC26" s="1725"/>
      <c r="AD26" s="1725"/>
      <c r="AE26" s="1725"/>
      <c r="AF26" s="1725"/>
      <c r="AG26" s="1726"/>
      <c r="AH26" s="1727"/>
      <c r="AI26" s="1614"/>
    </row>
    <row r="27">
      <c r="A27" s="1626"/>
      <c r="B27" s="1728"/>
      <c r="C27" s="1729"/>
      <c r="D27" s="1730"/>
      <c r="E27" s="1731" t="s">
        <v>816</v>
      </c>
      <c r="F27" s="1732"/>
      <c r="G27" s="1732"/>
      <c r="H27" s="1732"/>
      <c r="I27" s="1732"/>
      <c r="J27" s="1732"/>
      <c r="K27" s="1732"/>
      <c r="L27" s="1732"/>
      <c r="M27" s="1732"/>
      <c r="N27" s="1732"/>
      <c r="O27" s="1732"/>
      <c r="P27" s="1732"/>
      <c r="Q27" s="1732"/>
      <c r="R27" s="1732"/>
      <c r="S27" s="1732"/>
      <c r="T27" s="1732"/>
      <c r="U27" s="1732"/>
      <c r="V27" s="1732"/>
      <c r="W27" s="1732"/>
      <c r="X27" s="1732"/>
      <c r="Y27" s="1732"/>
      <c r="Z27" s="1732"/>
      <c r="AA27" s="1732"/>
      <c r="AB27" s="1732"/>
      <c r="AC27" s="1732"/>
      <c r="AD27" s="1732"/>
      <c r="AE27" s="1732"/>
      <c r="AF27" s="1732"/>
      <c r="AG27" s="1733"/>
      <c r="AH27" s="1734"/>
      <c r="AI27" s="1614"/>
    </row>
    <row r="28" ht="3.75" customHeight="1">
      <c r="A28" s="1626"/>
      <c r="B28" s="1728"/>
      <c r="C28" s="1735"/>
      <c r="D28" s="1736"/>
      <c r="E28" s="1737"/>
      <c r="F28" s="1737"/>
      <c r="G28" s="1737"/>
      <c r="H28" s="1737"/>
      <c r="I28" s="1737"/>
      <c r="J28" s="1737"/>
      <c r="K28" s="1737"/>
      <c r="L28" s="1737"/>
      <c r="M28" s="1737"/>
      <c r="N28" s="1737"/>
      <c r="O28" s="1737"/>
      <c r="P28" s="1737"/>
      <c r="Q28" s="1737"/>
      <c r="R28" s="1737"/>
      <c r="S28" s="1737"/>
      <c r="T28" s="1737"/>
      <c r="U28" s="1737"/>
      <c r="V28" s="1737"/>
      <c r="W28" s="1737"/>
      <c r="X28" s="1737"/>
      <c r="Y28" s="1737"/>
      <c r="Z28" s="1737"/>
      <c r="AA28" s="1737"/>
      <c r="AB28" s="1737"/>
      <c r="AC28" s="1737"/>
      <c r="AD28" s="1737"/>
      <c r="AE28" s="1737"/>
      <c r="AF28" s="1737"/>
      <c r="AG28" s="1737"/>
      <c r="AH28" s="1738"/>
      <c r="AI28" s="1614"/>
    </row>
    <row r="29" ht="16.5" customHeight="1">
      <c r="A29" s="1626"/>
      <c r="B29" s="1728"/>
      <c r="C29" s="1739"/>
      <c r="D29" s="1740"/>
      <c r="E29" s="1741" t="s">
        <v>817</v>
      </c>
      <c r="F29" s="1742"/>
      <c r="G29" s="1742"/>
      <c r="H29" s="1742"/>
      <c r="I29" s="1742"/>
      <c r="J29" s="1742"/>
      <c r="K29" s="1742"/>
      <c r="L29" s="1742"/>
      <c r="M29" s="1742"/>
      <c r="N29" s="1742"/>
      <c r="O29" s="1742"/>
      <c r="P29" s="1742"/>
      <c r="Q29" s="1742"/>
      <c r="R29" s="1742"/>
      <c r="S29" s="1742"/>
      <c r="T29" s="1742"/>
      <c r="U29" s="1742"/>
      <c r="V29" s="1742"/>
      <c r="W29" s="1743"/>
      <c r="X29" s="1740"/>
      <c r="Y29" s="1744"/>
      <c r="Z29" s="1744"/>
      <c r="AA29" s="1744"/>
      <c r="AB29" s="1744"/>
      <c r="AC29" s="1740"/>
      <c r="AD29" s="1744"/>
      <c r="AE29" s="1744"/>
      <c r="AF29" s="1744"/>
      <c r="AG29" s="1744"/>
      <c r="AH29" s="1738"/>
      <c r="AI29" s="1614"/>
    </row>
    <row r="30" ht="96.75" customHeight="1">
      <c r="A30" s="1626"/>
      <c r="B30" s="1745"/>
      <c r="C30" s="1746" t="str">
        <f>IMAGE("https://i.ibb.co/Lrh0bjy/Bugsy.png")</f>
        <v/>
      </c>
      <c r="D30" s="1747"/>
      <c r="E30" s="1748" t="str">
        <f t="array" ref="E30">IFERROR(VLOOKUP(E31,Dex!$B$3:$G252,3,FALSE),"")</f>
        <v/>
      </c>
      <c r="F30" s="539"/>
      <c r="G30" s="539"/>
      <c r="H30" s="540"/>
      <c r="I30" s="1749"/>
      <c r="J30" s="1748" t="str">
        <f t="array" ref="J30">IFERROR(VLOOKUP(J31,Dex!$B$3:$G252,3,FALSE),"")</f>
        <v/>
      </c>
      <c r="K30" s="539"/>
      <c r="L30" s="539"/>
      <c r="M30" s="540"/>
      <c r="N30" s="1749"/>
      <c r="O30" s="1748" t="str">
        <f t="array" ref="O30">IFERROR(VLOOKUP(O31,Dex!$B$3:$G252,3,FALSE),"")</f>
        <v/>
      </c>
      <c r="P30" s="539"/>
      <c r="Q30" s="539"/>
      <c r="R30" s="540"/>
      <c r="S30" s="1749"/>
      <c r="T30" s="1748" t="str">
        <f t="array" ref="T30">IFERROR(VLOOKUP(T31,Dex!$B$3:$G252,3,FALSE),"")</f>
        <v/>
      </c>
      <c r="U30" s="539"/>
      <c r="V30" s="539"/>
      <c r="W30" s="540"/>
      <c r="X30" s="1750"/>
      <c r="Y30" s="1748" t="str">
        <f t="array" ref="Y30">IFERROR(VLOOKUP(Y31,Dex!$B$3:$G252,3,FALSE),"")</f>
        <v/>
      </c>
      <c r="Z30" s="539"/>
      <c r="AA30" s="539"/>
      <c r="AB30" s="540"/>
      <c r="AC30" s="1750"/>
      <c r="AD30" s="1748" t="str">
        <f t="array" ref="AD30">IFERROR(VLOOKUP(AD31,Dex!$B$3:$G252,3,FALSE),"")</f>
        <v/>
      </c>
      <c r="AE30" s="539"/>
      <c r="AF30" s="539"/>
      <c r="AG30" s="540"/>
      <c r="AH30" s="1734"/>
      <c r="AI30" s="1614"/>
    </row>
    <row r="31" ht="18.75" customHeight="1">
      <c r="A31" s="1626"/>
      <c r="B31" s="1751"/>
      <c r="C31" s="1752" t="s">
        <v>818</v>
      </c>
      <c r="D31" s="1753"/>
      <c r="E31" s="1754" t="s">
        <v>819</v>
      </c>
      <c r="F31" s="1725"/>
      <c r="G31" s="1725"/>
      <c r="H31" s="1755"/>
      <c r="J31" s="1754" t="s">
        <v>820</v>
      </c>
      <c r="K31" s="1725"/>
      <c r="L31" s="1725"/>
      <c r="M31" s="1755"/>
      <c r="O31" s="1754" t="s">
        <v>821</v>
      </c>
      <c r="P31" s="1725"/>
      <c r="Q31" s="1725"/>
      <c r="R31" s="1755"/>
      <c r="T31" s="1754" t="s">
        <v>822</v>
      </c>
      <c r="U31" s="1725"/>
      <c r="V31" s="1725"/>
      <c r="W31" s="1755"/>
      <c r="Y31" s="1754" t="s">
        <v>823</v>
      </c>
      <c r="Z31" s="1725"/>
      <c r="AA31" s="1725"/>
      <c r="AB31" s="1755"/>
      <c r="AD31" s="1754" t="s">
        <v>824</v>
      </c>
      <c r="AE31" s="1725"/>
      <c r="AF31" s="1725"/>
      <c r="AG31" s="1755"/>
      <c r="AH31" s="1756"/>
      <c r="AI31" s="1636"/>
    </row>
    <row r="32">
      <c r="A32" s="1626"/>
      <c r="B32" s="1745"/>
      <c r="C32" s="1638"/>
      <c r="D32" s="1757"/>
      <c r="E32" s="1758" t="s">
        <v>729</v>
      </c>
      <c r="F32" s="1759"/>
      <c r="G32" s="1759"/>
      <c r="H32" s="1760"/>
      <c r="J32" s="1758" t="s">
        <v>729</v>
      </c>
      <c r="K32" s="1759"/>
      <c r="L32" s="1759"/>
      <c r="M32" s="1760"/>
      <c r="O32" s="1758" t="s">
        <v>729</v>
      </c>
      <c r="P32" s="1759"/>
      <c r="Q32" s="1759"/>
      <c r="R32" s="1760"/>
      <c r="T32" s="1758" t="s">
        <v>729</v>
      </c>
      <c r="U32" s="1759"/>
      <c r="V32" s="1759"/>
      <c r="W32" s="1760"/>
      <c r="Y32" s="1758" t="s">
        <v>729</v>
      </c>
      <c r="Z32" s="1759"/>
      <c r="AA32" s="1759"/>
      <c r="AB32" s="1760"/>
      <c r="AD32" s="1758" t="s">
        <v>729</v>
      </c>
      <c r="AE32" s="1759"/>
      <c r="AF32" s="1759"/>
      <c r="AG32" s="1760"/>
      <c r="AH32" s="1734"/>
      <c r="AI32" s="1614"/>
    </row>
    <row r="33" ht="25.5" customHeight="1">
      <c r="A33" s="1626"/>
      <c r="B33" s="1728"/>
      <c r="C33" s="1646"/>
      <c r="D33" s="1761"/>
      <c r="E33" s="1762"/>
      <c r="F33" s="1763" t="str">
        <f t="array" ref="F33">IFERROR(VLOOKUP(E31,Dex!$B$3:$H252,5,FALSE),"")</f>
        <v/>
      </c>
      <c r="G33" s="1764" t="str">
        <f t="array" ref="G33">IFERROR(VLOOKUP(E31,Dex!$B$3:$H252,7,FALSE),"")</f>
        <v/>
      </c>
      <c r="H33" s="1765"/>
      <c r="J33" s="1762"/>
      <c r="K33" s="1763" t="str">
        <f t="array" ref="K33">IFERROR(VLOOKUP(J31,Dex!$B$3:$H252,5,FALSE),"")</f>
        <v/>
      </c>
      <c r="L33" s="1764" t="str">
        <f t="array" ref="L33">IFERROR(VLOOKUP(J31,Dex!$B$3:$H252,7,FALSE),"")</f>
        <v/>
      </c>
      <c r="M33" s="1765"/>
      <c r="O33" s="1762"/>
      <c r="P33" s="1763" t="str">
        <f t="array" ref="P33">IFERROR(VLOOKUP(O31,Dex!$B$3:$H252,5,FALSE),"")</f>
        <v/>
      </c>
      <c r="Q33" s="1764" t="str">
        <f t="array" ref="Q33">IFERROR(VLOOKUP(O31,Dex!$B$3:$H252,7,FALSE),"")</f>
        <v/>
      </c>
      <c r="R33" s="1765"/>
      <c r="T33" s="1762"/>
      <c r="U33" s="1763" t="str">
        <f t="array" ref="U33">IFERROR(VLOOKUP(T31,Dex!$B$3:$H252,5,FALSE),"")</f>
        <v/>
      </c>
      <c r="V33" s="1764" t="str">
        <f t="array" ref="V33">IFERROR(VLOOKUP(T31,Dex!$B$3:$H252,7,FALSE),"")</f>
        <v/>
      </c>
      <c r="W33" s="1765"/>
      <c r="Y33" s="1762"/>
      <c r="Z33" s="1763" t="str">
        <f t="array" ref="Z33">IFERROR(VLOOKUP(Y31,Dex!$B$3:$H252,5,FALSE),"")</f>
        <v/>
      </c>
      <c r="AA33" s="1764" t="str">
        <f t="array" ref="AA33">IFERROR(VLOOKUP(Y31,Dex!$B$3:$H252,7,FALSE),"")</f>
        <v/>
      </c>
      <c r="AB33" s="1765"/>
      <c r="AD33" s="1762"/>
      <c r="AE33" s="1763" t="str">
        <f t="array" ref="AE33">IFERROR(VLOOKUP(AD31,Dex!$B$3:$H252,5,FALSE),"")</f>
        <v/>
      </c>
      <c r="AF33" s="1764" t="str">
        <f t="array" ref="AF33">IFERROR(VLOOKUP(AD31,Dex!$B$3:$H252,7,FALSE),"")</f>
        <v/>
      </c>
      <c r="AG33" s="1765"/>
      <c r="AH33" s="1738"/>
      <c r="AI33" s="1614"/>
    </row>
    <row r="34" ht="2.25" customHeight="1">
      <c r="A34" s="1626"/>
      <c r="B34" s="1728"/>
      <c r="C34" s="1766"/>
      <c r="D34" s="1767"/>
      <c r="E34" s="1768"/>
      <c r="F34" s="1769"/>
      <c r="G34" s="1769"/>
      <c r="H34" s="1770"/>
      <c r="J34" s="1768"/>
      <c r="K34" s="1769"/>
      <c r="L34" s="1769"/>
      <c r="M34" s="1770"/>
      <c r="O34" s="1768"/>
      <c r="P34" s="1769"/>
      <c r="Q34" s="1769"/>
      <c r="R34" s="1770"/>
      <c r="T34" s="1768"/>
      <c r="U34" s="1769"/>
      <c r="V34" s="1769"/>
      <c r="W34" s="1770"/>
      <c r="Y34" s="1768"/>
      <c r="Z34" s="1769"/>
      <c r="AA34" s="1769"/>
      <c r="AB34" s="1770"/>
      <c r="AD34" s="1768"/>
      <c r="AE34" s="1769"/>
      <c r="AF34" s="1769"/>
      <c r="AG34" s="1770"/>
      <c r="AH34" s="1738"/>
      <c r="AI34" s="1614"/>
    </row>
    <row r="35" ht="20.25" customHeight="1">
      <c r="A35" s="1626"/>
      <c r="B35" s="1728"/>
      <c r="C35" s="1729"/>
      <c r="D35" s="1730"/>
      <c r="E35" s="1771" t="s">
        <v>532</v>
      </c>
      <c r="F35" s="1772"/>
      <c r="G35" s="1772"/>
      <c r="H35" s="1773"/>
      <c r="J35" s="1771" t="s">
        <v>480</v>
      </c>
      <c r="K35" s="1772"/>
      <c r="L35" s="1772"/>
      <c r="M35" s="1773"/>
      <c r="O35" s="1771" t="s">
        <v>566</v>
      </c>
      <c r="P35" s="1772"/>
      <c r="Q35" s="1772"/>
      <c r="R35" s="1773"/>
      <c r="T35" s="1771" t="s">
        <v>532</v>
      </c>
      <c r="U35" s="1772"/>
      <c r="V35" s="1772"/>
      <c r="W35" s="1773"/>
      <c r="Y35" s="1771" t="s">
        <v>707</v>
      </c>
      <c r="Z35" s="1772"/>
      <c r="AA35" s="1772"/>
      <c r="AB35" s="1773"/>
      <c r="AD35" s="1771" t="s">
        <v>531</v>
      </c>
      <c r="AE35" s="1772"/>
      <c r="AF35" s="1772"/>
      <c r="AG35" s="1773"/>
      <c r="AH35" s="1734"/>
      <c r="AI35" s="1614"/>
    </row>
    <row r="36" ht="20.25" customHeight="1">
      <c r="A36" s="1626"/>
      <c r="B36" s="1728"/>
      <c r="C36" s="1729"/>
      <c r="D36" s="1730"/>
      <c r="E36" s="1774" t="s">
        <v>825</v>
      </c>
      <c r="F36" s="1759"/>
      <c r="G36" s="1759"/>
      <c r="H36" s="1760"/>
      <c r="J36" s="1774" t="s">
        <v>826</v>
      </c>
      <c r="K36" s="1759"/>
      <c r="L36" s="1759"/>
      <c r="M36" s="1760"/>
      <c r="O36" s="1774" t="s">
        <v>826</v>
      </c>
      <c r="P36" s="1759"/>
      <c r="Q36" s="1759"/>
      <c r="R36" s="1760"/>
      <c r="T36" s="1774" t="s">
        <v>827</v>
      </c>
      <c r="U36" s="1759"/>
      <c r="V36" s="1759"/>
      <c r="W36" s="1760"/>
      <c r="Y36" s="1774" t="s">
        <v>636</v>
      </c>
      <c r="Z36" s="1759"/>
      <c r="AA36" s="1759"/>
      <c r="AB36" s="1760"/>
      <c r="AD36" s="1774" t="s">
        <v>484</v>
      </c>
      <c r="AE36" s="1759"/>
      <c r="AF36" s="1759"/>
      <c r="AG36" s="1760"/>
      <c r="AH36" s="1734"/>
      <c r="AI36" s="1614"/>
    </row>
    <row r="37" ht="20.25" customHeight="1">
      <c r="A37" s="1608"/>
      <c r="B37" s="1728"/>
      <c r="C37" s="1766"/>
      <c r="D37" s="1730"/>
      <c r="E37" s="1775" t="s">
        <v>573</v>
      </c>
      <c r="F37" s="1742"/>
      <c r="G37" s="1743"/>
      <c r="H37" s="1776" t="str">
        <f>IMAGE("https://raw.githubusercontent.com/msikma/pokesprite/master/items/hold-item/focus-sash.png",3)</f>
        <v/>
      </c>
      <c r="J37" s="1775" t="s">
        <v>713</v>
      </c>
      <c r="K37" s="1742"/>
      <c r="L37" s="1743"/>
      <c r="M37" s="1776" t="str">
        <f>IMAGE("https://raw.githubusercontent.com/msikma/pokesprite/master/items/hold-item/assault-vest.png",3)</f>
        <v/>
      </c>
      <c r="O37" s="1775" t="s">
        <v>800</v>
      </c>
      <c r="P37" s="1742"/>
      <c r="Q37" s="1743"/>
      <c r="R37" s="1776" t="str">
        <f>IMAGE("https://raw.githubusercontent.com/msikma/pokesprite/master/items/hold-item/muscle-band.png",3)</f>
        <v/>
      </c>
      <c r="T37" s="1775" t="s">
        <v>828</v>
      </c>
      <c r="U37" s="1742"/>
      <c r="V37" s="1743"/>
      <c r="W37" s="1776" t="str">
        <f>IMAGE("https://raw.githubusercontent.com/msikma/pokesprite/master/items/hold-item/silver-powder.png",3)</f>
        <v/>
      </c>
      <c r="Y37" s="1775" t="s">
        <v>733</v>
      </c>
      <c r="Z37" s="1742"/>
      <c r="AA37" s="1743"/>
      <c r="AB37" s="1776" t="str">
        <f>IMAGE("https://raw.githubusercontent.com/msikma/pokesprite/master/items/hold-item/leftovers.png",3)</f>
        <v/>
      </c>
      <c r="AD37" s="1775" t="s">
        <v>829</v>
      </c>
      <c r="AE37" s="1742"/>
      <c r="AF37" s="1743"/>
      <c r="AG37" s="1776" t="str">
        <f>IMAGE("https://raw.githubusercontent.com/msikma/pokesprite/master/items/hold-item/magnet.png",3)</f>
        <v/>
      </c>
      <c r="AH37" s="1738"/>
      <c r="AI37" s="1614"/>
    </row>
    <row r="38" ht="20.25" customHeight="1">
      <c r="A38" s="1608"/>
      <c r="B38" s="1728"/>
      <c r="C38" s="1729"/>
      <c r="D38" s="1730"/>
      <c r="E38" s="1771" t="s">
        <v>830</v>
      </c>
      <c r="F38" s="1772"/>
      <c r="G38" s="1772"/>
      <c r="H38" s="1777" t="str">
        <f t="shared" ref="H38:H39" si="1">IMAGE("https://raw.githubusercontent.com/msikma/pokesprite/master/misc/types/gen8/bug.png",4,20,20)</f>
        <v/>
      </c>
      <c r="J38" s="1771" t="s">
        <v>831</v>
      </c>
      <c r="K38" s="1772"/>
      <c r="L38" s="1772"/>
      <c r="M38" s="1777" t="str">
        <f>IMAGE("https://raw.githubusercontent.com/msikma/pokesprite/master/misc/types/gen8/steel.png",4,20,20)</f>
        <v/>
      </c>
      <c r="O38" s="1771" t="s">
        <v>287</v>
      </c>
      <c r="P38" s="1772"/>
      <c r="Q38" s="1772"/>
      <c r="R38" s="1777" t="str">
        <f>IMAGE("https://raw.githubusercontent.com/msikma/pokesprite/master/misc/types/gen8/normal.png",4,20,20)</f>
        <v/>
      </c>
      <c r="T38" s="1771" t="s">
        <v>612</v>
      </c>
      <c r="U38" s="1772"/>
      <c r="V38" s="1772"/>
      <c r="W38" s="1777" t="str">
        <f t="shared" ref="W38:W39" si="2">IMAGE("https://raw.githubusercontent.com/msikma/pokesprite/master/misc/types/gen8/bug.png",4,20,20)</f>
        <v/>
      </c>
      <c r="Y38" s="1771" t="s">
        <v>832</v>
      </c>
      <c r="Z38" s="1772"/>
      <c r="AA38" s="1772"/>
      <c r="AB38" s="1777" t="str">
        <f>IMAGE("https://raw.githubusercontent.com/msikma/pokesprite/master/misc/types/gen8/bug.png",4,20,20)</f>
        <v/>
      </c>
      <c r="AD38" s="1771" t="s">
        <v>581</v>
      </c>
      <c r="AE38" s="1772"/>
      <c r="AF38" s="1772"/>
      <c r="AG38" s="1777" t="str">
        <f>IMAGE("https://raw.githubusercontent.com/msikma/pokesprite/master/misc/types/gen8/electric.png",4,20,20)</f>
        <v/>
      </c>
      <c r="AH38" s="1738"/>
      <c r="AI38" s="1614"/>
    </row>
    <row r="39" ht="20.25" customHeight="1">
      <c r="A39" s="1608"/>
      <c r="B39" s="1728"/>
      <c r="C39" s="1729"/>
      <c r="D39" s="1730"/>
      <c r="E39" s="1774" t="s">
        <v>612</v>
      </c>
      <c r="F39" s="1759"/>
      <c r="G39" s="1759"/>
      <c r="H39" s="1778" t="str">
        <f t="shared" si="1"/>
        <v/>
      </c>
      <c r="J39" s="1774" t="s">
        <v>802</v>
      </c>
      <c r="K39" s="1759"/>
      <c r="L39" s="1759"/>
      <c r="M39" s="1778" t="str">
        <f>IMAGE("https://raw.githubusercontent.com/msikma/pokesprite/master/misc/types/gen8/flying.png",4,20,20)</f>
        <v/>
      </c>
      <c r="O39" s="1774" t="s">
        <v>802</v>
      </c>
      <c r="P39" s="1759"/>
      <c r="Q39" s="1759"/>
      <c r="R39" s="1778" t="str">
        <f>IMAGE("https://raw.githubusercontent.com/msikma/pokesprite/master/misc/types/gen8/flying.png",4,20,20)</f>
        <v/>
      </c>
      <c r="T39" s="1774" t="s">
        <v>833</v>
      </c>
      <c r="U39" s="1759"/>
      <c r="V39" s="1759"/>
      <c r="W39" s="1778" t="str">
        <f t="shared" si="2"/>
        <v/>
      </c>
      <c r="Y39" s="1774" t="s">
        <v>760</v>
      </c>
      <c r="Z39" s="1759"/>
      <c r="AA39" s="1759"/>
      <c r="AB39" s="1778" t="str">
        <f>IMAGE("https://raw.githubusercontent.com/msikma/pokesprite/master/misc/types/gen8/water.png",4,20,20)</f>
        <v/>
      </c>
      <c r="AD39" s="1774" t="s">
        <v>789</v>
      </c>
      <c r="AE39" s="1759"/>
      <c r="AF39" s="1759"/>
      <c r="AG39" s="1778" t="str">
        <f>IMAGE("https://raw.githubusercontent.com/msikma/pokesprite/master/misc/types/gen8/bug.png",4,20,20)</f>
        <v/>
      </c>
      <c r="AH39" s="1738"/>
      <c r="AI39" s="1614"/>
    </row>
    <row r="40" ht="20.25" customHeight="1">
      <c r="A40" s="1626"/>
      <c r="B40" s="1728"/>
      <c r="C40" s="1729"/>
      <c r="D40" s="1730"/>
      <c r="E40" s="1774" t="s">
        <v>834</v>
      </c>
      <c r="F40" s="1759"/>
      <c r="G40" s="1759"/>
      <c r="H40" s="1778" t="str">
        <f>IMAGE("https://raw.githubusercontent.com/msikma/pokesprite/master/misc/types/gen8/rock.png",4,20,20)</f>
        <v/>
      </c>
      <c r="J40" s="1774" t="s">
        <v>612</v>
      </c>
      <c r="K40" s="1759"/>
      <c r="L40" s="1759"/>
      <c r="M40" s="1778" t="str">
        <f>IMAGE("https://raw.githubusercontent.com/msikma/pokesprite/master/misc/types/gen8/bug.png",4,20,20)</f>
        <v/>
      </c>
      <c r="O40" s="1774" t="s">
        <v>612</v>
      </c>
      <c r="P40" s="1759"/>
      <c r="Q40" s="1759"/>
      <c r="R40" s="1778" t="str">
        <f>IMAGE("https://raw.githubusercontent.com/msikma/pokesprite/master/misc/types/gen8/bug.png",4,20,20)</f>
        <v/>
      </c>
      <c r="T40" s="1774" t="s">
        <v>554</v>
      </c>
      <c r="U40" s="1759"/>
      <c r="V40" s="1759"/>
      <c r="W40" s="1778" t="str">
        <f t="shared" ref="W40:W41" si="3">IMAGE("https://raw.githubusercontent.com/msikma/pokesprite/master/misc/types/gen8/dark.png",4,20,20)</f>
        <v/>
      </c>
      <c r="Y40" s="1774" t="s">
        <v>184</v>
      </c>
      <c r="Z40" s="1759"/>
      <c r="AA40" s="1759"/>
      <c r="AB40" s="1778" t="str">
        <f>IMAGE("https://raw.githubusercontent.com/msikma/pokesprite/master/misc/types/gen8/normal.png",4,20,20)</f>
        <v/>
      </c>
      <c r="AD40" s="1774" t="s">
        <v>551</v>
      </c>
      <c r="AE40" s="1759"/>
      <c r="AF40" s="1759"/>
      <c r="AG40" s="1778" t="str">
        <f>IMAGE("https://raw.githubusercontent.com/msikma/pokesprite/master/misc/types/gen8/flying.png",4,20,20)</f>
        <v/>
      </c>
      <c r="AH40" s="1738"/>
      <c r="AI40" s="1614"/>
    </row>
    <row r="41" ht="21.0" customHeight="1">
      <c r="A41" s="1626"/>
      <c r="B41" s="1728"/>
      <c r="C41" s="1729"/>
      <c r="D41" s="1730"/>
      <c r="E41" s="1779" t="s">
        <v>835</v>
      </c>
      <c r="F41" s="1780"/>
      <c r="G41" s="1780"/>
      <c r="H41" s="1781" t="str">
        <f>IMAGE("https://raw.githubusercontent.com/msikma/pokesprite/master/misc/types/gen8/dark.png",4,20,20)</f>
        <v/>
      </c>
      <c r="I41" s="1725"/>
      <c r="J41" s="1779" t="s">
        <v>803</v>
      </c>
      <c r="K41" s="1780"/>
      <c r="L41" s="1780"/>
      <c r="M41" s="1781" t="str">
        <f>IMAGE("https://raw.githubusercontent.com/msikma/pokesprite/master/misc/types/gen8/fighting.png",4,20,20)</f>
        <v/>
      </c>
      <c r="N41" s="1782"/>
      <c r="O41" s="1779" t="s">
        <v>803</v>
      </c>
      <c r="P41" s="1780"/>
      <c r="Q41" s="1780"/>
      <c r="R41" s="1781" t="str">
        <f>IMAGE("https://raw.githubusercontent.com/msikma/pokesprite/master/misc/types/gen8/fighting.png",4,20,20)</f>
        <v/>
      </c>
      <c r="S41" s="1725"/>
      <c r="T41" s="1779" t="s">
        <v>579</v>
      </c>
      <c r="U41" s="1780"/>
      <c r="V41" s="1780"/>
      <c r="W41" s="1781" t="str">
        <f t="shared" si="3"/>
        <v/>
      </c>
      <c r="X41" s="1725"/>
      <c r="Y41" s="1779" t="s">
        <v>503</v>
      </c>
      <c r="Z41" s="1780"/>
      <c r="AA41" s="1780"/>
      <c r="AB41" s="1781" t="str">
        <f>IMAGE("https://raw.githubusercontent.com/msikma/pokesprite/master/misc/types/gen8/poison.png",4,20,20)</f>
        <v/>
      </c>
      <c r="AC41" s="1725"/>
      <c r="AD41" s="1779" t="s">
        <v>553</v>
      </c>
      <c r="AE41" s="1780"/>
      <c r="AF41" s="1780"/>
      <c r="AG41" s="1781" t="str">
        <f>Image("https://raw.githubusercontent.com/msikma/pokesprite/master/misc/types/gen8/grass.png")</f>
        <v/>
      </c>
      <c r="AH41" s="1738"/>
      <c r="AI41" s="1614"/>
    </row>
    <row r="42" ht="3.0" customHeight="1">
      <c r="A42" s="1626"/>
      <c r="B42" s="1783"/>
      <c r="C42" s="1784"/>
      <c r="D42" s="1785"/>
      <c r="E42" s="1786"/>
      <c r="F42" s="1786"/>
      <c r="G42" s="1786"/>
      <c r="H42" s="1786"/>
      <c r="I42" s="1785"/>
      <c r="J42" s="1786"/>
      <c r="K42" s="1786"/>
      <c r="L42" s="1786"/>
      <c r="M42" s="1786"/>
      <c r="N42" s="1787"/>
      <c r="O42" s="1786"/>
      <c r="P42" s="1786"/>
      <c r="Q42" s="1786"/>
      <c r="R42" s="1786"/>
      <c r="S42" s="1785"/>
      <c r="T42" s="1786"/>
      <c r="U42" s="1786"/>
      <c r="V42" s="1786"/>
      <c r="W42" s="1786"/>
      <c r="X42" s="1785"/>
      <c r="Y42" s="1786"/>
      <c r="Z42" s="1786"/>
      <c r="AA42" s="1786"/>
      <c r="AB42" s="1786"/>
      <c r="AC42" s="1788"/>
      <c r="AD42" s="1786"/>
      <c r="AE42" s="1786"/>
      <c r="AF42" s="1786"/>
      <c r="AG42" s="1786"/>
      <c r="AH42" s="1789"/>
      <c r="AI42" s="1684"/>
    </row>
    <row r="43" ht="16.5" customHeight="1">
      <c r="A43" s="1626"/>
      <c r="B43" s="1790"/>
      <c r="C43" s="1784"/>
      <c r="D43" s="1791"/>
      <c r="E43" s="1792" t="s">
        <v>512</v>
      </c>
      <c r="F43" s="606"/>
      <c r="G43" s="606"/>
      <c r="H43" s="607"/>
      <c r="I43" s="1793"/>
      <c r="J43" s="1792" t="s">
        <v>512</v>
      </c>
      <c r="K43" s="606"/>
      <c r="L43" s="606"/>
      <c r="M43" s="607"/>
      <c r="N43" s="1794"/>
      <c r="O43" s="1792" t="s">
        <v>512</v>
      </c>
      <c r="P43" s="606"/>
      <c r="Q43" s="606"/>
      <c r="R43" s="607"/>
      <c r="S43" s="1795"/>
      <c r="T43" s="1792" t="s">
        <v>512</v>
      </c>
      <c r="U43" s="606"/>
      <c r="V43" s="606"/>
      <c r="W43" s="607"/>
      <c r="X43" s="1796"/>
      <c r="Y43" s="1792" t="s">
        <v>512</v>
      </c>
      <c r="Z43" s="606"/>
      <c r="AA43" s="606"/>
      <c r="AB43" s="607"/>
      <c r="AC43" s="1797"/>
      <c r="AD43" s="1792" t="s">
        <v>512</v>
      </c>
      <c r="AE43" s="606"/>
      <c r="AF43" s="606"/>
      <c r="AG43" s="607"/>
      <c r="AH43" s="1798"/>
      <c r="AI43" s="1692"/>
    </row>
    <row r="44" ht="16.5" customHeight="1">
      <c r="A44" s="1626"/>
      <c r="B44" s="1790"/>
      <c r="C44" s="1784"/>
      <c r="D44" s="1791"/>
      <c r="E44" s="1799" t="s">
        <v>513</v>
      </c>
      <c r="F44" s="1800">
        <f t="array" ref="F44">IFERROR(VLOOKUP(E31,Dex!$B$3:$N252,8,FALSE),"")</f>
        <v>85</v>
      </c>
      <c r="G44" s="1801" t="str">
        <f t="array" ref="G44">IFERROR(VLOOKUP(F44,Dex!$P$22:$Q$276,2,FALSE),"")</f>
        <v/>
      </c>
      <c r="H44" s="1802"/>
      <c r="I44" s="1793"/>
      <c r="J44" s="1799" t="s">
        <v>513</v>
      </c>
      <c r="K44" s="1800">
        <f t="array" ref="K44">IFERROR(VLOOKUP(J31,Dex!$B$3:$N252,8,FALSE),"")</f>
        <v>70</v>
      </c>
      <c r="L44" s="1801" t="str">
        <f t="array" ref="L44">IFERROR(VLOOKUP(K44,Dex!$P$22:$Q$276,2,FALSE),"")</f>
        <v/>
      </c>
      <c r="M44" s="1802"/>
      <c r="N44" s="1794"/>
      <c r="O44" s="1799" t="s">
        <v>513</v>
      </c>
      <c r="P44" s="1800">
        <f t="array" ref="P44">IFERROR(VLOOKUP(O31,Dex!$B$3:$N252,8,FALSE),"")</f>
        <v>70</v>
      </c>
      <c r="Q44" s="1801" t="str">
        <f t="array" ref="Q44">IFERROR(VLOOKUP(P44,Dex!$P$22:$Q$276,2,FALSE),"")</f>
        <v/>
      </c>
      <c r="R44" s="1802"/>
      <c r="S44" s="1795"/>
      <c r="T44" s="1799" t="s">
        <v>513</v>
      </c>
      <c r="U44" s="1800">
        <f t="array" ref="U44">IFERROR(VLOOKUP(T31,Dex!$B$3:$N252,8,FALSE),"")</f>
        <v>71</v>
      </c>
      <c r="V44" s="1801" t="str">
        <f t="array" ref="V44">IFERROR(VLOOKUP(U44,Dex!$P$22:$Q$276,2,FALSE),"")</f>
        <v/>
      </c>
      <c r="W44" s="1802"/>
      <c r="X44" s="1803"/>
      <c r="Y44" s="1799" t="s">
        <v>513</v>
      </c>
      <c r="Z44" s="1800">
        <f t="array" ref="Z44">IFERROR(VLOOKUP(Y31,Dex!$B$3:$N252,8,FALSE),"")</f>
        <v>68</v>
      </c>
      <c r="AA44" s="1801" t="str">
        <f t="array" ref="AA44">IFERROR(VLOOKUP(Z44,Dex!$P$22:$Q$276,2,FALSE),"")</f>
        <v/>
      </c>
      <c r="AB44" s="1802"/>
      <c r="AC44" s="1804"/>
      <c r="AD44" s="1799" t="s">
        <v>513</v>
      </c>
      <c r="AE44" s="1800">
        <f t="array" ref="AE44">IFERROR(VLOOKUP(AD31,Dex!$B$3:$N252,8,FALSE),"")</f>
        <v>77</v>
      </c>
      <c r="AF44" s="1801" t="str">
        <f t="array" ref="AF44">IFERROR(VLOOKUP(AE44,Dex!$P$22:$Q$276,2,FALSE),"")</f>
        <v/>
      </c>
      <c r="AG44" s="1802"/>
      <c r="AH44" s="1798"/>
      <c r="AI44" s="1692"/>
    </row>
    <row r="45" ht="16.5" customHeight="1">
      <c r="A45" s="1626"/>
      <c r="B45" s="1790"/>
      <c r="C45" s="1784"/>
      <c r="D45" s="1791"/>
      <c r="E45" s="1805" t="s">
        <v>514</v>
      </c>
      <c r="F45" s="1806">
        <f t="array" ref="F45">IFERROR(VLOOKUP(E31,Dex!$B$3:$N252,9,FALSE),"")</f>
        <v>135</v>
      </c>
      <c r="G45" s="1807" t="str">
        <f t="array" ref="G45">IFERROR(VLOOKUP(F45,Dex!$P$22:$Q$276,2,FALSE),"")</f>
        <v/>
      </c>
      <c r="H45" s="1808"/>
      <c r="I45" s="1793"/>
      <c r="J45" s="1805" t="s">
        <v>514</v>
      </c>
      <c r="K45" s="1806">
        <f t="array" ref="K45">IFERROR(VLOOKUP(J31,Dex!$B$3:$N252,9,FALSE),"")</f>
        <v>130</v>
      </c>
      <c r="L45" s="1807" t="str">
        <f t="array" ref="L45">IFERROR(VLOOKUP(K45,Dex!$P$22:$Q$276,2,FALSE),"")</f>
        <v/>
      </c>
      <c r="M45" s="1808"/>
      <c r="N45" s="1794"/>
      <c r="O45" s="1805" t="s">
        <v>514</v>
      </c>
      <c r="P45" s="1806">
        <f t="array" ref="P45">IFERROR(VLOOKUP(O31,Dex!$B$3:$N252,9,FALSE),"")</f>
        <v>110</v>
      </c>
      <c r="Q45" s="1807" t="str">
        <f t="array" ref="Q45">IFERROR(VLOOKUP(P45,Dex!$P$22:$Q$276,2,FALSE),"")</f>
        <v/>
      </c>
      <c r="R45" s="1808"/>
      <c r="S45" s="1795"/>
      <c r="T45" s="1805" t="s">
        <v>514</v>
      </c>
      <c r="U45" s="1806">
        <f t="array" ref="U45">IFERROR(VLOOKUP(T31,Dex!$B$3:$N252,9,FALSE),"")</f>
        <v>102</v>
      </c>
      <c r="V45" s="1807" t="str">
        <f t="array" ref="V45">IFERROR(VLOOKUP(U45,Dex!$P$22:$Q$276,2,FALSE),"")</f>
        <v/>
      </c>
      <c r="W45" s="1808"/>
      <c r="X45" s="1803"/>
      <c r="Y45" s="1805" t="s">
        <v>514</v>
      </c>
      <c r="Z45" s="1806">
        <f t="array" ref="Z45">IFERROR(VLOOKUP(Y31,Dex!$B$3:$N252,9,FALSE),"")</f>
        <v>70</v>
      </c>
      <c r="AA45" s="1807" t="str">
        <f t="array" ref="AA45">IFERROR(VLOOKUP(Z45,Dex!$P$22:$Q$276,2,FALSE),"")</f>
        <v/>
      </c>
      <c r="AB45" s="1808"/>
      <c r="AC45" s="1804"/>
      <c r="AD45" s="1805" t="s">
        <v>514</v>
      </c>
      <c r="AE45" s="1806">
        <f t="array" ref="AE45">IFERROR(VLOOKUP(AD31,Dex!$B$3:$N252,9,FALSE),"")</f>
        <v>70</v>
      </c>
      <c r="AF45" s="1807" t="str">
        <f t="array" ref="AF45">IFERROR(VLOOKUP(AE45,Dex!$P$22:$Q$276,2,FALSE),"")</f>
        <v/>
      </c>
      <c r="AG45" s="1808"/>
      <c r="AH45" s="1798"/>
      <c r="AI45" s="1692"/>
    </row>
    <row r="46" ht="16.5" customHeight="1">
      <c r="A46" s="1626"/>
      <c r="B46" s="1790"/>
      <c r="C46" s="1784"/>
      <c r="D46" s="1791"/>
      <c r="E46" s="1805" t="s">
        <v>515</v>
      </c>
      <c r="F46" s="1806">
        <f t="array" ref="F46">IFERROR(VLOOKUP(E31,Dex!$B$3:$N252,10,FALSE),"")</f>
        <v>95</v>
      </c>
      <c r="G46" s="1807" t="str">
        <f t="array" ref="G46">IFERROR(VLOOKUP(F46,Dex!$P$22:$Q$276,2,FALSE),"")</f>
        <v/>
      </c>
      <c r="H46" s="1808"/>
      <c r="I46" s="1793"/>
      <c r="J46" s="1805" t="s">
        <v>515</v>
      </c>
      <c r="K46" s="1806">
        <f t="array" ref="K46">IFERROR(VLOOKUP(J31,Dex!$B$3:$N252,10,FALSE),"")</f>
        <v>100</v>
      </c>
      <c r="L46" s="1807" t="str">
        <f t="array" ref="L46">IFERROR(VLOOKUP(K46,Dex!$P$22:$Q$276,2,FALSE),"")</f>
        <v/>
      </c>
      <c r="M46" s="1808"/>
      <c r="N46" s="1794"/>
      <c r="O46" s="1805" t="s">
        <v>515</v>
      </c>
      <c r="P46" s="1806">
        <f t="array" ref="P46">IFERROR(VLOOKUP(O31,Dex!$B$3:$N252,10,FALSE),"")</f>
        <v>80</v>
      </c>
      <c r="Q46" s="1807" t="str">
        <f t="array" ref="Q46">IFERROR(VLOOKUP(P46,Dex!$P$22:$Q$276,2,FALSE),"")</f>
        <v/>
      </c>
      <c r="R46" s="1808"/>
      <c r="S46" s="1795"/>
      <c r="T46" s="1805" t="s">
        <v>515</v>
      </c>
      <c r="U46" s="1806">
        <f t="array" ref="U46">IFERROR(VLOOKUP(T31,Dex!$B$3:$N252,10,FALSE),"")</f>
        <v>78</v>
      </c>
      <c r="V46" s="1807" t="str">
        <f t="array" ref="V46">IFERROR(VLOOKUP(U46,Dex!$P$22:$Q$276,2,FALSE),"")</f>
        <v/>
      </c>
      <c r="W46" s="1808"/>
      <c r="X46" s="1803"/>
      <c r="Y46" s="1805" t="s">
        <v>515</v>
      </c>
      <c r="Z46" s="1806">
        <f t="array" ref="Z46">IFERROR(VLOOKUP(Y31,Dex!$B$3:$N252,10,FALSE),"")</f>
        <v>92</v>
      </c>
      <c r="AA46" s="1807" t="str">
        <f t="array" ref="AA46">IFERROR(VLOOKUP(Z46,Dex!$P$22:$Q$276,2,FALSE),"")</f>
        <v/>
      </c>
      <c r="AB46" s="1808"/>
      <c r="AC46" s="1804"/>
      <c r="AD46" s="1805" t="s">
        <v>515</v>
      </c>
      <c r="AE46" s="1806">
        <f t="array" ref="AE46">IFERROR(VLOOKUP(AD31,Dex!$B$3:$N252,10,FALSE),"")</f>
        <v>90</v>
      </c>
      <c r="AF46" s="1807" t="str">
        <f t="array" ref="AF46">IFERROR(VLOOKUP(AE46,Dex!$P$22:$Q$276,2,FALSE),"")</f>
        <v/>
      </c>
      <c r="AG46" s="1808"/>
      <c r="AH46" s="1798"/>
      <c r="AI46" s="1692"/>
    </row>
    <row r="47" ht="16.5" customHeight="1">
      <c r="A47" s="1626"/>
      <c r="B47" s="1790"/>
      <c r="C47" s="1784"/>
      <c r="D47" s="1791"/>
      <c r="E47" s="1805" t="s">
        <v>516</v>
      </c>
      <c r="F47" s="1806">
        <f t="array" ref="F47">IFERROR(VLOOKUP(E31,Dex!$B$3:$N252,11,FALSE),"")</f>
        <v>30</v>
      </c>
      <c r="G47" s="1807" t="str">
        <f t="array" ref="G47">IFERROR(VLOOKUP(F47,Dex!$P$22:$Q$276,2,FALSE),"")</f>
        <v/>
      </c>
      <c r="H47" s="1808"/>
      <c r="I47" s="1793"/>
      <c r="J47" s="1805" t="s">
        <v>516</v>
      </c>
      <c r="K47" s="1806">
        <f t="array" ref="K47">IFERROR(VLOOKUP(J31,Dex!$B$3:$N252,11,FALSE),"")</f>
        <v>55</v>
      </c>
      <c r="L47" s="1807" t="str">
        <f t="array" ref="L47">IFERROR(VLOOKUP(K47,Dex!$P$22:$Q$276,2,FALSE),"")</f>
        <v/>
      </c>
      <c r="M47" s="1808"/>
      <c r="N47" s="1794"/>
      <c r="O47" s="1805" t="s">
        <v>516</v>
      </c>
      <c r="P47" s="1806">
        <f t="array" ref="P47">IFERROR(VLOOKUP(O31,Dex!$B$3:$N252,11,FALSE),"")</f>
        <v>55</v>
      </c>
      <c r="Q47" s="1807" t="str">
        <f t="array" ref="Q47">IFERROR(VLOOKUP(P47,Dex!$P$22:$Q$276,2,FALSE),"")</f>
        <v/>
      </c>
      <c r="R47" s="1808"/>
      <c r="S47" s="1795"/>
      <c r="T47" s="1805" t="s">
        <v>516</v>
      </c>
      <c r="U47" s="1806">
        <f t="array" ref="U47">IFERROR(VLOOKUP(T31,Dex!$B$3:$N252,11,FALSE),"")</f>
        <v>52</v>
      </c>
      <c r="V47" s="1807" t="str">
        <f t="array" ref="V47">IFERROR(VLOOKUP(U47,Dex!$P$22:$Q$276,2,FALSE),"")</f>
        <v/>
      </c>
      <c r="W47" s="1808"/>
      <c r="X47" s="1803"/>
      <c r="Y47" s="1805" t="s">
        <v>516</v>
      </c>
      <c r="Z47" s="1806">
        <f t="array" ref="Z47">IFERROR(VLOOKUP(Y31,Dex!$B$3:$N252,11,FALSE),"")</f>
        <v>50</v>
      </c>
      <c r="AA47" s="1807" t="str">
        <f t="array" ref="AA47">IFERROR(VLOOKUP(Z47,Dex!$P$22:$Q$276,2,FALSE),"")</f>
        <v/>
      </c>
      <c r="AB47" s="1808"/>
      <c r="AC47" s="1804"/>
      <c r="AD47" s="1805" t="s">
        <v>516</v>
      </c>
      <c r="AE47" s="1806">
        <f t="array" ref="AE47">IFERROR(VLOOKUP(AD31,Dex!$B$3:$N252,11,FALSE),"")</f>
        <v>145</v>
      </c>
      <c r="AF47" s="1807" t="str">
        <f t="array" ref="AF47">IFERROR(VLOOKUP(AE47,Dex!$P$22:$Q$276,2,FALSE),"")</f>
        <v/>
      </c>
      <c r="AG47" s="1808"/>
      <c r="AH47" s="1798"/>
      <c r="AI47" s="1692"/>
    </row>
    <row r="48" ht="16.5" customHeight="1">
      <c r="A48" s="1626"/>
      <c r="B48" s="1790"/>
      <c r="C48" s="1784"/>
      <c r="D48" s="1791"/>
      <c r="E48" s="1805" t="s">
        <v>517</v>
      </c>
      <c r="F48" s="1806">
        <f t="array" ref="F48">IFERROR(VLOOKUP(E31,Dex!$B$3:$N252,12,FALSE),"")</f>
        <v>70</v>
      </c>
      <c r="G48" s="1807" t="str">
        <f t="array" ref="G48">IFERROR(VLOOKUP(F48,Dex!$P$22:$Q$276,2,FALSE),"")</f>
        <v/>
      </c>
      <c r="H48" s="1808"/>
      <c r="I48" s="1793"/>
      <c r="J48" s="1805" t="s">
        <v>517</v>
      </c>
      <c r="K48" s="1806">
        <f t="array" ref="K48">IFERROR(VLOOKUP(J31,Dex!$B$3:$N252,12,FALSE),"")</f>
        <v>80</v>
      </c>
      <c r="L48" s="1807" t="str">
        <f t="array" ref="L48">IFERROR(VLOOKUP(K48,Dex!$P$22:$Q$276,2,FALSE),"")</f>
        <v/>
      </c>
      <c r="M48" s="1808"/>
      <c r="N48" s="1794"/>
      <c r="O48" s="1805" t="s">
        <v>517</v>
      </c>
      <c r="P48" s="1806">
        <f t="array" ref="P48">IFERROR(VLOOKUP(O31,Dex!$B$3:$N252,12,FALSE),"")</f>
        <v>80</v>
      </c>
      <c r="Q48" s="1807" t="str">
        <f t="array" ref="Q48">IFERROR(VLOOKUP(P48,Dex!$P$22:$Q$276,2,FALSE),"")</f>
        <v/>
      </c>
      <c r="R48" s="1808"/>
      <c r="S48" s="1795"/>
      <c r="T48" s="1805" t="s">
        <v>517</v>
      </c>
      <c r="U48" s="1806">
        <f t="array" ref="U48">IFERROR(VLOOKUP(T31,Dex!$B$3:$N252,12,FALSE),"")</f>
        <v>55</v>
      </c>
      <c r="V48" s="1807" t="str">
        <f t="array" ref="V48">IFERROR(VLOOKUP(U48,Dex!$P$22:$Q$276,2,FALSE),"")</f>
        <v/>
      </c>
      <c r="W48" s="1808"/>
      <c r="X48" s="1803"/>
      <c r="Y48" s="1805" t="s">
        <v>517</v>
      </c>
      <c r="Z48" s="1806">
        <f t="array" ref="Z48">IFERROR(VLOOKUP(Y31,Dex!$B$3:$N252,12,FALSE),"")</f>
        <v>132</v>
      </c>
      <c r="AA48" s="1807" t="str">
        <f t="array" ref="AA48">IFERROR(VLOOKUP(Z48,Dex!$P$22:$Q$276,2,FALSE),"")</f>
        <v/>
      </c>
      <c r="AB48" s="1808"/>
      <c r="AC48" s="1804"/>
      <c r="AD48" s="1805" t="s">
        <v>517</v>
      </c>
      <c r="AE48" s="1806">
        <f t="array" ref="AE48">IFERROR(VLOOKUP(AD31,Dex!$B$3:$N252,12,FALSE),"")</f>
        <v>75</v>
      </c>
      <c r="AF48" s="1807" t="str">
        <f t="array" ref="AF48">IFERROR(VLOOKUP(AE48,Dex!$P$22:$Q$276,2,FALSE),"")</f>
        <v/>
      </c>
      <c r="AG48" s="1808"/>
      <c r="AH48" s="1798"/>
      <c r="AI48" s="1692"/>
    </row>
    <row r="49" ht="15.75" customHeight="1">
      <c r="A49" s="1626"/>
      <c r="B49" s="1790"/>
      <c r="C49" s="1426" t="s">
        <v>745</v>
      </c>
      <c r="D49" s="1791"/>
      <c r="E49" s="1809" t="s">
        <v>518</v>
      </c>
      <c r="F49" s="1810">
        <f t="array" ref="F49">IFERROR(VLOOKUP(E31,Dex!$B$3:$N252,13,FALSE),"")</f>
        <v>85</v>
      </c>
      <c r="G49" s="1811" t="str">
        <f t="array" ref="G49">IFERROR(VLOOKUP(F49,Dex!$P$22:$Q$276,2,FALSE),"")</f>
        <v/>
      </c>
      <c r="H49" s="1812"/>
      <c r="I49" s="1793"/>
      <c r="J49" s="1809" t="s">
        <v>518</v>
      </c>
      <c r="K49" s="1810">
        <f t="array" ref="K49">IFERROR(VLOOKUP(J31,Dex!$B$3:$N252,13,FALSE),"")</f>
        <v>65</v>
      </c>
      <c r="L49" s="1811" t="str">
        <f t="array" ref="L49">IFERROR(VLOOKUP(K49,Dex!$P$22:$Q$276,2,FALSE),"")</f>
        <v/>
      </c>
      <c r="M49" s="1812"/>
      <c r="N49" s="1794"/>
      <c r="O49" s="1809" t="s">
        <v>518</v>
      </c>
      <c r="P49" s="1810">
        <f t="array" ref="P49">IFERROR(VLOOKUP(O31,Dex!$B$3:$N252,13,FALSE),"")</f>
        <v>105</v>
      </c>
      <c r="Q49" s="1811" t="str">
        <f t="array" ref="Q49">IFERROR(VLOOKUP(P49,Dex!$P$22:$Q$276,2,FALSE),"")</f>
        <v/>
      </c>
      <c r="R49" s="1812"/>
      <c r="S49" s="1795"/>
      <c r="T49" s="1809" t="s">
        <v>518</v>
      </c>
      <c r="U49" s="1810">
        <f t="array" ref="U49">IFERROR(VLOOKUP(T31,Dex!$B$3:$N252,13,FALSE),"")</f>
        <v>92</v>
      </c>
      <c r="V49" s="1811" t="str">
        <f t="array" ref="V49">IFERROR(VLOOKUP(U49,Dex!$P$22:$Q$276,2,FALSE),"")</f>
        <v/>
      </c>
      <c r="W49" s="1812"/>
      <c r="X49" s="1803"/>
      <c r="Y49" s="1809" t="s">
        <v>518</v>
      </c>
      <c r="Z49" s="1810">
        <f t="array" ref="Z49">IFERROR(VLOOKUP(Y31,Dex!$B$3:$N252,13,FALSE),"")</f>
        <v>42</v>
      </c>
      <c r="AA49" s="1811" t="str">
        <f t="array" ref="AA49">IFERROR(VLOOKUP(Z49,Dex!$P$22:$Q$276,2,FALSE),"")</f>
        <v/>
      </c>
      <c r="AB49" s="1812"/>
      <c r="AC49" s="1804"/>
      <c r="AD49" s="1809" t="s">
        <v>518</v>
      </c>
      <c r="AE49" s="1810">
        <f t="array" ref="AE49">IFERROR(VLOOKUP(AD31,Dex!$B$3:$N252,13,FALSE),"")</f>
        <v>43</v>
      </c>
      <c r="AF49" s="1811" t="str">
        <f t="array" ref="AF49">IFERROR(VLOOKUP(AE49,Dex!$P$22:$Q$276,2,FALSE),"")</f>
        <v/>
      </c>
      <c r="AG49" s="1812"/>
      <c r="AH49" s="1798"/>
      <c r="AI49" s="1692"/>
    </row>
    <row r="50" ht="16.5" customHeight="1">
      <c r="A50" s="1626"/>
      <c r="B50" s="1790"/>
      <c r="C50" s="1427" t="s">
        <v>836</v>
      </c>
      <c r="D50" s="1791"/>
      <c r="E50" s="1813" t="s">
        <v>519</v>
      </c>
      <c r="F50" s="630"/>
      <c r="G50" s="631"/>
      <c r="H50" s="632">
        <f>ROUNDDOWN((ROUNDDOWN(((((2*F49+31)*28)/100+5)),0))*1.1,0)</f>
        <v>67</v>
      </c>
      <c r="I50" s="1793"/>
      <c r="J50" s="1813" t="s">
        <v>519</v>
      </c>
      <c r="K50" s="630"/>
      <c r="L50" s="631"/>
      <c r="M50" s="632">
        <f>ROUNDDOWN((ROUNDDOWN(((((2*K49+31)*28)/100+5)),0))*1,0)</f>
        <v>50</v>
      </c>
      <c r="N50" s="1794"/>
      <c r="O50" s="1813" t="s">
        <v>519</v>
      </c>
      <c r="P50" s="630"/>
      <c r="Q50" s="631"/>
      <c r="R50" s="632">
        <f>ROUNDDOWN((ROUNDDOWN(((((2*P49+31)*28)/100+5)),0))*1,0)</f>
        <v>72</v>
      </c>
      <c r="S50" s="1795"/>
      <c r="T50" s="1813" t="s">
        <v>519</v>
      </c>
      <c r="U50" s="630"/>
      <c r="V50" s="631"/>
      <c r="W50" s="632">
        <f>ROUNDDOWN((ROUNDDOWN(((((2*U49+31)*28)/100+5)),0))*1.1,0)</f>
        <v>71</v>
      </c>
      <c r="X50" s="1796"/>
      <c r="Y50" s="1813" t="s">
        <v>519</v>
      </c>
      <c r="Z50" s="630"/>
      <c r="AA50" s="631"/>
      <c r="AB50" s="632">
        <f>ROUNDDOWN((ROUNDDOWN(((((2*Z49+31)*28)/100+5)),0))*1,0)</f>
        <v>37</v>
      </c>
      <c r="AC50" s="1797"/>
      <c r="AD50" s="1813" t="s">
        <v>519</v>
      </c>
      <c r="AE50" s="630"/>
      <c r="AF50" s="631"/>
      <c r="AG50" s="632">
        <f>ROUNDDOWN((ROUNDDOWN(((((2*AE49+31)*28)/100+5)),0))*1,0)</f>
        <v>37</v>
      </c>
      <c r="AH50" s="1798"/>
      <c r="AI50" s="1692"/>
    </row>
    <row r="51" ht="11.25" customHeight="1">
      <c r="A51" s="1626"/>
      <c r="B51" s="1728"/>
      <c r="C51" s="1735"/>
      <c r="D51" s="1736"/>
      <c r="E51" s="1814"/>
      <c r="F51" s="1814"/>
      <c r="G51" s="1814"/>
      <c r="H51" s="1814"/>
      <c r="I51" s="1815"/>
      <c r="J51" s="1816"/>
      <c r="K51" s="1816"/>
      <c r="L51" s="1816"/>
      <c r="M51" s="1814"/>
      <c r="N51" s="1814"/>
      <c r="O51" s="1816"/>
      <c r="P51" s="1816"/>
      <c r="Q51" s="1816"/>
      <c r="R51" s="1814"/>
      <c r="S51" s="1815"/>
      <c r="T51" s="1816"/>
      <c r="U51" s="1816"/>
      <c r="V51" s="1816"/>
      <c r="W51" s="1814"/>
      <c r="X51" s="1816"/>
      <c r="Y51" s="1816"/>
      <c r="Z51" s="1816"/>
      <c r="AA51" s="1816"/>
      <c r="AB51" s="1816"/>
      <c r="AC51" s="1816"/>
      <c r="AD51" s="1816"/>
      <c r="AE51" s="1816"/>
      <c r="AF51" s="1816"/>
      <c r="AG51" s="1816"/>
      <c r="AH51" s="1727"/>
      <c r="AI51" s="1614"/>
    </row>
    <row r="52">
      <c r="A52" s="1626"/>
      <c r="B52" s="1728"/>
      <c r="C52" s="1729"/>
      <c r="D52" s="1730"/>
      <c r="E52" s="1731" t="s">
        <v>837</v>
      </c>
      <c r="F52" s="1732"/>
      <c r="G52" s="1732"/>
      <c r="H52" s="1732"/>
      <c r="I52" s="1732"/>
      <c r="J52" s="1732"/>
      <c r="K52" s="1732"/>
      <c r="L52" s="1732"/>
      <c r="M52" s="1732"/>
      <c r="N52" s="1732"/>
      <c r="O52" s="1732"/>
      <c r="P52" s="1732"/>
      <c r="Q52" s="1732"/>
      <c r="R52" s="1732"/>
      <c r="S52" s="1732"/>
      <c r="T52" s="1732"/>
      <c r="U52" s="1732"/>
      <c r="V52" s="1732"/>
      <c r="W52" s="1732"/>
      <c r="X52" s="1732"/>
      <c r="Y52" s="1732"/>
      <c r="Z52" s="1732"/>
      <c r="AA52" s="1732"/>
      <c r="AB52" s="1732"/>
      <c r="AC52" s="1732"/>
      <c r="AD52" s="1732"/>
      <c r="AE52" s="1732"/>
      <c r="AF52" s="1732"/>
      <c r="AG52" s="1733"/>
      <c r="AH52" s="1734"/>
      <c r="AI52" s="1614"/>
    </row>
    <row r="53" ht="3.75" customHeight="1">
      <c r="A53" s="1626"/>
      <c r="B53" s="1728"/>
      <c r="C53" s="1735"/>
      <c r="D53" s="1736"/>
      <c r="E53" s="1737"/>
      <c r="F53" s="1737"/>
      <c r="G53" s="1737"/>
      <c r="H53" s="1737"/>
      <c r="I53" s="1737"/>
      <c r="J53" s="1737"/>
      <c r="K53" s="1737"/>
      <c r="L53" s="1737"/>
      <c r="M53" s="1737"/>
      <c r="N53" s="1737"/>
      <c r="O53" s="1737"/>
      <c r="P53" s="1737"/>
      <c r="Q53" s="1737"/>
      <c r="R53" s="1737"/>
      <c r="S53" s="1737"/>
      <c r="T53" s="1737"/>
      <c r="U53" s="1737"/>
      <c r="V53" s="1737"/>
      <c r="W53" s="1737"/>
      <c r="X53" s="1737"/>
      <c r="Y53" s="1737"/>
      <c r="Z53" s="1737"/>
      <c r="AA53" s="1737"/>
      <c r="AB53" s="1737"/>
      <c r="AC53" s="1737"/>
      <c r="AD53" s="1737"/>
      <c r="AE53" s="1737"/>
      <c r="AF53" s="1737"/>
      <c r="AG53" s="1737"/>
      <c r="AH53" s="1738"/>
      <c r="AI53" s="1614"/>
    </row>
    <row r="54" ht="16.5" customHeight="1">
      <c r="A54" s="1626"/>
      <c r="B54" s="1728"/>
      <c r="C54" s="1739"/>
      <c r="D54" s="1740"/>
      <c r="E54" s="1741" t="s">
        <v>838</v>
      </c>
      <c r="F54" s="1742"/>
      <c r="G54" s="1742"/>
      <c r="H54" s="1742"/>
      <c r="I54" s="1742"/>
      <c r="J54" s="1742"/>
      <c r="K54" s="1742"/>
      <c r="L54" s="1742"/>
      <c r="M54" s="1742"/>
      <c r="N54" s="1742"/>
      <c r="O54" s="1742"/>
      <c r="P54" s="1742"/>
      <c r="Q54" s="1742"/>
      <c r="R54" s="1742"/>
      <c r="S54" s="1742"/>
      <c r="T54" s="1742"/>
      <c r="U54" s="1742"/>
      <c r="V54" s="1742"/>
      <c r="W54" s="1743"/>
      <c r="X54" s="1817"/>
      <c r="Y54" s="1744"/>
      <c r="Z54" s="1744"/>
      <c r="AA54" s="1744"/>
      <c r="AB54" s="1744"/>
      <c r="AC54" s="1744"/>
      <c r="AD54" s="1744"/>
      <c r="AE54" s="1744"/>
      <c r="AF54" s="1744"/>
      <c r="AG54" s="1744"/>
      <c r="AH54" s="1738"/>
      <c r="AI54" s="1614"/>
    </row>
    <row r="55" ht="96.75" customHeight="1">
      <c r="A55" s="1626"/>
      <c r="B55" s="1745"/>
      <c r="C55" s="1746" t="str">
        <f>IMAGE("https://i.ibb.co/Lrh0bjy/Bugsy.png")</f>
        <v/>
      </c>
      <c r="D55" s="1747"/>
      <c r="E55" s="1748" t="str">
        <f t="array" ref="E55">IFERROR(VLOOKUP(E56,Dex!$B$3:$G252,3,FALSE),"")</f>
        <v/>
      </c>
      <c r="F55" s="539"/>
      <c r="G55" s="539"/>
      <c r="H55" s="540"/>
      <c r="I55" s="1749"/>
      <c r="J55" s="1748" t="str">
        <f t="array" ref="J55">IFERROR(VLOOKUP(J56,Dex!$B$3:$G252,3,FALSE),"")</f>
        <v/>
      </c>
      <c r="K55" s="539"/>
      <c r="L55" s="539"/>
      <c r="M55" s="540"/>
      <c r="N55" s="1818"/>
      <c r="O55" s="1748" t="str">
        <f t="array" ref="O55">IFERROR(VLOOKUP(O56,Dex!$B$3:$G252,3,FALSE),"")</f>
        <v/>
      </c>
      <c r="P55" s="539"/>
      <c r="Q55" s="539"/>
      <c r="R55" s="540"/>
      <c r="S55" s="1818"/>
      <c r="T55" s="1748" t="str">
        <f t="array" ref="T55">IFERROR(VLOOKUP(T56,Dex!$B$3:$G252,3,FALSE),"")</f>
        <v/>
      </c>
      <c r="U55" s="539"/>
      <c r="V55" s="539"/>
      <c r="W55" s="540"/>
      <c r="X55" s="1818"/>
      <c r="Y55" s="1748" t="str">
        <f t="array" ref="Y55">IFERROR(VLOOKUP(Y56,Dex!$B$3:$G252,3,FALSE),"")</f>
        <v/>
      </c>
      <c r="Z55" s="539"/>
      <c r="AA55" s="539"/>
      <c r="AB55" s="540"/>
      <c r="AC55" s="1749"/>
      <c r="AD55" s="1748" t="str">
        <f t="array" ref="AD55">IFERROR(VLOOKUP(AD56,Dex!$B$3:$G252,3,FALSE),"")</f>
        <v/>
      </c>
      <c r="AE55" s="539"/>
      <c r="AF55" s="539"/>
      <c r="AG55" s="540"/>
      <c r="AH55" s="1734"/>
      <c r="AI55" s="1614"/>
    </row>
    <row r="56" ht="18.75" customHeight="1">
      <c r="A56" s="1626"/>
      <c r="B56" s="1819"/>
      <c r="C56" s="1752" t="s">
        <v>839</v>
      </c>
      <c r="D56" s="1753"/>
      <c r="E56" s="1754" t="s">
        <v>819</v>
      </c>
      <c r="F56" s="1725"/>
      <c r="G56" s="1725"/>
      <c r="H56" s="1755"/>
      <c r="J56" s="1754" t="s">
        <v>840</v>
      </c>
      <c r="K56" s="1725"/>
      <c r="L56" s="1725"/>
      <c r="M56" s="1755"/>
      <c r="O56" s="1754" t="s">
        <v>821</v>
      </c>
      <c r="P56" s="1725"/>
      <c r="Q56" s="1725"/>
      <c r="R56" s="1755"/>
      <c r="T56" s="1754" t="s">
        <v>822</v>
      </c>
      <c r="U56" s="1725"/>
      <c r="V56" s="1725"/>
      <c r="W56" s="1755"/>
      <c r="Y56" s="1754" t="s">
        <v>823</v>
      </c>
      <c r="Z56" s="1725"/>
      <c r="AA56" s="1725"/>
      <c r="AB56" s="1755"/>
      <c r="AD56" s="1754" t="s">
        <v>824</v>
      </c>
      <c r="AE56" s="1725"/>
      <c r="AF56" s="1725"/>
      <c r="AG56" s="1755"/>
      <c r="AH56" s="1756"/>
      <c r="AI56" s="1636"/>
    </row>
    <row r="57">
      <c r="A57" s="1626"/>
      <c r="B57" s="1820"/>
      <c r="C57" s="1638"/>
      <c r="D57" s="1821"/>
      <c r="E57" s="1758" t="s">
        <v>729</v>
      </c>
      <c r="F57" s="1759"/>
      <c r="G57" s="1759"/>
      <c r="H57" s="1760"/>
      <c r="J57" s="1758" t="s">
        <v>729</v>
      </c>
      <c r="K57" s="1759"/>
      <c r="L57" s="1759"/>
      <c r="M57" s="1760"/>
      <c r="O57" s="1758" t="s">
        <v>729</v>
      </c>
      <c r="P57" s="1759"/>
      <c r="Q57" s="1759"/>
      <c r="R57" s="1760"/>
      <c r="T57" s="1758" t="s">
        <v>729</v>
      </c>
      <c r="U57" s="1759"/>
      <c r="V57" s="1759"/>
      <c r="W57" s="1760"/>
      <c r="Y57" s="1758" t="s">
        <v>729</v>
      </c>
      <c r="Z57" s="1759"/>
      <c r="AA57" s="1759"/>
      <c r="AB57" s="1760"/>
      <c r="AD57" s="1758" t="s">
        <v>729</v>
      </c>
      <c r="AE57" s="1759"/>
      <c r="AF57" s="1759"/>
      <c r="AG57" s="1760"/>
      <c r="AH57" s="1822"/>
      <c r="AI57" s="1823"/>
    </row>
    <row r="58" ht="25.5" customHeight="1">
      <c r="A58" s="1626"/>
      <c r="B58" s="1728"/>
      <c r="C58" s="1646"/>
      <c r="D58" s="1767"/>
      <c r="E58" s="1762"/>
      <c r="F58" s="1763" t="str">
        <f t="array" ref="F58">IFERROR(VLOOKUP(E56,Dex!$B$3:$H252,5,FALSE),"")</f>
        <v/>
      </c>
      <c r="G58" s="1764" t="str">
        <f t="array" ref="G58">IFERROR(VLOOKUP(E56,Dex!$B$3:$H252,7,FALSE),"")</f>
        <v/>
      </c>
      <c r="H58" s="1765"/>
      <c r="J58" s="1762"/>
      <c r="K58" s="1763" t="str">
        <f t="array" ref="K58">IFERROR(VLOOKUP(J56,Dex!$B$3:$H252,5,FALSE),"")</f>
        <v/>
      </c>
      <c r="L58" s="1764" t="str">
        <f t="array" ref="L58">IFERROR(VLOOKUP(J56,Dex!$B$3:$H252,7,FALSE),"")</f>
        <v/>
      </c>
      <c r="M58" s="1765"/>
      <c r="O58" s="1762"/>
      <c r="P58" s="1763" t="str">
        <f t="array" ref="P58">IFERROR(VLOOKUP(O56,Dex!$B$3:$H252,5,FALSE),"")</f>
        <v/>
      </c>
      <c r="Q58" s="1764" t="str">
        <f t="array" ref="Q58">IFERROR(VLOOKUP(O56,Dex!$B$3:$H252,7,FALSE),"")</f>
        <v/>
      </c>
      <c r="R58" s="1765"/>
      <c r="T58" s="1762"/>
      <c r="U58" s="1763" t="str">
        <f t="array" ref="U58">IFERROR(VLOOKUP(T56,Dex!$B$3:$H252,5,FALSE),"")</f>
        <v/>
      </c>
      <c r="V58" s="1764" t="str">
        <f t="array" ref="V58">IFERROR(VLOOKUP(T56,Dex!$B$3:$H252,7,FALSE),"")</f>
        <v/>
      </c>
      <c r="W58" s="1765"/>
      <c r="Y58" s="1762"/>
      <c r="Z58" s="1763" t="str">
        <f t="array" ref="Z58">IFERROR(VLOOKUP(Y56,Dex!$B$3:$H252,5,FALSE),"")</f>
        <v/>
      </c>
      <c r="AA58" s="1764" t="str">
        <f t="array" ref="AA58">IFERROR(VLOOKUP(Y56,Dex!$B$3:$H252,7,FALSE),"")</f>
        <v/>
      </c>
      <c r="AB58" s="1765"/>
      <c r="AD58" s="1762"/>
      <c r="AE58" s="1763" t="str">
        <f t="array" ref="AE58">IFERROR(VLOOKUP(AD56,Dex!$B$3:$H252,5,FALSE),"")</f>
        <v/>
      </c>
      <c r="AF58" s="1764" t="str">
        <f t="array" ref="AF58">IFERROR(VLOOKUP(AD56,Dex!$B$3:$H252,7,FALSE),"")</f>
        <v/>
      </c>
      <c r="AG58" s="1765"/>
      <c r="AH58" s="1824"/>
      <c r="AI58" s="1614"/>
    </row>
    <row r="59" ht="2.25" customHeight="1">
      <c r="A59" s="1626"/>
      <c r="B59" s="1728"/>
      <c r="C59" s="1766"/>
      <c r="D59" s="1767"/>
      <c r="E59" s="1768"/>
      <c r="F59" s="1769"/>
      <c r="G59" s="1769"/>
      <c r="H59" s="1770"/>
      <c r="J59" s="1768"/>
      <c r="K59" s="1769"/>
      <c r="L59" s="1769"/>
      <c r="M59" s="1770"/>
      <c r="O59" s="1768"/>
      <c r="P59" s="1769"/>
      <c r="Q59" s="1769"/>
      <c r="R59" s="1770"/>
      <c r="T59" s="1768"/>
      <c r="U59" s="1769"/>
      <c r="V59" s="1769"/>
      <c r="W59" s="1770"/>
      <c r="Y59" s="1768"/>
      <c r="Z59" s="1769"/>
      <c r="AA59" s="1769"/>
      <c r="AB59" s="1770"/>
      <c r="AD59" s="1768"/>
      <c r="AE59" s="1769"/>
      <c r="AF59" s="1769"/>
      <c r="AG59" s="1770"/>
      <c r="AH59" s="1824"/>
      <c r="AI59" s="1614"/>
    </row>
    <row r="60" ht="20.25" customHeight="1">
      <c r="A60" s="1626"/>
      <c r="B60" s="1728"/>
      <c r="C60" s="1729"/>
      <c r="D60" s="1730"/>
      <c r="E60" s="1771" t="s">
        <v>532</v>
      </c>
      <c r="F60" s="1772"/>
      <c r="G60" s="1772"/>
      <c r="H60" s="1773"/>
      <c r="J60" s="1771" t="s">
        <v>480</v>
      </c>
      <c r="K60" s="1772"/>
      <c r="L60" s="1772"/>
      <c r="M60" s="1773"/>
      <c r="O60" s="1771" t="s">
        <v>566</v>
      </c>
      <c r="P60" s="1772"/>
      <c r="Q60" s="1772"/>
      <c r="R60" s="1773"/>
      <c r="T60" s="1771" t="s">
        <v>532</v>
      </c>
      <c r="U60" s="1772"/>
      <c r="V60" s="1772"/>
      <c r="W60" s="1773"/>
      <c r="Y60" s="1771" t="s">
        <v>707</v>
      </c>
      <c r="Z60" s="1772"/>
      <c r="AA60" s="1772"/>
      <c r="AB60" s="1773"/>
      <c r="AD60" s="1771" t="s">
        <v>531</v>
      </c>
      <c r="AE60" s="1772"/>
      <c r="AF60" s="1772"/>
      <c r="AG60" s="1773"/>
      <c r="AH60" s="1734"/>
      <c r="AI60" s="1614"/>
    </row>
    <row r="61" ht="20.25" customHeight="1">
      <c r="A61" s="1626"/>
      <c r="B61" s="1728"/>
      <c r="C61" s="1729"/>
      <c r="D61" s="1730"/>
      <c r="E61" s="1774" t="s">
        <v>825</v>
      </c>
      <c r="F61" s="1759"/>
      <c r="G61" s="1759"/>
      <c r="H61" s="1760"/>
      <c r="J61" s="1825" t="s">
        <v>841</v>
      </c>
      <c r="K61" s="1759"/>
      <c r="L61" s="1759"/>
      <c r="M61" s="1760"/>
      <c r="O61" s="1774" t="s">
        <v>826</v>
      </c>
      <c r="P61" s="1759"/>
      <c r="Q61" s="1759"/>
      <c r="R61" s="1760"/>
      <c r="T61" s="1774" t="s">
        <v>827</v>
      </c>
      <c r="U61" s="1759"/>
      <c r="V61" s="1759"/>
      <c r="W61" s="1760"/>
      <c r="Y61" s="1774" t="s">
        <v>636</v>
      </c>
      <c r="Z61" s="1759"/>
      <c r="AA61" s="1759"/>
      <c r="AB61" s="1760"/>
      <c r="AD61" s="1774" t="s">
        <v>484</v>
      </c>
      <c r="AE61" s="1759"/>
      <c r="AF61" s="1759"/>
      <c r="AG61" s="1760"/>
      <c r="AH61" s="1734"/>
      <c r="AI61" s="1614"/>
    </row>
    <row r="62" ht="20.25" customHeight="1">
      <c r="A62" s="1626"/>
      <c r="B62" s="1728"/>
      <c r="C62" s="1766"/>
      <c r="D62" s="1730"/>
      <c r="E62" s="1775" t="s">
        <v>573</v>
      </c>
      <c r="F62" s="1742"/>
      <c r="G62" s="1743"/>
      <c r="H62" s="1776" t="str">
        <f>IMAGE("https://raw.githubusercontent.com/msikma/pokesprite/master/items/hold-item/focus-sash.png",3)</f>
        <v/>
      </c>
      <c r="J62" s="1775" t="s">
        <v>842</v>
      </c>
      <c r="K62" s="1742"/>
      <c r="L62" s="1743"/>
      <c r="M62" s="1776" t="str">
        <f>IMAGE("https://raw.githubusercontent.com/msikma/pokesprite/master/items/mega-stone/scizorite.png",3)</f>
        <v/>
      </c>
      <c r="O62" s="1775" t="s">
        <v>489</v>
      </c>
      <c r="P62" s="1742"/>
      <c r="Q62" s="1743"/>
      <c r="R62" s="1776" t="str">
        <f>IMAGE("https://raw.githubusercontent.com/msikma/pokesprite/master/items/hold-item/eviolite.png",3)</f>
        <v/>
      </c>
      <c r="T62" s="1775" t="s">
        <v>843</v>
      </c>
      <c r="U62" s="1742"/>
      <c r="V62" s="1743"/>
      <c r="W62" s="1776" t="str">
        <f>IMAGE("https://raw.githubusercontent.com/msikma/pokesprite/master/items/gem/bug.png",3)</f>
        <v/>
      </c>
      <c r="Y62" s="1775" t="s">
        <v>733</v>
      </c>
      <c r="Z62" s="1742"/>
      <c r="AA62" s="1743"/>
      <c r="AB62" s="1776" t="str">
        <f>IMAGE("https://raw.githubusercontent.com/msikma/pokesprite/master/items/hold-item/leftovers.png",3)</f>
        <v/>
      </c>
      <c r="AD62" s="1775" t="s">
        <v>829</v>
      </c>
      <c r="AE62" s="1742"/>
      <c r="AF62" s="1743"/>
      <c r="AG62" s="1776" t="str">
        <f>IMAGE("https://raw.githubusercontent.com/msikma/pokesprite/master/items/hold-item/magnet.png",3)</f>
        <v/>
      </c>
      <c r="AH62" s="1824"/>
      <c r="AI62" s="1614"/>
    </row>
    <row r="63" ht="20.25" customHeight="1">
      <c r="A63" s="1653"/>
      <c r="B63" s="1728"/>
      <c r="C63" s="1729"/>
      <c r="D63" s="1730"/>
      <c r="E63" s="1771" t="s">
        <v>834</v>
      </c>
      <c r="F63" s="1772"/>
      <c r="G63" s="1772"/>
      <c r="H63" s="1777" t="str">
        <f>IMAGE("https://raw.githubusercontent.com/msikma/pokesprite/master/misc/types/gen8/rock.png",4,20,20)</f>
        <v/>
      </c>
      <c r="J63" s="1771" t="s">
        <v>831</v>
      </c>
      <c r="K63" s="1772"/>
      <c r="L63" s="1772"/>
      <c r="M63" s="1777" t="str">
        <f>IMAGE("https://raw.githubusercontent.com/msikma/pokesprite/master/misc/types/gen8/steel.png",4,20,20)</f>
        <v/>
      </c>
      <c r="O63" s="1771" t="s">
        <v>287</v>
      </c>
      <c r="P63" s="1772"/>
      <c r="Q63" s="1772"/>
      <c r="R63" s="1777" t="str">
        <f>IMAGE("https://raw.githubusercontent.com/msikma/pokesprite/master/misc/types/gen8/normal.png",4,20,20)</f>
        <v/>
      </c>
      <c r="T63" s="1771" t="s">
        <v>833</v>
      </c>
      <c r="U63" s="1772"/>
      <c r="V63" s="1772"/>
      <c r="W63" s="1777" t="str">
        <f t="shared" ref="W63:W64" si="4">IMAGE("https://raw.githubusercontent.com/msikma/pokesprite/master/misc/types/gen8/bug.png",4,20,20)</f>
        <v/>
      </c>
      <c r="Y63" s="1771" t="s">
        <v>830</v>
      </c>
      <c r="Z63" s="1772"/>
      <c r="AA63" s="1772"/>
      <c r="AB63" s="1777" t="str">
        <f>IMAGE("https://raw.githubusercontent.com/msikma/pokesprite/master/misc/types/gen8/bug.png",4,20,20)</f>
        <v/>
      </c>
      <c r="AD63" s="1771" t="s">
        <v>844</v>
      </c>
      <c r="AE63" s="1772"/>
      <c r="AF63" s="1772"/>
      <c r="AG63" s="1777" t="str">
        <f>IMAGE("https://raw.githubusercontent.com/msikma/pokesprite/master/misc/types/gen8/electric.png",4,20,20)</f>
        <v/>
      </c>
      <c r="AH63" s="1734"/>
      <c r="AI63" s="1614"/>
    </row>
    <row r="64" ht="20.25" customHeight="1">
      <c r="A64" s="1653"/>
      <c r="B64" s="1728"/>
      <c r="C64" s="1729"/>
      <c r="D64" s="1730"/>
      <c r="E64" s="1774" t="s">
        <v>830</v>
      </c>
      <c r="F64" s="1759"/>
      <c r="G64" s="1759"/>
      <c r="H64" s="1778" t="str">
        <f t="shared" ref="H64:H65" si="5">IMAGE("https://raw.githubusercontent.com/msikma/pokesprite/master/misc/types/gen8/bug.png",4,20,20)</f>
        <v/>
      </c>
      <c r="J64" s="1774" t="s">
        <v>744</v>
      </c>
      <c r="K64" s="1759"/>
      <c r="L64" s="1759"/>
      <c r="M64" s="1778" t="str">
        <f>IMAGE("https://raw.githubusercontent.com/msikma/pokesprite/master/misc/types/gen8/flying.png",4,20,20)</f>
        <v/>
      </c>
      <c r="O64" s="1774" t="s">
        <v>744</v>
      </c>
      <c r="P64" s="1759"/>
      <c r="Q64" s="1759"/>
      <c r="R64" s="1778" t="str">
        <f>IMAGE("https://raw.githubusercontent.com/msikma/pokesprite/master/misc/types/gen8/flying.png",4,20,20)</f>
        <v/>
      </c>
      <c r="T64" s="1774" t="s">
        <v>612</v>
      </c>
      <c r="U64" s="1759"/>
      <c r="V64" s="1759"/>
      <c r="W64" s="1778" t="str">
        <f t="shared" si="4"/>
        <v/>
      </c>
      <c r="Y64" s="1774" t="s">
        <v>845</v>
      </c>
      <c r="Z64" s="1759"/>
      <c r="AA64" s="1759"/>
      <c r="AB64" s="1778" t="str">
        <f>IMAGE("https://raw.githubusercontent.com/msikma/pokesprite/master/misc/types/gen8/water.png",4,20,20)</f>
        <v/>
      </c>
      <c r="AD64" s="1774" t="s">
        <v>846</v>
      </c>
      <c r="AE64" s="1759"/>
      <c r="AF64" s="1759"/>
      <c r="AG64" s="1778" t="str">
        <f>IMAGE("https://raw.githubusercontent.com/msikma/pokesprite/master/misc/types/gen8/bug.png",4,20,20)</f>
        <v/>
      </c>
      <c r="AH64" s="1734"/>
      <c r="AI64" s="1614"/>
    </row>
    <row r="65" ht="20.25" customHeight="1">
      <c r="A65" s="1626"/>
      <c r="B65" s="1728"/>
      <c r="C65" s="1729"/>
      <c r="D65" s="1730"/>
      <c r="E65" s="1774" t="s">
        <v>612</v>
      </c>
      <c r="F65" s="1759"/>
      <c r="G65" s="1759"/>
      <c r="H65" s="1778" t="str">
        <f t="shared" si="5"/>
        <v/>
      </c>
      <c r="J65" s="1774" t="s">
        <v>612</v>
      </c>
      <c r="K65" s="1759"/>
      <c r="L65" s="1759"/>
      <c r="M65" s="1778" t="str">
        <f>IMAGE("https://raw.githubusercontent.com/msikma/pokesprite/master/misc/types/gen8/bug.png",4,20,20)</f>
        <v/>
      </c>
      <c r="O65" s="1774" t="s">
        <v>832</v>
      </c>
      <c r="P65" s="1759"/>
      <c r="Q65" s="1759"/>
      <c r="R65" s="1778" t="str">
        <f>IMAGE("https://raw.githubusercontent.com/msikma/pokesprite/master/misc/types/gen8/bug.png",4,20,20)</f>
        <v/>
      </c>
      <c r="T65" s="1774" t="s">
        <v>579</v>
      </c>
      <c r="U65" s="1759"/>
      <c r="V65" s="1759"/>
      <c r="W65" s="1778" t="str">
        <f t="shared" ref="W65:W66" si="6">IMAGE("https://raw.githubusercontent.com/msikma/pokesprite/master/misc/types/gen8/dark.png",4,20,20)</f>
        <v/>
      </c>
      <c r="Y65" s="1774" t="s">
        <v>184</v>
      </c>
      <c r="Z65" s="1759"/>
      <c r="AA65" s="1759"/>
      <c r="AB65" s="1778" t="str">
        <f>IMAGE("https://raw.githubusercontent.com/msikma/pokesprite/master/misc/types/gen8/normal.png",4,20,20)</f>
        <v/>
      </c>
      <c r="AD65" s="1774" t="s">
        <v>581</v>
      </c>
      <c r="AE65" s="1759"/>
      <c r="AF65" s="1759"/>
      <c r="AG65" s="1778" t="str">
        <f>IMAGE("https://raw.githubusercontent.com/msikma/pokesprite/master/misc/types/gen8/electric.png",4,20,20)</f>
        <v/>
      </c>
      <c r="AH65" s="1734"/>
      <c r="AI65" s="1614"/>
    </row>
    <row r="66" ht="21.0" customHeight="1">
      <c r="A66" s="1626"/>
      <c r="B66" s="1728"/>
      <c r="C66" s="1729"/>
      <c r="D66" s="1730"/>
      <c r="E66" s="1779" t="s">
        <v>835</v>
      </c>
      <c r="F66" s="1780"/>
      <c r="G66" s="1780"/>
      <c r="H66" s="1781" t="str">
        <f>IMAGE("https://raw.githubusercontent.com/msikma/pokesprite/master/misc/types/gen8/dark.png",4,20,20)</f>
        <v/>
      </c>
      <c r="I66" s="1725"/>
      <c r="J66" s="1779" t="s">
        <v>803</v>
      </c>
      <c r="K66" s="1780"/>
      <c r="L66" s="1780"/>
      <c r="M66" s="1781" t="str">
        <f>IMAGE("https://raw.githubusercontent.com/msikma/pokesprite/master/misc/types/gen8/fighting.png",4,20,20)</f>
        <v/>
      </c>
      <c r="N66" s="1725"/>
      <c r="O66" s="1779" t="s">
        <v>803</v>
      </c>
      <c r="P66" s="1780"/>
      <c r="Q66" s="1780"/>
      <c r="R66" s="1781" t="str">
        <f>IMAGE("https://raw.githubusercontent.com/msikma/pokesprite/master/misc/types/gen8/fighting.png",4,20,20)</f>
        <v/>
      </c>
      <c r="S66" s="1725"/>
      <c r="T66" s="1779" t="s">
        <v>554</v>
      </c>
      <c r="U66" s="1780"/>
      <c r="V66" s="1780"/>
      <c r="W66" s="1781" t="str">
        <f t="shared" si="6"/>
        <v/>
      </c>
      <c r="X66" s="1725"/>
      <c r="Y66" s="1779" t="s">
        <v>503</v>
      </c>
      <c r="Z66" s="1780"/>
      <c r="AA66" s="1780"/>
      <c r="AB66" s="1781" t="str">
        <f>IMAGE("https://raw.githubusercontent.com/msikma/pokesprite/master/misc/types/gen8/poison.png",4,20,20)</f>
        <v/>
      </c>
      <c r="AC66" s="1725"/>
      <c r="AD66" s="1779" t="s">
        <v>775</v>
      </c>
      <c r="AE66" s="1780"/>
      <c r="AF66" s="1780"/>
      <c r="AG66" s="1781" t="str">
        <f>IMAGE("https://raw.githubusercontent.com/msikma/pokesprite/master/misc/types/gen8/grass.png",4,20,20)</f>
        <v/>
      </c>
      <c r="AH66" s="1734"/>
      <c r="AI66" s="1614"/>
    </row>
    <row r="67" ht="3.0" customHeight="1">
      <c r="A67" s="1626"/>
      <c r="B67" s="1783"/>
      <c r="C67" s="1784"/>
      <c r="D67" s="1826"/>
      <c r="E67" s="1827"/>
      <c r="F67" s="1827"/>
      <c r="G67" s="1827"/>
      <c r="H67" s="1827"/>
      <c r="I67" s="1828"/>
      <c r="J67" s="1827"/>
      <c r="K67" s="1827"/>
      <c r="L67" s="1827"/>
      <c r="M67" s="1827"/>
      <c r="N67" s="1828"/>
      <c r="O67" s="1827"/>
      <c r="P67" s="1827"/>
      <c r="Q67" s="1827"/>
      <c r="R67" s="1827"/>
      <c r="S67" s="1828"/>
      <c r="T67" s="1827"/>
      <c r="U67" s="1827"/>
      <c r="V67" s="1827"/>
      <c r="W67" s="1827"/>
      <c r="X67" s="1828"/>
      <c r="Y67" s="1827"/>
      <c r="Z67" s="1829"/>
      <c r="AA67" s="1829"/>
      <c r="AB67" s="1830"/>
      <c r="AC67" s="1831"/>
      <c r="AD67" s="1832"/>
      <c r="AE67" s="1832"/>
      <c r="AF67" s="1832"/>
      <c r="AG67" s="1830"/>
      <c r="AH67" s="1833"/>
      <c r="AI67" s="1684"/>
    </row>
    <row r="68" ht="16.5" customHeight="1">
      <c r="A68" s="1626"/>
      <c r="B68" s="1790"/>
      <c r="C68" s="1784"/>
      <c r="D68" s="1791"/>
      <c r="E68" s="1792" t="s">
        <v>512</v>
      </c>
      <c r="F68" s="606"/>
      <c r="G68" s="606"/>
      <c r="H68" s="607"/>
      <c r="I68" s="1793"/>
      <c r="J68" s="1792" t="s">
        <v>512</v>
      </c>
      <c r="K68" s="606"/>
      <c r="L68" s="606"/>
      <c r="M68" s="607"/>
      <c r="N68" s="1793"/>
      <c r="O68" s="1792" t="s">
        <v>512</v>
      </c>
      <c r="P68" s="606"/>
      <c r="Q68" s="606"/>
      <c r="R68" s="607"/>
      <c r="S68" s="1795"/>
      <c r="T68" s="1792" t="s">
        <v>512</v>
      </c>
      <c r="U68" s="606"/>
      <c r="V68" s="606"/>
      <c r="W68" s="607"/>
      <c r="X68" s="1796"/>
      <c r="Y68" s="1792" t="s">
        <v>512</v>
      </c>
      <c r="Z68" s="606"/>
      <c r="AA68" s="606"/>
      <c r="AB68" s="607"/>
      <c r="AC68" s="1796"/>
      <c r="AD68" s="1792" t="s">
        <v>512</v>
      </c>
      <c r="AE68" s="606"/>
      <c r="AF68" s="606"/>
      <c r="AG68" s="607"/>
      <c r="AH68" s="1834"/>
      <c r="AI68" s="1692"/>
    </row>
    <row r="69" ht="16.5" customHeight="1">
      <c r="A69" s="1626"/>
      <c r="B69" s="1790"/>
      <c r="C69" s="1784"/>
      <c r="D69" s="1791"/>
      <c r="E69" s="1799" t="s">
        <v>513</v>
      </c>
      <c r="F69" s="1800">
        <f t="array" ref="F69">IFERROR(VLOOKUP(E56,Dex!$B$3:$N252,8,FALSE),"")</f>
        <v>85</v>
      </c>
      <c r="G69" s="1801" t="str">
        <f t="array" ref="G69">IFERROR(VLOOKUP(F69,Dex!$P$22:$Q$276,2,FALSE),"")</f>
        <v/>
      </c>
      <c r="H69" s="1802"/>
      <c r="I69" s="1835"/>
      <c r="J69" s="1799" t="s">
        <v>513</v>
      </c>
      <c r="K69" s="1800">
        <f t="array" ref="K69">IFERROR(VLOOKUP(J56,Dex!$B$3:$N252,8,FALSE),"")</f>
        <v>70</v>
      </c>
      <c r="L69" s="1801" t="str">
        <f t="array" ref="L69">IFERROR(VLOOKUP(K69,Dex!$P$22:$Q$276,2,FALSE),"")</f>
        <v/>
      </c>
      <c r="M69" s="1802"/>
      <c r="N69" s="1835"/>
      <c r="O69" s="1799" t="s">
        <v>513</v>
      </c>
      <c r="P69" s="1800">
        <f t="array" ref="P69">IFERROR(VLOOKUP(O56,Dex!$B$3:$N252,8,FALSE),"")</f>
        <v>70</v>
      </c>
      <c r="Q69" s="1801" t="str">
        <f t="array" ref="Q69">IFERROR(VLOOKUP(P69,Dex!$P$22:$Q$276,2,FALSE),"")</f>
        <v/>
      </c>
      <c r="R69" s="1802"/>
      <c r="S69" s="1836"/>
      <c r="T69" s="1799" t="s">
        <v>513</v>
      </c>
      <c r="U69" s="1800">
        <f t="array" ref="U69">IFERROR(VLOOKUP(T56,Dex!$B$3:$N252,8,FALSE),"")</f>
        <v>71</v>
      </c>
      <c r="V69" s="1801" t="str">
        <f t="array" ref="V69">IFERROR(VLOOKUP(U69,Dex!$P$22:$Q$276,2,FALSE),"")</f>
        <v/>
      </c>
      <c r="W69" s="1802"/>
      <c r="X69" s="1837"/>
      <c r="Y69" s="1799" t="s">
        <v>513</v>
      </c>
      <c r="Z69" s="1800">
        <f t="array" ref="Z69">IFERROR(VLOOKUP(Y56,Dex!$B$3:$N252,8,FALSE),"")</f>
        <v>68</v>
      </c>
      <c r="AA69" s="1801" t="str">
        <f t="array" ref="AA69">IFERROR(VLOOKUP(Z69,Dex!$P$22:$Q$276,2,FALSE),"")</f>
        <v/>
      </c>
      <c r="AB69" s="1802"/>
      <c r="AC69" s="1837"/>
      <c r="AD69" s="1799" t="s">
        <v>513</v>
      </c>
      <c r="AE69" s="1800">
        <f t="array" ref="AE69">IFERROR(VLOOKUP(AD56,Dex!$B$3:$N252,8,FALSE),"")</f>
        <v>77</v>
      </c>
      <c r="AF69" s="1801" t="str">
        <f t="array" ref="AF69">IFERROR(VLOOKUP(AE69,Dex!$P$22:$Q$276,2,FALSE),"")</f>
        <v/>
      </c>
      <c r="AG69" s="1802"/>
      <c r="AH69" s="1838"/>
      <c r="AI69" s="1692"/>
    </row>
    <row r="70" ht="16.5" customHeight="1">
      <c r="A70" s="1626"/>
      <c r="B70" s="1790"/>
      <c r="C70" s="1784"/>
      <c r="D70" s="1791"/>
      <c r="E70" s="1805" t="s">
        <v>514</v>
      </c>
      <c r="F70" s="1806">
        <f t="array" ref="F70">IFERROR(VLOOKUP(E56,Dex!$B$3:$N252,9,FALSE),"")</f>
        <v>135</v>
      </c>
      <c r="G70" s="1807" t="str">
        <f t="array" ref="G70">IFERROR(VLOOKUP(F70,Dex!$P$22:$Q$276,2,FALSE),"")</f>
        <v/>
      </c>
      <c r="H70" s="1808"/>
      <c r="I70" s="1835"/>
      <c r="J70" s="1805" t="s">
        <v>514</v>
      </c>
      <c r="K70" s="1806">
        <f t="array" ref="K70">IFERROR(VLOOKUP(J56,Dex!$B$3:$N252,9,FALSE),"")</f>
        <v>150</v>
      </c>
      <c r="L70" s="1807" t="str">
        <f t="array" ref="L70">IFERROR(VLOOKUP(K70,Dex!$P$22:$Q$276,2,FALSE),"")</f>
        <v/>
      </c>
      <c r="M70" s="1808"/>
      <c r="N70" s="1835"/>
      <c r="O70" s="1805" t="s">
        <v>514</v>
      </c>
      <c r="P70" s="1806">
        <f t="array" ref="P70">IFERROR(VLOOKUP(O56,Dex!$B$3:$N252,9,FALSE),"")</f>
        <v>110</v>
      </c>
      <c r="Q70" s="1807" t="str">
        <f t="array" ref="Q70">IFERROR(VLOOKUP(P70,Dex!$P$22:$Q$276,2,FALSE),"")</f>
        <v/>
      </c>
      <c r="R70" s="1808"/>
      <c r="S70" s="1836"/>
      <c r="T70" s="1805" t="s">
        <v>514</v>
      </c>
      <c r="U70" s="1806">
        <f t="array" ref="U70">IFERROR(VLOOKUP(T56,Dex!$B$3:$N252,9,FALSE),"")</f>
        <v>102</v>
      </c>
      <c r="V70" s="1807" t="str">
        <f t="array" ref="V70">IFERROR(VLOOKUP(U70,Dex!$P$22:$Q$276,2,FALSE),"")</f>
        <v/>
      </c>
      <c r="W70" s="1808"/>
      <c r="X70" s="1837"/>
      <c r="Y70" s="1805" t="s">
        <v>514</v>
      </c>
      <c r="Z70" s="1806">
        <f t="array" ref="Z70">IFERROR(VLOOKUP(Y56,Dex!$B$3:$N252,9,FALSE),"")</f>
        <v>70</v>
      </c>
      <c r="AA70" s="1807" t="str">
        <f t="array" ref="AA70">IFERROR(VLOOKUP(Z70,Dex!$P$22:$Q$276,2,FALSE),"")</f>
        <v/>
      </c>
      <c r="AB70" s="1808"/>
      <c r="AC70" s="1837"/>
      <c r="AD70" s="1805" t="s">
        <v>514</v>
      </c>
      <c r="AE70" s="1806">
        <f t="array" ref="AE70">IFERROR(VLOOKUP(AD56,Dex!$B$3:$N252,9,FALSE),"")</f>
        <v>70</v>
      </c>
      <c r="AF70" s="1807" t="str">
        <f t="array" ref="AF70">IFERROR(VLOOKUP(AE70,Dex!$P$22:$Q$276,2,FALSE),"")</f>
        <v/>
      </c>
      <c r="AG70" s="1808"/>
      <c r="AH70" s="1838"/>
      <c r="AI70" s="1692"/>
    </row>
    <row r="71" ht="16.5" customHeight="1">
      <c r="A71" s="1626"/>
      <c r="B71" s="1790"/>
      <c r="C71" s="1784"/>
      <c r="D71" s="1791"/>
      <c r="E71" s="1805" t="s">
        <v>515</v>
      </c>
      <c r="F71" s="1806">
        <f t="array" ref="F71">IFERROR(VLOOKUP(E56,Dex!$B$3:$N252,10,FALSE),"")</f>
        <v>95</v>
      </c>
      <c r="G71" s="1807" t="str">
        <f t="array" ref="G71">IFERROR(VLOOKUP(F71,Dex!$P$22:$Q$276,2,FALSE),"")</f>
        <v/>
      </c>
      <c r="H71" s="1808"/>
      <c r="I71" s="1835"/>
      <c r="J71" s="1805" t="s">
        <v>515</v>
      </c>
      <c r="K71" s="1806">
        <f t="array" ref="K71">IFERROR(VLOOKUP(J56,Dex!$B$3:$N252,10,FALSE),"")</f>
        <v>140</v>
      </c>
      <c r="L71" s="1807" t="str">
        <f t="array" ref="L71">IFERROR(VLOOKUP(K71,Dex!$P$22:$Q$276,2,FALSE),"")</f>
        <v/>
      </c>
      <c r="M71" s="1808"/>
      <c r="N71" s="1835"/>
      <c r="O71" s="1805" t="s">
        <v>515</v>
      </c>
      <c r="P71" s="1806">
        <f t="array" ref="P71">IFERROR(VLOOKUP(O56,Dex!$B$3:$N252,10,FALSE),"")</f>
        <v>80</v>
      </c>
      <c r="Q71" s="1807" t="str">
        <f t="array" ref="Q71">IFERROR(VLOOKUP(P71,Dex!$P$22:$Q$276,2,FALSE),"")</f>
        <v/>
      </c>
      <c r="R71" s="1808"/>
      <c r="S71" s="1836"/>
      <c r="T71" s="1805" t="s">
        <v>515</v>
      </c>
      <c r="U71" s="1806">
        <f t="array" ref="U71">IFERROR(VLOOKUP(T56,Dex!$B$3:$N252,10,FALSE),"")</f>
        <v>78</v>
      </c>
      <c r="V71" s="1807" t="str">
        <f t="array" ref="V71">IFERROR(VLOOKUP(U71,Dex!$P$22:$Q$276,2,FALSE),"")</f>
        <v/>
      </c>
      <c r="W71" s="1808"/>
      <c r="X71" s="1837"/>
      <c r="Y71" s="1805" t="s">
        <v>515</v>
      </c>
      <c r="Z71" s="1806">
        <f t="array" ref="Z71">IFERROR(VLOOKUP(Y56,Dex!$B$3:$N252,10,FALSE),"")</f>
        <v>92</v>
      </c>
      <c r="AA71" s="1807" t="str">
        <f t="array" ref="AA71">IFERROR(VLOOKUP(Z71,Dex!$P$22:$Q$276,2,FALSE),"")</f>
        <v/>
      </c>
      <c r="AB71" s="1808"/>
      <c r="AC71" s="1837"/>
      <c r="AD71" s="1805" t="s">
        <v>515</v>
      </c>
      <c r="AE71" s="1806">
        <f t="array" ref="AE71">IFERROR(VLOOKUP(AD56,Dex!$B$3:$N252,10,FALSE),"")</f>
        <v>90</v>
      </c>
      <c r="AF71" s="1807" t="str">
        <f t="array" ref="AF71">IFERROR(VLOOKUP(AE71,Dex!$P$22:$Q$276,2,FALSE),"")</f>
        <v/>
      </c>
      <c r="AG71" s="1808"/>
      <c r="AH71" s="1838"/>
      <c r="AI71" s="1692"/>
    </row>
    <row r="72" ht="16.5" customHeight="1">
      <c r="A72" s="1626"/>
      <c r="B72" s="1790"/>
      <c r="C72" s="1784"/>
      <c r="D72" s="1791"/>
      <c r="E72" s="1805" t="s">
        <v>516</v>
      </c>
      <c r="F72" s="1806">
        <f t="array" ref="F72">IFERROR(VLOOKUP(E56,Dex!$B$3:$N252,11,FALSE),"")</f>
        <v>30</v>
      </c>
      <c r="G72" s="1807" t="str">
        <f t="array" ref="G72">IFERROR(VLOOKUP(F72,Dex!$P$22:$Q$276,2,FALSE),"")</f>
        <v/>
      </c>
      <c r="H72" s="1808"/>
      <c r="I72" s="1835"/>
      <c r="J72" s="1805" t="s">
        <v>516</v>
      </c>
      <c r="K72" s="1806">
        <f t="array" ref="K72">IFERROR(VLOOKUP(J56,Dex!$B$3:$N252,11,FALSE),"")</f>
        <v>65</v>
      </c>
      <c r="L72" s="1807" t="str">
        <f t="array" ref="L72">IFERROR(VLOOKUP(K72,Dex!$P$22:$Q$276,2,FALSE),"")</f>
        <v/>
      </c>
      <c r="M72" s="1808"/>
      <c r="N72" s="1835"/>
      <c r="O72" s="1805" t="s">
        <v>516</v>
      </c>
      <c r="P72" s="1806">
        <f t="array" ref="P72">IFERROR(VLOOKUP(O56,Dex!$B$3:$N252,11,FALSE),"")</f>
        <v>55</v>
      </c>
      <c r="Q72" s="1807" t="str">
        <f t="array" ref="Q72">IFERROR(VLOOKUP(P72,Dex!$P$22:$Q$276,2,FALSE),"")</f>
        <v/>
      </c>
      <c r="R72" s="1808"/>
      <c r="S72" s="1836"/>
      <c r="T72" s="1805" t="s">
        <v>516</v>
      </c>
      <c r="U72" s="1806">
        <f t="array" ref="U72">IFERROR(VLOOKUP(T56,Dex!$B$3:$N252,11,FALSE),"")</f>
        <v>52</v>
      </c>
      <c r="V72" s="1807" t="str">
        <f t="array" ref="V72">IFERROR(VLOOKUP(U72,Dex!$P$22:$Q$276,2,FALSE),"")</f>
        <v/>
      </c>
      <c r="W72" s="1808"/>
      <c r="X72" s="1837"/>
      <c r="Y72" s="1805" t="s">
        <v>516</v>
      </c>
      <c r="Z72" s="1806">
        <f t="array" ref="Z72">IFERROR(VLOOKUP(Y56,Dex!$B$3:$N252,11,FALSE),"")</f>
        <v>50</v>
      </c>
      <c r="AA72" s="1807" t="str">
        <f t="array" ref="AA72">IFERROR(VLOOKUP(Z72,Dex!$P$22:$Q$276,2,FALSE),"")</f>
        <v/>
      </c>
      <c r="AB72" s="1808"/>
      <c r="AC72" s="1837"/>
      <c r="AD72" s="1805" t="s">
        <v>516</v>
      </c>
      <c r="AE72" s="1806">
        <f t="array" ref="AE72">IFERROR(VLOOKUP(AD56,Dex!$B$3:$N252,11,FALSE),"")</f>
        <v>145</v>
      </c>
      <c r="AF72" s="1807" t="str">
        <f t="array" ref="AF72">IFERROR(VLOOKUP(AE72,Dex!$P$22:$Q$276,2,FALSE),"")</f>
        <v/>
      </c>
      <c r="AG72" s="1808"/>
      <c r="AH72" s="1838"/>
      <c r="AI72" s="1692"/>
    </row>
    <row r="73" ht="16.5" customHeight="1">
      <c r="A73" s="1626"/>
      <c r="B73" s="1790"/>
      <c r="C73" s="1784"/>
      <c r="D73" s="1791"/>
      <c r="E73" s="1805" t="s">
        <v>517</v>
      </c>
      <c r="F73" s="1806">
        <f t="array" ref="F73">IFERROR(VLOOKUP(E56,Dex!$B$3:$N252,12,FALSE),"")</f>
        <v>70</v>
      </c>
      <c r="G73" s="1807" t="str">
        <f t="array" ref="G73">IFERROR(VLOOKUP(F73,Dex!$P$22:$Q$276,2,FALSE),"")</f>
        <v/>
      </c>
      <c r="H73" s="1808"/>
      <c r="I73" s="1835"/>
      <c r="J73" s="1805" t="s">
        <v>517</v>
      </c>
      <c r="K73" s="1806">
        <f t="array" ref="K73">IFERROR(VLOOKUP(J56,Dex!$B$3:$N252,12,FALSE),"")</f>
        <v>100</v>
      </c>
      <c r="L73" s="1807" t="str">
        <f t="array" ref="L73">IFERROR(VLOOKUP(K73,Dex!$P$22:$Q$276,2,FALSE),"")</f>
        <v/>
      </c>
      <c r="M73" s="1808"/>
      <c r="N73" s="1835"/>
      <c r="O73" s="1805" t="s">
        <v>517</v>
      </c>
      <c r="P73" s="1806">
        <f t="array" ref="P73">IFERROR(VLOOKUP(O56,Dex!$B$3:$N252,12,FALSE),"")</f>
        <v>80</v>
      </c>
      <c r="Q73" s="1807" t="str">
        <f t="array" ref="Q73">IFERROR(VLOOKUP(P73,Dex!$P$22:$Q$276,2,FALSE),"")</f>
        <v/>
      </c>
      <c r="R73" s="1808"/>
      <c r="S73" s="1836"/>
      <c r="T73" s="1805" t="s">
        <v>517</v>
      </c>
      <c r="U73" s="1806">
        <f t="array" ref="U73">IFERROR(VLOOKUP(T56,Dex!$B$3:$N252,12,FALSE),"")</f>
        <v>55</v>
      </c>
      <c r="V73" s="1807" t="str">
        <f t="array" ref="V73">IFERROR(VLOOKUP(U73,Dex!$P$22:$Q$276,2,FALSE),"")</f>
        <v/>
      </c>
      <c r="W73" s="1808"/>
      <c r="X73" s="1837"/>
      <c r="Y73" s="1805" t="s">
        <v>517</v>
      </c>
      <c r="Z73" s="1806">
        <f t="array" ref="Z73">IFERROR(VLOOKUP(Y56,Dex!$B$3:$N252,12,FALSE),"")</f>
        <v>132</v>
      </c>
      <c r="AA73" s="1807" t="str">
        <f t="array" ref="AA73">IFERROR(VLOOKUP(Z73,Dex!$P$22:$Q$276,2,FALSE),"")</f>
        <v/>
      </c>
      <c r="AB73" s="1808"/>
      <c r="AC73" s="1837"/>
      <c r="AD73" s="1805" t="s">
        <v>517</v>
      </c>
      <c r="AE73" s="1806">
        <f t="array" ref="AE73">IFERROR(VLOOKUP(AD56,Dex!$B$3:$N252,12,FALSE),"")</f>
        <v>75</v>
      </c>
      <c r="AF73" s="1807" t="str">
        <f t="array" ref="AF73">IFERROR(VLOOKUP(AE73,Dex!$P$22:$Q$276,2,FALSE),"")</f>
        <v/>
      </c>
      <c r="AG73" s="1808"/>
      <c r="AH73" s="1838"/>
      <c r="AI73" s="1692"/>
    </row>
    <row r="74" ht="15.75" customHeight="1">
      <c r="A74" s="1626"/>
      <c r="B74" s="1790"/>
      <c r="C74" s="1426" t="s">
        <v>745</v>
      </c>
      <c r="D74" s="1791"/>
      <c r="E74" s="1809" t="s">
        <v>518</v>
      </c>
      <c r="F74" s="1810">
        <f t="array" ref="F74">IFERROR(VLOOKUP(E56,Dex!$B$3:$N252,13,FALSE),"")</f>
        <v>85</v>
      </c>
      <c r="G74" s="1811" t="str">
        <f t="array" ref="G74">IFERROR(VLOOKUP(F74,Dex!$P$22:$Q$276,2,FALSE),"")</f>
        <v/>
      </c>
      <c r="H74" s="1812"/>
      <c r="I74" s="1835"/>
      <c r="J74" s="1809" t="s">
        <v>518</v>
      </c>
      <c r="K74" s="1810">
        <f t="array" ref="K74">IFERROR(VLOOKUP(J56,Dex!$B$3:$N252,13,FALSE),"")</f>
        <v>75</v>
      </c>
      <c r="L74" s="1811" t="str">
        <f t="array" ref="L74">IFERROR(VLOOKUP(K74,Dex!$P$22:$Q$276,2,FALSE),"")</f>
        <v/>
      </c>
      <c r="M74" s="1812"/>
      <c r="N74" s="1835"/>
      <c r="O74" s="1809" t="s">
        <v>518</v>
      </c>
      <c r="P74" s="1810">
        <f t="array" ref="P74">IFERROR(VLOOKUP(O56,Dex!$B$3:$N252,13,FALSE),"")</f>
        <v>105</v>
      </c>
      <c r="Q74" s="1811" t="str">
        <f t="array" ref="Q74">IFERROR(VLOOKUP(P74,Dex!$P$22:$Q$276,2,FALSE),"")</f>
        <v/>
      </c>
      <c r="R74" s="1812"/>
      <c r="S74" s="1836"/>
      <c r="T74" s="1809" t="s">
        <v>518</v>
      </c>
      <c r="U74" s="1810">
        <f t="array" ref="U74">IFERROR(VLOOKUP(T56,Dex!$B$3:$N252,13,FALSE),"")</f>
        <v>92</v>
      </c>
      <c r="V74" s="1811" t="str">
        <f t="array" ref="V74">IFERROR(VLOOKUP(U74,Dex!$P$22:$Q$276,2,FALSE),"")</f>
        <v/>
      </c>
      <c r="W74" s="1812"/>
      <c r="X74" s="1837"/>
      <c r="Y74" s="1809" t="s">
        <v>518</v>
      </c>
      <c r="Z74" s="1810">
        <f t="array" ref="Z74">IFERROR(VLOOKUP(Y56,Dex!$B$3:$N252,13,FALSE),"")</f>
        <v>42</v>
      </c>
      <c r="AA74" s="1811" t="str">
        <f t="array" ref="AA74">IFERROR(VLOOKUP(Z74,Dex!$P$22:$Q$276,2,FALSE),"")</f>
        <v/>
      </c>
      <c r="AB74" s="1812"/>
      <c r="AC74" s="1837"/>
      <c r="AD74" s="1809" t="s">
        <v>518</v>
      </c>
      <c r="AE74" s="1810">
        <f t="array" ref="AE74">IFERROR(VLOOKUP(AD56,Dex!$B$3:$N252,13,FALSE),"")</f>
        <v>43</v>
      </c>
      <c r="AF74" s="1811" t="str">
        <f t="array" ref="AF74">IFERROR(VLOOKUP(AE74,Dex!$P$22:$Q$276,2,FALSE),"")</f>
        <v/>
      </c>
      <c r="AG74" s="1812"/>
      <c r="AH74" s="1838"/>
      <c r="AI74" s="1692"/>
    </row>
    <row r="75" ht="16.5" customHeight="1">
      <c r="A75" s="1626"/>
      <c r="B75" s="1790"/>
      <c r="C75" s="1427" t="s">
        <v>847</v>
      </c>
      <c r="D75" s="1791"/>
      <c r="E75" s="1813" t="s">
        <v>519</v>
      </c>
      <c r="F75" s="630"/>
      <c r="G75" s="631"/>
      <c r="H75" s="632">
        <f>ROUNDDOWN((ROUNDDOWN(((((2*F74+31)*44)/100+5)),0))*1.1,0)</f>
        <v>102</v>
      </c>
      <c r="I75" s="1793"/>
      <c r="J75" s="1813" t="s">
        <v>519</v>
      </c>
      <c r="K75" s="630"/>
      <c r="L75" s="631"/>
      <c r="M75" s="632">
        <f>ROUNDDOWN((ROUNDDOWN(((((2*K74+31)*44)/100+5)),0))*1,0)</f>
        <v>84</v>
      </c>
      <c r="N75" s="1793"/>
      <c r="O75" s="1813" t="s">
        <v>519</v>
      </c>
      <c r="P75" s="630"/>
      <c r="Q75" s="631"/>
      <c r="R75" s="632">
        <f>ROUNDDOWN((ROUNDDOWN(((((2*P74+31)*44)/100+5)),0))*1,0)</f>
        <v>111</v>
      </c>
      <c r="S75" s="1795"/>
      <c r="T75" s="1813" t="s">
        <v>519</v>
      </c>
      <c r="U75" s="630"/>
      <c r="V75" s="631"/>
      <c r="W75" s="632">
        <f>ROUNDDOWN((ROUNDDOWN(((((2*U74+31)*44)/100+5)),0))*1.1,0)</f>
        <v>108</v>
      </c>
      <c r="X75" s="1796"/>
      <c r="Y75" s="1813" t="s">
        <v>519</v>
      </c>
      <c r="Z75" s="630"/>
      <c r="AA75" s="631"/>
      <c r="AB75" s="632">
        <f>ROUNDDOWN((ROUNDDOWN(((((2*Z74+31)*44)/100+5)),0))*1,0)</f>
        <v>55</v>
      </c>
      <c r="AC75" s="1796"/>
      <c r="AD75" s="1813" t="s">
        <v>519</v>
      </c>
      <c r="AE75" s="630"/>
      <c r="AF75" s="631"/>
      <c r="AG75" s="632">
        <f>ROUNDDOWN((ROUNDDOWN(((((2*AE74+31)*44)/100+5)),0))*1,0)</f>
        <v>56</v>
      </c>
      <c r="AH75" s="1834"/>
      <c r="AI75" s="1692"/>
    </row>
    <row r="76" ht="15.0" customHeight="1">
      <c r="A76" s="1626"/>
      <c r="B76" s="1839"/>
      <c r="C76" s="1840"/>
      <c r="D76" s="1841"/>
      <c r="E76" s="1842"/>
      <c r="F76" s="1842"/>
      <c r="G76" s="1842"/>
      <c r="H76" s="1843"/>
      <c r="I76" s="1841"/>
      <c r="J76" s="1842"/>
      <c r="K76" s="1842"/>
      <c r="L76" s="1842"/>
      <c r="M76" s="1843"/>
      <c r="N76" s="1841"/>
      <c r="O76" s="1842"/>
      <c r="P76" s="1842"/>
      <c r="Q76" s="1842"/>
      <c r="R76" s="1843"/>
      <c r="S76" s="1841"/>
      <c r="T76" s="1842"/>
      <c r="U76" s="1842"/>
      <c r="V76" s="1842"/>
      <c r="W76" s="1843"/>
      <c r="X76" s="1841"/>
      <c r="Y76" s="1842"/>
      <c r="Z76" s="1842"/>
      <c r="AA76" s="1842"/>
      <c r="AB76" s="1843"/>
      <c r="AC76" s="1841"/>
      <c r="AD76" s="1842"/>
      <c r="AE76" s="1842"/>
      <c r="AF76" s="1842"/>
      <c r="AG76" s="1843"/>
      <c r="AH76" s="1844"/>
      <c r="AI76" s="1614"/>
    </row>
    <row r="77" ht="15.0" customHeight="1">
      <c r="A77" s="1626"/>
      <c r="B77" s="1845"/>
      <c r="C77" s="1846"/>
      <c r="D77" s="1847"/>
      <c r="E77" s="1848"/>
      <c r="F77" s="1848"/>
      <c r="G77" s="1848"/>
      <c r="H77" s="1848"/>
      <c r="I77" s="1847"/>
      <c r="J77" s="1848"/>
      <c r="K77" s="1848"/>
      <c r="L77" s="1848"/>
      <c r="M77" s="1848"/>
      <c r="N77" s="1847"/>
      <c r="O77" s="1848"/>
      <c r="P77" s="1848"/>
      <c r="Q77" s="1848"/>
      <c r="R77" s="1848"/>
      <c r="S77" s="1847"/>
      <c r="T77" s="1848"/>
      <c r="U77" s="1848"/>
      <c r="V77" s="1848"/>
      <c r="W77" s="1848"/>
      <c r="X77" s="1847"/>
      <c r="Y77" s="1848"/>
      <c r="Z77" s="1848"/>
      <c r="AA77" s="1848"/>
      <c r="AB77" s="1848"/>
      <c r="AC77" s="1847"/>
      <c r="AD77" s="1847"/>
      <c r="AE77" s="1847"/>
      <c r="AF77" s="1847"/>
      <c r="AG77" s="1847"/>
      <c r="AH77" s="1849"/>
      <c r="AI77" s="1614"/>
    </row>
    <row r="78">
      <c r="A78" s="1626"/>
      <c r="B78" s="1850"/>
      <c r="C78" s="1851"/>
      <c r="D78" s="1851"/>
      <c r="E78" s="1852" t="s">
        <v>848</v>
      </c>
      <c r="F78" s="1853"/>
      <c r="G78" s="1853"/>
      <c r="H78" s="1853"/>
      <c r="I78" s="1853"/>
      <c r="J78" s="1853"/>
      <c r="K78" s="1853"/>
      <c r="L78" s="1853"/>
      <c r="M78" s="1853"/>
      <c r="N78" s="1853"/>
      <c r="O78" s="1853"/>
      <c r="P78" s="1853"/>
      <c r="Q78" s="1853"/>
      <c r="R78" s="1853"/>
      <c r="S78" s="1853"/>
      <c r="T78" s="1853"/>
      <c r="U78" s="1853"/>
      <c r="V78" s="1853"/>
      <c r="W78" s="1853"/>
      <c r="X78" s="1853"/>
      <c r="Y78" s="1853"/>
      <c r="Z78" s="1853"/>
      <c r="AA78" s="1853"/>
      <c r="AB78" s="1853"/>
      <c r="AC78" s="1853"/>
      <c r="AD78" s="1853"/>
      <c r="AE78" s="1853"/>
      <c r="AF78" s="1853"/>
      <c r="AG78" s="1854"/>
      <c r="AH78" s="1849"/>
      <c r="AI78" s="1614"/>
    </row>
    <row r="79" ht="96.75" customHeight="1">
      <c r="A79" s="1626"/>
      <c r="B79" s="1855"/>
      <c r="C79" s="1856" t="str">
        <f>IMAGE("https://i.ibb.co/JtgmCkX/Whitney.png")</f>
        <v/>
      </c>
      <c r="D79" s="1857"/>
      <c r="E79" s="1858" t="str">
        <f t="array" ref="E79">IFERROR(VLOOKUP(E80,Dex!$B$3:$G252,3,FALSE),"")</f>
        <v/>
      </c>
      <c r="F79" s="1859"/>
      <c r="G79" s="1859"/>
      <c r="H79" s="1860"/>
      <c r="I79" s="1857"/>
      <c r="J79" s="1858" t="str">
        <f t="array" ref="J79">IFERROR(VLOOKUP(J80,Dex!$B$3:$G252,3,FALSE),"")</f>
        <v/>
      </c>
      <c r="K79" s="1859"/>
      <c r="L79" s="1859"/>
      <c r="M79" s="1860"/>
      <c r="N79" s="1857"/>
      <c r="O79" s="1858" t="str">
        <f t="array" ref="O79">IFERROR(VLOOKUP(O80,Dex!$B$3:$G252,3,FALSE),"")</f>
        <v/>
      </c>
      <c r="P79" s="1859"/>
      <c r="Q79" s="1859"/>
      <c r="R79" s="1860"/>
      <c r="S79" s="1857"/>
      <c r="T79" s="1858" t="str">
        <f t="array" ref="T79">IFERROR(VLOOKUP(T80,Dex!$B$3:$G252,3,FALSE),"")</f>
        <v/>
      </c>
      <c r="U79" s="1859"/>
      <c r="V79" s="1859"/>
      <c r="W79" s="1860"/>
      <c r="X79" s="1857"/>
      <c r="Y79" s="1858" t="str">
        <f t="array" ref="Y79">IFERROR(VLOOKUP(Y80,Dex!$B$3:$G252,3,FALSE),"")</f>
        <v/>
      </c>
      <c r="Z79" s="1859"/>
      <c r="AA79" s="1859"/>
      <c r="AB79" s="1860"/>
      <c r="AC79" s="1861"/>
      <c r="AD79" s="1858" t="str">
        <f t="array" ref="AD79">IFERROR(VLOOKUP(AD80,Dex!$B$3:$G252,3,FALSE),"")</f>
        <v/>
      </c>
      <c r="AE79" s="1859"/>
      <c r="AF79" s="1859"/>
      <c r="AG79" s="1860"/>
      <c r="AH79" s="1862"/>
      <c r="AI79" s="1614"/>
    </row>
    <row r="80" ht="18.75" customHeight="1">
      <c r="A80" s="1608"/>
      <c r="B80" s="1863"/>
      <c r="C80" s="1864" t="s">
        <v>849</v>
      </c>
      <c r="D80" s="1865"/>
      <c r="E80" s="1866" t="s">
        <v>850</v>
      </c>
      <c r="F80" s="1867"/>
      <c r="G80" s="1867"/>
      <c r="H80" s="1868"/>
      <c r="I80" s="1865"/>
      <c r="J80" s="1866" t="s">
        <v>851</v>
      </c>
      <c r="K80" s="1867"/>
      <c r="L80" s="1867"/>
      <c r="M80" s="1868"/>
      <c r="N80" s="1865"/>
      <c r="O80" s="1866" t="s">
        <v>262</v>
      </c>
      <c r="P80" s="1867"/>
      <c r="Q80" s="1867"/>
      <c r="R80" s="1868"/>
      <c r="S80" s="1865"/>
      <c r="T80" s="1866" t="s">
        <v>852</v>
      </c>
      <c r="U80" s="1867"/>
      <c r="V80" s="1867"/>
      <c r="W80" s="1868"/>
      <c r="X80" s="1865"/>
      <c r="Y80" s="1866" t="s">
        <v>853</v>
      </c>
      <c r="Z80" s="1867"/>
      <c r="AA80" s="1867"/>
      <c r="AB80" s="1868"/>
      <c r="AD80" s="1866" t="s">
        <v>854</v>
      </c>
      <c r="AE80" s="1867"/>
      <c r="AF80" s="1867"/>
      <c r="AG80" s="1868"/>
      <c r="AH80" s="1869"/>
      <c r="AI80" s="1636"/>
    </row>
    <row r="81">
      <c r="A81" s="1608"/>
      <c r="B81" s="1870"/>
      <c r="C81" s="1638"/>
      <c r="D81" s="1871"/>
      <c r="E81" s="1872" t="s">
        <v>729</v>
      </c>
      <c r="F81" s="1873"/>
      <c r="G81" s="1873"/>
      <c r="H81" s="1874"/>
      <c r="I81" s="1875"/>
      <c r="J81" s="1872" t="s">
        <v>729</v>
      </c>
      <c r="K81" s="1873"/>
      <c r="L81" s="1873"/>
      <c r="M81" s="1874"/>
      <c r="N81" s="1875"/>
      <c r="O81" s="1872" t="s">
        <v>729</v>
      </c>
      <c r="P81" s="1873"/>
      <c r="Q81" s="1873"/>
      <c r="R81" s="1874"/>
      <c r="S81" s="1875"/>
      <c r="T81" s="1872" t="s">
        <v>729</v>
      </c>
      <c r="U81" s="1873"/>
      <c r="V81" s="1873"/>
      <c r="W81" s="1874"/>
      <c r="X81" s="1875"/>
      <c r="Y81" s="1872" t="s">
        <v>729</v>
      </c>
      <c r="Z81" s="1873"/>
      <c r="AA81" s="1873"/>
      <c r="AB81" s="1874"/>
      <c r="AD81" s="1872" t="s">
        <v>729</v>
      </c>
      <c r="AE81" s="1873"/>
      <c r="AF81" s="1873"/>
      <c r="AG81" s="1874"/>
      <c r="AH81" s="1876"/>
      <c r="AI81" s="1823"/>
    </row>
    <row r="82" ht="25.5" customHeight="1">
      <c r="A82" s="1608"/>
      <c r="B82" s="1877"/>
      <c r="C82" s="1646"/>
      <c r="D82" s="1878"/>
      <c r="E82" s="1879"/>
      <c r="F82" s="1880" t="str">
        <f t="array" ref="F82">IFERROR(VLOOKUP(E80,Dex!$B$3:$H252,5,FALSE),"")</f>
        <v/>
      </c>
      <c r="G82" s="1881" t="str">
        <f t="array" ref="G82">IFERROR(VLOOKUP(E80,Dex!$B$3:$H252,7,FALSE),"")</f>
        <v/>
      </c>
      <c r="H82" s="1882"/>
      <c r="I82" s="1883"/>
      <c r="J82" s="1879"/>
      <c r="K82" s="1880" t="str">
        <f t="array" ref="K82">IFERROR(VLOOKUP(J80,Dex!$B$3:$H252,5,FALSE),"")</f>
        <v/>
      </c>
      <c r="L82" s="1881" t="str">
        <f t="array" ref="L82">IFERROR(VLOOKUP(J80,Dex!$B$3:$H252,7,FALSE),"")</f>
        <v/>
      </c>
      <c r="M82" s="1882"/>
      <c r="N82" s="1883"/>
      <c r="O82" s="1879"/>
      <c r="P82" s="1880" t="str">
        <f t="array" ref="P82">IFERROR(VLOOKUP(O80,Dex!$B$3:$H252,5,FALSE),"")</f>
        <v/>
      </c>
      <c r="Q82" s="1881" t="str">
        <f t="array" ref="Q82">IFERROR(VLOOKUP(O80,Dex!$B$3:$H252,7,FALSE),"")</f>
        <v/>
      </c>
      <c r="R82" s="1882"/>
      <c r="S82" s="1883"/>
      <c r="T82" s="1879"/>
      <c r="U82" s="1880" t="str">
        <f t="array" ref="U82">IFERROR(VLOOKUP(T80,Dex!$B$3:$H252,5,FALSE),"")</f>
        <v/>
      </c>
      <c r="V82" s="1881" t="str">
        <f t="array" ref="V82">IFERROR(VLOOKUP(T80,Dex!$B$3:$H252,7,FALSE),"")</f>
        <v/>
      </c>
      <c r="W82" s="1882"/>
      <c r="X82" s="1883"/>
      <c r="Y82" s="1879"/>
      <c r="Z82" s="1880" t="str">
        <f t="array" ref="Z82">IFERROR(VLOOKUP(Y80,Dex!$B$3:$H252,5,FALSE),"")</f>
        <v/>
      </c>
      <c r="AA82" s="1881" t="str">
        <f t="array" ref="AA82">IFERROR(VLOOKUP(Y80,Dex!$B$3:$H252,7,FALSE),"")</f>
        <v/>
      </c>
      <c r="AB82" s="1882"/>
      <c r="AD82" s="1879"/>
      <c r="AE82" s="1880" t="str">
        <f t="array" ref="AE82">IFERROR(VLOOKUP(AD80,Dex!$B$3:$H252,5,FALSE),"")</f>
        <v/>
      </c>
      <c r="AF82" s="1881" t="str">
        <f t="array" ref="AF82">IFERROR(VLOOKUP(AD80,Dex!$B$3:$H252,7,FALSE),"")</f>
        <v/>
      </c>
      <c r="AG82" s="1882"/>
      <c r="AH82" s="1884"/>
      <c r="AI82" s="1614"/>
    </row>
    <row r="83" ht="2.25" customHeight="1">
      <c r="A83" s="1626"/>
      <c r="B83" s="1877"/>
      <c r="C83" s="1885"/>
      <c r="D83" s="1886"/>
      <c r="E83" s="1887"/>
      <c r="F83" s="1888"/>
      <c r="G83" s="1888"/>
      <c r="H83" s="1889"/>
      <c r="I83" s="1883"/>
      <c r="J83" s="1887"/>
      <c r="K83" s="1888"/>
      <c r="L83" s="1888"/>
      <c r="M83" s="1889"/>
      <c r="N83" s="1883"/>
      <c r="O83" s="1887"/>
      <c r="P83" s="1888"/>
      <c r="Q83" s="1888"/>
      <c r="R83" s="1889"/>
      <c r="S83" s="1883"/>
      <c r="T83" s="1887"/>
      <c r="U83" s="1888"/>
      <c r="V83" s="1888"/>
      <c r="W83" s="1889"/>
      <c r="X83" s="1883"/>
      <c r="Y83" s="1887"/>
      <c r="Z83" s="1888"/>
      <c r="AA83" s="1888"/>
      <c r="AB83" s="1889"/>
      <c r="AD83" s="1887"/>
      <c r="AE83" s="1888"/>
      <c r="AF83" s="1888"/>
      <c r="AG83" s="1889"/>
      <c r="AH83" s="1884"/>
      <c r="AI83" s="1614"/>
    </row>
    <row r="84" ht="20.25" customHeight="1">
      <c r="A84" s="1626"/>
      <c r="B84" s="1877"/>
      <c r="C84" s="1890"/>
      <c r="D84" s="1886"/>
      <c r="E84" s="1891" t="s">
        <v>564</v>
      </c>
      <c r="F84" s="1892"/>
      <c r="G84" s="1892"/>
      <c r="H84" s="1893"/>
      <c r="I84" s="1894"/>
      <c r="J84" s="1891" t="s">
        <v>564</v>
      </c>
      <c r="K84" s="1892"/>
      <c r="L84" s="1892"/>
      <c r="M84" s="1893"/>
      <c r="N84" s="1894"/>
      <c r="O84" s="1891" t="s">
        <v>564</v>
      </c>
      <c r="P84" s="1892"/>
      <c r="Q84" s="1892"/>
      <c r="R84" s="1893"/>
      <c r="S84" s="1894"/>
      <c r="T84" s="1891" t="s">
        <v>532</v>
      </c>
      <c r="U84" s="1892"/>
      <c r="V84" s="1892"/>
      <c r="W84" s="1893"/>
      <c r="X84" s="1894"/>
      <c r="Y84" s="1891" t="s">
        <v>564</v>
      </c>
      <c r="Z84" s="1892"/>
      <c r="AA84" s="1892"/>
      <c r="AB84" s="1893"/>
      <c r="AD84" s="1891" t="s">
        <v>564</v>
      </c>
      <c r="AE84" s="1892"/>
      <c r="AF84" s="1892"/>
      <c r="AG84" s="1893"/>
      <c r="AH84" s="1862"/>
      <c r="AI84" s="1614"/>
    </row>
    <row r="85">
      <c r="A85" s="1626"/>
      <c r="B85" s="1877"/>
      <c r="C85" s="1895"/>
      <c r="D85" s="1886"/>
      <c r="E85" s="1896" t="s">
        <v>84</v>
      </c>
      <c r="F85" s="1873"/>
      <c r="G85" s="1873"/>
      <c r="H85" s="1874"/>
      <c r="I85" s="1894"/>
      <c r="J85" s="1896" t="s">
        <v>855</v>
      </c>
      <c r="K85" s="1873"/>
      <c r="L85" s="1873"/>
      <c r="M85" s="1874"/>
      <c r="N85" s="1894"/>
      <c r="O85" s="1896" t="s">
        <v>119</v>
      </c>
      <c r="P85" s="1873"/>
      <c r="Q85" s="1873"/>
      <c r="R85" s="1874"/>
      <c r="S85" s="1894"/>
      <c r="T85" s="1896" t="s">
        <v>856</v>
      </c>
      <c r="U85" s="1873"/>
      <c r="V85" s="1873"/>
      <c r="W85" s="1874"/>
      <c r="X85" s="1894"/>
      <c r="Y85" s="1896" t="s">
        <v>857</v>
      </c>
      <c r="Z85" s="1873"/>
      <c r="AA85" s="1873"/>
      <c r="AB85" s="1874"/>
      <c r="AD85" s="1896" t="s">
        <v>858</v>
      </c>
      <c r="AE85" s="1873"/>
      <c r="AF85" s="1873"/>
      <c r="AG85" s="1874"/>
      <c r="AH85" s="1862"/>
      <c r="AI85" s="1614"/>
    </row>
    <row r="86" ht="20.25" customHeight="1">
      <c r="A86" s="1626"/>
      <c r="B86" s="1877"/>
      <c r="C86" s="1897"/>
      <c r="D86" s="1886"/>
      <c r="E86" s="1898" t="s">
        <v>573</v>
      </c>
      <c r="F86" s="1853"/>
      <c r="G86" s="1854"/>
      <c r="H86" s="1899" t="str">
        <f>IMAGE("https://raw.githubusercontent.com/msikma/pokesprite/master/items/hold-item/focus-sash.png",3)</f>
        <v/>
      </c>
      <c r="I86" s="1883"/>
      <c r="J86" s="1898" t="s">
        <v>859</v>
      </c>
      <c r="K86" s="1853"/>
      <c r="L86" s="1854"/>
      <c r="M86" s="1899" t="str">
        <f>IMAGE("https://raw.githubusercontent.com/msikma/pokesprite/master/items/gem/normal.png",3)</f>
        <v/>
      </c>
      <c r="N86" s="1883"/>
      <c r="O86" s="1898" t="s">
        <v>540</v>
      </c>
      <c r="P86" s="1853"/>
      <c r="Q86" s="1854"/>
      <c r="R86" s="1899" t="str">
        <f>IMAGE("https://raw.githubusercontent.com/msikma/pokesprite/master/items/hold-item/mystic-water.png",3)</f>
        <v/>
      </c>
      <c r="S86" s="1883"/>
      <c r="T86" s="1898" t="s">
        <v>859</v>
      </c>
      <c r="U86" s="1853"/>
      <c r="V86" s="1854"/>
      <c r="W86" s="1899" t="str">
        <f>IMAGE("https://raw.githubusercontent.com/msikma/pokesprite/master/items/gem/normal.png",3)</f>
        <v/>
      </c>
      <c r="X86" s="1883"/>
      <c r="Y86" s="1898" t="s">
        <v>733</v>
      </c>
      <c r="Z86" s="1853"/>
      <c r="AA86" s="1854"/>
      <c r="AB86" s="1899" t="str">
        <f>IMAGE("https://raw.githubusercontent.com/msikma/pokesprite/master/items/hold-item/leftovers.png",3)</f>
        <v/>
      </c>
      <c r="AD86" s="1898" t="s">
        <v>860</v>
      </c>
      <c r="AE86" s="1853"/>
      <c r="AF86" s="1854"/>
      <c r="AG86" s="1899" t="str">
        <f>IMAGE("https://raw.githubusercontent.com/msikma/pokesprite/master/items/mega-stone/altarianite.png",3)</f>
        <v/>
      </c>
      <c r="AH86" s="1884"/>
      <c r="AI86" s="1614"/>
    </row>
    <row r="87" ht="20.25" customHeight="1">
      <c r="A87" s="1626"/>
      <c r="B87" s="1877"/>
      <c r="C87" s="1900"/>
      <c r="D87" s="1886"/>
      <c r="E87" s="1891" t="s">
        <v>167</v>
      </c>
      <c r="F87" s="1892"/>
      <c r="G87" s="1892"/>
      <c r="H87" s="1901" t="str">
        <f>IMAGE("https://raw.githubusercontent.com/msikma/pokesprite/master/misc/types/gen8/fire.png",4,20,20)</f>
        <v/>
      </c>
      <c r="I87" s="1883"/>
      <c r="J87" s="1891" t="s">
        <v>129</v>
      </c>
      <c r="K87" s="1892"/>
      <c r="L87" s="1892"/>
      <c r="M87" s="1901" t="str">
        <f>IMAGE("https://raw.githubusercontent.com/msikma/pokesprite/master/misc/types/gen8/electric.png",4,20,20)</f>
        <v/>
      </c>
      <c r="N87" s="1883"/>
      <c r="O87" s="1891" t="s">
        <v>861</v>
      </c>
      <c r="P87" s="1892"/>
      <c r="Q87" s="1892"/>
      <c r="R87" s="1901" t="str">
        <f>IMAGE("https://raw.githubusercontent.com/msikma/pokesprite/master/misc/types/gen8/normal.png",4,20,20)</f>
        <v/>
      </c>
      <c r="S87" s="1883"/>
      <c r="T87" s="1891" t="s">
        <v>693</v>
      </c>
      <c r="U87" s="1892"/>
      <c r="V87" s="1892"/>
      <c r="W87" s="1901" t="str">
        <f>IMAGE("https://raw.githubusercontent.com/msikma/pokesprite/master/misc/types/gen8/flying.png",4,20,20)</f>
        <v/>
      </c>
      <c r="X87" s="1883"/>
      <c r="Y87" s="1891" t="s">
        <v>551</v>
      </c>
      <c r="Z87" s="1892"/>
      <c r="AA87" s="1892"/>
      <c r="AB87" s="1901" t="str">
        <f t="shared" ref="AB87:AB88" si="7">IMAGE("https://raw.githubusercontent.com/msikma/pokesprite/master/misc/types/gen8/flying.png",4,20,20)</f>
        <v/>
      </c>
      <c r="AD87" s="1891" t="s">
        <v>170</v>
      </c>
      <c r="AE87" s="1892"/>
      <c r="AF87" s="1892"/>
      <c r="AG87" s="1901" t="str">
        <f>IMAGE("https://raw.githubusercontent.com/msikma/pokesprite/master/misc/types/gen8/psychic.png",4,20,20)</f>
        <v/>
      </c>
      <c r="AH87" s="1884"/>
      <c r="AI87" s="1614"/>
    </row>
    <row r="88" ht="20.25" customHeight="1">
      <c r="A88" s="1626"/>
      <c r="B88" s="1877"/>
      <c r="C88" s="1890"/>
      <c r="D88" s="1886"/>
      <c r="E88" s="1896" t="s">
        <v>743</v>
      </c>
      <c r="F88" s="1873"/>
      <c r="G88" s="1873"/>
      <c r="H88" s="1902" t="str">
        <f>IMAGE("https://raw.githubusercontent.com/msikma/pokesprite/master/misc/types/gen8/normal.png",4,20,20)</f>
        <v/>
      </c>
      <c r="I88" s="1883"/>
      <c r="J88" s="1896" t="s">
        <v>743</v>
      </c>
      <c r="K88" s="1873"/>
      <c r="L88" s="1873"/>
      <c r="M88" s="1902" t="str">
        <f>IMAGE("https://raw.githubusercontent.com/msikma/pokesprite/master/misc/types/gen8/normal.png",4,20,20)</f>
        <v/>
      </c>
      <c r="N88" s="1883"/>
      <c r="O88" s="1896" t="s">
        <v>592</v>
      </c>
      <c r="P88" s="1873"/>
      <c r="Q88" s="1873"/>
      <c r="R88" s="1902" t="str">
        <f>IMAGE("https://raw.githubusercontent.com/msikma/pokesprite/master/misc/types/gen8/water.png",4,20,20)</f>
        <v/>
      </c>
      <c r="S88" s="1883"/>
      <c r="T88" s="1896" t="s">
        <v>511</v>
      </c>
      <c r="U88" s="1873"/>
      <c r="V88" s="1873"/>
      <c r="W88" s="1902" t="str">
        <f>IMAGE("https://raw.githubusercontent.com/msikma/pokesprite/master/misc/types/gen8/normal.png",4,20,20)</f>
        <v/>
      </c>
      <c r="X88" s="1883"/>
      <c r="Y88" s="1896" t="s">
        <v>805</v>
      </c>
      <c r="Z88" s="1873"/>
      <c r="AA88" s="1873"/>
      <c r="AB88" s="1902" t="str">
        <f t="shared" si="7"/>
        <v/>
      </c>
      <c r="AD88" s="1896" t="s">
        <v>743</v>
      </c>
      <c r="AE88" s="1873"/>
      <c r="AF88" s="1873"/>
      <c r="AG88" s="1902" t="str">
        <f>IMAGE("https://raw.githubusercontent.com/msikma/pokesprite/master/misc/types/gen8/fairy.png",4,20,20)</f>
        <v/>
      </c>
      <c r="AH88" s="1884"/>
      <c r="AI88" s="1614"/>
    </row>
    <row r="89" ht="20.25" customHeight="1">
      <c r="A89" s="1626"/>
      <c r="B89" s="1877"/>
      <c r="C89" s="1890"/>
      <c r="D89" s="1886"/>
      <c r="E89" s="1896" t="s">
        <v>553</v>
      </c>
      <c r="F89" s="1873"/>
      <c r="G89" s="1873"/>
      <c r="H89" s="1902" t="str">
        <f>IMAGE("https://raw.githubusercontent.com/msikma/pokesprite/master/misc/types/gen8/grass.png",4,20,20)</f>
        <v/>
      </c>
      <c r="I89" s="1883"/>
      <c r="J89" s="1896" t="s">
        <v>669</v>
      </c>
      <c r="K89" s="1873"/>
      <c r="L89" s="1873"/>
      <c r="M89" s="1902" t="str">
        <f>IMAGE("https://raw.githubusercontent.com/msikma/pokesprite/master/misc/types/gen8/psychic.png",4,20,20)</f>
        <v/>
      </c>
      <c r="N89" s="1883"/>
      <c r="O89" s="1896" t="s">
        <v>641</v>
      </c>
      <c r="P89" s="1873"/>
      <c r="Q89" s="1873"/>
      <c r="R89" s="1902" t="str">
        <f>IMAGE("https://raw.githubusercontent.com/msikma/pokesprite/master/misc/types/gen8/fairy.png",4,20,20)</f>
        <v/>
      </c>
      <c r="S89" s="1883"/>
      <c r="T89" s="1896" t="s">
        <v>612</v>
      </c>
      <c r="U89" s="1873"/>
      <c r="V89" s="1873"/>
      <c r="W89" s="1902" t="str">
        <f>IMAGE("https://raw.githubusercontent.com/msikma/pokesprite/master/misc/types/gen8/bug.png",4,20,20)</f>
        <v/>
      </c>
      <c r="X89" s="1883"/>
      <c r="Y89" s="1896" t="s">
        <v>611</v>
      </c>
      <c r="Z89" s="1873"/>
      <c r="AA89" s="1873"/>
      <c r="AB89" s="1902" t="str">
        <f>IMAGE("https://raw.githubusercontent.com/msikma/pokesprite/master/misc/types/gen8/electric.png",4,20,20)</f>
        <v/>
      </c>
      <c r="AD89" s="1896" t="s">
        <v>619</v>
      </c>
      <c r="AE89" s="1873"/>
      <c r="AF89" s="1873"/>
      <c r="AG89" s="1902" t="str">
        <f>IMAGE("https://raw.githubusercontent.com/msikma/pokesprite/master/misc/types/gen8/fire.png",4,20,20)</f>
        <v/>
      </c>
      <c r="AH89" s="1884"/>
      <c r="AI89" s="1614"/>
    </row>
    <row r="90" ht="21.0" customHeight="1">
      <c r="A90" s="1626"/>
      <c r="B90" s="1877"/>
      <c r="C90" s="1890"/>
      <c r="D90" s="1886"/>
      <c r="E90" s="1903" t="s">
        <v>698</v>
      </c>
      <c r="F90" s="1904"/>
      <c r="G90" s="1904"/>
      <c r="H90" s="1905" t="str">
        <f>IMAGE("https://raw.githubusercontent.com/msikma/pokesprite/master/misc/types/gen8/normal.png",4,20,20)</f>
        <v/>
      </c>
      <c r="I90" s="1883"/>
      <c r="J90" s="1903" t="s">
        <v>776</v>
      </c>
      <c r="K90" s="1904"/>
      <c r="L90" s="1904"/>
      <c r="M90" s="1905" t="str">
        <f>IMAGE("https://raw.githubusercontent.com/msikma/pokesprite/master/misc/types/gen8/fairy.png",4,20,20)</f>
        <v/>
      </c>
      <c r="N90" s="1883"/>
      <c r="O90" s="1903" t="s">
        <v>670</v>
      </c>
      <c r="P90" s="1904"/>
      <c r="Q90" s="1904"/>
      <c r="R90" s="1905" t="str">
        <f>IMAGE("https://raw.githubusercontent.com/msikma/pokesprite/master/misc/types/gen8/ice.png",4,20,20)</f>
        <v/>
      </c>
      <c r="S90" s="1883"/>
      <c r="T90" s="1903" t="s">
        <v>806</v>
      </c>
      <c r="U90" s="1904"/>
      <c r="V90" s="1904"/>
      <c r="W90" s="1905" t="str">
        <f>IMAGE("https://raw.githubusercontent.com/msikma/pokesprite/master/misc/types/gen8/normal.png",4,20,20)</f>
        <v/>
      </c>
      <c r="X90" s="1883"/>
      <c r="Y90" s="1903" t="s">
        <v>862</v>
      </c>
      <c r="Z90" s="1904"/>
      <c r="AA90" s="1904"/>
      <c r="AB90" s="1905" t="str">
        <f>IMAGE("https://raw.githubusercontent.com/msikma/pokesprite/master/misc/types/gen8/fire.png",4,20,20)</f>
        <v/>
      </c>
      <c r="AC90" s="1867"/>
      <c r="AD90" s="1903" t="s">
        <v>551</v>
      </c>
      <c r="AE90" s="1904"/>
      <c r="AF90" s="1904"/>
      <c r="AG90" s="1905" t="str">
        <f>IMAGE("https://raw.githubusercontent.com/msikma/pokesprite/master/misc/types/gen8/flying.png",4,20,20)</f>
        <v/>
      </c>
      <c r="AH90" s="1884"/>
      <c r="AI90" s="1614"/>
    </row>
    <row r="91" ht="3.0" customHeight="1">
      <c r="A91" s="1626"/>
      <c r="B91" s="1906"/>
      <c r="C91" s="1851"/>
      <c r="D91" s="1907"/>
      <c r="E91" s="1908"/>
      <c r="F91" s="1908"/>
      <c r="G91" s="1908"/>
      <c r="H91" s="1908"/>
      <c r="I91" s="1907"/>
      <c r="J91" s="1908"/>
      <c r="K91" s="1908"/>
      <c r="L91" s="1908"/>
      <c r="M91" s="1908"/>
      <c r="N91" s="1907"/>
      <c r="O91" s="1908"/>
      <c r="P91" s="1908"/>
      <c r="Q91" s="1908"/>
      <c r="R91" s="1908"/>
      <c r="S91" s="1907"/>
      <c r="T91" s="1908"/>
      <c r="U91" s="1908"/>
      <c r="V91" s="1908"/>
      <c r="W91" s="1908"/>
      <c r="X91" s="1907"/>
      <c r="Y91" s="1908"/>
      <c r="Z91" s="1909"/>
      <c r="AA91" s="1909"/>
      <c r="AB91" s="1910"/>
      <c r="AC91" s="1911"/>
      <c r="AD91" s="1908"/>
      <c r="AE91" s="1909"/>
      <c r="AF91" s="1909"/>
      <c r="AG91" s="1910"/>
      <c r="AH91" s="1912"/>
      <c r="AI91" s="1684"/>
    </row>
    <row r="92" ht="16.5" customHeight="1">
      <c r="A92" s="1626"/>
      <c r="B92" s="1850"/>
      <c r="C92" s="1851"/>
      <c r="D92" s="1913"/>
      <c r="E92" s="1914" t="s">
        <v>512</v>
      </c>
      <c r="F92" s="606"/>
      <c r="G92" s="606"/>
      <c r="H92" s="607"/>
      <c r="I92" s="1913"/>
      <c r="J92" s="1914" t="s">
        <v>512</v>
      </c>
      <c r="K92" s="606"/>
      <c r="L92" s="606"/>
      <c r="M92" s="607"/>
      <c r="N92" s="1913"/>
      <c r="O92" s="1914" t="s">
        <v>512</v>
      </c>
      <c r="P92" s="606"/>
      <c r="Q92" s="606"/>
      <c r="R92" s="607"/>
      <c r="S92" s="1913"/>
      <c r="T92" s="1914" t="s">
        <v>512</v>
      </c>
      <c r="U92" s="606"/>
      <c r="V92" s="606"/>
      <c r="W92" s="607"/>
      <c r="X92" s="1913"/>
      <c r="Y92" s="1914" t="s">
        <v>512</v>
      </c>
      <c r="Z92" s="606"/>
      <c r="AA92" s="606"/>
      <c r="AB92" s="607"/>
      <c r="AC92" s="1915"/>
      <c r="AD92" s="1914" t="s">
        <v>512</v>
      </c>
      <c r="AE92" s="606"/>
      <c r="AF92" s="606"/>
      <c r="AG92" s="607"/>
      <c r="AH92" s="1916"/>
      <c r="AI92" s="1692"/>
    </row>
    <row r="93" ht="16.5" customHeight="1">
      <c r="A93" s="1626"/>
      <c r="B93" s="1850"/>
      <c r="C93" s="1851"/>
      <c r="D93" s="1913"/>
      <c r="E93" s="1917" t="s">
        <v>513</v>
      </c>
      <c r="F93" s="1918">
        <f t="array" ref="F93">IFERROR(VLOOKUP(E80,Dex!$B$3:$N252,8,FALSE),"")</f>
        <v>86</v>
      </c>
      <c r="G93" s="1919" t="str">
        <f t="array" ref="G93">IFERROR(VLOOKUP(F93,Dex!$P$22:$Q$276,2,FALSE),"")</f>
        <v/>
      </c>
      <c r="H93" s="1920"/>
      <c r="I93" s="1913"/>
      <c r="J93" s="1917" t="s">
        <v>513</v>
      </c>
      <c r="K93" s="1918">
        <f t="array" ref="K93">IFERROR(VLOOKUP(J80,Dex!$B$3:$N252,8,FALSE),"")</f>
        <v>120</v>
      </c>
      <c r="L93" s="1919" t="str">
        <f t="array" ref="L93">IFERROR(VLOOKUP(K93,Dex!$P$22:$Q$276,2,FALSE),"")</f>
        <v/>
      </c>
      <c r="M93" s="1920"/>
      <c r="N93" s="1913"/>
      <c r="O93" s="1917" t="s">
        <v>513</v>
      </c>
      <c r="P93" s="1918">
        <f t="array" ref="P93">IFERROR(VLOOKUP(O80,Dex!$B$3:$N252,8,FALSE),"")</f>
        <v>43</v>
      </c>
      <c r="Q93" s="1919" t="str">
        <f t="array" ref="Q93">IFERROR(VLOOKUP(P93,Dex!$P$22:$Q$276,2,FALSE),"")</f>
        <v/>
      </c>
      <c r="R93" s="1920"/>
      <c r="S93" s="1913"/>
      <c r="T93" s="1917" t="s">
        <v>513</v>
      </c>
      <c r="U93" s="1918">
        <f t="array" ref="U93">IFERROR(VLOOKUP(T80,Dex!$B$3:$N252,8,FALSE),"")</f>
        <v>60</v>
      </c>
      <c r="V93" s="1919" t="str">
        <f t="array" ref="V93">IFERROR(VLOOKUP(U93,Dex!$P$22:$Q$276,2,FALSE),"")</f>
        <v/>
      </c>
      <c r="W93" s="1920"/>
      <c r="X93" s="1913"/>
      <c r="Y93" s="1917" t="s">
        <v>513</v>
      </c>
      <c r="Z93" s="1918">
        <f t="array" ref="Z93">IFERROR(VLOOKUP(Y80,Dex!$B$3:$N252,8,FALSE),"")</f>
        <v>85</v>
      </c>
      <c r="AA93" s="1919" t="str">
        <f t="array" ref="AA93">IFERROR(VLOOKUP(Z93,Dex!$P$22:$Q$276,2,FALSE),"")</f>
        <v/>
      </c>
      <c r="AB93" s="1920"/>
      <c r="AC93" s="1921"/>
      <c r="AD93" s="1917" t="s">
        <v>513</v>
      </c>
      <c r="AE93" s="1918">
        <f t="array" ref="AE93">IFERROR(VLOOKUP(AD80,Dex!$B$3:$N252,8,FALSE),"")</f>
        <v>85</v>
      </c>
      <c r="AF93" s="1919" t="str">
        <f t="array" ref="AF93">IFERROR(VLOOKUP(AE93,Dex!$P$22:$Q$276,2,FALSE),"")</f>
        <v/>
      </c>
      <c r="AG93" s="1920"/>
      <c r="AH93" s="1916"/>
      <c r="AI93" s="1692"/>
    </row>
    <row r="94" ht="16.5" customHeight="1">
      <c r="A94" s="1626"/>
      <c r="B94" s="1850"/>
      <c r="C94" s="1851"/>
      <c r="D94" s="1913"/>
      <c r="E94" s="1922" t="s">
        <v>514</v>
      </c>
      <c r="F94" s="1923">
        <f t="array" ref="F94">IFERROR(VLOOKUP(E80,Dex!$B$3:$N252,9,FALSE),"")</f>
        <v>68</v>
      </c>
      <c r="G94" s="1924" t="str">
        <f t="array" ref="G94">IFERROR(VLOOKUP(F94,Dex!$P$22:$Q$276,2,FALSE),"")</f>
        <v/>
      </c>
      <c r="H94" s="1925"/>
      <c r="I94" s="1913"/>
      <c r="J94" s="1922" t="s">
        <v>514</v>
      </c>
      <c r="K94" s="1923">
        <f t="array" ref="K94">IFERROR(VLOOKUP(J80,Dex!$B$3:$N252,9,FALSE),"")</f>
        <v>90</v>
      </c>
      <c r="L94" s="1924" t="str">
        <f t="array" ref="L94">IFERROR(VLOOKUP(K94,Dex!$P$22:$Q$276,2,FALSE),"")</f>
        <v/>
      </c>
      <c r="M94" s="1925"/>
      <c r="N94" s="1913"/>
      <c r="O94" s="1922" t="s">
        <v>514</v>
      </c>
      <c r="P94" s="1923">
        <f t="array" ref="P94">IFERROR(VLOOKUP(O80,Dex!$B$3:$N252,9,FALSE),"")</f>
        <v>30</v>
      </c>
      <c r="Q94" s="1924" t="str">
        <f t="array" ref="Q94">IFERROR(VLOOKUP(P94,Dex!$P$22:$Q$276,2,FALSE),"")</f>
        <v/>
      </c>
      <c r="R94" s="1925"/>
      <c r="S94" s="1913"/>
      <c r="T94" s="1922" t="s">
        <v>514</v>
      </c>
      <c r="U94" s="1923">
        <f t="array" ref="U94">IFERROR(VLOOKUP(T80,Dex!$B$3:$N252,9,FALSE),"")</f>
        <v>85</v>
      </c>
      <c r="V94" s="1924" t="str">
        <f t="array" ref="V94">IFERROR(VLOOKUP(U94,Dex!$P$22:$Q$276,2,FALSE),"")</f>
        <v/>
      </c>
      <c r="W94" s="1925"/>
      <c r="X94" s="1913"/>
      <c r="Y94" s="1922" t="s">
        <v>514</v>
      </c>
      <c r="Z94" s="1923">
        <f t="array" ref="Z94">IFERROR(VLOOKUP(Y80,Dex!$B$3:$N252,9,FALSE),"")</f>
        <v>50</v>
      </c>
      <c r="AA94" s="1924" t="str">
        <f t="array" ref="AA94">IFERROR(VLOOKUP(Z94,Dex!$P$22:$Q$276,2,FALSE),"")</f>
        <v/>
      </c>
      <c r="AB94" s="1925"/>
      <c r="AC94" s="1921"/>
      <c r="AD94" s="1922" t="s">
        <v>514</v>
      </c>
      <c r="AE94" s="1923">
        <f t="array" ref="AE94">IFERROR(VLOOKUP(AD80,Dex!$B$3:$N252,9,FALSE),"")</f>
        <v>110</v>
      </c>
      <c r="AF94" s="1924" t="str">
        <f t="array" ref="AF94">IFERROR(VLOOKUP(AE94,Dex!$P$22:$Q$276,2,FALSE),"")</f>
        <v/>
      </c>
      <c r="AG94" s="1925"/>
      <c r="AH94" s="1916"/>
      <c r="AI94" s="1692"/>
    </row>
    <row r="95" ht="16.5" customHeight="1">
      <c r="A95" s="1626"/>
      <c r="B95" s="1850"/>
      <c r="C95" s="1851"/>
      <c r="D95" s="1913"/>
      <c r="E95" s="1922" t="s">
        <v>515</v>
      </c>
      <c r="F95" s="1923">
        <f t="array" ref="F95">IFERROR(VLOOKUP(E80,Dex!$B$3:$N252,10,FALSE),"")</f>
        <v>72</v>
      </c>
      <c r="G95" s="1924" t="str">
        <f t="array" ref="G95">IFERROR(VLOOKUP(F95,Dex!$P$22:$Q$276,2,FALSE),"")</f>
        <v/>
      </c>
      <c r="H95" s="1925"/>
      <c r="I95" s="1913"/>
      <c r="J95" s="1922" t="s">
        <v>515</v>
      </c>
      <c r="K95" s="1923">
        <f t="array" ref="K95">IFERROR(VLOOKUP(J80,Dex!$B$3:$N252,10,FALSE),"")</f>
        <v>70</v>
      </c>
      <c r="L95" s="1924" t="str">
        <f t="array" ref="L95">IFERROR(VLOOKUP(K95,Dex!$P$22:$Q$276,2,FALSE),"")</f>
        <v/>
      </c>
      <c r="M95" s="1925"/>
      <c r="N95" s="1913"/>
      <c r="O95" s="1922" t="s">
        <v>515</v>
      </c>
      <c r="P95" s="1923">
        <f t="array" ref="P95">IFERROR(VLOOKUP(O80,Dex!$B$3:$N252,10,FALSE),"")</f>
        <v>55</v>
      </c>
      <c r="Q95" s="1924" t="str">
        <f t="array" ref="Q95">IFERROR(VLOOKUP(P95,Dex!$P$22:$Q$276,2,FALSE),"")</f>
        <v/>
      </c>
      <c r="R95" s="1925"/>
      <c r="S95" s="1913"/>
      <c r="T95" s="1922" t="s">
        <v>515</v>
      </c>
      <c r="U95" s="1923">
        <f t="array" ref="U95">IFERROR(VLOOKUP(T80,Dex!$B$3:$N252,10,FALSE),"")</f>
        <v>60</v>
      </c>
      <c r="V95" s="1924" t="str">
        <f t="array" ref="V95">IFERROR(VLOOKUP(U95,Dex!$P$22:$Q$276,2,FALSE),"")</f>
        <v/>
      </c>
      <c r="W95" s="1925"/>
      <c r="X95" s="1913"/>
      <c r="Y95" s="1922" t="s">
        <v>515</v>
      </c>
      <c r="Z95" s="1923">
        <f t="array" ref="Z95">IFERROR(VLOOKUP(Y80,Dex!$B$3:$N252,10,FALSE),"")</f>
        <v>95</v>
      </c>
      <c r="AA95" s="1924" t="str">
        <f t="array" ref="AA95">IFERROR(VLOOKUP(Z95,Dex!$P$22:$Q$276,2,FALSE),"")</f>
        <v/>
      </c>
      <c r="AB95" s="1925"/>
      <c r="AC95" s="1921"/>
      <c r="AD95" s="1922" t="s">
        <v>515</v>
      </c>
      <c r="AE95" s="1923">
        <f t="array" ref="AE95">IFERROR(VLOOKUP(AD80,Dex!$B$3:$N252,10,FALSE),"")</f>
        <v>110</v>
      </c>
      <c r="AF95" s="1924" t="str">
        <f t="array" ref="AF95">IFERROR(VLOOKUP(AE95,Dex!$P$22:$Q$276,2,FALSE),"")</f>
        <v/>
      </c>
      <c r="AG95" s="1925"/>
      <c r="AH95" s="1916"/>
      <c r="AI95" s="1692"/>
    </row>
    <row r="96" ht="16.5" customHeight="1">
      <c r="A96" s="1626"/>
      <c r="B96" s="1850"/>
      <c r="C96" s="1851"/>
      <c r="D96" s="1913"/>
      <c r="E96" s="1922" t="s">
        <v>516</v>
      </c>
      <c r="F96" s="1923">
        <f t="array" ref="F96">IFERROR(VLOOKUP(E80,Dex!$B$3:$N252,11,FALSE),"")</f>
        <v>109</v>
      </c>
      <c r="G96" s="1924" t="str">
        <f t="array" ref="G96">IFERROR(VLOOKUP(F96,Dex!$P$22:$Q$276,2,FALSE),"")</f>
        <v/>
      </c>
      <c r="H96" s="1925"/>
      <c r="I96" s="1913"/>
      <c r="J96" s="1922" t="s">
        <v>516</v>
      </c>
      <c r="K96" s="1923">
        <f t="array" ref="K96">IFERROR(VLOOKUP(J80,Dex!$B$3:$N252,11,FALSE),"")</f>
        <v>110</v>
      </c>
      <c r="L96" s="1924" t="str">
        <f t="array" ref="L96">IFERROR(VLOOKUP(K96,Dex!$P$22:$Q$276,2,FALSE),"")</f>
        <v/>
      </c>
      <c r="M96" s="1925"/>
      <c r="N96" s="1913"/>
      <c r="O96" s="1922" t="s">
        <v>516</v>
      </c>
      <c r="P96" s="1923">
        <f t="array" ref="P96">IFERROR(VLOOKUP(O80,Dex!$B$3:$N252,11,FALSE),"")</f>
        <v>100</v>
      </c>
      <c r="Q96" s="1924" t="str">
        <f t="array" ref="Q96">IFERROR(VLOOKUP(P96,Dex!$P$22:$Q$276,2,FALSE),"")</f>
        <v/>
      </c>
      <c r="R96" s="1925"/>
      <c r="S96" s="1913"/>
      <c r="T96" s="1922" t="s">
        <v>516</v>
      </c>
      <c r="U96" s="1923">
        <f t="array" ref="U96">IFERROR(VLOOKUP(T80,Dex!$B$3:$N252,11,FALSE),"")</f>
        <v>75</v>
      </c>
      <c r="V96" s="1924" t="str">
        <f t="array" ref="V96">IFERROR(VLOOKUP(U96,Dex!$P$22:$Q$276,2,FALSE),"")</f>
        <v/>
      </c>
      <c r="W96" s="1925"/>
      <c r="X96" s="1913"/>
      <c r="Y96" s="1922" t="s">
        <v>516</v>
      </c>
      <c r="Z96" s="1923">
        <f t="array" ref="Z96">IFERROR(VLOOKUP(Y80,Dex!$B$3:$N252,11,FALSE),"")</f>
        <v>120</v>
      </c>
      <c r="AA96" s="1924" t="str">
        <f t="array" ref="AA96">IFERROR(VLOOKUP(Z96,Dex!$P$22:$Q$276,2,FALSE),"")</f>
        <v/>
      </c>
      <c r="AB96" s="1925"/>
      <c r="AC96" s="1921"/>
      <c r="AD96" s="1922" t="s">
        <v>516</v>
      </c>
      <c r="AE96" s="1923">
        <f t="array" ref="AE96">IFERROR(VLOOKUP(AD80,Dex!$B$3:$N252,11,FALSE),"")</f>
        <v>110</v>
      </c>
      <c r="AF96" s="1924" t="str">
        <f t="array" ref="AF96">IFERROR(VLOOKUP(AE96,Dex!$P$22:$Q$276,2,FALSE),"")</f>
        <v/>
      </c>
      <c r="AG96" s="1925"/>
      <c r="AH96" s="1916"/>
      <c r="AI96" s="1692"/>
    </row>
    <row r="97" ht="16.5" customHeight="1">
      <c r="A97" s="1626"/>
      <c r="B97" s="1850"/>
      <c r="C97" s="1851"/>
      <c r="D97" s="1913"/>
      <c r="E97" s="1922" t="s">
        <v>517</v>
      </c>
      <c r="F97" s="1923">
        <f t="array" ref="F97">IFERROR(VLOOKUP(E80,Dex!$B$3:$N252,12,FALSE),"")</f>
        <v>66</v>
      </c>
      <c r="G97" s="1924" t="str">
        <f t="array" ref="G97">IFERROR(VLOOKUP(F97,Dex!$P$22:$Q$276,2,FALSE),"")</f>
        <v/>
      </c>
      <c r="H97" s="1925"/>
      <c r="I97" s="1913"/>
      <c r="J97" s="1922" t="s">
        <v>517</v>
      </c>
      <c r="K97" s="1923">
        <f t="array" ref="K97">IFERROR(VLOOKUP(J80,Dex!$B$3:$N252,12,FALSE),"")</f>
        <v>70</v>
      </c>
      <c r="L97" s="1924" t="str">
        <f t="array" ref="L97">IFERROR(VLOOKUP(K97,Dex!$P$22:$Q$276,2,FALSE),"")</f>
        <v/>
      </c>
      <c r="M97" s="1925"/>
      <c r="N97" s="1913"/>
      <c r="O97" s="1922" t="s">
        <v>517</v>
      </c>
      <c r="P97" s="1923">
        <f t="array" ref="P97">IFERROR(VLOOKUP(O80,Dex!$B$3:$N252,12,FALSE),"")</f>
        <v>65</v>
      </c>
      <c r="Q97" s="1924" t="str">
        <f t="array" ref="Q97">IFERROR(VLOOKUP(P97,Dex!$P$22:$Q$276,2,FALSE),"")</f>
        <v/>
      </c>
      <c r="R97" s="1925"/>
      <c r="S97" s="1913"/>
      <c r="T97" s="1922" t="s">
        <v>517</v>
      </c>
      <c r="U97" s="1923">
        <f t="array" ref="U97">IFERROR(VLOOKUP(T80,Dex!$B$3:$N252,12,FALSE),"")</f>
        <v>50</v>
      </c>
      <c r="V97" s="1924" t="str">
        <f t="array" ref="V97">IFERROR(VLOOKUP(U97,Dex!$P$22:$Q$276,2,FALSE),"")</f>
        <v/>
      </c>
      <c r="W97" s="1925"/>
      <c r="X97" s="1913"/>
      <c r="Y97" s="1922" t="s">
        <v>517</v>
      </c>
      <c r="Z97" s="1923">
        <f t="array" ref="Z97">IFERROR(VLOOKUP(Y80,Dex!$B$3:$N252,12,FALSE),"")</f>
        <v>115</v>
      </c>
      <c r="AA97" s="1924" t="str">
        <f t="array" ref="AA97">IFERROR(VLOOKUP(Z97,Dex!$P$22:$Q$276,2,FALSE),"")</f>
        <v/>
      </c>
      <c r="AB97" s="1925"/>
      <c r="AC97" s="1921"/>
      <c r="AD97" s="1922" t="s">
        <v>517</v>
      </c>
      <c r="AE97" s="1923">
        <f t="array" ref="AE97">IFERROR(VLOOKUP(AD80,Dex!$B$3:$N252,12,FALSE),"")</f>
        <v>105</v>
      </c>
      <c r="AF97" s="1924" t="str">
        <f t="array" ref="AF97">IFERROR(VLOOKUP(AE97,Dex!$P$22:$Q$276,2,FALSE),"")</f>
        <v/>
      </c>
      <c r="AG97" s="1925"/>
      <c r="AH97" s="1916"/>
      <c r="AI97" s="1692"/>
    </row>
    <row r="98" ht="15.75" customHeight="1">
      <c r="A98" s="1626"/>
      <c r="B98" s="1850"/>
      <c r="C98" s="1426" t="s">
        <v>745</v>
      </c>
      <c r="D98" s="1913"/>
      <c r="E98" s="1926" t="s">
        <v>518</v>
      </c>
      <c r="F98" s="1927">
        <f t="array" ref="F98">IFERROR(VLOOKUP(E80,Dex!$B$3:$N252,13,FALSE),"")</f>
        <v>106</v>
      </c>
      <c r="G98" s="1928" t="str">
        <f t="array" ref="G98">IFERROR(VLOOKUP(F98,Dex!$P$22:$Q$276,2,FALSE),"")</f>
        <v/>
      </c>
      <c r="H98" s="1929"/>
      <c r="I98" s="1913"/>
      <c r="J98" s="1926" t="s">
        <v>518</v>
      </c>
      <c r="K98" s="1927">
        <f t="array" ref="K98">IFERROR(VLOOKUP(J80,Dex!$B$3:$N252,13,FALSE),"")</f>
        <v>60</v>
      </c>
      <c r="L98" s="1928" t="str">
        <f t="array" ref="L98">IFERROR(VLOOKUP(K98,Dex!$P$22:$Q$276,2,FALSE),"")</f>
        <v/>
      </c>
      <c r="M98" s="1929"/>
      <c r="N98" s="1913"/>
      <c r="O98" s="1926" t="s">
        <v>518</v>
      </c>
      <c r="P98" s="1927">
        <f t="array" ref="P98">IFERROR(VLOOKUP(O80,Dex!$B$3:$N252,13,FALSE),"")</f>
        <v>97</v>
      </c>
      <c r="Q98" s="1928" t="str">
        <f t="array" ref="Q98">IFERROR(VLOOKUP(P98,Dex!$P$22:$Q$276,2,FALSE),"")</f>
        <v/>
      </c>
      <c r="R98" s="1929"/>
      <c r="S98" s="1913"/>
      <c r="T98" s="1926" t="s">
        <v>518</v>
      </c>
      <c r="U98" s="1927">
        <f t="array" ref="U98">IFERROR(VLOOKUP(T80,Dex!$B$3:$N252,13,FALSE),"")</f>
        <v>125</v>
      </c>
      <c r="V98" s="1928" t="str">
        <f t="array" ref="V98">IFERROR(VLOOKUP(U98,Dex!$P$22:$Q$276,2,FALSE),"")</f>
        <v/>
      </c>
      <c r="W98" s="1929"/>
      <c r="X98" s="1913"/>
      <c r="Y98" s="1926" t="s">
        <v>518</v>
      </c>
      <c r="Z98" s="1927">
        <f t="array" ref="Z98">IFERROR(VLOOKUP(Y80,Dex!$B$3:$N252,13,FALSE),"")</f>
        <v>80</v>
      </c>
      <c r="AA98" s="1928" t="str">
        <f t="array" ref="AA98">IFERROR(VLOOKUP(Z98,Dex!$P$22:$Q$276,2,FALSE),"")</f>
        <v/>
      </c>
      <c r="AB98" s="1929"/>
      <c r="AC98" s="1921"/>
      <c r="AD98" s="1926" t="s">
        <v>518</v>
      </c>
      <c r="AE98" s="1927">
        <f t="array" ref="AE98">IFERROR(VLOOKUP(AD80,Dex!$B$3:$N252,13,FALSE),"")</f>
        <v>80</v>
      </c>
      <c r="AF98" s="1928" t="str">
        <f t="array" ref="AF98">IFERROR(VLOOKUP(AE98,Dex!$P$22:$Q$276,2,FALSE),"")</f>
        <v/>
      </c>
      <c r="AG98" s="1929"/>
      <c r="AH98" s="1916"/>
      <c r="AI98" s="1692"/>
    </row>
    <row r="99" ht="16.5" customHeight="1">
      <c r="A99" s="1626"/>
      <c r="B99" s="1850"/>
      <c r="C99" s="1427" t="s">
        <v>836</v>
      </c>
      <c r="D99" s="1913"/>
      <c r="E99" s="1930" t="s">
        <v>519</v>
      </c>
      <c r="F99" s="630"/>
      <c r="G99" s="631"/>
      <c r="H99" s="632">
        <f>ROUNDDOWN((ROUNDDOWN(((((2*F98+31)*28)/100+5)),0))*1.1,0)</f>
        <v>80</v>
      </c>
      <c r="I99" s="1913"/>
      <c r="J99" s="1930" t="s">
        <v>519</v>
      </c>
      <c r="K99" s="630"/>
      <c r="L99" s="631"/>
      <c r="M99" s="632">
        <f>ROUNDDOWN((ROUNDDOWN(((((2*K98+31)*28)/100+5)),0))*1.1,0)</f>
        <v>51</v>
      </c>
      <c r="N99" s="1913"/>
      <c r="O99" s="1930" t="s">
        <v>519</v>
      </c>
      <c r="P99" s="630"/>
      <c r="Q99" s="631"/>
      <c r="R99" s="632">
        <f>ROUNDDOWN((ROUNDDOWN(((((2*P98+31)*28)/100+5)),0))*1.1,0)</f>
        <v>74</v>
      </c>
      <c r="S99" s="1913"/>
      <c r="T99" s="1930" t="s">
        <v>519</v>
      </c>
      <c r="U99" s="630"/>
      <c r="V99" s="631"/>
      <c r="W99" s="632">
        <f>ROUNDDOWN((ROUNDDOWN(((((2*U98+31)*28)/100+5)),0))*1.1,0)</f>
        <v>91</v>
      </c>
      <c r="X99" s="1913"/>
      <c r="Y99" s="1930" t="s">
        <v>519</v>
      </c>
      <c r="Z99" s="630"/>
      <c r="AA99" s="631"/>
      <c r="AB99" s="632">
        <f>ROUNDDOWN((ROUNDDOWN(((((2*Z98+31)*28)/100+5)),0))*1.1,0)</f>
        <v>63</v>
      </c>
      <c r="AC99" s="1915"/>
      <c r="AD99" s="1930" t="s">
        <v>519</v>
      </c>
      <c r="AE99" s="630"/>
      <c r="AF99" s="631"/>
      <c r="AG99" s="632">
        <f>ROUNDDOWN((ROUNDDOWN(((((2*AE98+31)*28)/100+5)),0))*1.1,0)</f>
        <v>63</v>
      </c>
      <c r="AH99" s="1916"/>
      <c r="AI99" s="1692"/>
    </row>
    <row r="100" ht="15.0" customHeight="1">
      <c r="A100" s="1626"/>
      <c r="B100" s="1931"/>
      <c r="C100" s="1932"/>
      <c r="D100" s="1933"/>
      <c r="E100" s="1934"/>
      <c r="F100" s="1934"/>
      <c r="G100" s="1934"/>
      <c r="H100" s="1934"/>
      <c r="I100" s="1933"/>
      <c r="J100" s="1934"/>
      <c r="K100" s="1934"/>
      <c r="L100" s="1934"/>
      <c r="M100" s="1934"/>
      <c r="N100" s="1933"/>
      <c r="O100" s="1934"/>
      <c r="P100" s="1934"/>
      <c r="Q100" s="1934"/>
      <c r="R100" s="1934"/>
      <c r="S100" s="1933"/>
      <c r="T100" s="1934"/>
      <c r="U100" s="1934"/>
      <c r="V100" s="1934"/>
      <c r="W100" s="1934"/>
      <c r="X100" s="1933"/>
      <c r="Y100" s="1934"/>
      <c r="Z100" s="1934"/>
      <c r="AA100" s="1934"/>
      <c r="AB100" s="1934"/>
      <c r="AC100" s="1933"/>
      <c r="AD100" s="1934"/>
      <c r="AE100" s="1934"/>
      <c r="AF100" s="1934"/>
      <c r="AG100" s="1933"/>
      <c r="AH100" s="1935"/>
      <c r="AI100" s="1614"/>
    </row>
    <row r="101" ht="15.0" customHeight="1">
      <c r="A101" s="1626"/>
      <c r="B101" s="1936"/>
      <c r="C101" s="1937"/>
      <c r="D101" s="1938"/>
      <c r="E101" s="1939"/>
      <c r="F101" s="1939"/>
      <c r="G101" s="1939"/>
      <c r="H101" s="1939"/>
      <c r="I101" s="1938"/>
      <c r="J101" s="1939"/>
      <c r="K101" s="1939"/>
      <c r="L101" s="1939"/>
      <c r="M101" s="1939"/>
      <c r="N101" s="1938"/>
      <c r="O101" s="1939"/>
      <c r="P101" s="1939"/>
      <c r="Q101" s="1939"/>
      <c r="R101" s="1939"/>
      <c r="S101" s="1938"/>
      <c r="T101" s="1939"/>
      <c r="U101" s="1939"/>
      <c r="V101" s="1939"/>
      <c r="W101" s="1939"/>
      <c r="X101" s="1938"/>
      <c r="Y101" s="1939"/>
      <c r="Z101" s="1939"/>
      <c r="AA101" s="1939"/>
      <c r="AB101" s="1939"/>
      <c r="AC101" s="1938"/>
      <c r="AD101" s="1939"/>
      <c r="AE101" s="1939"/>
      <c r="AF101" s="1939"/>
      <c r="AG101" s="1939"/>
      <c r="AH101" s="1940"/>
      <c r="AI101" s="1614"/>
    </row>
    <row r="102" ht="96.75" customHeight="1">
      <c r="A102" s="1626"/>
      <c r="B102" s="1941"/>
      <c r="C102" s="1942" t="str">
        <f>IMAGE("https://i.ibb.co/h9K4sWf/Morty.png")</f>
        <v/>
      </c>
      <c r="D102" s="1943"/>
      <c r="E102" s="1944" t="str">
        <f t="array" ref="E102">IFERROR(VLOOKUP(E103,Dex!$B$3:$G252,3,FALSE),"")</f>
        <v/>
      </c>
      <c r="F102" s="1945"/>
      <c r="G102" s="1945"/>
      <c r="H102" s="1946"/>
      <c r="I102" s="1947"/>
      <c r="J102" s="1944" t="str">
        <f t="array" ref="J102">IFERROR(VLOOKUP(J103,Dex!$B$3:$G252,3,FALSE),"")</f>
        <v/>
      </c>
      <c r="K102" s="1945"/>
      <c r="L102" s="1945"/>
      <c r="M102" s="1946"/>
      <c r="N102" s="1947"/>
      <c r="O102" s="1944" t="str">
        <f t="array" ref="O102">IFERROR(VLOOKUP(O103,Dex!$B$3:$G252,3,FALSE),"")</f>
        <v/>
      </c>
      <c r="P102" s="1945"/>
      <c r="Q102" s="1945"/>
      <c r="R102" s="1946"/>
      <c r="S102" s="1947"/>
      <c r="T102" s="1944" t="str">
        <f t="array" ref="T102">IFERROR(VLOOKUP(T103,Dex!$B$3:$G252,3,FALSE),"")</f>
        <v/>
      </c>
      <c r="U102" s="1945"/>
      <c r="V102" s="1945"/>
      <c r="W102" s="1946"/>
      <c r="X102" s="1947"/>
      <c r="Y102" s="1944" t="str">
        <f t="array" ref="Y102">IFERROR(VLOOKUP(Y103,Dex!$B$3:$G252,3,FALSE),"")</f>
        <v/>
      </c>
      <c r="Z102" s="1945"/>
      <c r="AA102" s="1945"/>
      <c r="AB102" s="1946"/>
      <c r="AC102" s="1947"/>
      <c r="AD102" s="1944" t="str">
        <f t="array" ref="AD102">IFERROR(VLOOKUP(AD103,Dex!$B$3:$G252,3,FALSE),"")</f>
        <v/>
      </c>
      <c r="AE102" s="1945"/>
      <c r="AF102" s="1945"/>
      <c r="AG102" s="1946"/>
      <c r="AH102" s="1948"/>
      <c r="AI102" s="1614"/>
    </row>
    <row r="103" ht="18.75" customHeight="1">
      <c r="A103" s="1626"/>
      <c r="B103" s="1949"/>
      <c r="C103" s="1950" t="s">
        <v>863</v>
      </c>
      <c r="D103" s="1951"/>
      <c r="E103" s="1952" t="s">
        <v>654</v>
      </c>
      <c r="F103" s="1953"/>
      <c r="G103" s="1953"/>
      <c r="H103" s="1954"/>
      <c r="J103" s="1952" t="s">
        <v>864</v>
      </c>
      <c r="K103" s="1953"/>
      <c r="L103" s="1953"/>
      <c r="M103" s="1954"/>
      <c r="O103" s="1952" t="s">
        <v>865</v>
      </c>
      <c r="P103" s="1953"/>
      <c r="Q103" s="1953"/>
      <c r="R103" s="1954"/>
      <c r="T103" s="1952" t="s">
        <v>866</v>
      </c>
      <c r="U103" s="1953"/>
      <c r="V103" s="1953"/>
      <c r="W103" s="1954"/>
      <c r="Y103" s="1952" t="s">
        <v>867</v>
      </c>
      <c r="Z103" s="1953"/>
      <c r="AA103" s="1953"/>
      <c r="AB103" s="1954"/>
      <c r="AD103" s="1952" t="s">
        <v>868</v>
      </c>
      <c r="AE103" s="1953"/>
      <c r="AF103" s="1953"/>
      <c r="AG103" s="1954"/>
      <c r="AH103" s="1955"/>
      <c r="AI103" s="1636"/>
    </row>
    <row r="104">
      <c r="A104" s="1626"/>
      <c r="B104" s="1956"/>
      <c r="C104" s="1638"/>
      <c r="D104" s="1957"/>
      <c r="E104" s="1958" t="s">
        <v>729</v>
      </c>
      <c r="F104" s="1959"/>
      <c r="G104" s="1959"/>
      <c r="H104" s="1960"/>
      <c r="J104" s="1958" t="s">
        <v>729</v>
      </c>
      <c r="K104" s="1959"/>
      <c r="L104" s="1959"/>
      <c r="M104" s="1960"/>
      <c r="O104" s="1958" t="s">
        <v>729</v>
      </c>
      <c r="P104" s="1959"/>
      <c r="Q104" s="1959"/>
      <c r="R104" s="1960"/>
      <c r="T104" s="1958" t="s">
        <v>729</v>
      </c>
      <c r="U104" s="1959"/>
      <c r="V104" s="1959"/>
      <c r="W104" s="1960"/>
      <c r="Y104" s="1958" t="s">
        <v>729</v>
      </c>
      <c r="Z104" s="1959"/>
      <c r="AA104" s="1959"/>
      <c r="AB104" s="1960"/>
      <c r="AD104" s="1958" t="s">
        <v>729</v>
      </c>
      <c r="AE104" s="1959"/>
      <c r="AF104" s="1959"/>
      <c r="AG104" s="1960"/>
      <c r="AH104" s="1961"/>
      <c r="AI104" s="1823"/>
    </row>
    <row r="105" ht="25.5" customHeight="1">
      <c r="A105" s="1626"/>
      <c r="B105" s="1962"/>
      <c r="C105" s="1646"/>
      <c r="D105" s="1963"/>
      <c r="E105" s="1964"/>
      <c r="F105" s="1965" t="str">
        <f t="array" ref="F105">IFERROR(VLOOKUP(E103,Dex!$B$3:$H252,5,FALSE),"")</f>
        <v/>
      </c>
      <c r="G105" s="1966" t="str">
        <f t="array" ref="G105">IFERROR(VLOOKUP(E103,Dex!$B$3:$H252,7,FALSE),"")</f>
        <v/>
      </c>
      <c r="H105" s="1967"/>
      <c r="J105" s="1964"/>
      <c r="K105" s="1968" t="str">
        <f t="array" ref="K105">IFERROR(VLOOKUP(J103,Dex!$B$3:$H252,5,FALSE),"")</f>
        <v/>
      </c>
      <c r="L105" s="1969"/>
      <c r="M105" s="1967"/>
      <c r="O105" s="1964"/>
      <c r="P105" s="1965" t="str">
        <f t="array" ref="P105">IFERROR(VLOOKUP(O103,Dex!$B$3:$H252,5,FALSE),"")</f>
        <v/>
      </c>
      <c r="Q105" s="1966" t="str">
        <f t="array" ref="Q105">IFERROR(VLOOKUP(O103,Dex!$B$3:$H252,7,FALSE),"")</f>
        <v/>
      </c>
      <c r="R105" s="1967"/>
      <c r="T105" s="1964"/>
      <c r="U105" s="1965" t="str">
        <f t="array" ref="U105">IFERROR(VLOOKUP(T103,Dex!$B$3:$H252,5,FALSE),"")</f>
        <v/>
      </c>
      <c r="V105" s="1966" t="str">
        <f t="array" ref="V105">IFERROR(VLOOKUP(T103,Dex!$B$3:$H252,7,FALSE),"")</f>
        <v/>
      </c>
      <c r="W105" s="1967"/>
      <c r="Y105" s="1964"/>
      <c r="Z105" s="1965" t="str">
        <f t="array" ref="Z105">IFERROR(VLOOKUP(Y103,Dex!$B$3:$H252,5,FALSE),"")</f>
        <v/>
      </c>
      <c r="AA105" s="1966" t="str">
        <f t="array" ref="AA105">IFERROR(VLOOKUP(Y103,Dex!$B$3:$H252,7,FALSE),"")</f>
        <v/>
      </c>
      <c r="AB105" s="1967"/>
      <c r="AD105" s="1964"/>
      <c r="AE105" s="1965" t="str">
        <f t="array" ref="AE105">IFERROR(VLOOKUP(AD103,Dex!$B$3:$H252,5,FALSE),"")</f>
        <v/>
      </c>
      <c r="AF105" s="1966" t="str">
        <f t="array" ref="AF105">IFERROR(VLOOKUP(AD103,Dex!$B$3:$H252,7,FALSE),"")</f>
        <v/>
      </c>
      <c r="AG105" s="1967"/>
      <c r="AH105" s="1948"/>
      <c r="AI105" s="1614"/>
    </row>
    <row r="106" ht="2.25" customHeight="1">
      <c r="A106" s="1626"/>
      <c r="B106" s="1962"/>
      <c r="C106" s="1970"/>
      <c r="D106" s="1971"/>
      <c r="E106" s="1972"/>
      <c r="F106" s="1973"/>
      <c r="G106" s="1973"/>
      <c r="H106" s="1974"/>
      <c r="J106" s="1972"/>
      <c r="K106" s="1973"/>
      <c r="L106" s="1973"/>
      <c r="M106" s="1974"/>
      <c r="O106" s="1972"/>
      <c r="P106" s="1973"/>
      <c r="Q106" s="1973"/>
      <c r="R106" s="1974"/>
      <c r="T106" s="1972"/>
      <c r="U106" s="1973"/>
      <c r="V106" s="1973"/>
      <c r="W106" s="1974"/>
      <c r="Y106" s="1972"/>
      <c r="Z106" s="1973"/>
      <c r="AA106" s="1973"/>
      <c r="AB106" s="1974"/>
      <c r="AD106" s="1972"/>
      <c r="AE106" s="1973"/>
      <c r="AF106" s="1973"/>
      <c r="AG106" s="1974"/>
      <c r="AH106" s="1948"/>
      <c r="AI106" s="1614"/>
    </row>
    <row r="107" ht="20.25" customHeight="1">
      <c r="A107" s="1626"/>
      <c r="B107" s="1962"/>
      <c r="C107" s="1975"/>
      <c r="D107" s="1971"/>
      <c r="E107" s="1976" t="s">
        <v>532</v>
      </c>
      <c r="F107" s="1977"/>
      <c r="G107" s="1977"/>
      <c r="H107" s="1978"/>
      <c r="J107" s="1976" t="s">
        <v>566</v>
      </c>
      <c r="K107" s="1977"/>
      <c r="L107" s="1977"/>
      <c r="M107" s="1978"/>
      <c r="O107" s="1976" t="s">
        <v>564</v>
      </c>
      <c r="P107" s="1977"/>
      <c r="Q107" s="1977"/>
      <c r="R107" s="1978"/>
      <c r="T107" s="1976" t="s">
        <v>532</v>
      </c>
      <c r="U107" s="1977"/>
      <c r="V107" s="1977"/>
      <c r="W107" s="1978"/>
      <c r="Y107" s="1976" t="s">
        <v>532</v>
      </c>
      <c r="Z107" s="1977"/>
      <c r="AA107" s="1977"/>
      <c r="AB107" s="1978"/>
      <c r="AD107" s="1976" t="s">
        <v>564</v>
      </c>
      <c r="AE107" s="1977"/>
      <c r="AF107" s="1977"/>
      <c r="AG107" s="1978"/>
      <c r="AH107" s="1948"/>
      <c r="AI107" s="1614"/>
    </row>
    <row r="108">
      <c r="A108" s="1626"/>
      <c r="B108" s="1962"/>
      <c r="C108" s="1979"/>
      <c r="D108" s="1971"/>
      <c r="E108" s="1980" t="s">
        <v>60</v>
      </c>
      <c r="F108" s="1959"/>
      <c r="G108" s="1959"/>
      <c r="H108" s="1960"/>
      <c r="J108" s="1980" t="s">
        <v>799</v>
      </c>
      <c r="K108" s="1959"/>
      <c r="L108" s="1959"/>
      <c r="M108" s="1960"/>
      <c r="O108" s="1980" t="s">
        <v>484</v>
      </c>
      <c r="P108" s="1959"/>
      <c r="Q108" s="1959"/>
      <c r="R108" s="1960"/>
      <c r="T108" s="1980" t="s">
        <v>825</v>
      </c>
      <c r="U108" s="1959"/>
      <c r="V108" s="1959"/>
      <c r="W108" s="1960"/>
      <c r="Y108" s="1980" t="s">
        <v>68</v>
      </c>
      <c r="Z108" s="1959"/>
      <c r="AA108" s="1959"/>
      <c r="AB108" s="1960"/>
      <c r="AD108" s="1980" t="s">
        <v>869</v>
      </c>
      <c r="AE108" s="1959"/>
      <c r="AF108" s="1959"/>
      <c r="AG108" s="1960"/>
      <c r="AH108" s="1948"/>
      <c r="AI108" s="1614"/>
    </row>
    <row r="109" ht="20.25" customHeight="1">
      <c r="A109" s="1626"/>
      <c r="B109" s="1962"/>
      <c r="C109" s="1981"/>
      <c r="D109" s="1971"/>
      <c r="E109" s="1982" t="s">
        <v>870</v>
      </c>
      <c r="F109" s="1983"/>
      <c r="G109" s="1984"/>
      <c r="H109" s="1985" t="str">
        <f>IMAGE("https://raw.githubusercontent.com/msikma/pokesprite/master/items/berry/chople.png",3)</f>
        <v/>
      </c>
      <c r="J109" s="1982" t="s">
        <v>871</v>
      </c>
      <c r="K109" s="1983"/>
      <c r="L109" s="1984"/>
      <c r="M109" s="1985" t="str">
        <f>IMAGE("https://raw.githubusercontent.com/msikma/pokesprite/master/items/evo-item/reaper-cloth.png",3)</f>
        <v/>
      </c>
      <c r="O109" s="1982" t="s">
        <v>872</v>
      </c>
      <c r="P109" s="1983"/>
      <c r="Q109" s="1984"/>
      <c r="R109" s="1985" t="str">
        <f>IMAGE("https://raw.githubusercontent.com/msikma/pokesprite/master/items/hold-item/spell-tag.png",3)</f>
        <v/>
      </c>
      <c r="T109" s="1982" t="s">
        <v>573</v>
      </c>
      <c r="U109" s="1983"/>
      <c r="V109" s="1984"/>
      <c r="W109" s="1985" t="str">
        <f>IMAGE("https://raw.githubusercontent.com/msikma/pokesprite/master/items/hold-item/focus-sash.png",3)</f>
        <v/>
      </c>
      <c r="Y109" s="1982" t="s">
        <v>541</v>
      </c>
      <c r="Z109" s="1983"/>
      <c r="AA109" s="1984"/>
      <c r="AB109" s="1985" t="str">
        <f>IMAGE("https://raw.githubusercontent.com/msikma/pokesprite/master/items/hold-item/life-orb.png",3)</f>
        <v/>
      </c>
      <c r="AD109" s="1982" t="s">
        <v>873</v>
      </c>
      <c r="AE109" s="1983"/>
      <c r="AF109" s="1984"/>
      <c r="AG109" s="1985" t="str">
        <f>IMAGE("https://raw.githubusercontent.com/msikma/pokesprite/master/items/mega-stone/gengarite.png",3)</f>
        <v/>
      </c>
      <c r="AH109" s="1948"/>
      <c r="AI109" s="1614"/>
    </row>
    <row r="110" ht="20.25" customHeight="1">
      <c r="A110" s="1626"/>
      <c r="B110" s="1962"/>
      <c r="C110" s="1986"/>
      <c r="D110" s="1971"/>
      <c r="E110" s="1976" t="s">
        <v>191</v>
      </c>
      <c r="F110" s="1977"/>
      <c r="G110" s="1977"/>
      <c r="H110" s="1987" t="str">
        <f>IMAGE("https://raw.githubusercontent.com/msikma/pokesprite/master/misc/types/gen8/rock.png",4,20,20)</f>
        <v/>
      </c>
      <c r="J110" s="1976" t="s">
        <v>874</v>
      </c>
      <c r="K110" s="1977"/>
      <c r="L110" s="1977"/>
      <c r="M110" s="1987" t="str">
        <f t="shared" ref="M110:M111" si="8">IMAGE("https://raw.githubusercontent.com/msikma/pokesprite/master/misc/types/gen8/ghost.png",4,20,20)</f>
        <v/>
      </c>
      <c r="O110" s="1976" t="s">
        <v>259</v>
      </c>
      <c r="P110" s="1977"/>
      <c r="Q110" s="1977"/>
      <c r="R110" s="1987" t="str">
        <f>IMAGE("https://raw.githubusercontent.com/msikma/pokesprite/master/misc/types/gen8/dark.png",4,20,20)</f>
        <v/>
      </c>
      <c r="T110" s="1976" t="s">
        <v>287</v>
      </c>
      <c r="U110" s="1977"/>
      <c r="V110" s="1977"/>
      <c r="W110" s="1987" t="str">
        <f>IMAGE("https://raw.githubusercontent.com/msikma/pokesprite/master/misc/types/gen8/normal.png",4,20,20)</f>
        <v/>
      </c>
      <c r="Y110" s="1976" t="s">
        <v>287</v>
      </c>
      <c r="Z110" s="1977"/>
      <c r="AA110" s="1977"/>
      <c r="AB110" s="1987" t="str">
        <f>IMAGE("https://raw.githubusercontent.com/msikma/pokesprite/master/misc/types/gen8/normal.png",4,20,20)</f>
        <v/>
      </c>
      <c r="AD110" s="1976" t="s">
        <v>773</v>
      </c>
      <c r="AE110" s="1977"/>
      <c r="AF110" s="1977"/>
      <c r="AG110" s="1987" t="str">
        <f>IMAGE("https://raw.githubusercontent.com/msikma/pokesprite/master/misc/types/gen8/poison.png",4,20,20)</f>
        <v/>
      </c>
      <c r="AH110" s="1948"/>
      <c r="AI110" s="1614"/>
    </row>
    <row r="111" ht="20.25" customHeight="1">
      <c r="A111" s="1626"/>
      <c r="B111" s="1962"/>
      <c r="C111" s="1975"/>
      <c r="D111" s="1971"/>
      <c r="E111" s="1980" t="s">
        <v>667</v>
      </c>
      <c r="F111" s="1959"/>
      <c r="G111" s="1959"/>
      <c r="H111" s="1988" t="str">
        <f>IMAGE("https://raw.githubusercontent.com/msikma/pokesprite/master/misc/types/gen8/dark.png",4,20,20)</f>
        <v/>
      </c>
      <c r="J111" s="1980" t="s">
        <v>875</v>
      </c>
      <c r="K111" s="1959"/>
      <c r="L111" s="1959"/>
      <c r="M111" s="1988" t="str">
        <f t="shared" si="8"/>
        <v/>
      </c>
      <c r="O111" s="1980" t="s">
        <v>647</v>
      </c>
      <c r="P111" s="1959"/>
      <c r="Q111" s="1959"/>
      <c r="R111" s="1988" t="str">
        <f>IMAGE("https://raw.githubusercontent.com/msikma/pokesprite/master/misc/types/gen8/ghost.png",4,20,20)</f>
        <v/>
      </c>
      <c r="T111" s="1980" t="s">
        <v>875</v>
      </c>
      <c r="U111" s="1959"/>
      <c r="V111" s="1959"/>
      <c r="W111" s="1988" t="str">
        <f>IMAGE("https://raw.githubusercontent.com/msikma/pokesprite/master/misc/types/gen8/ghost.png",4,20,20)</f>
        <v/>
      </c>
      <c r="Y111" s="1980" t="s">
        <v>785</v>
      </c>
      <c r="Z111" s="1959"/>
      <c r="AA111" s="1959"/>
      <c r="AB111" s="1988" t="str">
        <f>IMAGE("https://raw.githubusercontent.com/msikma/pokesprite/master/misc/types/gen8/ice.png",4,20,20)</f>
        <v/>
      </c>
      <c r="AD111" s="1980" t="s">
        <v>647</v>
      </c>
      <c r="AE111" s="1959"/>
      <c r="AF111" s="1959"/>
      <c r="AG111" s="1988" t="str">
        <f>IMAGE("https://raw.githubusercontent.com/msikma/pokesprite/master/misc/types/gen8/ghost.png",4,20,20)</f>
        <v/>
      </c>
      <c r="AH111" s="1948"/>
      <c r="AI111" s="1614"/>
    </row>
    <row r="112" ht="20.25" customHeight="1">
      <c r="A112" s="1626"/>
      <c r="B112" s="1962"/>
      <c r="C112" s="1975"/>
      <c r="D112" s="1971"/>
      <c r="E112" s="1980" t="s">
        <v>549</v>
      </c>
      <c r="F112" s="1959"/>
      <c r="G112" s="1959"/>
      <c r="H112" s="1988" t="str">
        <f>IMAGE("https://raw.githubusercontent.com/msikma/pokesprite/master/misc/types/gen8/ground.png",4,20,20)</f>
        <v/>
      </c>
      <c r="J112" s="1980" t="s">
        <v>876</v>
      </c>
      <c r="K112" s="1959"/>
      <c r="L112" s="1959"/>
      <c r="M112" s="1988" t="str">
        <f>IMAGE("https://raw.githubusercontent.com/msikma/pokesprite/master/misc/types/gen8/fighting.png",4,20,20)</f>
        <v/>
      </c>
      <c r="O112" s="1980" t="s">
        <v>641</v>
      </c>
      <c r="P112" s="1959"/>
      <c r="Q112" s="1959"/>
      <c r="R112" s="1988" t="str">
        <f>IMAGE("https://raw.githubusercontent.com/msikma/pokesprite/master/misc/types/gen8/fairy.png",4,20,20)</f>
        <v/>
      </c>
      <c r="T112" s="1980" t="s">
        <v>877</v>
      </c>
      <c r="U112" s="1959"/>
      <c r="V112" s="1959"/>
      <c r="W112" s="1988" t="str">
        <f>IMAGE("https://raw.githubusercontent.com/msikma/pokesprite/master/misc/types/gen8/fire.png",4,20,20)</f>
        <v/>
      </c>
      <c r="Y112" s="1980" t="s">
        <v>579</v>
      </c>
      <c r="Z112" s="1959"/>
      <c r="AA112" s="1959"/>
      <c r="AB112" s="1988" t="str">
        <f>IMAGE("https://raw.githubusercontent.com/msikma/pokesprite/master/misc/types/gen8/dark.png",4,20,20)</f>
        <v/>
      </c>
      <c r="AD112" s="1980" t="s">
        <v>590</v>
      </c>
      <c r="AE112" s="1959"/>
      <c r="AF112" s="1959"/>
      <c r="AG112" s="1988" t="str">
        <f>IMAGE("https://raw.githubusercontent.com/msikma/pokesprite/master/misc/types/gen8/fighting.png",4,20,20)</f>
        <v/>
      </c>
      <c r="AH112" s="1948"/>
      <c r="AI112" s="1614"/>
    </row>
    <row r="113" ht="21.0" customHeight="1">
      <c r="A113" s="1608"/>
      <c r="B113" s="1962"/>
      <c r="C113" s="1975"/>
      <c r="D113" s="1971"/>
      <c r="E113" s="1989" t="s">
        <v>621</v>
      </c>
      <c r="F113" s="1990"/>
      <c r="G113" s="1990"/>
      <c r="H113" s="1991" t="str">
        <f>IMAGE("https://raw.githubusercontent.com/msikma/pokesprite/master/misc/types/gen8/rock.png",4,20,20)</f>
        <v/>
      </c>
      <c r="I113" s="1953"/>
      <c r="J113" s="1989" t="s">
        <v>878</v>
      </c>
      <c r="K113" s="1990"/>
      <c r="L113" s="1990"/>
      <c r="M113" s="1991" t="str">
        <f>IMAGE("https://raw.githubusercontent.com/msikma/pokesprite/master/misc/types/gen8/fire.png",4,20,20)</f>
        <v/>
      </c>
      <c r="N113" s="1953"/>
      <c r="O113" s="1989" t="s">
        <v>547</v>
      </c>
      <c r="P113" s="1990"/>
      <c r="Q113" s="1990"/>
      <c r="R113" s="1991" t="str">
        <f>IMAGE("https://raw.githubusercontent.com/msikma/pokesprite/master/misc/types/gen8/electric.png",4,20,20)</f>
        <v/>
      </c>
      <c r="S113" s="1953"/>
      <c r="T113" s="1989" t="s">
        <v>583</v>
      </c>
      <c r="U113" s="1990"/>
      <c r="V113" s="1990"/>
      <c r="W113" s="1991" t="str">
        <f>IMAGE("https://raw.githubusercontent.com/msikma/pokesprite/master/misc/types/gen8/fighting.png",4,20,20)</f>
        <v/>
      </c>
      <c r="X113" s="1953"/>
      <c r="Y113" s="1989" t="s">
        <v>879</v>
      </c>
      <c r="Z113" s="1990"/>
      <c r="AA113" s="1990"/>
      <c r="AB113" s="1991" t="str">
        <f>IMAGE("https://raw.githubusercontent.com/msikma/pokesprite/master/misc/types/gen8/fighting.png",4,20,20)</f>
        <v/>
      </c>
      <c r="AC113" s="1953"/>
      <c r="AD113" s="1989" t="s">
        <v>259</v>
      </c>
      <c r="AE113" s="1990"/>
      <c r="AF113" s="1990"/>
      <c r="AG113" s="1991" t="str">
        <f>IMAGE("https://raw.githubusercontent.com/msikma/pokesprite/master/misc/types/gen8/dark.png",4,20,20)</f>
        <v/>
      </c>
      <c r="AH113" s="1948"/>
      <c r="AI113" s="1614"/>
    </row>
    <row r="114" ht="3.0" customHeight="1">
      <c r="A114" s="1626"/>
      <c r="B114" s="1992"/>
      <c r="C114" s="1993"/>
      <c r="D114" s="1994"/>
      <c r="E114" s="1995"/>
      <c r="F114" s="1995"/>
      <c r="G114" s="1995"/>
      <c r="H114" s="1995"/>
      <c r="I114" s="1994"/>
      <c r="J114" s="1995"/>
      <c r="K114" s="1995"/>
      <c r="L114" s="1995"/>
      <c r="M114" s="1995"/>
      <c r="N114" s="1994"/>
      <c r="O114" s="1995"/>
      <c r="P114" s="1995"/>
      <c r="Q114" s="1995"/>
      <c r="R114" s="1995"/>
      <c r="S114" s="1994"/>
      <c r="T114" s="1995"/>
      <c r="U114" s="1995"/>
      <c r="V114" s="1995"/>
      <c r="W114" s="1995"/>
      <c r="X114" s="1994"/>
      <c r="Y114" s="1995"/>
      <c r="Z114" s="1996"/>
      <c r="AA114" s="1996"/>
      <c r="AB114" s="1997"/>
      <c r="AC114" s="1994"/>
      <c r="AD114" s="1998"/>
      <c r="AE114" s="1998"/>
      <c r="AF114" s="1998"/>
      <c r="AG114" s="1999"/>
      <c r="AH114" s="2000"/>
      <c r="AI114" s="1684"/>
    </row>
    <row r="115" ht="16.5" customHeight="1">
      <c r="A115" s="1626"/>
      <c r="B115" s="2001"/>
      <c r="C115" s="1993"/>
      <c r="D115" s="2002"/>
      <c r="E115" s="2003" t="s">
        <v>512</v>
      </c>
      <c r="F115" s="606"/>
      <c r="G115" s="606"/>
      <c r="H115" s="607"/>
      <c r="I115" s="2004"/>
      <c r="J115" s="2003" t="s">
        <v>512</v>
      </c>
      <c r="K115" s="606"/>
      <c r="L115" s="606"/>
      <c r="M115" s="607"/>
      <c r="N115" s="2004"/>
      <c r="O115" s="2003" t="s">
        <v>512</v>
      </c>
      <c r="P115" s="606"/>
      <c r="Q115" s="606"/>
      <c r="R115" s="607"/>
      <c r="S115" s="2004"/>
      <c r="T115" s="2003" t="s">
        <v>512</v>
      </c>
      <c r="U115" s="606"/>
      <c r="V115" s="606"/>
      <c r="W115" s="607"/>
      <c r="X115" s="2004"/>
      <c r="Y115" s="2003" t="s">
        <v>512</v>
      </c>
      <c r="Z115" s="606"/>
      <c r="AA115" s="606"/>
      <c r="AB115" s="607"/>
      <c r="AC115" s="2004"/>
      <c r="AD115" s="2003" t="s">
        <v>512</v>
      </c>
      <c r="AE115" s="606"/>
      <c r="AF115" s="606"/>
      <c r="AG115" s="607"/>
      <c r="AH115" s="2005"/>
      <c r="AI115" s="1692"/>
    </row>
    <row r="116" ht="16.5" customHeight="1">
      <c r="A116" s="1626"/>
      <c r="B116" s="2001"/>
      <c r="C116" s="1993"/>
      <c r="D116" s="2002"/>
      <c r="E116" s="2006" t="s">
        <v>513</v>
      </c>
      <c r="F116" s="2007">
        <f t="array" ref="F116">IFERROR(VLOOKUP(E103,Dex!$B$3:$N252,8,FALSE),"")</f>
        <v>95</v>
      </c>
      <c r="G116" s="2008" t="str">
        <f t="array" ref="G116">IFERROR(VLOOKUP(F116,Dex!$P$22:$Q$276,2,FALSE),"")</f>
        <v/>
      </c>
      <c r="H116" s="2009"/>
      <c r="I116" s="2010"/>
      <c r="J116" s="2006" t="s">
        <v>513</v>
      </c>
      <c r="K116" s="2007">
        <f t="array" ref="K116">IFERROR(VLOOKUP(J103,Dex!$B$3:$N252,8,FALSE),"")</f>
        <v>45</v>
      </c>
      <c r="L116" s="2008" t="str">
        <f t="array" ref="L116">IFERROR(VLOOKUP(K116,Dex!$P$22:$Q$276,2,FALSE),"")</f>
        <v/>
      </c>
      <c r="M116" s="2009"/>
      <c r="N116" s="2010"/>
      <c r="O116" s="2006" t="s">
        <v>513</v>
      </c>
      <c r="P116" s="2007">
        <f t="array" ref="P116">IFERROR(VLOOKUP(O103,Dex!$B$3:$N252,8,FALSE),"")</f>
        <v>70</v>
      </c>
      <c r="Q116" s="2008" t="str">
        <f t="array" ref="Q116">IFERROR(VLOOKUP(P116,Dex!$P$22:$Q$276,2,FALSE),"")</f>
        <v/>
      </c>
      <c r="R116" s="2009"/>
      <c r="S116" s="2010"/>
      <c r="T116" s="2006" t="s">
        <v>513</v>
      </c>
      <c r="U116" s="2007">
        <f t="array" ref="U116">IFERROR(VLOOKUP(T103,Dex!$B$3:$N252,8,FALSE),"")</f>
        <v>75</v>
      </c>
      <c r="V116" s="2008" t="str">
        <f t="array" ref="V116">IFERROR(VLOOKUP(U116,Dex!$P$22:$Q$276,2,FALSE),"")</f>
        <v/>
      </c>
      <c r="W116" s="2009"/>
      <c r="X116" s="2010"/>
      <c r="Y116" s="2006" t="s">
        <v>513</v>
      </c>
      <c r="Z116" s="2007">
        <f t="array" ref="Z116">IFERROR(VLOOKUP(Y103,Dex!$B$3:$N252,8,FALSE),"")</f>
        <v>70</v>
      </c>
      <c r="AA116" s="2008" t="str">
        <f t="array" ref="AA116">IFERROR(VLOOKUP(Z116,Dex!$P$22:$Q$276,2,FALSE),"")</f>
        <v/>
      </c>
      <c r="AB116" s="2009"/>
      <c r="AC116" s="2010"/>
      <c r="AD116" s="2006" t="s">
        <v>513</v>
      </c>
      <c r="AE116" s="2007">
        <f t="array" ref="AE116">IFERROR(VLOOKUP(AD103,Dex!$B$3:$N252,8,FALSE),"")</f>
        <v>60</v>
      </c>
      <c r="AF116" s="2008" t="str">
        <f t="array" ref="AF116">IFERROR(VLOOKUP(AE116,Dex!$P$22:$Q$276,2,FALSE),"")</f>
        <v/>
      </c>
      <c r="AG116" s="2009"/>
      <c r="AH116" s="2011"/>
      <c r="AI116" s="1692"/>
    </row>
    <row r="117" ht="16.5" customHeight="1">
      <c r="A117" s="1626"/>
      <c r="B117" s="2001"/>
      <c r="C117" s="1993"/>
      <c r="D117" s="2002"/>
      <c r="E117" s="2012" t="s">
        <v>514</v>
      </c>
      <c r="F117" s="2013">
        <f t="array" ref="F117">IFERROR(VLOOKUP(E103,Dex!$B$3:$N252,9,FALSE),"")</f>
        <v>117</v>
      </c>
      <c r="G117" s="2014" t="str">
        <f t="array" ref="G117">IFERROR(VLOOKUP(F117,Dex!$P$22:$Q$276,2,FALSE),"")</f>
        <v/>
      </c>
      <c r="H117" s="2015"/>
      <c r="I117" s="2010"/>
      <c r="J117" s="2012" t="s">
        <v>514</v>
      </c>
      <c r="K117" s="2013">
        <f t="array" ref="K117">IFERROR(VLOOKUP(J103,Dex!$B$3:$N252,9,FALSE),"")</f>
        <v>100</v>
      </c>
      <c r="L117" s="2014" t="str">
        <f t="array" ref="L117">IFERROR(VLOOKUP(K117,Dex!$P$22:$Q$276,2,FALSE),"")</f>
        <v/>
      </c>
      <c r="M117" s="2015"/>
      <c r="N117" s="2010"/>
      <c r="O117" s="2012" t="s">
        <v>514</v>
      </c>
      <c r="P117" s="2013">
        <f t="array" ref="P117">IFERROR(VLOOKUP(O103,Dex!$B$3:$N252,9,FALSE),"")</f>
        <v>60</v>
      </c>
      <c r="Q117" s="2014" t="str">
        <f t="array" ref="Q117">IFERROR(VLOOKUP(P117,Dex!$P$22:$Q$276,2,FALSE),"")</f>
        <v/>
      </c>
      <c r="R117" s="2015"/>
      <c r="S117" s="2010"/>
      <c r="T117" s="2012" t="s">
        <v>514</v>
      </c>
      <c r="U117" s="2013">
        <f t="array" ref="U117">IFERROR(VLOOKUP(T103,Dex!$B$3:$N252,9,FALSE),"")</f>
        <v>125</v>
      </c>
      <c r="V117" s="2014" t="str">
        <f t="array" ref="V117">IFERROR(VLOOKUP(U117,Dex!$P$22:$Q$276,2,FALSE),"")</f>
        <v/>
      </c>
      <c r="W117" s="2015"/>
      <c r="X117" s="2010"/>
      <c r="Y117" s="2012" t="s">
        <v>514</v>
      </c>
      <c r="Z117" s="2013">
        <f t="array" ref="Z117">IFERROR(VLOOKUP(Y103,Dex!$B$3:$N252,9,FALSE),"")</f>
        <v>120</v>
      </c>
      <c r="AA117" s="2014" t="str">
        <f t="array" ref="AA117">IFERROR(VLOOKUP(Z117,Dex!$P$22:$Q$276,2,FALSE),"")</f>
        <v/>
      </c>
      <c r="AB117" s="2015"/>
      <c r="AC117" s="2010"/>
      <c r="AD117" s="2012" t="s">
        <v>514</v>
      </c>
      <c r="AE117" s="2013">
        <f t="array" ref="AE117">IFERROR(VLOOKUP(AD103,Dex!$B$3:$N252,9,FALSE),"")</f>
        <v>65</v>
      </c>
      <c r="AF117" s="2014" t="str">
        <f t="array" ref="AF117">IFERROR(VLOOKUP(AE117,Dex!$P$22:$Q$276,2,FALSE),"")</f>
        <v/>
      </c>
      <c r="AG117" s="2015"/>
      <c r="AH117" s="2011"/>
      <c r="AI117" s="1692"/>
    </row>
    <row r="118" ht="16.5" customHeight="1">
      <c r="A118" s="1626"/>
      <c r="B118" s="2001"/>
      <c r="C118" s="1993"/>
      <c r="D118" s="2002"/>
      <c r="E118" s="2012" t="s">
        <v>515</v>
      </c>
      <c r="F118" s="2013">
        <f t="array" ref="F118">IFERROR(VLOOKUP(E103,Dex!$B$3:$N252,10,FALSE),"")</f>
        <v>80</v>
      </c>
      <c r="G118" s="2014" t="str">
        <f t="array" ref="G118">IFERROR(VLOOKUP(F118,Dex!$P$22:$Q$276,2,FALSE),"")</f>
        <v/>
      </c>
      <c r="H118" s="2015"/>
      <c r="I118" s="2010"/>
      <c r="J118" s="2012" t="s">
        <v>515</v>
      </c>
      <c r="K118" s="2013">
        <f t="array" ref="K118">IFERROR(VLOOKUP(J103,Dex!$B$3:$N252,10,FALSE),"")</f>
        <v>135</v>
      </c>
      <c r="L118" s="2014" t="str">
        <f t="array" ref="L118">IFERROR(VLOOKUP(K118,Dex!$P$22:$Q$276,2,FALSE),"")</f>
        <v/>
      </c>
      <c r="M118" s="2015"/>
      <c r="N118" s="2010"/>
      <c r="O118" s="2012" t="s">
        <v>515</v>
      </c>
      <c r="P118" s="2013">
        <f t="array" ref="P118">IFERROR(VLOOKUP(O103,Dex!$B$3:$N252,10,FALSE),"")</f>
        <v>70</v>
      </c>
      <c r="Q118" s="2014" t="str">
        <f t="array" ref="Q118">IFERROR(VLOOKUP(P118,Dex!$P$22:$Q$276,2,FALSE),"")</f>
        <v/>
      </c>
      <c r="R118" s="2015"/>
      <c r="S118" s="2010"/>
      <c r="T118" s="2012" t="s">
        <v>515</v>
      </c>
      <c r="U118" s="2013">
        <f t="array" ref="U118">IFERROR(VLOOKUP(T103,Dex!$B$3:$N252,10,FALSE),"")</f>
        <v>80</v>
      </c>
      <c r="V118" s="2014" t="str">
        <f t="array" ref="V118">IFERROR(VLOOKUP(U118,Dex!$P$22:$Q$276,2,FALSE),"")</f>
        <v/>
      </c>
      <c r="W118" s="2015"/>
      <c r="X118" s="2010"/>
      <c r="Y118" s="2012" t="s">
        <v>515</v>
      </c>
      <c r="Z118" s="2013">
        <f t="array" ref="Z118">IFERROR(VLOOKUP(Y103,Dex!$B$3:$N252,10,FALSE),"")</f>
        <v>65</v>
      </c>
      <c r="AA118" s="2014" t="str">
        <f t="array" ref="AA118">IFERROR(VLOOKUP(Z118,Dex!$P$22:$Q$276,2,FALSE),"")</f>
        <v/>
      </c>
      <c r="AB118" s="2015"/>
      <c r="AC118" s="2010"/>
      <c r="AD118" s="2012" t="s">
        <v>515</v>
      </c>
      <c r="AE118" s="2013">
        <f t="array" ref="AE118">IFERROR(VLOOKUP(AD103,Dex!$B$3:$N252,10,FALSE),"")</f>
        <v>80</v>
      </c>
      <c r="AF118" s="2014" t="str">
        <f t="array" ref="AF118">IFERROR(VLOOKUP(AE118,Dex!$P$22:$Q$276,2,FALSE),"")</f>
        <v/>
      </c>
      <c r="AG118" s="2015"/>
      <c r="AH118" s="2011"/>
      <c r="AI118" s="1692"/>
    </row>
    <row r="119" ht="16.5" customHeight="1">
      <c r="A119" s="1626"/>
      <c r="B119" s="2001"/>
      <c r="C119" s="1993"/>
      <c r="D119" s="2002"/>
      <c r="E119" s="2012" t="s">
        <v>516</v>
      </c>
      <c r="F119" s="2013">
        <f t="array" ref="F119">IFERROR(VLOOKUP(E103,Dex!$B$3:$N252,11,FALSE),"")</f>
        <v>65</v>
      </c>
      <c r="G119" s="2014" t="str">
        <f t="array" ref="G119">IFERROR(VLOOKUP(F119,Dex!$P$22:$Q$276,2,FALSE),"")</f>
        <v/>
      </c>
      <c r="H119" s="2015"/>
      <c r="I119" s="2010"/>
      <c r="J119" s="2012" t="s">
        <v>516</v>
      </c>
      <c r="K119" s="2013">
        <f t="array" ref="K119">IFERROR(VLOOKUP(J103,Dex!$B$3:$N252,11,FALSE),"")</f>
        <v>65</v>
      </c>
      <c r="L119" s="2014" t="str">
        <f t="array" ref="L119">IFERROR(VLOOKUP(K119,Dex!$P$22:$Q$276,2,FALSE),"")</f>
        <v/>
      </c>
      <c r="M119" s="2015"/>
      <c r="N119" s="2010"/>
      <c r="O119" s="2012" t="s">
        <v>516</v>
      </c>
      <c r="P119" s="2013">
        <f t="array" ref="P119">IFERROR(VLOOKUP(O103,Dex!$B$3:$N252,11,FALSE),"")</f>
        <v>105</v>
      </c>
      <c r="Q119" s="2014" t="str">
        <f t="array" ref="Q119">IFERROR(VLOOKUP(P119,Dex!$P$22:$Q$276,2,FALSE),"")</f>
        <v/>
      </c>
      <c r="R119" s="2015"/>
      <c r="S119" s="2010"/>
      <c r="T119" s="2012" t="s">
        <v>516</v>
      </c>
      <c r="U119" s="2013">
        <f t="array" ref="U119">IFERROR(VLOOKUP(T103,Dex!$B$3:$N252,11,FALSE),"")</f>
        <v>60</v>
      </c>
      <c r="V119" s="2014" t="str">
        <f t="array" ref="V119">IFERROR(VLOOKUP(U119,Dex!$P$22:$Q$276,2,FALSE),"")</f>
        <v/>
      </c>
      <c r="W119" s="2015"/>
      <c r="X119" s="2010"/>
      <c r="Y119" s="2012" t="s">
        <v>516</v>
      </c>
      <c r="Z119" s="2013">
        <f t="array" ref="Z119">IFERROR(VLOOKUP(Y103,Dex!$B$3:$N252,11,FALSE),"")</f>
        <v>45</v>
      </c>
      <c r="AA119" s="2014" t="str">
        <f t="array" ref="AA119">IFERROR(VLOOKUP(Z119,Dex!$P$22:$Q$276,2,FALSE),"")</f>
        <v/>
      </c>
      <c r="AB119" s="2015"/>
      <c r="AC119" s="2010"/>
      <c r="AD119" s="2012" t="s">
        <v>516</v>
      </c>
      <c r="AE119" s="2013">
        <f t="array" ref="AE119">IFERROR(VLOOKUP(AD103,Dex!$B$3:$N252,11,FALSE),"")</f>
        <v>170</v>
      </c>
      <c r="AF119" s="2014" t="str">
        <f t="array" ref="AF119">IFERROR(VLOOKUP(AE119,Dex!$P$22:$Q$276,2,FALSE),"")</f>
        <v/>
      </c>
      <c r="AG119" s="2015"/>
      <c r="AH119" s="2011"/>
      <c r="AI119" s="1692"/>
    </row>
    <row r="120" ht="16.5" customHeight="1">
      <c r="A120" s="1626"/>
      <c r="B120" s="2001"/>
      <c r="C120" s="1993"/>
      <c r="D120" s="2002"/>
      <c r="E120" s="2012" t="s">
        <v>517</v>
      </c>
      <c r="F120" s="2013">
        <f t="array" ref="F120">IFERROR(VLOOKUP(E103,Dex!$B$3:$N252,12,FALSE),"")</f>
        <v>70</v>
      </c>
      <c r="G120" s="2014" t="str">
        <f t="array" ref="G120">IFERROR(VLOOKUP(F120,Dex!$P$22:$Q$276,2,FALSE),"")</f>
        <v/>
      </c>
      <c r="H120" s="2015"/>
      <c r="I120" s="2010"/>
      <c r="J120" s="2012" t="s">
        <v>517</v>
      </c>
      <c r="K120" s="2013">
        <f t="array" ref="K120">IFERROR(VLOOKUP(J103,Dex!$B$3:$N252,12,FALSE),"")</f>
        <v>135</v>
      </c>
      <c r="L120" s="2014" t="str">
        <f t="array" ref="L120">IFERROR(VLOOKUP(K120,Dex!$P$22:$Q$276,2,FALSE),"")</f>
        <v/>
      </c>
      <c r="M120" s="2015"/>
      <c r="N120" s="2010"/>
      <c r="O120" s="2012" t="s">
        <v>517</v>
      </c>
      <c r="P120" s="2013">
        <f t="array" ref="P120">IFERROR(VLOOKUP(O103,Dex!$B$3:$N252,12,FALSE),"")</f>
        <v>105</v>
      </c>
      <c r="Q120" s="2014" t="str">
        <f t="array" ref="Q120">IFERROR(VLOOKUP(P120,Dex!$P$22:$Q$276,2,FALSE),"")</f>
        <v/>
      </c>
      <c r="R120" s="2015"/>
      <c r="S120" s="2010"/>
      <c r="T120" s="2012" t="s">
        <v>517</v>
      </c>
      <c r="U120" s="2013">
        <f t="array" ref="U120">IFERROR(VLOOKUP(T103,Dex!$B$3:$N252,12,FALSE),"")</f>
        <v>100</v>
      </c>
      <c r="V120" s="2014" t="str">
        <f t="array" ref="V120">IFERROR(VLOOKUP(U120,Dex!$P$22:$Q$276,2,FALSE),"")</f>
        <v/>
      </c>
      <c r="W120" s="2015"/>
      <c r="X120" s="2010"/>
      <c r="Y120" s="2012" t="s">
        <v>517</v>
      </c>
      <c r="Z120" s="2013">
        <f t="array" ref="Z120">IFERROR(VLOOKUP(Y103,Dex!$B$3:$N252,12,FALSE),"")</f>
        <v>85</v>
      </c>
      <c r="AA120" s="2014" t="str">
        <f t="array" ref="AA120">IFERROR(VLOOKUP(Z120,Dex!$P$22:$Q$276,2,FALSE),"")</f>
        <v/>
      </c>
      <c r="AB120" s="2015"/>
      <c r="AC120" s="2010"/>
      <c r="AD120" s="2012" t="s">
        <v>517</v>
      </c>
      <c r="AE120" s="2013">
        <f t="array" ref="AE120">IFERROR(VLOOKUP(AD103,Dex!$B$3:$N252,12,FALSE),"")</f>
        <v>95</v>
      </c>
      <c r="AF120" s="2014" t="str">
        <f t="array" ref="AF120">IFERROR(VLOOKUP(AE120,Dex!$P$22:$Q$276,2,FALSE),"")</f>
        <v/>
      </c>
      <c r="AG120" s="2015"/>
      <c r="AH120" s="2011"/>
      <c r="AI120" s="1692"/>
    </row>
    <row r="121" ht="15.75" customHeight="1">
      <c r="A121" s="1626"/>
      <c r="B121" s="2001"/>
      <c r="C121" s="1426" t="s">
        <v>745</v>
      </c>
      <c r="D121" s="2002"/>
      <c r="E121" s="2016" t="s">
        <v>518</v>
      </c>
      <c r="F121" s="2017">
        <f t="array" ref="F121">IFERROR(VLOOKUP(E103,Dex!$B$3:$N252,13,FALSE),"")</f>
        <v>92</v>
      </c>
      <c r="G121" s="2018" t="str">
        <f t="array" ref="G121">IFERROR(VLOOKUP(F121,Dex!$P$22:$Q$276,2,FALSE),"")</f>
        <v/>
      </c>
      <c r="H121" s="2019"/>
      <c r="I121" s="2010"/>
      <c r="J121" s="2016" t="s">
        <v>518</v>
      </c>
      <c r="K121" s="2017">
        <f t="array" ref="K121">IFERROR(VLOOKUP(J103,Dex!$B$3:$N252,13,FALSE),"")</f>
        <v>45</v>
      </c>
      <c r="L121" s="2018" t="str">
        <f t="array" ref="L121">IFERROR(VLOOKUP(K121,Dex!$P$22:$Q$276,2,FALSE),"")</f>
        <v/>
      </c>
      <c r="M121" s="2019"/>
      <c r="N121" s="2010"/>
      <c r="O121" s="2016" t="s">
        <v>518</v>
      </c>
      <c r="P121" s="2017">
        <f t="array" ref="P121">IFERROR(VLOOKUP(O103,Dex!$B$3:$N252,13,FALSE),"")</f>
        <v>105</v>
      </c>
      <c r="Q121" s="2018" t="str">
        <f t="array" ref="Q121">IFERROR(VLOOKUP(P121,Dex!$P$22:$Q$276,2,FALSE),"")</f>
        <v/>
      </c>
      <c r="R121" s="2019"/>
      <c r="S121" s="2010"/>
      <c r="T121" s="2016" t="s">
        <v>518</v>
      </c>
      <c r="U121" s="2017">
        <f t="array" ref="U121">IFERROR(VLOOKUP(T103,Dex!$B$3:$N252,13,FALSE),"")</f>
        <v>85</v>
      </c>
      <c r="V121" s="2018" t="str">
        <f t="array" ref="V121">IFERROR(VLOOKUP(U121,Dex!$P$22:$Q$276,2,FALSE),"")</f>
        <v/>
      </c>
      <c r="W121" s="2019"/>
      <c r="X121" s="2010"/>
      <c r="Y121" s="2016" t="s">
        <v>518</v>
      </c>
      <c r="Z121" s="2017">
        <f t="array" ref="Z121">IFERROR(VLOOKUP(Y103,Dex!$B$3:$N252,13,FALSE),"")</f>
        <v>125</v>
      </c>
      <c r="AA121" s="2018" t="str">
        <f t="array" ref="AA121">IFERROR(VLOOKUP(Z121,Dex!$P$22:$Q$276,2,FALSE),"")</f>
        <v/>
      </c>
      <c r="AB121" s="2019"/>
      <c r="AC121" s="2010"/>
      <c r="AD121" s="2016" t="s">
        <v>518</v>
      </c>
      <c r="AE121" s="2017">
        <f t="array" ref="AE121">IFERROR(VLOOKUP(AD103,Dex!$B$3:$N252,13,FALSE),"")</f>
        <v>130</v>
      </c>
      <c r="AF121" s="2018" t="str">
        <f t="array" ref="AF121">IFERROR(VLOOKUP(AE121,Dex!$P$22:$Q$276,2,FALSE),"")</f>
        <v/>
      </c>
      <c r="AG121" s="2019"/>
      <c r="AH121" s="2011"/>
      <c r="AI121" s="1692"/>
    </row>
    <row r="122" ht="16.5" customHeight="1">
      <c r="A122" s="1626"/>
      <c r="B122" s="2001"/>
      <c r="C122" s="1427" t="s">
        <v>880</v>
      </c>
      <c r="D122" s="2002"/>
      <c r="E122" s="2020" t="s">
        <v>519</v>
      </c>
      <c r="F122" s="630"/>
      <c r="G122" s="631"/>
      <c r="H122" s="632">
        <f>ROUNDDOWN((ROUNDDOWN(((((2*F121+31)*36)/100+5)),0))*1.1,0)</f>
        <v>90</v>
      </c>
      <c r="I122" s="2004"/>
      <c r="J122" s="2020" t="s">
        <v>519</v>
      </c>
      <c r="K122" s="630"/>
      <c r="L122" s="631"/>
      <c r="M122" s="632">
        <f>ROUNDDOWN((ROUNDDOWN(((((2*K121+31)*36)/100+5)),0))*1,0)</f>
        <v>48</v>
      </c>
      <c r="N122" s="2004"/>
      <c r="O122" s="2020" t="s">
        <v>519</v>
      </c>
      <c r="P122" s="630"/>
      <c r="Q122" s="631"/>
      <c r="R122" s="632">
        <f>ROUNDDOWN((ROUNDDOWN(((((2*P121+31)*36)/100+5)),0))*1.1,0)</f>
        <v>100</v>
      </c>
      <c r="S122" s="2004"/>
      <c r="T122" s="2020" t="s">
        <v>519</v>
      </c>
      <c r="U122" s="630"/>
      <c r="V122" s="631"/>
      <c r="W122" s="632">
        <f>ROUNDDOWN((ROUNDDOWN(((((2*U121+31)*36)/100+5)),0))*1.1,0)</f>
        <v>84</v>
      </c>
      <c r="X122" s="2004"/>
      <c r="Y122" s="2020" t="s">
        <v>519</v>
      </c>
      <c r="Z122" s="630"/>
      <c r="AA122" s="631"/>
      <c r="AB122" s="632">
        <f>ROUNDDOWN((ROUNDDOWN(((((2*Z121+31)*36)/100+5)),0))*1.1,0)</f>
        <v>116</v>
      </c>
      <c r="AC122" s="2004"/>
      <c r="AD122" s="2020" t="s">
        <v>519</v>
      </c>
      <c r="AE122" s="630"/>
      <c r="AF122" s="631"/>
      <c r="AG122" s="632">
        <f>ROUNDDOWN((ROUNDDOWN(((((2*AE121+31)*36)/100+5)),0))*1.1,0)</f>
        <v>119</v>
      </c>
      <c r="AH122" s="2005"/>
      <c r="AI122" s="1692"/>
    </row>
    <row r="123" ht="15.0" customHeight="1">
      <c r="A123" s="1626"/>
      <c r="B123" s="2021"/>
      <c r="C123" s="2022"/>
      <c r="D123" s="2023"/>
      <c r="E123" s="2023"/>
      <c r="F123" s="2023"/>
      <c r="G123" s="2023"/>
      <c r="H123" s="2023"/>
      <c r="I123" s="2023"/>
      <c r="J123" s="2024"/>
      <c r="K123" s="2024"/>
      <c r="L123" s="2024"/>
      <c r="M123" s="2023"/>
      <c r="N123" s="2023"/>
      <c r="O123" s="2024"/>
      <c r="P123" s="2024"/>
      <c r="Q123" s="2024"/>
      <c r="R123" s="2024"/>
      <c r="S123" s="2023"/>
      <c r="T123" s="2024"/>
      <c r="U123" s="2024"/>
      <c r="V123" s="2024"/>
      <c r="W123" s="2023"/>
      <c r="X123" s="2023"/>
      <c r="Y123" s="2024"/>
      <c r="Z123" s="2024"/>
      <c r="AA123" s="2024"/>
      <c r="AB123" s="2023"/>
      <c r="AC123" s="2023"/>
      <c r="AD123" s="2024"/>
      <c r="AE123" s="2024"/>
      <c r="AF123" s="2024"/>
      <c r="AG123" s="2023"/>
      <c r="AH123" s="2025"/>
      <c r="AI123" s="1614"/>
    </row>
    <row r="124" ht="15.0" customHeight="1">
      <c r="A124" s="1626"/>
      <c r="B124" s="2026"/>
      <c r="C124" s="2027"/>
      <c r="D124" s="2028"/>
      <c r="E124" s="2029"/>
      <c r="F124" s="2029"/>
      <c r="G124" s="2029"/>
      <c r="H124" s="2029"/>
      <c r="I124" s="2028"/>
      <c r="J124" s="2029"/>
      <c r="K124" s="2029"/>
      <c r="L124" s="2029"/>
      <c r="M124" s="2029"/>
      <c r="N124" s="2028"/>
      <c r="O124" s="2029"/>
      <c r="P124" s="2029"/>
      <c r="Q124" s="2029"/>
      <c r="R124" s="2029"/>
      <c r="S124" s="2028"/>
      <c r="T124" s="2029"/>
      <c r="U124" s="2029"/>
      <c r="V124" s="2029"/>
      <c r="W124" s="2029"/>
      <c r="X124" s="2028"/>
      <c r="Y124" s="2029"/>
      <c r="Z124" s="2029"/>
      <c r="AA124" s="2029"/>
      <c r="AB124" s="2029"/>
      <c r="AC124" s="2028"/>
      <c r="AD124" s="2029"/>
      <c r="AE124" s="2029"/>
      <c r="AF124" s="2029"/>
      <c r="AG124" s="2029"/>
      <c r="AH124" s="2030"/>
      <c r="AI124" s="1614"/>
    </row>
    <row r="125">
      <c r="A125" s="1626"/>
      <c r="B125" s="2031"/>
      <c r="C125" s="2032"/>
      <c r="D125" s="2032"/>
      <c r="E125" s="2033" t="s">
        <v>881</v>
      </c>
      <c r="F125" s="2034"/>
      <c r="G125" s="2034"/>
      <c r="H125" s="2034"/>
      <c r="I125" s="2034"/>
      <c r="J125" s="2034"/>
      <c r="K125" s="2034"/>
      <c r="L125" s="2034"/>
      <c r="M125" s="2034"/>
      <c r="N125" s="2034"/>
      <c r="O125" s="2034"/>
      <c r="P125" s="2034"/>
      <c r="Q125" s="2034"/>
      <c r="R125" s="2034"/>
      <c r="S125" s="2034"/>
      <c r="T125" s="2034"/>
      <c r="U125" s="2034"/>
      <c r="V125" s="2034"/>
      <c r="W125" s="2034"/>
      <c r="X125" s="2034"/>
      <c r="Y125" s="2034"/>
      <c r="Z125" s="2034"/>
      <c r="AA125" s="2034"/>
      <c r="AB125" s="2034"/>
      <c r="AC125" s="2034"/>
      <c r="AD125" s="2034"/>
      <c r="AE125" s="2034"/>
      <c r="AF125" s="2034"/>
      <c r="AG125" s="2035"/>
      <c r="AH125" s="2036"/>
      <c r="AI125" s="1614"/>
    </row>
    <row r="126" ht="96.75" customHeight="1">
      <c r="A126" s="1626"/>
      <c r="B126" s="2037"/>
      <c r="C126" s="2038" t="str">
        <f>IMAGE("https://i.ibb.co/8rG6Bgc/Chuck.png")</f>
        <v/>
      </c>
      <c r="D126" s="2039"/>
      <c r="E126" s="2040" t="str">
        <f t="array" ref="E126">IFERROR(VLOOKUP(E127,Dex!$B$3:$G252,3,FALSE),"")</f>
        <v/>
      </c>
      <c r="F126" s="539"/>
      <c r="G126" s="539"/>
      <c r="H126" s="540"/>
      <c r="I126" s="2041"/>
      <c r="J126" s="2040" t="str">
        <f t="array" ref="J126">IFERROR(VLOOKUP(J127,Dex!$B$3:$G252,3,FALSE),"")</f>
        <v/>
      </c>
      <c r="K126" s="539"/>
      <c r="L126" s="539"/>
      <c r="M126" s="540"/>
      <c r="N126" s="2041"/>
      <c r="O126" s="2040" t="str">
        <f t="array" ref="O126">IFERROR(VLOOKUP(O127,Dex!$B$3:$G252,3,FALSE),"")</f>
        <v/>
      </c>
      <c r="P126" s="539"/>
      <c r="Q126" s="539"/>
      <c r="R126" s="540"/>
      <c r="S126" s="2041"/>
      <c r="T126" s="2040" t="str">
        <f t="array" ref="T126">IFERROR(VLOOKUP(T127,Dex!$B$3:$G252,3,FALSE),"")</f>
        <v/>
      </c>
      <c r="U126" s="539"/>
      <c r="V126" s="539"/>
      <c r="W126" s="540"/>
      <c r="X126" s="2041"/>
      <c r="Y126" s="2040" t="str">
        <f t="array" ref="Y126">IFERROR(VLOOKUP(Y127,Dex!$B$3:$G252,3,FALSE),"")</f>
        <v/>
      </c>
      <c r="Z126" s="539"/>
      <c r="AA126" s="539"/>
      <c r="AB126" s="540"/>
      <c r="AC126" s="2041"/>
      <c r="AD126" s="2040" t="str">
        <f t="array" ref="AD126">IFERROR(VLOOKUP(AD127,Dex!$B$3:$G252,3,FALSE),"")</f>
        <v/>
      </c>
      <c r="AE126" s="539"/>
      <c r="AF126" s="539"/>
      <c r="AG126" s="540"/>
      <c r="AH126" s="2042"/>
      <c r="AI126" s="1614"/>
    </row>
    <row r="127" ht="18.75" customHeight="1">
      <c r="A127" s="1626"/>
      <c r="B127" s="2043"/>
      <c r="C127" s="2044" t="s">
        <v>882</v>
      </c>
      <c r="D127" s="2045"/>
      <c r="E127" s="2046" t="s">
        <v>883</v>
      </c>
      <c r="F127" s="2047"/>
      <c r="G127" s="2047"/>
      <c r="H127" s="2048"/>
      <c r="I127" s="2045"/>
      <c r="J127" s="2046" t="s">
        <v>884</v>
      </c>
      <c r="K127" s="2047"/>
      <c r="L127" s="2047"/>
      <c r="M127" s="2048"/>
      <c r="N127" s="2045"/>
      <c r="O127" s="2046" t="s">
        <v>885</v>
      </c>
      <c r="P127" s="2047"/>
      <c r="Q127" s="2047"/>
      <c r="R127" s="2048"/>
      <c r="S127" s="2045"/>
      <c r="T127" s="2046" t="s">
        <v>886</v>
      </c>
      <c r="U127" s="2047"/>
      <c r="V127" s="2047"/>
      <c r="W127" s="2048"/>
      <c r="X127" s="2045"/>
      <c r="Y127" s="2046" t="s">
        <v>887</v>
      </c>
      <c r="Z127" s="2047"/>
      <c r="AA127" s="2047"/>
      <c r="AB127" s="2048"/>
      <c r="AC127" s="2045"/>
      <c r="AD127" s="2046" t="s">
        <v>888</v>
      </c>
      <c r="AE127" s="2047"/>
      <c r="AF127" s="2047"/>
      <c r="AG127" s="2048"/>
      <c r="AH127" s="2049"/>
      <c r="AI127" s="1636"/>
    </row>
    <row r="128">
      <c r="A128" s="1626"/>
      <c r="B128" s="2050"/>
      <c r="C128" s="1638"/>
      <c r="D128" s="2051"/>
      <c r="E128" s="2052" t="s">
        <v>729</v>
      </c>
      <c r="F128" s="2034"/>
      <c r="G128" s="2034"/>
      <c r="H128" s="2053"/>
      <c r="I128" s="2054"/>
      <c r="J128" s="2052" t="s">
        <v>729</v>
      </c>
      <c r="K128" s="2034"/>
      <c r="L128" s="2034"/>
      <c r="M128" s="2053"/>
      <c r="N128" s="2054"/>
      <c r="O128" s="2052" t="s">
        <v>729</v>
      </c>
      <c r="P128" s="2034"/>
      <c r="Q128" s="2034"/>
      <c r="R128" s="2053"/>
      <c r="S128" s="2054"/>
      <c r="T128" s="2052" t="s">
        <v>729</v>
      </c>
      <c r="U128" s="2034"/>
      <c r="V128" s="2034"/>
      <c r="W128" s="2053"/>
      <c r="X128" s="2054"/>
      <c r="Y128" s="2052" t="s">
        <v>729</v>
      </c>
      <c r="Z128" s="2034"/>
      <c r="AA128" s="2034"/>
      <c r="AB128" s="2053"/>
      <c r="AC128" s="2054"/>
      <c r="AD128" s="2052" t="s">
        <v>729</v>
      </c>
      <c r="AE128" s="2034"/>
      <c r="AF128" s="2034"/>
      <c r="AG128" s="2053"/>
      <c r="AH128" s="2055"/>
      <c r="AI128" s="1823"/>
    </row>
    <row r="129" ht="25.5" customHeight="1">
      <c r="A129" s="1626"/>
      <c r="B129" s="2056"/>
      <c r="C129" s="1646"/>
      <c r="D129" s="2057"/>
      <c r="E129" s="2058"/>
      <c r="F129" s="2059" t="str">
        <f t="array" ref="F129">IFERROR(VLOOKUP(E127,Dex!$B$3:$H252,5,FALSE),"")</f>
        <v/>
      </c>
      <c r="G129" s="2060" t="str">
        <f t="array" ref="G129">IFERROR(VLOOKUP(E127,Dex!$B$3:$H252,7,FALSE),"")</f>
        <v/>
      </c>
      <c r="H129" s="2061"/>
      <c r="I129" s="2062"/>
      <c r="J129" s="2058"/>
      <c r="K129" s="2059" t="str">
        <f t="array" ref="K129">IFERROR(VLOOKUP(J127,Dex!$B$3:$H252,5,FALSE),"")</f>
        <v/>
      </c>
      <c r="L129" s="2060" t="str">
        <f t="array" ref="L129">IFERROR(VLOOKUP(J127,Dex!$B$3:$H252,7,FALSE),"")</f>
        <v/>
      </c>
      <c r="M129" s="2061"/>
      <c r="N129" s="2062"/>
      <c r="O129" s="2058"/>
      <c r="P129" s="2059" t="str">
        <f t="array" ref="P129">IFERROR(VLOOKUP(O127,Dex!$B$3:$H252,5,FALSE),"")</f>
        <v/>
      </c>
      <c r="Q129" s="2060" t="str">
        <f t="array" ref="Q129">IFERROR(VLOOKUP(O127,Dex!$B$3:$H252,7,FALSE),"")</f>
        <v/>
      </c>
      <c r="R129" s="2061"/>
      <c r="S129" s="2062"/>
      <c r="T129" s="2058"/>
      <c r="U129" s="2059" t="str">
        <f t="array" ref="U129">IFERROR(VLOOKUP(T127,Dex!$B$3:$H252,5,FALSE),"")</f>
        <v/>
      </c>
      <c r="V129" s="2060" t="str">
        <f t="array" ref="V129">IFERROR(VLOOKUP(T127,Dex!$B$3:$H252,7,FALSE),"")</f>
        <v/>
      </c>
      <c r="W129" s="2061"/>
      <c r="X129" s="2062"/>
      <c r="Y129" s="2058"/>
      <c r="Z129" s="2059" t="str">
        <f t="array" ref="Z129">IFERROR(VLOOKUP(Y127,Dex!$B$3:$H252,5,FALSE),"")</f>
        <v/>
      </c>
      <c r="AA129" s="2060" t="str">
        <f t="array" ref="AA129">IFERROR(VLOOKUP(Y127,Dex!$B$3:$H252,7,FALSE),"")</f>
        <v/>
      </c>
      <c r="AB129" s="2061"/>
      <c r="AC129" s="2062"/>
      <c r="AD129" s="2058"/>
      <c r="AE129" s="2059" t="str">
        <f t="array" ref="AE129">IFERROR(VLOOKUP(AD127,Dex!$B$3:$H252,5,FALSE),"")</f>
        <v/>
      </c>
      <c r="AF129" s="2060" t="str">
        <f t="array" ref="AF129">IFERROR(VLOOKUP(AD127,Dex!$B$3:$H252,7,FALSE),"")</f>
        <v/>
      </c>
      <c r="AG129" s="2061"/>
      <c r="AH129" s="2042"/>
      <c r="AI129" s="1614"/>
    </row>
    <row r="130" ht="2.25" customHeight="1">
      <c r="A130" s="1626"/>
      <c r="B130" s="2056"/>
      <c r="C130" s="2063"/>
      <c r="D130" s="2064"/>
      <c r="E130" s="2065"/>
      <c r="F130" s="2066"/>
      <c r="G130" s="2066"/>
      <c r="H130" s="2067"/>
      <c r="I130" s="2062"/>
      <c r="J130" s="2065"/>
      <c r="K130" s="2066"/>
      <c r="L130" s="2066"/>
      <c r="M130" s="2067"/>
      <c r="N130" s="2062"/>
      <c r="O130" s="2065"/>
      <c r="P130" s="2066"/>
      <c r="Q130" s="2066"/>
      <c r="R130" s="2067"/>
      <c r="S130" s="2062"/>
      <c r="T130" s="2065"/>
      <c r="U130" s="2066"/>
      <c r="V130" s="2066"/>
      <c r="W130" s="2067"/>
      <c r="X130" s="2062"/>
      <c r="Y130" s="2065"/>
      <c r="Z130" s="2066"/>
      <c r="AA130" s="2066"/>
      <c r="AB130" s="2067"/>
      <c r="AC130" s="2062"/>
      <c r="AD130" s="2065"/>
      <c r="AE130" s="2066"/>
      <c r="AF130" s="2066"/>
      <c r="AG130" s="2067"/>
      <c r="AH130" s="2042"/>
      <c r="AI130" s="1614"/>
    </row>
    <row r="131" ht="20.25" customHeight="1">
      <c r="A131" s="1626"/>
      <c r="B131" s="2056"/>
      <c r="C131" s="2068"/>
      <c r="D131" s="2064"/>
      <c r="E131" s="2069" t="s">
        <v>564</v>
      </c>
      <c r="F131" s="2070"/>
      <c r="G131" s="2070"/>
      <c r="H131" s="2071"/>
      <c r="I131" s="2072"/>
      <c r="J131" s="2069" t="s">
        <v>532</v>
      </c>
      <c r="K131" s="2070"/>
      <c r="L131" s="2070"/>
      <c r="M131" s="2071"/>
      <c r="N131" s="2072"/>
      <c r="O131" s="2069" t="s">
        <v>565</v>
      </c>
      <c r="P131" s="2070"/>
      <c r="Q131" s="2070"/>
      <c r="R131" s="2071"/>
      <c r="S131" s="2072"/>
      <c r="T131" s="2069" t="s">
        <v>532</v>
      </c>
      <c r="U131" s="2070"/>
      <c r="V131" s="2070"/>
      <c r="W131" s="2071"/>
      <c r="X131" s="2072"/>
      <c r="Y131" s="2069" t="s">
        <v>532</v>
      </c>
      <c r="Z131" s="2070"/>
      <c r="AA131" s="2070"/>
      <c r="AB131" s="2071"/>
      <c r="AC131" s="2072"/>
      <c r="AD131" s="2069" t="s">
        <v>532</v>
      </c>
      <c r="AE131" s="2070"/>
      <c r="AF131" s="2070"/>
      <c r="AG131" s="2071"/>
      <c r="AH131" s="2042"/>
      <c r="AI131" s="1614"/>
    </row>
    <row r="132">
      <c r="A132" s="1653"/>
      <c r="B132" s="2056"/>
      <c r="C132" s="2073"/>
      <c r="D132" s="2064"/>
      <c r="E132" s="2074" t="s">
        <v>825</v>
      </c>
      <c r="F132" s="2034"/>
      <c r="G132" s="2034"/>
      <c r="H132" s="2053"/>
      <c r="I132" s="2072"/>
      <c r="J132" s="2074" t="s">
        <v>569</v>
      </c>
      <c r="K132" s="2034"/>
      <c r="L132" s="2034"/>
      <c r="M132" s="2053"/>
      <c r="N132" s="2072"/>
      <c r="O132" s="2074" t="s">
        <v>889</v>
      </c>
      <c r="P132" s="2034"/>
      <c r="Q132" s="2034"/>
      <c r="R132" s="2053"/>
      <c r="S132" s="2072"/>
      <c r="T132" s="2074" t="s">
        <v>91</v>
      </c>
      <c r="U132" s="2034"/>
      <c r="V132" s="2034"/>
      <c r="W132" s="2053"/>
      <c r="X132" s="2072"/>
      <c r="Y132" s="2074" t="s">
        <v>890</v>
      </c>
      <c r="Z132" s="2034"/>
      <c r="AA132" s="2034"/>
      <c r="AB132" s="2053"/>
      <c r="AC132" s="2072"/>
      <c r="AD132" s="2074" t="s">
        <v>891</v>
      </c>
      <c r="AE132" s="2034"/>
      <c r="AF132" s="2034"/>
      <c r="AG132" s="2053"/>
      <c r="AH132" s="2042"/>
      <c r="AI132" s="1614"/>
    </row>
    <row r="133" ht="20.25" customHeight="1">
      <c r="A133" s="1626"/>
      <c r="B133" s="2056"/>
      <c r="C133" s="2075"/>
      <c r="D133" s="2064"/>
      <c r="E133" s="2076" t="s">
        <v>892</v>
      </c>
      <c r="F133" s="2077"/>
      <c r="G133" s="2078"/>
      <c r="H133" s="2079" t="str">
        <f>IMAGE("https://raw.githubusercontent.com/msikma/pokesprite/master/items/hold-item/rocky-helmet.png",3)</f>
        <v/>
      </c>
      <c r="I133" s="2062"/>
      <c r="J133" s="2076" t="s">
        <v>893</v>
      </c>
      <c r="K133" s="2077"/>
      <c r="L133" s="2078"/>
      <c r="M133" s="2079" t="str">
        <f>IMAGE("https://raw.githubusercontent.com/msikma/pokesprite/master/items/berry/liechi.png",3)</f>
        <v/>
      </c>
      <c r="N133" s="2062"/>
      <c r="O133" s="2076" t="s">
        <v>894</v>
      </c>
      <c r="P133" s="2077"/>
      <c r="Q133" s="2078"/>
      <c r="R133" s="2079" t="str">
        <f>IMAGE("https://raw.githubusercontent.com/msikma/pokesprite/master/items/z-crystals/kommonium-z--held.png",3)</f>
        <v/>
      </c>
      <c r="S133" s="2062"/>
      <c r="T133" s="2076" t="s">
        <v>895</v>
      </c>
      <c r="U133" s="2077"/>
      <c r="V133" s="2078"/>
      <c r="W133" s="2079" t="str">
        <f>IMAGE("https://raw.githubusercontent.com/msikma/pokesprite/master/items/berry/salac.png",3)</f>
        <v/>
      </c>
      <c r="X133" s="2062"/>
      <c r="Y133" s="2076" t="s">
        <v>896</v>
      </c>
      <c r="Z133" s="2077"/>
      <c r="AA133" s="2078"/>
      <c r="AB133" s="2079" t="str">
        <f>IMAGE("https://raw.githubusercontent.com/msikma/pokesprite/master/items/hold-item/rusted-shield.png",3)</f>
        <v/>
      </c>
      <c r="AC133" s="2062"/>
      <c r="AD133" s="2076" t="s">
        <v>897</v>
      </c>
      <c r="AE133" s="2077"/>
      <c r="AF133" s="2078"/>
      <c r="AG133" s="2079" t="str">
        <f>IMAGE("https://raw.githubusercontent.com/msikma/pokesprite/master/items/mega-stone/galladite.png",3)</f>
        <v/>
      </c>
      <c r="AH133" s="2042"/>
      <c r="AI133" s="1614"/>
    </row>
    <row r="134" ht="20.25" customHeight="1">
      <c r="A134" s="1626"/>
      <c r="B134" s="2056"/>
      <c r="C134" s="2080"/>
      <c r="D134" s="2064"/>
      <c r="E134" s="2069" t="s">
        <v>898</v>
      </c>
      <c r="F134" s="2070"/>
      <c r="G134" s="2070"/>
      <c r="H134" s="2081" t="str">
        <f>IMAGE("https://raw.githubusercontent.com/msikma/pokesprite/master/misc/types/gen8/psychic.png",4,20,20)</f>
        <v/>
      </c>
      <c r="I134" s="2062"/>
      <c r="J134" s="2069" t="s">
        <v>583</v>
      </c>
      <c r="K134" s="2070"/>
      <c r="L134" s="2070"/>
      <c r="M134" s="2081" t="str">
        <f>IMAGE("https://raw.githubusercontent.com/msikma/pokesprite/master/misc/types/gen8/fighting.png",4,20,20)</f>
        <v/>
      </c>
      <c r="N134" s="2062"/>
      <c r="O134" s="2069" t="s">
        <v>899</v>
      </c>
      <c r="P134" s="2070"/>
      <c r="Q134" s="2070"/>
      <c r="R134" s="2081" t="str">
        <f>IMAGE("https://raw.githubusercontent.com/msikma/pokesprite/master/misc/types/gen8/dragon.png",4,20,20)</f>
        <v/>
      </c>
      <c r="S134" s="2062"/>
      <c r="T134" s="2069" t="s">
        <v>168</v>
      </c>
      <c r="U134" s="2070"/>
      <c r="V134" s="2070"/>
      <c r="W134" s="2081" t="str">
        <f t="shared" ref="W134:W135" si="9">IMAGE("https://raw.githubusercontent.com/msikma/pokesprite/master/misc/types/gen8/fighting.png",4,20,20)</f>
        <v/>
      </c>
      <c r="X134" s="2062"/>
      <c r="Y134" s="2069" t="s">
        <v>168</v>
      </c>
      <c r="Z134" s="2070"/>
      <c r="AA134" s="2070"/>
      <c r="AB134" s="2081" t="str">
        <f>IMAGE("https://raw.githubusercontent.com/msikma/pokesprite/master/misc/types/gen8/fighting.png",4,20,20)</f>
        <v/>
      </c>
      <c r="AC134" s="2062"/>
      <c r="AD134" s="2069" t="s">
        <v>168</v>
      </c>
      <c r="AE134" s="2070"/>
      <c r="AF134" s="2070"/>
      <c r="AG134" s="2081" t="str">
        <f t="shared" ref="AG134:AG135" si="10">IMAGE("https://raw.githubusercontent.com/msikma/pokesprite/master/misc/types/gen8/fighting.png",4,20,20)</f>
        <v/>
      </c>
      <c r="AH134" s="2042"/>
      <c r="AI134" s="1614"/>
    </row>
    <row r="135" ht="20.25" customHeight="1">
      <c r="A135" s="2082"/>
      <c r="B135" s="2056"/>
      <c r="C135" s="2068"/>
      <c r="D135" s="2064"/>
      <c r="E135" s="2074" t="s">
        <v>900</v>
      </c>
      <c r="F135" s="2034"/>
      <c r="G135" s="2034"/>
      <c r="H135" s="2083" t="str">
        <f>IMAGE("https://raw.githubusercontent.com/msikma/pokesprite/master/misc/types/gen8/steel.png",4,20,20)</f>
        <v/>
      </c>
      <c r="I135" s="2062"/>
      <c r="J135" s="2074" t="s">
        <v>545</v>
      </c>
      <c r="K135" s="2034"/>
      <c r="L135" s="2034"/>
      <c r="M135" s="2083" t="str">
        <f>IMAGE("https://raw.githubusercontent.com/msikma/pokesprite/master/misc/types/gen8/poison.png",4,20,20)</f>
        <v/>
      </c>
      <c r="N135" s="2062"/>
      <c r="O135" s="2074" t="s">
        <v>583</v>
      </c>
      <c r="P135" s="2034"/>
      <c r="Q135" s="2034"/>
      <c r="R135" s="2083" t="str">
        <f>IMAGE("https://raw.githubusercontent.com/msikma/pokesprite/master/misc/types/gen8/fighting.png",4,20,20)</f>
        <v/>
      </c>
      <c r="S135" s="2062"/>
      <c r="T135" s="2074" t="s">
        <v>548</v>
      </c>
      <c r="U135" s="2034"/>
      <c r="V135" s="2034"/>
      <c r="W135" s="2083" t="str">
        <f t="shared" si="9"/>
        <v/>
      </c>
      <c r="X135" s="2062"/>
      <c r="Y135" s="2074" t="s">
        <v>901</v>
      </c>
      <c r="Z135" s="2034"/>
      <c r="AA135" s="2034"/>
      <c r="AB135" s="2083" t="str">
        <f>IMAGE("https://raw.githubusercontent.com/msikma/pokesprite/master/misc/types/gen8/steel.png",4,20,20)</f>
        <v/>
      </c>
      <c r="AC135" s="2062"/>
      <c r="AD135" s="2074" t="s">
        <v>548</v>
      </c>
      <c r="AE135" s="2034"/>
      <c r="AF135" s="2034"/>
      <c r="AG135" s="2083" t="str">
        <f t="shared" si="10"/>
        <v/>
      </c>
      <c r="AH135" s="2042"/>
      <c r="AI135" s="1614"/>
    </row>
    <row r="136" ht="20.25" customHeight="1">
      <c r="A136" s="1626"/>
      <c r="B136" s="2056"/>
      <c r="C136" s="2068"/>
      <c r="D136" s="2064"/>
      <c r="E136" s="2074" t="s">
        <v>902</v>
      </c>
      <c r="F136" s="2034"/>
      <c r="G136" s="2034"/>
      <c r="H136" s="2083" t="str">
        <f>IMAGE("https://raw.githubusercontent.com/msikma/pokesprite/master/misc/types/gen8/fighting.png",4,20,20)</f>
        <v/>
      </c>
      <c r="I136" s="2062"/>
      <c r="J136" s="2074" t="s">
        <v>579</v>
      </c>
      <c r="K136" s="2034"/>
      <c r="L136" s="2034"/>
      <c r="M136" s="2083" t="str">
        <f>IMAGE("https://raw.githubusercontent.com/msikma/pokesprite/master/misc/types/gen8/dark.png",4,20,20)</f>
        <v/>
      </c>
      <c r="N136" s="2062"/>
      <c r="O136" s="2074" t="s">
        <v>545</v>
      </c>
      <c r="P136" s="2034"/>
      <c r="Q136" s="2034"/>
      <c r="R136" s="2083" t="str">
        <f>IMAGE("https://raw.githubusercontent.com/msikma/pokesprite/master/misc/types/gen8/poison.png",4,20,20)</f>
        <v/>
      </c>
      <c r="S136" s="2062"/>
      <c r="T136" s="2074" t="s">
        <v>903</v>
      </c>
      <c r="U136" s="2034"/>
      <c r="V136" s="2034"/>
      <c r="W136" s="2083" t="str">
        <f>IMAGE("https://raw.githubusercontent.com/msikma/pokesprite/master/misc/types/gen8/ghost.png",4,20,20)</f>
        <v/>
      </c>
      <c r="X136" s="2062"/>
      <c r="Y136" s="2074" t="s">
        <v>720</v>
      </c>
      <c r="Z136" s="2034"/>
      <c r="AA136" s="2034"/>
      <c r="AB136" s="2083" t="str">
        <f>IMAGE("https://raw.githubusercontent.com/msikma/pokesprite/master/misc/types/gen8/fighting.png",4,20,20)</f>
        <v/>
      </c>
      <c r="AC136" s="2062"/>
      <c r="AD136" s="2074" t="s">
        <v>904</v>
      </c>
      <c r="AE136" s="2034"/>
      <c r="AF136" s="2034"/>
      <c r="AG136" s="2083" t="str">
        <f>IMAGE("https://raw.githubusercontent.com/msikma/pokesprite/master/misc/types/gen8/psychic.png",4,20,20)</f>
        <v/>
      </c>
      <c r="AH136" s="2042"/>
      <c r="AI136" s="1614"/>
    </row>
    <row r="137" ht="21.0" customHeight="1">
      <c r="A137" s="1626"/>
      <c r="B137" s="2056"/>
      <c r="C137" s="2068"/>
      <c r="D137" s="2064"/>
      <c r="E137" s="2084" t="s">
        <v>581</v>
      </c>
      <c r="F137" s="2085"/>
      <c r="G137" s="2085"/>
      <c r="H137" s="2086" t="str">
        <f>IMAGE("https://raw.githubusercontent.com/msikma/pokesprite/master/misc/types/gen8/electric.png",4,20,20)</f>
        <v/>
      </c>
      <c r="I137" s="2062"/>
      <c r="J137" s="2084" t="s">
        <v>549</v>
      </c>
      <c r="K137" s="2085"/>
      <c r="L137" s="2085"/>
      <c r="M137" s="2086" t="str">
        <f>IMAGE("https://raw.githubusercontent.com/msikma/pokesprite/master/misc/types/gen8/ground.png",4,20,20)</f>
        <v/>
      </c>
      <c r="N137" s="2062"/>
      <c r="O137" s="2084" t="s">
        <v>619</v>
      </c>
      <c r="P137" s="2085"/>
      <c r="Q137" s="2085"/>
      <c r="R137" s="2086" t="str">
        <f>IMAGE("https://raw.githubusercontent.com/msikma/pokesprite/master/misc/types/gen8/fire.png",4,20,20)</f>
        <v/>
      </c>
      <c r="S137" s="2062"/>
      <c r="T137" s="2084" t="s">
        <v>589</v>
      </c>
      <c r="U137" s="2085"/>
      <c r="V137" s="2085"/>
      <c r="W137" s="2086" t="str">
        <f>IMAGE("https://raw.githubusercontent.com/msikma/pokesprite/master/misc/types/gen8/ice.png",4,20,20)</f>
        <v/>
      </c>
      <c r="X137" s="2062"/>
      <c r="Y137" s="2084" t="s">
        <v>905</v>
      </c>
      <c r="Z137" s="2085"/>
      <c r="AA137" s="2085"/>
      <c r="AB137" s="2086" t="str">
        <f>IMAGE("https://raw.githubusercontent.com/msikma/pokesprite/master/misc/types/gen8/electric.png",4,20,20)</f>
        <v/>
      </c>
      <c r="AC137" s="2062"/>
      <c r="AD137" s="2084" t="s">
        <v>835</v>
      </c>
      <c r="AE137" s="2085"/>
      <c r="AF137" s="2085"/>
      <c r="AG137" s="2086" t="str">
        <f>IMAGE("https://raw.githubusercontent.com/msikma/pokesprite/master/misc/types/gen8/dark.png",4,20,20)</f>
        <v/>
      </c>
      <c r="AH137" s="2042"/>
      <c r="AI137" s="1614"/>
    </row>
    <row r="138" ht="3.0" customHeight="1">
      <c r="A138" s="1626"/>
      <c r="B138" s="2087"/>
      <c r="C138" s="2032"/>
      <c r="D138" s="2088"/>
      <c r="E138" s="2089"/>
      <c r="F138" s="2089"/>
      <c r="G138" s="2089"/>
      <c r="H138" s="2089"/>
      <c r="I138" s="2088"/>
      <c r="J138" s="2089"/>
      <c r="K138" s="2089"/>
      <c r="L138" s="2089"/>
      <c r="M138" s="2089"/>
      <c r="N138" s="2088"/>
      <c r="O138" s="2089"/>
      <c r="P138" s="2089"/>
      <c r="Q138" s="2089"/>
      <c r="R138" s="2089"/>
      <c r="S138" s="2088"/>
      <c r="T138" s="2089"/>
      <c r="U138" s="2089"/>
      <c r="V138" s="2089"/>
      <c r="W138" s="2089"/>
      <c r="X138" s="2088"/>
      <c r="Y138" s="2089"/>
      <c r="Z138" s="2090"/>
      <c r="AA138" s="2090"/>
      <c r="AB138" s="2091"/>
      <c r="AC138" s="2088"/>
      <c r="AD138" s="2092"/>
      <c r="AE138" s="2092"/>
      <c r="AF138" s="2092"/>
      <c r="AG138" s="2093"/>
      <c r="AH138" s="2094"/>
      <c r="AI138" s="1684"/>
    </row>
    <row r="139" ht="16.5" customHeight="1">
      <c r="A139" s="1626"/>
      <c r="B139" s="2031"/>
      <c r="C139" s="2032"/>
      <c r="D139" s="2095"/>
      <c r="E139" s="2096" t="s">
        <v>512</v>
      </c>
      <c r="F139" s="606"/>
      <c r="G139" s="606"/>
      <c r="H139" s="607"/>
      <c r="I139" s="2095"/>
      <c r="J139" s="2096" t="s">
        <v>512</v>
      </c>
      <c r="K139" s="606"/>
      <c r="L139" s="606"/>
      <c r="M139" s="607"/>
      <c r="N139" s="2095"/>
      <c r="O139" s="2096" t="s">
        <v>512</v>
      </c>
      <c r="P139" s="606"/>
      <c r="Q139" s="606"/>
      <c r="R139" s="607"/>
      <c r="S139" s="2095"/>
      <c r="T139" s="2096" t="s">
        <v>512</v>
      </c>
      <c r="U139" s="606"/>
      <c r="V139" s="606"/>
      <c r="W139" s="607"/>
      <c r="X139" s="2095"/>
      <c r="Y139" s="2096" t="s">
        <v>512</v>
      </c>
      <c r="Z139" s="606"/>
      <c r="AA139" s="606"/>
      <c r="AB139" s="607"/>
      <c r="AC139" s="2095"/>
      <c r="AD139" s="2096" t="s">
        <v>512</v>
      </c>
      <c r="AE139" s="606"/>
      <c r="AF139" s="606"/>
      <c r="AG139" s="607"/>
      <c r="AH139" s="2097"/>
      <c r="AI139" s="1692"/>
    </row>
    <row r="140" ht="16.5" customHeight="1">
      <c r="A140" s="1626"/>
      <c r="B140" s="2031"/>
      <c r="C140" s="2032"/>
      <c r="D140" s="2095"/>
      <c r="E140" s="2098" t="s">
        <v>513</v>
      </c>
      <c r="F140" s="2099">
        <f t="array" ref="F140">IFERROR(VLOOKUP(E127,Dex!$B$3:$N252,8,FALSE),"")</f>
        <v>90</v>
      </c>
      <c r="G140" s="2100" t="str">
        <f t="array" ref="G140">IFERROR(VLOOKUP(F140,Dex!$P$22:$Q$276,2,FALSE),"")</f>
        <v/>
      </c>
      <c r="H140" s="2101"/>
      <c r="I140" s="2102"/>
      <c r="J140" s="2098" t="s">
        <v>513</v>
      </c>
      <c r="K140" s="2099">
        <f t="array" ref="K140">IFERROR(VLOOKUP(J127,Dex!$B$3:$N252,8,FALSE),"")</f>
        <v>80</v>
      </c>
      <c r="L140" s="2100" t="str">
        <f t="array" ref="L140">IFERROR(VLOOKUP(K140,Dex!$P$22:$Q$276,2,FALSE),"")</f>
        <v/>
      </c>
      <c r="M140" s="2101"/>
      <c r="N140" s="2102"/>
      <c r="O140" s="2098" t="s">
        <v>513</v>
      </c>
      <c r="P140" s="2099">
        <f t="array" ref="P140">IFERROR(VLOOKUP(O127,Dex!$B$3:$N252,8,FALSE),"")</f>
        <v>75</v>
      </c>
      <c r="Q140" s="2100" t="str">
        <f t="array" ref="Q140">IFERROR(VLOOKUP(P140,Dex!$P$22:$Q$276,2,FALSE),"")</f>
        <v/>
      </c>
      <c r="R140" s="2101"/>
      <c r="S140" s="2102"/>
      <c r="T140" s="2098" t="s">
        <v>513</v>
      </c>
      <c r="U140" s="2099">
        <f t="array" ref="U140">IFERROR(VLOOKUP(T127,Dex!$B$3:$N252,8,FALSE),"")</f>
        <v>110</v>
      </c>
      <c r="V140" s="2100" t="str">
        <f t="array" ref="V140">IFERROR(VLOOKUP(U140,Dex!$P$22:$Q$276,2,FALSE),"")</f>
        <v/>
      </c>
      <c r="W140" s="2101"/>
      <c r="X140" s="2102"/>
      <c r="Y140" s="2098" t="s">
        <v>513</v>
      </c>
      <c r="Z140" s="2099">
        <f t="array" ref="Z140">IFERROR(VLOOKUP(Y127,Dex!$B$3:$N252,8,FALSE),"")</f>
        <v>92</v>
      </c>
      <c r="AA140" s="2100" t="str">
        <f t="array" ref="AA140">IFERROR(VLOOKUP(Z140,Dex!$P$22:$Q$276,2,FALSE),"")</f>
        <v/>
      </c>
      <c r="AB140" s="2101"/>
      <c r="AC140" s="2102"/>
      <c r="AD140" s="2098" t="s">
        <v>513</v>
      </c>
      <c r="AE140" s="2099">
        <f t="array" ref="AE140">IFERROR(VLOOKUP(AD127,Dex!$B$3:$N252,8,FALSE),"")</f>
        <v>68</v>
      </c>
      <c r="AF140" s="2100" t="str">
        <f t="array" ref="AF140">IFERROR(VLOOKUP(AE140,Dex!$P$22:$Q$276,2,FALSE),"")</f>
        <v/>
      </c>
      <c r="AG140" s="2101"/>
      <c r="AH140" s="2103"/>
      <c r="AI140" s="1692"/>
    </row>
    <row r="141" ht="16.5" customHeight="1">
      <c r="A141" s="1626"/>
      <c r="B141" s="2031"/>
      <c r="C141" s="2032"/>
      <c r="D141" s="2095"/>
      <c r="E141" s="2104" t="s">
        <v>514</v>
      </c>
      <c r="F141" s="2105">
        <f t="array" ref="F141">IFERROR(VLOOKUP(E127,Dex!$B$3:$N252,9,FALSE),"")</f>
        <v>72</v>
      </c>
      <c r="G141" s="2106" t="str">
        <f t="array" ref="G141">IFERROR(VLOOKUP(F141,Dex!$P$22:$Q$276,2,FALSE),"")</f>
        <v/>
      </c>
      <c r="H141" s="2107"/>
      <c r="I141" s="2102"/>
      <c r="J141" s="2104" t="s">
        <v>514</v>
      </c>
      <c r="K141" s="2105">
        <f t="array" ref="K141">IFERROR(VLOOKUP(J127,Dex!$B$3:$N252,9,FALSE),"")</f>
        <v>130</v>
      </c>
      <c r="L141" s="2106" t="str">
        <f t="array" ref="L141">IFERROR(VLOOKUP(K141,Dex!$P$22:$Q$276,2,FALSE),"")</f>
        <v/>
      </c>
      <c r="M141" s="2107"/>
      <c r="N141" s="2102"/>
      <c r="O141" s="2104" t="s">
        <v>514</v>
      </c>
      <c r="P141" s="2105">
        <f t="array" ref="P141">IFERROR(VLOOKUP(O127,Dex!$B$3:$N252,9,FALSE),"")</f>
        <v>110</v>
      </c>
      <c r="Q141" s="2106" t="str">
        <f t="array" ref="Q141">IFERROR(VLOOKUP(P141,Dex!$P$22:$Q$276,2,FALSE),"")</f>
        <v/>
      </c>
      <c r="R141" s="2107"/>
      <c r="S141" s="2102"/>
      <c r="T141" s="2104" t="s">
        <v>514</v>
      </c>
      <c r="U141" s="2105">
        <f t="array" ref="U141">IFERROR(VLOOKUP(T127,Dex!$B$3:$N252,9,FALSE),"")</f>
        <v>115</v>
      </c>
      <c r="V141" s="2106" t="str">
        <f t="array" ref="V141">IFERROR(VLOOKUP(U141,Dex!$P$22:$Q$276,2,FALSE),"")</f>
        <v/>
      </c>
      <c r="W141" s="2107"/>
      <c r="X141" s="2102"/>
      <c r="Y141" s="2104" t="s">
        <v>514</v>
      </c>
      <c r="Z141" s="2105">
        <f t="array" ref="Z141">IFERROR(VLOOKUP(Y127,Dex!$B$3:$N252,9,FALSE),"")</f>
        <v>120</v>
      </c>
      <c r="AA141" s="2106" t="str">
        <f t="array" ref="AA141">IFERROR(VLOOKUP(Z141,Dex!$P$22:$Q$276,2,FALSE),"")</f>
        <v/>
      </c>
      <c r="AB141" s="2107"/>
      <c r="AC141" s="2102"/>
      <c r="AD141" s="2104" t="s">
        <v>514</v>
      </c>
      <c r="AE141" s="2105">
        <f t="array" ref="AE141">IFERROR(VLOOKUP(AD127,Dex!$B$3:$N252,9,FALSE),"")</f>
        <v>165</v>
      </c>
      <c r="AF141" s="2106" t="str">
        <f t="array" ref="AF141">IFERROR(VLOOKUP(AE141,Dex!$P$22:$Q$276,2,FALSE),"")</f>
        <v/>
      </c>
      <c r="AG141" s="2107"/>
      <c r="AH141" s="2103"/>
      <c r="AI141" s="1692"/>
    </row>
    <row r="142" ht="16.5" customHeight="1">
      <c r="A142" s="1626"/>
      <c r="B142" s="2031"/>
      <c r="C142" s="2032"/>
      <c r="D142" s="2095"/>
      <c r="E142" s="2104" t="s">
        <v>515</v>
      </c>
      <c r="F142" s="2105">
        <f t="array" ref="F142">IFERROR(VLOOKUP(E127,Dex!$B$3:$N252,10,FALSE),"")</f>
        <v>100</v>
      </c>
      <c r="G142" s="2106" t="str">
        <f t="array" ref="G142">IFERROR(VLOOKUP(F142,Dex!$P$22:$Q$276,2,FALSE),"")</f>
        <v/>
      </c>
      <c r="H142" s="2107"/>
      <c r="I142" s="2102"/>
      <c r="J142" s="2104" t="s">
        <v>515</v>
      </c>
      <c r="K142" s="2105">
        <f t="array" ref="K142">IFERROR(VLOOKUP(J127,Dex!$B$3:$N252,10,FALSE),"")</f>
        <v>60</v>
      </c>
      <c r="L142" s="2106" t="str">
        <f t="array" ref="L142">IFERROR(VLOOKUP(K142,Dex!$P$22:$Q$276,2,FALSE),"")</f>
        <v/>
      </c>
      <c r="M142" s="2107"/>
      <c r="N142" s="2102"/>
      <c r="O142" s="2104" t="s">
        <v>515</v>
      </c>
      <c r="P142" s="2105">
        <f t="array" ref="P142">IFERROR(VLOOKUP(O127,Dex!$B$3:$N252,10,FALSE),"")</f>
        <v>125</v>
      </c>
      <c r="Q142" s="2106" t="str">
        <f t="array" ref="Q142">IFERROR(VLOOKUP(P142,Dex!$P$22:$Q$276,2,FALSE),"")</f>
        <v/>
      </c>
      <c r="R142" s="2107"/>
      <c r="S142" s="2102"/>
      <c r="T142" s="2104" t="s">
        <v>515</v>
      </c>
      <c r="U142" s="2105">
        <f t="array" ref="U142">IFERROR(VLOOKUP(T127,Dex!$B$3:$N252,10,FALSE),"")</f>
        <v>80</v>
      </c>
      <c r="V142" s="2106" t="str">
        <f t="array" ref="V142">IFERROR(VLOOKUP(U142,Dex!$P$22:$Q$276,2,FALSE),"")</f>
        <v/>
      </c>
      <c r="W142" s="2107"/>
      <c r="X142" s="2102"/>
      <c r="Y142" s="2104" t="s">
        <v>515</v>
      </c>
      <c r="Z142" s="2105">
        <f t="array" ref="Z142">IFERROR(VLOOKUP(Y127,Dex!$B$3:$N252,10,FALSE),"")</f>
        <v>140</v>
      </c>
      <c r="AA142" s="2106" t="str">
        <f t="array" ref="AA142">IFERROR(VLOOKUP(Z142,Dex!$P$22:$Q$276,2,FALSE),"")</f>
        <v/>
      </c>
      <c r="AB142" s="2107"/>
      <c r="AC142" s="2102"/>
      <c r="AD142" s="2104" t="s">
        <v>515</v>
      </c>
      <c r="AE142" s="2105">
        <f t="array" ref="AE142">IFERROR(VLOOKUP(AD127,Dex!$B$3:$N252,10,FALSE),"")</f>
        <v>95</v>
      </c>
      <c r="AF142" s="2106" t="str">
        <f t="array" ref="AF142">IFERROR(VLOOKUP(AE142,Dex!$P$22:$Q$276,2,FALSE),"")</f>
        <v/>
      </c>
      <c r="AG142" s="2107"/>
      <c r="AH142" s="2103"/>
      <c r="AI142" s="1692"/>
    </row>
    <row r="143" ht="16.5" customHeight="1">
      <c r="A143" s="1626"/>
      <c r="B143" s="2031"/>
      <c r="C143" s="2032"/>
      <c r="D143" s="2095"/>
      <c r="E143" s="2104" t="s">
        <v>516</v>
      </c>
      <c r="F143" s="2105">
        <f t="array" ref="F143">IFERROR(VLOOKUP(E127,Dex!$B$3:$N252,11,FALSE),"")</f>
        <v>122</v>
      </c>
      <c r="G143" s="2106" t="str">
        <f t="array" ref="G143">IFERROR(VLOOKUP(F143,Dex!$P$22:$Q$276,2,FALSE),"")</f>
        <v/>
      </c>
      <c r="H143" s="2107"/>
      <c r="I143" s="2102"/>
      <c r="J143" s="2104" t="s">
        <v>516</v>
      </c>
      <c r="K143" s="2105">
        <f t="array" ref="K143">IFERROR(VLOOKUP(J127,Dex!$B$3:$N252,11,FALSE),"")</f>
        <v>40</v>
      </c>
      <c r="L143" s="2106" t="str">
        <f t="array" ref="L143">IFERROR(VLOOKUP(K143,Dex!$P$22:$Q$276,2,FALSE),"")</f>
        <v/>
      </c>
      <c r="M143" s="2107"/>
      <c r="N143" s="2102"/>
      <c r="O143" s="2104" t="s">
        <v>516</v>
      </c>
      <c r="P143" s="2105">
        <f t="array" ref="P143">IFERROR(VLOOKUP(O127,Dex!$B$3:$N252,11,FALSE),"")</f>
        <v>100</v>
      </c>
      <c r="Q143" s="2106" t="str">
        <f t="array" ref="Q143">IFERROR(VLOOKUP(P143,Dex!$P$22:$Q$276,2,FALSE),"")</f>
        <v/>
      </c>
      <c r="R143" s="2107"/>
      <c r="S143" s="2102"/>
      <c r="T143" s="2104" t="s">
        <v>516</v>
      </c>
      <c r="U143" s="2105">
        <f t="array" ref="U143">IFERROR(VLOOKUP(T127,Dex!$B$3:$N252,11,FALSE),"")</f>
        <v>50</v>
      </c>
      <c r="V143" s="2106" t="str">
        <f t="array" ref="V143">IFERROR(VLOOKUP(U143,Dex!$P$22:$Q$276,2,FALSE),"")</f>
        <v/>
      </c>
      <c r="W143" s="2107"/>
      <c r="X143" s="2102"/>
      <c r="Y143" s="2104" t="s">
        <v>516</v>
      </c>
      <c r="Z143" s="2105">
        <f t="array" ref="Z143">IFERROR(VLOOKUP(Y127,Dex!$B$3:$N252,11,FALSE),"")</f>
        <v>80</v>
      </c>
      <c r="AA143" s="2106" t="str">
        <f t="array" ref="AA143">IFERROR(VLOOKUP(Z143,Dex!$P$22:$Q$276,2,FALSE),"")</f>
        <v/>
      </c>
      <c r="AB143" s="2107"/>
      <c r="AC143" s="2102"/>
      <c r="AD143" s="2104" t="s">
        <v>516</v>
      </c>
      <c r="AE143" s="2105">
        <f t="array" ref="AE143">IFERROR(VLOOKUP(AD127,Dex!$B$3:$N252,11,FALSE),"")</f>
        <v>65</v>
      </c>
      <c r="AF143" s="2106" t="str">
        <f t="array" ref="AF143">IFERROR(VLOOKUP(AE143,Dex!$P$22:$Q$276,2,FALSE),"")</f>
        <v/>
      </c>
      <c r="AG143" s="2107"/>
      <c r="AH143" s="2103"/>
      <c r="AI143" s="1692"/>
    </row>
    <row r="144" ht="16.5" customHeight="1">
      <c r="A144" s="1626"/>
      <c r="B144" s="2031"/>
      <c r="C144" s="2032"/>
      <c r="D144" s="2095"/>
      <c r="E144" s="2104" t="s">
        <v>517</v>
      </c>
      <c r="F144" s="2105">
        <f t="array" ref="F144">IFERROR(VLOOKUP(E127,Dex!$B$3:$N252,12,FALSE),"")</f>
        <v>108</v>
      </c>
      <c r="G144" s="2106" t="str">
        <f t="array" ref="G144">IFERROR(VLOOKUP(F144,Dex!$P$22:$Q$276,2,FALSE),"")</f>
        <v/>
      </c>
      <c r="H144" s="2107"/>
      <c r="I144" s="2102"/>
      <c r="J144" s="2104" t="s">
        <v>517</v>
      </c>
      <c r="K144" s="2105">
        <f t="array" ref="K144">IFERROR(VLOOKUP(J127,Dex!$B$3:$N252,12,FALSE),"")</f>
        <v>80</v>
      </c>
      <c r="L144" s="2106" t="str">
        <f t="array" ref="L144">IFERROR(VLOOKUP(K144,Dex!$P$22:$Q$276,2,FALSE),"")</f>
        <v/>
      </c>
      <c r="M144" s="2107"/>
      <c r="N144" s="2102"/>
      <c r="O144" s="2104" t="s">
        <v>517</v>
      </c>
      <c r="P144" s="2105">
        <f t="array" ref="P144">IFERROR(VLOOKUP(O127,Dex!$B$3:$N252,12,FALSE),"")</f>
        <v>105</v>
      </c>
      <c r="Q144" s="2106" t="str">
        <f t="array" ref="Q144">IFERROR(VLOOKUP(P144,Dex!$P$22:$Q$276,2,FALSE),"")</f>
        <v/>
      </c>
      <c r="R144" s="2107"/>
      <c r="S144" s="2102"/>
      <c r="T144" s="2104" t="s">
        <v>517</v>
      </c>
      <c r="U144" s="2105">
        <f t="array" ref="U144">IFERROR(VLOOKUP(T127,Dex!$B$3:$N252,12,FALSE),"")</f>
        <v>90</v>
      </c>
      <c r="V144" s="2106" t="str">
        <f t="array" ref="V144">IFERROR(VLOOKUP(U144,Dex!$P$22:$Q$276,2,FALSE),"")</f>
        <v/>
      </c>
      <c r="W144" s="2107"/>
      <c r="X144" s="2102"/>
      <c r="Y144" s="2104" t="s">
        <v>517</v>
      </c>
      <c r="Z144" s="2105">
        <f t="array" ref="Z144">IFERROR(VLOOKUP(Y127,Dex!$B$3:$N252,12,FALSE),"")</f>
        <v>140</v>
      </c>
      <c r="AA144" s="2106" t="str">
        <f t="array" ref="AA144">IFERROR(VLOOKUP(Z144,Dex!$P$22:$Q$276,2,FALSE),"")</f>
        <v/>
      </c>
      <c r="AB144" s="2107"/>
      <c r="AC144" s="2102"/>
      <c r="AD144" s="2104" t="s">
        <v>517</v>
      </c>
      <c r="AE144" s="2105">
        <f t="array" ref="AE144">IFERROR(VLOOKUP(AD127,Dex!$B$3:$N252,12,FALSE),"")</f>
        <v>115</v>
      </c>
      <c r="AF144" s="2106" t="str">
        <f t="array" ref="AF144">IFERROR(VLOOKUP(AE144,Dex!$P$22:$Q$276,2,FALSE),"")</f>
        <v/>
      </c>
      <c r="AG144" s="2107"/>
      <c r="AH144" s="2103"/>
      <c r="AI144" s="1692"/>
    </row>
    <row r="145" ht="15.75" customHeight="1">
      <c r="A145" s="1626"/>
      <c r="B145" s="2031"/>
      <c r="C145" s="1426" t="s">
        <v>745</v>
      </c>
      <c r="D145" s="2095"/>
      <c r="E145" s="2108" t="s">
        <v>518</v>
      </c>
      <c r="F145" s="2109">
        <f t="array" ref="F145">IFERROR(VLOOKUP(E127,Dex!$B$3:$N252,13,FALSE),"")</f>
        <v>98</v>
      </c>
      <c r="G145" s="2110" t="str">
        <f t="array" ref="G145">IFERROR(VLOOKUP(F145,Dex!$P$22:$Q$276,2,FALSE),"")</f>
        <v/>
      </c>
      <c r="H145" s="2111"/>
      <c r="I145" s="2102"/>
      <c r="J145" s="2108" t="s">
        <v>518</v>
      </c>
      <c r="K145" s="2109">
        <f t="array" ref="K145">IFERROR(VLOOKUP(J127,Dex!$B$3:$N252,13,FALSE),"")</f>
        <v>120</v>
      </c>
      <c r="L145" s="2110" t="str">
        <f t="array" ref="L145">IFERROR(VLOOKUP(K145,Dex!$P$22:$Q$276,2,FALSE),"")</f>
        <v/>
      </c>
      <c r="M145" s="2111"/>
      <c r="N145" s="2102"/>
      <c r="O145" s="2108" t="s">
        <v>518</v>
      </c>
      <c r="P145" s="2109">
        <f t="array" ref="P145">IFERROR(VLOOKUP(O127,Dex!$B$3:$N252,13,FALSE),"")</f>
        <v>85</v>
      </c>
      <c r="Q145" s="2110" t="str">
        <f t="array" ref="Q145">IFERROR(VLOOKUP(P145,Dex!$P$22:$Q$276,2,FALSE),"")</f>
        <v/>
      </c>
      <c r="R145" s="2111"/>
      <c r="S145" s="2102"/>
      <c r="T145" s="2108" t="s">
        <v>518</v>
      </c>
      <c r="U145" s="2109">
        <f t="array" ref="U145">IFERROR(VLOOKUP(T127,Dex!$B$3:$N252,13,FALSE),"")</f>
        <v>90</v>
      </c>
      <c r="V145" s="2110" t="str">
        <f t="array" ref="V145">IFERROR(VLOOKUP(U145,Dex!$P$22:$Q$276,2,FALSE),"")</f>
        <v/>
      </c>
      <c r="W145" s="2111"/>
      <c r="X145" s="2102"/>
      <c r="Y145" s="2108" t="s">
        <v>518</v>
      </c>
      <c r="Z145" s="2109">
        <f t="array" ref="Z145">IFERROR(VLOOKUP(Y127,Dex!$B$3:$N252,13,FALSE),"")</f>
        <v>128</v>
      </c>
      <c r="AA145" s="2110" t="str">
        <f t="array" ref="AA145">IFERROR(VLOOKUP(Z145,Dex!$P$22:$Q$276,2,FALSE),"")</f>
        <v/>
      </c>
      <c r="AB145" s="2111"/>
      <c r="AC145" s="2102"/>
      <c r="AD145" s="2108" t="s">
        <v>518</v>
      </c>
      <c r="AE145" s="2109">
        <f t="array" ref="AE145">IFERROR(VLOOKUP(AD127,Dex!$B$3:$N252,13,FALSE),"")</f>
        <v>110</v>
      </c>
      <c r="AF145" s="2110" t="str">
        <f t="array" ref="AF145">IFERROR(VLOOKUP(AE145,Dex!$P$22:$Q$276,2,FALSE),"")</f>
        <v/>
      </c>
      <c r="AG145" s="2111"/>
      <c r="AH145" s="2103"/>
      <c r="AI145" s="1692"/>
    </row>
    <row r="146" ht="16.5" customHeight="1">
      <c r="A146" s="1626"/>
      <c r="B146" s="2031"/>
      <c r="C146" s="1427" t="s">
        <v>880</v>
      </c>
      <c r="D146" s="2095"/>
      <c r="E146" s="2112" t="s">
        <v>519</v>
      </c>
      <c r="F146" s="630"/>
      <c r="G146" s="631"/>
      <c r="H146" s="632">
        <f>ROUNDDOWN((ROUNDDOWN(((((2*F145+31)*36)/100+5)),0))*1.1,0)</f>
        <v>94</v>
      </c>
      <c r="I146" s="2095"/>
      <c r="J146" s="2113" t="s">
        <v>519</v>
      </c>
      <c r="K146" s="635"/>
      <c r="L146" s="636"/>
      <c r="M146" s="632">
        <f>ROUNDDOWN((ROUNDDOWN(((((2*K145+31)*36)/100+5)),0))*1.1,0)</f>
        <v>112</v>
      </c>
      <c r="N146" s="2095"/>
      <c r="O146" s="2113" t="s">
        <v>519</v>
      </c>
      <c r="P146" s="635"/>
      <c r="Q146" s="636"/>
      <c r="R146" s="632">
        <f>ROUNDDOWN((ROUNDDOWN(((((2*P145+31)*36)/100+5)),0))*1.1,0)</f>
        <v>84</v>
      </c>
      <c r="S146" s="2095"/>
      <c r="T146" s="2113" t="s">
        <v>519</v>
      </c>
      <c r="U146" s="635"/>
      <c r="V146" s="636"/>
      <c r="W146" s="632">
        <f>ROUNDDOWN((ROUNDDOWN(((((2*U145+31)*36)/100+5)),0))*1.1,0)</f>
        <v>88</v>
      </c>
      <c r="X146" s="2095"/>
      <c r="Y146" s="2112" t="s">
        <v>519</v>
      </c>
      <c r="Z146" s="630"/>
      <c r="AA146" s="631"/>
      <c r="AB146" s="632">
        <f>ROUNDDOWN((ROUNDDOWN(((((2*Z145+31)*36)/100+5)),0))*1.1,0)</f>
        <v>118</v>
      </c>
      <c r="AC146" s="2095"/>
      <c r="AD146" s="2112" t="s">
        <v>519</v>
      </c>
      <c r="AE146" s="630"/>
      <c r="AF146" s="631"/>
      <c r="AG146" s="632">
        <f>ROUNDDOWN((ROUNDDOWN(((((2*AE145+31)*36)/100+5)),0))*1.1,0)</f>
        <v>104</v>
      </c>
      <c r="AH146" s="2097"/>
      <c r="AI146" s="1692"/>
    </row>
    <row r="147" ht="16.5" customHeight="1">
      <c r="A147" s="1626"/>
      <c r="B147" s="2114"/>
      <c r="C147" s="2032"/>
      <c r="D147" s="2115"/>
      <c r="E147" s="2032"/>
      <c r="F147" s="2032"/>
      <c r="G147" s="2032"/>
      <c r="H147" s="2032"/>
      <c r="I147" s="2115"/>
      <c r="J147" s="2116" t="s">
        <v>594</v>
      </c>
      <c r="K147" s="643"/>
      <c r="L147" s="644"/>
      <c r="M147" s="2117">
        <f>M146*2</f>
        <v>224</v>
      </c>
      <c r="N147" s="2115"/>
      <c r="O147" s="2116" t="s">
        <v>906</v>
      </c>
      <c r="P147" s="643"/>
      <c r="Q147" s="644"/>
      <c r="R147" s="2117">
        <f>R146*1.5</f>
        <v>126</v>
      </c>
      <c r="S147" s="2115"/>
      <c r="T147" s="2116" t="s">
        <v>907</v>
      </c>
      <c r="U147" s="643"/>
      <c r="V147" s="644"/>
      <c r="W147" s="2117">
        <f>W146*1.5</f>
        <v>132</v>
      </c>
      <c r="X147" s="2115"/>
      <c r="Y147" s="2118"/>
      <c r="Z147" s="2118"/>
      <c r="AA147" s="2118"/>
      <c r="AB147" s="2032"/>
      <c r="AC147" s="2115"/>
      <c r="AD147" s="2118"/>
      <c r="AE147" s="2118"/>
      <c r="AF147" s="2118"/>
      <c r="AG147" s="2032"/>
      <c r="AH147" s="2119"/>
      <c r="AI147" s="1692"/>
    </row>
    <row r="148" ht="15.0" customHeight="1">
      <c r="A148" s="1626"/>
      <c r="B148" s="2120"/>
      <c r="C148" s="2121"/>
      <c r="D148" s="2122"/>
      <c r="E148" s="2122"/>
      <c r="F148" s="2122"/>
      <c r="G148" s="2122"/>
      <c r="H148" s="2122"/>
      <c r="I148" s="2122"/>
      <c r="J148" s="2123"/>
      <c r="K148" s="2123"/>
      <c r="L148" s="2123"/>
      <c r="M148" s="2122"/>
      <c r="N148" s="2122"/>
      <c r="O148" s="2123"/>
      <c r="P148" s="2123"/>
      <c r="Q148" s="2123"/>
      <c r="R148" s="2123"/>
      <c r="S148" s="2122"/>
      <c r="T148" s="2123"/>
      <c r="U148" s="2123"/>
      <c r="V148" s="2123"/>
      <c r="W148" s="2122"/>
      <c r="X148" s="2122"/>
      <c r="Y148" s="2123"/>
      <c r="Z148" s="2123"/>
      <c r="AA148" s="2123"/>
      <c r="AB148" s="2122"/>
      <c r="AC148" s="2122"/>
      <c r="AD148" s="2123"/>
      <c r="AE148" s="2123"/>
      <c r="AF148" s="2123"/>
      <c r="AG148" s="2122"/>
      <c r="AH148" s="2124"/>
      <c r="AI148" s="1614"/>
    </row>
    <row r="149" ht="15.0" customHeight="1">
      <c r="A149" s="1626"/>
      <c r="B149" s="2125"/>
      <c r="C149" s="2126"/>
      <c r="D149" s="2127"/>
      <c r="E149" s="2127"/>
      <c r="F149" s="2127"/>
      <c r="G149" s="2127"/>
      <c r="H149" s="2127"/>
      <c r="I149" s="2127"/>
      <c r="J149" s="2127"/>
      <c r="K149" s="2127"/>
      <c r="L149" s="2127"/>
      <c r="M149" s="2127"/>
      <c r="N149" s="2127"/>
      <c r="O149" s="2127"/>
      <c r="P149" s="2127"/>
      <c r="Q149" s="2127"/>
      <c r="R149" s="2127"/>
      <c r="S149" s="2127"/>
      <c r="T149" s="2127"/>
      <c r="U149" s="2127"/>
      <c r="V149" s="2127"/>
      <c r="W149" s="2127"/>
      <c r="X149" s="2127"/>
      <c r="Y149" s="2127"/>
      <c r="Z149" s="2127"/>
      <c r="AA149" s="2127"/>
      <c r="AB149" s="2127"/>
      <c r="AC149" s="2127"/>
      <c r="AD149" s="2127"/>
      <c r="AE149" s="2127"/>
      <c r="AF149" s="2127"/>
      <c r="AG149" s="2127"/>
      <c r="AH149" s="2128"/>
      <c r="AI149" s="1614"/>
    </row>
    <row r="150">
      <c r="A150" s="1626"/>
      <c r="B150" s="2129"/>
      <c r="C150" s="2130"/>
      <c r="D150" s="2131"/>
      <c r="E150" s="1731" t="s">
        <v>908</v>
      </c>
      <c r="F150" s="1732"/>
      <c r="G150" s="1732"/>
      <c r="H150" s="1732"/>
      <c r="I150" s="1732"/>
      <c r="J150" s="1732"/>
      <c r="K150" s="1732"/>
      <c r="L150" s="1732"/>
      <c r="M150" s="1732"/>
      <c r="N150" s="1732"/>
      <c r="O150" s="1732"/>
      <c r="P150" s="1732"/>
      <c r="Q150" s="1732"/>
      <c r="R150" s="1732"/>
      <c r="S150" s="1732"/>
      <c r="T150" s="1732"/>
      <c r="U150" s="1732"/>
      <c r="V150" s="1732"/>
      <c r="W150" s="1732"/>
      <c r="X150" s="1732"/>
      <c r="Y150" s="1732"/>
      <c r="Z150" s="1732"/>
      <c r="AA150" s="1732"/>
      <c r="AB150" s="1732"/>
      <c r="AC150" s="1732"/>
      <c r="AD150" s="1732"/>
      <c r="AE150" s="1732"/>
      <c r="AF150" s="1732"/>
      <c r="AG150" s="1733"/>
      <c r="AH150" s="2132"/>
      <c r="AI150" s="1614"/>
    </row>
    <row r="151" ht="3.75" customHeight="1">
      <c r="A151" s="1626"/>
      <c r="B151" s="2129"/>
      <c r="C151" s="2130"/>
      <c r="D151" s="2131"/>
      <c r="E151" s="2133"/>
      <c r="F151" s="2133"/>
      <c r="G151" s="2133"/>
      <c r="H151" s="2133"/>
      <c r="I151" s="2133"/>
      <c r="J151" s="2133"/>
      <c r="K151" s="2133"/>
      <c r="L151" s="2133"/>
      <c r="M151" s="2133"/>
      <c r="N151" s="2133"/>
      <c r="O151" s="2133"/>
      <c r="P151" s="2133"/>
      <c r="Q151" s="2133"/>
      <c r="R151" s="2133"/>
      <c r="S151" s="2133"/>
      <c r="T151" s="2133"/>
      <c r="U151" s="2133"/>
      <c r="V151" s="2133"/>
      <c r="W151" s="2133"/>
      <c r="X151" s="2133"/>
      <c r="Y151" s="2133"/>
      <c r="Z151" s="2133"/>
      <c r="AA151" s="2133"/>
      <c r="AB151" s="2133"/>
      <c r="AC151" s="2133"/>
      <c r="AD151" s="2133"/>
      <c r="AE151" s="2133"/>
      <c r="AF151" s="2133"/>
      <c r="AG151" s="2133"/>
      <c r="AH151" s="2132"/>
      <c r="AI151" s="1614"/>
    </row>
    <row r="152" ht="16.5" customHeight="1">
      <c r="A152" s="1626"/>
      <c r="B152" s="2129"/>
      <c r="C152" s="2134"/>
      <c r="D152" s="2135"/>
      <c r="E152" s="2136" t="s">
        <v>909</v>
      </c>
      <c r="F152" s="2137"/>
      <c r="G152" s="2137"/>
      <c r="H152" s="2137"/>
      <c r="I152" s="2137"/>
      <c r="J152" s="2137"/>
      <c r="K152" s="2137"/>
      <c r="L152" s="2137"/>
      <c r="M152" s="2137"/>
      <c r="N152" s="2137"/>
      <c r="O152" s="2137"/>
      <c r="P152" s="2137"/>
      <c r="Q152" s="2137"/>
      <c r="R152" s="2137"/>
      <c r="S152" s="2137"/>
      <c r="T152" s="2137"/>
      <c r="U152" s="2137"/>
      <c r="V152" s="2137"/>
      <c r="W152" s="2137"/>
      <c r="X152" s="2137"/>
      <c r="Y152" s="2137"/>
      <c r="Z152" s="2137"/>
      <c r="AA152" s="2137"/>
      <c r="AB152" s="2137"/>
      <c r="AC152" s="2137"/>
      <c r="AD152" s="2137"/>
      <c r="AE152" s="2137"/>
      <c r="AF152" s="2137"/>
      <c r="AG152" s="2138"/>
      <c r="AH152" s="2132"/>
      <c r="AI152" s="1614"/>
    </row>
    <row r="153" ht="96.75" customHeight="1">
      <c r="A153" s="1626"/>
      <c r="B153" s="2139"/>
      <c r="C153" s="2140" t="str">
        <f>IMAGE("https://i.ibb.co/rkZGjMV/Pryce.png")</f>
        <v/>
      </c>
      <c r="D153" s="2141"/>
      <c r="E153" s="2142" t="str">
        <f t="array" ref="E153">IFERROR(VLOOKUP(E154,Dex!$B$3:$G252,3,FALSE),"")</f>
        <v/>
      </c>
      <c r="F153" s="539"/>
      <c r="G153" s="539"/>
      <c r="H153" s="540"/>
      <c r="I153" s="2141"/>
      <c r="J153" s="2142" t="str">
        <f t="array" ref="J153">IFERROR(VLOOKUP(J154,Dex!$B$3:$G252,3,FALSE),"")</f>
        <v/>
      </c>
      <c r="K153" s="539"/>
      <c r="L153" s="539"/>
      <c r="M153" s="540"/>
      <c r="N153" s="2141"/>
      <c r="O153" s="2142" t="str">
        <f t="array" ref="O153">IFERROR(VLOOKUP(O154,Dex!$B$3:$G252,3,FALSE),"")</f>
        <v/>
      </c>
      <c r="P153" s="539"/>
      <c r="Q153" s="539"/>
      <c r="R153" s="540"/>
      <c r="S153" s="2141"/>
      <c r="T153" s="2142" t="str">
        <f t="array" ref="T153">IFERROR(VLOOKUP(T154,Dex!$B$3:$G252,3,FALSE),"")</f>
        <v/>
      </c>
      <c r="U153" s="539"/>
      <c r="V153" s="539"/>
      <c r="W153" s="540"/>
      <c r="X153" s="2141"/>
      <c r="Y153" s="2142" t="str">
        <f t="array" ref="Y153">IFERROR(VLOOKUP(Y154,Dex!$B$3:$G252,3,FALSE),"")</f>
        <v/>
      </c>
      <c r="Z153" s="539"/>
      <c r="AA153" s="539"/>
      <c r="AB153" s="540"/>
      <c r="AC153" s="2141"/>
      <c r="AD153" s="2142" t="str">
        <f t="array" ref="AD153">IFERROR(VLOOKUP(AD154,Dex!$B$3:$G252,3,FALSE),"")</f>
        <v/>
      </c>
      <c r="AE153" s="539"/>
      <c r="AF153" s="539"/>
      <c r="AG153" s="540"/>
      <c r="AH153" s="2143"/>
      <c r="AI153" s="1614"/>
    </row>
    <row r="154" ht="18.75" customHeight="1">
      <c r="A154" s="1626"/>
      <c r="B154" s="2144"/>
      <c r="C154" s="2145" t="s">
        <v>910</v>
      </c>
      <c r="D154" s="2146"/>
      <c r="E154" s="2147" t="s">
        <v>911</v>
      </c>
      <c r="F154" s="2148"/>
      <c r="G154" s="2148"/>
      <c r="H154" s="2149"/>
      <c r="I154" s="2150"/>
      <c r="J154" s="2147" t="s">
        <v>912</v>
      </c>
      <c r="K154" s="2148"/>
      <c r="L154" s="2148"/>
      <c r="M154" s="2149"/>
      <c r="N154" s="2150"/>
      <c r="O154" s="2147" t="s">
        <v>913</v>
      </c>
      <c r="P154" s="2148"/>
      <c r="Q154" s="2148"/>
      <c r="R154" s="2149"/>
      <c r="S154" s="2150"/>
      <c r="T154" s="2147" t="s">
        <v>914</v>
      </c>
      <c r="U154" s="2148"/>
      <c r="V154" s="2148"/>
      <c r="W154" s="2149"/>
      <c r="X154" s="2150"/>
      <c r="Y154" s="2147" t="s">
        <v>915</v>
      </c>
      <c r="Z154" s="2148"/>
      <c r="AA154" s="2148"/>
      <c r="AB154" s="2149"/>
      <c r="AC154" s="2150"/>
      <c r="AD154" s="2147" t="s">
        <v>916</v>
      </c>
      <c r="AE154" s="2148"/>
      <c r="AF154" s="2148"/>
      <c r="AG154" s="2149"/>
      <c r="AH154" s="2151"/>
      <c r="AI154" s="1636"/>
    </row>
    <row r="155">
      <c r="A155" s="1653"/>
      <c r="B155" s="2152"/>
      <c r="C155" s="1638"/>
      <c r="D155" s="2153"/>
      <c r="E155" s="2154" t="s">
        <v>729</v>
      </c>
      <c r="F155" s="2155"/>
      <c r="G155" s="2155"/>
      <c r="H155" s="2156"/>
      <c r="I155" s="2157"/>
      <c r="J155" s="2154" t="s">
        <v>729</v>
      </c>
      <c r="K155" s="2155"/>
      <c r="L155" s="2155"/>
      <c r="M155" s="2156"/>
      <c r="N155" s="2157"/>
      <c r="O155" s="2154" t="s">
        <v>729</v>
      </c>
      <c r="P155" s="2155"/>
      <c r="Q155" s="2155"/>
      <c r="R155" s="2156"/>
      <c r="S155" s="2157"/>
      <c r="T155" s="2154" t="s">
        <v>729</v>
      </c>
      <c r="U155" s="2155"/>
      <c r="V155" s="2155"/>
      <c r="W155" s="2156"/>
      <c r="X155" s="2157"/>
      <c r="Y155" s="2154" t="s">
        <v>729</v>
      </c>
      <c r="Z155" s="2155"/>
      <c r="AA155" s="2155"/>
      <c r="AB155" s="2156"/>
      <c r="AC155" s="2157"/>
      <c r="AD155" s="2154" t="s">
        <v>729</v>
      </c>
      <c r="AE155" s="2155"/>
      <c r="AF155" s="2155"/>
      <c r="AG155" s="2156"/>
      <c r="AH155" s="2158"/>
      <c r="AI155" s="1823"/>
    </row>
    <row r="156" ht="25.5" customHeight="1">
      <c r="A156" s="1626"/>
      <c r="B156" s="2129"/>
      <c r="C156" s="1646"/>
      <c r="D156" s="2159"/>
      <c r="E156" s="2160"/>
      <c r="F156" s="2161" t="str">
        <f t="array" ref="F156">IFERROR(VLOOKUP(E154,Dex!$B$3:$H252,5,FALSE),"")</f>
        <v/>
      </c>
      <c r="G156" s="2162" t="str">
        <f t="array" ref="G156">IFERROR(VLOOKUP(E154,Dex!$B$3:$H252,7,FALSE),"")</f>
        <v/>
      </c>
      <c r="H156" s="2163"/>
      <c r="I156" s="2164"/>
      <c r="J156" s="2160"/>
      <c r="K156" s="2161" t="str">
        <f t="array" ref="K156">IFERROR(VLOOKUP(J154,Dex!$B$3:$H252,5,FALSE),"")</f>
        <v/>
      </c>
      <c r="L156" s="2162" t="str">
        <f t="array" ref="L156">IFERROR(VLOOKUP(J154,Dex!$B$3:$H252,7,FALSE),"")</f>
        <v/>
      </c>
      <c r="M156" s="2163"/>
      <c r="N156" s="2164"/>
      <c r="O156" s="2160"/>
      <c r="P156" s="2165" t="str">
        <f t="array" ref="P156">IFERROR(VLOOKUP(O154,Dex!$B$3:$H252,5,FALSE),"")</f>
        <v/>
      </c>
      <c r="Q156" s="2166"/>
      <c r="R156" s="2163"/>
      <c r="S156" s="2164"/>
      <c r="T156" s="2160"/>
      <c r="U156" s="2161" t="str">
        <f t="array" ref="U156">IFERROR(VLOOKUP(T154,Dex!$B$3:$H252,5,FALSE),"")</f>
        <v/>
      </c>
      <c r="V156" s="2162" t="str">
        <f t="array" ref="V156">IFERROR(VLOOKUP(T154,Dex!$B$3:$H252,7,FALSE),"")</f>
        <v/>
      </c>
      <c r="W156" s="2163"/>
      <c r="X156" s="2164"/>
      <c r="Y156" s="2160"/>
      <c r="Z156" s="2161" t="str">
        <f t="array" ref="Z156">IFERROR(VLOOKUP(Y154,Dex!$B$3:$H252,5,FALSE),"")</f>
        <v/>
      </c>
      <c r="AA156" s="2162" t="str">
        <f t="array" ref="AA156">IFERROR(VLOOKUP(Y154,Dex!$B$3:$H252,7,FALSE),"")</f>
        <v/>
      </c>
      <c r="AB156" s="2163"/>
      <c r="AC156" s="2164"/>
      <c r="AD156" s="2160"/>
      <c r="AE156" s="2165" t="str">
        <f t="array" ref="AE156">IFERROR(VLOOKUP(AD154,Dex!$B$3:$H252,5,FALSE),"")</f>
        <v/>
      </c>
      <c r="AF156" s="2166"/>
      <c r="AG156" s="2163"/>
      <c r="AH156" s="2143"/>
      <c r="AI156" s="1614"/>
    </row>
    <row r="157" ht="2.25" customHeight="1">
      <c r="A157" s="1626"/>
      <c r="B157" s="2129"/>
      <c r="C157" s="2167"/>
      <c r="D157" s="2168"/>
      <c r="E157" s="2169"/>
      <c r="F157" s="2170"/>
      <c r="G157" s="2170"/>
      <c r="H157" s="2171"/>
      <c r="I157" s="2164"/>
      <c r="J157" s="2169"/>
      <c r="K157" s="2170"/>
      <c r="L157" s="2170"/>
      <c r="M157" s="2171"/>
      <c r="N157" s="2164"/>
      <c r="O157" s="2169"/>
      <c r="P157" s="2170"/>
      <c r="Q157" s="2170"/>
      <c r="R157" s="2171"/>
      <c r="S157" s="2164"/>
      <c r="T157" s="2169"/>
      <c r="U157" s="2170"/>
      <c r="V157" s="2170"/>
      <c r="W157" s="2171"/>
      <c r="X157" s="2164"/>
      <c r="Y157" s="2169"/>
      <c r="Z157" s="2170"/>
      <c r="AA157" s="2170"/>
      <c r="AB157" s="2171"/>
      <c r="AC157" s="2164"/>
      <c r="AD157" s="2169"/>
      <c r="AE157" s="2170"/>
      <c r="AF157" s="2170"/>
      <c r="AG157" s="2171"/>
      <c r="AH157" s="2143"/>
      <c r="AI157" s="1614"/>
    </row>
    <row r="158" ht="20.25" customHeight="1">
      <c r="A158" s="1626"/>
      <c r="B158" s="2129"/>
      <c r="C158" s="2130"/>
      <c r="D158" s="2168"/>
      <c r="E158" s="2172" t="s">
        <v>564</v>
      </c>
      <c r="F158" s="2173"/>
      <c r="G158" s="2173"/>
      <c r="H158" s="2174"/>
      <c r="I158" s="2175"/>
      <c r="J158" s="2172" t="s">
        <v>532</v>
      </c>
      <c r="K158" s="2173"/>
      <c r="L158" s="2173"/>
      <c r="M158" s="2174"/>
      <c r="N158" s="2175"/>
      <c r="O158" s="2172" t="s">
        <v>531</v>
      </c>
      <c r="P158" s="2173"/>
      <c r="Q158" s="2173"/>
      <c r="R158" s="2174"/>
      <c r="S158" s="2175"/>
      <c r="T158" s="2172" t="s">
        <v>532</v>
      </c>
      <c r="U158" s="2173"/>
      <c r="V158" s="2173"/>
      <c r="W158" s="2174"/>
      <c r="X158" s="2175"/>
      <c r="Y158" s="2172" t="s">
        <v>917</v>
      </c>
      <c r="Z158" s="2173"/>
      <c r="AA158" s="2173"/>
      <c r="AB158" s="2174"/>
      <c r="AC158" s="2175"/>
      <c r="AD158" s="2172" t="s">
        <v>532</v>
      </c>
      <c r="AE158" s="2173"/>
      <c r="AF158" s="2173"/>
      <c r="AG158" s="2174"/>
      <c r="AH158" s="2143"/>
      <c r="AI158" s="1614"/>
    </row>
    <row r="159">
      <c r="A159" s="1653"/>
      <c r="B159" s="2129"/>
      <c r="C159" s="2176"/>
      <c r="D159" s="2168"/>
      <c r="E159" s="2177" t="s">
        <v>536</v>
      </c>
      <c r="F159" s="2155"/>
      <c r="G159" s="2155"/>
      <c r="H159" s="2156"/>
      <c r="I159" s="2175"/>
      <c r="J159" s="2177" t="s">
        <v>798</v>
      </c>
      <c r="K159" s="2155"/>
      <c r="L159" s="2155"/>
      <c r="M159" s="2156"/>
      <c r="N159" s="2175"/>
      <c r="O159" s="2177" t="s">
        <v>76</v>
      </c>
      <c r="P159" s="2155"/>
      <c r="Q159" s="2155"/>
      <c r="R159" s="2156"/>
      <c r="S159" s="2175"/>
      <c r="T159" s="2177" t="s">
        <v>918</v>
      </c>
      <c r="U159" s="2155"/>
      <c r="V159" s="2155"/>
      <c r="W159" s="2156"/>
      <c r="X159" s="2175"/>
      <c r="Y159" s="2177" t="s">
        <v>107</v>
      </c>
      <c r="Z159" s="2155"/>
      <c r="AA159" s="2155"/>
      <c r="AB159" s="2156"/>
      <c r="AC159" s="2175"/>
      <c r="AD159" s="2177" t="s">
        <v>919</v>
      </c>
      <c r="AE159" s="2155"/>
      <c r="AF159" s="2155"/>
      <c r="AG159" s="2156"/>
      <c r="AH159" s="2143"/>
      <c r="AI159" s="1614"/>
    </row>
    <row r="160" ht="20.25" customHeight="1">
      <c r="A160" s="1626"/>
      <c r="B160" s="2129"/>
      <c r="C160" s="2178"/>
      <c r="D160" s="2168"/>
      <c r="E160" s="2179" t="s">
        <v>573</v>
      </c>
      <c r="F160" s="2137"/>
      <c r="G160" s="2138"/>
      <c r="H160" s="2180" t="str">
        <f>IMAGE("https://raw.githubusercontent.com/msikma/pokesprite/master/items/hold-item/focus-sash.png",3)</f>
        <v/>
      </c>
      <c r="I160" s="2164"/>
      <c r="J160" s="2179" t="s">
        <v>920</v>
      </c>
      <c r="K160" s="2137"/>
      <c r="L160" s="2138"/>
      <c r="M160" s="2180" t="str">
        <f>IMAGE("https://raw.githubusercontent.com/msikma/pokesprite/master/items/hold-item/white-herb.png",3)</f>
        <v/>
      </c>
      <c r="N160" s="2164"/>
      <c r="O160" s="2179" t="s">
        <v>541</v>
      </c>
      <c r="P160" s="2137"/>
      <c r="Q160" s="2138"/>
      <c r="R160" s="2180" t="str">
        <f>IMAGE("https://raw.githubusercontent.com/msikma/pokesprite/master/items/hold-item/life-orb.png",3)</f>
        <v/>
      </c>
      <c r="S160" s="2164"/>
      <c r="T160" s="2179" t="s">
        <v>572</v>
      </c>
      <c r="U160" s="2137"/>
      <c r="V160" s="2138"/>
      <c r="W160" s="2180" t="str">
        <f>IMAGE("https://raw.githubusercontent.com/msikma/pokesprite/master/items/z-crystals/icium-z--held.png",3)</f>
        <v/>
      </c>
      <c r="X160" s="2164"/>
      <c r="Y160" s="2179" t="s">
        <v>541</v>
      </c>
      <c r="Z160" s="2137"/>
      <c r="AA160" s="2138"/>
      <c r="AB160" s="2180" t="str">
        <f>IMAGE("https://raw.githubusercontent.com/msikma/pokesprite/master/items/hold-item/life-orb.png",3)</f>
        <v/>
      </c>
      <c r="AC160" s="2164"/>
      <c r="AD160" s="2179" t="s">
        <v>921</v>
      </c>
      <c r="AE160" s="2137"/>
      <c r="AF160" s="2138"/>
      <c r="AG160" s="2180" t="str">
        <f>IMAGE("https://raw.githubusercontent.com/msikma/pokesprite/master/items/mega-stone/glalitite.png",3)</f>
        <v/>
      </c>
      <c r="AH160" s="2143"/>
      <c r="AI160" s="1614"/>
    </row>
    <row r="161" ht="20.25" customHeight="1">
      <c r="A161" s="1626"/>
      <c r="B161" s="2129"/>
      <c r="C161" s="2181"/>
      <c r="D161" s="2168"/>
      <c r="E161" s="2172" t="s">
        <v>861</v>
      </c>
      <c r="F161" s="2173"/>
      <c r="G161" s="2173"/>
      <c r="H161" s="2182" t="str">
        <f>IMAGE("https://raw.githubusercontent.com/msikma/pokesprite/master/misc/types/gen8/normal.png",4,20,20)</f>
        <v/>
      </c>
      <c r="I161" s="2164"/>
      <c r="J161" s="2172" t="s">
        <v>273</v>
      </c>
      <c r="K161" s="2173"/>
      <c r="L161" s="2173"/>
      <c r="M161" s="2182" t="str">
        <f>IMAGE("https://raw.githubusercontent.com/msikma/pokesprite/master/misc/types/gen8/normal.png",4,20,20)</f>
        <v/>
      </c>
      <c r="N161" s="2164"/>
      <c r="O161" s="2172" t="s">
        <v>611</v>
      </c>
      <c r="P161" s="2173"/>
      <c r="Q161" s="2173"/>
      <c r="R161" s="2182" t="str">
        <f>IMAGE("https://raw.githubusercontent.com/msikma/pokesprite/master/misc/types/gen8/electric.png",4,20,20)</f>
        <v/>
      </c>
      <c r="S161" s="2164"/>
      <c r="T161" s="2172" t="s">
        <v>219</v>
      </c>
      <c r="U161" s="2173"/>
      <c r="V161" s="2173"/>
      <c r="W161" s="2182" t="str">
        <f>IMAGE("https://raw.githubusercontent.com/msikma/pokesprite/master/misc/types/gen8/dragon.png",4,20,20)</f>
        <v/>
      </c>
      <c r="X161" s="2164"/>
      <c r="Y161" s="2172" t="s">
        <v>922</v>
      </c>
      <c r="Z161" s="2173"/>
      <c r="AA161" s="2173"/>
      <c r="AB161" s="2182" t="str">
        <f>IMAGE("https://raw.githubusercontent.com/msikma/pokesprite/master/misc/types/gen8/electric.png",4,20,20)</f>
        <v/>
      </c>
      <c r="AC161" s="2164"/>
      <c r="AD161" s="2172" t="s">
        <v>777</v>
      </c>
      <c r="AE161" s="2173"/>
      <c r="AF161" s="2173"/>
      <c r="AG161" s="2182" t="str">
        <f t="shared" ref="AG161:AG162" si="11">IMAGE("https://raw.githubusercontent.com/msikma/pokesprite/master/misc/types/gen8/ice.png",4,20,20)</f>
        <v/>
      </c>
      <c r="AH161" s="2143"/>
      <c r="AI161" s="1614"/>
    </row>
    <row r="162" ht="20.25" customHeight="1">
      <c r="A162" s="2082"/>
      <c r="B162" s="2129"/>
      <c r="C162" s="2130"/>
      <c r="D162" s="2168"/>
      <c r="E162" s="2177" t="s">
        <v>923</v>
      </c>
      <c r="F162" s="2155"/>
      <c r="G162" s="2155"/>
      <c r="H162" s="2183" t="str">
        <f>IMAGE("https://raw.githubusercontent.com/msikma/pokesprite/master/misc/types/gen8/psychic.png",4,20,20)</f>
        <v/>
      </c>
      <c r="I162" s="2164"/>
      <c r="J162" s="2177" t="s">
        <v>924</v>
      </c>
      <c r="K162" s="2155"/>
      <c r="L162" s="2155"/>
      <c r="M162" s="2183" t="str">
        <f>IMAGE("https://raw.githubusercontent.com/msikma/pokesprite/master/misc/types/gen8/ice.png",4,20,20)</f>
        <v/>
      </c>
      <c r="N162" s="2164"/>
      <c r="O162" s="2177" t="s">
        <v>623</v>
      </c>
      <c r="P162" s="2155"/>
      <c r="Q162" s="2155"/>
      <c r="R162" s="2183" t="str">
        <f>IMAGE("https://raw.githubusercontent.com/msikma/pokesprite/master/misc/types/gen8/psychic.png",4,20,20)</f>
        <v/>
      </c>
      <c r="S162" s="2164"/>
      <c r="T162" s="2177" t="s">
        <v>925</v>
      </c>
      <c r="U162" s="2155"/>
      <c r="V162" s="2155"/>
      <c r="W162" s="2183" t="str">
        <f>IMAGE("https://raw.githubusercontent.com/msikma/pokesprite/master/misc/types/gen8/ice.png",4,20,20)</f>
        <v/>
      </c>
      <c r="X162" s="2164"/>
      <c r="Y162" s="2177" t="s">
        <v>925</v>
      </c>
      <c r="Z162" s="2155"/>
      <c r="AA162" s="2155"/>
      <c r="AB162" s="2183" t="str">
        <f t="shared" ref="AB162:AB163" si="12">IMAGE("https://raw.githubusercontent.com/msikma/pokesprite/master/misc/types/gen8/ice.png",4,20,20)</f>
        <v/>
      </c>
      <c r="AC162" s="2164"/>
      <c r="AD162" s="2177" t="s">
        <v>806</v>
      </c>
      <c r="AE162" s="2155"/>
      <c r="AF162" s="2155"/>
      <c r="AG162" s="2183" t="str">
        <f t="shared" si="11"/>
        <v/>
      </c>
      <c r="AH162" s="2143"/>
      <c r="AI162" s="1614"/>
    </row>
    <row r="163" ht="20.25" customHeight="1">
      <c r="A163" s="1626"/>
      <c r="B163" s="2129"/>
      <c r="C163" s="2130"/>
      <c r="D163" s="2168"/>
      <c r="E163" s="2177" t="s">
        <v>582</v>
      </c>
      <c r="F163" s="2155"/>
      <c r="G163" s="2155"/>
      <c r="H163" s="2183" t="str">
        <f>IMAGE("https://raw.githubusercontent.com/msikma/pokesprite/master/misc/types/gen8/ice.png",4,20,20)</f>
        <v/>
      </c>
      <c r="I163" s="2164"/>
      <c r="J163" s="2177" t="s">
        <v>760</v>
      </c>
      <c r="K163" s="2155"/>
      <c r="L163" s="2155"/>
      <c r="M163" s="2183" t="str">
        <f>IMAGE("https://raw.githubusercontent.com/msikma/pokesprite/master/misc/types/gen8/water.png",4,20,20)</f>
        <v/>
      </c>
      <c r="N163" s="2164"/>
      <c r="O163" s="2177" t="s">
        <v>926</v>
      </c>
      <c r="P163" s="2155"/>
      <c r="Q163" s="2155"/>
      <c r="R163" s="2183" t="str">
        <f>IMAGE("https://raw.githubusercontent.com/msikma/pokesprite/master/misc/types/gen8/fairy.png",4,20,20)</f>
        <v/>
      </c>
      <c r="S163" s="2164"/>
      <c r="T163" s="2177" t="s">
        <v>772</v>
      </c>
      <c r="U163" s="2155"/>
      <c r="V163" s="2155"/>
      <c r="W163" s="2183" t="str">
        <f>IMAGE("https://raw.githubusercontent.com/msikma/pokesprite/master/misc/types/gen8/electric.png",4,20,20)</f>
        <v/>
      </c>
      <c r="X163" s="2164"/>
      <c r="Y163" s="2177" t="s">
        <v>586</v>
      </c>
      <c r="Z163" s="2155"/>
      <c r="AA163" s="2155"/>
      <c r="AB163" s="2183" t="str">
        <f t="shared" si="12"/>
        <v/>
      </c>
      <c r="AC163" s="2164"/>
      <c r="AD163" s="2177" t="s">
        <v>549</v>
      </c>
      <c r="AE163" s="2155"/>
      <c r="AF163" s="2155"/>
      <c r="AG163" s="2183" t="str">
        <f>IMAGE("https://raw.githubusercontent.com/msikma/pokesprite/master/misc/types/gen8/ground.png",4,20,20)</f>
        <v/>
      </c>
      <c r="AH163" s="2143"/>
      <c r="AI163" s="1614"/>
    </row>
    <row r="164" ht="21.0" customHeight="1">
      <c r="A164" s="1626"/>
      <c r="B164" s="2129"/>
      <c r="C164" s="2130"/>
      <c r="D164" s="2168"/>
      <c r="E164" s="2184" t="s">
        <v>590</v>
      </c>
      <c r="F164" s="2185"/>
      <c r="G164" s="2185"/>
      <c r="H164" s="2186" t="str">
        <f>IMAGE("https://raw.githubusercontent.com/msikma/pokesprite/master/misc/types/gen8/fighting.png",4,20,20)</f>
        <v/>
      </c>
      <c r="I164" s="2164"/>
      <c r="J164" s="2184" t="s">
        <v>927</v>
      </c>
      <c r="K164" s="2185"/>
      <c r="L164" s="2185"/>
      <c r="M164" s="2186" t="str">
        <f>IMAGE("https://raw.githubusercontent.com/msikma/pokesprite/master/misc/types/gen8/rock.png",4,20,20)</f>
        <v/>
      </c>
      <c r="N164" s="2164"/>
      <c r="O164" s="2184" t="s">
        <v>619</v>
      </c>
      <c r="P164" s="2185"/>
      <c r="Q164" s="2185"/>
      <c r="R164" s="2186" t="str">
        <f>IMAGE("https://raw.githubusercontent.com/msikma/pokesprite/master/misc/types/gen8/fire.png",4,20,20)</f>
        <v/>
      </c>
      <c r="S164" s="2164"/>
      <c r="T164" s="2184" t="s">
        <v>551</v>
      </c>
      <c r="U164" s="2185"/>
      <c r="V164" s="2185"/>
      <c r="W164" s="2186" t="str">
        <f>IMAGE("https://raw.githubusercontent.com/msikma/pokesprite/master/misc/types/gen8/flying.png",4,20,20)</f>
        <v/>
      </c>
      <c r="X164" s="2164"/>
      <c r="Y164" s="2184" t="s">
        <v>879</v>
      </c>
      <c r="Z164" s="2185"/>
      <c r="AA164" s="2185"/>
      <c r="AB164" s="2186" t="str">
        <f>IMAGE("https://raw.githubusercontent.com/msikma/pokesprite/master/misc/types/gen8/fighting.png",4,20,20)</f>
        <v/>
      </c>
      <c r="AC164" s="2164"/>
      <c r="AD164" s="2184" t="s">
        <v>928</v>
      </c>
      <c r="AE164" s="2185"/>
      <c r="AF164" s="2185"/>
      <c r="AG164" s="2186" t="str">
        <f>IMAGE("https://raw.githubusercontent.com/msikma/pokesprite/master/misc/types/gen8/ice.png",4,20,20)</f>
        <v/>
      </c>
      <c r="AH164" s="2143"/>
      <c r="AI164" s="1614"/>
    </row>
    <row r="165" ht="3.0" customHeight="1">
      <c r="A165" s="1626"/>
      <c r="B165" s="2187"/>
      <c r="C165" s="2188"/>
      <c r="D165" s="2189"/>
      <c r="E165" s="2190"/>
      <c r="F165" s="2190"/>
      <c r="G165" s="2190"/>
      <c r="H165" s="2190"/>
      <c r="I165" s="2189"/>
      <c r="J165" s="2190"/>
      <c r="K165" s="2190"/>
      <c r="L165" s="2190"/>
      <c r="M165" s="2190"/>
      <c r="N165" s="2189"/>
      <c r="O165" s="2190"/>
      <c r="P165" s="2190"/>
      <c r="Q165" s="2190"/>
      <c r="R165" s="2190"/>
      <c r="S165" s="2189"/>
      <c r="T165" s="2190"/>
      <c r="U165" s="2190"/>
      <c r="V165" s="2190"/>
      <c r="W165" s="2190"/>
      <c r="X165" s="2189"/>
      <c r="Y165" s="2190"/>
      <c r="Z165" s="2191"/>
      <c r="AA165" s="2191"/>
      <c r="AB165" s="2192"/>
      <c r="AC165" s="2189"/>
      <c r="AD165" s="2193"/>
      <c r="AE165" s="2193"/>
      <c r="AF165" s="2193"/>
      <c r="AG165" s="2194"/>
      <c r="AH165" s="2195"/>
      <c r="AI165" s="1684"/>
    </row>
    <row r="166" ht="16.5" customHeight="1">
      <c r="A166" s="1626"/>
      <c r="B166" s="2196"/>
      <c r="C166" s="2188"/>
      <c r="D166" s="2197"/>
      <c r="E166" s="2198" t="s">
        <v>512</v>
      </c>
      <c r="F166" s="606"/>
      <c r="G166" s="606"/>
      <c r="H166" s="607"/>
      <c r="I166" s="2197"/>
      <c r="J166" s="2198" t="s">
        <v>512</v>
      </c>
      <c r="K166" s="606"/>
      <c r="L166" s="606"/>
      <c r="M166" s="607"/>
      <c r="N166" s="2197"/>
      <c r="O166" s="2198" t="s">
        <v>512</v>
      </c>
      <c r="P166" s="606"/>
      <c r="Q166" s="606"/>
      <c r="R166" s="607"/>
      <c r="S166" s="2197"/>
      <c r="T166" s="2198" t="s">
        <v>512</v>
      </c>
      <c r="U166" s="606"/>
      <c r="V166" s="606"/>
      <c r="W166" s="607"/>
      <c r="X166" s="2197"/>
      <c r="Y166" s="2198" t="s">
        <v>512</v>
      </c>
      <c r="Z166" s="606"/>
      <c r="AA166" s="606"/>
      <c r="AB166" s="607"/>
      <c r="AC166" s="2197"/>
      <c r="AD166" s="2198" t="s">
        <v>512</v>
      </c>
      <c r="AE166" s="606"/>
      <c r="AF166" s="606"/>
      <c r="AG166" s="607"/>
      <c r="AH166" s="2199"/>
      <c r="AI166" s="1692"/>
    </row>
    <row r="167" ht="16.5" customHeight="1">
      <c r="A167" s="1626"/>
      <c r="B167" s="2196"/>
      <c r="C167" s="2188"/>
      <c r="D167" s="2197"/>
      <c r="E167" s="2200" t="s">
        <v>513</v>
      </c>
      <c r="F167" s="2201">
        <f t="array" ref="F167">IFERROR(VLOOKUP(E154,Dex!$B$3:$N252,8,FALSE),"")</f>
        <v>65</v>
      </c>
      <c r="G167" s="2202" t="str">
        <f t="array" ref="G167">IFERROR(VLOOKUP(F167,Dex!$P$22:$Q$276,2,FALSE),"")</f>
        <v/>
      </c>
      <c r="H167" s="2203"/>
      <c r="I167" s="2204"/>
      <c r="J167" s="2200" t="s">
        <v>513</v>
      </c>
      <c r="K167" s="2201">
        <f t="array" ref="K167">IFERROR(VLOOKUP(J154,Dex!$B$3:$N252,8,FALSE),"")</f>
        <v>50</v>
      </c>
      <c r="L167" s="2202" t="str">
        <f t="array" ref="L167">IFERROR(VLOOKUP(K167,Dex!$P$22:$Q$276,2,FALSE),"")</f>
        <v/>
      </c>
      <c r="M167" s="2203"/>
      <c r="N167" s="2204"/>
      <c r="O167" s="2200" t="s">
        <v>513</v>
      </c>
      <c r="P167" s="2201">
        <f t="array" ref="P167">IFERROR(VLOOKUP(O154,Dex!$B$3:$N252,8,FALSE),"")</f>
        <v>95</v>
      </c>
      <c r="Q167" s="2202" t="str">
        <f t="array" ref="Q167">IFERROR(VLOOKUP(P167,Dex!$P$22:$Q$276,2,FALSE),"")</f>
        <v/>
      </c>
      <c r="R167" s="2203"/>
      <c r="S167" s="2204"/>
      <c r="T167" s="2200" t="s">
        <v>513</v>
      </c>
      <c r="U167" s="2201">
        <f t="array" ref="U167">IFERROR(VLOOKUP(T154,Dex!$B$3:$N252,8,FALSE),"")</f>
        <v>125</v>
      </c>
      <c r="V167" s="2202" t="str">
        <f t="array" ref="V167">IFERROR(VLOOKUP(U167,Dex!$P$22:$Q$276,2,FALSE),"")</f>
        <v/>
      </c>
      <c r="W167" s="2203"/>
      <c r="X167" s="2204"/>
      <c r="Y167" s="2200" t="s">
        <v>513</v>
      </c>
      <c r="Z167" s="2201">
        <f t="array" ref="Z167">IFERROR(VLOOKUP(Y154,Dex!$B$3:$N252,8,FALSE),"")</f>
        <v>90</v>
      </c>
      <c r="AA167" s="2202" t="str">
        <f t="array" ref="AA167">IFERROR(VLOOKUP(Z167,Dex!$P$22:$Q$276,2,FALSE),"")</f>
        <v/>
      </c>
      <c r="AB167" s="2203"/>
      <c r="AC167" s="2204"/>
      <c r="AD167" s="2200" t="s">
        <v>513</v>
      </c>
      <c r="AE167" s="2201">
        <f t="array" ref="AE167">IFERROR(VLOOKUP(AD154,Dex!$B$3:$N252,8,FALSE),"")</f>
        <v>80</v>
      </c>
      <c r="AF167" s="2202" t="str">
        <f t="array" ref="AF167">IFERROR(VLOOKUP(AE167,Dex!$P$22:$Q$276,2,FALSE),"")</f>
        <v/>
      </c>
      <c r="AG167" s="2203"/>
      <c r="AH167" s="2205"/>
      <c r="AI167" s="1692"/>
    </row>
    <row r="168" ht="16.5" customHeight="1">
      <c r="A168" s="1626"/>
      <c r="B168" s="2196"/>
      <c r="C168" s="2188"/>
      <c r="D168" s="2197"/>
      <c r="E168" s="2206" t="s">
        <v>514</v>
      </c>
      <c r="F168" s="2207">
        <f t="array" ref="F168">IFERROR(VLOOKUP(E154,Dex!$B$3:$N252,9,FALSE),"")</f>
        <v>50</v>
      </c>
      <c r="G168" s="2208" t="str">
        <f t="array" ref="G168">IFERROR(VLOOKUP(F168,Dex!$P$22:$Q$276,2,FALSE),"")</f>
        <v/>
      </c>
      <c r="H168" s="2209"/>
      <c r="I168" s="2204"/>
      <c r="J168" s="2206" t="s">
        <v>514</v>
      </c>
      <c r="K168" s="2207">
        <f t="array" ref="K168">IFERROR(VLOOKUP(J154,Dex!$B$3:$N252,9,FALSE),"")</f>
        <v>95</v>
      </c>
      <c r="L168" s="2208" t="str">
        <f t="array" ref="L168">IFERROR(VLOOKUP(K168,Dex!$P$22:$Q$276,2,FALSE),"")</f>
        <v/>
      </c>
      <c r="M168" s="2209"/>
      <c r="N168" s="2204"/>
      <c r="O168" s="2206" t="s">
        <v>514</v>
      </c>
      <c r="P168" s="2207">
        <f t="array" ref="P168">IFERROR(VLOOKUP(O154,Dex!$B$3:$N252,9,FALSE),"")</f>
        <v>70</v>
      </c>
      <c r="Q168" s="2208" t="str">
        <f t="array" ref="Q168">IFERROR(VLOOKUP(P168,Dex!$P$22:$Q$276,2,FALSE),"")</f>
        <v/>
      </c>
      <c r="R168" s="2209"/>
      <c r="S168" s="2204"/>
      <c r="T168" s="2206" t="s">
        <v>514</v>
      </c>
      <c r="U168" s="2207">
        <f t="array" ref="U168">IFERROR(VLOOKUP(T154,Dex!$B$3:$N252,9,FALSE),"")</f>
        <v>170</v>
      </c>
      <c r="V168" s="2208" t="str">
        <f t="array" ref="V168">IFERROR(VLOOKUP(U168,Dex!$P$22:$Q$276,2,FALSE),"")</f>
        <v/>
      </c>
      <c r="W168" s="2209"/>
      <c r="X168" s="2204"/>
      <c r="Y168" s="2206" t="s">
        <v>514</v>
      </c>
      <c r="Z168" s="2207">
        <f t="array" ref="Z168">IFERROR(VLOOKUP(Y154,Dex!$B$3:$N252,9,FALSE),"")</f>
        <v>100</v>
      </c>
      <c r="AA168" s="2208" t="str">
        <f t="array" ref="AA168">IFERROR(VLOOKUP(Z168,Dex!$P$22:$Q$276,2,FALSE),"")</f>
        <v/>
      </c>
      <c r="AB168" s="2209"/>
      <c r="AC168" s="2204"/>
      <c r="AD168" s="2206" t="s">
        <v>514</v>
      </c>
      <c r="AE168" s="2207">
        <f t="array" ref="AE168">IFERROR(VLOOKUP(AD154,Dex!$B$3:$N252,9,FALSE),"")</f>
        <v>135</v>
      </c>
      <c r="AF168" s="2208" t="str">
        <f t="array" ref="AF168">IFERROR(VLOOKUP(AE168,Dex!$P$22:$Q$276,2,FALSE),"")</f>
        <v/>
      </c>
      <c r="AG168" s="2209"/>
      <c r="AH168" s="2205"/>
      <c r="AI168" s="1692"/>
    </row>
    <row r="169" ht="16.5" customHeight="1">
      <c r="A169" s="1626"/>
      <c r="B169" s="2196"/>
      <c r="C169" s="2188"/>
      <c r="D169" s="2197"/>
      <c r="E169" s="2206" t="s">
        <v>515</v>
      </c>
      <c r="F169" s="2207">
        <f t="array" ref="F169">IFERROR(VLOOKUP(E154,Dex!$B$3:$N252,10,FALSE),"")</f>
        <v>50</v>
      </c>
      <c r="G169" s="2208" t="str">
        <f t="array" ref="G169">IFERROR(VLOOKUP(F169,Dex!$P$22:$Q$276,2,FALSE),"")</f>
        <v/>
      </c>
      <c r="H169" s="2209"/>
      <c r="I169" s="2204"/>
      <c r="J169" s="2206" t="s">
        <v>515</v>
      </c>
      <c r="K169" s="2207">
        <f t="array" ref="K169">IFERROR(VLOOKUP(J154,Dex!$B$3:$N252,10,FALSE),"")</f>
        <v>180</v>
      </c>
      <c r="L169" s="2208" t="str">
        <f t="array" ref="L169">IFERROR(VLOOKUP(K169,Dex!$P$22:$Q$276,2,FALSE),"")</f>
        <v/>
      </c>
      <c r="M169" s="2209"/>
      <c r="N169" s="2204"/>
      <c r="O169" s="2206" t="s">
        <v>515</v>
      </c>
      <c r="P169" s="2207">
        <f t="array" ref="P169">IFERROR(VLOOKUP(O154,Dex!$B$3:$N252,10,FALSE),"")</f>
        <v>73</v>
      </c>
      <c r="Q169" s="2208" t="str">
        <f t="array" ref="Q169">IFERROR(VLOOKUP(P169,Dex!$P$22:$Q$276,2,FALSE),"")</f>
        <v/>
      </c>
      <c r="R169" s="2209"/>
      <c r="S169" s="2204"/>
      <c r="T169" s="2206" t="s">
        <v>515</v>
      </c>
      <c r="U169" s="2207">
        <f t="array" ref="U169">IFERROR(VLOOKUP(T154,Dex!$B$3:$N252,10,FALSE),"")</f>
        <v>100</v>
      </c>
      <c r="V169" s="2208" t="str">
        <f t="array" ref="V169">IFERROR(VLOOKUP(U169,Dex!$P$22:$Q$276,2,FALSE),"")</f>
        <v/>
      </c>
      <c r="W169" s="2209"/>
      <c r="X169" s="2204"/>
      <c r="Y169" s="2206" t="s">
        <v>515</v>
      </c>
      <c r="Z169" s="2207">
        <f t="array" ref="Z169">IFERROR(VLOOKUP(Y154,Dex!$B$3:$N252,10,FALSE),"")</f>
        <v>90</v>
      </c>
      <c r="AA169" s="2208" t="str">
        <f t="array" ref="AA169">IFERROR(VLOOKUP(Z169,Dex!$P$22:$Q$276,2,FALSE),"")</f>
        <v/>
      </c>
      <c r="AB169" s="2209"/>
      <c r="AC169" s="2204"/>
      <c r="AD169" s="2206" t="s">
        <v>515</v>
      </c>
      <c r="AE169" s="2207">
        <f t="array" ref="AE169">IFERROR(VLOOKUP(AD154,Dex!$B$3:$N252,10,FALSE),"")</f>
        <v>80</v>
      </c>
      <c r="AF169" s="2208" t="str">
        <f t="array" ref="AF169">IFERROR(VLOOKUP(AE169,Dex!$P$22:$Q$276,2,FALSE),"")</f>
        <v/>
      </c>
      <c r="AG169" s="2209"/>
      <c r="AH169" s="2205"/>
      <c r="AI169" s="1692"/>
    </row>
    <row r="170" ht="16.5" customHeight="1">
      <c r="A170" s="1626"/>
      <c r="B170" s="2196"/>
      <c r="C170" s="2188"/>
      <c r="D170" s="2197"/>
      <c r="E170" s="2206" t="s">
        <v>516</v>
      </c>
      <c r="F170" s="2207">
        <f t="array" ref="F170">IFERROR(VLOOKUP(E154,Dex!$B$3:$N252,11,FALSE),"")</f>
        <v>115</v>
      </c>
      <c r="G170" s="2208" t="str">
        <f t="array" ref="G170">IFERROR(VLOOKUP(F170,Dex!$P$22:$Q$276,2,FALSE),"")</f>
        <v/>
      </c>
      <c r="H170" s="2209"/>
      <c r="I170" s="2204"/>
      <c r="J170" s="2206" t="s">
        <v>516</v>
      </c>
      <c r="K170" s="2207">
        <f t="array" ref="K170">IFERROR(VLOOKUP(J154,Dex!$B$3:$N252,11,FALSE),"")</f>
        <v>85</v>
      </c>
      <c r="L170" s="2208" t="str">
        <f t="array" ref="L170">IFERROR(VLOOKUP(K170,Dex!$P$22:$Q$276,2,FALSE),"")</f>
        <v/>
      </c>
      <c r="M170" s="2209"/>
      <c r="N170" s="2204"/>
      <c r="O170" s="2206" t="s">
        <v>516</v>
      </c>
      <c r="P170" s="2207">
        <f t="array" ref="P170">IFERROR(VLOOKUP(O154,Dex!$B$3:$N252,11,FALSE),"")</f>
        <v>95</v>
      </c>
      <c r="Q170" s="2208" t="str">
        <f t="array" ref="Q170">IFERROR(VLOOKUP(P170,Dex!$P$22:$Q$276,2,FALSE),"")</f>
        <v/>
      </c>
      <c r="R170" s="2209"/>
      <c r="S170" s="2204"/>
      <c r="T170" s="2206" t="s">
        <v>516</v>
      </c>
      <c r="U170" s="2207">
        <f t="array" ref="U170">IFERROR(VLOOKUP(T154,Dex!$B$3:$N252,11,FALSE),"")</f>
        <v>120</v>
      </c>
      <c r="V170" s="2208" t="str">
        <f t="array" ref="V170">IFERROR(VLOOKUP(U170,Dex!$P$22:$Q$276,2,FALSE),"")</f>
        <v/>
      </c>
      <c r="W170" s="2209"/>
      <c r="X170" s="2204"/>
      <c r="Y170" s="2206" t="s">
        <v>516</v>
      </c>
      <c r="Z170" s="2207">
        <f t="array" ref="Z170">IFERROR(VLOOKUP(Y154,Dex!$B$3:$N252,11,FALSE),"")</f>
        <v>90</v>
      </c>
      <c r="AA170" s="2208" t="str">
        <f t="array" ref="AA170">IFERROR(VLOOKUP(Z170,Dex!$P$22:$Q$276,2,FALSE),"")</f>
        <v/>
      </c>
      <c r="AB170" s="2209"/>
      <c r="AC170" s="2204"/>
      <c r="AD170" s="2206" t="s">
        <v>516</v>
      </c>
      <c r="AE170" s="2207">
        <f t="array" ref="AE170">IFERROR(VLOOKUP(AD154,Dex!$B$3:$N252,11,FALSE),"")</f>
        <v>105</v>
      </c>
      <c r="AF170" s="2208" t="str">
        <f t="array" ref="AF170">IFERROR(VLOOKUP(AE170,Dex!$P$22:$Q$276,2,FALSE),"")</f>
        <v/>
      </c>
      <c r="AG170" s="2209"/>
      <c r="AH170" s="2205"/>
      <c r="AI170" s="1692"/>
    </row>
    <row r="171" ht="16.5" customHeight="1">
      <c r="A171" s="1626"/>
      <c r="B171" s="2196"/>
      <c r="C171" s="2188"/>
      <c r="D171" s="2197"/>
      <c r="E171" s="2206" t="s">
        <v>517</v>
      </c>
      <c r="F171" s="2207">
        <f t="array" ref="F171">IFERROR(VLOOKUP(E154,Dex!$B$3:$N252,12,FALSE),"")</f>
        <v>95</v>
      </c>
      <c r="G171" s="2208" t="str">
        <f t="array" ref="G171">IFERROR(VLOOKUP(F171,Dex!$P$22:$Q$276,2,FALSE),"")</f>
        <v/>
      </c>
      <c r="H171" s="2209"/>
      <c r="I171" s="2204"/>
      <c r="J171" s="2206" t="s">
        <v>517</v>
      </c>
      <c r="K171" s="2207">
        <f t="array" ref="K171">IFERROR(VLOOKUP(J154,Dex!$B$3:$N252,12,FALSE),"")</f>
        <v>45</v>
      </c>
      <c r="L171" s="2208" t="str">
        <f t="array" ref="L171">IFERROR(VLOOKUP(K171,Dex!$P$22:$Q$276,2,FALSE),"")</f>
        <v/>
      </c>
      <c r="M171" s="2209"/>
      <c r="N171" s="2204"/>
      <c r="O171" s="2206" t="s">
        <v>517</v>
      </c>
      <c r="P171" s="2207">
        <f t="array" ref="P171">IFERROR(VLOOKUP(O154,Dex!$B$3:$N252,12,FALSE),"")</f>
        <v>90</v>
      </c>
      <c r="Q171" s="2208" t="str">
        <f t="array" ref="Q171">IFERROR(VLOOKUP(P171,Dex!$P$22:$Q$276,2,FALSE),"")</f>
        <v/>
      </c>
      <c r="R171" s="2209"/>
      <c r="S171" s="2204"/>
      <c r="T171" s="2206" t="s">
        <v>517</v>
      </c>
      <c r="U171" s="2207">
        <f t="array" ref="U171">IFERROR(VLOOKUP(T154,Dex!$B$3:$N252,12,FALSE),"")</f>
        <v>90</v>
      </c>
      <c r="V171" s="2208" t="str">
        <f t="array" ref="V171">IFERROR(VLOOKUP(U171,Dex!$P$22:$Q$276,2,FALSE),"")</f>
        <v/>
      </c>
      <c r="W171" s="2209"/>
      <c r="X171" s="2204"/>
      <c r="Y171" s="2206" t="s">
        <v>517</v>
      </c>
      <c r="Z171" s="2207">
        <f t="array" ref="Z171">IFERROR(VLOOKUP(Y154,Dex!$B$3:$N252,12,FALSE),"")</f>
        <v>80</v>
      </c>
      <c r="AA171" s="2208" t="str">
        <f t="array" ref="AA171">IFERROR(VLOOKUP(Z171,Dex!$P$22:$Q$276,2,FALSE),"")</f>
        <v/>
      </c>
      <c r="AB171" s="2209"/>
      <c r="AC171" s="2204"/>
      <c r="AD171" s="2206" t="s">
        <v>517</v>
      </c>
      <c r="AE171" s="2207">
        <f t="array" ref="AE171">IFERROR(VLOOKUP(AD154,Dex!$B$3:$N252,12,FALSE),"")</f>
        <v>80</v>
      </c>
      <c r="AF171" s="2208" t="str">
        <f t="array" ref="AF171">IFERROR(VLOOKUP(AE171,Dex!$P$22:$Q$276,2,FALSE),"")</f>
        <v/>
      </c>
      <c r="AG171" s="2209"/>
      <c r="AH171" s="2205"/>
      <c r="AI171" s="1692"/>
    </row>
    <row r="172" ht="15.75" customHeight="1">
      <c r="A172" s="1626"/>
      <c r="B172" s="2196"/>
      <c r="C172" s="1426" t="s">
        <v>745</v>
      </c>
      <c r="D172" s="2197"/>
      <c r="E172" s="2210" t="s">
        <v>518</v>
      </c>
      <c r="F172" s="2211">
        <f t="array" ref="F172">IFERROR(VLOOKUP(E154,Dex!$B$3:$N252,13,FALSE),"")</f>
        <v>100</v>
      </c>
      <c r="G172" s="2212" t="str">
        <f t="array" ref="G172">IFERROR(VLOOKUP(F172,Dex!$P$22:$Q$276,2,FALSE),"")</f>
        <v/>
      </c>
      <c r="H172" s="2213"/>
      <c r="I172" s="2204"/>
      <c r="J172" s="2210" t="s">
        <v>518</v>
      </c>
      <c r="K172" s="2211">
        <f t="array" ref="K172">IFERROR(VLOOKUP(J154,Dex!$B$3:$N252,13,FALSE),"")</f>
        <v>70</v>
      </c>
      <c r="L172" s="2212" t="str">
        <f t="array" ref="L172">IFERROR(VLOOKUP(K172,Dex!$P$22:$Q$276,2,FALSE),"")</f>
        <v/>
      </c>
      <c r="M172" s="2213"/>
      <c r="N172" s="2204"/>
      <c r="O172" s="2210" t="s">
        <v>518</v>
      </c>
      <c r="P172" s="2211">
        <f t="array" ref="P172">IFERROR(VLOOKUP(O154,Dex!$B$3:$N252,13,FALSE),"")</f>
        <v>60</v>
      </c>
      <c r="Q172" s="2212" t="str">
        <f t="array" ref="Q172">IFERROR(VLOOKUP(P172,Dex!$P$22:$Q$276,2,FALSE),"")</f>
        <v/>
      </c>
      <c r="R172" s="2213"/>
      <c r="S172" s="2204"/>
      <c r="T172" s="2210" t="s">
        <v>518</v>
      </c>
      <c r="U172" s="2211">
        <f t="array" ref="U172">IFERROR(VLOOKUP(T154,Dex!$B$3:$N252,13,FALSE),"")</f>
        <v>95</v>
      </c>
      <c r="V172" s="2212" t="str">
        <f t="array" ref="V172">IFERROR(VLOOKUP(U172,Dex!$P$22:$Q$276,2,FALSE),"")</f>
        <v/>
      </c>
      <c r="W172" s="2213"/>
      <c r="X172" s="2204"/>
      <c r="Y172" s="2210" t="s">
        <v>518</v>
      </c>
      <c r="Z172" s="2211">
        <f t="array" ref="Z172">IFERROR(VLOOKUP(Y154,Dex!$B$3:$N252,13,FALSE),"")</f>
        <v>55</v>
      </c>
      <c r="AA172" s="2212" t="str">
        <f t="array" ref="AA172">IFERROR(VLOOKUP(Z172,Dex!$P$22:$Q$276,2,FALSE),"")</f>
        <v/>
      </c>
      <c r="AB172" s="2213"/>
      <c r="AC172" s="2204"/>
      <c r="AD172" s="2210" t="s">
        <v>518</v>
      </c>
      <c r="AE172" s="2211">
        <f t="array" ref="AE172">IFERROR(VLOOKUP(AD154,Dex!$B$3:$N252,13,FALSE),"")</f>
        <v>100</v>
      </c>
      <c r="AF172" s="2212" t="str">
        <f t="array" ref="AF172">IFERROR(VLOOKUP(AE172,Dex!$P$22:$Q$276,2,FALSE),"")</f>
        <v/>
      </c>
      <c r="AG172" s="2213"/>
      <c r="AH172" s="2205"/>
      <c r="AI172" s="1692"/>
    </row>
    <row r="173" ht="16.5" customHeight="1">
      <c r="A173" s="1626"/>
      <c r="B173" s="2196"/>
      <c r="C173" s="1427" t="s">
        <v>929</v>
      </c>
      <c r="D173" s="2197"/>
      <c r="E173" s="2214" t="s">
        <v>519</v>
      </c>
      <c r="F173" s="630"/>
      <c r="G173" s="631"/>
      <c r="H173" s="632">
        <f>ROUNDDOWN((ROUNDDOWN(((((2*F172+31)*73)/100+5)),0))*1.1,0)</f>
        <v>190</v>
      </c>
      <c r="I173" s="2197"/>
      <c r="J173" s="2214" t="s">
        <v>519</v>
      </c>
      <c r="K173" s="630"/>
      <c r="L173" s="631"/>
      <c r="M173" s="632">
        <f>ROUNDDOWN((ROUNDDOWN(((((2*K172+31)*73)/100+5)),0))*1.1,0)</f>
        <v>141</v>
      </c>
      <c r="N173" s="2197"/>
      <c r="O173" s="2214" t="s">
        <v>519</v>
      </c>
      <c r="P173" s="630"/>
      <c r="Q173" s="631"/>
      <c r="R173" s="632">
        <f>ROUNDDOWN((ROUNDDOWN(((((2*P172+31)*73)/100+5)),0))*1,0)</f>
        <v>115</v>
      </c>
      <c r="S173" s="2197"/>
      <c r="T173" s="2214" t="s">
        <v>519</v>
      </c>
      <c r="U173" s="630"/>
      <c r="V173" s="631"/>
      <c r="W173" s="632">
        <f>ROUNDDOWN((ROUNDDOWN(((((2*U172+31)*73)/100+5)),0))*1.1,0)</f>
        <v>182</v>
      </c>
      <c r="X173" s="2197"/>
      <c r="Y173" s="2215" t="s">
        <v>519</v>
      </c>
      <c r="Z173" s="635"/>
      <c r="AA173" s="636"/>
      <c r="AB173" s="632">
        <f>ROUNDDOWN((ROUNDDOWN(((((2*Z172+31)*73)/100+5)),0))*1,0)</f>
        <v>107</v>
      </c>
      <c r="AC173" s="2197"/>
      <c r="AD173" s="2214" t="s">
        <v>519</v>
      </c>
      <c r="AE173" s="630"/>
      <c r="AF173" s="631"/>
      <c r="AG173" s="632">
        <f>ROUNDDOWN((ROUNDDOWN(((((2*AE172+31)*73)/100+5)),0))*1.1,0)</f>
        <v>190</v>
      </c>
      <c r="AH173" s="2199"/>
      <c r="AI173" s="1692"/>
    </row>
    <row r="174" ht="15.75" customHeight="1">
      <c r="A174" s="1626"/>
      <c r="B174" s="2196"/>
      <c r="C174" s="2188"/>
      <c r="D174" s="2197"/>
      <c r="E174" s="2216"/>
      <c r="F174" s="2216"/>
      <c r="G174" s="2216"/>
      <c r="H174" s="2216"/>
      <c r="I174" s="2197"/>
      <c r="J174" s="2217"/>
      <c r="K174" s="2217"/>
      <c r="L174" s="2217"/>
      <c r="M174" s="2216"/>
      <c r="N174" s="2197"/>
      <c r="O174" s="2217"/>
      <c r="P174" s="2217"/>
      <c r="Q174" s="2217"/>
      <c r="R174" s="2216"/>
      <c r="S174" s="2197"/>
      <c r="T174" s="2217"/>
      <c r="U174" s="2217"/>
      <c r="V174" s="2217"/>
      <c r="W174" s="2216"/>
      <c r="X174" s="2197"/>
      <c r="Y174" s="2218" t="s">
        <v>930</v>
      </c>
      <c r="Z174" s="643"/>
      <c r="AA174" s="644"/>
      <c r="AB174" s="2117">
        <f>AB173*2</f>
        <v>214</v>
      </c>
      <c r="AC174" s="2197"/>
      <c r="AD174" s="2217"/>
      <c r="AE174" s="2217"/>
      <c r="AF174" s="2217"/>
      <c r="AG174" s="2216"/>
      <c r="AH174" s="2199"/>
      <c r="AI174" s="1692"/>
    </row>
    <row r="175" ht="11.25" customHeight="1">
      <c r="A175" s="1626"/>
      <c r="B175" s="2125"/>
      <c r="C175" s="2126"/>
      <c r="D175" s="2127"/>
      <c r="E175" s="2127"/>
      <c r="F175" s="2127"/>
      <c r="G175" s="2127"/>
      <c r="H175" s="2127"/>
      <c r="I175" s="2127"/>
      <c r="J175" s="2127"/>
      <c r="K175" s="2127"/>
      <c r="L175" s="2127"/>
      <c r="M175" s="2127"/>
      <c r="N175" s="2127"/>
      <c r="O175" s="2127"/>
      <c r="P175" s="2127"/>
      <c r="Q175" s="2127"/>
      <c r="R175" s="2127"/>
      <c r="S175" s="2127"/>
      <c r="T175" s="2127"/>
      <c r="U175" s="2127"/>
      <c r="V175" s="2127"/>
      <c r="W175" s="2127"/>
      <c r="X175" s="2127"/>
      <c r="Y175" s="2127"/>
      <c r="Z175" s="2127"/>
      <c r="AA175" s="2127"/>
      <c r="AB175" s="2127"/>
      <c r="AC175" s="2127"/>
      <c r="AD175" s="2127"/>
      <c r="AE175" s="2127"/>
      <c r="AF175" s="2127"/>
      <c r="AG175" s="2127"/>
      <c r="AH175" s="2128"/>
      <c r="AI175" s="1614"/>
    </row>
    <row r="176">
      <c r="A176" s="1626"/>
      <c r="B176" s="2129"/>
      <c r="C176" s="2130"/>
      <c r="D176" s="2131"/>
      <c r="E176" s="1731" t="s">
        <v>931</v>
      </c>
      <c r="F176" s="1732"/>
      <c r="G176" s="1732"/>
      <c r="H176" s="1732"/>
      <c r="I176" s="1732"/>
      <c r="J176" s="1732"/>
      <c r="K176" s="1732"/>
      <c r="L176" s="1732"/>
      <c r="M176" s="1732"/>
      <c r="N176" s="1732"/>
      <c r="O176" s="1732"/>
      <c r="P176" s="1732"/>
      <c r="Q176" s="1732"/>
      <c r="R176" s="1732"/>
      <c r="S176" s="1732"/>
      <c r="T176" s="1732"/>
      <c r="U176" s="1732"/>
      <c r="V176" s="1732"/>
      <c r="W176" s="1732"/>
      <c r="X176" s="1732"/>
      <c r="Y176" s="1732"/>
      <c r="Z176" s="1732"/>
      <c r="AA176" s="1732"/>
      <c r="AB176" s="1732"/>
      <c r="AC176" s="1732"/>
      <c r="AD176" s="1732"/>
      <c r="AE176" s="1732"/>
      <c r="AF176" s="1732"/>
      <c r="AG176" s="1733"/>
      <c r="AH176" s="2132"/>
      <c r="AI176" s="1614"/>
    </row>
    <row r="177" ht="3.75" customHeight="1">
      <c r="A177" s="1626"/>
      <c r="B177" s="2129"/>
      <c r="C177" s="2130"/>
      <c r="D177" s="2131"/>
      <c r="E177" s="2133"/>
      <c r="F177" s="2133"/>
      <c r="G177" s="2133"/>
      <c r="H177" s="2133"/>
      <c r="I177" s="2133"/>
      <c r="J177" s="2133"/>
      <c r="K177" s="2133"/>
      <c r="L177" s="2133"/>
      <c r="M177" s="2133"/>
      <c r="N177" s="2133"/>
      <c r="O177" s="2133"/>
      <c r="P177" s="2133"/>
      <c r="Q177" s="2133"/>
      <c r="R177" s="2133"/>
      <c r="S177" s="2133"/>
      <c r="T177" s="2133"/>
      <c r="U177" s="2133"/>
      <c r="V177" s="2133"/>
      <c r="W177" s="2133"/>
      <c r="X177" s="2133"/>
      <c r="Y177" s="2133"/>
      <c r="Z177" s="2133"/>
      <c r="AA177" s="2133"/>
      <c r="AB177" s="2133"/>
      <c r="AC177" s="2133"/>
      <c r="AD177" s="2133"/>
      <c r="AE177" s="2133"/>
      <c r="AF177" s="2133"/>
      <c r="AG177" s="2133"/>
      <c r="AH177" s="2132"/>
      <c r="AI177" s="1614"/>
    </row>
    <row r="178" ht="16.5" customHeight="1">
      <c r="A178" s="1626"/>
      <c r="B178" s="2129"/>
      <c r="C178" s="2134"/>
      <c r="D178" s="2135"/>
      <c r="E178" s="2136" t="s">
        <v>932</v>
      </c>
      <c r="F178" s="2137"/>
      <c r="G178" s="2137"/>
      <c r="H178" s="2137"/>
      <c r="I178" s="2137"/>
      <c r="J178" s="2137"/>
      <c r="K178" s="2137"/>
      <c r="L178" s="2137"/>
      <c r="M178" s="2137"/>
      <c r="N178" s="2137"/>
      <c r="O178" s="2137"/>
      <c r="P178" s="2137"/>
      <c r="Q178" s="2137"/>
      <c r="R178" s="2137"/>
      <c r="S178" s="2137"/>
      <c r="T178" s="2137"/>
      <c r="U178" s="2137"/>
      <c r="V178" s="2137"/>
      <c r="W178" s="2137"/>
      <c r="X178" s="2137"/>
      <c r="Y178" s="2137"/>
      <c r="Z178" s="2137"/>
      <c r="AA178" s="2137"/>
      <c r="AB178" s="2137"/>
      <c r="AC178" s="2137"/>
      <c r="AD178" s="2137"/>
      <c r="AE178" s="2137"/>
      <c r="AF178" s="2137"/>
      <c r="AG178" s="2138"/>
      <c r="AH178" s="2132"/>
      <c r="AI178" s="1614"/>
    </row>
    <row r="179" ht="96.75" customHeight="1">
      <c r="A179" s="1626"/>
      <c r="B179" s="2139"/>
      <c r="C179" s="2140" t="str">
        <f>IMAGE("https://i.ibb.co/rkZGjMV/Pryce.png")</f>
        <v/>
      </c>
      <c r="D179" s="2141"/>
      <c r="E179" s="2142" t="str">
        <f t="array" ref="E179">IFERROR(VLOOKUP(E180,Dex!$B$3:$G252,3,FALSE),"")</f>
        <v/>
      </c>
      <c r="F179" s="539"/>
      <c r="G179" s="539"/>
      <c r="H179" s="540"/>
      <c r="I179" s="2141"/>
      <c r="J179" s="2142" t="str">
        <f t="array" ref="J179">IFERROR(VLOOKUP(J180,Dex!$B$3:$G252,3,FALSE),"")</f>
        <v/>
      </c>
      <c r="K179" s="539"/>
      <c r="L179" s="539"/>
      <c r="M179" s="540"/>
      <c r="N179" s="2141"/>
      <c r="O179" s="2142" t="str">
        <f t="array" ref="O179">IFERROR(VLOOKUP(O180,Dex!$B$3:$G252,3,FALSE),"")</f>
        <v/>
      </c>
      <c r="P179" s="539"/>
      <c r="Q179" s="539"/>
      <c r="R179" s="540"/>
      <c r="S179" s="2141"/>
      <c r="T179" s="2142" t="str">
        <f t="array" ref="T179">IFERROR(VLOOKUP(T180,Dex!$B$3:$G252,3,FALSE),"")</f>
        <v/>
      </c>
      <c r="U179" s="539"/>
      <c r="V179" s="539"/>
      <c r="W179" s="540"/>
      <c r="X179" s="2141"/>
      <c r="Y179" s="2142" t="str">
        <f t="array" ref="Y179">IFERROR(VLOOKUP(Y180,Dex!$B$3:$G252,3,FALSE),"")</f>
        <v/>
      </c>
      <c r="Z179" s="539"/>
      <c r="AA179" s="539"/>
      <c r="AB179" s="540"/>
      <c r="AC179" s="2141"/>
      <c r="AD179" s="2142" t="str">
        <f t="array" ref="AD179">IFERROR(VLOOKUP(AD180,Dex!$B$3:$G252,3,FALSE),"")</f>
        <v/>
      </c>
      <c r="AE179" s="539"/>
      <c r="AF179" s="539"/>
      <c r="AG179" s="540"/>
      <c r="AH179" s="2143"/>
      <c r="AI179" s="1614"/>
    </row>
    <row r="180" ht="18.75" customHeight="1">
      <c r="A180" s="1626"/>
      <c r="B180" s="2144"/>
      <c r="C180" s="2145" t="s">
        <v>933</v>
      </c>
      <c r="D180" s="2146"/>
      <c r="E180" s="2147" t="s">
        <v>934</v>
      </c>
      <c r="F180" s="2148"/>
      <c r="G180" s="2148"/>
      <c r="H180" s="2149"/>
      <c r="I180" s="2150"/>
      <c r="J180" s="2147" t="s">
        <v>935</v>
      </c>
      <c r="K180" s="2148"/>
      <c r="L180" s="2148"/>
      <c r="M180" s="2149"/>
      <c r="N180" s="2150"/>
      <c r="O180" s="2147" t="s">
        <v>913</v>
      </c>
      <c r="P180" s="2148"/>
      <c r="Q180" s="2148"/>
      <c r="R180" s="2149"/>
      <c r="S180" s="2150"/>
      <c r="T180" s="2147" t="s">
        <v>914</v>
      </c>
      <c r="U180" s="2148"/>
      <c r="V180" s="2148"/>
      <c r="W180" s="2149"/>
      <c r="X180" s="2150"/>
      <c r="Y180" s="2147" t="s">
        <v>936</v>
      </c>
      <c r="Z180" s="2148"/>
      <c r="AA180" s="2148"/>
      <c r="AB180" s="2149"/>
      <c r="AC180" s="2150"/>
      <c r="AD180" s="2147" t="s">
        <v>916</v>
      </c>
      <c r="AE180" s="2148"/>
      <c r="AF180" s="2148"/>
      <c r="AG180" s="2149"/>
      <c r="AH180" s="2151"/>
      <c r="AI180" s="1636"/>
    </row>
    <row r="181">
      <c r="A181" s="1653"/>
      <c r="B181" s="2152"/>
      <c r="C181" s="1638"/>
      <c r="D181" s="2153"/>
      <c r="E181" s="2154" t="s">
        <v>729</v>
      </c>
      <c r="F181" s="2155"/>
      <c r="G181" s="2155"/>
      <c r="H181" s="2156"/>
      <c r="I181" s="2157"/>
      <c r="J181" s="2154" t="s">
        <v>729</v>
      </c>
      <c r="K181" s="2155"/>
      <c r="L181" s="2155"/>
      <c r="M181" s="2156"/>
      <c r="N181" s="2157"/>
      <c r="O181" s="2154" t="s">
        <v>729</v>
      </c>
      <c r="P181" s="2155"/>
      <c r="Q181" s="2155"/>
      <c r="R181" s="2156"/>
      <c r="S181" s="2157"/>
      <c r="T181" s="2154" t="s">
        <v>729</v>
      </c>
      <c r="U181" s="2155"/>
      <c r="V181" s="2155"/>
      <c r="W181" s="2156"/>
      <c r="X181" s="2157"/>
      <c r="Y181" s="2154" t="s">
        <v>729</v>
      </c>
      <c r="Z181" s="2155"/>
      <c r="AA181" s="2155"/>
      <c r="AB181" s="2156"/>
      <c r="AC181" s="2157"/>
      <c r="AD181" s="2154" t="s">
        <v>729</v>
      </c>
      <c r="AE181" s="2155"/>
      <c r="AF181" s="2155"/>
      <c r="AG181" s="2156"/>
      <c r="AH181" s="2158"/>
      <c r="AI181" s="1823"/>
    </row>
    <row r="182" ht="25.5" customHeight="1">
      <c r="A182" s="1626"/>
      <c r="B182" s="2129"/>
      <c r="C182" s="1646"/>
      <c r="D182" s="2159"/>
      <c r="E182" s="2160"/>
      <c r="F182" s="2161" t="str">
        <f t="array" ref="F182">IFERROR(VLOOKUP(E180,Dex!$B$3:$H252,5,FALSE),"")</f>
        <v/>
      </c>
      <c r="G182" s="2162" t="str">
        <f t="array" ref="G182">IFERROR(VLOOKUP(E180,Dex!$B$3:$H252,7,FALSE),"")</f>
        <v/>
      </c>
      <c r="H182" s="2163"/>
      <c r="I182" s="2164"/>
      <c r="J182" s="2160"/>
      <c r="K182" s="2165" t="str">
        <f t="array" ref="K182">IFERROR(VLOOKUP(J180,Dex!$B$3:$H252,5,FALSE),"")</f>
        <v/>
      </c>
      <c r="L182" s="2166"/>
      <c r="M182" s="2163"/>
      <c r="N182" s="2164"/>
      <c r="O182" s="2160"/>
      <c r="P182" s="2165" t="str">
        <f t="array" ref="P182">IFERROR(VLOOKUP(O180,Dex!$B$3:$H252,5,FALSE),"")</f>
        <v/>
      </c>
      <c r="Q182" s="2166"/>
      <c r="R182" s="2163"/>
      <c r="S182" s="2164"/>
      <c r="T182" s="2160"/>
      <c r="U182" s="2161" t="str">
        <f t="array" ref="U182">IFERROR(VLOOKUP(T180,Dex!$B$3:$H252,5,FALSE),"")</f>
        <v/>
      </c>
      <c r="V182" s="2162" t="str">
        <f t="array" ref="V182">IFERROR(VLOOKUP(T180,Dex!$B$3:$H252,7,FALSE),"")</f>
        <v/>
      </c>
      <c r="W182" s="2163"/>
      <c r="X182" s="2164"/>
      <c r="Y182" s="2160"/>
      <c r="Z182" s="2161" t="str">
        <f t="array" ref="Z182">IFERROR(VLOOKUP(Y180,Dex!$B$3:$H252,5,FALSE),"")</f>
        <v/>
      </c>
      <c r="AA182" s="2162" t="str">
        <f t="array" ref="AA182">IFERROR(VLOOKUP(Y180,Dex!$B$3:$H252,7,FALSE),"")</f>
        <v/>
      </c>
      <c r="AB182" s="2163"/>
      <c r="AC182" s="2164"/>
      <c r="AD182" s="2160"/>
      <c r="AE182" s="2165" t="str">
        <f t="array" ref="AE182">IFERROR(VLOOKUP(AD180,Dex!$B$3:$H252,5,FALSE),"")</f>
        <v/>
      </c>
      <c r="AF182" s="2166"/>
      <c r="AG182" s="2163"/>
      <c r="AH182" s="2143"/>
      <c r="AI182" s="1614"/>
    </row>
    <row r="183" ht="2.25" customHeight="1">
      <c r="A183" s="1626"/>
      <c r="B183" s="2129"/>
      <c r="C183" s="2167"/>
      <c r="D183" s="2168"/>
      <c r="E183" s="2169"/>
      <c r="F183" s="2170"/>
      <c r="G183" s="2170"/>
      <c r="H183" s="2171"/>
      <c r="I183" s="2164"/>
      <c r="J183" s="2169"/>
      <c r="K183" s="2170"/>
      <c r="L183" s="2170"/>
      <c r="M183" s="2171"/>
      <c r="N183" s="2164"/>
      <c r="O183" s="2169"/>
      <c r="P183" s="2170"/>
      <c r="Q183" s="2170"/>
      <c r="R183" s="2171"/>
      <c r="S183" s="2164"/>
      <c r="T183" s="2169"/>
      <c r="U183" s="2170"/>
      <c r="V183" s="2170"/>
      <c r="W183" s="2171"/>
      <c r="X183" s="2164"/>
      <c r="Y183" s="2169"/>
      <c r="Z183" s="2170"/>
      <c r="AA183" s="2170"/>
      <c r="AB183" s="2171"/>
      <c r="AC183" s="2164"/>
      <c r="AD183" s="2169"/>
      <c r="AE183" s="2170"/>
      <c r="AF183" s="2170"/>
      <c r="AG183" s="2171"/>
      <c r="AH183" s="2143"/>
      <c r="AI183" s="1614"/>
    </row>
    <row r="184" ht="20.25" customHeight="1">
      <c r="A184" s="1626"/>
      <c r="B184" s="2129"/>
      <c r="C184" s="2130"/>
      <c r="D184" s="2168"/>
      <c r="E184" s="2172" t="s">
        <v>566</v>
      </c>
      <c r="F184" s="2173"/>
      <c r="G184" s="2173"/>
      <c r="H184" s="2174"/>
      <c r="I184" s="2175"/>
      <c r="J184" s="2172" t="s">
        <v>482</v>
      </c>
      <c r="K184" s="2173"/>
      <c r="L184" s="2173"/>
      <c r="M184" s="2174"/>
      <c r="N184" s="2175"/>
      <c r="O184" s="2172" t="s">
        <v>531</v>
      </c>
      <c r="P184" s="2173"/>
      <c r="Q184" s="2173"/>
      <c r="R184" s="2174"/>
      <c r="S184" s="2175"/>
      <c r="T184" s="2172" t="s">
        <v>532</v>
      </c>
      <c r="U184" s="2173"/>
      <c r="V184" s="2173"/>
      <c r="W184" s="2174"/>
      <c r="X184" s="2175"/>
      <c r="Y184" s="2172" t="s">
        <v>566</v>
      </c>
      <c r="Z184" s="2173"/>
      <c r="AA184" s="2173"/>
      <c r="AB184" s="2174"/>
      <c r="AC184" s="2175"/>
      <c r="AD184" s="2172" t="s">
        <v>532</v>
      </c>
      <c r="AE184" s="2173"/>
      <c r="AF184" s="2173"/>
      <c r="AG184" s="2174"/>
      <c r="AH184" s="2143"/>
      <c r="AI184" s="1614"/>
    </row>
    <row r="185">
      <c r="A185" s="1653"/>
      <c r="B185" s="2129"/>
      <c r="C185" s="2176"/>
      <c r="D185" s="2168"/>
      <c r="E185" s="2177" t="s">
        <v>107</v>
      </c>
      <c r="F185" s="2155"/>
      <c r="G185" s="2155"/>
      <c r="H185" s="2156"/>
      <c r="I185" s="2175"/>
      <c r="J185" s="2177" t="s">
        <v>115</v>
      </c>
      <c r="K185" s="2155"/>
      <c r="L185" s="2155"/>
      <c r="M185" s="2156"/>
      <c r="N185" s="2175"/>
      <c r="O185" s="2177" t="s">
        <v>76</v>
      </c>
      <c r="P185" s="2155"/>
      <c r="Q185" s="2155"/>
      <c r="R185" s="2156"/>
      <c r="S185" s="2175"/>
      <c r="T185" s="2177" t="s">
        <v>918</v>
      </c>
      <c r="U185" s="2155"/>
      <c r="V185" s="2155"/>
      <c r="W185" s="2156"/>
      <c r="X185" s="2175"/>
      <c r="Y185" s="2177" t="s">
        <v>107</v>
      </c>
      <c r="Z185" s="2155"/>
      <c r="AA185" s="2155"/>
      <c r="AB185" s="2156"/>
      <c r="AC185" s="2175"/>
      <c r="AD185" s="2177" t="s">
        <v>937</v>
      </c>
      <c r="AE185" s="2155"/>
      <c r="AF185" s="2155"/>
      <c r="AG185" s="2156"/>
      <c r="AH185" s="2143"/>
      <c r="AI185" s="1614"/>
    </row>
    <row r="186" ht="20.25" customHeight="1">
      <c r="A186" s="1626"/>
      <c r="B186" s="2129"/>
      <c r="C186" s="2178"/>
      <c r="D186" s="2168"/>
      <c r="E186" s="2179" t="s">
        <v>573</v>
      </c>
      <c r="F186" s="2137"/>
      <c r="G186" s="2138"/>
      <c r="H186" s="2180" t="str">
        <f>IMAGE("https://raw.githubusercontent.com/msikma/pokesprite/master/items/hold-item/focus-sash.png",3)</f>
        <v/>
      </c>
      <c r="I186" s="2164"/>
      <c r="J186" s="2179" t="s">
        <v>733</v>
      </c>
      <c r="K186" s="2137"/>
      <c r="L186" s="2138"/>
      <c r="M186" s="2180" t="str">
        <f>IMAGE("https://raw.githubusercontent.com/msikma/pokesprite/master/items/hold-item/leftovers.png",3)</f>
        <v/>
      </c>
      <c r="N186" s="2164"/>
      <c r="O186" s="2179" t="s">
        <v>541</v>
      </c>
      <c r="P186" s="2137"/>
      <c r="Q186" s="2138"/>
      <c r="R186" s="2180" t="str">
        <f>IMAGE("https://raw.githubusercontent.com/msikma/pokesprite/master/items/hold-item/life-orb.png",3)</f>
        <v/>
      </c>
      <c r="S186" s="2164"/>
      <c r="T186" s="2179" t="s">
        <v>572</v>
      </c>
      <c r="U186" s="2137"/>
      <c r="V186" s="2138"/>
      <c r="W186" s="2180" t="str">
        <f>IMAGE("https://raw.githubusercontent.com/msikma/pokesprite/master/items/z-crystals/icium-z--held.png",3)</f>
        <v/>
      </c>
      <c r="X186" s="2164"/>
      <c r="Y186" s="2179" t="s">
        <v>541</v>
      </c>
      <c r="Z186" s="2137"/>
      <c r="AA186" s="2138"/>
      <c r="AB186" s="2180" t="str">
        <f>IMAGE("https://raw.githubusercontent.com/msikma/pokesprite/master/items/hold-item/life-orb.png",3)</f>
        <v/>
      </c>
      <c r="AC186" s="2164"/>
      <c r="AD186" s="2179" t="s">
        <v>921</v>
      </c>
      <c r="AE186" s="2137"/>
      <c r="AF186" s="2138"/>
      <c r="AG186" s="2180" t="str">
        <f>IMAGE("https://raw.githubusercontent.com/msikma/pokesprite/master/items/mega-stone/glalitite.png",3)</f>
        <v/>
      </c>
      <c r="AH186" s="2143"/>
      <c r="AI186" s="1614"/>
    </row>
    <row r="187" ht="20.25" customHeight="1">
      <c r="A187" s="1626"/>
      <c r="B187" s="2129"/>
      <c r="C187" s="2181"/>
      <c r="D187" s="2168"/>
      <c r="E187" s="2172" t="s">
        <v>191</v>
      </c>
      <c r="F187" s="2173"/>
      <c r="G187" s="2173"/>
      <c r="H187" s="2182" t="str">
        <f>IMAGE("https://raw.githubusercontent.com/msikma/pokesprite/master/misc/types/gen8/rock.png",4,20,20)</f>
        <v/>
      </c>
      <c r="I187" s="2164"/>
      <c r="J187" s="2172" t="s">
        <v>170</v>
      </c>
      <c r="K187" s="2173"/>
      <c r="L187" s="2173"/>
      <c r="M187" s="2182" t="str">
        <f>IMAGE("https://raw.githubusercontent.com/msikma/pokesprite/master/misc/types/gen8/psychic.png",4,20,20)</f>
        <v/>
      </c>
      <c r="N187" s="2164"/>
      <c r="O187" s="2172" t="s">
        <v>611</v>
      </c>
      <c r="P187" s="2173"/>
      <c r="Q187" s="2173"/>
      <c r="R187" s="2182" t="str">
        <f>IMAGE("https://raw.githubusercontent.com/msikma/pokesprite/master/misc/types/gen8/electric.png",4,20,20)</f>
        <v/>
      </c>
      <c r="S187" s="2164"/>
      <c r="T187" s="2172" t="s">
        <v>219</v>
      </c>
      <c r="U187" s="2173"/>
      <c r="V187" s="2173"/>
      <c r="W187" s="2182" t="str">
        <f>IMAGE("https://raw.githubusercontent.com/msikma/pokesprite/master/misc/types/gen8/dragon.png",4,20,20)</f>
        <v/>
      </c>
      <c r="X187" s="2164"/>
      <c r="Y187" s="2172" t="s">
        <v>938</v>
      </c>
      <c r="Z187" s="2173"/>
      <c r="AA187" s="2173"/>
      <c r="AB187" s="2182" t="str">
        <f>IMAGE("https://raw.githubusercontent.com/msikma/pokesprite/master/misc/types/gen8/water.png",4,20,20)</f>
        <v/>
      </c>
      <c r="AC187" s="2164"/>
      <c r="AD187" s="2172" t="s">
        <v>777</v>
      </c>
      <c r="AE187" s="2173"/>
      <c r="AF187" s="2173"/>
      <c r="AG187" s="2182" t="str">
        <f t="shared" ref="AG187:AG188" si="13">IMAGE("https://raw.githubusercontent.com/msikma/pokesprite/master/misc/types/gen8/ice.png",4,20,20)</f>
        <v/>
      </c>
      <c r="AH187" s="2143"/>
      <c r="AI187" s="1614"/>
    </row>
    <row r="188" ht="20.25" customHeight="1">
      <c r="A188" s="2082"/>
      <c r="B188" s="2129"/>
      <c r="C188" s="2130"/>
      <c r="D188" s="2168"/>
      <c r="E188" s="2177" t="s">
        <v>549</v>
      </c>
      <c r="F188" s="2155"/>
      <c r="G188" s="2155"/>
      <c r="H188" s="2183" t="str">
        <f>IMAGE("https://raw.githubusercontent.com/msikma/pokesprite/master/misc/types/gen8/ground.png",4,20,20)</f>
        <v/>
      </c>
      <c r="I188" s="2164"/>
      <c r="J188" s="2177" t="s">
        <v>501</v>
      </c>
      <c r="K188" s="2155"/>
      <c r="L188" s="2155"/>
      <c r="M188" s="2183" t="str">
        <f>IMAGE("https://raw.githubusercontent.com/msikma/pokesprite/master/misc/types/gen8/normal.png",4,20,20)</f>
        <v/>
      </c>
      <c r="N188" s="2164"/>
      <c r="O188" s="2177" t="s">
        <v>623</v>
      </c>
      <c r="P188" s="2155"/>
      <c r="Q188" s="2155"/>
      <c r="R188" s="2183" t="str">
        <f>IMAGE("https://raw.githubusercontent.com/msikma/pokesprite/master/misc/types/gen8/psychic.png",4,20,20)</f>
        <v/>
      </c>
      <c r="S188" s="2164"/>
      <c r="T188" s="2177" t="s">
        <v>925</v>
      </c>
      <c r="U188" s="2155"/>
      <c r="V188" s="2155"/>
      <c r="W188" s="2183" t="str">
        <f>IMAGE("https://raw.githubusercontent.com/msikma/pokesprite/master/misc/types/gen8/ice.png",4,20,20)</f>
        <v/>
      </c>
      <c r="X188" s="2164"/>
      <c r="Y188" s="2177" t="s">
        <v>925</v>
      </c>
      <c r="Z188" s="2155"/>
      <c r="AA188" s="2155"/>
      <c r="AB188" s="2183" t="str">
        <f>IMAGE("https://raw.githubusercontent.com/msikma/pokesprite/master/misc/types/gen8/ice.png",4,20,20)</f>
        <v/>
      </c>
      <c r="AC188" s="2164"/>
      <c r="AD188" s="2177" t="s">
        <v>806</v>
      </c>
      <c r="AE188" s="2155"/>
      <c r="AF188" s="2155"/>
      <c r="AG188" s="2183" t="str">
        <f t="shared" si="13"/>
        <v/>
      </c>
      <c r="AH188" s="2143"/>
      <c r="AI188" s="1614"/>
    </row>
    <row r="189" ht="20.25" customHeight="1">
      <c r="A189" s="1626"/>
      <c r="B189" s="2129"/>
      <c r="C189" s="2130"/>
      <c r="D189" s="2168"/>
      <c r="E189" s="2177" t="s">
        <v>924</v>
      </c>
      <c r="F189" s="2155"/>
      <c r="G189" s="2155"/>
      <c r="H189" s="2183" t="str">
        <f>IMAGE("https://raw.githubusercontent.com/msikma/pokesprite/master/misc/types/gen8/ice.png",4,20,20)</f>
        <v/>
      </c>
      <c r="I189" s="2164"/>
      <c r="J189" s="2177" t="s">
        <v>669</v>
      </c>
      <c r="K189" s="2155"/>
      <c r="L189" s="2155"/>
      <c r="M189" s="2183" t="str">
        <f>IMAGE("https://raw.githubusercontent.com/msikma/pokesprite/master/misc/types/gen8/psychic.png",4,20,20)</f>
        <v/>
      </c>
      <c r="N189" s="2164"/>
      <c r="O189" s="2177" t="s">
        <v>926</v>
      </c>
      <c r="P189" s="2155"/>
      <c r="Q189" s="2155"/>
      <c r="R189" s="2183" t="str">
        <f>IMAGE("https://raw.githubusercontent.com/msikma/pokesprite/master/misc/types/gen8/fairy.png",4,20,20)</f>
        <v/>
      </c>
      <c r="S189" s="2164"/>
      <c r="T189" s="2177" t="s">
        <v>772</v>
      </c>
      <c r="U189" s="2155"/>
      <c r="V189" s="2155"/>
      <c r="W189" s="2183" t="str">
        <f>IMAGE("https://raw.githubusercontent.com/msikma/pokesprite/master/misc/types/gen8/electric.png",4,20,20)</f>
        <v/>
      </c>
      <c r="X189" s="2164"/>
      <c r="Y189" s="2177" t="s">
        <v>621</v>
      </c>
      <c r="Z189" s="2155"/>
      <c r="AA189" s="2155"/>
      <c r="AB189" s="2183" t="str">
        <f>IMAGE("https://raw.githubusercontent.com/msikma/pokesprite/master/misc/types/gen8/rock.png",4,20,20)</f>
        <v/>
      </c>
      <c r="AC189" s="2164"/>
      <c r="AD189" s="2177" t="s">
        <v>549</v>
      </c>
      <c r="AE189" s="2155"/>
      <c r="AF189" s="2155"/>
      <c r="AG189" s="2183" t="str">
        <f>IMAGE("https://raw.githubusercontent.com/msikma/pokesprite/master/misc/types/gen8/ground.png",4,20,20)</f>
        <v/>
      </c>
      <c r="AH189" s="2143"/>
      <c r="AI189" s="1614"/>
    </row>
    <row r="190" ht="21.0" customHeight="1">
      <c r="A190" s="1626"/>
      <c r="B190" s="2129"/>
      <c r="C190" s="2130"/>
      <c r="D190" s="2168"/>
      <c r="E190" s="2184" t="s">
        <v>739</v>
      </c>
      <c r="F190" s="2185"/>
      <c r="G190" s="2185"/>
      <c r="H190" s="2186" t="str">
        <f>IMAGE("https://raw.githubusercontent.com/msikma/pokesprite/master/misc/types/gen8/steel.png",4,20,20)</f>
        <v/>
      </c>
      <c r="I190" s="2164"/>
      <c r="J190" s="2184" t="s">
        <v>590</v>
      </c>
      <c r="K190" s="2185"/>
      <c r="L190" s="2185"/>
      <c r="M190" s="2186" t="str">
        <f>IMAGE("https://raw.githubusercontent.com/msikma/pokesprite/master/misc/types/gen8/fighting.png",4,20,20)</f>
        <v/>
      </c>
      <c r="N190" s="2164"/>
      <c r="O190" s="2184" t="s">
        <v>619</v>
      </c>
      <c r="P190" s="2185"/>
      <c r="Q190" s="2185"/>
      <c r="R190" s="2186" t="str">
        <f>IMAGE("https://raw.githubusercontent.com/msikma/pokesprite/master/misc/types/gen8/fire.png",4,20,20)</f>
        <v/>
      </c>
      <c r="S190" s="2164"/>
      <c r="T190" s="2184" t="s">
        <v>551</v>
      </c>
      <c r="U190" s="2185"/>
      <c r="V190" s="2185"/>
      <c r="W190" s="2186" t="str">
        <f>IMAGE("https://raw.githubusercontent.com/msikma/pokesprite/master/misc/types/gen8/flying.png",4,20,20)</f>
        <v/>
      </c>
      <c r="X190" s="2164"/>
      <c r="Y190" s="2184" t="s">
        <v>939</v>
      </c>
      <c r="Z190" s="2185"/>
      <c r="AA190" s="2185"/>
      <c r="AB190" s="2186" t="str">
        <f>IMAGE("https://raw.githubusercontent.com/msikma/pokesprite/master/misc/types/gen8/psychic.png",4,20,20)</f>
        <v/>
      </c>
      <c r="AC190" s="2164"/>
      <c r="AD190" s="2184" t="s">
        <v>928</v>
      </c>
      <c r="AE190" s="2185"/>
      <c r="AF190" s="2185"/>
      <c r="AG190" s="2186" t="str">
        <f>IMAGE("https://raw.githubusercontent.com/msikma/pokesprite/master/misc/types/gen8/ice.png",4,20,20)</f>
        <v/>
      </c>
      <c r="AH190" s="2143"/>
      <c r="AI190" s="1614"/>
    </row>
    <row r="191" ht="3.0" customHeight="1">
      <c r="A191" s="1626"/>
      <c r="B191" s="2187"/>
      <c r="C191" s="2188"/>
      <c r="D191" s="2189"/>
      <c r="E191" s="2190"/>
      <c r="F191" s="2190"/>
      <c r="G191" s="2190"/>
      <c r="H191" s="2190"/>
      <c r="I191" s="2189"/>
      <c r="J191" s="2190"/>
      <c r="K191" s="2190"/>
      <c r="L191" s="2190"/>
      <c r="M191" s="2190"/>
      <c r="N191" s="2189"/>
      <c r="O191" s="2190"/>
      <c r="P191" s="2190"/>
      <c r="Q191" s="2190"/>
      <c r="R191" s="2190"/>
      <c r="S191" s="2189"/>
      <c r="T191" s="2190"/>
      <c r="U191" s="2190"/>
      <c r="V191" s="2190"/>
      <c r="W191" s="2190"/>
      <c r="X191" s="2189"/>
      <c r="Y191" s="2190"/>
      <c r="Z191" s="2191"/>
      <c r="AA191" s="2191"/>
      <c r="AB191" s="2192"/>
      <c r="AC191" s="2189"/>
      <c r="AD191" s="2193"/>
      <c r="AE191" s="2193"/>
      <c r="AF191" s="2193"/>
      <c r="AG191" s="2194"/>
      <c r="AH191" s="2195"/>
      <c r="AI191" s="1684"/>
    </row>
    <row r="192" ht="16.5" customHeight="1">
      <c r="A192" s="1626"/>
      <c r="B192" s="2196"/>
      <c r="C192" s="2188"/>
      <c r="D192" s="2197"/>
      <c r="E192" s="2198" t="s">
        <v>512</v>
      </c>
      <c r="F192" s="606"/>
      <c r="G192" s="606"/>
      <c r="H192" s="607"/>
      <c r="I192" s="2197"/>
      <c r="J192" s="2198" t="s">
        <v>512</v>
      </c>
      <c r="K192" s="606"/>
      <c r="L192" s="606"/>
      <c r="M192" s="607"/>
      <c r="N192" s="2197"/>
      <c r="O192" s="2198" t="s">
        <v>512</v>
      </c>
      <c r="P192" s="606"/>
      <c r="Q192" s="606"/>
      <c r="R192" s="607"/>
      <c r="S192" s="2197"/>
      <c r="T192" s="2198" t="s">
        <v>512</v>
      </c>
      <c r="U192" s="606"/>
      <c r="V192" s="606"/>
      <c r="W192" s="607"/>
      <c r="X192" s="2197"/>
      <c r="Y192" s="2198" t="s">
        <v>512</v>
      </c>
      <c r="Z192" s="606"/>
      <c r="AA192" s="606"/>
      <c r="AB192" s="607"/>
      <c r="AC192" s="2197"/>
      <c r="AD192" s="2198" t="s">
        <v>512</v>
      </c>
      <c r="AE192" s="606"/>
      <c r="AF192" s="606"/>
      <c r="AG192" s="607"/>
      <c r="AH192" s="2199"/>
      <c r="AI192" s="1692"/>
    </row>
    <row r="193" ht="16.5" customHeight="1">
      <c r="A193" s="1626"/>
      <c r="B193" s="2196"/>
      <c r="C193" s="2188"/>
      <c r="D193" s="2197"/>
      <c r="E193" s="2200" t="s">
        <v>513</v>
      </c>
      <c r="F193" s="2201">
        <f t="array" ref="F193">IFERROR(VLOOKUP(E180,Dex!$B$3:$N252,8,FALSE),"")</f>
        <v>75</v>
      </c>
      <c r="G193" s="2202" t="str">
        <f t="array" ref="G193">IFERROR(VLOOKUP(F193,Dex!$P$22:$Q$276,2,FALSE),"")</f>
        <v/>
      </c>
      <c r="H193" s="2203"/>
      <c r="I193" s="2204"/>
      <c r="J193" s="2200" t="s">
        <v>513</v>
      </c>
      <c r="K193" s="2201">
        <f t="array" ref="K193">IFERROR(VLOOKUP(J180,Dex!$B$3:$N252,8,FALSE),"")</f>
        <v>110</v>
      </c>
      <c r="L193" s="2202" t="str">
        <f t="array" ref="L193">IFERROR(VLOOKUP(K193,Dex!$P$22:$Q$276,2,FALSE),"")</f>
        <v/>
      </c>
      <c r="M193" s="2203"/>
      <c r="N193" s="2204"/>
      <c r="O193" s="2200" t="s">
        <v>513</v>
      </c>
      <c r="P193" s="2201">
        <f t="array" ref="P193">IFERROR(VLOOKUP(O180,Dex!$B$3:$N252,8,FALSE),"")</f>
        <v>95</v>
      </c>
      <c r="Q193" s="2202" t="str">
        <f t="array" ref="Q193">IFERROR(VLOOKUP(P193,Dex!$P$22:$Q$276,2,FALSE),"")</f>
        <v/>
      </c>
      <c r="R193" s="2203"/>
      <c r="S193" s="2204"/>
      <c r="T193" s="2200" t="s">
        <v>513</v>
      </c>
      <c r="U193" s="2201">
        <f t="array" ref="U193">IFERROR(VLOOKUP(T180,Dex!$B$3:$N252,8,FALSE),"")</f>
        <v>125</v>
      </c>
      <c r="V193" s="2202" t="str">
        <f t="array" ref="V193">IFERROR(VLOOKUP(U193,Dex!$P$22:$Q$276,2,FALSE),"")</f>
        <v/>
      </c>
      <c r="W193" s="2203"/>
      <c r="X193" s="2204"/>
      <c r="Y193" s="2200" t="s">
        <v>513</v>
      </c>
      <c r="Z193" s="2201">
        <f t="array" ref="Z193">IFERROR(VLOOKUP(Y180,Dex!$B$3:$N252,8,FALSE),"")</f>
        <v>90</v>
      </c>
      <c r="AA193" s="2202" t="str">
        <f t="array" ref="AA193">IFERROR(VLOOKUP(Z193,Dex!$P$22:$Q$276,2,FALSE),"")</f>
        <v/>
      </c>
      <c r="AB193" s="2203"/>
      <c r="AC193" s="2204"/>
      <c r="AD193" s="2200" t="s">
        <v>513</v>
      </c>
      <c r="AE193" s="2201">
        <f t="array" ref="AE193">IFERROR(VLOOKUP(AD180,Dex!$B$3:$N252,8,FALSE),"")</f>
        <v>80</v>
      </c>
      <c r="AF193" s="2202" t="str">
        <f t="array" ref="AF193">IFERROR(VLOOKUP(AE193,Dex!$P$22:$Q$276,2,FALSE),"")</f>
        <v/>
      </c>
      <c r="AG193" s="2203"/>
      <c r="AH193" s="2205"/>
      <c r="AI193" s="1692"/>
    </row>
    <row r="194" ht="16.5" customHeight="1">
      <c r="A194" s="1626"/>
      <c r="B194" s="2196"/>
      <c r="C194" s="2188"/>
      <c r="D194" s="2197"/>
      <c r="E194" s="2206" t="s">
        <v>514</v>
      </c>
      <c r="F194" s="2207">
        <f t="array" ref="F194">IFERROR(VLOOKUP(E180,Dex!$B$3:$N252,9,FALSE),"")</f>
        <v>110</v>
      </c>
      <c r="G194" s="2208" t="str">
        <f t="array" ref="G194">IFERROR(VLOOKUP(F194,Dex!$P$22:$Q$276,2,FALSE),"")</f>
        <v/>
      </c>
      <c r="H194" s="2209"/>
      <c r="I194" s="2204"/>
      <c r="J194" s="2206" t="s">
        <v>514</v>
      </c>
      <c r="K194" s="2207">
        <f t="array" ref="K194">IFERROR(VLOOKUP(J180,Dex!$B$3:$N252,9,FALSE),"")</f>
        <v>65</v>
      </c>
      <c r="L194" s="2208" t="str">
        <f t="array" ref="L194">IFERROR(VLOOKUP(K194,Dex!$P$22:$Q$276,2,FALSE),"")</f>
        <v/>
      </c>
      <c r="M194" s="2209"/>
      <c r="N194" s="2204"/>
      <c r="O194" s="2206" t="s">
        <v>514</v>
      </c>
      <c r="P194" s="2207">
        <f t="array" ref="P194">IFERROR(VLOOKUP(O180,Dex!$B$3:$N252,9,FALSE),"")</f>
        <v>70</v>
      </c>
      <c r="Q194" s="2208" t="str">
        <f t="array" ref="Q194">IFERROR(VLOOKUP(P194,Dex!$P$22:$Q$276,2,FALSE),"")</f>
        <v/>
      </c>
      <c r="R194" s="2209"/>
      <c r="S194" s="2204"/>
      <c r="T194" s="2206" t="s">
        <v>514</v>
      </c>
      <c r="U194" s="2207">
        <f t="array" ref="U194">IFERROR(VLOOKUP(T180,Dex!$B$3:$N252,9,FALSE),"")</f>
        <v>170</v>
      </c>
      <c r="V194" s="2208" t="str">
        <f t="array" ref="V194">IFERROR(VLOOKUP(U194,Dex!$P$22:$Q$276,2,FALSE),"")</f>
        <v/>
      </c>
      <c r="W194" s="2209"/>
      <c r="X194" s="2204"/>
      <c r="Y194" s="2206" t="s">
        <v>514</v>
      </c>
      <c r="Z194" s="2207">
        <f t="array" ref="Z194">IFERROR(VLOOKUP(Y180,Dex!$B$3:$N252,9,FALSE),"")</f>
        <v>90</v>
      </c>
      <c r="AA194" s="2208" t="str">
        <f t="array" ref="AA194">IFERROR(VLOOKUP(Z194,Dex!$P$22:$Q$276,2,FALSE),"")</f>
        <v/>
      </c>
      <c r="AB194" s="2209"/>
      <c r="AC194" s="2204"/>
      <c r="AD194" s="2206" t="s">
        <v>514</v>
      </c>
      <c r="AE194" s="2207">
        <f t="array" ref="AE194">IFERROR(VLOOKUP(AD180,Dex!$B$3:$N252,9,FALSE),"")</f>
        <v>135</v>
      </c>
      <c r="AF194" s="2208" t="str">
        <f t="array" ref="AF194">IFERROR(VLOOKUP(AE194,Dex!$P$22:$Q$276,2,FALSE),"")</f>
        <v/>
      </c>
      <c r="AG194" s="2209"/>
      <c r="AH194" s="2205"/>
      <c r="AI194" s="1692"/>
    </row>
    <row r="195" ht="16.5" customHeight="1">
      <c r="A195" s="1626"/>
      <c r="B195" s="2196"/>
      <c r="C195" s="2188"/>
      <c r="D195" s="2197"/>
      <c r="E195" s="2206" t="s">
        <v>515</v>
      </c>
      <c r="F195" s="2207">
        <f t="array" ref="F195">IFERROR(VLOOKUP(E180,Dex!$B$3:$N252,10,FALSE),"")</f>
        <v>120</v>
      </c>
      <c r="G195" s="2208" t="str">
        <f t="array" ref="G195">IFERROR(VLOOKUP(F195,Dex!$P$22:$Q$276,2,FALSE),"")</f>
        <v/>
      </c>
      <c r="H195" s="2209"/>
      <c r="I195" s="2204"/>
      <c r="J195" s="2206" t="s">
        <v>515</v>
      </c>
      <c r="K195" s="2207">
        <f t="array" ref="K195">IFERROR(VLOOKUP(J180,Dex!$B$3:$N252,10,FALSE),"")</f>
        <v>75</v>
      </c>
      <c r="L195" s="2208" t="str">
        <f t="array" ref="L195">IFERROR(VLOOKUP(K195,Dex!$P$22:$Q$276,2,FALSE),"")</f>
        <v/>
      </c>
      <c r="M195" s="2209"/>
      <c r="N195" s="2204"/>
      <c r="O195" s="2206" t="s">
        <v>515</v>
      </c>
      <c r="P195" s="2207">
        <f t="array" ref="P195">IFERROR(VLOOKUP(O180,Dex!$B$3:$N252,10,FALSE),"")</f>
        <v>73</v>
      </c>
      <c r="Q195" s="2208" t="str">
        <f t="array" ref="Q195">IFERROR(VLOOKUP(P195,Dex!$P$22:$Q$276,2,FALSE),"")</f>
        <v/>
      </c>
      <c r="R195" s="2209"/>
      <c r="S195" s="2204"/>
      <c r="T195" s="2206" t="s">
        <v>515</v>
      </c>
      <c r="U195" s="2207">
        <f t="array" ref="U195">IFERROR(VLOOKUP(T180,Dex!$B$3:$N252,10,FALSE),"")</f>
        <v>100</v>
      </c>
      <c r="V195" s="2208" t="str">
        <f t="array" ref="V195">IFERROR(VLOOKUP(U195,Dex!$P$22:$Q$276,2,FALSE),"")</f>
        <v/>
      </c>
      <c r="W195" s="2209"/>
      <c r="X195" s="2204"/>
      <c r="Y195" s="2206" t="s">
        <v>515</v>
      </c>
      <c r="Z195" s="2207">
        <f t="array" ref="Z195">IFERROR(VLOOKUP(Y180,Dex!$B$3:$N252,10,FALSE),"")</f>
        <v>100</v>
      </c>
      <c r="AA195" s="2208" t="str">
        <f t="array" ref="AA195">IFERROR(VLOOKUP(Z195,Dex!$P$22:$Q$276,2,FALSE),"")</f>
        <v/>
      </c>
      <c r="AB195" s="2209"/>
      <c r="AC195" s="2204"/>
      <c r="AD195" s="2206" t="s">
        <v>515</v>
      </c>
      <c r="AE195" s="2207">
        <f t="array" ref="AE195">IFERROR(VLOOKUP(AD180,Dex!$B$3:$N252,10,FALSE),"")</f>
        <v>80</v>
      </c>
      <c r="AF195" s="2208" t="str">
        <f t="array" ref="AF195">IFERROR(VLOOKUP(AE195,Dex!$P$22:$Q$276,2,FALSE),"")</f>
        <v/>
      </c>
      <c r="AG195" s="2209"/>
      <c r="AH195" s="2205"/>
      <c r="AI195" s="1692"/>
    </row>
    <row r="196" ht="16.5" customHeight="1">
      <c r="A196" s="1626"/>
      <c r="B196" s="2196"/>
      <c r="C196" s="2188"/>
      <c r="D196" s="2197"/>
      <c r="E196" s="2206" t="s">
        <v>516</v>
      </c>
      <c r="F196" s="2207">
        <f t="array" ref="F196">IFERROR(VLOOKUP(E180,Dex!$B$3:$N252,11,FALSE),"")</f>
        <v>25</v>
      </c>
      <c r="G196" s="2208" t="str">
        <f t="array" ref="G196">IFERROR(VLOOKUP(F196,Dex!$P$22:$Q$276,2,FALSE),"")</f>
        <v/>
      </c>
      <c r="H196" s="2209"/>
      <c r="I196" s="2204"/>
      <c r="J196" s="2206" t="s">
        <v>516</v>
      </c>
      <c r="K196" s="2207">
        <f t="array" ref="K196">IFERROR(VLOOKUP(J180,Dex!$B$3:$N252,11,FALSE),"")</f>
        <v>125</v>
      </c>
      <c r="L196" s="2208" t="str">
        <f t="array" ref="L196">IFERROR(VLOOKUP(K196,Dex!$P$22:$Q$276,2,FALSE),"")</f>
        <v/>
      </c>
      <c r="M196" s="2209"/>
      <c r="N196" s="2204"/>
      <c r="O196" s="2206" t="s">
        <v>516</v>
      </c>
      <c r="P196" s="2207">
        <f t="array" ref="P196">IFERROR(VLOOKUP(O180,Dex!$B$3:$N252,11,FALSE),"")</f>
        <v>95</v>
      </c>
      <c r="Q196" s="2208" t="str">
        <f t="array" ref="Q196">IFERROR(VLOOKUP(P196,Dex!$P$22:$Q$276,2,FALSE),"")</f>
        <v/>
      </c>
      <c r="R196" s="2209"/>
      <c r="S196" s="2204"/>
      <c r="T196" s="2206" t="s">
        <v>516</v>
      </c>
      <c r="U196" s="2207">
        <f t="array" ref="U196">IFERROR(VLOOKUP(T180,Dex!$B$3:$N252,11,FALSE),"")</f>
        <v>120</v>
      </c>
      <c r="V196" s="2208" t="str">
        <f t="array" ref="V196">IFERROR(VLOOKUP(U196,Dex!$P$22:$Q$276,2,FALSE),"")</f>
        <v/>
      </c>
      <c r="W196" s="2209"/>
      <c r="X196" s="2204"/>
      <c r="Y196" s="2206" t="s">
        <v>516</v>
      </c>
      <c r="Z196" s="2207">
        <f t="array" ref="Z196">IFERROR(VLOOKUP(Y180,Dex!$B$3:$N252,11,FALSE),"")</f>
        <v>55</v>
      </c>
      <c r="AA196" s="2208" t="str">
        <f t="array" ref="AA196">IFERROR(VLOOKUP(Z196,Dex!$P$22:$Q$276,2,FALSE),"")</f>
        <v/>
      </c>
      <c r="AB196" s="2209"/>
      <c r="AC196" s="2204"/>
      <c r="AD196" s="2206" t="s">
        <v>516</v>
      </c>
      <c r="AE196" s="2207">
        <f t="array" ref="AE196">IFERROR(VLOOKUP(AD180,Dex!$B$3:$N252,11,FALSE),"")</f>
        <v>105</v>
      </c>
      <c r="AF196" s="2208" t="str">
        <f t="array" ref="AF196">IFERROR(VLOOKUP(AE196,Dex!$P$22:$Q$276,2,FALSE),"")</f>
        <v/>
      </c>
      <c r="AG196" s="2209"/>
      <c r="AH196" s="2205"/>
      <c r="AI196" s="1692"/>
    </row>
    <row r="197" ht="16.5" customHeight="1">
      <c r="A197" s="1626"/>
      <c r="B197" s="2196"/>
      <c r="C197" s="2188"/>
      <c r="D197" s="2197"/>
      <c r="E197" s="2206" t="s">
        <v>517</v>
      </c>
      <c r="F197" s="2207">
        <f t="array" ref="F197">IFERROR(VLOOKUP(E180,Dex!$B$3:$N252,12,FALSE),"")</f>
        <v>65</v>
      </c>
      <c r="G197" s="2208" t="str">
        <f t="array" ref="G197">IFERROR(VLOOKUP(F197,Dex!$P$22:$Q$276,2,FALSE),"")</f>
        <v/>
      </c>
      <c r="H197" s="2209"/>
      <c r="I197" s="2204"/>
      <c r="J197" s="2206" t="s">
        <v>517</v>
      </c>
      <c r="K197" s="2207">
        <f t="array" ref="K197">IFERROR(VLOOKUP(J180,Dex!$B$3:$N252,12,FALSE),"")</f>
        <v>85</v>
      </c>
      <c r="L197" s="2208" t="str">
        <f t="array" ref="L197">IFERROR(VLOOKUP(K197,Dex!$P$22:$Q$276,2,FALSE),"")</f>
        <v/>
      </c>
      <c r="M197" s="2209"/>
      <c r="N197" s="2204"/>
      <c r="O197" s="2206" t="s">
        <v>517</v>
      </c>
      <c r="P197" s="2207">
        <f t="array" ref="P197">IFERROR(VLOOKUP(O180,Dex!$B$3:$N252,12,FALSE),"")</f>
        <v>90</v>
      </c>
      <c r="Q197" s="2208" t="str">
        <f t="array" ref="Q197">IFERROR(VLOOKUP(P197,Dex!$P$22:$Q$276,2,FALSE),"")</f>
        <v/>
      </c>
      <c r="R197" s="2209"/>
      <c r="S197" s="2204"/>
      <c r="T197" s="2206" t="s">
        <v>517</v>
      </c>
      <c r="U197" s="2207">
        <f t="array" ref="U197">IFERROR(VLOOKUP(T180,Dex!$B$3:$N252,12,FALSE),"")</f>
        <v>90</v>
      </c>
      <c r="V197" s="2208" t="str">
        <f t="array" ref="V197">IFERROR(VLOOKUP(U197,Dex!$P$22:$Q$276,2,FALSE),"")</f>
        <v/>
      </c>
      <c r="W197" s="2209"/>
      <c r="X197" s="2204"/>
      <c r="Y197" s="2206" t="s">
        <v>517</v>
      </c>
      <c r="Z197" s="2207">
        <f t="array" ref="Z197">IFERROR(VLOOKUP(Y180,Dex!$B$3:$N252,12,FALSE),"")</f>
        <v>90</v>
      </c>
      <c r="AA197" s="2208" t="str">
        <f t="array" ref="AA197">IFERROR(VLOOKUP(Z197,Dex!$P$22:$Q$276,2,FALSE),"")</f>
        <v/>
      </c>
      <c r="AB197" s="2209"/>
      <c r="AC197" s="2204"/>
      <c r="AD197" s="2206" t="s">
        <v>517</v>
      </c>
      <c r="AE197" s="2207">
        <f t="array" ref="AE197">IFERROR(VLOOKUP(AD180,Dex!$B$3:$N252,12,FALSE),"")</f>
        <v>80</v>
      </c>
      <c r="AF197" s="2208" t="str">
        <f t="array" ref="AF197">IFERROR(VLOOKUP(AE197,Dex!$P$22:$Q$276,2,FALSE),"")</f>
        <v/>
      </c>
      <c r="AG197" s="2209"/>
      <c r="AH197" s="2205"/>
      <c r="AI197" s="1692"/>
    </row>
    <row r="198" ht="15.75" customHeight="1">
      <c r="A198" s="1626"/>
      <c r="B198" s="2196"/>
      <c r="C198" s="1426" t="s">
        <v>745</v>
      </c>
      <c r="D198" s="2197"/>
      <c r="E198" s="2210" t="s">
        <v>518</v>
      </c>
      <c r="F198" s="2211">
        <f t="array" ref="F198">IFERROR(VLOOKUP(E180,Dex!$B$3:$N252,13,FALSE),"")</f>
        <v>65</v>
      </c>
      <c r="G198" s="2212" t="str">
        <f t="array" ref="G198">IFERROR(VLOOKUP(F198,Dex!$P$22:$Q$276,2,FALSE),"")</f>
        <v/>
      </c>
      <c r="H198" s="2213"/>
      <c r="I198" s="2204"/>
      <c r="J198" s="2210" t="s">
        <v>518</v>
      </c>
      <c r="K198" s="2211">
        <f t="array" ref="K198">IFERROR(VLOOKUP(J180,Dex!$B$3:$N252,13,FALSE),"")</f>
        <v>30</v>
      </c>
      <c r="L198" s="2212" t="str">
        <f t="array" ref="L198">IFERROR(VLOOKUP(K198,Dex!$P$22:$Q$276,2,FALSE),"")</f>
        <v/>
      </c>
      <c r="M198" s="2213"/>
      <c r="N198" s="2204"/>
      <c r="O198" s="2210" t="s">
        <v>518</v>
      </c>
      <c r="P198" s="2211">
        <f t="array" ref="P198">IFERROR(VLOOKUP(O180,Dex!$B$3:$N252,13,FALSE),"")</f>
        <v>60</v>
      </c>
      <c r="Q198" s="2212" t="str">
        <f t="array" ref="Q198">IFERROR(VLOOKUP(P198,Dex!$P$22:$Q$276,2,FALSE),"")</f>
        <v/>
      </c>
      <c r="R198" s="2213"/>
      <c r="S198" s="2204"/>
      <c r="T198" s="2210" t="s">
        <v>518</v>
      </c>
      <c r="U198" s="2211">
        <f t="array" ref="U198">IFERROR(VLOOKUP(T180,Dex!$B$3:$N252,13,FALSE),"")</f>
        <v>95</v>
      </c>
      <c r="V198" s="2212" t="str">
        <f t="array" ref="V198">IFERROR(VLOOKUP(U198,Dex!$P$22:$Q$276,2,FALSE),"")</f>
        <v/>
      </c>
      <c r="W198" s="2213"/>
      <c r="X198" s="2204"/>
      <c r="Y198" s="2210" t="s">
        <v>518</v>
      </c>
      <c r="Z198" s="2211">
        <f t="array" ref="Z198">IFERROR(VLOOKUP(Y180,Dex!$B$3:$N252,13,FALSE),"")</f>
        <v>80</v>
      </c>
      <c r="AA198" s="2212" t="str">
        <f t="array" ref="AA198">IFERROR(VLOOKUP(Z198,Dex!$P$22:$Q$276,2,FALSE),"")</f>
        <v/>
      </c>
      <c r="AB198" s="2213"/>
      <c r="AC198" s="2204"/>
      <c r="AD198" s="2210" t="s">
        <v>518</v>
      </c>
      <c r="AE198" s="2211">
        <f t="array" ref="AE198">IFERROR(VLOOKUP(AD180,Dex!$B$3:$N252,13,FALSE),"")</f>
        <v>100</v>
      </c>
      <c r="AF198" s="2212" t="str">
        <f t="array" ref="AF198">IFERROR(VLOOKUP(AE198,Dex!$P$22:$Q$276,2,FALSE),"")</f>
        <v/>
      </c>
      <c r="AG198" s="2213"/>
      <c r="AH198" s="2205"/>
      <c r="AI198" s="1692"/>
    </row>
    <row r="199" ht="16.5" customHeight="1">
      <c r="A199" s="1626"/>
      <c r="B199" s="2196"/>
      <c r="C199" s="1427" t="s">
        <v>929</v>
      </c>
      <c r="D199" s="2197"/>
      <c r="E199" s="2214" t="s">
        <v>519</v>
      </c>
      <c r="F199" s="630"/>
      <c r="G199" s="631"/>
      <c r="H199" s="632">
        <f>ROUNDDOWN((ROUNDDOWN(((((2*F198+31)*73)/100+5)),0))*1,0)</f>
        <v>122</v>
      </c>
      <c r="I199" s="2197"/>
      <c r="J199" s="2214" t="s">
        <v>519</v>
      </c>
      <c r="K199" s="630"/>
      <c r="L199" s="631"/>
      <c r="M199" s="632">
        <f>ROUNDDOWN((ROUNDDOWN(((((2*K198+31)*73)/100+5)),0))*1,0)</f>
        <v>71</v>
      </c>
      <c r="N199" s="2197"/>
      <c r="O199" s="2214" t="s">
        <v>519</v>
      </c>
      <c r="P199" s="630"/>
      <c r="Q199" s="631"/>
      <c r="R199" s="632">
        <f>ROUNDDOWN((ROUNDDOWN(((((2*P198+31)*73)/100+5)),0))*1,0)</f>
        <v>115</v>
      </c>
      <c r="S199" s="2197"/>
      <c r="T199" s="2214" t="s">
        <v>519</v>
      </c>
      <c r="U199" s="630"/>
      <c r="V199" s="631"/>
      <c r="W199" s="632">
        <f>ROUNDDOWN((ROUNDDOWN(((((2*U198+31)*73)/100+5)),0))*1.1,0)</f>
        <v>182</v>
      </c>
      <c r="X199" s="2197"/>
      <c r="Y199" s="2215" t="s">
        <v>519</v>
      </c>
      <c r="Z199" s="635"/>
      <c r="AA199" s="636"/>
      <c r="AB199" s="632">
        <f>ROUNDDOWN((ROUNDDOWN(((((2*Z198+31)*73)/100+5)),0))*1,0)</f>
        <v>144</v>
      </c>
      <c r="AC199" s="2197"/>
      <c r="AD199" s="2214" t="s">
        <v>519</v>
      </c>
      <c r="AE199" s="630"/>
      <c r="AF199" s="631"/>
      <c r="AG199" s="632">
        <f>ROUNDDOWN((ROUNDDOWN(((((2*AE198+31)*73)/100+5)),0))*1.1,0)</f>
        <v>190</v>
      </c>
      <c r="AH199" s="2199"/>
      <c r="AI199" s="1692"/>
    </row>
    <row r="200" ht="15.75" customHeight="1">
      <c r="A200" s="1626"/>
      <c r="B200" s="2196"/>
      <c r="C200" s="2188"/>
      <c r="D200" s="2197"/>
      <c r="E200" s="2218" t="s">
        <v>930</v>
      </c>
      <c r="F200" s="643"/>
      <c r="G200" s="644"/>
      <c r="H200" s="2117">
        <f>H199*2</f>
        <v>244</v>
      </c>
      <c r="I200" s="2197"/>
      <c r="J200" s="2217"/>
      <c r="K200" s="2217"/>
      <c r="L200" s="2217"/>
      <c r="M200" s="2216"/>
      <c r="N200" s="2197"/>
      <c r="O200" s="2217"/>
      <c r="P200" s="2217"/>
      <c r="Q200" s="2217"/>
      <c r="R200" s="2216"/>
      <c r="S200" s="2197"/>
      <c r="T200" s="2217"/>
      <c r="U200" s="2217"/>
      <c r="V200" s="2217"/>
      <c r="W200" s="2216"/>
      <c r="X200" s="2197"/>
      <c r="Y200" s="2218" t="s">
        <v>930</v>
      </c>
      <c r="Z200" s="643"/>
      <c r="AA200" s="644"/>
      <c r="AB200" s="2117">
        <f>AB199*2</f>
        <v>288</v>
      </c>
      <c r="AC200" s="2197"/>
      <c r="AD200" s="2217"/>
      <c r="AE200" s="2217"/>
      <c r="AF200" s="2217"/>
      <c r="AG200" s="2216"/>
      <c r="AH200" s="2199"/>
      <c r="AI200" s="1692"/>
    </row>
    <row r="201" ht="11.25" customHeight="1">
      <c r="A201" s="1626"/>
      <c r="B201" s="2125"/>
      <c r="C201" s="2126"/>
      <c r="D201" s="2127"/>
      <c r="E201" s="2127"/>
      <c r="F201" s="2127"/>
      <c r="G201" s="2127"/>
      <c r="H201" s="2127"/>
      <c r="I201" s="2127"/>
      <c r="J201" s="2127"/>
      <c r="K201" s="2127"/>
      <c r="L201" s="2127"/>
      <c r="M201" s="2127"/>
      <c r="N201" s="2127"/>
      <c r="O201" s="2127"/>
      <c r="P201" s="2127"/>
      <c r="Q201" s="2127"/>
      <c r="R201" s="2127"/>
      <c r="S201" s="2127"/>
      <c r="T201" s="2127"/>
      <c r="U201" s="2127"/>
      <c r="V201" s="2127"/>
      <c r="W201" s="2127"/>
      <c r="X201" s="2127"/>
      <c r="Y201" s="2127"/>
      <c r="Z201" s="2127"/>
      <c r="AA201" s="2127"/>
      <c r="AB201" s="2127"/>
      <c r="AC201" s="2127"/>
      <c r="AD201" s="2127"/>
      <c r="AE201" s="2127"/>
      <c r="AF201" s="2127"/>
      <c r="AG201" s="2127"/>
      <c r="AH201" s="2128"/>
      <c r="AI201" s="1614"/>
    </row>
    <row r="202">
      <c r="A202" s="1626"/>
      <c r="B202" s="2129"/>
      <c r="C202" s="2130"/>
      <c r="D202" s="2131"/>
      <c r="E202" s="1731" t="s">
        <v>940</v>
      </c>
      <c r="F202" s="1732"/>
      <c r="G202" s="1732"/>
      <c r="H202" s="1732"/>
      <c r="I202" s="1732"/>
      <c r="J202" s="1732"/>
      <c r="K202" s="1732"/>
      <c r="L202" s="1732"/>
      <c r="M202" s="1732"/>
      <c r="N202" s="1732"/>
      <c r="O202" s="1732"/>
      <c r="P202" s="1732"/>
      <c r="Q202" s="1732"/>
      <c r="R202" s="1732"/>
      <c r="S202" s="1732"/>
      <c r="T202" s="1732"/>
      <c r="U202" s="1732"/>
      <c r="V202" s="1732"/>
      <c r="W202" s="1732"/>
      <c r="X202" s="1732"/>
      <c r="Y202" s="1732"/>
      <c r="Z202" s="1732"/>
      <c r="AA202" s="1732"/>
      <c r="AB202" s="1732"/>
      <c r="AC202" s="1732"/>
      <c r="AD202" s="1732"/>
      <c r="AE202" s="1732"/>
      <c r="AF202" s="1732"/>
      <c r="AG202" s="1733"/>
      <c r="AH202" s="2132"/>
      <c r="AI202" s="1614"/>
    </row>
    <row r="203" ht="3.75" customHeight="1">
      <c r="A203" s="1626"/>
      <c r="B203" s="2129"/>
      <c r="C203" s="2130"/>
      <c r="D203" s="2131"/>
      <c r="E203" s="2133"/>
      <c r="F203" s="2133"/>
      <c r="G203" s="2133"/>
      <c r="H203" s="2133"/>
      <c r="I203" s="2133"/>
      <c r="J203" s="2133"/>
      <c r="K203" s="2133"/>
      <c r="L203" s="2133"/>
      <c r="M203" s="2133"/>
      <c r="N203" s="2133"/>
      <c r="O203" s="2133"/>
      <c r="P203" s="2133"/>
      <c r="Q203" s="2133"/>
      <c r="R203" s="2133"/>
      <c r="S203" s="2133"/>
      <c r="T203" s="2133"/>
      <c r="U203" s="2133"/>
      <c r="V203" s="2133"/>
      <c r="W203" s="2133"/>
      <c r="X203" s="2133"/>
      <c r="Y203" s="2133"/>
      <c r="Z203" s="2133"/>
      <c r="AA203" s="2133"/>
      <c r="AB203" s="2133"/>
      <c r="AC203" s="2133"/>
      <c r="AD203" s="2133"/>
      <c r="AE203" s="2133"/>
      <c r="AF203" s="2133"/>
      <c r="AG203" s="2133"/>
      <c r="AH203" s="2132"/>
      <c r="AI203" s="1614"/>
    </row>
    <row r="204" ht="16.5" customHeight="1">
      <c r="A204" s="1626"/>
      <c r="B204" s="2129"/>
      <c r="C204" s="2134"/>
      <c r="D204" s="2135"/>
      <c r="E204" s="2136" t="s">
        <v>941</v>
      </c>
      <c r="F204" s="2137"/>
      <c r="G204" s="2137"/>
      <c r="H204" s="2137"/>
      <c r="I204" s="2137"/>
      <c r="J204" s="2137"/>
      <c r="K204" s="2137"/>
      <c r="L204" s="2137"/>
      <c r="M204" s="2137"/>
      <c r="N204" s="2137"/>
      <c r="O204" s="2137"/>
      <c r="P204" s="2137"/>
      <c r="Q204" s="2137"/>
      <c r="R204" s="2137"/>
      <c r="S204" s="2137"/>
      <c r="T204" s="2137"/>
      <c r="U204" s="2137"/>
      <c r="V204" s="2137"/>
      <c r="W204" s="2137"/>
      <c r="X204" s="2137"/>
      <c r="Y204" s="2137"/>
      <c r="Z204" s="2137"/>
      <c r="AA204" s="2137"/>
      <c r="AB204" s="2137"/>
      <c r="AC204" s="2137"/>
      <c r="AD204" s="2137"/>
      <c r="AE204" s="2137"/>
      <c r="AF204" s="2137"/>
      <c r="AG204" s="2138"/>
      <c r="AH204" s="2132"/>
      <c r="AI204" s="1614"/>
    </row>
    <row r="205" ht="96.75" customHeight="1">
      <c r="A205" s="1626"/>
      <c r="B205" s="2139"/>
      <c r="C205" s="2140" t="str">
        <f>IMAGE("https://i.ibb.co/rkZGjMV/Pryce.png")</f>
        <v/>
      </c>
      <c r="D205" s="2141"/>
      <c r="E205" s="2142" t="str">
        <f t="array" ref="E205">IFERROR(VLOOKUP(E206,Dex!$B$3:$G252,3,FALSE),"")</f>
        <v/>
      </c>
      <c r="F205" s="539"/>
      <c r="G205" s="539"/>
      <c r="H205" s="540"/>
      <c r="I205" s="2141"/>
      <c r="J205" s="2142" t="str">
        <f t="array" ref="J205">IFERROR(VLOOKUP(J206,Dex!$B$3:$G252,3,FALSE),"")</f>
        <v/>
      </c>
      <c r="K205" s="539"/>
      <c r="L205" s="539"/>
      <c r="M205" s="540"/>
      <c r="N205" s="2141"/>
      <c r="O205" s="2142" t="str">
        <f t="array" ref="O205">IFERROR(VLOOKUP(O206,Dex!$B$3:$G252,3,FALSE),"")</f>
        <v/>
      </c>
      <c r="P205" s="539"/>
      <c r="Q205" s="539"/>
      <c r="R205" s="540"/>
      <c r="S205" s="2141"/>
      <c r="T205" s="2142" t="str">
        <f t="array" ref="T205">IFERROR(VLOOKUP(T206,Dex!$B$3:$G252,3,FALSE),"")</f>
        <v/>
      </c>
      <c r="U205" s="539"/>
      <c r="V205" s="539"/>
      <c r="W205" s="540"/>
      <c r="X205" s="2141"/>
      <c r="Y205" s="2142" t="str">
        <f t="array" ref="Y205">IFERROR(VLOOKUP(Y206,Dex!$B$3:$G252,3,FALSE),"")</f>
        <v/>
      </c>
      <c r="Z205" s="539"/>
      <c r="AA205" s="539"/>
      <c r="AB205" s="540"/>
      <c r="AC205" s="2141"/>
      <c r="AD205" s="2142" t="str">
        <f t="array" ref="AD205">IFERROR(VLOOKUP(AD206,Dex!$B$3:$G252,3,FALSE),"")</f>
        <v/>
      </c>
      <c r="AE205" s="539"/>
      <c r="AF205" s="539"/>
      <c r="AG205" s="540"/>
      <c r="AH205" s="2143"/>
      <c r="AI205" s="1614"/>
    </row>
    <row r="206" ht="18.75" customHeight="1">
      <c r="A206" s="1626"/>
      <c r="B206" s="2144"/>
      <c r="C206" s="2145" t="s">
        <v>942</v>
      </c>
      <c r="D206" s="2146"/>
      <c r="E206" s="2147" t="s">
        <v>911</v>
      </c>
      <c r="F206" s="2148"/>
      <c r="G206" s="2148"/>
      <c r="H206" s="2149"/>
      <c r="I206" s="2150"/>
      <c r="J206" s="2147" t="s">
        <v>912</v>
      </c>
      <c r="K206" s="2148"/>
      <c r="L206" s="2148"/>
      <c r="M206" s="2149"/>
      <c r="N206" s="2150"/>
      <c r="O206" s="2147" t="s">
        <v>913</v>
      </c>
      <c r="P206" s="2148"/>
      <c r="Q206" s="2148"/>
      <c r="R206" s="2149"/>
      <c r="S206" s="2150"/>
      <c r="T206" s="2147" t="s">
        <v>914</v>
      </c>
      <c r="U206" s="2148"/>
      <c r="V206" s="2148"/>
      <c r="W206" s="2149"/>
      <c r="X206" s="2150"/>
      <c r="Y206" s="2147" t="s">
        <v>915</v>
      </c>
      <c r="Z206" s="2148"/>
      <c r="AA206" s="2148"/>
      <c r="AB206" s="2149"/>
      <c r="AC206" s="2150"/>
      <c r="AD206" s="2147" t="s">
        <v>916</v>
      </c>
      <c r="AE206" s="2148"/>
      <c r="AF206" s="2148"/>
      <c r="AG206" s="2149"/>
      <c r="AH206" s="2151"/>
      <c r="AI206" s="1636"/>
    </row>
    <row r="207">
      <c r="A207" s="1653"/>
      <c r="B207" s="2152"/>
      <c r="C207" s="1638"/>
      <c r="D207" s="2153"/>
      <c r="E207" s="2154" t="s">
        <v>729</v>
      </c>
      <c r="F207" s="2155"/>
      <c r="G207" s="2155"/>
      <c r="H207" s="2156"/>
      <c r="I207" s="2157"/>
      <c r="J207" s="2154" t="s">
        <v>729</v>
      </c>
      <c r="K207" s="2155"/>
      <c r="L207" s="2155"/>
      <c r="M207" s="2156"/>
      <c r="N207" s="2157"/>
      <c r="O207" s="2154" t="s">
        <v>729</v>
      </c>
      <c r="P207" s="2155"/>
      <c r="Q207" s="2155"/>
      <c r="R207" s="2156"/>
      <c r="S207" s="2157"/>
      <c r="T207" s="2154" t="s">
        <v>729</v>
      </c>
      <c r="U207" s="2155"/>
      <c r="V207" s="2155"/>
      <c r="W207" s="2156"/>
      <c r="X207" s="2157"/>
      <c r="Y207" s="2154" t="s">
        <v>729</v>
      </c>
      <c r="Z207" s="2155"/>
      <c r="AA207" s="2155"/>
      <c r="AB207" s="2156"/>
      <c r="AC207" s="2157"/>
      <c r="AD207" s="2154" t="s">
        <v>729</v>
      </c>
      <c r="AE207" s="2155"/>
      <c r="AF207" s="2155"/>
      <c r="AG207" s="2156"/>
      <c r="AH207" s="2158"/>
      <c r="AI207" s="1823"/>
    </row>
    <row r="208" ht="25.5" customHeight="1">
      <c r="A208" s="1626"/>
      <c r="B208" s="2129"/>
      <c r="C208" s="1646"/>
      <c r="D208" s="2159"/>
      <c r="E208" s="2160"/>
      <c r="F208" s="2161" t="str">
        <f t="array" ref="F208">IFERROR(VLOOKUP(E206,Dex!$B$3:$H252,5,FALSE),"")</f>
        <v/>
      </c>
      <c r="G208" s="2162" t="str">
        <f t="array" ref="G208">IFERROR(VLOOKUP(E206,Dex!$B$3:$H252,7,FALSE),"")</f>
        <v/>
      </c>
      <c r="H208" s="2163"/>
      <c r="I208" s="2164"/>
      <c r="J208" s="2160"/>
      <c r="K208" s="2161" t="str">
        <f t="array" ref="K208">IFERROR(VLOOKUP(J206,Dex!$B$3:$H252,5,FALSE),"")</f>
        <v/>
      </c>
      <c r="L208" s="2162" t="str">
        <f t="array" ref="L208">IFERROR(VLOOKUP(J206,Dex!$B$3:$H252,7,FALSE),"")</f>
        <v/>
      </c>
      <c r="M208" s="2163"/>
      <c r="N208" s="2164"/>
      <c r="O208" s="2160"/>
      <c r="P208" s="2165" t="str">
        <f t="array" ref="P208">IFERROR(VLOOKUP(O206,Dex!$B$3:$H252,5,FALSE),"")</f>
        <v/>
      </c>
      <c r="Q208" s="2166"/>
      <c r="R208" s="2163"/>
      <c r="S208" s="2164"/>
      <c r="T208" s="2160"/>
      <c r="U208" s="2161" t="str">
        <f t="array" ref="U208">IFERROR(VLOOKUP(T206,Dex!$B$3:$H252,5,FALSE),"")</f>
        <v/>
      </c>
      <c r="V208" s="2162" t="str">
        <f t="array" ref="V208">IFERROR(VLOOKUP(T206,Dex!$B$3:$H252,7,FALSE),"")</f>
        <v/>
      </c>
      <c r="W208" s="2163"/>
      <c r="X208" s="2164"/>
      <c r="Y208" s="2160"/>
      <c r="Z208" s="2161" t="str">
        <f t="array" ref="Z208">IFERROR(VLOOKUP(Y206,Dex!$B$3:$H252,5,FALSE),"")</f>
        <v/>
      </c>
      <c r="AA208" s="2162" t="str">
        <f t="array" ref="AA208">IFERROR(VLOOKUP(Y206,Dex!$B$3:$H252,7,FALSE),"")</f>
        <v/>
      </c>
      <c r="AB208" s="2163"/>
      <c r="AC208" s="2164"/>
      <c r="AD208" s="2160"/>
      <c r="AE208" s="2165" t="str">
        <f t="array" ref="AE208">IFERROR(VLOOKUP(AD206,Dex!$B$3:$H252,5,FALSE),"")</f>
        <v/>
      </c>
      <c r="AF208" s="2166"/>
      <c r="AG208" s="2163"/>
      <c r="AH208" s="2143"/>
      <c r="AI208" s="1614"/>
    </row>
    <row r="209" ht="2.25" customHeight="1">
      <c r="A209" s="1626"/>
      <c r="B209" s="2129"/>
      <c r="C209" s="2167"/>
      <c r="D209" s="2168"/>
      <c r="E209" s="2169"/>
      <c r="F209" s="2170"/>
      <c r="G209" s="2170"/>
      <c r="H209" s="2171"/>
      <c r="I209" s="2164"/>
      <c r="J209" s="2169"/>
      <c r="K209" s="2170"/>
      <c r="L209" s="2170"/>
      <c r="M209" s="2171"/>
      <c r="N209" s="2164"/>
      <c r="O209" s="2169"/>
      <c r="P209" s="2170"/>
      <c r="Q209" s="2170"/>
      <c r="R209" s="2171"/>
      <c r="S209" s="2164"/>
      <c r="T209" s="2169"/>
      <c r="U209" s="2170"/>
      <c r="V209" s="2170"/>
      <c r="W209" s="2171"/>
      <c r="X209" s="2164"/>
      <c r="Y209" s="2169"/>
      <c r="Z209" s="2170"/>
      <c r="AA209" s="2170"/>
      <c r="AB209" s="2171"/>
      <c r="AC209" s="2164"/>
      <c r="AD209" s="2169"/>
      <c r="AE209" s="2170"/>
      <c r="AF209" s="2170"/>
      <c r="AG209" s="2171"/>
      <c r="AH209" s="2143"/>
      <c r="AI209" s="1614"/>
    </row>
    <row r="210" ht="20.25" customHeight="1">
      <c r="A210" s="1626"/>
      <c r="B210" s="2129"/>
      <c r="C210" s="2130"/>
      <c r="D210" s="2168"/>
      <c r="E210" s="2172" t="s">
        <v>564</v>
      </c>
      <c r="F210" s="2173"/>
      <c r="G210" s="2173"/>
      <c r="H210" s="2174"/>
      <c r="I210" s="2175"/>
      <c r="J210" s="2172" t="s">
        <v>532</v>
      </c>
      <c r="K210" s="2173"/>
      <c r="L210" s="2173"/>
      <c r="M210" s="2174"/>
      <c r="N210" s="2175"/>
      <c r="O210" s="2172" t="s">
        <v>531</v>
      </c>
      <c r="P210" s="2173"/>
      <c r="Q210" s="2173"/>
      <c r="R210" s="2174"/>
      <c r="S210" s="2175"/>
      <c r="T210" s="2172" t="s">
        <v>532</v>
      </c>
      <c r="U210" s="2173"/>
      <c r="V210" s="2173"/>
      <c r="W210" s="2174"/>
      <c r="X210" s="2175"/>
      <c r="Y210" s="2172" t="s">
        <v>917</v>
      </c>
      <c r="Z210" s="2173"/>
      <c r="AA210" s="2173"/>
      <c r="AB210" s="2174"/>
      <c r="AC210" s="2175"/>
      <c r="AD210" s="2172" t="s">
        <v>532</v>
      </c>
      <c r="AE210" s="2173"/>
      <c r="AF210" s="2173"/>
      <c r="AG210" s="2174"/>
      <c r="AH210" s="2143"/>
      <c r="AI210" s="1614"/>
    </row>
    <row r="211">
      <c r="A211" s="1653"/>
      <c r="B211" s="2129"/>
      <c r="C211" s="2176"/>
      <c r="D211" s="2168"/>
      <c r="E211" s="2177" t="s">
        <v>536</v>
      </c>
      <c r="F211" s="2155"/>
      <c r="G211" s="2155"/>
      <c r="H211" s="2156"/>
      <c r="I211" s="2175"/>
      <c r="J211" s="2177" t="s">
        <v>798</v>
      </c>
      <c r="K211" s="2155"/>
      <c r="L211" s="2155"/>
      <c r="M211" s="2156"/>
      <c r="N211" s="2175"/>
      <c r="O211" s="2177" t="s">
        <v>76</v>
      </c>
      <c r="P211" s="2155"/>
      <c r="Q211" s="2155"/>
      <c r="R211" s="2156"/>
      <c r="S211" s="2175"/>
      <c r="T211" s="2177" t="s">
        <v>918</v>
      </c>
      <c r="U211" s="2155"/>
      <c r="V211" s="2155"/>
      <c r="W211" s="2156"/>
      <c r="X211" s="2175"/>
      <c r="Y211" s="2177" t="s">
        <v>107</v>
      </c>
      <c r="Z211" s="2155"/>
      <c r="AA211" s="2155"/>
      <c r="AB211" s="2156"/>
      <c r="AC211" s="2175"/>
      <c r="AD211" s="2177" t="s">
        <v>943</v>
      </c>
      <c r="AE211" s="2155"/>
      <c r="AF211" s="2155"/>
      <c r="AG211" s="2156"/>
      <c r="AH211" s="2143"/>
      <c r="AI211" s="1614"/>
    </row>
    <row r="212" ht="20.25" customHeight="1">
      <c r="A212" s="1626"/>
      <c r="B212" s="2129"/>
      <c r="C212" s="2178"/>
      <c r="D212" s="2168"/>
      <c r="E212" s="2179" t="s">
        <v>573</v>
      </c>
      <c r="F212" s="2137"/>
      <c r="G212" s="2138"/>
      <c r="H212" s="2180" t="str">
        <f>IMAGE("https://raw.githubusercontent.com/msikma/pokesprite/master/items/hold-item/focus-sash.png",3)</f>
        <v/>
      </c>
      <c r="I212" s="2164"/>
      <c r="J212" s="2179" t="s">
        <v>920</v>
      </c>
      <c r="K212" s="2137"/>
      <c r="L212" s="2138"/>
      <c r="M212" s="2180" t="str">
        <f>IMAGE("https://raw.githubusercontent.com/msikma/pokesprite/master/items/hold-item/white-herb.png",3)</f>
        <v/>
      </c>
      <c r="N212" s="2164"/>
      <c r="O212" s="2179" t="s">
        <v>541</v>
      </c>
      <c r="P212" s="2137"/>
      <c r="Q212" s="2138"/>
      <c r="R212" s="2180" t="str">
        <f>IMAGE("https://raw.githubusercontent.com/msikma/pokesprite/master/items/hold-item/life-orb.png",3)</f>
        <v/>
      </c>
      <c r="S212" s="2164"/>
      <c r="T212" s="2179" t="s">
        <v>572</v>
      </c>
      <c r="U212" s="2137"/>
      <c r="V212" s="2138"/>
      <c r="W212" s="2180" t="str">
        <f>IMAGE("https://raw.githubusercontent.com/msikma/pokesprite/master/items/z-crystals/icium-z--held.png",3)</f>
        <v/>
      </c>
      <c r="X212" s="2164"/>
      <c r="Y212" s="2179" t="s">
        <v>541</v>
      </c>
      <c r="Z212" s="2137"/>
      <c r="AA212" s="2138"/>
      <c r="AB212" s="2180" t="str">
        <f>IMAGE("https://raw.githubusercontent.com/msikma/pokesprite/master/items/hold-item/life-orb.png",3)</f>
        <v/>
      </c>
      <c r="AC212" s="2164"/>
      <c r="AD212" s="2179" t="s">
        <v>921</v>
      </c>
      <c r="AE212" s="2137"/>
      <c r="AF212" s="2138"/>
      <c r="AG212" s="2180" t="str">
        <f>IMAGE("https://raw.githubusercontent.com/msikma/pokesprite/master/items/mega-stone/glalitite.png",3)</f>
        <v/>
      </c>
      <c r="AH212" s="2143"/>
      <c r="AI212" s="1614"/>
    </row>
    <row r="213" ht="20.25" customHeight="1">
      <c r="A213" s="1626"/>
      <c r="B213" s="2129"/>
      <c r="C213" s="2181"/>
      <c r="D213" s="2168"/>
      <c r="E213" s="2172" t="s">
        <v>861</v>
      </c>
      <c r="F213" s="2173"/>
      <c r="G213" s="2173"/>
      <c r="H213" s="2182" t="str">
        <f>IMAGE("https://raw.githubusercontent.com/msikma/pokesprite/master/misc/types/gen8/normal.png",4,20,20)</f>
        <v/>
      </c>
      <c r="I213" s="2164"/>
      <c r="J213" s="2172" t="s">
        <v>273</v>
      </c>
      <c r="K213" s="2173"/>
      <c r="L213" s="2173"/>
      <c r="M213" s="2182" t="str">
        <f>IMAGE("https://raw.githubusercontent.com/msikma/pokesprite/master/misc/types/gen8/normal.png",4,20,20)</f>
        <v/>
      </c>
      <c r="N213" s="2164"/>
      <c r="O213" s="2172" t="s">
        <v>582</v>
      </c>
      <c r="P213" s="2173"/>
      <c r="Q213" s="2173"/>
      <c r="R213" s="2182" t="str">
        <f>IMAGE("https://raw.githubusercontent.com/msikma/pokesprite/master/misc/types/gen8/ice.png",4,20,20)</f>
        <v/>
      </c>
      <c r="S213" s="2164"/>
      <c r="T213" s="2172" t="s">
        <v>219</v>
      </c>
      <c r="U213" s="2173"/>
      <c r="V213" s="2173"/>
      <c r="W213" s="2182" t="str">
        <f>IMAGE("https://raw.githubusercontent.com/msikma/pokesprite/master/misc/types/gen8/dragon.png",4,20,20)</f>
        <v/>
      </c>
      <c r="X213" s="2164"/>
      <c r="Y213" s="2172" t="s">
        <v>922</v>
      </c>
      <c r="Z213" s="2173"/>
      <c r="AA213" s="2173"/>
      <c r="AB213" s="2182" t="str">
        <f>IMAGE("https://raw.githubusercontent.com/msikma/pokesprite/master/misc/types/gen8/electric.png",4,20,20)</f>
        <v/>
      </c>
      <c r="AC213" s="2164"/>
      <c r="AD213" s="2172" t="s">
        <v>777</v>
      </c>
      <c r="AE213" s="2173"/>
      <c r="AF213" s="2173"/>
      <c r="AG213" s="2182" t="str">
        <f t="shared" ref="AG213:AG214" si="14">IMAGE("https://raw.githubusercontent.com/msikma/pokesprite/master/misc/types/gen8/ice.png",4,20,20)</f>
        <v/>
      </c>
      <c r="AH213" s="2143"/>
      <c r="AI213" s="1614"/>
    </row>
    <row r="214" ht="20.25" customHeight="1">
      <c r="A214" s="2082"/>
      <c r="B214" s="2129"/>
      <c r="C214" s="2130"/>
      <c r="D214" s="2168"/>
      <c r="E214" s="2177" t="s">
        <v>923</v>
      </c>
      <c r="F214" s="2155"/>
      <c r="G214" s="2155"/>
      <c r="H214" s="2183" t="str">
        <f>IMAGE("https://raw.githubusercontent.com/msikma/pokesprite/master/misc/types/gen8/psychic.png",4,20,20)</f>
        <v/>
      </c>
      <c r="I214" s="2164"/>
      <c r="J214" s="2177" t="s">
        <v>924</v>
      </c>
      <c r="K214" s="2155"/>
      <c r="L214" s="2155"/>
      <c r="M214" s="2183" t="str">
        <f>IMAGE("https://raw.githubusercontent.com/msikma/pokesprite/master/misc/types/gen8/ice.png",4,20,20)</f>
        <v/>
      </c>
      <c r="N214" s="2164"/>
      <c r="O214" s="2177" t="s">
        <v>623</v>
      </c>
      <c r="P214" s="2155"/>
      <c r="Q214" s="2155"/>
      <c r="R214" s="2183" t="str">
        <f>IMAGE("https://raw.githubusercontent.com/msikma/pokesprite/master/misc/types/gen8/psychic.png",4,20,20)</f>
        <v/>
      </c>
      <c r="S214" s="2164"/>
      <c r="T214" s="2177" t="s">
        <v>925</v>
      </c>
      <c r="U214" s="2155"/>
      <c r="V214" s="2155"/>
      <c r="W214" s="2183" t="str">
        <f>IMAGE("https://raw.githubusercontent.com/msikma/pokesprite/master/misc/types/gen8/ice.png",4,20,20)</f>
        <v/>
      </c>
      <c r="X214" s="2164"/>
      <c r="Y214" s="2177" t="s">
        <v>925</v>
      </c>
      <c r="Z214" s="2155"/>
      <c r="AA214" s="2155"/>
      <c r="AB214" s="2183" t="str">
        <f t="shared" ref="AB214:AB215" si="15">IMAGE("https://raw.githubusercontent.com/msikma/pokesprite/master/misc/types/gen8/ice.png",4,20,20)</f>
        <v/>
      </c>
      <c r="AC214" s="2164"/>
      <c r="AD214" s="2177" t="s">
        <v>806</v>
      </c>
      <c r="AE214" s="2155"/>
      <c r="AF214" s="2155"/>
      <c r="AG214" s="2183" t="str">
        <f t="shared" si="14"/>
        <v/>
      </c>
      <c r="AH214" s="2143"/>
      <c r="AI214" s="1614"/>
    </row>
    <row r="215" ht="20.25" customHeight="1">
      <c r="A215" s="1626"/>
      <c r="B215" s="2129"/>
      <c r="C215" s="2130"/>
      <c r="D215" s="2168"/>
      <c r="E215" s="2177" t="s">
        <v>582</v>
      </c>
      <c r="F215" s="2155"/>
      <c r="G215" s="2155"/>
      <c r="H215" s="2183" t="str">
        <f>IMAGE("https://raw.githubusercontent.com/msikma/pokesprite/master/misc/types/gen8/ice.png",4,20,20)</f>
        <v/>
      </c>
      <c r="I215" s="2164"/>
      <c r="J215" s="2177" t="s">
        <v>760</v>
      </c>
      <c r="K215" s="2155"/>
      <c r="L215" s="2155"/>
      <c r="M215" s="2183" t="str">
        <f>IMAGE("https://raw.githubusercontent.com/msikma/pokesprite/master/misc/types/gen8/water.png",4,20,20)</f>
        <v/>
      </c>
      <c r="N215" s="2164"/>
      <c r="O215" s="2177" t="s">
        <v>926</v>
      </c>
      <c r="P215" s="2155"/>
      <c r="Q215" s="2155"/>
      <c r="R215" s="2183" t="str">
        <f>IMAGE("https://raw.githubusercontent.com/msikma/pokesprite/master/misc/types/gen8/fairy.png",4,20,20)</f>
        <v/>
      </c>
      <c r="S215" s="2164"/>
      <c r="T215" s="2177" t="s">
        <v>772</v>
      </c>
      <c r="U215" s="2155"/>
      <c r="V215" s="2155"/>
      <c r="W215" s="2183" t="str">
        <f>IMAGE("https://raw.githubusercontent.com/msikma/pokesprite/master/misc/types/gen8/electric.png",4,20,20)</f>
        <v/>
      </c>
      <c r="X215" s="2164"/>
      <c r="Y215" s="2177" t="s">
        <v>586</v>
      </c>
      <c r="Z215" s="2155"/>
      <c r="AA215" s="2155"/>
      <c r="AB215" s="2183" t="str">
        <f t="shared" si="15"/>
        <v/>
      </c>
      <c r="AC215" s="2164"/>
      <c r="AD215" s="2177" t="s">
        <v>549</v>
      </c>
      <c r="AE215" s="2155"/>
      <c r="AF215" s="2155"/>
      <c r="AG215" s="2183" t="str">
        <f>IMAGE("https://raw.githubusercontent.com/msikma/pokesprite/master/misc/types/gen8/ground.png",4,20,20)</f>
        <v/>
      </c>
      <c r="AH215" s="2143"/>
      <c r="AI215" s="1614"/>
    </row>
    <row r="216" ht="21.0" customHeight="1">
      <c r="A216" s="1626"/>
      <c r="B216" s="2129"/>
      <c r="C216" s="2130"/>
      <c r="D216" s="2168"/>
      <c r="E216" s="2184" t="s">
        <v>590</v>
      </c>
      <c r="F216" s="2185"/>
      <c r="G216" s="2185"/>
      <c r="H216" s="2186" t="str">
        <f>IMAGE("https://raw.githubusercontent.com/msikma/pokesprite/master/misc/types/gen8/fighting.png",4,20,20)</f>
        <v/>
      </c>
      <c r="I216" s="2164"/>
      <c r="J216" s="2184" t="s">
        <v>927</v>
      </c>
      <c r="K216" s="2185"/>
      <c r="L216" s="2185"/>
      <c r="M216" s="2186" t="str">
        <f>IMAGE("https://raw.githubusercontent.com/msikma/pokesprite/master/misc/types/gen8/rock.png",4,20,20)</f>
        <v/>
      </c>
      <c r="N216" s="2164"/>
      <c r="O216" s="2184" t="s">
        <v>619</v>
      </c>
      <c r="P216" s="2185"/>
      <c r="Q216" s="2185"/>
      <c r="R216" s="2186" t="str">
        <f>IMAGE("https://raw.githubusercontent.com/msikma/pokesprite/master/misc/types/gen8/fire.png",4,20,20)</f>
        <v/>
      </c>
      <c r="S216" s="2164"/>
      <c r="T216" s="2184" t="s">
        <v>551</v>
      </c>
      <c r="U216" s="2185"/>
      <c r="V216" s="2185"/>
      <c r="W216" s="2186" t="str">
        <f>IMAGE("https://raw.githubusercontent.com/msikma/pokesprite/master/misc/types/gen8/flying.png",4,20,20)</f>
        <v/>
      </c>
      <c r="X216" s="2164"/>
      <c r="Y216" s="2184" t="s">
        <v>879</v>
      </c>
      <c r="Z216" s="2185"/>
      <c r="AA216" s="2185"/>
      <c r="AB216" s="2186" t="str">
        <f>IMAGE("https://raw.githubusercontent.com/msikma/pokesprite/master/misc/types/gen8/fighting.png",4,20,20)</f>
        <v/>
      </c>
      <c r="AC216" s="2164"/>
      <c r="AD216" s="2184" t="s">
        <v>928</v>
      </c>
      <c r="AE216" s="2185"/>
      <c r="AF216" s="2185"/>
      <c r="AG216" s="2186" t="str">
        <f>IMAGE("https://raw.githubusercontent.com/msikma/pokesprite/master/misc/types/gen8/ice.png",4,20,20)</f>
        <v/>
      </c>
      <c r="AH216" s="2143"/>
      <c r="AI216" s="1614"/>
    </row>
    <row r="217" ht="3.0" customHeight="1">
      <c r="A217" s="1626"/>
      <c r="B217" s="2187"/>
      <c r="C217" s="2188"/>
      <c r="D217" s="2189"/>
      <c r="E217" s="2190"/>
      <c r="F217" s="2190"/>
      <c r="G217" s="2190"/>
      <c r="H217" s="2190"/>
      <c r="I217" s="2189"/>
      <c r="J217" s="2190"/>
      <c r="K217" s="2190"/>
      <c r="L217" s="2190"/>
      <c r="M217" s="2190"/>
      <c r="N217" s="2189"/>
      <c r="O217" s="2190"/>
      <c r="P217" s="2190"/>
      <c r="Q217" s="2190"/>
      <c r="R217" s="2190"/>
      <c r="S217" s="2189"/>
      <c r="T217" s="2190"/>
      <c r="U217" s="2190"/>
      <c r="V217" s="2190"/>
      <c r="W217" s="2190"/>
      <c r="X217" s="2189"/>
      <c r="Y217" s="2190"/>
      <c r="Z217" s="2191"/>
      <c r="AA217" s="2191"/>
      <c r="AB217" s="2192"/>
      <c r="AC217" s="2189"/>
      <c r="AD217" s="2193"/>
      <c r="AE217" s="2193"/>
      <c r="AF217" s="2193"/>
      <c r="AG217" s="2194"/>
      <c r="AH217" s="2195"/>
      <c r="AI217" s="1684"/>
    </row>
    <row r="218" ht="16.5" customHeight="1">
      <c r="A218" s="1626"/>
      <c r="B218" s="2196"/>
      <c r="C218" s="2188"/>
      <c r="D218" s="2197"/>
      <c r="E218" s="2198" t="s">
        <v>512</v>
      </c>
      <c r="F218" s="606"/>
      <c r="G218" s="606"/>
      <c r="H218" s="607"/>
      <c r="I218" s="2197"/>
      <c r="J218" s="2198" t="s">
        <v>512</v>
      </c>
      <c r="K218" s="606"/>
      <c r="L218" s="606"/>
      <c r="M218" s="607"/>
      <c r="N218" s="2197"/>
      <c r="O218" s="2198" t="s">
        <v>512</v>
      </c>
      <c r="P218" s="606"/>
      <c r="Q218" s="606"/>
      <c r="R218" s="607"/>
      <c r="S218" s="2197"/>
      <c r="T218" s="2198" t="s">
        <v>512</v>
      </c>
      <c r="U218" s="606"/>
      <c r="V218" s="606"/>
      <c r="W218" s="607"/>
      <c r="X218" s="2219"/>
      <c r="Y218" s="2198" t="s">
        <v>512</v>
      </c>
      <c r="Z218" s="606"/>
      <c r="AA218" s="606"/>
      <c r="AB218" s="607"/>
      <c r="AC218" s="2197"/>
      <c r="AD218" s="2198" t="s">
        <v>512</v>
      </c>
      <c r="AE218" s="606"/>
      <c r="AF218" s="606"/>
      <c r="AG218" s="607"/>
      <c r="AH218" s="2199"/>
      <c r="AI218" s="1692"/>
    </row>
    <row r="219" ht="16.5" customHeight="1">
      <c r="A219" s="1626"/>
      <c r="B219" s="2196"/>
      <c r="C219" s="2188"/>
      <c r="D219" s="2197"/>
      <c r="E219" s="2200" t="s">
        <v>513</v>
      </c>
      <c r="F219" s="2201">
        <f t="array" ref="F219">IFERROR(VLOOKUP(E206,Dex!$B$3:$N252,8,FALSE),"")</f>
        <v>65</v>
      </c>
      <c r="G219" s="2202" t="str">
        <f t="array" ref="G219">IFERROR(VLOOKUP(F219,Dex!$P$22:$Q$276,2,FALSE),"")</f>
        <v/>
      </c>
      <c r="H219" s="2203"/>
      <c r="I219" s="2204"/>
      <c r="J219" s="2200" t="s">
        <v>513</v>
      </c>
      <c r="K219" s="2201">
        <f t="array" ref="K219">IFERROR(VLOOKUP(J206,Dex!$B$3:$N252,8,FALSE),"")</f>
        <v>50</v>
      </c>
      <c r="L219" s="2202" t="str">
        <f t="array" ref="L219">IFERROR(VLOOKUP(K219,Dex!$P$22:$Q$276,2,FALSE),"")</f>
        <v/>
      </c>
      <c r="M219" s="2203"/>
      <c r="N219" s="2204"/>
      <c r="O219" s="2200" t="s">
        <v>513</v>
      </c>
      <c r="P219" s="2201">
        <f t="array" ref="P219">IFERROR(VLOOKUP(O206,Dex!$B$3:$N252,8,FALSE),"")</f>
        <v>95</v>
      </c>
      <c r="Q219" s="2202" t="str">
        <f t="array" ref="Q219">IFERROR(VLOOKUP(P219,Dex!$P$22:$Q$276,2,FALSE),"")</f>
        <v/>
      </c>
      <c r="R219" s="2203"/>
      <c r="S219" s="2204"/>
      <c r="T219" s="2200" t="s">
        <v>513</v>
      </c>
      <c r="U219" s="2201">
        <f t="array" ref="U219">IFERROR(VLOOKUP(T206,Dex!$B$3:$N252,8,FALSE),"")</f>
        <v>125</v>
      </c>
      <c r="V219" s="2202" t="str">
        <f t="array" ref="V219">IFERROR(VLOOKUP(U219,Dex!$P$22:$Q$276,2,FALSE),"")</f>
        <v/>
      </c>
      <c r="W219" s="2203"/>
      <c r="X219" s="2220"/>
      <c r="Y219" s="2200" t="s">
        <v>513</v>
      </c>
      <c r="Z219" s="2201">
        <f t="array" ref="Z219">IFERROR(VLOOKUP(Y206,Dex!$B$3:$N252,8,FALSE),"")</f>
        <v>90</v>
      </c>
      <c r="AA219" s="2202" t="str">
        <f t="array" ref="AA219">IFERROR(VLOOKUP(Z219,Dex!$P$22:$Q$276,2,FALSE),"")</f>
        <v/>
      </c>
      <c r="AB219" s="2203"/>
      <c r="AC219" s="2204"/>
      <c r="AD219" s="2200" t="s">
        <v>513</v>
      </c>
      <c r="AE219" s="2201">
        <f t="array" ref="AE219">IFERROR(VLOOKUP(AD206,Dex!$B$3:$N252,8,FALSE),"")</f>
        <v>80</v>
      </c>
      <c r="AF219" s="2202" t="str">
        <f t="array" ref="AF219">IFERROR(VLOOKUP(AE219,Dex!$P$22:$Q$276,2,FALSE),"")</f>
        <v/>
      </c>
      <c r="AG219" s="2203"/>
      <c r="AH219" s="2205"/>
      <c r="AI219" s="1692"/>
    </row>
    <row r="220" ht="16.5" customHeight="1">
      <c r="A220" s="1626"/>
      <c r="B220" s="2196"/>
      <c r="C220" s="2188"/>
      <c r="D220" s="2197"/>
      <c r="E220" s="2206" t="s">
        <v>514</v>
      </c>
      <c r="F220" s="2207">
        <f t="array" ref="F220">IFERROR(VLOOKUP(E206,Dex!$B$3:$N252,9,FALSE),"")</f>
        <v>50</v>
      </c>
      <c r="G220" s="2208" t="str">
        <f t="array" ref="G220">IFERROR(VLOOKUP(F220,Dex!$P$22:$Q$276,2,FALSE),"")</f>
        <v/>
      </c>
      <c r="H220" s="2209"/>
      <c r="I220" s="2204"/>
      <c r="J220" s="2206" t="s">
        <v>514</v>
      </c>
      <c r="K220" s="2207">
        <f t="array" ref="K220">IFERROR(VLOOKUP(J206,Dex!$B$3:$N252,9,FALSE),"")</f>
        <v>95</v>
      </c>
      <c r="L220" s="2208" t="str">
        <f t="array" ref="L220">IFERROR(VLOOKUP(K220,Dex!$P$22:$Q$276,2,FALSE),"")</f>
        <v/>
      </c>
      <c r="M220" s="2209"/>
      <c r="N220" s="2204"/>
      <c r="O220" s="2206" t="s">
        <v>514</v>
      </c>
      <c r="P220" s="2207">
        <f t="array" ref="P220">IFERROR(VLOOKUP(O206,Dex!$B$3:$N252,9,FALSE),"")</f>
        <v>70</v>
      </c>
      <c r="Q220" s="2208" t="str">
        <f t="array" ref="Q220">IFERROR(VLOOKUP(P220,Dex!$P$22:$Q$276,2,FALSE),"")</f>
        <v/>
      </c>
      <c r="R220" s="2209"/>
      <c r="S220" s="2204"/>
      <c r="T220" s="2206" t="s">
        <v>514</v>
      </c>
      <c r="U220" s="2207">
        <f t="array" ref="U220">IFERROR(VLOOKUP(T206,Dex!$B$3:$N252,9,FALSE),"")</f>
        <v>170</v>
      </c>
      <c r="V220" s="2208" t="str">
        <f t="array" ref="V220">IFERROR(VLOOKUP(U220,Dex!$P$22:$Q$276,2,FALSE),"")</f>
        <v/>
      </c>
      <c r="W220" s="2209"/>
      <c r="X220" s="2220"/>
      <c r="Y220" s="2206" t="s">
        <v>514</v>
      </c>
      <c r="Z220" s="2207">
        <f t="array" ref="Z220">IFERROR(VLOOKUP(Y206,Dex!$B$3:$N252,9,FALSE),"")</f>
        <v>100</v>
      </c>
      <c r="AA220" s="2208" t="str">
        <f t="array" ref="AA220">IFERROR(VLOOKUP(Z220,Dex!$P$22:$Q$276,2,FALSE),"")</f>
        <v/>
      </c>
      <c r="AB220" s="2209"/>
      <c r="AC220" s="2204"/>
      <c r="AD220" s="2206" t="s">
        <v>514</v>
      </c>
      <c r="AE220" s="2207">
        <f t="array" ref="AE220">IFERROR(VLOOKUP(AD206,Dex!$B$3:$N252,9,FALSE),"")</f>
        <v>135</v>
      </c>
      <c r="AF220" s="2208" t="str">
        <f t="array" ref="AF220">IFERROR(VLOOKUP(AE220,Dex!$P$22:$Q$276,2,FALSE),"")</f>
        <v/>
      </c>
      <c r="AG220" s="2209"/>
      <c r="AH220" s="2205"/>
      <c r="AI220" s="1692"/>
    </row>
    <row r="221" ht="16.5" customHeight="1">
      <c r="A221" s="1626"/>
      <c r="B221" s="2196"/>
      <c r="C221" s="2188"/>
      <c r="D221" s="2197"/>
      <c r="E221" s="2206" t="s">
        <v>515</v>
      </c>
      <c r="F221" s="2207">
        <f t="array" ref="F221">IFERROR(VLOOKUP(E206,Dex!$B$3:$N252,10,FALSE),"")</f>
        <v>50</v>
      </c>
      <c r="G221" s="2208" t="str">
        <f t="array" ref="G221">IFERROR(VLOOKUP(F221,Dex!$P$22:$Q$276,2,FALSE),"")</f>
        <v/>
      </c>
      <c r="H221" s="2209"/>
      <c r="I221" s="2204"/>
      <c r="J221" s="2206" t="s">
        <v>515</v>
      </c>
      <c r="K221" s="2207">
        <f t="array" ref="K221">IFERROR(VLOOKUP(J206,Dex!$B$3:$N252,10,FALSE),"")</f>
        <v>180</v>
      </c>
      <c r="L221" s="2208" t="str">
        <f t="array" ref="L221">IFERROR(VLOOKUP(K221,Dex!$P$22:$Q$276,2,FALSE),"")</f>
        <v/>
      </c>
      <c r="M221" s="2209"/>
      <c r="N221" s="2204"/>
      <c r="O221" s="2206" t="s">
        <v>515</v>
      </c>
      <c r="P221" s="2207">
        <f t="array" ref="P221">IFERROR(VLOOKUP(O206,Dex!$B$3:$N252,10,FALSE),"")</f>
        <v>73</v>
      </c>
      <c r="Q221" s="2208" t="str">
        <f t="array" ref="Q221">IFERROR(VLOOKUP(P221,Dex!$P$22:$Q$276,2,FALSE),"")</f>
        <v/>
      </c>
      <c r="R221" s="2209"/>
      <c r="S221" s="2204"/>
      <c r="T221" s="2206" t="s">
        <v>515</v>
      </c>
      <c r="U221" s="2207">
        <f t="array" ref="U221">IFERROR(VLOOKUP(T206,Dex!$B$3:$N252,10,FALSE),"")</f>
        <v>100</v>
      </c>
      <c r="V221" s="2208" t="str">
        <f t="array" ref="V221">IFERROR(VLOOKUP(U221,Dex!$P$22:$Q$276,2,FALSE),"")</f>
        <v/>
      </c>
      <c r="W221" s="2209"/>
      <c r="X221" s="2220"/>
      <c r="Y221" s="2206" t="s">
        <v>515</v>
      </c>
      <c r="Z221" s="2207">
        <f t="array" ref="Z221">IFERROR(VLOOKUP(Y206,Dex!$B$3:$N252,10,FALSE),"")</f>
        <v>90</v>
      </c>
      <c r="AA221" s="2208" t="str">
        <f t="array" ref="AA221">IFERROR(VLOOKUP(Z221,Dex!$P$22:$Q$276,2,FALSE),"")</f>
        <v/>
      </c>
      <c r="AB221" s="2209"/>
      <c r="AC221" s="2204"/>
      <c r="AD221" s="2206" t="s">
        <v>515</v>
      </c>
      <c r="AE221" s="2207">
        <f t="array" ref="AE221">IFERROR(VLOOKUP(AD206,Dex!$B$3:$N252,10,FALSE),"")</f>
        <v>80</v>
      </c>
      <c r="AF221" s="2208" t="str">
        <f t="array" ref="AF221">IFERROR(VLOOKUP(AE221,Dex!$P$22:$Q$276,2,FALSE),"")</f>
        <v/>
      </c>
      <c r="AG221" s="2209"/>
      <c r="AH221" s="2205"/>
      <c r="AI221" s="1692"/>
    </row>
    <row r="222" ht="16.5" customHeight="1">
      <c r="A222" s="1626"/>
      <c r="B222" s="2196"/>
      <c r="C222" s="2188"/>
      <c r="D222" s="2197"/>
      <c r="E222" s="2206" t="s">
        <v>516</v>
      </c>
      <c r="F222" s="2207">
        <f t="array" ref="F222">IFERROR(VLOOKUP(E206,Dex!$B$3:$N252,11,FALSE),"")</f>
        <v>115</v>
      </c>
      <c r="G222" s="2208" t="str">
        <f t="array" ref="G222">IFERROR(VLOOKUP(F222,Dex!$P$22:$Q$276,2,FALSE),"")</f>
        <v/>
      </c>
      <c r="H222" s="2209"/>
      <c r="I222" s="2204"/>
      <c r="J222" s="2206" t="s">
        <v>516</v>
      </c>
      <c r="K222" s="2207">
        <f t="array" ref="K222">IFERROR(VLOOKUP(J206,Dex!$B$3:$N252,11,FALSE),"")</f>
        <v>85</v>
      </c>
      <c r="L222" s="2208" t="str">
        <f t="array" ref="L222">IFERROR(VLOOKUP(K222,Dex!$P$22:$Q$276,2,FALSE),"")</f>
        <v/>
      </c>
      <c r="M222" s="2209"/>
      <c r="N222" s="2204"/>
      <c r="O222" s="2206" t="s">
        <v>516</v>
      </c>
      <c r="P222" s="2207">
        <f t="array" ref="P222">IFERROR(VLOOKUP(O206,Dex!$B$3:$N252,11,FALSE),"")</f>
        <v>95</v>
      </c>
      <c r="Q222" s="2208" t="str">
        <f t="array" ref="Q222">IFERROR(VLOOKUP(P222,Dex!$P$22:$Q$276,2,FALSE),"")</f>
        <v/>
      </c>
      <c r="R222" s="2209"/>
      <c r="S222" s="2204"/>
      <c r="T222" s="2206" t="s">
        <v>516</v>
      </c>
      <c r="U222" s="2207">
        <f t="array" ref="U222">IFERROR(VLOOKUP(T206,Dex!$B$3:$N252,11,FALSE),"")</f>
        <v>120</v>
      </c>
      <c r="V222" s="2208" t="str">
        <f t="array" ref="V222">IFERROR(VLOOKUP(U222,Dex!$P$22:$Q$276,2,FALSE),"")</f>
        <v/>
      </c>
      <c r="W222" s="2209"/>
      <c r="X222" s="2220"/>
      <c r="Y222" s="2206" t="s">
        <v>516</v>
      </c>
      <c r="Z222" s="2207">
        <f t="array" ref="Z222">IFERROR(VLOOKUP(Y206,Dex!$B$3:$N252,11,FALSE),"")</f>
        <v>90</v>
      </c>
      <c r="AA222" s="2208" t="str">
        <f t="array" ref="AA222">IFERROR(VLOOKUP(Z222,Dex!$P$22:$Q$276,2,FALSE),"")</f>
        <v/>
      </c>
      <c r="AB222" s="2209"/>
      <c r="AC222" s="2204"/>
      <c r="AD222" s="2206" t="s">
        <v>516</v>
      </c>
      <c r="AE222" s="2207">
        <f t="array" ref="AE222">IFERROR(VLOOKUP(AD206,Dex!$B$3:$N252,11,FALSE),"")</f>
        <v>105</v>
      </c>
      <c r="AF222" s="2208" t="str">
        <f t="array" ref="AF222">IFERROR(VLOOKUP(AE222,Dex!$P$22:$Q$276,2,FALSE),"")</f>
        <v/>
      </c>
      <c r="AG222" s="2209"/>
      <c r="AH222" s="2205"/>
      <c r="AI222" s="1692"/>
    </row>
    <row r="223" ht="16.5" customHeight="1">
      <c r="A223" s="1626"/>
      <c r="B223" s="2196"/>
      <c r="C223" s="2188"/>
      <c r="D223" s="2197"/>
      <c r="E223" s="2206" t="s">
        <v>517</v>
      </c>
      <c r="F223" s="2207">
        <f t="array" ref="F223">IFERROR(VLOOKUP(E206,Dex!$B$3:$N252,12,FALSE),"")</f>
        <v>95</v>
      </c>
      <c r="G223" s="2208" t="str">
        <f t="array" ref="G223">IFERROR(VLOOKUP(F223,Dex!$P$22:$Q$276,2,FALSE),"")</f>
        <v/>
      </c>
      <c r="H223" s="2209"/>
      <c r="I223" s="2204"/>
      <c r="J223" s="2206" t="s">
        <v>517</v>
      </c>
      <c r="K223" s="2207">
        <f t="array" ref="K223">IFERROR(VLOOKUP(J206,Dex!$B$3:$N252,12,FALSE),"")</f>
        <v>45</v>
      </c>
      <c r="L223" s="2208" t="str">
        <f t="array" ref="L223">IFERROR(VLOOKUP(K223,Dex!$P$22:$Q$276,2,FALSE),"")</f>
        <v/>
      </c>
      <c r="M223" s="2209"/>
      <c r="N223" s="2204"/>
      <c r="O223" s="2206" t="s">
        <v>517</v>
      </c>
      <c r="P223" s="2207">
        <f t="array" ref="P223">IFERROR(VLOOKUP(O206,Dex!$B$3:$N252,12,FALSE),"")</f>
        <v>90</v>
      </c>
      <c r="Q223" s="2208" t="str">
        <f t="array" ref="Q223">IFERROR(VLOOKUP(P223,Dex!$P$22:$Q$276,2,FALSE),"")</f>
        <v/>
      </c>
      <c r="R223" s="2209"/>
      <c r="S223" s="2204"/>
      <c r="T223" s="2206" t="s">
        <v>517</v>
      </c>
      <c r="U223" s="2207">
        <f t="array" ref="U223">IFERROR(VLOOKUP(T206,Dex!$B$3:$N252,12,FALSE),"")</f>
        <v>90</v>
      </c>
      <c r="V223" s="2208" t="str">
        <f t="array" ref="V223">IFERROR(VLOOKUP(U223,Dex!$P$22:$Q$276,2,FALSE),"")</f>
        <v/>
      </c>
      <c r="W223" s="2209"/>
      <c r="X223" s="2220"/>
      <c r="Y223" s="2206" t="s">
        <v>517</v>
      </c>
      <c r="Z223" s="2207">
        <f t="array" ref="Z223">IFERROR(VLOOKUP(Y206,Dex!$B$3:$N252,12,FALSE),"")</f>
        <v>80</v>
      </c>
      <c r="AA223" s="2208" t="str">
        <f t="array" ref="AA223">IFERROR(VLOOKUP(Z223,Dex!$P$22:$Q$276,2,FALSE),"")</f>
        <v/>
      </c>
      <c r="AB223" s="2209"/>
      <c r="AC223" s="2204"/>
      <c r="AD223" s="2206" t="s">
        <v>517</v>
      </c>
      <c r="AE223" s="2207">
        <f t="array" ref="AE223">IFERROR(VLOOKUP(AD206,Dex!$B$3:$N252,12,FALSE),"")</f>
        <v>80</v>
      </c>
      <c r="AF223" s="2208" t="str">
        <f t="array" ref="AF223">IFERROR(VLOOKUP(AE223,Dex!$P$22:$Q$276,2,FALSE),"")</f>
        <v/>
      </c>
      <c r="AG223" s="2209"/>
      <c r="AH223" s="2205"/>
      <c r="AI223" s="1692"/>
    </row>
    <row r="224" ht="15.75" customHeight="1">
      <c r="A224" s="1626"/>
      <c r="B224" s="2196"/>
      <c r="C224" s="1426" t="s">
        <v>745</v>
      </c>
      <c r="D224" s="2197"/>
      <c r="E224" s="2210" t="s">
        <v>518</v>
      </c>
      <c r="F224" s="2211">
        <f t="array" ref="F224">IFERROR(VLOOKUP(E206,Dex!$B$3:$N252,13,FALSE),"")</f>
        <v>100</v>
      </c>
      <c r="G224" s="2212" t="str">
        <f t="array" ref="G224">IFERROR(VLOOKUP(F224,Dex!$P$22:$Q$276,2,FALSE),"")</f>
        <v/>
      </c>
      <c r="H224" s="2213"/>
      <c r="I224" s="2204"/>
      <c r="J224" s="2210" t="s">
        <v>518</v>
      </c>
      <c r="K224" s="2211">
        <f t="array" ref="K224">IFERROR(VLOOKUP(J206,Dex!$B$3:$N252,13,FALSE),"")</f>
        <v>70</v>
      </c>
      <c r="L224" s="2212" t="str">
        <f t="array" ref="L224">IFERROR(VLOOKUP(K224,Dex!$P$22:$Q$276,2,FALSE),"")</f>
        <v/>
      </c>
      <c r="M224" s="2213"/>
      <c r="N224" s="2204"/>
      <c r="O224" s="2210" t="s">
        <v>518</v>
      </c>
      <c r="P224" s="2211">
        <f t="array" ref="P224">IFERROR(VLOOKUP(O206,Dex!$B$3:$N252,13,FALSE),"")</f>
        <v>60</v>
      </c>
      <c r="Q224" s="2212" t="str">
        <f t="array" ref="Q224">IFERROR(VLOOKUP(P224,Dex!$P$22:$Q$276,2,FALSE),"")</f>
        <v/>
      </c>
      <c r="R224" s="2213"/>
      <c r="S224" s="2204"/>
      <c r="T224" s="2210" t="s">
        <v>518</v>
      </c>
      <c r="U224" s="2211">
        <f t="array" ref="U224">IFERROR(VLOOKUP(T206,Dex!$B$3:$N252,13,FALSE),"")</f>
        <v>95</v>
      </c>
      <c r="V224" s="2212" t="str">
        <f t="array" ref="V224">IFERROR(VLOOKUP(U224,Dex!$P$22:$Q$276,2,FALSE),"")</f>
        <v/>
      </c>
      <c r="W224" s="2213"/>
      <c r="X224" s="2220"/>
      <c r="Y224" s="2210" t="s">
        <v>518</v>
      </c>
      <c r="Z224" s="2211">
        <f t="array" ref="Z224">IFERROR(VLOOKUP(Y206,Dex!$B$3:$N252,13,FALSE),"")</f>
        <v>55</v>
      </c>
      <c r="AA224" s="2212" t="str">
        <f t="array" ref="AA224">IFERROR(VLOOKUP(Z224,Dex!$P$22:$Q$276,2,FALSE),"")</f>
        <v/>
      </c>
      <c r="AB224" s="2213"/>
      <c r="AC224" s="2204"/>
      <c r="AD224" s="2210" t="s">
        <v>518</v>
      </c>
      <c r="AE224" s="2211">
        <f t="array" ref="AE224">IFERROR(VLOOKUP(AD206,Dex!$B$3:$N252,13,FALSE),"")</f>
        <v>100</v>
      </c>
      <c r="AF224" s="2212" t="str">
        <f t="array" ref="AF224">IFERROR(VLOOKUP(AE224,Dex!$P$22:$Q$276,2,FALSE),"")</f>
        <v/>
      </c>
      <c r="AG224" s="2213"/>
      <c r="AH224" s="2205"/>
      <c r="AI224" s="1692"/>
    </row>
    <row r="225" ht="16.5" customHeight="1">
      <c r="A225" s="1626"/>
      <c r="B225" s="2196"/>
      <c r="C225" s="1427" t="s">
        <v>929</v>
      </c>
      <c r="D225" s="2197"/>
      <c r="E225" s="2214" t="s">
        <v>519</v>
      </c>
      <c r="F225" s="630"/>
      <c r="G225" s="631"/>
      <c r="H225" s="632">
        <f>ROUNDDOWN((ROUNDDOWN(((((2*F224+31)*73)/100+5)),0))*1.1,0)</f>
        <v>190</v>
      </c>
      <c r="I225" s="2197"/>
      <c r="J225" s="2214" t="s">
        <v>519</v>
      </c>
      <c r="K225" s="630"/>
      <c r="L225" s="631"/>
      <c r="M225" s="632">
        <f>ROUNDDOWN((ROUNDDOWN(((((2*K224+31)*73)/100+5)),0))*1.1,0)</f>
        <v>141</v>
      </c>
      <c r="N225" s="2197"/>
      <c r="O225" s="2214" t="s">
        <v>519</v>
      </c>
      <c r="P225" s="630"/>
      <c r="Q225" s="631"/>
      <c r="R225" s="632">
        <f>ROUNDDOWN((ROUNDDOWN(((((2*P224+31)*73)/100+5)),0))*1,0)</f>
        <v>115</v>
      </c>
      <c r="S225" s="2197"/>
      <c r="T225" s="2214" t="s">
        <v>519</v>
      </c>
      <c r="U225" s="630"/>
      <c r="V225" s="631"/>
      <c r="W225" s="632">
        <f>ROUNDDOWN((ROUNDDOWN(((((2*U224+31)*73)/100+5)),0))*1.1,0)</f>
        <v>182</v>
      </c>
      <c r="X225" s="2197"/>
      <c r="Y225" s="2215" t="s">
        <v>519</v>
      </c>
      <c r="Z225" s="635"/>
      <c r="AA225" s="636"/>
      <c r="AB225" s="632">
        <f>ROUNDDOWN((ROUNDDOWN(((((2*Z224+31)*73)/100+5)),0))*1,0)</f>
        <v>107</v>
      </c>
      <c r="AC225" s="2197"/>
      <c r="AD225" s="2214" t="s">
        <v>519</v>
      </c>
      <c r="AE225" s="630"/>
      <c r="AF225" s="631"/>
      <c r="AG225" s="632">
        <f>ROUNDDOWN((ROUNDDOWN(((((2*AE224+31)*73)/100+5)),0))*1.1,0)</f>
        <v>190</v>
      </c>
      <c r="AH225" s="2199"/>
      <c r="AI225" s="1692"/>
    </row>
    <row r="226" ht="15.75" customHeight="1">
      <c r="A226" s="1626"/>
      <c r="B226" s="2196"/>
      <c r="C226" s="2188"/>
      <c r="D226" s="2197"/>
      <c r="E226" s="2217"/>
      <c r="F226" s="2217"/>
      <c r="G226" s="2217"/>
      <c r="H226" s="2216"/>
      <c r="I226" s="2197"/>
      <c r="J226" s="2217"/>
      <c r="K226" s="2217"/>
      <c r="L226" s="2217"/>
      <c r="M226" s="2216"/>
      <c r="N226" s="2197"/>
      <c r="O226" s="2217"/>
      <c r="P226" s="2217"/>
      <c r="Q226" s="2217"/>
      <c r="R226" s="2216"/>
      <c r="S226" s="2197"/>
      <c r="T226" s="2217"/>
      <c r="U226" s="2217"/>
      <c r="V226" s="2217"/>
      <c r="W226" s="2216"/>
      <c r="X226" s="2197"/>
      <c r="Y226" s="2218" t="s">
        <v>930</v>
      </c>
      <c r="Z226" s="643"/>
      <c r="AA226" s="644"/>
      <c r="AB226" s="2117">
        <f>AB225*2</f>
        <v>214</v>
      </c>
      <c r="AC226" s="2197"/>
      <c r="AD226" s="2217"/>
      <c r="AE226" s="2217"/>
      <c r="AF226" s="2217"/>
      <c r="AG226" s="2216"/>
      <c r="AH226" s="2199"/>
      <c r="AI226" s="1692"/>
    </row>
    <row r="227" ht="15.0" customHeight="1">
      <c r="A227" s="1626"/>
      <c r="B227" s="2221"/>
      <c r="C227" s="2222"/>
      <c r="D227" s="2223"/>
      <c r="E227" s="2224"/>
      <c r="F227" s="2224"/>
      <c r="G227" s="2224"/>
      <c r="H227" s="2224"/>
      <c r="I227" s="2223"/>
      <c r="J227" s="2224"/>
      <c r="K227" s="2224"/>
      <c r="L227" s="2224"/>
      <c r="M227" s="2224"/>
      <c r="N227" s="2223"/>
      <c r="O227" s="2224"/>
      <c r="P227" s="2224"/>
      <c r="Q227" s="2224"/>
      <c r="R227" s="2224"/>
      <c r="S227" s="2223"/>
      <c r="T227" s="2224"/>
      <c r="U227" s="2224"/>
      <c r="V227" s="2224"/>
      <c r="W227" s="2224"/>
      <c r="X227" s="2223"/>
      <c r="Y227" s="2225"/>
      <c r="Z227" s="2225"/>
      <c r="AA227" s="2225"/>
      <c r="AB227" s="2225"/>
      <c r="AC227" s="2223"/>
      <c r="AD227" s="2224"/>
      <c r="AE227" s="2224"/>
      <c r="AF227" s="2224"/>
      <c r="AG227" s="2224"/>
      <c r="AH227" s="2226"/>
      <c r="AI227" s="1614"/>
    </row>
    <row r="228" ht="15.0" customHeight="1">
      <c r="A228" s="1626"/>
      <c r="B228" s="2227"/>
      <c r="C228" s="2228"/>
      <c r="D228" s="2229"/>
      <c r="E228" s="2229"/>
      <c r="F228" s="2229"/>
      <c r="G228" s="2229"/>
      <c r="H228" s="2229"/>
      <c r="I228" s="2229"/>
      <c r="J228" s="2229"/>
      <c r="K228" s="2229"/>
      <c r="L228" s="2229"/>
      <c r="M228" s="2229"/>
      <c r="N228" s="2229"/>
      <c r="O228" s="2229"/>
      <c r="P228" s="2229"/>
      <c r="Q228" s="2229"/>
      <c r="R228" s="2229"/>
      <c r="S228" s="2229"/>
      <c r="T228" s="2229"/>
      <c r="U228" s="2229"/>
      <c r="V228" s="2229"/>
      <c r="W228" s="2229"/>
      <c r="X228" s="2229"/>
      <c r="Y228" s="2229"/>
      <c r="Z228" s="2229"/>
      <c r="AA228" s="2229"/>
      <c r="AB228" s="2229"/>
      <c r="AC228" s="2229"/>
      <c r="AD228" s="2229"/>
      <c r="AE228" s="2229"/>
      <c r="AF228" s="2229"/>
      <c r="AG228" s="2229"/>
      <c r="AH228" s="2230"/>
      <c r="AI228" s="1614"/>
    </row>
    <row r="229">
      <c r="A229" s="1626"/>
      <c r="B229" s="2231"/>
      <c r="C229" s="2232"/>
      <c r="D229" s="2232"/>
      <c r="E229" s="2233" t="s">
        <v>944</v>
      </c>
      <c r="F229" s="2234"/>
      <c r="G229" s="2234"/>
      <c r="H229" s="2234"/>
      <c r="I229" s="2234"/>
      <c r="J229" s="2234"/>
      <c r="K229" s="2234"/>
      <c r="L229" s="2234"/>
      <c r="M229" s="2234"/>
      <c r="N229" s="2234"/>
      <c r="O229" s="2234"/>
      <c r="P229" s="2234"/>
      <c r="Q229" s="2234"/>
      <c r="R229" s="2234"/>
      <c r="S229" s="2234"/>
      <c r="T229" s="2234"/>
      <c r="U229" s="2234"/>
      <c r="V229" s="2234"/>
      <c r="W229" s="2234"/>
      <c r="X229" s="2234"/>
      <c r="Y229" s="2234"/>
      <c r="Z229" s="2234"/>
      <c r="AA229" s="2234"/>
      <c r="AB229" s="2234"/>
      <c r="AC229" s="2234"/>
      <c r="AD229" s="2234"/>
      <c r="AE229" s="2234"/>
      <c r="AF229" s="2234"/>
      <c r="AG229" s="2235"/>
      <c r="AH229" s="2236"/>
      <c r="AI229" s="1614"/>
    </row>
    <row r="230" ht="96.75" customHeight="1">
      <c r="A230" s="1626"/>
      <c r="B230" s="2237"/>
      <c r="C230" s="2238" t="str">
        <f>IMAGE("https://i.ibb.co/gSJKyHq/Jasmine.png")</f>
        <v/>
      </c>
      <c r="D230" s="2239"/>
      <c r="E230" s="2240" t="str">
        <f t="array" ref="E230">IFERROR(VLOOKUP(E231,Dex!$B$3:$G252,3,FALSE),"")</f>
        <v/>
      </c>
      <c r="F230" s="539"/>
      <c r="G230" s="539"/>
      <c r="H230" s="540"/>
      <c r="I230" s="2241"/>
      <c r="J230" s="2240" t="str">
        <f t="array" ref="J230">IFERROR(VLOOKUP(J231,Dex!$B$3:$G252,3,FALSE),"")</f>
        <v/>
      </c>
      <c r="K230" s="539"/>
      <c r="L230" s="539"/>
      <c r="M230" s="540"/>
      <c r="N230" s="2241"/>
      <c r="O230" s="2240" t="str">
        <f t="array" ref="O230">IFERROR(VLOOKUP(O231,Dex!$B$3:$G252,3,FALSE),"")</f>
        <v/>
      </c>
      <c r="P230" s="539"/>
      <c r="Q230" s="539"/>
      <c r="R230" s="540"/>
      <c r="S230" s="2241"/>
      <c r="T230" s="2240" t="str">
        <f t="array" ref="T230">IFERROR(VLOOKUP(T231,Dex!$B$3:$G252,3,FALSE),"")</f>
        <v/>
      </c>
      <c r="U230" s="539"/>
      <c r="V230" s="539"/>
      <c r="W230" s="540"/>
      <c r="X230" s="2241"/>
      <c r="Y230" s="2240" t="str">
        <f t="array" ref="Y230">IFERROR(VLOOKUP(Y231,Dex!$B$3:$G252,3,FALSE),"")</f>
        <v/>
      </c>
      <c r="Z230" s="539"/>
      <c r="AA230" s="539"/>
      <c r="AB230" s="540"/>
      <c r="AC230" s="2241"/>
      <c r="AD230" s="2240" t="str">
        <f t="array" ref="AD230">IFERROR(VLOOKUP(AD231,Dex!$B$3:$G252,3,FALSE),"")</f>
        <v/>
      </c>
      <c r="AE230" s="539"/>
      <c r="AF230" s="539"/>
      <c r="AG230" s="540"/>
      <c r="AH230" s="2242"/>
      <c r="AI230" s="1614"/>
    </row>
    <row r="231" ht="18.75" customHeight="1">
      <c r="A231" s="1653"/>
      <c r="B231" s="2243"/>
      <c r="C231" s="2244" t="s">
        <v>945</v>
      </c>
      <c r="D231" s="2245"/>
      <c r="E231" s="2246" t="s">
        <v>946</v>
      </c>
      <c r="F231" s="2247"/>
      <c r="G231" s="2247"/>
      <c r="H231" s="2248"/>
      <c r="I231" s="2245"/>
      <c r="J231" s="2246" t="s">
        <v>947</v>
      </c>
      <c r="K231" s="2247"/>
      <c r="L231" s="2247"/>
      <c r="M231" s="2248"/>
      <c r="N231" s="2245"/>
      <c r="O231" s="2246" t="s">
        <v>948</v>
      </c>
      <c r="P231" s="2247"/>
      <c r="Q231" s="2247"/>
      <c r="R231" s="2248"/>
      <c r="S231" s="2245"/>
      <c r="T231" s="2246" t="s">
        <v>949</v>
      </c>
      <c r="U231" s="2247"/>
      <c r="V231" s="2247"/>
      <c r="W231" s="2248"/>
      <c r="X231" s="2245"/>
      <c r="Y231" s="2246" t="s">
        <v>950</v>
      </c>
      <c r="Z231" s="2247"/>
      <c r="AA231" s="2247"/>
      <c r="AB231" s="2248"/>
      <c r="AC231" s="2245"/>
      <c r="AD231" s="2246" t="s">
        <v>951</v>
      </c>
      <c r="AE231" s="2247"/>
      <c r="AF231" s="2247"/>
      <c r="AG231" s="2248"/>
      <c r="AH231" s="2249"/>
      <c r="AI231" s="1636"/>
    </row>
    <row r="232">
      <c r="A232" s="1626"/>
      <c r="B232" s="2250"/>
      <c r="C232" s="1638"/>
      <c r="D232" s="2251"/>
      <c r="E232" s="2252" t="s">
        <v>729</v>
      </c>
      <c r="F232" s="2253"/>
      <c r="G232" s="2253"/>
      <c r="H232" s="2254"/>
      <c r="I232" s="2255"/>
      <c r="J232" s="2252" t="s">
        <v>729</v>
      </c>
      <c r="K232" s="2253"/>
      <c r="L232" s="2253"/>
      <c r="M232" s="2254"/>
      <c r="N232" s="2255"/>
      <c r="O232" s="2252" t="s">
        <v>729</v>
      </c>
      <c r="P232" s="2253"/>
      <c r="Q232" s="2253"/>
      <c r="R232" s="2254"/>
      <c r="S232" s="2255"/>
      <c r="T232" s="2252" t="s">
        <v>729</v>
      </c>
      <c r="U232" s="2253"/>
      <c r="V232" s="2253"/>
      <c r="W232" s="2254"/>
      <c r="X232" s="2255"/>
      <c r="Y232" s="2252" t="s">
        <v>729</v>
      </c>
      <c r="Z232" s="2253"/>
      <c r="AA232" s="2253"/>
      <c r="AB232" s="2254"/>
      <c r="AC232" s="2255"/>
      <c r="AD232" s="2252" t="s">
        <v>729</v>
      </c>
      <c r="AE232" s="2253"/>
      <c r="AF232" s="2253"/>
      <c r="AG232" s="2254"/>
      <c r="AH232" s="2256"/>
      <c r="AI232" s="1823"/>
    </row>
    <row r="233" ht="25.5" customHeight="1">
      <c r="A233" s="1626"/>
      <c r="B233" s="2257"/>
      <c r="C233" s="1646"/>
      <c r="D233" s="2258"/>
      <c r="E233" s="2259"/>
      <c r="F233" s="2260" t="str">
        <f t="array" ref="F233">IFERROR(VLOOKUP(E231,Dex!$B$3:$H252,5,FALSE),"")</f>
        <v/>
      </c>
      <c r="G233" s="2261" t="str">
        <f t="array" ref="G233">IFERROR(VLOOKUP(E231,Dex!$B$3:$H252,7,FALSE),"")</f>
        <v/>
      </c>
      <c r="H233" s="2262"/>
      <c r="I233" s="2263"/>
      <c r="J233" s="2259"/>
      <c r="K233" s="2260" t="str">
        <f t="array" ref="K233">IFERROR(VLOOKUP(J231,Dex!$B$3:$H252,5,FALSE),"")</f>
        <v/>
      </c>
      <c r="L233" s="2261" t="str">
        <f t="array" ref="L233">IFERROR(VLOOKUP(J231,Dex!$B$3:$H252,7,FALSE),"")</f>
        <v/>
      </c>
      <c r="M233" s="2262"/>
      <c r="N233" s="2263"/>
      <c r="O233" s="2259"/>
      <c r="P233" s="2260" t="str">
        <f t="array" ref="P233">IFERROR(VLOOKUP(O231,Dex!$B$3:$H252,5,FALSE),"")</f>
        <v/>
      </c>
      <c r="Q233" s="2261" t="str">
        <f t="array" ref="Q233">IFERROR(VLOOKUP(O231,Dex!$B$3:$H252,7,FALSE),"")</f>
        <v/>
      </c>
      <c r="R233" s="2262"/>
      <c r="S233" s="2263"/>
      <c r="T233" s="2259"/>
      <c r="U233" s="2260" t="str">
        <f t="array" ref="U233">IFERROR(VLOOKUP(T231,Dex!$B$3:$H252,5,FALSE),"")</f>
        <v/>
      </c>
      <c r="V233" s="2261" t="str">
        <f t="array" ref="V233">IFERROR(VLOOKUP(T231,Dex!$B$3:$H252,7,FALSE),"")</f>
        <v/>
      </c>
      <c r="W233" s="2262"/>
      <c r="X233" s="2263"/>
      <c r="Y233" s="2259"/>
      <c r="Z233" s="2260" t="str">
        <f t="array" ref="Z233">IFERROR(VLOOKUP(Y231,Dex!$B$3:$H252,5,FALSE),"")</f>
        <v/>
      </c>
      <c r="AA233" s="2261" t="str">
        <f t="array" ref="AA233">IFERROR(VLOOKUP(Y231,Dex!$B$3:$H252,7,FALSE),"")</f>
        <v/>
      </c>
      <c r="AB233" s="2262"/>
      <c r="AC233" s="2263"/>
      <c r="AD233" s="2259"/>
      <c r="AE233" s="2264" t="str">
        <f t="array" ref="AE233">IFERROR(VLOOKUP(AD231,Dex!$B$3:$H252,5,FALSE),"")</f>
        <v/>
      </c>
      <c r="AF233" s="2265"/>
      <c r="AG233" s="2262"/>
      <c r="AH233" s="2242"/>
      <c r="AI233" s="1614"/>
    </row>
    <row r="234" ht="2.25" customHeight="1">
      <c r="A234" s="1626"/>
      <c r="B234" s="2257"/>
      <c r="C234" s="2266"/>
      <c r="D234" s="2267"/>
      <c r="E234" s="2268"/>
      <c r="F234" s="2269"/>
      <c r="G234" s="2269"/>
      <c r="H234" s="2270"/>
      <c r="I234" s="2263"/>
      <c r="J234" s="2268"/>
      <c r="K234" s="2269"/>
      <c r="L234" s="2269"/>
      <c r="M234" s="2270"/>
      <c r="N234" s="2263"/>
      <c r="O234" s="2268"/>
      <c r="P234" s="2269"/>
      <c r="Q234" s="2269"/>
      <c r="R234" s="2270"/>
      <c r="S234" s="2263"/>
      <c r="T234" s="2268"/>
      <c r="U234" s="2269"/>
      <c r="V234" s="2269"/>
      <c r="W234" s="2270"/>
      <c r="X234" s="2263"/>
      <c r="Y234" s="2268"/>
      <c r="Z234" s="2269"/>
      <c r="AA234" s="2269"/>
      <c r="AB234" s="2270"/>
      <c r="AC234" s="2263"/>
      <c r="AD234" s="2268"/>
      <c r="AE234" s="2269"/>
      <c r="AF234" s="2269"/>
      <c r="AG234" s="2270"/>
      <c r="AH234" s="2242"/>
      <c r="AI234" s="1614"/>
    </row>
    <row r="235" ht="20.25" customHeight="1">
      <c r="A235" s="1626"/>
      <c r="B235" s="2257"/>
      <c r="C235" s="2271"/>
      <c r="D235" s="2267"/>
      <c r="E235" s="2272" t="s">
        <v>532</v>
      </c>
      <c r="F235" s="2273"/>
      <c r="G235" s="2273"/>
      <c r="H235" s="2274"/>
      <c r="I235" s="2275"/>
      <c r="J235" s="2272" t="s">
        <v>532</v>
      </c>
      <c r="K235" s="2273"/>
      <c r="L235" s="2273"/>
      <c r="M235" s="2274"/>
      <c r="N235" s="2275"/>
      <c r="O235" s="2272" t="s">
        <v>532</v>
      </c>
      <c r="P235" s="2273"/>
      <c r="Q235" s="2273"/>
      <c r="R235" s="2274"/>
      <c r="S235" s="2275"/>
      <c r="T235" s="2272" t="s">
        <v>565</v>
      </c>
      <c r="U235" s="2273"/>
      <c r="V235" s="2273"/>
      <c r="W235" s="2274"/>
      <c r="X235" s="2275"/>
      <c r="Y235" s="2272" t="s">
        <v>531</v>
      </c>
      <c r="Z235" s="2273"/>
      <c r="AA235" s="2273"/>
      <c r="AB235" s="2274"/>
      <c r="AC235" s="2275"/>
      <c r="AD235" s="2272" t="s">
        <v>480</v>
      </c>
      <c r="AE235" s="2273"/>
      <c r="AF235" s="2273"/>
      <c r="AG235" s="2274"/>
      <c r="AH235" s="2242"/>
      <c r="AI235" s="1614"/>
    </row>
    <row r="236">
      <c r="A236" s="1626"/>
      <c r="B236" s="2257"/>
      <c r="C236" s="2276"/>
      <c r="D236" s="2267"/>
      <c r="E236" s="2277" t="s">
        <v>952</v>
      </c>
      <c r="F236" s="2253"/>
      <c r="G236" s="2253"/>
      <c r="H236" s="2254"/>
      <c r="I236" s="2275"/>
      <c r="J236" s="2277" t="s">
        <v>65</v>
      </c>
      <c r="K236" s="2253"/>
      <c r="L236" s="2253"/>
      <c r="M236" s="2254"/>
      <c r="N236" s="2275"/>
      <c r="O236" s="2277" t="s">
        <v>953</v>
      </c>
      <c r="P236" s="2253"/>
      <c r="Q236" s="2253"/>
      <c r="R236" s="2254"/>
      <c r="S236" s="2275"/>
      <c r="T236" s="2277" t="s">
        <v>954</v>
      </c>
      <c r="U236" s="2253"/>
      <c r="V236" s="2253"/>
      <c r="W236" s="2254"/>
      <c r="X236" s="2275"/>
      <c r="Y236" s="2277" t="s">
        <v>603</v>
      </c>
      <c r="Z236" s="2253"/>
      <c r="AA236" s="2253"/>
      <c r="AB236" s="2254"/>
      <c r="AC236" s="2275"/>
      <c r="AD236" s="2277" t="s">
        <v>955</v>
      </c>
      <c r="AE236" s="2253"/>
      <c r="AF236" s="2253"/>
      <c r="AG236" s="2254"/>
      <c r="AH236" s="2242"/>
      <c r="AI236" s="1614"/>
    </row>
    <row r="237" ht="20.25" customHeight="1">
      <c r="A237" s="1626"/>
      <c r="B237" s="2257"/>
      <c r="C237" s="2278"/>
      <c r="D237" s="2267"/>
      <c r="E237" s="2279" t="s">
        <v>956</v>
      </c>
      <c r="F237" s="2234"/>
      <c r="G237" s="2235"/>
      <c r="H237" s="2280" t="str">
        <f>IMAGE("https://raw.githubusercontent.com/msikma/pokesprite/master/items/hold-item/toxic-orb.png",3)</f>
        <v/>
      </c>
      <c r="I237" s="2263"/>
      <c r="J237" s="2279" t="s">
        <v>541</v>
      </c>
      <c r="K237" s="2234"/>
      <c r="L237" s="2235"/>
      <c r="M237" s="2280" t="str">
        <f>IMAGE("https://raw.githubusercontent.com/msikma/pokesprite/master/items/hold-item/life-orb.png",3)</f>
        <v/>
      </c>
      <c r="N237" s="2263"/>
      <c r="O237" s="2279" t="s">
        <v>710</v>
      </c>
      <c r="P237" s="2234"/>
      <c r="Q237" s="2235"/>
      <c r="R237" s="2280" t="str">
        <f>IMAGE("https://raw.githubusercontent.com/msikma/pokesprite/master/items/hold-item/weakness-policy.png",3)</f>
        <v/>
      </c>
      <c r="S237" s="2263"/>
      <c r="T237" s="2279" t="s">
        <v>541</v>
      </c>
      <c r="U237" s="2234"/>
      <c r="V237" s="2235"/>
      <c r="W237" s="2280" t="str">
        <f>IMAGE("https://raw.githubusercontent.com/msikma/pokesprite/master/items/hold-item/life-orb.png",3)</f>
        <v/>
      </c>
      <c r="X237" s="2263"/>
      <c r="Y237" s="2279" t="s">
        <v>713</v>
      </c>
      <c r="Z237" s="2234"/>
      <c r="AA237" s="2235"/>
      <c r="AB237" s="2280" t="str">
        <f>IMAGE("https://raw.githubusercontent.com/msikma/pokesprite/master/items/hold-item/assault-vest.png",3)</f>
        <v/>
      </c>
      <c r="AC237" s="2263"/>
      <c r="AD237" s="2279" t="s">
        <v>957</v>
      </c>
      <c r="AE237" s="2234"/>
      <c r="AF237" s="2235"/>
      <c r="AG237" s="2280" t="str">
        <f>IMAGE("https://raw.githubusercontent.com/msikma/pokesprite/master/items/mega-stone/aggronite.png",3)</f>
        <v/>
      </c>
      <c r="AH237" s="2242"/>
      <c r="AI237" s="1614"/>
    </row>
    <row r="238" ht="20.25" customHeight="1">
      <c r="A238" s="1626"/>
      <c r="B238" s="2257"/>
      <c r="C238" s="2281"/>
      <c r="D238" s="2267"/>
      <c r="E238" s="2272" t="s">
        <v>191</v>
      </c>
      <c r="F238" s="2273"/>
      <c r="G238" s="2273"/>
      <c r="H238" s="2282" t="str">
        <f>IMAGE("https://raw.githubusercontent.com/msikma/pokesprite/master/misc/types/gen8/rock.png",4,20,20)</f>
        <v/>
      </c>
      <c r="I238" s="2263"/>
      <c r="J238" s="2272" t="s">
        <v>615</v>
      </c>
      <c r="K238" s="2273"/>
      <c r="L238" s="2273"/>
      <c r="M238" s="2282" t="str">
        <f>IMAGE("https://raw.githubusercontent.com/msikma/pokesprite/master/misc/types/gen8/grass.png",4,20,20)</f>
        <v/>
      </c>
      <c r="N238" s="2263"/>
      <c r="O238" s="2272" t="s">
        <v>219</v>
      </c>
      <c r="P238" s="2273"/>
      <c r="Q238" s="2273"/>
      <c r="R238" s="2282" t="str">
        <f>IMAGE("https://raw.githubusercontent.com/msikma/pokesprite/master/misc/types/gen8/dragon.png",4,20,20)</f>
        <v/>
      </c>
      <c r="S238" s="2263"/>
      <c r="T238" s="2272" t="s">
        <v>958</v>
      </c>
      <c r="U238" s="2273"/>
      <c r="V238" s="2273"/>
      <c r="W238" s="2282" t="str">
        <f>IMAGE("https://raw.githubusercontent.com/msikma/pokesprite/master/misc/types/gen8/normal.png",4,20,20)</f>
        <v/>
      </c>
      <c r="X238" s="2263"/>
      <c r="Y238" s="2272" t="s">
        <v>547</v>
      </c>
      <c r="Z238" s="2273"/>
      <c r="AA238" s="2273"/>
      <c r="AB238" s="2282" t="str">
        <f>IMAGE("https://raw.githubusercontent.com/msikma/pokesprite/master/misc/types/gen8/electric.png",4,20,20)</f>
        <v/>
      </c>
      <c r="AC238" s="2263"/>
      <c r="AD238" s="2272" t="s">
        <v>208</v>
      </c>
      <c r="AE238" s="2273"/>
      <c r="AF238" s="2273"/>
      <c r="AG238" s="2282" t="str">
        <f>IMAGE("https://raw.githubusercontent.com/msikma/pokesprite/master/misc/types/gen8/ghost.png",4,20,20)</f>
        <v/>
      </c>
      <c r="AH238" s="2242"/>
      <c r="AI238" s="1614"/>
    </row>
    <row r="239" ht="20.25" customHeight="1">
      <c r="A239" s="1626"/>
      <c r="B239" s="2257"/>
      <c r="C239" s="2271"/>
      <c r="D239" s="2267"/>
      <c r="E239" s="2277" t="s">
        <v>622</v>
      </c>
      <c r="F239" s="2253"/>
      <c r="G239" s="2253"/>
      <c r="H239" s="2283" t="str">
        <f>IMAGE("https://raw.githubusercontent.com/msikma/pokesprite/master/misc/types/gen8/ground.png",4,20,20)</f>
        <v/>
      </c>
      <c r="I239" s="2263"/>
      <c r="J239" s="2277" t="s">
        <v>959</v>
      </c>
      <c r="K239" s="2253"/>
      <c r="L239" s="2253"/>
      <c r="M239" s="2283" t="str">
        <f>IMAGE("https://raw.githubusercontent.com/msikma/pokesprite/master/misc/types/gen8/fairy.png",4,20,20)</f>
        <v/>
      </c>
      <c r="N239" s="2263"/>
      <c r="O239" s="2277" t="s">
        <v>960</v>
      </c>
      <c r="P239" s="2253"/>
      <c r="Q239" s="2253"/>
      <c r="R239" s="2283" t="str">
        <f>IMAGE("https://raw.githubusercontent.com/msikma/pokesprite/master/misc/types/gen8/steel.png",4,20,20)</f>
        <v/>
      </c>
      <c r="S239" s="2263"/>
      <c r="T239" s="2277" t="s">
        <v>612</v>
      </c>
      <c r="U239" s="2253"/>
      <c r="V239" s="2253"/>
      <c r="W239" s="2283" t="str">
        <f>IMAGE("https://raw.githubusercontent.com/msikma/pokesprite/master/misc/types/gen8/bug.png",4,20,20)</f>
        <v/>
      </c>
      <c r="X239" s="2263"/>
      <c r="Y239" s="2277" t="s">
        <v>646</v>
      </c>
      <c r="Z239" s="2253"/>
      <c r="AA239" s="2253"/>
      <c r="AB239" s="2283" t="str">
        <f>IMAGE("https://raw.githubusercontent.com/msikma/pokesprite/master/misc/types/gen8/steel.png",4,20,20)</f>
        <v/>
      </c>
      <c r="AC239" s="2263"/>
      <c r="AD239" s="2277" t="s">
        <v>961</v>
      </c>
      <c r="AE239" s="2253"/>
      <c r="AF239" s="2253"/>
      <c r="AG239" s="2283" t="str">
        <f>IMAGE("https://raw.githubusercontent.com/msikma/pokesprite/master/misc/types/gen8/steel.png",4,20,20)</f>
        <v/>
      </c>
      <c r="AH239" s="2242"/>
      <c r="AI239" s="1614"/>
    </row>
    <row r="240" ht="20.25" customHeight="1">
      <c r="A240" s="1626"/>
      <c r="B240" s="2257"/>
      <c r="C240" s="2271"/>
      <c r="D240" s="2267"/>
      <c r="E240" s="2277" t="s">
        <v>184</v>
      </c>
      <c r="F240" s="2253"/>
      <c r="G240" s="2253"/>
      <c r="H240" s="2283" t="str">
        <f>IMAGE("https://raw.githubusercontent.com/msikma/pokesprite/master/misc/types/gen8/normal.png",4,20,20)</f>
        <v/>
      </c>
      <c r="I240" s="2263"/>
      <c r="J240" s="2277" t="s">
        <v>583</v>
      </c>
      <c r="K240" s="2253"/>
      <c r="L240" s="2253"/>
      <c r="M240" s="2283" t="str">
        <f>IMAGE("https://raw.githubusercontent.com/msikma/pokesprite/master/misc/types/gen8/fighting.png",4,20,20)</f>
        <v/>
      </c>
      <c r="N240" s="2263"/>
      <c r="O240" s="2277" t="s">
        <v>621</v>
      </c>
      <c r="P240" s="2253"/>
      <c r="Q240" s="2253"/>
      <c r="R240" s="2283" t="str">
        <f>IMAGE("https://raw.githubusercontent.com/msikma/pokesprite/master/misc/types/gen8/rock.png",4,20,20)</f>
        <v/>
      </c>
      <c r="S240" s="2263"/>
      <c r="T240" s="2277" t="s">
        <v>619</v>
      </c>
      <c r="U240" s="2253"/>
      <c r="V240" s="2253"/>
      <c r="W240" s="2283" t="str">
        <f>IMAGE("https://raw.githubusercontent.com/msikma/pokesprite/master/misc/types/gen8/fire.png",4,20,20)</f>
        <v/>
      </c>
      <c r="X240" s="2263"/>
      <c r="Y240" s="2277" t="s">
        <v>553</v>
      </c>
      <c r="Z240" s="2253"/>
      <c r="AA240" s="2253"/>
      <c r="AB240" s="2283" t="str">
        <f>IMAGE("https://raw.githubusercontent.com/msikma/pokesprite/master/misc/types/gen8/grass.png",4,20,20)</f>
        <v/>
      </c>
      <c r="AC240" s="2263"/>
      <c r="AD240" s="2277" t="s">
        <v>738</v>
      </c>
      <c r="AE240" s="2253"/>
      <c r="AF240" s="2253"/>
      <c r="AG240" s="2283" t="str">
        <f>IMAGE("https://raw.githubusercontent.com/msikma/pokesprite/master/misc/types/gen8/psychic.png",4,20,20)</f>
        <v/>
      </c>
      <c r="AH240" s="2242"/>
      <c r="AI240" s="1614"/>
    </row>
    <row r="241" ht="21.0" customHeight="1">
      <c r="A241" s="1626"/>
      <c r="B241" s="2257"/>
      <c r="C241" s="2271"/>
      <c r="D241" s="2267"/>
      <c r="E241" s="2284" t="s">
        <v>503</v>
      </c>
      <c r="F241" s="2285"/>
      <c r="G241" s="2285"/>
      <c r="H241" s="2286" t="str">
        <f>IMAGE("https://raw.githubusercontent.com/msikma/pokesprite/master/misc/types/gen8/poison.png",4,20,20)</f>
        <v/>
      </c>
      <c r="I241" s="2263"/>
      <c r="J241" s="2284" t="s">
        <v>287</v>
      </c>
      <c r="K241" s="2285"/>
      <c r="L241" s="2285"/>
      <c r="M241" s="2286" t="str">
        <f>IMAGE("https://raw.githubusercontent.com/msikma/pokesprite/master/misc/types/gen8/normal.png",4,20,20)</f>
        <v/>
      </c>
      <c r="N241" s="2263"/>
      <c r="O241" s="2284" t="s">
        <v>622</v>
      </c>
      <c r="P241" s="2285"/>
      <c r="Q241" s="2285"/>
      <c r="R241" s="2286" t="str">
        <f>IMAGE("https://raw.githubusercontent.com/msikma/pokesprite/master/misc/types/gen8/ground.png",4,20,20)</f>
        <v/>
      </c>
      <c r="S241" s="2263"/>
      <c r="T241" s="2284" t="s">
        <v>547</v>
      </c>
      <c r="U241" s="2285"/>
      <c r="V241" s="2285"/>
      <c r="W241" s="2286" t="str">
        <f>IMAGE("https://raw.githubusercontent.com/msikma/pokesprite/master/misc/types/gen8/electric.png",4,20,20)</f>
        <v/>
      </c>
      <c r="X241" s="2263"/>
      <c r="Y241" s="2284" t="s">
        <v>720</v>
      </c>
      <c r="Z241" s="2285"/>
      <c r="AA241" s="2285"/>
      <c r="AB241" s="2286" t="str">
        <f>IMAGE("https://raw.githubusercontent.com/msikma/pokesprite/master/misc/types/gen8/fighting.png",4,20,20)</f>
        <v/>
      </c>
      <c r="AC241" s="2263"/>
      <c r="AD241" s="2284" t="s">
        <v>698</v>
      </c>
      <c r="AE241" s="2285"/>
      <c r="AF241" s="2285"/>
      <c r="AG241" s="2286" t="str">
        <f>IMAGE("https://raw.githubusercontent.com/msikma/pokesprite/master/misc/types/gen8/normal.png",4,20,20)</f>
        <v/>
      </c>
      <c r="AH241" s="2242"/>
      <c r="AI241" s="1614"/>
    </row>
    <row r="242" ht="3.0" customHeight="1">
      <c r="A242" s="1626"/>
      <c r="B242" s="2287"/>
      <c r="C242" s="2232"/>
      <c r="D242" s="2288"/>
      <c r="E242" s="2190"/>
      <c r="F242" s="2190"/>
      <c r="G242" s="2190"/>
      <c r="H242" s="2190"/>
      <c r="I242" s="2288"/>
      <c r="J242" s="2190"/>
      <c r="K242" s="2190"/>
      <c r="L242" s="2190"/>
      <c r="M242" s="2190"/>
      <c r="N242" s="2288"/>
      <c r="O242" s="2190"/>
      <c r="P242" s="2190"/>
      <c r="Q242" s="2190"/>
      <c r="R242" s="2190"/>
      <c r="S242" s="2288"/>
      <c r="T242" s="2190"/>
      <c r="U242" s="2190"/>
      <c r="V242" s="2190"/>
      <c r="W242" s="2190"/>
      <c r="X242" s="2288"/>
      <c r="Y242" s="2190"/>
      <c r="Z242" s="2191"/>
      <c r="AA242" s="2191"/>
      <c r="AB242" s="2192"/>
      <c r="AC242" s="2288"/>
      <c r="AD242" s="2193"/>
      <c r="AE242" s="2193"/>
      <c r="AF242" s="2193"/>
      <c r="AG242" s="2194"/>
      <c r="AH242" s="2289"/>
      <c r="AI242" s="1684"/>
    </row>
    <row r="243" ht="16.5" customHeight="1">
      <c r="A243" s="1626"/>
      <c r="B243" s="2231"/>
      <c r="C243" s="2232"/>
      <c r="D243" s="2290"/>
      <c r="E243" s="2291" t="s">
        <v>512</v>
      </c>
      <c r="F243" s="606"/>
      <c r="G243" s="606"/>
      <c r="H243" s="607"/>
      <c r="I243" s="2290"/>
      <c r="J243" s="2291" t="s">
        <v>512</v>
      </c>
      <c r="K243" s="606"/>
      <c r="L243" s="606"/>
      <c r="M243" s="607"/>
      <c r="N243" s="2290"/>
      <c r="O243" s="2291" t="s">
        <v>512</v>
      </c>
      <c r="P243" s="606"/>
      <c r="Q243" s="606"/>
      <c r="R243" s="607"/>
      <c r="S243" s="2290"/>
      <c r="T243" s="2291" t="s">
        <v>512</v>
      </c>
      <c r="U243" s="606"/>
      <c r="V243" s="606"/>
      <c r="W243" s="607"/>
      <c r="X243" s="2290"/>
      <c r="Y243" s="2291" t="s">
        <v>512</v>
      </c>
      <c r="Z243" s="606"/>
      <c r="AA243" s="606"/>
      <c r="AB243" s="607"/>
      <c r="AC243" s="2290"/>
      <c r="AD243" s="2291" t="s">
        <v>512</v>
      </c>
      <c r="AE243" s="606"/>
      <c r="AF243" s="606"/>
      <c r="AG243" s="607"/>
      <c r="AH243" s="2292"/>
      <c r="AI243" s="1692"/>
    </row>
    <row r="244" ht="16.5" customHeight="1">
      <c r="A244" s="1626"/>
      <c r="B244" s="2231"/>
      <c r="C244" s="2232"/>
      <c r="D244" s="2290"/>
      <c r="E244" s="2293" t="s">
        <v>513</v>
      </c>
      <c r="F244" s="2294">
        <f t="array" ref="F244">IFERROR(VLOOKUP(E231,Dex!$B$3:$N252,8,FALSE),"")</f>
        <v>75</v>
      </c>
      <c r="G244" s="2295" t="str">
        <f t="array" ref="G244">IFERROR(VLOOKUP(F244,Dex!$P$22:$Q$276,2,FALSE),"")</f>
        <v/>
      </c>
      <c r="H244" s="2296"/>
      <c r="I244" s="2297"/>
      <c r="J244" s="2293" t="s">
        <v>513</v>
      </c>
      <c r="K244" s="2294">
        <f t="array" ref="K244">IFERROR(VLOOKUP(J231,Dex!$B$3:$N252,8,FALSE),"")</f>
        <v>70</v>
      </c>
      <c r="L244" s="2295" t="str">
        <f t="array" ref="L244">IFERROR(VLOOKUP(K244,Dex!$P$22:$Q$276,2,FALSE),"")</f>
        <v/>
      </c>
      <c r="M244" s="2296"/>
      <c r="N244" s="2297"/>
      <c r="O244" s="2293" t="s">
        <v>513</v>
      </c>
      <c r="P244" s="2294">
        <f t="array" ref="P244">IFERROR(VLOOKUP(O231,Dex!$B$3:$N252,8,FALSE),"")</f>
        <v>97</v>
      </c>
      <c r="Q244" s="2295" t="str">
        <f t="array" ref="Q244">IFERROR(VLOOKUP(P244,Dex!$P$22:$Q$276,2,FALSE),"")</f>
        <v/>
      </c>
      <c r="R244" s="2296"/>
      <c r="S244" s="2297"/>
      <c r="T244" s="2293" t="s">
        <v>513</v>
      </c>
      <c r="U244" s="2294">
        <f t="array" ref="U244">IFERROR(VLOOKUP(T231,Dex!$B$3:$N252,8,FALSE),"")</f>
        <v>71</v>
      </c>
      <c r="V244" s="2295" t="str">
        <f t="array" ref="V244">IFERROR(VLOOKUP(U244,Dex!$P$22:$Q$276,2,FALSE),"")</f>
        <v/>
      </c>
      <c r="W244" s="2296"/>
      <c r="X244" s="2297"/>
      <c r="Y244" s="2293" t="s">
        <v>513</v>
      </c>
      <c r="Z244" s="2294">
        <f t="array" ref="Z244">IFERROR(VLOOKUP(Y231,Dex!$B$3:$N252,8,FALSE),"")</f>
        <v>70</v>
      </c>
      <c r="AA244" s="2295" t="str">
        <f t="array" ref="AA244">IFERROR(VLOOKUP(Z244,Dex!$P$22:$Q$276,2,FALSE),"")</f>
        <v/>
      </c>
      <c r="AB244" s="2296"/>
      <c r="AC244" s="2297"/>
      <c r="AD244" s="2293" t="s">
        <v>513</v>
      </c>
      <c r="AE244" s="2294">
        <f t="array" ref="AE244">IFERROR(VLOOKUP(AD231,Dex!$B$3:$N252,8,FALSE),"")</f>
        <v>70</v>
      </c>
      <c r="AF244" s="2295" t="str">
        <f t="array" ref="AF244">IFERROR(VLOOKUP(AE244,Dex!$P$22:$Q$276,2,FALSE),"")</f>
        <v/>
      </c>
      <c r="AG244" s="2296"/>
      <c r="AH244" s="2298"/>
      <c r="AI244" s="1692"/>
    </row>
    <row r="245" ht="16.5" customHeight="1">
      <c r="A245" s="1626"/>
      <c r="B245" s="2231"/>
      <c r="C245" s="2232"/>
      <c r="D245" s="2290"/>
      <c r="E245" s="2299" t="s">
        <v>514</v>
      </c>
      <c r="F245" s="2300">
        <f t="array" ref="F245">IFERROR(VLOOKUP(E231,Dex!$B$3:$N252,9,FALSE),"")</f>
        <v>95</v>
      </c>
      <c r="G245" s="2301" t="str">
        <f t="array" ref="G245">IFERROR(VLOOKUP(F245,Dex!$P$22:$Q$276,2,FALSE),"")</f>
        <v/>
      </c>
      <c r="H245" s="2302"/>
      <c r="I245" s="2297"/>
      <c r="J245" s="2299" t="s">
        <v>514</v>
      </c>
      <c r="K245" s="2300">
        <f t="array" ref="K245">IFERROR(VLOOKUP(J231,Dex!$B$3:$N252,9,FALSE),"")</f>
        <v>130</v>
      </c>
      <c r="L245" s="2301" t="str">
        <f t="array" ref="L245">IFERROR(VLOOKUP(K245,Dex!$P$22:$Q$276,2,FALSE),"")</f>
        <v/>
      </c>
      <c r="M245" s="2302"/>
      <c r="N245" s="2297"/>
      <c r="O245" s="2299" t="s">
        <v>514</v>
      </c>
      <c r="P245" s="2300">
        <f t="array" ref="P245">IFERROR(VLOOKUP(O231,Dex!$B$3:$N252,9,FALSE),"")</f>
        <v>157</v>
      </c>
      <c r="Q245" s="2301" t="str">
        <f t="array" ref="Q245">IFERROR(VLOOKUP(P245,Dex!$P$22:$Q$276,2,FALSE),"")</f>
        <v/>
      </c>
      <c r="R245" s="2302"/>
      <c r="S245" s="2297"/>
      <c r="T245" s="2299" t="s">
        <v>514</v>
      </c>
      <c r="U245" s="2300">
        <f t="array" ref="U245">IFERROR(VLOOKUP(T231,Dex!$B$3:$N252,9,FALSE),"")</f>
        <v>120</v>
      </c>
      <c r="V245" s="2301" t="str">
        <f t="array" ref="V245">IFERROR(VLOOKUP(U245,Dex!$P$22:$Q$276,2,FALSE),"")</f>
        <v/>
      </c>
      <c r="W245" s="2302"/>
      <c r="X245" s="2297"/>
      <c r="Y245" s="2299" t="s">
        <v>514</v>
      </c>
      <c r="Z245" s="2300">
        <f t="array" ref="Z245">IFERROR(VLOOKUP(Y231,Dex!$B$3:$N252,9,FALSE),"")</f>
        <v>70</v>
      </c>
      <c r="AA245" s="2301" t="str">
        <f t="array" ref="AA245">IFERROR(VLOOKUP(Z245,Dex!$P$22:$Q$276,2,FALSE),"")</f>
        <v/>
      </c>
      <c r="AB245" s="2302"/>
      <c r="AC245" s="2297"/>
      <c r="AD245" s="2299" t="s">
        <v>514</v>
      </c>
      <c r="AE245" s="2300">
        <f t="array" ref="AE245">IFERROR(VLOOKUP(AD231,Dex!$B$3:$N252,9,FALSE),"")</f>
        <v>140</v>
      </c>
      <c r="AF245" s="2301" t="str">
        <f t="array" ref="AF245">IFERROR(VLOOKUP(AE245,Dex!$P$22:$Q$276,2,FALSE),"")</f>
        <v/>
      </c>
      <c r="AG245" s="2302"/>
      <c r="AH245" s="2298"/>
      <c r="AI245" s="1692"/>
    </row>
    <row r="246" ht="16.5" customHeight="1">
      <c r="A246" s="1626"/>
      <c r="B246" s="2231"/>
      <c r="C246" s="2232"/>
      <c r="D246" s="2290"/>
      <c r="E246" s="2299" t="s">
        <v>515</v>
      </c>
      <c r="F246" s="2300">
        <f t="array" ref="F246">IFERROR(VLOOKUP(E231,Dex!$B$3:$N252,10,FALSE),"")</f>
        <v>125</v>
      </c>
      <c r="G246" s="2301" t="str">
        <f t="array" ref="G246">IFERROR(VLOOKUP(F246,Dex!$P$22:$Q$276,2,FALSE),"")</f>
        <v/>
      </c>
      <c r="H246" s="2302"/>
      <c r="I246" s="2297"/>
      <c r="J246" s="2299" t="s">
        <v>515</v>
      </c>
      <c r="K246" s="2300">
        <f t="array" ref="K246">IFERROR(VLOOKUP(J231,Dex!$B$3:$N252,10,FALSE),"")</f>
        <v>115</v>
      </c>
      <c r="L246" s="2301" t="str">
        <f t="array" ref="L246">IFERROR(VLOOKUP(K246,Dex!$P$22:$Q$276,2,FALSE),"")</f>
        <v/>
      </c>
      <c r="M246" s="2302"/>
      <c r="N246" s="2297"/>
      <c r="O246" s="2299" t="s">
        <v>515</v>
      </c>
      <c r="P246" s="2300">
        <f t="array" ref="P246">IFERROR(VLOOKUP(O231,Dex!$B$3:$N252,10,FALSE),"")</f>
        <v>127</v>
      </c>
      <c r="Q246" s="2301" t="str">
        <f t="array" ref="Q246">IFERROR(VLOOKUP(P246,Dex!$P$22:$Q$276,2,FALSE),"")</f>
        <v/>
      </c>
      <c r="R246" s="2302"/>
      <c r="S246" s="2297"/>
      <c r="T246" s="2299" t="s">
        <v>515</v>
      </c>
      <c r="U246" s="2300">
        <f t="array" ref="U246">IFERROR(VLOOKUP(T231,Dex!$B$3:$N252,10,FALSE),"")</f>
        <v>95</v>
      </c>
      <c r="V246" s="2301" t="str">
        <f t="array" ref="V246">IFERROR(VLOOKUP(U246,Dex!$P$22:$Q$276,2,FALSE),"")</f>
        <v/>
      </c>
      <c r="W246" s="2302"/>
      <c r="X246" s="2297"/>
      <c r="Y246" s="2299" t="s">
        <v>515</v>
      </c>
      <c r="Z246" s="2300">
        <f t="array" ref="Z246">IFERROR(VLOOKUP(Y231,Dex!$B$3:$N252,10,FALSE),"")</f>
        <v>115</v>
      </c>
      <c r="AA246" s="2301" t="str">
        <f t="array" ref="AA246">IFERROR(VLOOKUP(Z246,Dex!$P$22:$Q$276,2,FALSE),"")</f>
        <v/>
      </c>
      <c r="AB246" s="2302"/>
      <c r="AC246" s="2297"/>
      <c r="AD246" s="2299" t="s">
        <v>515</v>
      </c>
      <c r="AE246" s="2300">
        <f t="array" ref="AE246">IFERROR(VLOOKUP(AD231,Dex!$B$3:$N252,10,FALSE),"")</f>
        <v>230</v>
      </c>
      <c r="AF246" s="2301" t="str">
        <f t="array" ref="AF246">IFERROR(VLOOKUP(AE246,Dex!$P$22:$Q$276,2,FALSE),"")</f>
        <v/>
      </c>
      <c r="AG246" s="2302"/>
      <c r="AH246" s="2298"/>
      <c r="AI246" s="1692"/>
    </row>
    <row r="247" ht="16.5" customHeight="1">
      <c r="A247" s="1626"/>
      <c r="B247" s="2231"/>
      <c r="C247" s="2232"/>
      <c r="D247" s="2290"/>
      <c r="E247" s="2299" t="s">
        <v>516</v>
      </c>
      <c r="F247" s="2300">
        <f t="array" ref="F247">IFERROR(VLOOKUP(E231,Dex!$B$3:$N252,11,FALSE),"")</f>
        <v>45</v>
      </c>
      <c r="G247" s="2301" t="str">
        <f t="array" ref="G247">IFERROR(VLOOKUP(F247,Dex!$P$22:$Q$276,2,FALSE),"")</f>
        <v/>
      </c>
      <c r="H247" s="2302"/>
      <c r="I247" s="2297"/>
      <c r="J247" s="2299" t="s">
        <v>516</v>
      </c>
      <c r="K247" s="2300">
        <f t="array" ref="K247">IFERROR(VLOOKUP(J231,Dex!$B$3:$N252,11,FALSE),"")</f>
        <v>85</v>
      </c>
      <c r="L247" s="2301" t="str">
        <f t="array" ref="L247">IFERROR(VLOOKUP(K247,Dex!$P$22:$Q$276,2,FALSE),"")</f>
        <v/>
      </c>
      <c r="M247" s="2302"/>
      <c r="N247" s="2297"/>
      <c r="O247" s="2299" t="s">
        <v>516</v>
      </c>
      <c r="P247" s="2300">
        <f t="array" ref="P247">IFERROR(VLOOKUP(O231,Dex!$B$3:$N252,11,FALSE),"")</f>
        <v>113</v>
      </c>
      <c r="Q247" s="2301" t="str">
        <f t="array" ref="Q247">IFERROR(VLOOKUP(P247,Dex!$P$22:$Q$276,2,FALSE),"")</f>
        <v/>
      </c>
      <c r="R247" s="2302"/>
      <c r="S247" s="2297"/>
      <c r="T247" s="2299" t="s">
        <v>516</v>
      </c>
      <c r="U247" s="2300">
        <f t="array" ref="U247">IFERROR(VLOOKUP(T231,Dex!$B$3:$N252,11,FALSE),"")</f>
        <v>120</v>
      </c>
      <c r="V247" s="2301" t="str">
        <f t="array" ref="V247">IFERROR(VLOOKUP(U247,Dex!$P$22:$Q$276,2,FALSE),"")</f>
        <v/>
      </c>
      <c r="W247" s="2302"/>
      <c r="X247" s="2297"/>
      <c r="Y247" s="2299" t="s">
        <v>516</v>
      </c>
      <c r="Z247" s="2300">
        <f t="array" ref="Z247">IFERROR(VLOOKUP(Y231,Dex!$B$3:$N252,11,FALSE),"")</f>
        <v>130</v>
      </c>
      <c r="AA247" s="2301" t="str">
        <f t="array" ref="AA247">IFERROR(VLOOKUP(Z247,Dex!$P$22:$Q$276,2,FALSE),"")</f>
        <v/>
      </c>
      <c r="AB247" s="2302"/>
      <c r="AC247" s="2297"/>
      <c r="AD247" s="2299" t="s">
        <v>516</v>
      </c>
      <c r="AE247" s="2300">
        <f t="array" ref="AE247">IFERROR(VLOOKUP(AD231,Dex!$B$3:$N252,11,FALSE),"")</f>
        <v>60</v>
      </c>
      <c r="AF247" s="2301" t="str">
        <f t="array" ref="AF247">IFERROR(VLOOKUP(AE247,Dex!$P$22:$Q$276,2,FALSE),"")</f>
        <v/>
      </c>
      <c r="AG247" s="2302"/>
      <c r="AH247" s="2298"/>
      <c r="AI247" s="1692"/>
    </row>
    <row r="248" ht="16.5" customHeight="1">
      <c r="A248" s="1626"/>
      <c r="B248" s="2231"/>
      <c r="C248" s="2232"/>
      <c r="D248" s="2290"/>
      <c r="E248" s="2299" t="s">
        <v>517</v>
      </c>
      <c r="F248" s="2300">
        <f t="array" ref="F248">IFERROR(VLOOKUP(E231,Dex!$B$3:$N252,12,FALSE),"")</f>
        <v>75</v>
      </c>
      <c r="G248" s="2301" t="str">
        <f t="array" ref="G248">IFERROR(VLOOKUP(F248,Dex!$P$22:$Q$276,2,FALSE),"")</f>
        <v/>
      </c>
      <c r="H248" s="2302"/>
      <c r="I248" s="2297"/>
      <c r="J248" s="2299" t="s">
        <v>517</v>
      </c>
      <c r="K248" s="2300">
        <f t="array" ref="K248">IFERROR(VLOOKUP(J231,Dex!$B$3:$N252,12,FALSE),"")</f>
        <v>95</v>
      </c>
      <c r="L248" s="2301" t="str">
        <f t="array" ref="L248">IFERROR(VLOOKUP(K248,Dex!$P$22:$Q$276,2,FALSE),"")</f>
        <v/>
      </c>
      <c r="M248" s="2302"/>
      <c r="N248" s="2297"/>
      <c r="O248" s="2299" t="s">
        <v>517</v>
      </c>
      <c r="P248" s="2300">
        <f t="array" ref="P248">IFERROR(VLOOKUP(O231,Dex!$B$3:$N252,12,FALSE),"")</f>
        <v>109</v>
      </c>
      <c r="Q248" s="2301" t="str">
        <f t="array" ref="Q248">IFERROR(VLOOKUP(P248,Dex!$P$22:$Q$276,2,FALSE),"")</f>
        <v/>
      </c>
      <c r="R248" s="2302"/>
      <c r="S248" s="2297"/>
      <c r="T248" s="2299" t="s">
        <v>517</v>
      </c>
      <c r="U248" s="2300">
        <f t="array" ref="U248">IFERROR(VLOOKUP(T231,Dex!$B$3:$N252,12,FALSE),"")</f>
        <v>95</v>
      </c>
      <c r="V248" s="2301" t="str">
        <f t="array" ref="V248">IFERROR(VLOOKUP(U248,Dex!$P$22:$Q$276,2,FALSE),"")</f>
        <v/>
      </c>
      <c r="W248" s="2302"/>
      <c r="X248" s="2297"/>
      <c r="Y248" s="2299" t="s">
        <v>517</v>
      </c>
      <c r="Z248" s="2300">
        <f t="array" ref="Z248">IFERROR(VLOOKUP(Y231,Dex!$B$3:$N252,12,FALSE),"")</f>
        <v>90</v>
      </c>
      <c r="AA248" s="2301" t="str">
        <f t="array" ref="AA248">IFERROR(VLOOKUP(Z248,Dex!$P$22:$Q$276,2,FALSE),"")</f>
        <v/>
      </c>
      <c r="AB248" s="2302"/>
      <c r="AC248" s="2297"/>
      <c r="AD248" s="2299" t="s">
        <v>517</v>
      </c>
      <c r="AE248" s="2300">
        <f t="array" ref="AE248">IFERROR(VLOOKUP(AD231,Dex!$B$3:$N252,12,FALSE),"")</f>
        <v>80</v>
      </c>
      <c r="AF248" s="2301" t="str">
        <f t="array" ref="AF248">IFERROR(VLOOKUP(AE248,Dex!$P$22:$Q$276,2,FALSE),"")</f>
        <v/>
      </c>
      <c r="AG248" s="2302"/>
      <c r="AH248" s="2298"/>
      <c r="AI248" s="1692"/>
    </row>
    <row r="249" ht="15.75" customHeight="1">
      <c r="A249" s="1626"/>
      <c r="B249" s="2231"/>
      <c r="C249" s="1426" t="s">
        <v>745</v>
      </c>
      <c r="D249" s="2290"/>
      <c r="E249" s="2303" t="s">
        <v>518</v>
      </c>
      <c r="F249" s="2304">
        <f t="array" ref="F249">IFERROR(VLOOKUP(E231,Dex!$B$3:$N252,13,FALSE),"")</f>
        <v>95</v>
      </c>
      <c r="G249" s="2305" t="str">
        <f t="array" ref="G249">IFERROR(VLOOKUP(F249,Dex!$P$22:$Q$276,2,FALSE),"")</f>
        <v/>
      </c>
      <c r="H249" s="2306"/>
      <c r="I249" s="2297"/>
      <c r="J249" s="2303" t="s">
        <v>518</v>
      </c>
      <c r="K249" s="2304">
        <f t="array" ref="K249">IFERROR(VLOOKUP(J231,Dex!$B$3:$N252,13,FALSE),"")</f>
        <v>75</v>
      </c>
      <c r="L249" s="2305" t="str">
        <f t="array" ref="L249">IFERROR(VLOOKUP(K249,Dex!$P$22:$Q$276,2,FALSE),"")</f>
        <v/>
      </c>
      <c r="M249" s="2306"/>
      <c r="N249" s="2297"/>
      <c r="O249" s="2303" t="s">
        <v>518</v>
      </c>
      <c r="P249" s="2304">
        <f t="array" ref="P249">IFERROR(VLOOKUP(O231,Dex!$B$3:$N252,13,FALSE),"")</f>
        <v>77</v>
      </c>
      <c r="Q249" s="2305" t="str">
        <f t="array" ref="Q249">IFERROR(VLOOKUP(P249,Dex!$P$22:$Q$276,2,FALSE),"")</f>
        <v/>
      </c>
      <c r="R249" s="2306"/>
      <c r="S249" s="2297"/>
      <c r="T249" s="2303" t="s">
        <v>518</v>
      </c>
      <c r="U249" s="2304">
        <f t="array" ref="U249">IFERROR(VLOOKUP(T231,Dex!$B$3:$N252,13,FALSE),"")</f>
        <v>99</v>
      </c>
      <c r="V249" s="2305" t="str">
        <f t="array" ref="V249">IFERROR(VLOOKUP(U249,Dex!$P$22:$Q$276,2,FALSE),"")</f>
        <v/>
      </c>
      <c r="W249" s="2306"/>
      <c r="X249" s="2297"/>
      <c r="Y249" s="2303" t="s">
        <v>518</v>
      </c>
      <c r="Z249" s="2304">
        <f t="array" ref="Z249">IFERROR(VLOOKUP(Y231,Dex!$B$3:$N252,13,FALSE),"")</f>
        <v>60</v>
      </c>
      <c r="AA249" s="2305" t="str">
        <f t="array" ref="AA249">IFERROR(VLOOKUP(Z249,Dex!$P$22:$Q$276,2,FALSE),"")</f>
        <v/>
      </c>
      <c r="AB249" s="2306"/>
      <c r="AC249" s="2297"/>
      <c r="AD249" s="2303" t="s">
        <v>518</v>
      </c>
      <c r="AE249" s="2304">
        <f t="array" ref="AE249">IFERROR(VLOOKUP(AD231,Dex!$B$3:$N252,13,FALSE),"")</f>
        <v>50</v>
      </c>
      <c r="AF249" s="2305" t="str">
        <f t="array" ref="AF249">IFERROR(VLOOKUP(AE249,Dex!$P$22:$Q$276,2,FALSE),"")</f>
        <v/>
      </c>
      <c r="AG249" s="2306"/>
      <c r="AH249" s="2298"/>
      <c r="AI249" s="1692"/>
    </row>
    <row r="250" ht="16.5" customHeight="1">
      <c r="A250" s="1626"/>
      <c r="B250" s="2231"/>
      <c r="C250" s="1427" t="s">
        <v>929</v>
      </c>
      <c r="D250" s="2290"/>
      <c r="E250" s="2307" t="s">
        <v>519</v>
      </c>
      <c r="F250" s="630"/>
      <c r="G250" s="631"/>
      <c r="H250" s="632">
        <f>ROUNDDOWN((ROUNDDOWN(((((2*F249+31)*73)/100+5)),0))*1.1,0)</f>
        <v>182</v>
      </c>
      <c r="I250" s="2290"/>
      <c r="J250" s="2307" t="s">
        <v>519</v>
      </c>
      <c r="K250" s="630"/>
      <c r="L250" s="631"/>
      <c r="M250" s="632">
        <f>ROUNDDOWN((ROUNDDOWN(((((2*K249+31)*73)/100+5)),0))*1.1,0)</f>
        <v>150</v>
      </c>
      <c r="N250" s="2290"/>
      <c r="O250" s="2307" t="s">
        <v>519</v>
      </c>
      <c r="P250" s="630"/>
      <c r="Q250" s="631"/>
      <c r="R250" s="632">
        <f>ROUNDDOWN((ROUNDDOWN(((((2*P249+31)*73)/100+5)),0))*1.1,0)</f>
        <v>154</v>
      </c>
      <c r="S250" s="2290"/>
      <c r="T250" s="2307" t="s">
        <v>519</v>
      </c>
      <c r="U250" s="630"/>
      <c r="V250" s="631"/>
      <c r="W250" s="632">
        <f>ROUNDDOWN((ROUNDDOWN(((((2*U249+31)*73)/100+5)),0))*1.1,0)</f>
        <v>189</v>
      </c>
      <c r="X250" s="2290"/>
      <c r="Y250" s="2307" t="s">
        <v>519</v>
      </c>
      <c r="Z250" s="630"/>
      <c r="AA250" s="631"/>
      <c r="AB250" s="632">
        <f>ROUNDDOWN((ROUNDDOWN(((((2*Z249+31)*73)/100+5)),0))*1,0)</f>
        <v>115</v>
      </c>
      <c r="AC250" s="2290"/>
      <c r="AD250" s="2307" t="s">
        <v>519</v>
      </c>
      <c r="AE250" s="630"/>
      <c r="AF250" s="631"/>
      <c r="AG250" s="632">
        <f>ROUNDDOWN((ROUNDDOWN(((((2*AE249+31)*73)/100+5)),0))*1,0)</f>
        <v>100</v>
      </c>
      <c r="AH250" s="2292"/>
      <c r="AI250" s="1692"/>
    </row>
    <row r="251" ht="7.5" customHeight="1">
      <c r="A251" s="1626"/>
      <c r="B251" s="2308"/>
      <c r="C251" s="2309"/>
      <c r="D251" s="2310"/>
      <c r="E251" s="2311"/>
      <c r="F251" s="2311"/>
      <c r="G251" s="2311"/>
      <c r="H251" s="2311"/>
      <c r="I251" s="2310"/>
      <c r="J251" s="2311"/>
      <c r="K251" s="2311"/>
      <c r="L251" s="2311"/>
      <c r="M251" s="2311"/>
      <c r="N251" s="2310"/>
      <c r="O251" s="2311"/>
      <c r="P251" s="2311"/>
      <c r="Q251" s="2311"/>
      <c r="R251" s="2311"/>
      <c r="S251" s="2310"/>
      <c r="T251" s="2311"/>
      <c r="U251" s="2311"/>
      <c r="V251" s="2311"/>
      <c r="W251" s="2311"/>
      <c r="X251" s="2310"/>
      <c r="Y251" s="2311"/>
      <c r="Z251" s="2311"/>
      <c r="AA251" s="2311"/>
      <c r="AB251" s="2311"/>
      <c r="AC251" s="2310"/>
      <c r="AD251" s="2311"/>
      <c r="AE251" s="2311"/>
      <c r="AF251" s="2311"/>
      <c r="AG251" s="2311"/>
      <c r="AH251" s="2312"/>
      <c r="AI251" s="1614"/>
    </row>
    <row r="252" ht="3.75" customHeight="1">
      <c r="A252" s="2313"/>
      <c r="B252" s="2314"/>
      <c r="C252" s="2315"/>
      <c r="D252" s="2314"/>
      <c r="E252" s="2314"/>
      <c r="F252" s="2314"/>
      <c r="G252" s="2314"/>
      <c r="H252" s="2314"/>
      <c r="I252" s="2314"/>
      <c r="J252" s="2314"/>
      <c r="K252" s="2314"/>
      <c r="L252" s="2314"/>
      <c r="M252" s="2314"/>
      <c r="N252" s="2314"/>
      <c r="O252" s="2314"/>
      <c r="P252" s="2314"/>
      <c r="Q252" s="2314"/>
      <c r="R252" s="2314"/>
      <c r="S252" s="2314"/>
      <c r="T252" s="2314"/>
      <c r="U252" s="2314"/>
      <c r="V252" s="2314"/>
      <c r="W252" s="2314"/>
      <c r="X252" s="2314"/>
      <c r="Y252" s="2314"/>
      <c r="Z252" s="2314"/>
      <c r="AA252" s="2314"/>
      <c r="AB252" s="2314"/>
      <c r="AC252" s="2314"/>
      <c r="AD252" s="2314"/>
      <c r="AE252" s="2314"/>
      <c r="AF252" s="2314"/>
      <c r="AG252" s="2314"/>
      <c r="AH252" s="2314"/>
      <c r="AI252" s="1607"/>
    </row>
  </sheetData>
  <mergeCells count="1143">
    <mergeCell ref="T147:V147"/>
    <mergeCell ref="E150:AG150"/>
    <mergeCell ref="E152:AG152"/>
    <mergeCell ref="J153:M153"/>
    <mergeCell ref="O153:R153"/>
    <mergeCell ref="T153:W153"/>
    <mergeCell ref="Y153:AB153"/>
    <mergeCell ref="AD153:AG153"/>
    <mergeCell ref="Y154:AB154"/>
    <mergeCell ref="Y155:AB155"/>
    <mergeCell ref="E153:H153"/>
    <mergeCell ref="E154:H154"/>
    <mergeCell ref="J154:M154"/>
    <mergeCell ref="T154:W154"/>
    <mergeCell ref="AD154:AG154"/>
    <mergeCell ref="J155:M155"/>
    <mergeCell ref="T155:W155"/>
    <mergeCell ref="AD155:AG155"/>
    <mergeCell ref="E131:H131"/>
    <mergeCell ref="O131:R131"/>
    <mergeCell ref="Y131:AB131"/>
    <mergeCell ref="C132:C134"/>
    <mergeCell ref="O132:R132"/>
    <mergeCell ref="Y132:AB132"/>
    <mergeCell ref="T134:V134"/>
    <mergeCell ref="AD136:AF136"/>
    <mergeCell ref="AD137:AF137"/>
    <mergeCell ref="Y133:AA133"/>
    <mergeCell ref="Y134:AA134"/>
    <mergeCell ref="AD134:AF134"/>
    <mergeCell ref="Y135:AA135"/>
    <mergeCell ref="AD135:AF135"/>
    <mergeCell ref="Y136:AA136"/>
    <mergeCell ref="Y137:AA137"/>
    <mergeCell ref="E132:H132"/>
    <mergeCell ref="E134:G134"/>
    <mergeCell ref="E135:G135"/>
    <mergeCell ref="E136:G136"/>
    <mergeCell ref="E137:G137"/>
    <mergeCell ref="E139:H139"/>
    <mergeCell ref="G140:H140"/>
    <mergeCell ref="V140:W140"/>
    <mergeCell ref="V141:W141"/>
    <mergeCell ref="V142:W142"/>
    <mergeCell ref="V143:W143"/>
    <mergeCell ref="V144:W144"/>
    <mergeCell ref="AA144:AB144"/>
    <mergeCell ref="V145:W145"/>
    <mergeCell ref="O158:R158"/>
    <mergeCell ref="O159:R159"/>
    <mergeCell ref="Y158:AB158"/>
    <mergeCell ref="Y159:AB159"/>
    <mergeCell ref="AD159:AG159"/>
    <mergeCell ref="T127:W127"/>
    <mergeCell ref="T128:W128"/>
    <mergeCell ref="C127:C129"/>
    <mergeCell ref="E127:H127"/>
    <mergeCell ref="O127:R127"/>
    <mergeCell ref="Y127:AB127"/>
    <mergeCell ref="E128:H128"/>
    <mergeCell ref="O128:R128"/>
    <mergeCell ref="Y128:AB128"/>
    <mergeCell ref="J131:M131"/>
    <mergeCell ref="J132:M132"/>
    <mergeCell ref="T131:W131"/>
    <mergeCell ref="T132:W132"/>
    <mergeCell ref="AD131:AG131"/>
    <mergeCell ref="AD132:AG132"/>
    <mergeCell ref="AD133:AF133"/>
    <mergeCell ref="E133:G133"/>
    <mergeCell ref="J133:L133"/>
    <mergeCell ref="O133:Q133"/>
    <mergeCell ref="T133:V133"/>
    <mergeCell ref="J134:L134"/>
    <mergeCell ref="O134:Q134"/>
    <mergeCell ref="J135:L135"/>
    <mergeCell ref="O135:Q135"/>
    <mergeCell ref="T135:V135"/>
    <mergeCell ref="O136:Q136"/>
    <mergeCell ref="T136:V136"/>
    <mergeCell ref="J136:L136"/>
    <mergeCell ref="J137:L137"/>
    <mergeCell ref="O137:Q137"/>
    <mergeCell ref="T137:V137"/>
    <mergeCell ref="J139:M139"/>
    <mergeCell ref="T139:W139"/>
    <mergeCell ref="L140:M140"/>
    <mergeCell ref="AA142:AB142"/>
    <mergeCell ref="AA143:AB143"/>
    <mergeCell ref="AF143:AG143"/>
    <mergeCell ref="AF144:AG144"/>
    <mergeCell ref="AF145:AG145"/>
    <mergeCell ref="Y139:AB139"/>
    <mergeCell ref="AD139:AG139"/>
    <mergeCell ref="AA140:AB140"/>
    <mergeCell ref="AF140:AG140"/>
    <mergeCell ref="AA141:AB141"/>
    <mergeCell ref="AF141:AG141"/>
    <mergeCell ref="AF142:AG142"/>
    <mergeCell ref="L143:M143"/>
    <mergeCell ref="L144:M144"/>
    <mergeCell ref="L145:M145"/>
    <mergeCell ref="O139:R139"/>
    <mergeCell ref="Q140:R140"/>
    <mergeCell ref="L141:M141"/>
    <mergeCell ref="Q141:R141"/>
    <mergeCell ref="L142:M142"/>
    <mergeCell ref="Q142:R142"/>
    <mergeCell ref="Q143:R143"/>
    <mergeCell ref="AA145:AB145"/>
    <mergeCell ref="Y146:AA146"/>
    <mergeCell ref="AD146:AF146"/>
    <mergeCell ref="Q144:R144"/>
    <mergeCell ref="Q145:R145"/>
    <mergeCell ref="J146:L146"/>
    <mergeCell ref="O146:Q146"/>
    <mergeCell ref="T146:V146"/>
    <mergeCell ref="J147:L147"/>
    <mergeCell ref="O147:Q147"/>
    <mergeCell ref="G141:H141"/>
    <mergeCell ref="G142:H142"/>
    <mergeCell ref="G143:H143"/>
    <mergeCell ref="G144:H144"/>
    <mergeCell ref="G145:H145"/>
    <mergeCell ref="E146:G146"/>
    <mergeCell ref="C154:C156"/>
    <mergeCell ref="E166:H166"/>
    <mergeCell ref="G167:H167"/>
    <mergeCell ref="G168:H168"/>
    <mergeCell ref="G169:H169"/>
    <mergeCell ref="G170:H170"/>
    <mergeCell ref="C159:C161"/>
    <mergeCell ref="E159:H159"/>
    <mergeCell ref="E160:G160"/>
    <mergeCell ref="E161:G161"/>
    <mergeCell ref="E162:G162"/>
    <mergeCell ref="E163:G163"/>
    <mergeCell ref="E164:G164"/>
    <mergeCell ref="Q168:R168"/>
    <mergeCell ref="Q169:R169"/>
    <mergeCell ref="AF170:AG170"/>
    <mergeCell ref="O163:Q163"/>
    <mergeCell ref="O164:Q164"/>
    <mergeCell ref="O166:R166"/>
    <mergeCell ref="T166:W166"/>
    <mergeCell ref="Q167:R167"/>
    <mergeCell ref="V167:W167"/>
    <mergeCell ref="V168:W168"/>
    <mergeCell ref="V169:W169"/>
    <mergeCell ref="Q247:R247"/>
    <mergeCell ref="Q248:R248"/>
    <mergeCell ref="O239:Q239"/>
    <mergeCell ref="O240:Q240"/>
    <mergeCell ref="O241:Q241"/>
    <mergeCell ref="O243:R243"/>
    <mergeCell ref="Q244:R244"/>
    <mergeCell ref="Q245:R245"/>
    <mergeCell ref="Q246:R246"/>
    <mergeCell ref="O235:R235"/>
    <mergeCell ref="T235:W235"/>
    <mergeCell ref="Y235:AB235"/>
    <mergeCell ref="AD235:AG235"/>
    <mergeCell ref="T236:W236"/>
    <mergeCell ref="Y236:AB236"/>
    <mergeCell ref="AD236:AG236"/>
    <mergeCell ref="Y240:AA240"/>
    <mergeCell ref="Y241:AA241"/>
    <mergeCell ref="Y243:AB243"/>
    <mergeCell ref="AA244:AB244"/>
    <mergeCell ref="AA245:AB245"/>
    <mergeCell ref="AA246:AB246"/>
    <mergeCell ref="AA247:AB247"/>
    <mergeCell ref="AA248:AB248"/>
    <mergeCell ref="O236:R236"/>
    <mergeCell ref="O237:Q237"/>
    <mergeCell ref="T237:V237"/>
    <mergeCell ref="Y237:AA237"/>
    <mergeCell ref="O238:Q238"/>
    <mergeCell ref="Y238:AA238"/>
    <mergeCell ref="Y239:AA239"/>
    <mergeCell ref="AF245:AG245"/>
    <mergeCell ref="AF246:AG246"/>
    <mergeCell ref="AF247:AG247"/>
    <mergeCell ref="AF248:AG248"/>
    <mergeCell ref="AD237:AF237"/>
    <mergeCell ref="AD238:AF238"/>
    <mergeCell ref="AD239:AF239"/>
    <mergeCell ref="AD240:AF240"/>
    <mergeCell ref="AD241:AF241"/>
    <mergeCell ref="AD243:AG243"/>
    <mergeCell ref="AF244:AG244"/>
    <mergeCell ref="V246:W246"/>
    <mergeCell ref="V247:W247"/>
    <mergeCell ref="V248:W248"/>
    <mergeCell ref="T238:V238"/>
    <mergeCell ref="T239:V239"/>
    <mergeCell ref="T240:V240"/>
    <mergeCell ref="T241:V241"/>
    <mergeCell ref="T243:W243"/>
    <mergeCell ref="V244:W244"/>
    <mergeCell ref="V245:W245"/>
    <mergeCell ref="E199:G199"/>
    <mergeCell ref="J199:L199"/>
    <mergeCell ref="O199:Q199"/>
    <mergeCell ref="T199:V199"/>
    <mergeCell ref="Y199:AA199"/>
    <mergeCell ref="AD199:AF199"/>
    <mergeCell ref="E200:G200"/>
    <mergeCell ref="Y200:AA200"/>
    <mergeCell ref="E202:AG202"/>
    <mergeCell ref="E204:AG204"/>
    <mergeCell ref="J205:M205"/>
    <mergeCell ref="T205:W205"/>
    <mergeCell ref="C206:C208"/>
    <mergeCell ref="P208:Q208"/>
    <mergeCell ref="AD206:AG206"/>
    <mergeCell ref="AD207:AG207"/>
    <mergeCell ref="Y207:AB207"/>
    <mergeCell ref="AE208:AF208"/>
    <mergeCell ref="Y210:AB210"/>
    <mergeCell ref="AD210:AG210"/>
    <mergeCell ref="Y211:AB211"/>
    <mergeCell ref="AD211:AG211"/>
    <mergeCell ref="AD212:AF212"/>
    <mergeCell ref="AA221:AB221"/>
    <mergeCell ref="AA222:AB222"/>
    <mergeCell ref="AA223:AB223"/>
    <mergeCell ref="AA224:AB224"/>
    <mergeCell ref="Y225:AA225"/>
    <mergeCell ref="Y226:AA226"/>
    <mergeCell ref="AF222:AG222"/>
    <mergeCell ref="AF223:AG223"/>
    <mergeCell ref="AF224:AG224"/>
    <mergeCell ref="AD225:AF225"/>
    <mergeCell ref="Y218:AB218"/>
    <mergeCell ref="AD218:AG218"/>
    <mergeCell ref="AA219:AB219"/>
    <mergeCell ref="AF219:AG219"/>
    <mergeCell ref="AA220:AB220"/>
    <mergeCell ref="AF220:AG220"/>
    <mergeCell ref="AF221:AG221"/>
    <mergeCell ref="O218:R218"/>
    <mergeCell ref="Q219:R219"/>
    <mergeCell ref="Q220:R220"/>
    <mergeCell ref="Q221:R221"/>
    <mergeCell ref="Q222:R222"/>
    <mergeCell ref="Q223:R223"/>
    <mergeCell ref="Q224:R224"/>
    <mergeCell ref="O225:Q225"/>
    <mergeCell ref="O205:R205"/>
    <mergeCell ref="O206:R206"/>
    <mergeCell ref="O210:R210"/>
    <mergeCell ref="O211:R211"/>
    <mergeCell ref="O212:Q212"/>
    <mergeCell ref="O213:Q213"/>
    <mergeCell ref="O214:Q214"/>
    <mergeCell ref="T218:W218"/>
    <mergeCell ref="V219:W219"/>
    <mergeCell ref="V220:W220"/>
    <mergeCell ref="V221:W221"/>
    <mergeCell ref="V222:W222"/>
    <mergeCell ref="V223:W223"/>
    <mergeCell ref="V224:W224"/>
    <mergeCell ref="T225:V225"/>
    <mergeCell ref="O207:R207"/>
    <mergeCell ref="T207:W207"/>
    <mergeCell ref="T210:W210"/>
    <mergeCell ref="T211:W211"/>
    <mergeCell ref="T212:V212"/>
    <mergeCell ref="T213:V213"/>
    <mergeCell ref="T214:V214"/>
    <mergeCell ref="Y230:AB230"/>
    <mergeCell ref="AD230:AG230"/>
    <mergeCell ref="Y231:AB231"/>
    <mergeCell ref="AD231:AG231"/>
    <mergeCell ref="T215:V215"/>
    <mergeCell ref="T216:V216"/>
    <mergeCell ref="E229:AG229"/>
    <mergeCell ref="E230:H230"/>
    <mergeCell ref="J230:M230"/>
    <mergeCell ref="O230:R230"/>
    <mergeCell ref="O231:R231"/>
    <mergeCell ref="T206:W206"/>
    <mergeCell ref="Y206:AB206"/>
    <mergeCell ref="Y212:AA212"/>
    <mergeCell ref="Y213:AA213"/>
    <mergeCell ref="Y214:AA214"/>
    <mergeCell ref="Y215:AA215"/>
    <mergeCell ref="Y216:AA216"/>
    <mergeCell ref="AD213:AF213"/>
    <mergeCell ref="AD214:AF214"/>
    <mergeCell ref="AD215:AF215"/>
    <mergeCell ref="AD216:AF216"/>
    <mergeCell ref="E214:G214"/>
    <mergeCell ref="E215:G215"/>
    <mergeCell ref="E216:G216"/>
    <mergeCell ref="J214:L214"/>
    <mergeCell ref="J215:L215"/>
    <mergeCell ref="J216:L216"/>
    <mergeCell ref="O215:Q215"/>
    <mergeCell ref="O216:Q216"/>
    <mergeCell ref="T230:W230"/>
    <mergeCell ref="T231:W231"/>
    <mergeCell ref="O232:R232"/>
    <mergeCell ref="T232:W232"/>
    <mergeCell ref="Y232:AB232"/>
    <mergeCell ref="AD232:AG232"/>
    <mergeCell ref="AE233:AF233"/>
    <mergeCell ref="E237:G237"/>
    <mergeCell ref="E238:G238"/>
    <mergeCell ref="E239:G239"/>
    <mergeCell ref="E240:G240"/>
    <mergeCell ref="E241:G241"/>
    <mergeCell ref="E243:H243"/>
    <mergeCell ref="G244:H244"/>
    <mergeCell ref="AA249:AB249"/>
    <mergeCell ref="AF249:AG249"/>
    <mergeCell ref="O250:Q250"/>
    <mergeCell ref="T250:V250"/>
    <mergeCell ref="Y250:AA250"/>
    <mergeCell ref="AD250:AF250"/>
    <mergeCell ref="G245:H245"/>
    <mergeCell ref="G246:H246"/>
    <mergeCell ref="G247:H247"/>
    <mergeCell ref="G248:H248"/>
    <mergeCell ref="G249:H249"/>
    <mergeCell ref="Q249:R249"/>
    <mergeCell ref="V249:W249"/>
    <mergeCell ref="E205:H205"/>
    <mergeCell ref="E206:H206"/>
    <mergeCell ref="E210:H210"/>
    <mergeCell ref="C211:C213"/>
    <mergeCell ref="E211:H211"/>
    <mergeCell ref="E212:G212"/>
    <mergeCell ref="E213:G213"/>
    <mergeCell ref="J206:M206"/>
    <mergeCell ref="E207:H207"/>
    <mergeCell ref="J207:M207"/>
    <mergeCell ref="J210:M210"/>
    <mergeCell ref="J211:M211"/>
    <mergeCell ref="J212:L212"/>
    <mergeCell ref="J213:L213"/>
    <mergeCell ref="E218:H218"/>
    <mergeCell ref="G219:H219"/>
    <mergeCell ref="G220:H220"/>
    <mergeCell ref="G221:H221"/>
    <mergeCell ref="G222:H222"/>
    <mergeCell ref="G223:H223"/>
    <mergeCell ref="G224:H224"/>
    <mergeCell ref="J218:M218"/>
    <mergeCell ref="L219:M219"/>
    <mergeCell ref="L220:M220"/>
    <mergeCell ref="L221:M221"/>
    <mergeCell ref="L222:M222"/>
    <mergeCell ref="L223:M223"/>
    <mergeCell ref="L224:M224"/>
    <mergeCell ref="E225:G225"/>
    <mergeCell ref="C231:C233"/>
    <mergeCell ref="E231:H231"/>
    <mergeCell ref="E232:H232"/>
    <mergeCell ref="E235:H235"/>
    <mergeCell ref="C236:C238"/>
    <mergeCell ref="E236:H236"/>
    <mergeCell ref="J225:L225"/>
    <mergeCell ref="J231:M231"/>
    <mergeCell ref="J232:M232"/>
    <mergeCell ref="J235:M235"/>
    <mergeCell ref="J236:M236"/>
    <mergeCell ref="J237:L237"/>
    <mergeCell ref="J238:L238"/>
    <mergeCell ref="L247:M247"/>
    <mergeCell ref="L248:M248"/>
    <mergeCell ref="L249:M249"/>
    <mergeCell ref="E250:G250"/>
    <mergeCell ref="J250:L250"/>
    <mergeCell ref="J239:L239"/>
    <mergeCell ref="J240:L240"/>
    <mergeCell ref="J241:L241"/>
    <mergeCell ref="J243:M243"/>
    <mergeCell ref="L244:M244"/>
    <mergeCell ref="L245:M245"/>
    <mergeCell ref="L246:M246"/>
    <mergeCell ref="Y3:AB3"/>
    <mergeCell ref="AD3:AG3"/>
    <mergeCell ref="E3:H3"/>
    <mergeCell ref="E4:H4"/>
    <mergeCell ref="O3:R3"/>
    <mergeCell ref="O4:R4"/>
    <mergeCell ref="T4:W4"/>
    <mergeCell ref="Y4:AB4"/>
    <mergeCell ref="AD4:AG4"/>
    <mergeCell ref="J4:M4"/>
    <mergeCell ref="J5:M5"/>
    <mergeCell ref="O5:R5"/>
    <mergeCell ref="T5:W5"/>
    <mergeCell ref="AD5:AG5"/>
    <mergeCell ref="Y5:AB5"/>
    <mergeCell ref="Z6:AA6"/>
    <mergeCell ref="AD6:AG6"/>
    <mergeCell ref="J14:L14"/>
    <mergeCell ref="O14:Q14"/>
    <mergeCell ref="J3:M3"/>
    <mergeCell ref="S3:S14"/>
    <mergeCell ref="T3:W3"/>
    <mergeCell ref="X3:X14"/>
    <mergeCell ref="AC3:AC14"/>
    <mergeCell ref="Y8:AB8"/>
    <mergeCell ref="T10:V10"/>
    <mergeCell ref="Y9:AB9"/>
    <mergeCell ref="Y10:AA10"/>
    <mergeCell ref="J11:L11"/>
    <mergeCell ref="O11:Q11"/>
    <mergeCell ref="T11:V11"/>
    <mergeCell ref="Y11:AA11"/>
    <mergeCell ref="J12:L12"/>
    <mergeCell ref="O12:Q12"/>
    <mergeCell ref="T12:V12"/>
    <mergeCell ref="Y12:AA12"/>
    <mergeCell ref="J13:L13"/>
    <mergeCell ref="O13:Q13"/>
    <mergeCell ref="T13:V13"/>
    <mergeCell ref="Y13:AA13"/>
    <mergeCell ref="AD13:AG13"/>
    <mergeCell ref="AD14:AG14"/>
    <mergeCell ref="J10:L10"/>
    <mergeCell ref="O10:Q10"/>
    <mergeCell ref="AD10:AG10"/>
    <mergeCell ref="AD11:AG11"/>
    <mergeCell ref="AD12:AG12"/>
    <mergeCell ref="T14:V14"/>
    <mergeCell ref="Y14:AA14"/>
    <mergeCell ref="E8:H8"/>
    <mergeCell ref="J8:M8"/>
    <mergeCell ref="O8:R8"/>
    <mergeCell ref="T8:W8"/>
    <mergeCell ref="AD8:AG8"/>
    <mergeCell ref="C4:C6"/>
    <mergeCell ref="C9:C11"/>
    <mergeCell ref="E9:H9"/>
    <mergeCell ref="J9:M9"/>
    <mergeCell ref="O9:R9"/>
    <mergeCell ref="T9:W9"/>
    <mergeCell ref="AD9:AG9"/>
    <mergeCell ref="E5:H5"/>
    <mergeCell ref="E10:G10"/>
    <mergeCell ref="E11:G11"/>
    <mergeCell ref="E12:G12"/>
    <mergeCell ref="E13:G13"/>
    <mergeCell ref="E14:G14"/>
    <mergeCell ref="E16:H16"/>
    <mergeCell ref="G19:H19"/>
    <mergeCell ref="V18:W18"/>
    <mergeCell ref="V19:W19"/>
    <mergeCell ref="AD30:AG30"/>
    <mergeCell ref="AD31:AG31"/>
    <mergeCell ref="T31:W31"/>
    <mergeCell ref="T32:W32"/>
    <mergeCell ref="Y32:AB32"/>
    <mergeCell ref="AD32:AG32"/>
    <mergeCell ref="E27:AG27"/>
    <mergeCell ref="E29:W29"/>
    <mergeCell ref="E30:H30"/>
    <mergeCell ref="T30:W30"/>
    <mergeCell ref="C31:C33"/>
    <mergeCell ref="E31:H31"/>
    <mergeCell ref="E32:H32"/>
    <mergeCell ref="Y35:AB35"/>
    <mergeCell ref="Y36:AB36"/>
    <mergeCell ref="Y30:AB30"/>
    <mergeCell ref="Y31:AB31"/>
    <mergeCell ref="E35:H35"/>
    <mergeCell ref="T35:W35"/>
    <mergeCell ref="AD35:AG35"/>
    <mergeCell ref="T36:W36"/>
    <mergeCell ref="AD36:AG36"/>
    <mergeCell ref="L44:M44"/>
    <mergeCell ref="L45:M45"/>
    <mergeCell ref="G46:H46"/>
    <mergeCell ref="L46:M46"/>
    <mergeCell ref="Q46:R46"/>
    <mergeCell ref="L47:M47"/>
    <mergeCell ref="Q47:R47"/>
    <mergeCell ref="L49:M49"/>
    <mergeCell ref="J55:M55"/>
    <mergeCell ref="C56:C58"/>
    <mergeCell ref="E56:H56"/>
    <mergeCell ref="E57:H57"/>
    <mergeCell ref="E60:H60"/>
    <mergeCell ref="E61:H61"/>
    <mergeCell ref="E62:G62"/>
    <mergeCell ref="J56:M56"/>
    <mergeCell ref="O56:R56"/>
    <mergeCell ref="J57:M57"/>
    <mergeCell ref="O57:R57"/>
    <mergeCell ref="J60:M60"/>
    <mergeCell ref="O60:R60"/>
    <mergeCell ref="T60:W60"/>
    <mergeCell ref="Y60:AB60"/>
    <mergeCell ref="Y37:AA37"/>
    <mergeCell ref="Y38:AA38"/>
    <mergeCell ref="E40:G40"/>
    <mergeCell ref="T40:V40"/>
    <mergeCell ref="Y40:AA40"/>
    <mergeCell ref="E41:G41"/>
    <mergeCell ref="T41:V41"/>
    <mergeCell ref="J41:L41"/>
    <mergeCell ref="O41:Q41"/>
    <mergeCell ref="J43:M43"/>
    <mergeCell ref="O43:R43"/>
    <mergeCell ref="T43:W43"/>
    <mergeCell ref="Y43:AB43"/>
    <mergeCell ref="AD43:AG43"/>
    <mergeCell ref="E43:H43"/>
    <mergeCell ref="G44:H44"/>
    <mergeCell ref="Q44:R44"/>
    <mergeCell ref="AA44:AB44"/>
    <mergeCell ref="G45:H45"/>
    <mergeCell ref="Q45:R45"/>
    <mergeCell ref="AA45:AB45"/>
    <mergeCell ref="V48:W48"/>
    <mergeCell ref="V49:W49"/>
    <mergeCell ref="V44:W44"/>
    <mergeCell ref="V45:W45"/>
    <mergeCell ref="V46:W46"/>
    <mergeCell ref="AA46:AB46"/>
    <mergeCell ref="V47:W47"/>
    <mergeCell ref="AA47:AB47"/>
    <mergeCell ref="AA48:AB48"/>
    <mergeCell ref="AA49:AB49"/>
    <mergeCell ref="E54:W54"/>
    <mergeCell ref="E55:H55"/>
    <mergeCell ref="T55:W55"/>
    <mergeCell ref="Y55:AB55"/>
    <mergeCell ref="AD55:AG55"/>
    <mergeCell ref="AD56:AG56"/>
    <mergeCell ref="AD57:AG57"/>
    <mergeCell ref="E50:G50"/>
    <mergeCell ref="J50:L50"/>
    <mergeCell ref="O50:Q50"/>
    <mergeCell ref="T50:V50"/>
    <mergeCell ref="Y50:AA50"/>
    <mergeCell ref="AD50:AF50"/>
    <mergeCell ref="E52:AG52"/>
    <mergeCell ref="S55:S66"/>
    <mergeCell ref="X55:X66"/>
    <mergeCell ref="AC55:AC66"/>
    <mergeCell ref="T56:W56"/>
    <mergeCell ref="Y56:AB56"/>
    <mergeCell ref="T57:W57"/>
    <mergeCell ref="Y57:AB57"/>
    <mergeCell ref="T66:V66"/>
    <mergeCell ref="Y66:AA66"/>
    <mergeCell ref="T68:W68"/>
    <mergeCell ref="Y68:AB68"/>
    <mergeCell ref="V69:W69"/>
    <mergeCell ref="AA69:AB69"/>
    <mergeCell ref="AA70:AB70"/>
    <mergeCell ref="Y86:AA86"/>
    <mergeCell ref="Y87:AA87"/>
    <mergeCell ref="Y88:AA88"/>
    <mergeCell ref="Y89:AA89"/>
    <mergeCell ref="AA71:AB71"/>
    <mergeCell ref="AA72:AB72"/>
    <mergeCell ref="AC79:AC90"/>
    <mergeCell ref="Y80:AB80"/>
    <mergeCell ref="Y81:AB81"/>
    <mergeCell ref="Y84:AB84"/>
    <mergeCell ref="Y85:AB85"/>
    <mergeCell ref="Y90:AA90"/>
    <mergeCell ref="T61:W61"/>
    <mergeCell ref="Y61:AB61"/>
    <mergeCell ref="T62:V62"/>
    <mergeCell ref="Y62:AA62"/>
    <mergeCell ref="T63:V63"/>
    <mergeCell ref="Y63:AA63"/>
    <mergeCell ref="T64:V64"/>
    <mergeCell ref="Y64:AA64"/>
    <mergeCell ref="T65:V65"/>
    <mergeCell ref="Y65:AA65"/>
    <mergeCell ref="T86:V86"/>
    <mergeCell ref="T87:V87"/>
    <mergeCell ref="T88:V88"/>
    <mergeCell ref="T89:V89"/>
    <mergeCell ref="T90:V90"/>
    <mergeCell ref="V70:W70"/>
    <mergeCell ref="V71:W71"/>
    <mergeCell ref="V72:W72"/>
    <mergeCell ref="T80:W80"/>
    <mergeCell ref="T81:W81"/>
    <mergeCell ref="T84:W84"/>
    <mergeCell ref="T85:W85"/>
    <mergeCell ref="J65:L65"/>
    <mergeCell ref="O65:Q65"/>
    <mergeCell ref="J66:L66"/>
    <mergeCell ref="O66:Q66"/>
    <mergeCell ref="J68:M68"/>
    <mergeCell ref="O68:R68"/>
    <mergeCell ref="L69:M69"/>
    <mergeCell ref="Q69:R69"/>
    <mergeCell ref="Q70:R70"/>
    <mergeCell ref="V73:W73"/>
    <mergeCell ref="AA73:AB73"/>
    <mergeCell ref="V74:W74"/>
    <mergeCell ref="AA74:AB74"/>
    <mergeCell ref="T75:V75"/>
    <mergeCell ref="Y75:AA75"/>
    <mergeCell ref="E78:AG78"/>
    <mergeCell ref="J79:M79"/>
    <mergeCell ref="J80:M80"/>
    <mergeCell ref="E79:H79"/>
    <mergeCell ref="O79:R79"/>
    <mergeCell ref="T79:W79"/>
    <mergeCell ref="Y79:AB79"/>
    <mergeCell ref="C80:C82"/>
    <mergeCell ref="E80:H80"/>
    <mergeCell ref="O80:R80"/>
    <mergeCell ref="O81:R81"/>
    <mergeCell ref="O84:R84"/>
    <mergeCell ref="O85:R85"/>
    <mergeCell ref="AD88:AF88"/>
    <mergeCell ref="AD89:AF89"/>
    <mergeCell ref="AD90:AF90"/>
    <mergeCell ref="AD79:AG79"/>
    <mergeCell ref="AD80:AG80"/>
    <mergeCell ref="AD81:AG81"/>
    <mergeCell ref="AD84:AG84"/>
    <mergeCell ref="AD85:AG85"/>
    <mergeCell ref="AD86:AF86"/>
    <mergeCell ref="AD87:AF87"/>
    <mergeCell ref="J85:M85"/>
    <mergeCell ref="J86:L86"/>
    <mergeCell ref="O86:Q86"/>
    <mergeCell ref="E87:G87"/>
    <mergeCell ref="J87:L87"/>
    <mergeCell ref="O87:Q87"/>
    <mergeCell ref="E81:H81"/>
    <mergeCell ref="J81:M81"/>
    <mergeCell ref="E84:H84"/>
    <mergeCell ref="J84:M84"/>
    <mergeCell ref="C85:C87"/>
    <mergeCell ref="E85:H85"/>
    <mergeCell ref="E86:G86"/>
    <mergeCell ref="O89:Q89"/>
    <mergeCell ref="O90:Q90"/>
    <mergeCell ref="E88:G88"/>
    <mergeCell ref="J88:L88"/>
    <mergeCell ref="O88:Q88"/>
    <mergeCell ref="E89:G89"/>
    <mergeCell ref="J89:L89"/>
    <mergeCell ref="E90:G90"/>
    <mergeCell ref="J90:L90"/>
    <mergeCell ref="Y92:AB92"/>
    <mergeCell ref="AA93:AB93"/>
    <mergeCell ref="V94:W94"/>
    <mergeCell ref="AA94:AB94"/>
    <mergeCell ref="AF94:AG94"/>
    <mergeCell ref="V95:W95"/>
    <mergeCell ref="AA95:AB95"/>
    <mergeCell ref="AF95:AG95"/>
    <mergeCell ref="E92:H92"/>
    <mergeCell ref="J92:M92"/>
    <mergeCell ref="T92:W92"/>
    <mergeCell ref="AD92:AG92"/>
    <mergeCell ref="G93:H93"/>
    <mergeCell ref="L93:M93"/>
    <mergeCell ref="V93:W93"/>
    <mergeCell ref="AF93:AG93"/>
    <mergeCell ref="T38:V38"/>
    <mergeCell ref="T39:V39"/>
    <mergeCell ref="AD38:AF38"/>
    <mergeCell ref="AD39:AF39"/>
    <mergeCell ref="E36:H36"/>
    <mergeCell ref="E37:G37"/>
    <mergeCell ref="T37:V37"/>
    <mergeCell ref="AD37:AF37"/>
    <mergeCell ref="E38:G38"/>
    <mergeCell ref="E39:G39"/>
    <mergeCell ref="Y39:AA39"/>
    <mergeCell ref="J36:M36"/>
    <mergeCell ref="O36:R36"/>
    <mergeCell ref="Q20:R20"/>
    <mergeCell ref="Q21:R21"/>
    <mergeCell ref="I30:I41"/>
    <mergeCell ref="J30:M30"/>
    <mergeCell ref="N30:N41"/>
    <mergeCell ref="S30:S41"/>
    <mergeCell ref="J31:M31"/>
    <mergeCell ref="O30:R30"/>
    <mergeCell ref="O31:R31"/>
    <mergeCell ref="J32:M32"/>
    <mergeCell ref="O32:R32"/>
    <mergeCell ref="J35:M35"/>
    <mergeCell ref="O35:R35"/>
    <mergeCell ref="J37:L37"/>
    <mergeCell ref="O37:Q37"/>
    <mergeCell ref="J38:L38"/>
    <mergeCell ref="O38:Q38"/>
    <mergeCell ref="J39:L39"/>
    <mergeCell ref="O39:Q39"/>
    <mergeCell ref="J40:L40"/>
    <mergeCell ref="O40:Q40"/>
    <mergeCell ref="J16:M16"/>
    <mergeCell ref="O16:R16"/>
    <mergeCell ref="T16:W16"/>
    <mergeCell ref="Y16:AB16"/>
    <mergeCell ref="L17:M17"/>
    <mergeCell ref="Q17:R17"/>
    <mergeCell ref="V17:W17"/>
    <mergeCell ref="AA17:AB17"/>
    <mergeCell ref="G17:H17"/>
    <mergeCell ref="L18:M18"/>
    <mergeCell ref="Q18:R18"/>
    <mergeCell ref="AA18:AB18"/>
    <mergeCell ref="L19:M19"/>
    <mergeCell ref="Q19:R19"/>
    <mergeCell ref="AA19:AB19"/>
    <mergeCell ref="V21:W21"/>
    <mergeCell ref="V22:W22"/>
    <mergeCell ref="T23:V23"/>
    <mergeCell ref="G18:H18"/>
    <mergeCell ref="G20:H20"/>
    <mergeCell ref="L20:M20"/>
    <mergeCell ref="V20:W20"/>
    <mergeCell ref="G21:H21"/>
    <mergeCell ref="G22:H22"/>
    <mergeCell ref="Q22:R22"/>
    <mergeCell ref="L21:M21"/>
    <mergeCell ref="L22:M22"/>
    <mergeCell ref="E23:G23"/>
    <mergeCell ref="J23:L23"/>
    <mergeCell ref="O23:Q23"/>
    <mergeCell ref="O24:Q24"/>
    <mergeCell ref="C26:AG26"/>
    <mergeCell ref="AA20:AB20"/>
    <mergeCell ref="AA21:AB21"/>
    <mergeCell ref="AA22:AB22"/>
    <mergeCell ref="Y23:AA23"/>
    <mergeCell ref="Y24:AA24"/>
    <mergeCell ref="X30:X41"/>
    <mergeCell ref="AC30:AC41"/>
    <mergeCell ref="Y41:AA41"/>
    <mergeCell ref="AD40:AF40"/>
    <mergeCell ref="AD41:AF41"/>
    <mergeCell ref="AF44:AG44"/>
    <mergeCell ref="AF45:AG45"/>
    <mergeCell ref="AF46:AG46"/>
    <mergeCell ref="AF47:AG47"/>
    <mergeCell ref="AF48:AG48"/>
    <mergeCell ref="AF49:AG49"/>
    <mergeCell ref="AD60:AG60"/>
    <mergeCell ref="AF69:AG69"/>
    <mergeCell ref="AF70:AG70"/>
    <mergeCell ref="AF71:AG71"/>
    <mergeCell ref="AF72:AG72"/>
    <mergeCell ref="AF73:AG73"/>
    <mergeCell ref="AF74:AG74"/>
    <mergeCell ref="AD75:AF75"/>
    <mergeCell ref="AD61:AG61"/>
    <mergeCell ref="AD62:AF62"/>
    <mergeCell ref="AD63:AF63"/>
    <mergeCell ref="AD64:AF64"/>
    <mergeCell ref="AD65:AF65"/>
    <mergeCell ref="AD66:AF66"/>
    <mergeCell ref="AD68:AG68"/>
    <mergeCell ref="Q49:R49"/>
    <mergeCell ref="O55:R55"/>
    <mergeCell ref="J61:M61"/>
    <mergeCell ref="O61:R61"/>
    <mergeCell ref="J62:L62"/>
    <mergeCell ref="O62:Q62"/>
    <mergeCell ref="E63:G63"/>
    <mergeCell ref="J63:L63"/>
    <mergeCell ref="O63:Q63"/>
    <mergeCell ref="J64:L64"/>
    <mergeCell ref="O64:Q64"/>
    <mergeCell ref="G47:H47"/>
    <mergeCell ref="G48:H48"/>
    <mergeCell ref="L48:M48"/>
    <mergeCell ref="Q48:R48"/>
    <mergeCell ref="G49:H49"/>
    <mergeCell ref="I55:I66"/>
    <mergeCell ref="N55:N66"/>
    <mergeCell ref="L70:M70"/>
    <mergeCell ref="L71:M71"/>
    <mergeCell ref="L72:M72"/>
    <mergeCell ref="L73:M73"/>
    <mergeCell ref="L74:M74"/>
    <mergeCell ref="J75:L75"/>
    <mergeCell ref="Q71:R71"/>
    <mergeCell ref="Q72:R72"/>
    <mergeCell ref="Q73:R73"/>
    <mergeCell ref="Q74:R74"/>
    <mergeCell ref="O75:Q75"/>
    <mergeCell ref="G72:H72"/>
    <mergeCell ref="G73:H73"/>
    <mergeCell ref="G74:H74"/>
    <mergeCell ref="E75:G75"/>
    <mergeCell ref="E64:G64"/>
    <mergeCell ref="E65:G65"/>
    <mergeCell ref="E66:G66"/>
    <mergeCell ref="E68:H68"/>
    <mergeCell ref="G69:H69"/>
    <mergeCell ref="G70:H70"/>
    <mergeCell ref="G71:H71"/>
    <mergeCell ref="C108:C110"/>
    <mergeCell ref="E108:H108"/>
    <mergeCell ref="G97:H97"/>
    <mergeCell ref="G98:H98"/>
    <mergeCell ref="E99:G99"/>
    <mergeCell ref="E102:H102"/>
    <mergeCell ref="I102:I113"/>
    <mergeCell ref="C103:C105"/>
    <mergeCell ref="E103:H103"/>
    <mergeCell ref="J110:L110"/>
    <mergeCell ref="J111:L111"/>
    <mergeCell ref="J102:M102"/>
    <mergeCell ref="J103:M103"/>
    <mergeCell ref="J104:M104"/>
    <mergeCell ref="K105:L105"/>
    <mergeCell ref="J107:M107"/>
    <mergeCell ref="J108:M108"/>
    <mergeCell ref="J109:L109"/>
    <mergeCell ref="Y107:AB107"/>
    <mergeCell ref="O108:R108"/>
    <mergeCell ref="T108:W108"/>
    <mergeCell ref="Y108:AB108"/>
    <mergeCell ref="L95:M95"/>
    <mergeCell ref="L97:M97"/>
    <mergeCell ref="L98:M98"/>
    <mergeCell ref="N102:N113"/>
    <mergeCell ref="S102:S113"/>
    <mergeCell ref="X102:X113"/>
    <mergeCell ref="AC102:AC113"/>
    <mergeCell ref="O103:R103"/>
    <mergeCell ref="T103:W103"/>
    <mergeCell ref="Y103:AB103"/>
    <mergeCell ref="O104:R104"/>
    <mergeCell ref="T104:W104"/>
    <mergeCell ref="Y104:AB104"/>
    <mergeCell ref="O107:R107"/>
    <mergeCell ref="T107:W107"/>
    <mergeCell ref="O109:Q109"/>
    <mergeCell ref="T109:V109"/>
    <mergeCell ref="Y109:AA109"/>
    <mergeCell ref="O110:Q110"/>
    <mergeCell ref="T110:V110"/>
    <mergeCell ref="Y110:AA110"/>
    <mergeCell ref="O111:Q111"/>
    <mergeCell ref="T111:V111"/>
    <mergeCell ref="Y111:AA111"/>
    <mergeCell ref="O112:Q112"/>
    <mergeCell ref="O115:R115"/>
    <mergeCell ref="T115:W115"/>
    <mergeCell ref="J112:L112"/>
    <mergeCell ref="J113:L113"/>
    <mergeCell ref="O113:Q113"/>
    <mergeCell ref="T113:V113"/>
    <mergeCell ref="Y113:AA113"/>
    <mergeCell ref="AD113:AF113"/>
    <mergeCell ref="J115:M115"/>
    <mergeCell ref="Y115:AB115"/>
    <mergeCell ref="Q116:R116"/>
    <mergeCell ref="Q117:R117"/>
    <mergeCell ref="AA116:AB116"/>
    <mergeCell ref="AA117:AB117"/>
    <mergeCell ref="E115:H115"/>
    <mergeCell ref="G116:H116"/>
    <mergeCell ref="L116:M116"/>
    <mergeCell ref="V116:W116"/>
    <mergeCell ref="AF116:AG116"/>
    <mergeCell ref="L117:M117"/>
    <mergeCell ref="V117:W117"/>
    <mergeCell ref="AF117:AG117"/>
    <mergeCell ref="AA96:AB96"/>
    <mergeCell ref="AA97:AB97"/>
    <mergeCell ref="V98:W98"/>
    <mergeCell ref="AA98:AB98"/>
    <mergeCell ref="AF98:AG98"/>
    <mergeCell ref="G95:H95"/>
    <mergeCell ref="G96:H96"/>
    <mergeCell ref="L96:M96"/>
    <mergeCell ref="Q96:R96"/>
    <mergeCell ref="V96:W96"/>
    <mergeCell ref="AF96:AG96"/>
    <mergeCell ref="V97:W97"/>
    <mergeCell ref="AF97:AG97"/>
    <mergeCell ref="Q98:R98"/>
    <mergeCell ref="J99:L99"/>
    <mergeCell ref="O99:Q99"/>
    <mergeCell ref="T99:V99"/>
    <mergeCell ref="Y99:AA99"/>
    <mergeCell ref="AD99:AF99"/>
    <mergeCell ref="O92:R92"/>
    <mergeCell ref="Q93:R93"/>
    <mergeCell ref="G94:H94"/>
    <mergeCell ref="L94:M94"/>
    <mergeCell ref="Q94:R94"/>
    <mergeCell ref="Q95:R95"/>
    <mergeCell ref="Q97:R97"/>
    <mergeCell ref="AD108:AG108"/>
    <mergeCell ref="AD109:AF109"/>
    <mergeCell ref="AD110:AF110"/>
    <mergeCell ref="AD111:AF111"/>
    <mergeCell ref="T112:V112"/>
    <mergeCell ref="Y112:AA112"/>
    <mergeCell ref="AD112:AF112"/>
    <mergeCell ref="AD115:AG115"/>
    <mergeCell ref="O102:R102"/>
    <mergeCell ref="T102:W102"/>
    <mergeCell ref="Y102:AB102"/>
    <mergeCell ref="AD102:AG102"/>
    <mergeCell ref="AD103:AG103"/>
    <mergeCell ref="AD104:AG104"/>
    <mergeCell ref="AD107:AG107"/>
    <mergeCell ref="E104:H104"/>
    <mergeCell ref="E107:H107"/>
    <mergeCell ref="E109:G109"/>
    <mergeCell ref="E110:G110"/>
    <mergeCell ref="E111:G111"/>
    <mergeCell ref="E112:G112"/>
    <mergeCell ref="E113:G113"/>
    <mergeCell ref="G119:H119"/>
    <mergeCell ref="Q118:R118"/>
    <mergeCell ref="Q119:R119"/>
    <mergeCell ref="Q120:R120"/>
    <mergeCell ref="V120:W120"/>
    <mergeCell ref="Q121:R121"/>
    <mergeCell ref="V121:W121"/>
    <mergeCell ref="O122:Q122"/>
    <mergeCell ref="T122:V122"/>
    <mergeCell ref="AA118:AB118"/>
    <mergeCell ref="AA119:AB119"/>
    <mergeCell ref="AA120:AB120"/>
    <mergeCell ref="AF120:AG120"/>
    <mergeCell ref="AA121:AB121"/>
    <mergeCell ref="AF121:AG121"/>
    <mergeCell ref="Y122:AA122"/>
    <mergeCell ref="AD122:AF122"/>
    <mergeCell ref="E125:AG125"/>
    <mergeCell ref="E126:H126"/>
    <mergeCell ref="J126:M126"/>
    <mergeCell ref="O126:R126"/>
    <mergeCell ref="T126:W126"/>
    <mergeCell ref="Y126:AB126"/>
    <mergeCell ref="AD126:AG126"/>
    <mergeCell ref="G117:H117"/>
    <mergeCell ref="L118:M118"/>
    <mergeCell ref="V118:W118"/>
    <mergeCell ref="AF118:AG118"/>
    <mergeCell ref="L119:M119"/>
    <mergeCell ref="V119:W119"/>
    <mergeCell ref="AF119:AG119"/>
    <mergeCell ref="G118:H118"/>
    <mergeCell ref="G120:H120"/>
    <mergeCell ref="L120:M120"/>
    <mergeCell ref="G121:H121"/>
    <mergeCell ref="L121:M121"/>
    <mergeCell ref="E122:G122"/>
    <mergeCell ref="J122:L122"/>
    <mergeCell ref="J127:M127"/>
    <mergeCell ref="J128:M128"/>
    <mergeCell ref="AD127:AG127"/>
    <mergeCell ref="AD128:AG128"/>
    <mergeCell ref="AA169:AB169"/>
    <mergeCell ref="AA170:AB170"/>
    <mergeCell ref="Y164:AA164"/>
    <mergeCell ref="Y166:AB166"/>
    <mergeCell ref="AD166:AG166"/>
    <mergeCell ref="AA167:AB167"/>
    <mergeCell ref="AF167:AG167"/>
    <mergeCell ref="AA168:AB168"/>
    <mergeCell ref="V170:W170"/>
    <mergeCell ref="J161:L161"/>
    <mergeCell ref="J162:L162"/>
    <mergeCell ref="O162:Q162"/>
    <mergeCell ref="T162:V162"/>
    <mergeCell ref="J163:L163"/>
    <mergeCell ref="T163:V163"/>
    <mergeCell ref="T164:V164"/>
    <mergeCell ref="J164:L164"/>
    <mergeCell ref="J166:M166"/>
    <mergeCell ref="L167:M167"/>
    <mergeCell ref="L168:M168"/>
    <mergeCell ref="L169:M169"/>
    <mergeCell ref="Q170:R170"/>
    <mergeCell ref="Q171:R171"/>
    <mergeCell ref="O154:R154"/>
    <mergeCell ref="O155:R155"/>
    <mergeCell ref="P156:Q156"/>
    <mergeCell ref="AE156:AF156"/>
    <mergeCell ref="E155:H155"/>
    <mergeCell ref="E158:H158"/>
    <mergeCell ref="J158:M158"/>
    <mergeCell ref="T158:W158"/>
    <mergeCell ref="AD158:AG158"/>
    <mergeCell ref="J159:M159"/>
    <mergeCell ref="T159:W159"/>
    <mergeCell ref="J160:L160"/>
    <mergeCell ref="O160:Q160"/>
    <mergeCell ref="T160:V160"/>
    <mergeCell ref="AD160:AF160"/>
    <mergeCell ref="O161:Q161"/>
    <mergeCell ref="T161:V161"/>
    <mergeCell ref="AD161:AF161"/>
    <mergeCell ref="Y160:AA160"/>
    <mergeCell ref="Y161:AA161"/>
    <mergeCell ref="Y162:AA162"/>
    <mergeCell ref="AD162:AF162"/>
    <mergeCell ref="Y163:AA163"/>
    <mergeCell ref="AD163:AF163"/>
    <mergeCell ref="AD164:AF164"/>
    <mergeCell ref="AF168:AG168"/>
    <mergeCell ref="AF169:AG169"/>
    <mergeCell ref="AF171:AG171"/>
    <mergeCell ref="AF172:AG172"/>
    <mergeCell ref="J173:L173"/>
    <mergeCell ref="O173:Q173"/>
    <mergeCell ref="T173:V173"/>
    <mergeCell ref="Y173:AA173"/>
    <mergeCell ref="AD173:AF173"/>
    <mergeCell ref="L170:M170"/>
    <mergeCell ref="L171:M171"/>
    <mergeCell ref="V171:W171"/>
    <mergeCell ref="AA171:AB171"/>
    <mergeCell ref="G171:H171"/>
    <mergeCell ref="G172:H172"/>
    <mergeCell ref="L172:M172"/>
    <mergeCell ref="Q172:R172"/>
    <mergeCell ref="V172:W172"/>
    <mergeCell ref="AA172:AB172"/>
    <mergeCell ref="E173:G173"/>
    <mergeCell ref="Y179:AB179"/>
    <mergeCell ref="AD179:AG179"/>
    <mergeCell ref="E179:H179"/>
    <mergeCell ref="E180:H180"/>
    <mergeCell ref="O179:R179"/>
    <mergeCell ref="O180:R180"/>
    <mergeCell ref="T180:W180"/>
    <mergeCell ref="Y180:AB180"/>
    <mergeCell ref="O181:R181"/>
    <mergeCell ref="T181:W181"/>
    <mergeCell ref="K182:L182"/>
    <mergeCell ref="P182:Q182"/>
    <mergeCell ref="O184:R184"/>
    <mergeCell ref="T184:W184"/>
    <mergeCell ref="Y184:AB184"/>
    <mergeCell ref="O185:R185"/>
    <mergeCell ref="T185:W185"/>
    <mergeCell ref="Y185:AB185"/>
    <mergeCell ref="Y174:AA174"/>
    <mergeCell ref="E176:AG176"/>
    <mergeCell ref="E178:AG178"/>
    <mergeCell ref="J179:M179"/>
    <mergeCell ref="T179:W179"/>
    <mergeCell ref="C180:C182"/>
    <mergeCell ref="Y181:AB181"/>
    <mergeCell ref="AE182:AF182"/>
    <mergeCell ref="E185:H185"/>
    <mergeCell ref="E186:G186"/>
    <mergeCell ref="O186:Q186"/>
    <mergeCell ref="T186:V186"/>
    <mergeCell ref="Y186:AA186"/>
    <mergeCell ref="O187:Q187"/>
    <mergeCell ref="T187:V187"/>
    <mergeCell ref="Y187:AA187"/>
    <mergeCell ref="C185:C187"/>
    <mergeCell ref="E187:G187"/>
    <mergeCell ref="E188:G188"/>
    <mergeCell ref="E189:G189"/>
    <mergeCell ref="E190:G190"/>
    <mergeCell ref="J180:M180"/>
    <mergeCell ref="E181:H181"/>
    <mergeCell ref="J181:M181"/>
    <mergeCell ref="E184:H184"/>
    <mergeCell ref="J184:M184"/>
    <mergeCell ref="J185:M185"/>
    <mergeCell ref="J186:L186"/>
    <mergeCell ref="Y188:AA188"/>
    <mergeCell ref="Y189:AA189"/>
    <mergeCell ref="Y190:AA190"/>
    <mergeCell ref="AD189:AF189"/>
    <mergeCell ref="AD190:AF190"/>
    <mergeCell ref="AD180:AG180"/>
    <mergeCell ref="AD181:AG181"/>
    <mergeCell ref="AD184:AG184"/>
    <mergeCell ref="AD185:AG185"/>
    <mergeCell ref="AD186:AF186"/>
    <mergeCell ref="AD187:AF187"/>
    <mergeCell ref="AD188:AF188"/>
    <mergeCell ref="L193:M193"/>
    <mergeCell ref="L194:M194"/>
    <mergeCell ref="G195:H195"/>
    <mergeCell ref="L195:M195"/>
    <mergeCell ref="Q195:R195"/>
    <mergeCell ref="L196:M196"/>
    <mergeCell ref="Q196:R196"/>
    <mergeCell ref="G196:H196"/>
    <mergeCell ref="G197:H197"/>
    <mergeCell ref="L197:M197"/>
    <mergeCell ref="Q197:R197"/>
    <mergeCell ref="G198:H198"/>
    <mergeCell ref="L198:M198"/>
    <mergeCell ref="Q198:R198"/>
    <mergeCell ref="J187:L187"/>
    <mergeCell ref="J188:L188"/>
    <mergeCell ref="O188:Q188"/>
    <mergeCell ref="T188:V188"/>
    <mergeCell ref="J189:L189"/>
    <mergeCell ref="T189:V189"/>
    <mergeCell ref="J190:L190"/>
    <mergeCell ref="T190:V190"/>
    <mergeCell ref="O189:Q189"/>
    <mergeCell ref="O190:Q190"/>
    <mergeCell ref="J192:M192"/>
    <mergeCell ref="O192:R192"/>
    <mergeCell ref="T192:W192"/>
    <mergeCell ref="Y192:AB192"/>
    <mergeCell ref="AD192:AG192"/>
    <mergeCell ref="AF193:AG193"/>
    <mergeCell ref="AF194:AG194"/>
    <mergeCell ref="AF195:AG195"/>
    <mergeCell ref="AF196:AG196"/>
    <mergeCell ref="AF197:AG197"/>
    <mergeCell ref="AF198:AG198"/>
    <mergeCell ref="E192:H192"/>
    <mergeCell ref="G193:H193"/>
    <mergeCell ref="Q193:R193"/>
    <mergeCell ref="AA193:AB193"/>
    <mergeCell ref="G194:H194"/>
    <mergeCell ref="Q194:R194"/>
    <mergeCell ref="AA194:AB194"/>
    <mergeCell ref="V197:W197"/>
    <mergeCell ref="V198:W198"/>
    <mergeCell ref="V193:W193"/>
    <mergeCell ref="V194:W194"/>
    <mergeCell ref="V195:W195"/>
    <mergeCell ref="AA195:AB195"/>
    <mergeCell ref="V196:W196"/>
    <mergeCell ref="AA196:AB196"/>
    <mergeCell ref="AA197:AB197"/>
    <mergeCell ref="AA198:AB198"/>
    <mergeCell ref="Y205:AB205"/>
    <mergeCell ref="AD205:AG205"/>
  </mergeCells>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0" priority="1" operator="between">
      <formula>1</formula>
      <formula>95</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1" priority="2" operator="between">
      <formula>96</formula>
      <formula>195</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2" priority="3" operator="between">
      <formula>196</formula>
      <formula>260</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3" priority="4" operator="between">
      <formula>261</formula>
      <formula>299</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4" priority="5" operator="between">
      <formula>300</formula>
      <formula>350</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5" priority="6" operator="between">
      <formula>351</formula>
      <formula>450</formula>
    </cfRule>
  </conditionalFormatting>
  <conditionalFormatting sqref="H23 M23 R23:R24 W23 AB23:AB24 H50 M50 R50 W50 AB50 AG50 H75 M75 R75 W75 AB75 AG75 H99 M99 R99 W99 AB99 AG99 H122 M122 R122 W122 AB122 AG122 H146 M146:M147 R146:R147 W146:W147 AB146 AG146 J147 O147 T147 H173 M173 R173 W173 AB173:AB174 AG173 H199:H200 M199 R199 W199 AB199:AB200 AG199 H225 M225 R225 W225 AB225:AB226 AG225 H250 M250 R250 W250 AB250 AG250">
    <cfRule type="cellIs" dxfId="6" priority="7" operator="between">
      <formula>451</formula>
      <formula>1000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B343"/>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316"/>
      <c r="B1" s="2317"/>
      <c r="C1" s="2318"/>
      <c r="D1" s="2317"/>
      <c r="E1" s="2317"/>
      <c r="F1" s="2317"/>
      <c r="G1" s="2317"/>
      <c r="H1" s="2317"/>
      <c r="I1" s="2317"/>
      <c r="J1" s="2317"/>
      <c r="K1" s="2317"/>
      <c r="L1" s="2317"/>
      <c r="M1" s="2317"/>
      <c r="N1" s="2317"/>
      <c r="O1" s="2317"/>
      <c r="P1" s="2317"/>
      <c r="Q1" s="2317"/>
      <c r="R1" s="2317"/>
      <c r="S1" s="2317"/>
      <c r="T1" s="2317"/>
      <c r="U1" s="2317"/>
      <c r="V1" s="2317"/>
      <c r="W1" s="2317"/>
      <c r="X1" s="2317"/>
      <c r="Y1" s="2317"/>
      <c r="Z1" s="2317"/>
      <c r="AA1" s="2317"/>
      <c r="AB1" s="2317"/>
      <c r="AC1" s="2317"/>
      <c r="AD1" s="2317"/>
      <c r="AE1" s="2317"/>
      <c r="AF1" s="2317"/>
      <c r="AG1" s="2317"/>
      <c r="AH1" s="2317"/>
      <c r="AI1" s="2316"/>
    </row>
    <row r="2" ht="7.5" customHeight="1">
      <c r="A2" s="2319"/>
      <c r="B2" s="2320"/>
      <c r="C2" s="2321"/>
      <c r="D2" s="2322"/>
      <c r="E2" s="2323"/>
      <c r="F2" s="2323"/>
      <c r="G2" s="2323"/>
      <c r="H2" s="2323"/>
      <c r="I2" s="2323"/>
      <c r="J2" s="2323"/>
      <c r="K2" s="2323"/>
      <c r="L2" s="2323"/>
      <c r="M2" s="2323"/>
      <c r="N2" s="2323"/>
      <c r="O2" s="2323"/>
      <c r="P2" s="2323"/>
      <c r="Q2" s="2323"/>
      <c r="R2" s="2323"/>
      <c r="S2" s="2323"/>
      <c r="T2" s="2323"/>
      <c r="U2" s="2323"/>
      <c r="V2" s="2323"/>
      <c r="W2" s="2323"/>
      <c r="X2" s="2322"/>
      <c r="Y2" s="2322"/>
      <c r="Z2" s="2322"/>
      <c r="AA2" s="2322"/>
      <c r="AB2" s="2322"/>
      <c r="AC2" s="2322"/>
      <c r="AD2" s="2322"/>
      <c r="AE2" s="2322"/>
      <c r="AF2" s="2322"/>
      <c r="AG2" s="2322"/>
      <c r="AH2" s="2324"/>
      <c r="AI2" s="2325"/>
    </row>
    <row r="3">
      <c r="A3" s="2326"/>
      <c r="B3" s="2327"/>
      <c r="C3" s="2328"/>
      <c r="D3" s="2329"/>
      <c r="E3" s="2330" t="s">
        <v>962</v>
      </c>
      <c r="F3" s="1732"/>
      <c r="G3" s="1732"/>
      <c r="H3" s="1732"/>
      <c r="I3" s="1732"/>
      <c r="J3" s="1732"/>
      <c r="K3" s="1732"/>
      <c r="L3" s="1732"/>
      <c r="M3" s="1732"/>
      <c r="N3" s="1732"/>
      <c r="O3" s="1732"/>
      <c r="P3" s="1732"/>
      <c r="Q3" s="1732"/>
      <c r="R3" s="1732"/>
      <c r="S3" s="1733"/>
      <c r="T3" s="2331"/>
      <c r="U3" s="2332"/>
      <c r="V3" s="2332"/>
      <c r="W3" s="420"/>
      <c r="X3" s="2331"/>
      <c r="Y3" s="2332"/>
      <c r="Z3" s="2332"/>
      <c r="AA3" s="420"/>
      <c r="AB3" s="2329"/>
      <c r="AC3" s="2332"/>
      <c r="AD3" s="2332"/>
      <c r="AE3" s="420"/>
      <c r="AF3" s="2333"/>
      <c r="AG3" s="2333"/>
      <c r="AH3" s="2334"/>
      <c r="AI3" s="2325"/>
    </row>
    <row r="4" ht="3.75" customHeight="1">
      <c r="A4" s="2326"/>
      <c r="B4" s="2327"/>
      <c r="C4" s="2335"/>
      <c r="D4" s="2336"/>
      <c r="E4" s="2337"/>
      <c r="F4" s="2337"/>
      <c r="G4" s="2337"/>
      <c r="H4" s="2337"/>
      <c r="I4" s="2338"/>
      <c r="J4" s="2337"/>
      <c r="K4" s="2337"/>
      <c r="L4" s="2337"/>
      <c r="M4" s="2337"/>
      <c r="N4" s="2338"/>
      <c r="O4" s="2337"/>
      <c r="P4" s="2337"/>
      <c r="Q4" s="2337"/>
      <c r="R4" s="2337"/>
      <c r="S4" s="2338"/>
      <c r="T4" s="2338"/>
      <c r="U4" s="2338"/>
      <c r="V4" s="2338"/>
      <c r="W4" s="2338"/>
      <c r="X4" s="2336"/>
      <c r="Y4" s="2336"/>
      <c r="Z4" s="2336"/>
      <c r="AA4" s="2336"/>
      <c r="AB4" s="2336"/>
      <c r="AC4" s="2336"/>
      <c r="AD4" s="2336"/>
      <c r="AE4" s="2336"/>
      <c r="AF4" s="2336"/>
      <c r="AG4" s="2336"/>
      <c r="AH4" s="2334"/>
      <c r="AI4" s="2325"/>
    </row>
    <row r="5" ht="96.75" customHeight="1">
      <c r="A5" s="2319"/>
      <c r="B5" s="2339"/>
      <c r="C5" s="2340" t="str">
        <f>IMAGE("https://i.ibb.co/fXwks6z/Rival.png")</f>
        <v/>
      </c>
      <c r="D5" s="2341"/>
      <c r="E5" s="2342" t="str">
        <f t="array" ref="E5">IFERROR(VLOOKUP(E6,Dex!$B$3:$G422,3,FALSE),"")</f>
        <v/>
      </c>
      <c r="F5" s="1945"/>
      <c r="G5" s="1945"/>
      <c r="H5" s="1946"/>
      <c r="I5" s="2343"/>
      <c r="J5" s="2342" t="str">
        <f t="array" ref="J5">IFERROR(VLOOKUP(J6,Dex!$B$3:$G422,3,FALSE),"")</f>
        <v/>
      </c>
      <c r="K5" s="1945"/>
      <c r="L5" s="1945"/>
      <c r="M5" s="1946"/>
      <c r="N5" s="2344"/>
      <c r="O5" s="2342" t="str">
        <f t="array" ref="O5">IFERROR(VLOOKUP(O6,Dex!$B$3:$G422,3,FALSE),"")</f>
        <v/>
      </c>
      <c r="P5" s="1945"/>
      <c r="Q5" s="1945"/>
      <c r="R5" s="1946"/>
      <c r="S5" s="2345"/>
      <c r="T5" s="2329"/>
      <c r="U5" s="2332"/>
      <c r="V5" s="2332"/>
      <c r="W5" s="420"/>
      <c r="X5" s="2346"/>
      <c r="Y5" s="2329"/>
      <c r="Z5" s="2332"/>
      <c r="AA5" s="2332"/>
      <c r="AB5" s="420"/>
      <c r="AC5" s="2346"/>
      <c r="AD5" s="2329"/>
      <c r="AE5" s="2332"/>
      <c r="AF5" s="2332"/>
      <c r="AG5" s="420"/>
      <c r="AH5" s="2334"/>
      <c r="AI5" s="2325"/>
    </row>
    <row r="6" ht="18.75" customHeight="1">
      <c r="A6" s="2347"/>
      <c r="B6" s="2348"/>
      <c r="C6" s="2349" t="s">
        <v>963</v>
      </c>
      <c r="D6" s="2350"/>
      <c r="E6" s="2351" t="s">
        <v>964</v>
      </c>
      <c r="F6" s="2352"/>
      <c r="G6" s="2352"/>
      <c r="H6" s="2353"/>
      <c r="J6" s="2351" t="s">
        <v>965</v>
      </c>
      <c r="K6" s="2352"/>
      <c r="L6" s="2352"/>
      <c r="M6" s="2353"/>
      <c r="O6" s="2351" t="s">
        <v>966</v>
      </c>
      <c r="P6" s="2352"/>
      <c r="Q6" s="2352"/>
      <c r="R6" s="2353"/>
      <c r="S6" s="302"/>
      <c r="T6" s="2354"/>
      <c r="U6" s="2332"/>
      <c r="V6" s="2332"/>
      <c r="W6" s="420"/>
      <c r="X6" s="2355"/>
      <c r="Y6" s="2354"/>
      <c r="Z6" s="2332"/>
      <c r="AA6" s="2332"/>
      <c r="AB6" s="420"/>
      <c r="AC6" s="2355"/>
      <c r="AD6" s="2354"/>
      <c r="AE6" s="2332"/>
      <c r="AF6" s="2332"/>
      <c r="AG6" s="420"/>
      <c r="AH6" s="2356"/>
      <c r="AI6" s="2357"/>
    </row>
    <row r="7">
      <c r="A7" s="2319"/>
      <c r="B7" s="2358"/>
      <c r="C7" s="556"/>
      <c r="D7" s="2359"/>
      <c r="E7" s="2360" t="s">
        <v>967</v>
      </c>
      <c r="F7" s="2361"/>
      <c r="G7" s="2361"/>
      <c r="H7" s="2362"/>
      <c r="J7" s="2360" t="s">
        <v>967</v>
      </c>
      <c r="K7" s="2361"/>
      <c r="L7" s="2361"/>
      <c r="M7" s="2362"/>
      <c r="O7" s="2360" t="s">
        <v>729</v>
      </c>
      <c r="P7" s="2361"/>
      <c r="Q7" s="2361"/>
      <c r="R7" s="2362"/>
      <c r="S7" s="302"/>
      <c r="T7" s="2329"/>
      <c r="U7" s="2332"/>
      <c r="V7" s="2332"/>
      <c r="W7" s="420"/>
      <c r="X7" s="2355"/>
      <c r="Y7" s="2329"/>
      <c r="Z7" s="2332"/>
      <c r="AA7" s="2332"/>
      <c r="AB7" s="420"/>
      <c r="AC7" s="2355"/>
      <c r="AD7" s="2329"/>
      <c r="AE7" s="2332"/>
      <c r="AF7" s="2332"/>
      <c r="AG7" s="420"/>
      <c r="AH7" s="2334"/>
      <c r="AI7" s="2325"/>
    </row>
    <row r="8" ht="25.5" customHeight="1">
      <c r="A8" s="2319"/>
      <c r="B8" s="2327"/>
      <c r="C8" s="2363"/>
      <c r="D8" s="2364"/>
      <c r="E8" s="2365"/>
      <c r="F8" s="2366" t="str">
        <f t="array" ref="F8">IFERROR(VLOOKUP(E6,Dex!$B$3:$H422,5,FALSE),"")</f>
        <v/>
      </c>
      <c r="G8" s="2367"/>
      <c r="H8" s="2368"/>
      <c r="J8" s="2365"/>
      <c r="K8" s="2369" t="str">
        <f t="array" ref="K8">IFERROR(VLOOKUP(J6,Dex!$B$3:$H422,5,FALSE),"")</f>
        <v/>
      </c>
      <c r="L8" s="2370" t="str">
        <f t="array" ref="L8">IFERROR(VLOOKUP(J6,Dex!$B$3:$H422,7,FALSE),"")</f>
        <v/>
      </c>
      <c r="M8" s="2368"/>
      <c r="O8" s="2365"/>
      <c r="P8" s="2366" t="str">
        <f t="array" ref="P8">IFERROR(VLOOKUP(O6,Dex!$B$3:$H422,5,FALSE),"")</f>
        <v/>
      </c>
      <c r="Q8" s="2367"/>
      <c r="R8" s="2368"/>
      <c r="S8" s="302"/>
      <c r="T8" s="2329"/>
      <c r="U8" s="2332"/>
      <c r="V8" s="2332"/>
      <c r="W8" s="420"/>
      <c r="X8" s="2355"/>
      <c r="Y8" s="2329"/>
      <c r="Z8" s="2332"/>
      <c r="AA8" s="2332"/>
      <c r="AB8" s="420"/>
      <c r="AC8" s="2355"/>
      <c r="AD8" s="2329"/>
      <c r="AE8" s="2332"/>
      <c r="AF8" s="2332"/>
      <c r="AG8" s="420"/>
      <c r="AH8" s="2334"/>
      <c r="AI8" s="2325"/>
    </row>
    <row r="9" ht="2.25" customHeight="1">
      <c r="A9" s="2319"/>
      <c r="B9" s="2327"/>
      <c r="C9" s="2355"/>
      <c r="D9" s="2364"/>
      <c r="E9" s="2371"/>
      <c r="F9" s="2372"/>
      <c r="G9" s="2372"/>
      <c r="H9" s="2373"/>
      <c r="J9" s="2371"/>
      <c r="K9" s="2372"/>
      <c r="L9" s="2372"/>
      <c r="M9" s="2373"/>
      <c r="O9" s="2371"/>
      <c r="P9" s="2372"/>
      <c r="Q9" s="2372"/>
      <c r="R9" s="2373"/>
      <c r="S9" s="302"/>
      <c r="T9" s="2374"/>
      <c r="U9" s="2374"/>
      <c r="V9" s="2374"/>
      <c r="W9" s="2374"/>
      <c r="X9" s="2355"/>
      <c r="Y9" s="2374"/>
      <c r="Z9" s="2374"/>
      <c r="AA9" s="2374"/>
      <c r="AB9" s="2374"/>
      <c r="AC9" s="2355"/>
      <c r="AD9" s="2374"/>
      <c r="AE9" s="2374"/>
      <c r="AF9" s="2374"/>
      <c r="AG9" s="2374"/>
      <c r="AH9" s="2334"/>
      <c r="AI9" s="2325"/>
    </row>
    <row r="10" ht="20.25" customHeight="1">
      <c r="A10" s="2319"/>
      <c r="B10" s="2327"/>
      <c r="C10" s="2375"/>
      <c r="D10" s="2329"/>
      <c r="E10" s="2376" t="s">
        <v>566</v>
      </c>
      <c r="F10" s="2377"/>
      <c r="G10" s="2377"/>
      <c r="H10" s="2378"/>
      <c r="J10" s="2376" t="s">
        <v>564</v>
      </c>
      <c r="K10" s="2377"/>
      <c r="L10" s="2377"/>
      <c r="M10" s="2378"/>
      <c r="O10" s="2376" t="s">
        <v>566</v>
      </c>
      <c r="P10" s="2377"/>
      <c r="Q10" s="2377"/>
      <c r="R10" s="2378"/>
      <c r="S10" s="302"/>
      <c r="T10" s="2329"/>
      <c r="U10" s="2332"/>
      <c r="V10" s="2332"/>
      <c r="W10" s="420"/>
      <c r="X10" s="2355"/>
      <c r="Y10" s="2329"/>
      <c r="Z10" s="2332"/>
      <c r="AA10" s="2332"/>
      <c r="AB10" s="420"/>
      <c r="AC10" s="2355"/>
      <c r="AD10" s="2329"/>
      <c r="AE10" s="2332"/>
      <c r="AF10" s="2332"/>
      <c r="AG10" s="420"/>
      <c r="AH10" s="2334"/>
      <c r="AI10" s="2325"/>
    </row>
    <row r="11" ht="20.25" customHeight="1">
      <c r="A11" s="2319"/>
      <c r="B11" s="2327"/>
      <c r="C11" s="2379"/>
      <c r="D11" s="2329"/>
      <c r="E11" s="2380" t="s">
        <v>60</v>
      </c>
      <c r="F11" s="2332"/>
      <c r="G11" s="2332"/>
      <c r="H11" s="2381"/>
      <c r="J11" s="2380" t="s">
        <v>968</v>
      </c>
      <c r="K11" s="2332"/>
      <c r="L11" s="2332"/>
      <c r="M11" s="2381"/>
      <c r="O11" s="2380" t="s">
        <v>969</v>
      </c>
      <c r="P11" s="2332"/>
      <c r="Q11" s="2332"/>
      <c r="R11" s="2381"/>
      <c r="S11" s="302"/>
      <c r="T11" s="2329"/>
      <c r="U11" s="2332"/>
      <c r="V11" s="2332"/>
      <c r="W11" s="420"/>
      <c r="X11" s="2355"/>
      <c r="Y11" s="2329"/>
      <c r="Z11" s="2332"/>
      <c r="AA11" s="2332"/>
      <c r="AB11" s="420"/>
      <c r="AC11" s="2355"/>
      <c r="AD11" s="2329"/>
      <c r="AE11" s="2332"/>
      <c r="AF11" s="2332"/>
      <c r="AG11" s="420"/>
      <c r="AH11" s="2334"/>
      <c r="AI11" s="2325"/>
    </row>
    <row r="12" ht="20.25" customHeight="1">
      <c r="A12" s="2319"/>
      <c r="B12" s="2327"/>
      <c r="C12" s="2355"/>
      <c r="D12" s="2329"/>
      <c r="E12" s="2382" t="s">
        <v>800</v>
      </c>
      <c r="F12" s="2383"/>
      <c r="G12" s="2384"/>
      <c r="H12" s="2385"/>
      <c r="J12" s="2382" t="s">
        <v>970</v>
      </c>
      <c r="K12" s="2383"/>
      <c r="L12" s="2384"/>
      <c r="M12" s="2385"/>
      <c r="O12" s="2382" t="s">
        <v>491</v>
      </c>
      <c r="P12" s="2383"/>
      <c r="Q12" s="2384"/>
      <c r="R12" s="2385"/>
      <c r="S12" s="302"/>
      <c r="T12" s="2329"/>
      <c r="U12" s="2332"/>
      <c r="V12" s="2332"/>
      <c r="W12" s="420"/>
      <c r="X12" s="2355"/>
      <c r="Y12" s="2329"/>
      <c r="Z12" s="2332"/>
      <c r="AA12" s="2332"/>
      <c r="AB12" s="420"/>
      <c r="AC12" s="2355"/>
      <c r="AD12" s="2329"/>
      <c r="AE12" s="2332"/>
      <c r="AF12" s="2332"/>
      <c r="AG12" s="420"/>
      <c r="AH12" s="2334"/>
      <c r="AI12" s="2325"/>
    </row>
    <row r="13" ht="20.25" customHeight="1">
      <c r="A13" s="2319"/>
      <c r="B13" s="2327"/>
      <c r="C13" s="2375"/>
      <c r="D13" s="2329"/>
      <c r="E13" s="2376" t="s">
        <v>495</v>
      </c>
      <c r="F13" s="2377"/>
      <c r="G13" s="2386"/>
      <c r="H13" s="2387" t="str">
        <f>IMAGE("https://raw.githubusercontent.com/msikma/pokesprite/master/misc/types/gen8/fighting.png",4,20,20)</f>
        <v/>
      </c>
      <c r="J13" s="2376" t="s">
        <v>971</v>
      </c>
      <c r="K13" s="2377"/>
      <c r="L13" s="2386"/>
      <c r="M13" s="2387" t="str">
        <f>IMAGE("https://raw.githubusercontent.com/msikma/pokesprite/master/misc/types/gen8/fire.png",4,20,20)</f>
        <v/>
      </c>
      <c r="O13" s="2376" t="s">
        <v>495</v>
      </c>
      <c r="P13" s="2377"/>
      <c r="Q13" s="2386"/>
      <c r="R13" s="2387" t="str">
        <f>IMAGE("https://raw.githubusercontent.com/msikma/pokesprite/master/misc/types/gen8/fighting.png",4,20,20)</f>
        <v/>
      </c>
      <c r="S13" s="302"/>
      <c r="T13" s="2329"/>
      <c r="U13" s="2332"/>
      <c r="V13" s="2332"/>
      <c r="W13" s="420"/>
      <c r="X13" s="2355"/>
      <c r="Y13" s="2329"/>
      <c r="Z13" s="2332"/>
      <c r="AA13" s="2332"/>
      <c r="AB13" s="420"/>
      <c r="AC13" s="2355"/>
      <c r="AD13" s="2329"/>
      <c r="AE13" s="2332"/>
      <c r="AF13" s="2332"/>
      <c r="AG13" s="420"/>
      <c r="AH13" s="2334"/>
      <c r="AI13" s="2325"/>
    </row>
    <row r="14" ht="20.25" customHeight="1">
      <c r="A14" s="2319"/>
      <c r="B14" s="2327"/>
      <c r="C14" s="2328"/>
      <c r="D14" s="2329"/>
      <c r="E14" s="2380" t="s">
        <v>972</v>
      </c>
      <c r="F14" s="2332"/>
      <c r="G14" s="420"/>
      <c r="H14" s="2388" t="str">
        <f>IMAGE("https://raw.githubusercontent.com/msikma/pokesprite/master/misc/types/gen8/fairy.png",4,20,20)</f>
        <v/>
      </c>
      <c r="J14" s="2380" t="s">
        <v>973</v>
      </c>
      <c r="K14" s="2332"/>
      <c r="L14" s="420"/>
      <c r="M14" s="2388" t="str">
        <f>IMAGE("https://raw.githubusercontent.com/msikma/pokesprite/master/misc/types/gen8/normal.png",4,20,20)</f>
        <v/>
      </c>
      <c r="O14" s="2380" t="s">
        <v>974</v>
      </c>
      <c r="P14" s="2332"/>
      <c r="Q14" s="420"/>
      <c r="R14" s="2388" t="str">
        <f>IMAGE("https://raw.githubusercontent.com/msikma/pokesprite/master/misc/types/gen8/water.png",4,20,20)</f>
        <v/>
      </c>
      <c r="S14" s="302"/>
      <c r="T14" s="2329"/>
      <c r="U14" s="2332"/>
      <c r="V14" s="2332"/>
      <c r="W14" s="420"/>
      <c r="X14" s="2355"/>
      <c r="Y14" s="2329"/>
      <c r="Z14" s="2332"/>
      <c r="AA14" s="2332"/>
      <c r="AB14" s="420"/>
      <c r="AC14" s="2355"/>
      <c r="AD14" s="2329"/>
      <c r="AE14" s="2332"/>
      <c r="AF14" s="2332"/>
      <c r="AG14" s="420"/>
      <c r="AH14" s="2334"/>
      <c r="AI14" s="2325"/>
    </row>
    <row r="15" ht="20.25" customHeight="1">
      <c r="A15" s="2319"/>
      <c r="B15" s="2327"/>
      <c r="C15" s="2328"/>
      <c r="D15" s="2329"/>
      <c r="E15" s="2380" t="s">
        <v>611</v>
      </c>
      <c r="F15" s="2332"/>
      <c r="G15" s="420"/>
      <c r="H15" s="2388" t="str">
        <f>IMAGE("https://raw.githubusercontent.com/msikma/pokesprite/master/misc/types/gen8/electric.png",4,20,20)</f>
        <v/>
      </c>
      <c r="J15" s="2380" t="s">
        <v>553</v>
      </c>
      <c r="K15" s="2332"/>
      <c r="L15" s="420"/>
      <c r="M15" s="2388" t="str">
        <f>IMAGE("https://raw.githubusercontent.com/msikma/pokesprite/master/misc/types/gen8/grass.png",4,20,20)</f>
        <v/>
      </c>
      <c r="O15" s="2380" t="s">
        <v>498</v>
      </c>
      <c r="P15" s="2332"/>
      <c r="Q15" s="420"/>
      <c r="R15" s="2388" t="str">
        <f>IMAGE("https://raw.githubusercontent.com/msikma/pokesprite/master/misc/types/gen8/rock.png",4,20,20)</f>
        <v/>
      </c>
      <c r="S15" s="302"/>
      <c r="T15" s="2329"/>
      <c r="U15" s="2332"/>
      <c r="V15" s="2332"/>
      <c r="W15" s="420"/>
      <c r="X15" s="2355"/>
      <c r="Y15" s="2329"/>
      <c r="Z15" s="2332"/>
      <c r="AA15" s="2332"/>
      <c r="AB15" s="420"/>
      <c r="AC15" s="2355"/>
      <c r="AD15" s="2329"/>
      <c r="AE15" s="2332"/>
      <c r="AF15" s="2332"/>
      <c r="AG15" s="420"/>
      <c r="AH15" s="2334"/>
      <c r="AI15" s="2325"/>
    </row>
    <row r="16" ht="21.0" customHeight="1">
      <c r="A16" s="2319"/>
      <c r="B16" s="2327"/>
      <c r="C16" s="2328"/>
      <c r="D16" s="2329"/>
      <c r="E16" s="2389" t="s">
        <v>975</v>
      </c>
      <c r="F16" s="2390"/>
      <c r="G16" s="2391"/>
      <c r="H16" s="2392" t="str">
        <f>IMAGE("https://raw.githubusercontent.com/msikma/pokesprite/master/misc/types/gen8/fire.png",4,20,20)</f>
        <v/>
      </c>
      <c r="I16" s="2393"/>
      <c r="J16" s="2389" t="s">
        <v>698</v>
      </c>
      <c r="K16" s="2390"/>
      <c r="L16" s="2391"/>
      <c r="M16" s="2392" t="str">
        <f>IMAGE("https://raw.githubusercontent.com/msikma/pokesprite/master/misc/types/gen8/normal.png",4,20,20)</f>
        <v/>
      </c>
      <c r="N16" s="2393"/>
      <c r="O16" s="2389" t="s">
        <v>208</v>
      </c>
      <c r="P16" s="2390"/>
      <c r="Q16" s="2391"/>
      <c r="R16" s="2392" t="str">
        <f>IMAGE("https://raw.githubusercontent.com/msikma/pokesprite/master/misc/types/gen8/ghost.png",4,20,20)</f>
        <v/>
      </c>
      <c r="S16" s="510"/>
      <c r="T16" s="2329"/>
      <c r="U16" s="2332"/>
      <c r="V16" s="2332"/>
      <c r="W16" s="420"/>
      <c r="X16" s="2375"/>
      <c r="Y16" s="2329"/>
      <c r="Z16" s="2332"/>
      <c r="AA16" s="2332"/>
      <c r="AB16" s="420"/>
      <c r="AC16" s="2375"/>
      <c r="AD16" s="2329"/>
      <c r="AE16" s="2332"/>
      <c r="AF16" s="2332"/>
      <c r="AG16" s="420"/>
      <c r="AH16" s="2334"/>
      <c r="AI16" s="2325"/>
    </row>
    <row r="17" ht="3.0" customHeight="1">
      <c r="A17" s="2394"/>
      <c r="B17" s="2395"/>
      <c r="C17" s="2396"/>
      <c r="D17" s="2397"/>
      <c r="E17" s="2398"/>
      <c r="F17" s="2398"/>
      <c r="G17" s="2398"/>
      <c r="H17" s="2398"/>
      <c r="I17" s="2397"/>
      <c r="J17" s="2398"/>
      <c r="K17" s="2398"/>
      <c r="L17" s="2398"/>
      <c r="M17" s="2398"/>
      <c r="N17" s="2397"/>
      <c r="O17" s="2398"/>
      <c r="P17" s="2398"/>
      <c r="Q17" s="2398"/>
      <c r="R17" s="2398"/>
      <c r="S17" s="2397"/>
      <c r="T17" s="2397"/>
      <c r="U17" s="2397"/>
      <c r="V17" s="2397"/>
      <c r="W17" s="2397"/>
      <c r="X17" s="2397"/>
      <c r="Y17" s="2397"/>
      <c r="Z17" s="2399"/>
      <c r="AA17" s="2399"/>
      <c r="AB17" s="2400"/>
      <c r="AC17" s="2400"/>
      <c r="AD17" s="2400"/>
      <c r="AE17" s="2400"/>
      <c r="AF17" s="2400"/>
      <c r="AG17" s="2400"/>
      <c r="AH17" s="2401"/>
      <c r="AI17" s="2402"/>
    </row>
    <row r="18" ht="16.5" customHeight="1">
      <c r="A18" s="2326"/>
      <c r="B18" s="2403"/>
      <c r="C18" s="2396"/>
      <c r="D18" s="2404"/>
      <c r="E18" s="726" t="s">
        <v>512</v>
      </c>
      <c r="F18" s="606"/>
      <c r="G18" s="606"/>
      <c r="H18" s="607"/>
      <c r="I18" s="2405"/>
      <c r="J18" s="726" t="s">
        <v>512</v>
      </c>
      <c r="K18" s="606"/>
      <c r="L18" s="606"/>
      <c r="M18" s="607"/>
      <c r="N18" s="2406"/>
      <c r="O18" s="726" t="s">
        <v>512</v>
      </c>
      <c r="P18" s="606"/>
      <c r="Q18" s="606"/>
      <c r="R18" s="607"/>
      <c r="S18" s="2407"/>
      <c r="T18" s="2408"/>
      <c r="U18" s="2408"/>
      <c r="V18" s="2409"/>
      <c r="W18" s="2409"/>
      <c r="X18" s="2409"/>
      <c r="Y18" s="2408"/>
      <c r="Z18" s="2408"/>
      <c r="AA18" s="2408"/>
      <c r="AB18" s="2409"/>
      <c r="AC18" s="2409"/>
      <c r="AD18" s="2409"/>
      <c r="AE18" s="2409"/>
      <c r="AF18" s="2409"/>
      <c r="AG18" s="2409"/>
      <c r="AH18" s="2410"/>
      <c r="AI18" s="2411"/>
    </row>
    <row r="19" ht="16.5" customHeight="1">
      <c r="A19" s="2326"/>
      <c r="B19" s="2403"/>
      <c r="C19" s="2396"/>
      <c r="D19" s="2404"/>
      <c r="E19" s="731" t="s">
        <v>513</v>
      </c>
      <c r="F19" s="732">
        <f t="array" ref="F19">IFERROR(VLOOKUP(E6,Dex!$B$3:$N422,8,FALSE),"")</f>
        <v>60</v>
      </c>
      <c r="G19" s="733" t="str">
        <f t="array" ref="G19">IFERROR(VLOOKUP(F19,Dex!$P$22:$Q$276,2,FALSE),"")</f>
        <v/>
      </c>
      <c r="H19" s="734"/>
      <c r="I19" s="2405"/>
      <c r="J19" s="731" t="s">
        <v>513</v>
      </c>
      <c r="K19" s="732">
        <f t="array" ref="K19">IFERROR(VLOOKUP(J6,Dex!$B$3:$N422,8,FALSE),"")</f>
        <v>62</v>
      </c>
      <c r="L19" s="733" t="str">
        <f t="array" ref="L19">IFERROR(VLOOKUP(K19,Dex!$P$22:$Q$276,2,FALSE),"")</f>
        <v/>
      </c>
      <c r="M19" s="734"/>
      <c r="N19" s="2412"/>
      <c r="O19" s="731" t="s">
        <v>513</v>
      </c>
      <c r="P19" s="732">
        <f t="array" ref="P19">IFERROR(VLOOKUP(O6,Dex!$B$3:$N422,8,FALSE),"")</f>
        <v>44</v>
      </c>
      <c r="Q19" s="733" t="str">
        <f t="array" ref="Q19">IFERROR(VLOOKUP(P19,Dex!$P$22:$Q$276,2,FALSE),"")</f>
        <v/>
      </c>
      <c r="R19" s="734"/>
      <c r="S19" s="2407"/>
      <c r="T19" s="2408"/>
      <c r="U19" s="2408"/>
      <c r="V19" s="2409"/>
      <c r="W19" s="2409"/>
      <c r="X19" s="2409"/>
      <c r="Y19" s="2408"/>
      <c r="Z19" s="2408"/>
      <c r="AA19" s="2408"/>
      <c r="AB19" s="2409"/>
      <c r="AC19" s="2409"/>
      <c r="AD19" s="2409"/>
      <c r="AE19" s="2409"/>
      <c r="AF19" s="2409"/>
      <c r="AG19" s="2409"/>
      <c r="AH19" s="2410"/>
      <c r="AI19" s="2411"/>
    </row>
    <row r="20" ht="16.5" customHeight="1">
      <c r="A20" s="2326"/>
      <c r="B20" s="2403"/>
      <c r="C20" s="2396"/>
      <c r="D20" s="2404"/>
      <c r="E20" s="738" t="s">
        <v>514</v>
      </c>
      <c r="F20" s="739">
        <f t="array" ref="F20">IFERROR(VLOOKUP(E6,Dex!$B$3:$N422,9,FALSE),"")</f>
        <v>80</v>
      </c>
      <c r="G20" s="740" t="str">
        <f t="array" ref="G20">IFERROR(VLOOKUP(F20,Dex!$P$22:$Q$276,2,FALSE),"")</f>
        <v/>
      </c>
      <c r="H20" s="741"/>
      <c r="I20" s="2405"/>
      <c r="J20" s="738" t="s">
        <v>514</v>
      </c>
      <c r="K20" s="739">
        <f t="array" ref="K20">IFERROR(VLOOKUP(J6,Dex!$B$3:$N422,9,FALSE),"")</f>
        <v>50</v>
      </c>
      <c r="L20" s="740" t="str">
        <f t="array" ref="L20">IFERROR(VLOOKUP(K20,Dex!$P$22:$Q$276,2,FALSE),"")</f>
        <v/>
      </c>
      <c r="M20" s="741"/>
      <c r="N20" s="2412"/>
      <c r="O20" s="738" t="s">
        <v>514</v>
      </c>
      <c r="P20" s="739">
        <f t="array" ref="P20">IFERROR(VLOOKUP(O6,Dex!$B$3:$N422,9,FALSE),"")</f>
        <v>48</v>
      </c>
      <c r="Q20" s="740" t="str">
        <f t="array" ref="Q20">IFERROR(VLOOKUP(P20,Dex!$P$22:$Q$276,2,FALSE),"")</f>
        <v/>
      </c>
      <c r="R20" s="741"/>
      <c r="S20" s="2407"/>
      <c r="T20" s="2408"/>
      <c r="U20" s="2408"/>
      <c r="V20" s="2409"/>
      <c r="W20" s="2409"/>
      <c r="X20" s="2409"/>
      <c r="Y20" s="2408"/>
      <c r="Z20" s="2408"/>
      <c r="AA20" s="2408"/>
      <c r="AB20" s="2409"/>
      <c r="AC20" s="2409"/>
      <c r="AD20" s="2409"/>
      <c r="AE20" s="2409"/>
      <c r="AF20" s="2409"/>
      <c r="AG20" s="2409"/>
      <c r="AH20" s="2410"/>
      <c r="AI20" s="2411"/>
    </row>
    <row r="21" ht="16.5" customHeight="1">
      <c r="A21" s="2326"/>
      <c r="B21" s="2403"/>
      <c r="C21" s="2396"/>
      <c r="D21" s="2404"/>
      <c r="E21" s="738" t="s">
        <v>515</v>
      </c>
      <c r="F21" s="739">
        <f t="array" ref="F21">IFERROR(VLOOKUP(E6,Dex!$B$3:$N422,10,FALSE),"")</f>
        <v>50</v>
      </c>
      <c r="G21" s="740" t="str">
        <f t="array" ref="G21">IFERROR(VLOOKUP(F21,Dex!$P$22:$Q$276,2,FALSE),"")</f>
        <v/>
      </c>
      <c r="H21" s="741"/>
      <c r="I21" s="2405"/>
      <c r="J21" s="738" t="s">
        <v>515</v>
      </c>
      <c r="K21" s="739">
        <f t="array" ref="K21">IFERROR(VLOOKUP(J6,Dex!$B$3:$N422,10,FALSE),"")</f>
        <v>58</v>
      </c>
      <c r="L21" s="740" t="str">
        <f t="array" ref="L21">IFERROR(VLOOKUP(K21,Dex!$P$22:$Q$276,2,FALSE),"")</f>
        <v/>
      </c>
      <c r="M21" s="741"/>
      <c r="N21" s="2412"/>
      <c r="O21" s="738" t="s">
        <v>515</v>
      </c>
      <c r="P21" s="739">
        <f t="array" ref="P21">IFERROR(VLOOKUP(O6,Dex!$B$3:$N422,10,FALSE),"")</f>
        <v>65</v>
      </c>
      <c r="Q21" s="740" t="str">
        <f t="array" ref="Q21">IFERROR(VLOOKUP(P21,Dex!$P$22:$Q$276,2,FALSE),"")</f>
        <v/>
      </c>
      <c r="R21" s="741"/>
      <c r="S21" s="2407"/>
      <c r="T21" s="2408"/>
      <c r="U21" s="2408"/>
      <c r="V21" s="2409"/>
      <c r="W21" s="2409"/>
      <c r="X21" s="2409"/>
      <c r="Y21" s="2408"/>
      <c r="Z21" s="2408"/>
      <c r="AA21" s="2408"/>
      <c r="AB21" s="2409"/>
      <c r="AC21" s="2409"/>
      <c r="AD21" s="2409"/>
      <c r="AE21" s="2409"/>
      <c r="AF21" s="2409"/>
      <c r="AG21" s="2409"/>
      <c r="AH21" s="2410"/>
      <c r="AI21" s="2411"/>
    </row>
    <row r="22" ht="16.5" customHeight="1">
      <c r="A22" s="2326"/>
      <c r="B22" s="2403"/>
      <c r="C22" s="2396"/>
      <c r="D22" s="2404"/>
      <c r="E22" s="738" t="s">
        <v>516</v>
      </c>
      <c r="F22" s="739">
        <f t="array" ref="F22">IFERROR(VLOOKUP(E6,Dex!$B$3:$N422,11,FALSE),"")</f>
        <v>40</v>
      </c>
      <c r="G22" s="740" t="str">
        <f t="array" ref="G22">IFERROR(VLOOKUP(F22,Dex!$P$22:$Q$276,2,FALSE),"")</f>
        <v/>
      </c>
      <c r="H22" s="741"/>
      <c r="I22" s="2405"/>
      <c r="J22" s="738" t="s">
        <v>516</v>
      </c>
      <c r="K22" s="739">
        <f t="array" ref="K22">IFERROR(VLOOKUP(J6,Dex!$B$3:$N422,11,FALSE),"")</f>
        <v>73</v>
      </c>
      <c r="L22" s="740" t="str">
        <f t="array" ref="L22">IFERROR(VLOOKUP(K22,Dex!$P$22:$Q$276,2,FALSE),"")</f>
        <v/>
      </c>
      <c r="M22" s="741"/>
      <c r="N22" s="2412"/>
      <c r="O22" s="738" t="s">
        <v>516</v>
      </c>
      <c r="P22" s="739">
        <f t="array" ref="P22">IFERROR(VLOOKUP(O6,Dex!$B$3:$N422,11,FALSE),"")</f>
        <v>50</v>
      </c>
      <c r="Q22" s="740" t="str">
        <f t="array" ref="Q22">IFERROR(VLOOKUP(P22,Dex!$P$22:$Q$276,2,FALSE),"")</f>
        <v/>
      </c>
      <c r="R22" s="741"/>
      <c r="S22" s="2407"/>
      <c r="T22" s="2408"/>
      <c r="U22" s="2408"/>
      <c r="V22" s="2409"/>
      <c r="W22" s="2409"/>
      <c r="X22" s="2409"/>
      <c r="Y22" s="2408"/>
      <c r="Z22" s="2408"/>
      <c r="AA22" s="2408"/>
      <c r="AB22" s="2409"/>
      <c r="AC22" s="2409"/>
      <c r="AD22" s="2409"/>
      <c r="AE22" s="2409"/>
      <c r="AF22" s="2409"/>
      <c r="AG22" s="2409"/>
      <c r="AH22" s="2410"/>
      <c r="AI22" s="2411"/>
    </row>
    <row r="23" ht="16.5" customHeight="1">
      <c r="A23" s="2326"/>
      <c r="B23" s="2403"/>
      <c r="C23" s="2396"/>
      <c r="D23" s="2404"/>
      <c r="E23" s="738" t="s">
        <v>517</v>
      </c>
      <c r="F23" s="739">
        <f t="array" ref="F23">IFERROR(VLOOKUP(E6,Dex!$B$3:$N422,12,FALSE),"")</f>
        <v>40</v>
      </c>
      <c r="G23" s="740" t="str">
        <f t="array" ref="G23">IFERROR(VLOOKUP(F23,Dex!$P$22:$Q$276,2,FALSE),"")</f>
        <v/>
      </c>
      <c r="H23" s="741"/>
      <c r="I23" s="2405"/>
      <c r="J23" s="738" t="s">
        <v>517</v>
      </c>
      <c r="K23" s="739">
        <f t="array" ref="K23">IFERROR(VLOOKUP(J6,Dex!$B$3:$N422,12,FALSE),"")</f>
        <v>54</v>
      </c>
      <c r="L23" s="740" t="str">
        <f t="array" ref="L23">IFERROR(VLOOKUP(K23,Dex!$P$22:$Q$276,2,FALSE),"")</f>
        <v/>
      </c>
      <c r="M23" s="741"/>
      <c r="N23" s="2412"/>
      <c r="O23" s="738" t="s">
        <v>517</v>
      </c>
      <c r="P23" s="739">
        <f t="array" ref="P23">IFERROR(VLOOKUP(O6,Dex!$B$3:$N422,12,FALSE),"")</f>
        <v>64</v>
      </c>
      <c r="Q23" s="740" t="str">
        <f t="array" ref="Q23">IFERROR(VLOOKUP(P23,Dex!$P$22:$Q$276,2,FALSE),"")</f>
        <v/>
      </c>
      <c r="R23" s="741"/>
      <c r="S23" s="2407"/>
      <c r="T23" s="2408"/>
      <c r="U23" s="2408"/>
      <c r="V23" s="2409"/>
      <c r="W23" s="2409"/>
      <c r="X23" s="2409"/>
      <c r="Y23" s="2408"/>
      <c r="Z23" s="2408"/>
      <c r="AA23" s="2408"/>
      <c r="AB23" s="2409"/>
      <c r="AC23" s="2409"/>
      <c r="AD23" s="2409"/>
      <c r="AE23" s="2409"/>
      <c r="AF23" s="2409"/>
      <c r="AG23" s="2409"/>
      <c r="AH23" s="2410"/>
      <c r="AI23" s="2411"/>
    </row>
    <row r="24" ht="15.75" customHeight="1">
      <c r="A24" s="2326"/>
      <c r="B24" s="2403"/>
      <c r="C24" s="1426" t="s">
        <v>745</v>
      </c>
      <c r="D24" s="2404"/>
      <c r="E24" s="742" t="s">
        <v>518</v>
      </c>
      <c r="F24" s="743">
        <f t="array" ref="F24">IFERROR(VLOOKUP(E6,Dex!$B$3:$N422,13,FALSE),"")</f>
        <v>30</v>
      </c>
      <c r="G24" s="744" t="str">
        <f t="array" ref="G24">IFERROR(VLOOKUP(F24,Dex!$P$22:$Q$276,2,FALSE),"")</f>
        <v/>
      </c>
      <c r="H24" s="745"/>
      <c r="I24" s="2405"/>
      <c r="J24" s="742" t="s">
        <v>518</v>
      </c>
      <c r="K24" s="743">
        <f t="array" ref="K24">IFERROR(VLOOKUP(J6,Dex!$B$3:$N422,13,FALSE),"")</f>
        <v>72</v>
      </c>
      <c r="L24" s="744" t="str">
        <f t="array" ref="L24">IFERROR(VLOOKUP(K24,Dex!$P$22:$Q$276,2,FALSE),"")</f>
        <v/>
      </c>
      <c r="M24" s="745"/>
      <c r="N24" s="2412"/>
      <c r="O24" s="742" t="s">
        <v>518</v>
      </c>
      <c r="P24" s="743">
        <f t="array" ref="P24">IFERROR(VLOOKUP(O6,Dex!$B$3:$N422,13,FALSE),"")</f>
        <v>43</v>
      </c>
      <c r="Q24" s="744" t="str">
        <f t="array" ref="Q24">IFERROR(VLOOKUP(P24,Dex!$P$22:$Q$276,2,FALSE),"")</f>
        <v/>
      </c>
      <c r="R24" s="745"/>
      <c r="S24" s="2407"/>
      <c r="T24" s="2408"/>
      <c r="U24" s="2408"/>
      <c r="V24" s="2409"/>
      <c r="W24" s="2409"/>
      <c r="X24" s="2409"/>
      <c r="Y24" s="2408"/>
      <c r="Z24" s="2408"/>
      <c r="AA24" s="2408"/>
      <c r="AB24" s="2409"/>
      <c r="AC24" s="2409"/>
      <c r="AD24" s="2409"/>
      <c r="AE24" s="2409"/>
      <c r="AF24" s="2409"/>
      <c r="AG24" s="2409"/>
      <c r="AH24" s="2410"/>
      <c r="AI24" s="2411"/>
    </row>
    <row r="25" ht="16.5" customHeight="1">
      <c r="A25" s="2326"/>
      <c r="B25" s="2403"/>
      <c r="C25" s="1427" t="s">
        <v>813</v>
      </c>
      <c r="D25" s="2404"/>
      <c r="E25" s="746" t="s">
        <v>519</v>
      </c>
      <c r="F25" s="630"/>
      <c r="G25" s="631"/>
      <c r="H25" s="632">
        <f>ROUNDDOWN((ROUNDDOWN(((((2*F24+31)*15)/100+5)),0))*1,0)</f>
        <v>18</v>
      </c>
      <c r="I25" s="2405"/>
      <c r="J25" s="746" t="s">
        <v>519</v>
      </c>
      <c r="K25" s="630"/>
      <c r="L25" s="631"/>
      <c r="M25" s="632">
        <f>ROUNDDOWN((ROUNDDOWN(((((2*K24+31)*15)/100+5)),0))*1.1,0)</f>
        <v>34</v>
      </c>
      <c r="N25" s="2406"/>
      <c r="O25" s="746" t="s">
        <v>519</v>
      </c>
      <c r="P25" s="630"/>
      <c r="Q25" s="631"/>
      <c r="R25" s="632">
        <f>ROUNDDOWN((ROUNDDOWN(((((2*P24+31)*16)/100+5)),0))*1,0)</f>
        <v>23</v>
      </c>
      <c r="S25" s="2409"/>
      <c r="T25" s="2408"/>
      <c r="U25" s="2408"/>
      <c r="V25" s="2409"/>
      <c r="W25" s="2409"/>
      <c r="X25" s="2409"/>
      <c r="Y25" s="2408"/>
      <c r="Z25" s="2408"/>
      <c r="AA25" s="2408"/>
      <c r="AB25" s="2409"/>
      <c r="AC25" s="2409"/>
      <c r="AD25" s="2409"/>
      <c r="AE25" s="2409"/>
      <c r="AF25" s="2409"/>
      <c r="AG25" s="2409"/>
      <c r="AH25" s="2410"/>
      <c r="AI25" s="2411"/>
    </row>
    <row r="26" ht="11.25" customHeight="1">
      <c r="A26" s="2319"/>
      <c r="B26" s="2327"/>
      <c r="C26" s="2328"/>
      <c r="D26" s="2374"/>
      <c r="E26" s="2413"/>
      <c r="F26" s="2413"/>
      <c r="G26" s="2413"/>
      <c r="H26" s="2413"/>
      <c r="I26" s="2346"/>
      <c r="J26" s="2413"/>
      <c r="K26" s="2413"/>
      <c r="L26" s="2413"/>
      <c r="M26" s="2413"/>
      <c r="N26" s="2346"/>
      <c r="O26" s="2414"/>
      <c r="P26" s="2414"/>
      <c r="Q26" s="2414"/>
      <c r="R26" s="2346"/>
      <c r="S26" s="2346"/>
      <c r="T26" s="2346"/>
      <c r="U26" s="2346"/>
      <c r="V26" s="2346"/>
      <c r="W26" s="2346"/>
      <c r="X26" s="2374"/>
      <c r="Y26" s="2374"/>
      <c r="Z26" s="2374"/>
      <c r="AA26" s="2374"/>
      <c r="AB26" s="2374"/>
      <c r="AC26" s="2374"/>
      <c r="AD26" s="2374"/>
      <c r="AE26" s="2374"/>
      <c r="AF26" s="2374"/>
      <c r="AG26" s="2374"/>
      <c r="AH26" s="2334"/>
      <c r="AI26" s="2325"/>
    </row>
    <row r="27">
      <c r="A27" s="2326"/>
      <c r="B27" s="2327"/>
      <c r="C27" s="2328"/>
      <c r="D27" s="2329"/>
      <c r="E27" s="1731" t="s">
        <v>976</v>
      </c>
      <c r="F27" s="1732"/>
      <c r="G27" s="1732"/>
      <c r="H27" s="1732"/>
      <c r="I27" s="1732"/>
      <c r="J27" s="1732"/>
      <c r="K27" s="1732"/>
      <c r="L27" s="1732"/>
      <c r="M27" s="1732"/>
      <c r="N27" s="1732"/>
      <c r="O27" s="1732"/>
      <c r="P27" s="1732"/>
      <c r="Q27" s="1732"/>
      <c r="R27" s="1732"/>
      <c r="S27" s="1733"/>
      <c r="T27" s="2331"/>
      <c r="U27" s="2332"/>
      <c r="V27" s="2332"/>
      <c r="W27" s="420"/>
      <c r="X27" s="2331"/>
      <c r="Y27" s="2332"/>
      <c r="Z27" s="2332"/>
      <c r="AA27" s="420"/>
      <c r="AB27" s="2329"/>
      <c r="AC27" s="2332"/>
      <c r="AD27" s="2332"/>
      <c r="AE27" s="420"/>
      <c r="AF27" s="2333"/>
      <c r="AG27" s="2333"/>
      <c r="AH27" s="2334"/>
      <c r="AI27" s="2325"/>
    </row>
    <row r="28" ht="3.75" customHeight="1">
      <c r="A28" s="2326"/>
      <c r="B28" s="2327"/>
      <c r="C28" s="2335"/>
      <c r="D28" s="2336"/>
      <c r="E28" s="2337"/>
      <c r="F28" s="2337"/>
      <c r="G28" s="2337"/>
      <c r="H28" s="2337"/>
      <c r="I28" s="2415"/>
      <c r="J28" s="2337"/>
      <c r="K28" s="2337"/>
      <c r="L28" s="2337"/>
      <c r="M28" s="2337"/>
      <c r="N28" s="2338"/>
      <c r="O28" s="2337"/>
      <c r="P28" s="2337"/>
      <c r="Q28" s="2337"/>
      <c r="R28" s="2337"/>
      <c r="S28" s="2338"/>
      <c r="T28" s="2338"/>
      <c r="U28" s="2338"/>
      <c r="V28" s="2338"/>
      <c r="W28" s="2338"/>
      <c r="X28" s="2336"/>
      <c r="Y28" s="2336"/>
      <c r="Z28" s="2336"/>
      <c r="AA28" s="2336"/>
      <c r="AB28" s="2336"/>
      <c r="AC28" s="2336"/>
      <c r="AD28" s="2336"/>
      <c r="AE28" s="2336"/>
      <c r="AF28" s="2336"/>
      <c r="AG28" s="2336"/>
      <c r="AH28" s="2334"/>
      <c r="AI28" s="2325"/>
    </row>
    <row r="29" ht="96.75" customHeight="1">
      <c r="A29" s="2319"/>
      <c r="B29" s="2339"/>
      <c r="C29" s="2416" t="str">
        <f>IMAGE("https://i.ibb.co/fXwks6z/Rival.png")</f>
        <v/>
      </c>
      <c r="D29" s="2341"/>
      <c r="E29" s="2417" t="str">
        <f t="array" ref="E29">IFERROR(VLOOKUP(E30,Dex!$B$3:$G422,3,FALSE),"")</f>
        <v/>
      </c>
      <c r="F29" s="1945"/>
      <c r="G29" s="1945"/>
      <c r="H29" s="1946"/>
      <c r="I29" s="2418"/>
      <c r="J29" s="2417" t="str">
        <f t="array" ref="J29">IFERROR(VLOOKUP(J30,Dex!$B$3:$G422,3,FALSE),"")</f>
        <v/>
      </c>
      <c r="K29" s="1945"/>
      <c r="L29" s="1945"/>
      <c r="M29" s="1946"/>
      <c r="N29" s="2344"/>
      <c r="O29" s="2417" t="str">
        <f t="array" ref="O29">IFERROR(VLOOKUP(O30,Dex!$B$3:$G422,3,FALSE),"")</f>
        <v/>
      </c>
      <c r="P29" s="1945"/>
      <c r="Q29" s="1945"/>
      <c r="R29" s="1946"/>
      <c r="S29" s="2345"/>
      <c r="T29" s="2329"/>
      <c r="U29" s="2332"/>
      <c r="V29" s="2332"/>
      <c r="W29" s="420"/>
      <c r="X29" s="2346"/>
      <c r="Y29" s="2329"/>
      <c r="Z29" s="2332"/>
      <c r="AA29" s="2332"/>
      <c r="AB29" s="420"/>
      <c r="AC29" s="2346"/>
      <c r="AD29" s="2329"/>
      <c r="AE29" s="2332"/>
      <c r="AF29" s="2332"/>
      <c r="AG29" s="420"/>
      <c r="AH29" s="2334"/>
      <c r="AI29" s="2325"/>
    </row>
    <row r="30" ht="18.75" customHeight="1">
      <c r="A30" s="2347"/>
      <c r="B30" s="2419"/>
      <c r="C30" s="2349" t="s">
        <v>977</v>
      </c>
      <c r="D30" s="2420"/>
      <c r="E30" s="2351" t="s">
        <v>964</v>
      </c>
      <c r="F30" s="2352"/>
      <c r="G30" s="2352"/>
      <c r="H30" s="2353"/>
      <c r="J30" s="2351" t="s">
        <v>978</v>
      </c>
      <c r="K30" s="2352"/>
      <c r="L30" s="2352"/>
      <c r="M30" s="2353"/>
      <c r="O30" s="2351" t="s">
        <v>979</v>
      </c>
      <c r="P30" s="2352"/>
      <c r="Q30" s="2352"/>
      <c r="R30" s="2353"/>
      <c r="S30" s="302"/>
      <c r="T30" s="2354"/>
      <c r="U30" s="2332"/>
      <c r="V30" s="2332"/>
      <c r="W30" s="420"/>
      <c r="X30" s="2355"/>
      <c r="Y30" s="2354"/>
      <c r="Z30" s="2332"/>
      <c r="AA30" s="2332"/>
      <c r="AB30" s="420"/>
      <c r="AC30" s="2355"/>
      <c r="AD30" s="2354"/>
      <c r="AE30" s="2332"/>
      <c r="AF30" s="2332"/>
      <c r="AG30" s="420"/>
      <c r="AH30" s="2356"/>
      <c r="AI30" s="2357"/>
    </row>
    <row r="31">
      <c r="A31" s="2319"/>
      <c r="B31" s="2358"/>
      <c r="C31" s="556"/>
      <c r="D31" s="2359"/>
      <c r="E31" s="2360" t="s">
        <v>967</v>
      </c>
      <c r="F31" s="2361"/>
      <c r="G31" s="2361"/>
      <c r="H31" s="2362"/>
      <c r="J31" s="2360" t="s">
        <v>967</v>
      </c>
      <c r="K31" s="2361"/>
      <c r="L31" s="2361"/>
      <c r="M31" s="2362"/>
      <c r="O31" s="2360" t="s">
        <v>729</v>
      </c>
      <c r="P31" s="2361"/>
      <c r="Q31" s="2361"/>
      <c r="R31" s="2362"/>
      <c r="S31" s="302"/>
      <c r="T31" s="2329"/>
      <c r="U31" s="2332"/>
      <c r="V31" s="2332"/>
      <c r="W31" s="420"/>
      <c r="X31" s="2355"/>
      <c r="Y31" s="2329"/>
      <c r="Z31" s="2332"/>
      <c r="AA31" s="2332"/>
      <c r="AB31" s="420"/>
      <c r="AC31" s="2355"/>
      <c r="AD31" s="2329"/>
      <c r="AE31" s="2332"/>
      <c r="AF31" s="2332"/>
      <c r="AG31" s="420"/>
      <c r="AH31" s="2334"/>
      <c r="AI31" s="2325"/>
    </row>
    <row r="32" ht="25.5" customHeight="1">
      <c r="A32" s="2319"/>
      <c r="B32" s="2327"/>
      <c r="C32" s="2363"/>
      <c r="D32" s="2364"/>
      <c r="E32" s="2365"/>
      <c r="F32" s="2366" t="str">
        <f t="array" ref="F32">IFERROR(VLOOKUP(E30,Dex!$B$3:$H422,5,FALSE),"")</f>
        <v/>
      </c>
      <c r="G32" s="2367"/>
      <c r="H32" s="2368"/>
      <c r="J32" s="2365"/>
      <c r="K32" s="2369" t="str">
        <f t="array" ref="K32">IFERROR(VLOOKUP(J30,Dex!$B$3:$H422,5,FALSE),"")</f>
        <v/>
      </c>
      <c r="L32" s="2370" t="str">
        <f t="array" ref="L32">IFERROR(VLOOKUP(J30,Dex!$B$3:$H422,7,FALSE),"")</f>
        <v/>
      </c>
      <c r="M32" s="2368"/>
      <c r="O32" s="2365"/>
      <c r="P32" s="2366" t="str">
        <f t="array" ref="P32">IFERROR(VLOOKUP(O30,Dex!$B$3:$H422,5,FALSE),"")</f>
        <v/>
      </c>
      <c r="Q32" s="2367"/>
      <c r="R32" s="2368"/>
      <c r="S32" s="302"/>
      <c r="T32" s="2329"/>
      <c r="U32" s="2332"/>
      <c r="V32" s="2332"/>
      <c r="W32" s="420"/>
      <c r="X32" s="2355"/>
      <c r="Y32" s="2329"/>
      <c r="Z32" s="2332"/>
      <c r="AA32" s="2332"/>
      <c r="AB32" s="420"/>
      <c r="AC32" s="2355"/>
      <c r="AD32" s="2329"/>
      <c r="AE32" s="2332"/>
      <c r="AF32" s="2332"/>
      <c r="AG32" s="420"/>
      <c r="AH32" s="2334"/>
      <c r="AI32" s="2325"/>
    </row>
    <row r="33" ht="2.25" customHeight="1">
      <c r="A33" s="2319"/>
      <c r="B33" s="2327"/>
      <c r="C33" s="2355"/>
      <c r="D33" s="2364"/>
      <c r="E33" s="2371"/>
      <c r="F33" s="2372"/>
      <c r="G33" s="2372"/>
      <c r="H33" s="2373"/>
      <c r="J33" s="2371"/>
      <c r="K33" s="2372"/>
      <c r="L33" s="2372"/>
      <c r="M33" s="2373"/>
      <c r="O33" s="2371"/>
      <c r="P33" s="2372"/>
      <c r="Q33" s="2372"/>
      <c r="R33" s="2373"/>
      <c r="S33" s="302"/>
      <c r="T33" s="2374"/>
      <c r="U33" s="2374"/>
      <c r="V33" s="2374"/>
      <c r="W33" s="2374"/>
      <c r="X33" s="2355"/>
      <c r="Y33" s="2374"/>
      <c r="Z33" s="2374"/>
      <c r="AA33" s="2374"/>
      <c r="AB33" s="2374"/>
      <c r="AC33" s="2355"/>
      <c r="AD33" s="2374"/>
      <c r="AE33" s="2374"/>
      <c r="AF33" s="2374"/>
      <c r="AG33" s="2374"/>
      <c r="AH33" s="2334"/>
      <c r="AI33" s="2325"/>
    </row>
    <row r="34" ht="20.25" customHeight="1">
      <c r="A34" s="2319"/>
      <c r="B34" s="2327"/>
      <c r="C34" s="2375"/>
      <c r="D34" s="2329"/>
      <c r="E34" s="2376" t="s">
        <v>566</v>
      </c>
      <c r="F34" s="2377"/>
      <c r="G34" s="2377"/>
      <c r="H34" s="2378"/>
      <c r="J34" s="2376" t="s">
        <v>482</v>
      </c>
      <c r="K34" s="2377"/>
      <c r="L34" s="2377"/>
      <c r="M34" s="2378"/>
      <c r="O34" s="2376" t="s">
        <v>532</v>
      </c>
      <c r="P34" s="2377"/>
      <c r="Q34" s="2377"/>
      <c r="R34" s="2378"/>
      <c r="S34" s="302"/>
      <c r="T34" s="2329"/>
      <c r="U34" s="2332"/>
      <c r="V34" s="2332"/>
      <c r="W34" s="420"/>
      <c r="X34" s="2355"/>
      <c r="Y34" s="2329"/>
      <c r="Z34" s="2332"/>
      <c r="AA34" s="2332"/>
      <c r="AB34" s="420"/>
      <c r="AC34" s="2355"/>
      <c r="AD34" s="2329"/>
      <c r="AE34" s="2332"/>
      <c r="AF34" s="2332"/>
      <c r="AG34" s="420"/>
      <c r="AH34" s="2334"/>
      <c r="AI34" s="2325"/>
    </row>
    <row r="35" ht="20.25" customHeight="1">
      <c r="A35" s="2319"/>
      <c r="B35" s="2327"/>
      <c r="C35" s="2379"/>
      <c r="D35" s="2329"/>
      <c r="E35" s="2380" t="s">
        <v>60</v>
      </c>
      <c r="F35" s="2332"/>
      <c r="G35" s="2332"/>
      <c r="H35" s="2381"/>
      <c r="J35" s="2380" t="s">
        <v>115</v>
      </c>
      <c r="K35" s="2332"/>
      <c r="L35" s="2332"/>
      <c r="M35" s="2381"/>
      <c r="O35" s="2380" t="s">
        <v>980</v>
      </c>
      <c r="P35" s="2332"/>
      <c r="Q35" s="2332"/>
      <c r="R35" s="2381"/>
      <c r="S35" s="302"/>
      <c r="T35" s="2329"/>
      <c r="U35" s="2332"/>
      <c r="V35" s="2332"/>
      <c r="W35" s="420"/>
      <c r="X35" s="2355"/>
      <c r="Y35" s="2329"/>
      <c r="Z35" s="2332"/>
      <c r="AA35" s="2332"/>
      <c r="AB35" s="420"/>
      <c r="AC35" s="2355"/>
      <c r="AD35" s="2329"/>
      <c r="AE35" s="2332"/>
      <c r="AF35" s="2332"/>
      <c r="AG35" s="420"/>
      <c r="AH35" s="2334"/>
      <c r="AI35" s="2325"/>
    </row>
    <row r="36" ht="20.25" customHeight="1">
      <c r="A36" s="2319"/>
      <c r="B36" s="2327"/>
      <c r="C36" s="2355"/>
      <c r="D36" s="2329"/>
      <c r="E36" s="2382" t="s">
        <v>800</v>
      </c>
      <c r="F36" s="2383"/>
      <c r="G36" s="2384"/>
      <c r="H36" s="2385"/>
      <c r="J36" s="2382" t="s">
        <v>733</v>
      </c>
      <c r="K36" s="2383"/>
      <c r="L36" s="2384"/>
      <c r="M36" s="2385"/>
      <c r="O36" s="2382" t="s">
        <v>800</v>
      </c>
      <c r="P36" s="2383"/>
      <c r="Q36" s="2384"/>
      <c r="R36" s="2385"/>
      <c r="S36" s="302"/>
      <c r="T36" s="2329"/>
      <c r="U36" s="2332"/>
      <c r="V36" s="2332"/>
      <c r="W36" s="420"/>
      <c r="X36" s="2355"/>
      <c r="Y36" s="2329"/>
      <c r="Z36" s="2332"/>
      <c r="AA36" s="2332"/>
      <c r="AB36" s="420"/>
      <c r="AC36" s="2355"/>
      <c r="AD36" s="2329"/>
      <c r="AE36" s="2332"/>
      <c r="AF36" s="2332"/>
      <c r="AG36" s="420"/>
      <c r="AH36" s="2334"/>
      <c r="AI36" s="2325"/>
    </row>
    <row r="37" ht="20.25" customHeight="1">
      <c r="A37" s="2319"/>
      <c r="B37" s="2327"/>
      <c r="C37" s="2375"/>
      <c r="D37" s="2329"/>
      <c r="E37" s="2376" t="s">
        <v>495</v>
      </c>
      <c r="F37" s="2377"/>
      <c r="G37" s="2386"/>
      <c r="H37" s="2387" t="str">
        <f>IMAGE("https://raw.githubusercontent.com/msikma/pokesprite/master/misc/types/gen8/fighting.png",4,20,20)</f>
        <v/>
      </c>
      <c r="J37" s="2376" t="s">
        <v>611</v>
      </c>
      <c r="K37" s="2377"/>
      <c r="L37" s="2386"/>
      <c r="M37" s="2387" t="str">
        <f>IMAGE("https://raw.githubusercontent.com/msikma/pokesprite/master/misc/types/gen8/electric.png",4,20,20)</f>
        <v/>
      </c>
      <c r="O37" s="2376" t="s">
        <v>495</v>
      </c>
      <c r="P37" s="2377"/>
      <c r="Q37" s="2386"/>
      <c r="R37" s="2387" t="str">
        <f>IMAGE("https://raw.githubusercontent.com/msikma/pokesprite/master/misc/types/gen8/fighting.png",4,20,20)</f>
        <v/>
      </c>
      <c r="S37" s="302"/>
      <c r="T37" s="2329"/>
      <c r="U37" s="2332"/>
      <c r="V37" s="2332"/>
      <c r="W37" s="420"/>
      <c r="X37" s="2355"/>
      <c r="Y37" s="2329"/>
      <c r="Z37" s="2332"/>
      <c r="AA37" s="2332"/>
      <c r="AB37" s="420"/>
      <c r="AC37" s="2355"/>
      <c r="AD37" s="2329"/>
      <c r="AE37" s="2332"/>
      <c r="AF37" s="2332"/>
      <c r="AG37" s="420"/>
      <c r="AH37" s="2334"/>
      <c r="AI37" s="2325"/>
    </row>
    <row r="38" ht="20.25" customHeight="1">
      <c r="A38" s="2319"/>
      <c r="B38" s="2327"/>
      <c r="C38" s="2328"/>
      <c r="D38" s="2329"/>
      <c r="E38" s="2380" t="s">
        <v>972</v>
      </c>
      <c r="F38" s="2332"/>
      <c r="G38" s="420"/>
      <c r="H38" s="2388" t="str">
        <f>IMAGE("https://raw.githubusercontent.com/msikma/pokesprite/master/misc/types/gen8/fairy.png",4,20,20)</f>
        <v/>
      </c>
      <c r="J38" s="2380" t="s">
        <v>981</v>
      </c>
      <c r="K38" s="2332"/>
      <c r="L38" s="420"/>
      <c r="M38" s="2388" t="str">
        <f>IMAGE("https://raw.githubusercontent.com/msikma/pokesprite/master/misc/types/gen8/water.png",4,20,20)</f>
        <v/>
      </c>
      <c r="O38" s="2380" t="s">
        <v>975</v>
      </c>
      <c r="P38" s="2332"/>
      <c r="Q38" s="420"/>
      <c r="R38" s="2388" t="str">
        <f>IMAGE("https://raw.githubusercontent.com/msikma/pokesprite/master/misc/types/gen8/fire.png",4,20,20)</f>
        <v/>
      </c>
      <c r="S38" s="302"/>
      <c r="T38" s="2329"/>
      <c r="U38" s="2332"/>
      <c r="V38" s="2332"/>
      <c r="W38" s="420"/>
      <c r="X38" s="2355"/>
      <c r="Y38" s="2329"/>
      <c r="Z38" s="2332"/>
      <c r="AA38" s="2332"/>
      <c r="AB38" s="420"/>
      <c r="AC38" s="2355"/>
      <c r="AD38" s="2329"/>
      <c r="AE38" s="2332"/>
      <c r="AF38" s="2332"/>
      <c r="AG38" s="420"/>
      <c r="AH38" s="2334"/>
      <c r="AI38" s="2325"/>
    </row>
    <row r="39" ht="20.25" customHeight="1">
      <c r="A39" s="2319"/>
      <c r="B39" s="2327"/>
      <c r="C39" s="2328"/>
      <c r="D39" s="2329"/>
      <c r="E39" s="2380" t="s">
        <v>611</v>
      </c>
      <c r="F39" s="2332"/>
      <c r="G39" s="420"/>
      <c r="H39" s="2388" t="str">
        <f>IMAGE("https://raw.githubusercontent.com/msikma/pokesprite/master/misc/types/gen8/electric.png",4,20,20)</f>
        <v/>
      </c>
      <c r="J39" s="2380" t="s">
        <v>500</v>
      </c>
      <c r="K39" s="2332"/>
      <c r="L39" s="420"/>
      <c r="M39" s="2388" t="str">
        <f t="shared" ref="M39:M40" si="1">IMAGE("https://raw.githubusercontent.com/msikma/pokesprite/master/misc/types/gen8/psychic.png",4,20,20)</f>
        <v/>
      </c>
      <c r="O39" s="2380" t="s">
        <v>504</v>
      </c>
      <c r="P39" s="2332"/>
      <c r="Q39" s="420"/>
      <c r="R39" s="2388" t="str">
        <f>IMAGE("https://raw.githubusercontent.com/msikma/pokesprite/master/misc/types/gen8/electric.png",4,20,20)</f>
        <v/>
      </c>
      <c r="S39" s="302"/>
      <c r="T39" s="2329"/>
      <c r="U39" s="2332"/>
      <c r="V39" s="2332"/>
      <c r="W39" s="420"/>
      <c r="X39" s="2355"/>
      <c r="Y39" s="2329"/>
      <c r="Z39" s="2332"/>
      <c r="AA39" s="2332"/>
      <c r="AB39" s="420"/>
      <c r="AC39" s="2355"/>
      <c r="AD39" s="2329"/>
      <c r="AE39" s="2332"/>
      <c r="AF39" s="2332"/>
      <c r="AG39" s="420"/>
      <c r="AH39" s="2334"/>
      <c r="AI39" s="2325"/>
    </row>
    <row r="40" ht="21.0" customHeight="1">
      <c r="A40" s="2319"/>
      <c r="B40" s="2327"/>
      <c r="C40" s="2328"/>
      <c r="D40" s="2329"/>
      <c r="E40" s="2389" t="s">
        <v>975</v>
      </c>
      <c r="F40" s="2390"/>
      <c r="G40" s="2391"/>
      <c r="H40" s="2392" t="str">
        <f>IMAGE("https://raw.githubusercontent.com/msikma/pokesprite/master/misc/types/gen8/fire.png",4,20,20)</f>
        <v/>
      </c>
      <c r="I40" s="2421"/>
      <c r="J40" s="2389" t="s">
        <v>623</v>
      </c>
      <c r="K40" s="2390"/>
      <c r="L40" s="2391"/>
      <c r="M40" s="2392" t="str">
        <f t="shared" si="1"/>
        <v/>
      </c>
      <c r="N40" s="2393"/>
      <c r="O40" s="2389" t="s">
        <v>982</v>
      </c>
      <c r="P40" s="2390"/>
      <c r="Q40" s="2391"/>
      <c r="R40" s="2392" t="str">
        <f>IMAGE("https://raw.githubusercontent.com/msikma/pokesprite/master/misc/types/gen8/normal.png",4,20,20)</f>
        <v/>
      </c>
      <c r="S40" s="510"/>
      <c r="T40" s="2329"/>
      <c r="U40" s="2332"/>
      <c r="V40" s="2332"/>
      <c r="W40" s="420"/>
      <c r="X40" s="2375"/>
      <c r="Y40" s="2329"/>
      <c r="Z40" s="2332"/>
      <c r="AA40" s="2332"/>
      <c r="AB40" s="420"/>
      <c r="AC40" s="2375"/>
      <c r="AD40" s="2329"/>
      <c r="AE40" s="2332"/>
      <c r="AF40" s="2332"/>
      <c r="AG40" s="420"/>
      <c r="AH40" s="2334"/>
      <c r="AI40" s="2325"/>
    </row>
    <row r="41" ht="3.0" customHeight="1">
      <c r="A41" s="2394"/>
      <c r="B41" s="2395"/>
      <c r="C41" s="2396"/>
      <c r="D41" s="2397"/>
      <c r="E41" s="2398"/>
      <c r="F41" s="2398"/>
      <c r="G41" s="2398"/>
      <c r="H41" s="2398"/>
      <c r="I41" s="2397"/>
      <c r="J41" s="2398"/>
      <c r="K41" s="2398"/>
      <c r="L41" s="2398"/>
      <c r="M41" s="2398"/>
      <c r="N41" s="2397"/>
      <c r="O41" s="2398"/>
      <c r="P41" s="2398"/>
      <c r="Q41" s="2398"/>
      <c r="R41" s="2398"/>
      <c r="S41" s="2397"/>
      <c r="T41" s="2397"/>
      <c r="U41" s="2397"/>
      <c r="V41" s="2397"/>
      <c r="W41" s="2397"/>
      <c r="X41" s="2397"/>
      <c r="Y41" s="2397"/>
      <c r="Z41" s="2399"/>
      <c r="AA41" s="2399"/>
      <c r="AB41" s="2400"/>
      <c r="AC41" s="2400"/>
      <c r="AD41" s="2400"/>
      <c r="AE41" s="2400"/>
      <c r="AF41" s="2400"/>
      <c r="AG41" s="2400"/>
      <c r="AH41" s="2401"/>
      <c r="AI41" s="2402"/>
    </row>
    <row r="42" ht="16.5" customHeight="1">
      <c r="A42" s="2326"/>
      <c r="B42" s="2403"/>
      <c r="C42" s="2396"/>
      <c r="D42" s="2404"/>
      <c r="E42" s="2422" t="s">
        <v>512</v>
      </c>
      <c r="F42" s="606"/>
      <c r="G42" s="606"/>
      <c r="H42" s="607"/>
      <c r="I42" s="2423"/>
      <c r="J42" s="2422" t="s">
        <v>512</v>
      </c>
      <c r="K42" s="606"/>
      <c r="L42" s="606"/>
      <c r="M42" s="607"/>
      <c r="N42" s="2406"/>
      <c r="O42" s="2422" t="s">
        <v>512</v>
      </c>
      <c r="P42" s="606"/>
      <c r="Q42" s="606"/>
      <c r="R42" s="607"/>
      <c r="S42" s="2409"/>
      <c r="T42" s="2408"/>
      <c r="U42" s="2408"/>
      <c r="V42" s="2409"/>
      <c r="W42" s="2409"/>
      <c r="X42" s="2409"/>
      <c r="Y42" s="2408"/>
      <c r="Z42" s="2408"/>
      <c r="AA42" s="2408"/>
      <c r="AB42" s="2409"/>
      <c r="AC42" s="2409"/>
      <c r="AD42" s="2409"/>
      <c r="AE42" s="2409"/>
      <c r="AF42" s="2409"/>
      <c r="AG42" s="2409"/>
      <c r="AH42" s="2410"/>
      <c r="AI42" s="2411"/>
    </row>
    <row r="43" ht="16.5" customHeight="1">
      <c r="A43" s="2326"/>
      <c r="B43" s="2403"/>
      <c r="C43" s="2396"/>
      <c r="D43" s="2404"/>
      <c r="E43" s="2424" t="s">
        <v>513</v>
      </c>
      <c r="F43" s="2425">
        <f t="array" ref="F43">IFERROR(VLOOKUP(E30,Dex!$B$3:$N422,8,FALSE),"")</f>
        <v>60</v>
      </c>
      <c r="G43" s="2426" t="str">
        <f t="array" ref="G43">IFERROR(VLOOKUP(F43,Dex!$P$22:$Q$276,2,FALSE),"")</f>
        <v/>
      </c>
      <c r="H43" s="1255"/>
      <c r="I43" s="2423"/>
      <c r="J43" s="2424" t="s">
        <v>513</v>
      </c>
      <c r="K43" s="2425">
        <f t="array" ref="K43">IFERROR(VLOOKUP(J30,Dex!$B$3:$N422,8,FALSE),"")</f>
        <v>90</v>
      </c>
      <c r="L43" s="2426" t="str">
        <f t="array" ref="L43">IFERROR(VLOOKUP(K43,Dex!$P$22:$Q$276,2,FALSE),"")</f>
        <v/>
      </c>
      <c r="M43" s="1255"/>
      <c r="N43" s="2412"/>
      <c r="O43" s="2424" t="s">
        <v>513</v>
      </c>
      <c r="P43" s="2425">
        <f t="array" ref="P43">IFERROR(VLOOKUP(O30,Dex!$B$3:$N422,8,FALSE),"")</f>
        <v>39</v>
      </c>
      <c r="Q43" s="2426" t="str">
        <f t="array" ref="Q43">IFERROR(VLOOKUP(P43,Dex!$P$22:$Q$276,2,FALSE),"")</f>
        <v/>
      </c>
      <c r="R43" s="1255"/>
      <c r="S43" s="2409"/>
      <c r="T43" s="2408"/>
      <c r="U43" s="2408"/>
      <c r="V43" s="2409"/>
      <c r="W43" s="2409"/>
      <c r="X43" s="2409"/>
      <c r="Y43" s="2408"/>
      <c r="Z43" s="2408"/>
      <c r="AA43" s="2408"/>
      <c r="AB43" s="2409"/>
      <c r="AC43" s="2409"/>
      <c r="AD43" s="2409"/>
      <c r="AE43" s="2409"/>
      <c r="AF43" s="2409"/>
      <c r="AG43" s="2409"/>
      <c r="AH43" s="2410"/>
      <c r="AI43" s="2411"/>
    </row>
    <row r="44" ht="16.5" customHeight="1">
      <c r="A44" s="2326"/>
      <c r="B44" s="2403"/>
      <c r="C44" s="2396"/>
      <c r="D44" s="2404"/>
      <c r="E44" s="2427" t="s">
        <v>514</v>
      </c>
      <c r="F44" s="2428">
        <f t="array" ref="F44">IFERROR(VLOOKUP(E30,Dex!$B$3:$N422,9,FALSE),"")</f>
        <v>80</v>
      </c>
      <c r="G44" s="2429" t="str">
        <f t="array" ref="G44">IFERROR(VLOOKUP(F44,Dex!$P$22:$Q$276,2,FALSE),"")</f>
        <v/>
      </c>
      <c r="H44" s="1261"/>
      <c r="I44" s="2423"/>
      <c r="J44" s="2427" t="s">
        <v>514</v>
      </c>
      <c r="K44" s="2428">
        <f t="array" ref="K44">IFERROR(VLOOKUP(J30,Dex!$B$3:$N422,9,FALSE),"")</f>
        <v>65</v>
      </c>
      <c r="L44" s="2429" t="str">
        <f t="array" ref="L44">IFERROR(VLOOKUP(K44,Dex!$P$22:$Q$276,2,FALSE),"")</f>
        <v/>
      </c>
      <c r="M44" s="1261"/>
      <c r="N44" s="2412"/>
      <c r="O44" s="2427" t="s">
        <v>514</v>
      </c>
      <c r="P44" s="2428">
        <f t="array" ref="P44">IFERROR(VLOOKUP(O30,Dex!$B$3:$N422,9,FALSE),"")</f>
        <v>52</v>
      </c>
      <c r="Q44" s="2429" t="str">
        <f t="array" ref="Q44">IFERROR(VLOOKUP(P44,Dex!$P$22:$Q$276,2,FALSE),"")</f>
        <v/>
      </c>
      <c r="R44" s="1261"/>
      <c r="S44" s="2409"/>
      <c r="T44" s="2408"/>
      <c r="U44" s="2408"/>
      <c r="V44" s="2409"/>
      <c r="W44" s="2409"/>
      <c r="X44" s="2409"/>
      <c r="Y44" s="2408"/>
      <c r="Z44" s="2408"/>
      <c r="AA44" s="2408"/>
      <c r="AB44" s="2409"/>
      <c r="AC44" s="2409"/>
      <c r="AD44" s="2409"/>
      <c r="AE44" s="2409"/>
      <c r="AF44" s="2409"/>
      <c r="AG44" s="2409"/>
      <c r="AH44" s="2410"/>
      <c r="AI44" s="2411"/>
    </row>
    <row r="45" ht="16.5" customHeight="1">
      <c r="A45" s="2326"/>
      <c r="B45" s="2403"/>
      <c r="C45" s="2396"/>
      <c r="D45" s="2404"/>
      <c r="E45" s="2427" t="s">
        <v>515</v>
      </c>
      <c r="F45" s="2428">
        <f t="array" ref="F45">IFERROR(VLOOKUP(E30,Dex!$B$3:$N422,10,FALSE),"")</f>
        <v>50</v>
      </c>
      <c r="G45" s="2429" t="str">
        <f t="array" ref="G45">IFERROR(VLOOKUP(F45,Dex!$P$22:$Q$276,2,FALSE),"")</f>
        <v/>
      </c>
      <c r="H45" s="1261"/>
      <c r="I45" s="2423"/>
      <c r="J45" s="2427" t="s">
        <v>515</v>
      </c>
      <c r="K45" s="2428">
        <f t="array" ref="K45">IFERROR(VLOOKUP(J30,Dex!$B$3:$N422,10,FALSE),"")</f>
        <v>65</v>
      </c>
      <c r="L45" s="2429" t="str">
        <f t="array" ref="L45">IFERROR(VLOOKUP(K45,Dex!$P$22:$Q$276,2,FALSE),"")</f>
        <v/>
      </c>
      <c r="M45" s="1261"/>
      <c r="N45" s="2412"/>
      <c r="O45" s="2427" t="s">
        <v>515</v>
      </c>
      <c r="P45" s="2428">
        <f t="array" ref="P45">IFERROR(VLOOKUP(O30,Dex!$B$3:$N422,10,FALSE),"")</f>
        <v>43</v>
      </c>
      <c r="Q45" s="2429" t="str">
        <f t="array" ref="Q45">IFERROR(VLOOKUP(P45,Dex!$P$22:$Q$276,2,FALSE),"")</f>
        <v/>
      </c>
      <c r="R45" s="1261"/>
      <c r="S45" s="2409"/>
      <c r="T45" s="2408"/>
      <c r="U45" s="2408"/>
      <c r="V45" s="2409"/>
      <c r="W45" s="2409"/>
      <c r="X45" s="2409"/>
      <c r="Y45" s="2408"/>
      <c r="Z45" s="2408"/>
      <c r="AA45" s="2408"/>
      <c r="AB45" s="2409"/>
      <c r="AC45" s="2409"/>
      <c r="AD45" s="2409"/>
      <c r="AE45" s="2409"/>
      <c r="AF45" s="2409"/>
      <c r="AG45" s="2409"/>
      <c r="AH45" s="2410"/>
      <c r="AI45" s="2411"/>
    </row>
    <row r="46" ht="16.5" customHeight="1">
      <c r="A46" s="2326"/>
      <c r="B46" s="2403"/>
      <c r="C46" s="2396"/>
      <c r="D46" s="2404"/>
      <c r="E46" s="2427" t="s">
        <v>516</v>
      </c>
      <c r="F46" s="2428">
        <f t="array" ref="F46">IFERROR(VLOOKUP(E30,Dex!$B$3:$N422,11,FALSE),"")</f>
        <v>40</v>
      </c>
      <c r="G46" s="2429" t="str">
        <f t="array" ref="G46">IFERROR(VLOOKUP(F46,Dex!$P$22:$Q$276,2,FALSE),"")</f>
        <v/>
      </c>
      <c r="H46" s="1261"/>
      <c r="I46" s="2423"/>
      <c r="J46" s="2427" t="s">
        <v>516</v>
      </c>
      <c r="K46" s="2428">
        <f t="array" ref="K46">IFERROR(VLOOKUP(J30,Dex!$B$3:$N422,11,FALSE),"")</f>
        <v>40</v>
      </c>
      <c r="L46" s="2429" t="str">
        <f t="array" ref="L46">IFERROR(VLOOKUP(K46,Dex!$P$22:$Q$276,2,FALSE),"")</f>
        <v/>
      </c>
      <c r="M46" s="1261"/>
      <c r="N46" s="2412"/>
      <c r="O46" s="2427" t="s">
        <v>516</v>
      </c>
      <c r="P46" s="2428">
        <f t="array" ref="P46">IFERROR(VLOOKUP(O30,Dex!$B$3:$N422,11,FALSE),"")</f>
        <v>60</v>
      </c>
      <c r="Q46" s="2429" t="str">
        <f t="array" ref="Q46">IFERROR(VLOOKUP(P46,Dex!$P$22:$Q$276,2,FALSE),"")</f>
        <v/>
      </c>
      <c r="R46" s="1261"/>
      <c r="S46" s="2409"/>
      <c r="T46" s="2408"/>
      <c r="U46" s="2408"/>
      <c r="V46" s="2409"/>
      <c r="W46" s="2409"/>
      <c r="X46" s="2409"/>
      <c r="Y46" s="2408"/>
      <c r="Z46" s="2408"/>
      <c r="AA46" s="2408"/>
      <c r="AB46" s="2409"/>
      <c r="AC46" s="2409"/>
      <c r="AD46" s="2409"/>
      <c r="AE46" s="2409"/>
      <c r="AF46" s="2409"/>
      <c r="AG46" s="2409"/>
      <c r="AH46" s="2410"/>
      <c r="AI46" s="2411"/>
    </row>
    <row r="47" ht="16.5" customHeight="1">
      <c r="A47" s="2326"/>
      <c r="B47" s="2403"/>
      <c r="C47" s="2396"/>
      <c r="D47" s="2404"/>
      <c r="E47" s="2427" t="s">
        <v>517</v>
      </c>
      <c r="F47" s="2428">
        <f t="array" ref="F47">IFERROR(VLOOKUP(E30,Dex!$B$3:$N422,12,FALSE),"")</f>
        <v>40</v>
      </c>
      <c r="G47" s="2429" t="str">
        <f t="array" ref="G47">IFERROR(VLOOKUP(F47,Dex!$P$22:$Q$276,2,FALSE),"")</f>
        <v/>
      </c>
      <c r="H47" s="1261"/>
      <c r="I47" s="2423"/>
      <c r="J47" s="2427" t="s">
        <v>517</v>
      </c>
      <c r="K47" s="2428">
        <f t="array" ref="K47">IFERROR(VLOOKUP(J30,Dex!$B$3:$N422,12,FALSE),"")</f>
        <v>40</v>
      </c>
      <c r="L47" s="2429" t="str">
        <f t="array" ref="L47">IFERROR(VLOOKUP(K47,Dex!$P$22:$Q$276,2,FALSE),"")</f>
        <v/>
      </c>
      <c r="M47" s="1261"/>
      <c r="N47" s="2412"/>
      <c r="O47" s="2427" t="s">
        <v>517</v>
      </c>
      <c r="P47" s="2428">
        <f t="array" ref="P47">IFERROR(VLOOKUP(O30,Dex!$B$3:$N422,12,FALSE),"")</f>
        <v>50</v>
      </c>
      <c r="Q47" s="2429" t="str">
        <f t="array" ref="Q47">IFERROR(VLOOKUP(P47,Dex!$P$22:$Q$276,2,FALSE),"")</f>
        <v/>
      </c>
      <c r="R47" s="1261"/>
      <c r="S47" s="2409"/>
      <c r="T47" s="2408"/>
      <c r="U47" s="2408"/>
      <c r="V47" s="2409"/>
      <c r="W47" s="2409"/>
      <c r="X47" s="2409"/>
      <c r="Y47" s="2408"/>
      <c r="Z47" s="2408"/>
      <c r="AA47" s="2408"/>
      <c r="AB47" s="2409"/>
      <c r="AC47" s="2409"/>
      <c r="AD47" s="2409"/>
      <c r="AE47" s="2409"/>
      <c r="AF47" s="2409"/>
      <c r="AG47" s="2409"/>
      <c r="AH47" s="2410"/>
      <c r="AI47" s="2411"/>
    </row>
    <row r="48" ht="15.75" customHeight="1">
      <c r="A48" s="2326"/>
      <c r="B48" s="2403"/>
      <c r="C48" s="1426" t="s">
        <v>745</v>
      </c>
      <c r="D48" s="2404"/>
      <c r="E48" s="2430" t="s">
        <v>518</v>
      </c>
      <c r="F48" s="2431">
        <f t="array" ref="F48">IFERROR(VLOOKUP(E30,Dex!$B$3:$N422,13,FALSE),"")</f>
        <v>30</v>
      </c>
      <c r="G48" s="2432" t="str">
        <f t="array" ref="G48">IFERROR(VLOOKUP(F48,Dex!$P$22:$Q$276,2,FALSE),"")</f>
        <v/>
      </c>
      <c r="H48" s="1265"/>
      <c r="I48" s="2423"/>
      <c r="J48" s="2430" t="s">
        <v>518</v>
      </c>
      <c r="K48" s="2431">
        <f t="array" ref="K48">IFERROR(VLOOKUP(J30,Dex!$B$3:$N422,13,FALSE),"")</f>
        <v>15</v>
      </c>
      <c r="L48" s="2432" t="str">
        <f t="array" ref="L48">IFERROR(VLOOKUP(K48,Dex!$P$22:$Q$276,2,FALSE),"")</f>
        <v/>
      </c>
      <c r="M48" s="1265"/>
      <c r="N48" s="2412"/>
      <c r="O48" s="2430" t="s">
        <v>518</v>
      </c>
      <c r="P48" s="2431">
        <f t="array" ref="P48">IFERROR(VLOOKUP(O30,Dex!$B$3:$N422,13,FALSE),"")</f>
        <v>65</v>
      </c>
      <c r="Q48" s="2432" t="str">
        <f t="array" ref="Q48">IFERROR(VLOOKUP(P48,Dex!$P$22:$Q$276,2,FALSE),"")</f>
        <v/>
      </c>
      <c r="R48" s="1265"/>
      <c r="S48" s="2409"/>
      <c r="T48" s="2408"/>
      <c r="U48" s="2408"/>
      <c r="V48" s="2409"/>
      <c r="W48" s="2409"/>
      <c r="X48" s="2409"/>
      <c r="Y48" s="2408"/>
      <c r="Z48" s="2408"/>
      <c r="AA48" s="2408"/>
      <c r="AB48" s="2409"/>
      <c r="AC48" s="2409"/>
      <c r="AD48" s="2409"/>
      <c r="AE48" s="2409"/>
      <c r="AF48" s="2409"/>
      <c r="AG48" s="2409"/>
      <c r="AH48" s="2410"/>
      <c r="AI48" s="2411"/>
    </row>
    <row r="49" ht="16.5" customHeight="1">
      <c r="A49" s="2326"/>
      <c r="B49" s="2403"/>
      <c r="C49" s="1427" t="s">
        <v>813</v>
      </c>
      <c r="D49" s="2404"/>
      <c r="E49" s="2433" t="s">
        <v>519</v>
      </c>
      <c r="F49" s="630"/>
      <c r="G49" s="631"/>
      <c r="H49" s="632">
        <f>ROUNDDOWN((ROUNDDOWN(((((2*F48+31)*15)/100+5)),0))*1,0)</f>
        <v>18</v>
      </c>
      <c r="I49" s="2423"/>
      <c r="J49" s="2433" t="s">
        <v>519</v>
      </c>
      <c r="K49" s="630"/>
      <c r="L49" s="631"/>
      <c r="M49" s="632">
        <f>ROUNDDOWN((ROUNDDOWN(((((2*K48+31)*15)/100+5)),0))*1,0)</f>
        <v>14</v>
      </c>
      <c r="N49" s="2406"/>
      <c r="O49" s="2433" t="s">
        <v>519</v>
      </c>
      <c r="P49" s="630"/>
      <c r="Q49" s="631"/>
      <c r="R49" s="632">
        <f>ROUNDDOWN((ROUNDDOWN(((((2*P48+31)*16)/100+5)),0))*1.1,0)</f>
        <v>33</v>
      </c>
      <c r="S49" s="2409"/>
      <c r="T49" s="2408"/>
      <c r="U49" s="2408"/>
      <c r="V49" s="2409"/>
      <c r="W49" s="2409"/>
      <c r="X49" s="2409"/>
      <c r="Y49" s="2408"/>
      <c r="Z49" s="2408"/>
      <c r="AA49" s="2408"/>
      <c r="AB49" s="2409"/>
      <c r="AC49" s="2409"/>
      <c r="AD49" s="2409"/>
      <c r="AE49" s="2409"/>
      <c r="AF49" s="2409"/>
      <c r="AG49" s="2409"/>
      <c r="AH49" s="2410"/>
      <c r="AI49" s="2411"/>
    </row>
    <row r="50" ht="11.25" customHeight="1">
      <c r="A50" s="2319"/>
      <c r="B50" s="2327"/>
      <c r="C50" s="2328"/>
      <c r="D50" s="2374"/>
      <c r="E50" s="2413"/>
      <c r="F50" s="2413"/>
      <c r="G50" s="2413"/>
      <c r="H50" s="2413"/>
      <c r="I50" s="2434"/>
      <c r="J50" s="2413"/>
      <c r="K50" s="2413"/>
      <c r="L50" s="2413"/>
      <c r="M50" s="2413"/>
      <c r="N50" s="2346"/>
      <c r="O50" s="2414"/>
      <c r="P50" s="2414"/>
      <c r="Q50" s="2414"/>
      <c r="R50" s="2346"/>
      <c r="S50" s="2346"/>
      <c r="T50" s="2346"/>
      <c r="U50" s="2346"/>
      <c r="V50" s="2346"/>
      <c r="W50" s="2346"/>
      <c r="X50" s="2374"/>
      <c r="Y50" s="2374"/>
      <c r="Z50" s="2374"/>
      <c r="AA50" s="2374"/>
      <c r="AB50" s="2374"/>
      <c r="AC50" s="2374"/>
      <c r="AD50" s="2374"/>
      <c r="AE50" s="2374"/>
      <c r="AF50" s="2374"/>
      <c r="AG50" s="2374"/>
      <c r="AH50" s="2334"/>
      <c r="AI50" s="2325"/>
    </row>
    <row r="51">
      <c r="A51" s="2326"/>
      <c r="B51" s="2327"/>
      <c r="C51" s="2328"/>
      <c r="D51" s="2329"/>
      <c r="E51" s="2435" t="s">
        <v>983</v>
      </c>
      <c r="F51" s="1732"/>
      <c r="G51" s="1732"/>
      <c r="H51" s="1732"/>
      <c r="I51" s="1732"/>
      <c r="J51" s="1732"/>
      <c r="K51" s="1732"/>
      <c r="L51" s="1732"/>
      <c r="M51" s="1732"/>
      <c r="N51" s="1732"/>
      <c r="O51" s="1732"/>
      <c r="P51" s="1732"/>
      <c r="Q51" s="1732"/>
      <c r="R51" s="1732"/>
      <c r="S51" s="1733"/>
      <c r="T51" s="2331"/>
      <c r="U51" s="2332"/>
      <c r="V51" s="2332"/>
      <c r="W51" s="420"/>
      <c r="X51" s="2331"/>
      <c r="Y51" s="2332"/>
      <c r="Z51" s="2332"/>
      <c r="AA51" s="420"/>
      <c r="AB51" s="2329"/>
      <c r="AC51" s="2332"/>
      <c r="AD51" s="2332"/>
      <c r="AE51" s="420"/>
      <c r="AF51" s="2333"/>
      <c r="AG51" s="2333"/>
      <c r="AH51" s="2334"/>
      <c r="AI51" s="2325"/>
    </row>
    <row r="52" ht="3.75" customHeight="1">
      <c r="A52" s="2326"/>
      <c r="B52" s="2327"/>
      <c r="C52" s="2335"/>
      <c r="D52" s="2336"/>
      <c r="E52" s="2337"/>
      <c r="F52" s="2337"/>
      <c r="G52" s="2337"/>
      <c r="H52" s="2337"/>
      <c r="I52" s="2338"/>
      <c r="J52" s="2337"/>
      <c r="K52" s="2337"/>
      <c r="L52" s="2337"/>
      <c r="M52" s="2337"/>
      <c r="N52" s="2338"/>
      <c r="O52" s="2337"/>
      <c r="P52" s="2337"/>
      <c r="Q52" s="2337"/>
      <c r="R52" s="2337"/>
      <c r="S52" s="2338"/>
      <c r="T52" s="2338"/>
      <c r="U52" s="2338"/>
      <c r="V52" s="2338"/>
      <c r="W52" s="2338"/>
      <c r="X52" s="2336"/>
      <c r="Y52" s="2336"/>
      <c r="Z52" s="2336"/>
      <c r="AA52" s="2336"/>
      <c r="AB52" s="2336"/>
      <c r="AC52" s="2336"/>
      <c r="AD52" s="2336"/>
      <c r="AE52" s="2336"/>
      <c r="AF52" s="2336"/>
      <c r="AG52" s="2336"/>
      <c r="AH52" s="2334"/>
      <c r="AI52" s="2325"/>
    </row>
    <row r="53" ht="96.75" customHeight="1">
      <c r="A53" s="2319"/>
      <c r="B53" s="2339"/>
      <c r="C53" s="2436" t="str">
        <f>IMAGE("https://i.ibb.co/fXwks6z/Rival.png")</f>
        <v/>
      </c>
      <c r="D53" s="2341"/>
      <c r="E53" s="2437" t="str">
        <f t="array" ref="E53">IFERROR(VLOOKUP(E54,Dex!$B$3:$G422,3,FALSE),"")</f>
        <v/>
      </c>
      <c r="F53" s="1945"/>
      <c r="G53" s="1945"/>
      <c r="H53" s="1946"/>
      <c r="I53" s="2343"/>
      <c r="J53" s="2437" t="str">
        <f t="array" ref="J53">IFERROR(VLOOKUP(J54,Dex!$B$3:$G422,3,FALSE),"")</f>
        <v/>
      </c>
      <c r="K53" s="1945"/>
      <c r="L53" s="1945"/>
      <c r="M53" s="1946"/>
      <c r="N53" s="2344"/>
      <c r="O53" s="2437" t="str">
        <f t="array" ref="O53">IFERROR(VLOOKUP(O54,Dex!$B$3:$G422,3,FALSE),"")</f>
        <v/>
      </c>
      <c r="P53" s="1945"/>
      <c r="Q53" s="1945"/>
      <c r="R53" s="1946"/>
      <c r="S53" s="2345"/>
      <c r="T53" s="2329"/>
      <c r="U53" s="2332"/>
      <c r="V53" s="2332"/>
      <c r="W53" s="420"/>
      <c r="X53" s="2346"/>
      <c r="Y53" s="2329"/>
      <c r="Z53" s="2332"/>
      <c r="AA53" s="2332"/>
      <c r="AB53" s="420"/>
      <c r="AC53" s="2346"/>
      <c r="AD53" s="2329"/>
      <c r="AE53" s="2332"/>
      <c r="AF53" s="2332"/>
      <c r="AG53" s="420"/>
      <c r="AH53" s="2334"/>
      <c r="AI53" s="2325"/>
    </row>
    <row r="54" ht="18.75" customHeight="1">
      <c r="A54" s="2347"/>
      <c r="B54" s="2419"/>
      <c r="C54" s="2349" t="s">
        <v>984</v>
      </c>
      <c r="D54" s="2420"/>
      <c r="E54" s="2351" t="s">
        <v>964</v>
      </c>
      <c r="F54" s="2352"/>
      <c r="G54" s="2352"/>
      <c r="H54" s="2353"/>
      <c r="J54" s="2351" t="s">
        <v>978</v>
      </c>
      <c r="K54" s="2352"/>
      <c r="L54" s="2352"/>
      <c r="M54" s="2353"/>
      <c r="O54" s="2351" t="s">
        <v>985</v>
      </c>
      <c r="P54" s="2352"/>
      <c r="Q54" s="2352"/>
      <c r="R54" s="2353"/>
      <c r="S54" s="302"/>
      <c r="T54" s="2354"/>
      <c r="U54" s="2332"/>
      <c r="V54" s="2332"/>
      <c r="W54" s="420"/>
      <c r="X54" s="2355"/>
      <c r="Y54" s="2354"/>
      <c r="Z54" s="2332"/>
      <c r="AA54" s="2332"/>
      <c r="AB54" s="420"/>
      <c r="AC54" s="2355"/>
      <c r="AD54" s="2354"/>
      <c r="AE54" s="2332"/>
      <c r="AF54" s="2332"/>
      <c r="AG54" s="420"/>
      <c r="AH54" s="2356"/>
      <c r="AI54" s="2357"/>
    </row>
    <row r="55">
      <c r="A55" s="2319"/>
      <c r="B55" s="2358"/>
      <c r="C55" s="556"/>
      <c r="D55" s="2359"/>
      <c r="E55" s="2360" t="s">
        <v>967</v>
      </c>
      <c r="F55" s="2361"/>
      <c r="G55" s="2361"/>
      <c r="H55" s="2362"/>
      <c r="J55" s="2360" t="s">
        <v>967</v>
      </c>
      <c r="K55" s="2361"/>
      <c r="L55" s="2361"/>
      <c r="M55" s="2362"/>
      <c r="O55" s="2360" t="s">
        <v>729</v>
      </c>
      <c r="P55" s="2361"/>
      <c r="Q55" s="2361"/>
      <c r="R55" s="2362"/>
      <c r="S55" s="302"/>
      <c r="T55" s="2329"/>
      <c r="U55" s="2332"/>
      <c r="V55" s="2332"/>
      <c r="W55" s="420"/>
      <c r="X55" s="2355"/>
      <c r="Y55" s="2329"/>
      <c r="Z55" s="2332"/>
      <c r="AA55" s="2332"/>
      <c r="AB55" s="420"/>
      <c r="AC55" s="2355"/>
      <c r="AD55" s="2329"/>
      <c r="AE55" s="2332"/>
      <c r="AF55" s="2332"/>
      <c r="AG55" s="420"/>
      <c r="AH55" s="2334"/>
      <c r="AI55" s="2325"/>
    </row>
    <row r="56" ht="25.5" customHeight="1">
      <c r="A56" s="2319"/>
      <c r="B56" s="2327"/>
      <c r="C56" s="2363"/>
      <c r="D56" s="2364"/>
      <c r="E56" s="2365"/>
      <c r="F56" s="2366" t="str">
        <f t="array" ref="F56">IFERROR(VLOOKUP(E54,Dex!$B$3:$H422,5,FALSE),"")</f>
        <v/>
      </c>
      <c r="G56" s="2367"/>
      <c r="H56" s="2368"/>
      <c r="J56" s="2365"/>
      <c r="K56" s="2369" t="str">
        <f t="array" ref="K56">IFERROR(VLOOKUP(J54,Dex!$B$3:$H422,5,FALSE),"")</f>
        <v/>
      </c>
      <c r="L56" s="2370" t="str">
        <f t="array" ref="L56">IFERROR(VLOOKUP(J54,Dex!$B$3:$H422,7,FALSE),"")</f>
        <v/>
      </c>
      <c r="M56" s="2368"/>
      <c r="O56" s="2365"/>
      <c r="P56" s="2369" t="str">
        <f t="array" ref="P56">IFERROR(VLOOKUP(O54,Dex!$B$3:$H422,5,FALSE),"")</f>
        <v/>
      </c>
      <c r="Q56" s="2370" t="str">
        <f t="array" ref="Q56">IFERROR(VLOOKUP(O54,Dex!$B$3:$H422,7,FALSE),"")</f>
        <v/>
      </c>
      <c r="R56" s="2368"/>
      <c r="S56" s="302"/>
      <c r="T56" s="2329"/>
      <c r="U56" s="2332"/>
      <c r="V56" s="2332"/>
      <c r="W56" s="420"/>
      <c r="X56" s="2355"/>
      <c r="Y56" s="2329"/>
      <c r="Z56" s="2332"/>
      <c r="AA56" s="2332"/>
      <c r="AB56" s="420"/>
      <c r="AC56" s="2355"/>
      <c r="AD56" s="2329"/>
      <c r="AE56" s="2332"/>
      <c r="AF56" s="2332"/>
      <c r="AG56" s="420"/>
      <c r="AH56" s="2334"/>
      <c r="AI56" s="2325"/>
    </row>
    <row r="57" ht="2.25" customHeight="1">
      <c r="A57" s="2319"/>
      <c r="B57" s="2327"/>
      <c r="C57" s="2355"/>
      <c r="D57" s="2364"/>
      <c r="E57" s="2371"/>
      <c r="F57" s="2372"/>
      <c r="G57" s="2372"/>
      <c r="H57" s="2373"/>
      <c r="J57" s="2371"/>
      <c r="K57" s="2372"/>
      <c r="L57" s="2372"/>
      <c r="M57" s="2373"/>
      <c r="O57" s="2371"/>
      <c r="P57" s="2372"/>
      <c r="Q57" s="2372"/>
      <c r="R57" s="2373"/>
      <c r="S57" s="302"/>
      <c r="T57" s="2374"/>
      <c r="U57" s="2374"/>
      <c r="V57" s="2374"/>
      <c r="W57" s="2374"/>
      <c r="X57" s="2355"/>
      <c r="Y57" s="2374"/>
      <c r="Z57" s="2374"/>
      <c r="AA57" s="2374"/>
      <c r="AB57" s="2374"/>
      <c r="AC57" s="2355"/>
      <c r="AD57" s="2374"/>
      <c r="AE57" s="2374"/>
      <c r="AF57" s="2374"/>
      <c r="AG57" s="2374"/>
      <c r="AH57" s="2334"/>
      <c r="AI57" s="2325"/>
    </row>
    <row r="58" ht="20.25" customHeight="1">
      <c r="A58" s="2319"/>
      <c r="B58" s="2327"/>
      <c r="C58" s="2375"/>
      <c r="D58" s="2329"/>
      <c r="E58" s="2376" t="s">
        <v>566</v>
      </c>
      <c r="F58" s="2377"/>
      <c r="G58" s="2377"/>
      <c r="H58" s="2378"/>
      <c r="J58" s="2376" t="s">
        <v>482</v>
      </c>
      <c r="K58" s="2377"/>
      <c r="L58" s="2377"/>
      <c r="M58" s="2378"/>
      <c r="O58" s="2376" t="s">
        <v>564</v>
      </c>
      <c r="P58" s="2377"/>
      <c r="Q58" s="2377"/>
      <c r="R58" s="2378"/>
      <c r="S58" s="302"/>
      <c r="T58" s="2329"/>
      <c r="U58" s="2332"/>
      <c r="V58" s="2332"/>
      <c r="W58" s="420"/>
      <c r="X58" s="2355"/>
      <c r="Y58" s="2329"/>
      <c r="Z58" s="2332"/>
      <c r="AA58" s="2332"/>
      <c r="AB58" s="420"/>
      <c r="AC58" s="2355"/>
      <c r="AD58" s="2329"/>
      <c r="AE58" s="2332"/>
      <c r="AF58" s="2332"/>
      <c r="AG58" s="420"/>
      <c r="AH58" s="2334"/>
      <c r="AI58" s="2325"/>
    </row>
    <row r="59" ht="20.25" customHeight="1">
      <c r="A59" s="2319"/>
      <c r="B59" s="2327"/>
      <c r="C59" s="2379"/>
      <c r="D59" s="2329"/>
      <c r="E59" s="2380" t="s">
        <v>60</v>
      </c>
      <c r="F59" s="2332"/>
      <c r="G59" s="2332"/>
      <c r="H59" s="2381"/>
      <c r="J59" s="2380" t="s">
        <v>115</v>
      </c>
      <c r="K59" s="2332"/>
      <c r="L59" s="2332"/>
      <c r="M59" s="2381"/>
      <c r="O59" s="2380" t="s">
        <v>986</v>
      </c>
      <c r="P59" s="2332"/>
      <c r="Q59" s="2332"/>
      <c r="R59" s="2381"/>
      <c r="S59" s="302"/>
      <c r="T59" s="2329"/>
      <c r="U59" s="2332"/>
      <c r="V59" s="2332"/>
      <c r="W59" s="420"/>
      <c r="X59" s="2355"/>
      <c r="Y59" s="2329"/>
      <c r="Z59" s="2332"/>
      <c r="AA59" s="2332"/>
      <c r="AB59" s="420"/>
      <c r="AC59" s="2355"/>
      <c r="AD59" s="2329"/>
      <c r="AE59" s="2332"/>
      <c r="AF59" s="2332"/>
      <c r="AG59" s="420"/>
      <c r="AH59" s="2334"/>
      <c r="AI59" s="2325"/>
    </row>
    <row r="60" ht="20.25" customHeight="1">
      <c r="A60" s="2319"/>
      <c r="B60" s="2327"/>
      <c r="C60" s="2355"/>
      <c r="D60" s="2329"/>
      <c r="E60" s="2382" t="s">
        <v>800</v>
      </c>
      <c r="F60" s="2383"/>
      <c r="G60" s="2384"/>
      <c r="H60" s="2385"/>
      <c r="J60" s="2382" t="s">
        <v>733</v>
      </c>
      <c r="K60" s="2383"/>
      <c r="L60" s="2384"/>
      <c r="M60" s="2385"/>
      <c r="O60" s="2382" t="s">
        <v>491</v>
      </c>
      <c r="P60" s="2383"/>
      <c r="Q60" s="2384"/>
      <c r="R60" s="2385"/>
      <c r="S60" s="302"/>
      <c r="T60" s="2329"/>
      <c r="U60" s="2332"/>
      <c r="V60" s="2332"/>
      <c r="W60" s="420"/>
      <c r="X60" s="2355"/>
      <c r="Y60" s="2329"/>
      <c r="Z60" s="2332"/>
      <c r="AA60" s="2332"/>
      <c r="AB60" s="420"/>
      <c r="AC60" s="2355"/>
      <c r="AD60" s="2329"/>
      <c r="AE60" s="2332"/>
      <c r="AF60" s="2332"/>
      <c r="AG60" s="420"/>
      <c r="AH60" s="2334"/>
      <c r="AI60" s="2325"/>
    </row>
    <row r="61" ht="20.25" customHeight="1">
      <c r="A61" s="2319"/>
      <c r="B61" s="2327"/>
      <c r="C61" s="2375"/>
      <c r="D61" s="2329"/>
      <c r="E61" s="2376" t="s">
        <v>495</v>
      </c>
      <c r="F61" s="2377"/>
      <c r="G61" s="2386"/>
      <c r="H61" s="2387" t="str">
        <f>IMAGE("https://raw.githubusercontent.com/msikma/pokesprite/master/misc/types/gen8/fighting.png",4,20,20)</f>
        <v/>
      </c>
      <c r="J61" s="2376" t="s">
        <v>611</v>
      </c>
      <c r="K61" s="2377"/>
      <c r="L61" s="2386"/>
      <c r="M61" s="2387" t="str">
        <f>IMAGE("https://raw.githubusercontent.com/msikma/pokesprite/master/misc/types/gen8/electric.png",4,20,20)</f>
        <v/>
      </c>
      <c r="O61" s="2376" t="s">
        <v>987</v>
      </c>
      <c r="P61" s="2377"/>
      <c r="Q61" s="2386"/>
      <c r="R61" s="2387" t="str">
        <f t="shared" ref="R61:R62" si="2">IMAGE("https://raw.githubusercontent.com/msikma/pokesprite/master/misc/types/gen8/grass.png",4,20,20)</f>
        <v/>
      </c>
      <c r="S61" s="302"/>
      <c r="T61" s="2329"/>
      <c r="U61" s="2332"/>
      <c r="V61" s="2332"/>
      <c r="W61" s="420"/>
      <c r="X61" s="2355"/>
      <c r="Y61" s="2329"/>
      <c r="Z61" s="2332"/>
      <c r="AA61" s="2332"/>
      <c r="AB61" s="420"/>
      <c r="AC61" s="2355"/>
      <c r="AD61" s="2329"/>
      <c r="AE61" s="2332"/>
      <c r="AF61" s="2332"/>
      <c r="AG61" s="420"/>
      <c r="AH61" s="2334"/>
      <c r="AI61" s="2325"/>
    </row>
    <row r="62" ht="20.25" customHeight="1">
      <c r="A62" s="2319"/>
      <c r="B62" s="2327"/>
      <c r="C62" s="2328"/>
      <c r="D62" s="2329"/>
      <c r="E62" s="2380" t="s">
        <v>972</v>
      </c>
      <c r="F62" s="2332"/>
      <c r="G62" s="420"/>
      <c r="H62" s="2388" t="str">
        <f>IMAGE("https://raw.githubusercontent.com/msikma/pokesprite/master/misc/types/gen8/fairy.png",4,20,20)</f>
        <v/>
      </c>
      <c r="J62" s="2380" t="s">
        <v>981</v>
      </c>
      <c r="K62" s="2332"/>
      <c r="L62" s="420"/>
      <c r="M62" s="2388" t="str">
        <f>IMAGE("https://raw.githubusercontent.com/msikma/pokesprite/master/misc/types/gen8/water.png",4,20,20)</f>
        <v/>
      </c>
      <c r="O62" s="2380" t="s">
        <v>510</v>
      </c>
      <c r="P62" s="2332"/>
      <c r="Q62" s="420"/>
      <c r="R62" s="2388" t="str">
        <f t="shared" si="2"/>
        <v/>
      </c>
      <c r="S62" s="302"/>
      <c r="T62" s="2329"/>
      <c r="U62" s="2332"/>
      <c r="V62" s="2332"/>
      <c r="W62" s="420"/>
      <c r="X62" s="2355"/>
      <c r="Y62" s="2329"/>
      <c r="Z62" s="2332"/>
      <c r="AA62" s="2332"/>
      <c r="AB62" s="420"/>
      <c r="AC62" s="2355"/>
      <c r="AD62" s="2329"/>
      <c r="AE62" s="2332"/>
      <c r="AF62" s="2332"/>
      <c r="AG62" s="420"/>
      <c r="AH62" s="2334"/>
      <c r="AI62" s="2325"/>
    </row>
    <row r="63" ht="20.25" customHeight="1">
      <c r="A63" s="2319"/>
      <c r="B63" s="2327"/>
      <c r="C63" s="2328"/>
      <c r="D63" s="2329"/>
      <c r="E63" s="2380" t="s">
        <v>611</v>
      </c>
      <c r="F63" s="2332"/>
      <c r="G63" s="420"/>
      <c r="H63" s="2388" t="str">
        <f>IMAGE("https://raw.githubusercontent.com/msikma/pokesprite/master/misc/types/gen8/electric.png",4,20,20)</f>
        <v/>
      </c>
      <c r="J63" s="2380" t="s">
        <v>500</v>
      </c>
      <c r="K63" s="2332"/>
      <c r="L63" s="420"/>
      <c r="M63" s="2388" t="str">
        <f t="shared" ref="M63:M64" si="3">IMAGE("https://raw.githubusercontent.com/msikma/pokesprite/master/misc/types/gen8/psychic.png",4,20,20)</f>
        <v/>
      </c>
      <c r="O63" s="2380" t="s">
        <v>988</v>
      </c>
      <c r="P63" s="2332"/>
      <c r="Q63" s="420"/>
      <c r="R63" s="2388" t="str">
        <f>IMAGE("https://raw.githubusercontent.com/msikma/pokesprite/master/misc/types/gen8/poison.png",4,20,20)</f>
        <v/>
      </c>
      <c r="S63" s="302"/>
      <c r="T63" s="2329"/>
      <c r="U63" s="2332"/>
      <c r="V63" s="2332"/>
      <c r="W63" s="420"/>
      <c r="X63" s="2355"/>
      <c r="Y63" s="2329"/>
      <c r="Z63" s="2332"/>
      <c r="AA63" s="2332"/>
      <c r="AB63" s="420"/>
      <c r="AC63" s="2355"/>
      <c r="AD63" s="2329"/>
      <c r="AE63" s="2332"/>
      <c r="AF63" s="2332"/>
      <c r="AG63" s="420"/>
      <c r="AH63" s="2334"/>
      <c r="AI63" s="2325"/>
    </row>
    <row r="64" ht="21.0" customHeight="1">
      <c r="A64" s="2319"/>
      <c r="B64" s="2327"/>
      <c r="C64" s="2328"/>
      <c r="D64" s="2329"/>
      <c r="E64" s="2389" t="s">
        <v>975</v>
      </c>
      <c r="F64" s="2390"/>
      <c r="G64" s="2391"/>
      <c r="H64" s="2392" t="str">
        <f>IMAGE("https://raw.githubusercontent.com/msikma/pokesprite/master/misc/types/gen8/fire.png",4,20,20)</f>
        <v/>
      </c>
      <c r="I64" s="2393"/>
      <c r="J64" s="2389" t="s">
        <v>623</v>
      </c>
      <c r="K64" s="2390"/>
      <c r="L64" s="2391"/>
      <c r="M64" s="2392" t="str">
        <f t="shared" si="3"/>
        <v/>
      </c>
      <c r="N64" s="2393"/>
      <c r="O64" s="2389" t="s">
        <v>237</v>
      </c>
      <c r="P64" s="2390"/>
      <c r="Q64" s="2391"/>
      <c r="R64" s="2392" t="str">
        <f>IMAGE("https://raw.githubusercontent.com/msikma/pokesprite/master/misc/types/gen8/normal.png",4,20,20)</f>
        <v/>
      </c>
      <c r="S64" s="510"/>
      <c r="T64" s="2329"/>
      <c r="U64" s="2332"/>
      <c r="V64" s="2332"/>
      <c r="W64" s="420"/>
      <c r="X64" s="2375"/>
      <c r="Y64" s="2329"/>
      <c r="Z64" s="2332"/>
      <c r="AA64" s="2332"/>
      <c r="AB64" s="420"/>
      <c r="AC64" s="2375"/>
      <c r="AD64" s="2329"/>
      <c r="AE64" s="2332"/>
      <c r="AF64" s="2332"/>
      <c r="AG64" s="420"/>
      <c r="AH64" s="2334"/>
      <c r="AI64" s="2325"/>
    </row>
    <row r="65" ht="3.0" customHeight="1">
      <c r="A65" s="2394"/>
      <c r="B65" s="2395"/>
      <c r="C65" s="2396"/>
      <c r="D65" s="2397"/>
      <c r="E65" s="2398"/>
      <c r="F65" s="2398"/>
      <c r="G65" s="2398"/>
      <c r="H65" s="2398"/>
      <c r="I65" s="2397"/>
      <c r="J65" s="2398"/>
      <c r="K65" s="2398"/>
      <c r="L65" s="2398"/>
      <c r="M65" s="2398"/>
      <c r="N65" s="2397"/>
      <c r="O65" s="2398"/>
      <c r="P65" s="2398"/>
      <c r="Q65" s="2398"/>
      <c r="R65" s="2398"/>
      <c r="S65" s="2397"/>
      <c r="T65" s="2397"/>
      <c r="U65" s="2397"/>
      <c r="V65" s="2397"/>
      <c r="W65" s="2397"/>
      <c r="X65" s="2397"/>
      <c r="Y65" s="2397"/>
      <c r="Z65" s="2399"/>
      <c r="AA65" s="2399"/>
      <c r="AB65" s="2400"/>
      <c r="AC65" s="2400"/>
      <c r="AD65" s="2400"/>
      <c r="AE65" s="2400"/>
      <c r="AF65" s="2400"/>
      <c r="AG65" s="2400"/>
      <c r="AH65" s="2401"/>
      <c r="AI65" s="2402"/>
    </row>
    <row r="66" ht="16.5" customHeight="1">
      <c r="A66" s="2326"/>
      <c r="B66" s="2403"/>
      <c r="C66" s="2396"/>
      <c r="D66" s="2404"/>
      <c r="E66" s="951" t="s">
        <v>512</v>
      </c>
      <c r="F66" s="606"/>
      <c r="G66" s="606"/>
      <c r="H66" s="607"/>
      <c r="I66" s="2405"/>
      <c r="J66" s="951" t="s">
        <v>512</v>
      </c>
      <c r="K66" s="606"/>
      <c r="L66" s="606"/>
      <c r="M66" s="607"/>
      <c r="N66" s="2406"/>
      <c r="O66" s="951" t="s">
        <v>512</v>
      </c>
      <c r="P66" s="606"/>
      <c r="Q66" s="606"/>
      <c r="R66" s="607"/>
      <c r="S66" s="2407"/>
      <c r="T66" s="2408"/>
      <c r="U66" s="2408"/>
      <c r="V66" s="2409"/>
      <c r="W66" s="2409"/>
      <c r="X66" s="2409"/>
      <c r="Y66" s="2408"/>
      <c r="Z66" s="2408"/>
      <c r="AA66" s="2408"/>
      <c r="AB66" s="2409"/>
      <c r="AC66" s="2409"/>
      <c r="AD66" s="2409"/>
      <c r="AE66" s="2409"/>
      <c r="AF66" s="2409"/>
      <c r="AG66" s="2409"/>
      <c r="AH66" s="2410"/>
      <c r="AI66" s="2411"/>
    </row>
    <row r="67" ht="16.5" customHeight="1">
      <c r="A67" s="2326"/>
      <c r="B67" s="2403"/>
      <c r="C67" s="2396"/>
      <c r="D67" s="2404"/>
      <c r="E67" s="955" t="s">
        <v>513</v>
      </c>
      <c r="F67" s="956">
        <f t="array" ref="F67">IFERROR(VLOOKUP(E54,Dex!$B$3:$N422,8,FALSE),"")</f>
        <v>60</v>
      </c>
      <c r="G67" s="957" t="str">
        <f t="array" ref="G67">IFERROR(VLOOKUP(F67,Dex!$P$22:$Q$276,2,FALSE),"")</f>
        <v/>
      </c>
      <c r="H67" s="958"/>
      <c r="I67" s="2405"/>
      <c r="J67" s="955" t="s">
        <v>513</v>
      </c>
      <c r="K67" s="956">
        <f t="array" ref="K67">IFERROR(VLOOKUP(J54,Dex!$B$3:$N422,8,FALSE),"")</f>
        <v>90</v>
      </c>
      <c r="L67" s="957" t="str">
        <f t="array" ref="L67">IFERROR(VLOOKUP(K67,Dex!$P$22:$Q$276,2,FALSE),"")</f>
        <v/>
      </c>
      <c r="M67" s="958"/>
      <c r="N67" s="2412"/>
      <c r="O67" s="955" t="s">
        <v>513</v>
      </c>
      <c r="P67" s="956">
        <f t="array" ref="P67">IFERROR(VLOOKUP(O54,Dex!$B$3:$N422,8,FALSE),"")</f>
        <v>45</v>
      </c>
      <c r="Q67" s="957" t="str">
        <f t="array" ref="Q67">IFERROR(VLOOKUP(P67,Dex!$P$22:$Q$276,2,FALSE),"")</f>
        <v/>
      </c>
      <c r="R67" s="958"/>
      <c r="S67" s="2407"/>
      <c r="T67" s="2408"/>
      <c r="U67" s="2408"/>
      <c r="V67" s="2409"/>
      <c r="W67" s="2409"/>
      <c r="X67" s="2409"/>
      <c r="Y67" s="2408"/>
      <c r="Z67" s="2408"/>
      <c r="AA67" s="2408"/>
      <c r="AB67" s="2409"/>
      <c r="AC67" s="2409"/>
      <c r="AD67" s="2409"/>
      <c r="AE67" s="2409"/>
      <c r="AF67" s="2409"/>
      <c r="AG67" s="2409"/>
      <c r="AH67" s="2410"/>
      <c r="AI67" s="2411"/>
    </row>
    <row r="68" ht="16.5" customHeight="1">
      <c r="A68" s="2326"/>
      <c r="B68" s="2403"/>
      <c r="C68" s="2396"/>
      <c r="D68" s="2404"/>
      <c r="E68" s="961" t="s">
        <v>514</v>
      </c>
      <c r="F68" s="962">
        <f t="array" ref="F68">IFERROR(VLOOKUP(E54,Dex!$B$3:$N422,9,FALSE),"")</f>
        <v>80</v>
      </c>
      <c r="G68" s="963" t="str">
        <f t="array" ref="G68">IFERROR(VLOOKUP(F68,Dex!$P$22:$Q$276,2,FALSE),"")</f>
        <v/>
      </c>
      <c r="H68" s="964"/>
      <c r="I68" s="2405"/>
      <c r="J68" s="961" t="s">
        <v>514</v>
      </c>
      <c r="K68" s="962">
        <f t="array" ref="K68">IFERROR(VLOOKUP(J54,Dex!$B$3:$N422,9,FALSE),"")</f>
        <v>65</v>
      </c>
      <c r="L68" s="963" t="str">
        <f t="array" ref="L68">IFERROR(VLOOKUP(K68,Dex!$P$22:$Q$276,2,FALSE),"")</f>
        <v/>
      </c>
      <c r="M68" s="964"/>
      <c r="N68" s="2412"/>
      <c r="O68" s="961" t="s">
        <v>514</v>
      </c>
      <c r="P68" s="962">
        <f t="array" ref="P68">IFERROR(VLOOKUP(O54,Dex!$B$3:$N422,9,FALSE),"")</f>
        <v>49</v>
      </c>
      <c r="Q68" s="963" t="str">
        <f t="array" ref="Q68">IFERROR(VLOOKUP(P68,Dex!$P$22:$Q$276,2,FALSE),"")</f>
        <v/>
      </c>
      <c r="R68" s="964"/>
      <c r="S68" s="2407"/>
      <c r="T68" s="2408"/>
      <c r="U68" s="2408"/>
      <c r="V68" s="2409"/>
      <c r="W68" s="2409"/>
      <c r="X68" s="2409"/>
      <c r="Y68" s="2408"/>
      <c r="Z68" s="2408"/>
      <c r="AA68" s="2408"/>
      <c r="AB68" s="2409"/>
      <c r="AC68" s="2409"/>
      <c r="AD68" s="2409"/>
      <c r="AE68" s="2409"/>
      <c r="AF68" s="2409"/>
      <c r="AG68" s="2409"/>
      <c r="AH68" s="2410"/>
      <c r="AI68" s="2411"/>
    </row>
    <row r="69" ht="16.5" customHeight="1">
      <c r="A69" s="2326"/>
      <c r="B69" s="2403"/>
      <c r="C69" s="2396"/>
      <c r="D69" s="2404"/>
      <c r="E69" s="961" t="s">
        <v>515</v>
      </c>
      <c r="F69" s="962">
        <f t="array" ref="F69">IFERROR(VLOOKUP(E54,Dex!$B$3:$N422,10,FALSE),"")</f>
        <v>50</v>
      </c>
      <c r="G69" s="963" t="str">
        <f t="array" ref="G69">IFERROR(VLOOKUP(F69,Dex!$P$22:$Q$276,2,FALSE),"")</f>
        <v/>
      </c>
      <c r="H69" s="964"/>
      <c r="I69" s="2405"/>
      <c r="J69" s="961" t="s">
        <v>515</v>
      </c>
      <c r="K69" s="962">
        <f t="array" ref="K69">IFERROR(VLOOKUP(J54,Dex!$B$3:$N422,10,FALSE),"")</f>
        <v>65</v>
      </c>
      <c r="L69" s="963" t="str">
        <f t="array" ref="L69">IFERROR(VLOOKUP(K69,Dex!$P$22:$Q$276,2,FALSE),"")</f>
        <v/>
      </c>
      <c r="M69" s="964"/>
      <c r="N69" s="2412"/>
      <c r="O69" s="961" t="s">
        <v>515</v>
      </c>
      <c r="P69" s="962">
        <f t="array" ref="P69">IFERROR(VLOOKUP(O54,Dex!$B$3:$N422,10,FALSE),"")</f>
        <v>49</v>
      </c>
      <c r="Q69" s="963" t="str">
        <f t="array" ref="Q69">IFERROR(VLOOKUP(P69,Dex!$P$22:$Q$276,2,FALSE),"")</f>
        <v/>
      </c>
      <c r="R69" s="964"/>
      <c r="S69" s="2407"/>
      <c r="T69" s="2408"/>
      <c r="U69" s="2408"/>
      <c r="V69" s="2409"/>
      <c r="W69" s="2409"/>
      <c r="X69" s="2409"/>
      <c r="Y69" s="2408"/>
      <c r="Z69" s="2408"/>
      <c r="AA69" s="2408"/>
      <c r="AB69" s="2409"/>
      <c r="AC69" s="2409"/>
      <c r="AD69" s="2409"/>
      <c r="AE69" s="2409"/>
      <c r="AF69" s="2409"/>
      <c r="AG69" s="2409"/>
      <c r="AH69" s="2410"/>
      <c r="AI69" s="2411"/>
    </row>
    <row r="70" ht="16.5" customHeight="1">
      <c r="A70" s="2326"/>
      <c r="B70" s="2403"/>
      <c r="C70" s="2396"/>
      <c r="D70" s="2404"/>
      <c r="E70" s="961" t="s">
        <v>516</v>
      </c>
      <c r="F70" s="962">
        <f t="array" ref="F70">IFERROR(VLOOKUP(E54,Dex!$B$3:$N422,11,FALSE),"")</f>
        <v>40</v>
      </c>
      <c r="G70" s="963" t="str">
        <f t="array" ref="G70">IFERROR(VLOOKUP(F70,Dex!$P$22:$Q$276,2,FALSE),"")</f>
        <v/>
      </c>
      <c r="H70" s="964"/>
      <c r="I70" s="2405"/>
      <c r="J70" s="961" t="s">
        <v>516</v>
      </c>
      <c r="K70" s="962">
        <f t="array" ref="K70">IFERROR(VLOOKUP(J54,Dex!$B$3:$N422,11,FALSE),"")</f>
        <v>40</v>
      </c>
      <c r="L70" s="963" t="str">
        <f t="array" ref="L70">IFERROR(VLOOKUP(K70,Dex!$P$22:$Q$276,2,FALSE),"")</f>
        <v/>
      </c>
      <c r="M70" s="964"/>
      <c r="N70" s="2412"/>
      <c r="O70" s="961" t="s">
        <v>516</v>
      </c>
      <c r="P70" s="962">
        <f t="array" ref="P70">IFERROR(VLOOKUP(O54,Dex!$B$3:$N422,11,FALSE),"")</f>
        <v>65</v>
      </c>
      <c r="Q70" s="963" t="str">
        <f t="array" ref="Q70">IFERROR(VLOOKUP(P70,Dex!$P$22:$Q$276,2,FALSE),"")</f>
        <v/>
      </c>
      <c r="R70" s="964"/>
      <c r="S70" s="2407"/>
      <c r="T70" s="2408"/>
      <c r="U70" s="2408"/>
      <c r="V70" s="2409"/>
      <c r="W70" s="2409"/>
      <c r="X70" s="2409"/>
      <c r="Y70" s="2408"/>
      <c r="Z70" s="2408"/>
      <c r="AA70" s="2408"/>
      <c r="AB70" s="2409"/>
      <c r="AC70" s="2409"/>
      <c r="AD70" s="2409"/>
      <c r="AE70" s="2409"/>
      <c r="AF70" s="2409"/>
      <c r="AG70" s="2409"/>
      <c r="AH70" s="2410"/>
      <c r="AI70" s="2411"/>
    </row>
    <row r="71" ht="16.5" customHeight="1">
      <c r="A71" s="2326"/>
      <c r="B71" s="2403"/>
      <c r="C71" s="2396"/>
      <c r="D71" s="2404"/>
      <c r="E71" s="961" t="s">
        <v>517</v>
      </c>
      <c r="F71" s="962">
        <f t="array" ref="F71">IFERROR(VLOOKUP(E54,Dex!$B$3:$N422,12,FALSE),"")</f>
        <v>40</v>
      </c>
      <c r="G71" s="963" t="str">
        <f t="array" ref="G71">IFERROR(VLOOKUP(F71,Dex!$P$22:$Q$276,2,FALSE),"")</f>
        <v/>
      </c>
      <c r="H71" s="964"/>
      <c r="I71" s="2405"/>
      <c r="J71" s="961" t="s">
        <v>517</v>
      </c>
      <c r="K71" s="962">
        <f t="array" ref="K71">IFERROR(VLOOKUP(J54,Dex!$B$3:$N422,12,FALSE),"")</f>
        <v>40</v>
      </c>
      <c r="L71" s="963" t="str">
        <f t="array" ref="L71">IFERROR(VLOOKUP(K71,Dex!$P$22:$Q$276,2,FALSE),"")</f>
        <v/>
      </c>
      <c r="M71" s="964"/>
      <c r="N71" s="2412"/>
      <c r="O71" s="961" t="s">
        <v>517</v>
      </c>
      <c r="P71" s="962">
        <f t="array" ref="P71">IFERROR(VLOOKUP(O54,Dex!$B$3:$N422,12,FALSE),"")</f>
        <v>65</v>
      </c>
      <c r="Q71" s="963" t="str">
        <f t="array" ref="Q71">IFERROR(VLOOKUP(P71,Dex!$P$22:$Q$276,2,FALSE),"")</f>
        <v/>
      </c>
      <c r="R71" s="964"/>
      <c r="S71" s="2407"/>
      <c r="T71" s="2408"/>
      <c r="U71" s="2408"/>
      <c r="V71" s="2409"/>
      <c r="W71" s="2409"/>
      <c r="X71" s="2409"/>
      <c r="Y71" s="2408"/>
      <c r="Z71" s="2408"/>
      <c r="AA71" s="2408"/>
      <c r="AB71" s="2409"/>
      <c r="AC71" s="2409"/>
      <c r="AD71" s="2409"/>
      <c r="AE71" s="2409"/>
      <c r="AF71" s="2409"/>
      <c r="AG71" s="2409"/>
      <c r="AH71" s="2410"/>
      <c r="AI71" s="2411"/>
    </row>
    <row r="72" ht="15.75" customHeight="1">
      <c r="A72" s="2326"/>
      <c r="B72" s="2403"/>
      <c r="C72" s="1426" t="s">
        <v>745</v>
      </c>
      <c r="D72" s="2404"/>
      <c r="E72" s="965" t="s">
        <v>518</v>
      </c>
      <c r="F72" s="966">
        <f t="array" ref="F72">IFERROR(VLOOKUP(E54,Dex!$B$3:$N422,13,FALSE),"")</f>
        <v>30</v>
      </c>
      <c r="G72" s="967" t="str">
        <f t="array" ref="G72">IFERROR(VLOOKUP(F72,Dex!$P$22:$Q$276,2,FALSE),"")</f>
        <v/>
      </c>
      <c r="H72" s="968"/>
      <c r="I72" s="2405"/>
      <c r="J72" s="965" t="s">
        <v>518</v>
      </c>
      <c r="K72" s="966">
        <f t="array" ref="K72">IFERROR(VLOOKUP(J54,Dex!$B$3:$N422,13,FALSE),"")</f>
        <v>15</v>
      </c>
      <c r="L72" s="967" t="str">
        <f t="array" ref="L72">IFERROR(VLOOKUP(K72,Dex!$P$22:$Q$276,2,FALSE),"")</f>
        <v/>
      </c>
      <c r="M72" s="968"/>
      <c r="N72" s="2412"/>
      <c r="O72" s="965" t="s">
        <v>518</v>
      </c>
      <c r="P72" s="966">
        <f t="array" ref="P72">IFERROR(VLOOKUP(O54,Dex!$B$3:$N422,13,FALSE),"")</f>
        <v>45</v>
      </c>
      <c r="Q72" s="967" t="str">
        <f t="array" ref="Q72">IFERROR(VLOOKUP(P72,Dex!$P$22:$Q$276,2,FALSE),"")</f>
        <v/>
      </c>
      <c r="R72" s="968"/>
      <c r="S72" s="2407"/>
      <c r="T72" s="2408"/>
      <c r="U72" s="2408"/>
      <c r="V72" s="2409"/>
      <c r="W72" s="2409"/>
      <c r="X72" s="2409"/>
      <c r="Y72" s="2408"/>
      <c r="Z72" s="2408"/>
      <c r="AA72" s="2408"/>
      <c r="AB72" s="2409"/>
      <c r="AC72" s="2409"/>
      <c r="AD72" s="2409"/>
      <c r="AE72" s="2409"/>
      <c r="AF72" s="2409"/>
      <c r="AG72" s="2409"/>
      <c r="AH72" s="2410"/>
      <c r="AI72" s="2411"/>
    </row>
    <row r="73" ht="16.5" customHeight="1">
      <c r="A73" s="2326"/>
      <c r="B73" s="2403"/>
      <c r="C73" s="1427" t="s">
        <v>813</v>
      </c>
      <c r="D73" s="2404"/>
      <c r="E73" s="969" t="s">
        <v>519</v>
      </c>
      <c r="F73" s="630"/>
      <c r="G73" s="631"/>
      <c r="H73" s="632">
        <f>ROUNDDOWN((ROUNDDOWN(((((2*F72+31)*15)/100+5)),0))*1,0)</f>
        <v>18</v>
      </c>
      <c r="I73" s="2438"/>
      <c r="J73" s="969" t="s">
        <v>519</v>
      </c>
      <c r="K73" s="630"/>
      <c r="L73" s="631"/>
      <c r="M73" s="632">
        <f>ROUNDDOWN((ROUNDDOWN(((((2*K72+31)*15)/100+5)),0))*1,0)</f>
        <v>14</v>
      </c>
      <c r="N73" s="2439"/>
      <c r="O73" s="969" t="s">
        <v>519</v>
      </c>
      <c r="P73" s="630"/>
      <c r="Q73" s="631"/>
      <c r="R73" s="632">
        <f>ROUNDDOWN((ROUNDDOWN(((((2*P72+31)*16)/100+5)),0))*1.1,0)</f>
        <v>26</v>
      </c>
      <c r="S73" s="2409"/>
      <c r="T73" s="2408"/>
      <c r="U73" s="2408"/>
      <c r="V73" s="2409"/>
      <c r="W73" s="2409"/>
      <c r="X73" s="2409"/>
      <c r="Y73" s="2408"/>
      <c r="Z73" s="2408"/>
      <c r="AA73" s="2408"/>
      <c r="AB73" s="2409"/>
      <c r="AC73" s="2409"/>
      <c r="AD73" s="2409"/>
      <c r="AE73" s="2409"/>
      <c r="AF73" s="2409"/>
      <c r="AG73" s="2409"/>
      <c r="AH73" s="2410"/>
      <c r="AI73" s="2411"/>
    </row>
    <row r="74" ht="15.0" customHeight="1">
      <c r="A74" s="2319"/>
      <c r="B74" s="2440"/>
      <c r="C74" s="2441"/>
      <c r="D74" s="2442"/>
      <c r="E74" s="2443"/>
      <c r="F74" s="2443"/>
      <c r="G74" s="2443"/>
      <c r="H74" s="2443"/>
      <c r="I74" s="2442"/>
      <c r="J74" s="2443"/>
      <c r="K74" s="2443"/>
      <c r="L74" s="2443"/>
      <c r="M74" s="2443"/>
      <c r="N74" s="2442"/>
      <c r="O74" s="2444"/>
      <c r="P74" s="2444"/>
      <c r="Q74" s="2444"/>
      <c r="R74" s="2442"/>
      <c r="S74" s="2442"/>
      <c r="T74" s="2442"/>
      <c r="U74" s="2442"/>
      <c r="V74" s="2442"/>
      <c r="W74" s="2442"/>
      <c r="X74" s="2442"/>
      <c r="Y74" s="2442"/>
      <c r="Z74" s="2442"/>
      <c r="AA74" s="2442"/>
      <c r="AB74" s="2442"/>
      <c r="AC74" s="2442"/>
      <c r="AD74" s="2442"/>
      <c r="AE74" s="2442"/>
      <c r="AF74" s="2442"/>
      <c r="AG74" s="2442"/>
      <c r="AH74" s="2445"/>
      <c r="AI74" s="2325"/>
    </row>
    <row r="75" ht="15.0" customHeight="1">
      <c r="A75" s="2319"/>
      <c r="B75" s="2446"/>
      <c r="C75" s="2447"/>
      <c r="D75" s="2448"/>
      <c r="E75" s="2449"/>
      <c r="F75" s="2449"/>
      <c r="G75" s="2449"/>
      <c r="H75" s="2449"/>
      <c r="I75" s="2448"/>
      <c r="J75" s="2449"/>
      <c r="K75" s="2449"/>
      <c r="L75" s="2449"/>
      <c r="M75" s="2449"/>
      <c r="N75" s="2448"/>
      <c r="O75" s="2449"/>
      <c r="P75" s="2449"/>
      <c r="Q75" s="2449"/>
      <c r="R75" s="2449"/>
      <c r="S75" s="2448"/>
      <c r="T75" s="2449"/>
      <c r="U75" s="2449"/>
      <c r="V75" s="2449"/>
      <c r="W75" s="2449"/>
      <c r="X75" s="2448"/>
      <c r="Y75" s="2448"/>
      <c r="Z75" s="2448"/>
      <c r="AA75" s="2448"/>
      <c r="AB75" s="2448"/>
      <c r="AC75" s="2448"/>
      <c r="AD75" s="2448"/>
      <c r="AE75" s="2448"/>
      <c r="AF75" s="2448"/>
      <c r="AG75" s="2448"/>
      <c r="AH75" s="2450"/>
      <c r="AI75" s="2325"/>
    </row>
    <row r="76" ht="96.75" customHeight="1">
      <c r="A76" s="2319"/>
      <c r="B76" s="2451"/>
      <c r="C76" s="2452" t="str">
        <f>IMAGE("https://i.ibb.co/rpm30sn/Brendan.png")</f>
        <v/>
      </c>
      <c r="D76" s="2453"/>
      <c r="E76" s="2454" t="str">
        <f t="array" ref="E76">IFERROR(VLOOKUP(E77,Dex!$B$3:$G422,3,FALSE),"")</f>
        <v/>
      </c>
      <c r="F76" s="1945"/>
      <c r="G76" s="1945"/>
      <c r="H76" s="1946"/>
      <c r="I76" s="2455"/>
      <c r="J76" s="2454" t="str">
        <f t="array" ref="J76">IFERROR(VLOOKUP(J77,Dex!$B$3:$G422,3,FALSE),"")</f>
        <v/>
      </c>
      <c r="K76" s="1945"/>
      <c r="L76" s="1945"/>
      <c r="M76" s="1946"/>
      <c r="N76" s="2456"/>
      <c r="O76" s="2454" t="str">
        <f t="array" ref="O76">IFERROR(VLOOKUP(O77,Dex!$B$3:$G422,3,FALSE),"")</f>
        <v/>
      </c>
      <c r="P76" s="1945"/>
      <c r="Q76" s="1945"/>
      <c r="R76" s="1946"/>
      <c r="S76" s="2456"/>
      <c r="T76" s="2454" t="str">
        <f t="array" ref="T76">IFERROR(VLOOKUP(T77,Dex!$B$3:$G422,3,FALSE),"")</f>
        <v/>
      </c>
      <c r="U76" s="1945"/>
      <c r="V76" s="1945"/>
      <c r="W76" s="1946"/>
      <c r="X76" s="2457"/>
      <c r="Y76" s="2458"/>
      <c r="Z76" s="2459"/>
      <c r="AA76" s="2459"/>
      <c r="AB76" s="2460"/>
      <c r="AC76" s="2461"/>
      <c r="AD76" s="2458"/>
      <c r="AE76" s="2459"/>
      <c r="AF76" s="2459"/>
      <c r="AG76" s="2460"/>
      <c r="AH76" s="2462"/>
      <c r="AI76" s="2325"/>
    </row>
    <row r="77" ht="18.75" customHeight="1">
      <c r="A77" s="2347"/>
      <c r="B77" s="2463"/>
      <c r="C77" s="2464" t="s">
        <v>989</v>
      </c>
      <c r="D77" s="2465"/>
      <c r="E77" s="2466" t="s">
        <v>990</v>
      </c>
      <c r="F77" s="2467"/>
      <c r="G77" s="2467"/>
      <c r="H77" s="2468"/>
      <c r="I77" s="2465"/>
      <c r="J77" s="2466" t="s">
        <v>991</v>
      </c>
      <c r="K77" s="2467"/>
      <c r="L77" s="2467"/>
      <c r="M77" s="2468"/>
      <c r="O77" s="2466" t="s">
        <v>992</v>
      </c>
      <c r="P77" s="2467"/>
      <c r="Q77" s="2467"/>
      <c r="R77" s="2468"/>
      <c r="T77" s="2466" t="s">
        <v>993</v>
      </c>
      <c r="U77" s="2467"/>
      <c r="V77" s="2467"/>
      <c r="W77" s="2468"/>
      <c r="X77" s="2469"/>
      <c r="Y77" s="2470"/>
      <c r="Z77" s="2459"/>
      <c r="AA77" s="2459"/>
      <c r="AB77" s="2460"/>
      <c r="AC77" s="2471"/>
      <c r="AD77" s="2470"/>
      <c r="AE77" s="2459"/>
      <c r="AF77" s="2459"/>
      <c r="AG77" s="2460"/>
      <c r="AH77" s="2472"/>
      <c r="AI77" s="2357"/>
    </row>
    <row r="78">
      <c r="A78" s="2473"/>
      <c r="B78" s="2474"/>
      <c r="C78" s="556"/>
      <c r="D78" s="2475"/>
      <c r="E78" s="2476" t="s">
        <v>796</v>
      </c>
      <c r="F78" s="2477"/>
      <c r="G78" s="2477"/>
      <c r="H78" s="2478"/>
      <c r="I78" s="2479"/>
      <c r="J78" s="2476" t="s">
        <v>967</v>
      </c>
      <c r="K78" s="2477"/>
      <c r="L78" s="2477"/>
      <c r="M78" s="2478"/>
      <c r="O78" s="2476" t="s">
        <v>967</v>
      </c>
      <c r="P78" s="2477"/>
      <c r="Q78" s="2477"/>
      <c r="R78" s="2478"/>
      <c r="T78" s="2476" t="s">
        <v>729</v>
      </c>
      <c r="U78" s="2477"/>
      <c r="V78" s="2477"/>
      <c r="W78" s="2478"/>
      <c r="X78" s="2469"/>
      <c r="Y78" s="2458"/>
      <c r="Z78" s="2459"/>
      <c r="AA78" s="2459"/>
      <c r="AB78" s="2460"/>
      <c r="AC78" s="2471"/>
      <c r="AD78" s="2458"/>
      <c r="AE78" s="2459"/>
      <c r="AF78" s="2459"/>
      <c r="AG78" s="2460"/>
      <c r="AH78" s="2480"/>
      <c r="AI78" s="2481"/>
    </row>
    <row r="79" ht="25.5" customHeight="1">
      <c r="A79" s="2319"/>
      <c r="B79" s="2482"/>
      <c r="C79" s="2483"/>
      <c r="D79" s="2458"/>
      <c r="E79" s="2484"/>
      <c r="F79" s="2485" t="str">
        <f t="array" ref="F79">IFERROR(VLOOKUP(E77,Dex!$B$3:$H422,5,FALSE),"")</f>
        <v/>
      </c>
      <c r="G79" s="2486" t="str">
        <f t="array" ref="G79">IFERROR(VLOOKUP(E77,Dex!$B$3:$H422,7,FALSE),"")</f>
        <v/>
      </c>
      <c r="H79" s="2487"/>
      <c r="I79" s="2470"/>
      <c r="J79" s="2484"/>
      <c r="K79" s="2488" t="str">
        <f t="array" ref="K79">IFERROR(VLOOKUP(J77,Dex!$B$3:$H422,5,FALSE),"")</f>
        <v/>
      </c>
      <c r="L79" s="2489"/>
      <c r="M79" s="2487"/>
      <c r="O79" s="2484"/>
      <c r="P79" s="2485" t="str">
        <f t="array" ref="P79">IFERROR(VLOOKUP(O77,Dex!$B$3:$H422,5,FALSE),"")</f>
        <v/>
      </c>
      <c r="Q79" s="2486" t="str">
        <f t="array" ref="Q79">IFERROR(VLOOKUP(O77,Dex!$B$3:$H422,7,FALSE),"")</f>
        <v/>
      </c>
      <c r="R79" s="2487"/>
      <c r="T79" s="2484"/>
      <c r="U79" s="2488" t="str">
        <f t="array" ref="U79">IFERROR(VLOOKUP(T77,Dex!$B$3:$H422,5,FALSE),"")</f>
        <v/>
      </c>
      <c r="V79" s="2489"/>
      <c r="W79" s="2487"/>
      <c r="X79" s="2469"/>
      <c r="Y79" s="2458"/>
      <c r="Z79" s="2459"/>
      <c r="AA79" s="2459"/>
      <c r="AB79" s="2460"/>
      <c r="AC79" s="2471"/>
      <c r="AD79" s="2458"/>
      <c r="AE79" s="2459"/>
      <c r="AF79" s="2459"/>
      <c r="AG79" s="2460"/>
      <c r="AH79" s="2462"/>
      <c r="AI79" s="2325"/>
    </row>
    <row r="80" ht="2.25" customHeight="1">
      <c r="A80" s="2319"/>
      <c r="B80" s="2482"/>
      <c r="C80" s="2471"/>
      <c r="D80" s="2458"/>
      <c r="E80" s="2490"/>
      <c r="F80" s="2491"/>
      <c r="G80" s="2491"/>
      <c r="H80" s="2492"/>
      <c r="I80" s="2470"/>
      <c r="J80" s="2490"/>
      <c r="K80" s="2491"/>
      <c r="L80" s="2491"/>
      <c r="M80" s="2492"/>
      <c r="O80" s="2490"/>
      <c r="P80" s="2491"/>
      <c r="Q80" s="2491"/>
      <c r="R80" s="2492"/>
      <c r="T80" s="2490"/>
      <c r="U80" s="2491"/>
      <c r="V80" s="2491"/>
      <c r="W80" s="2492"/>
      <c r="X80" s="2469"/>
      <c r="Y80" s="2493"/>
      <c r="Z80" s="2493"/>
      <c r="AA80" s="2493"/>
      <c r="AB80" s="2493"/>
      <c r="AC80" s="2471"/>
      <c r="AD80" s="2493"/>
      <c r="AE80" s="2493"/>
      <c r="AF80" s="2493"/>
      <c r="AG80" s="2493"/>
      <c r="AH80" s="2462"/>
      <c r="AI80" s="2325"/>
    </row>
    <row r="81" ht="20.25" customHeight="1">
      <c r="A81" s="2319"/>
      <c r="B81" s="2482"/>
      <c r="C81" s="2494"/>
      <c r="D81" s="2458"/>
      <c r="E81" s="2495" t="s">
        <v>566</v>
      </c>
      <c r="F81" s="2496"/>
      <c r="G81" s="2496"/>
      <c r="H81" s="2497"/>
      <c r="I81" s="2498"/>
      <c r="J81" s="2495" t="s">
        <v>566</v>
      </c>
      <c r="K81" s="2496"/>
      <c r="L81" s="2496"/>
      <c r="M81" s="2497"/>
      <c r="O81" s="2495" t="s">
        <v>917</v>
      </c>
      <c r="P81" s="2496"/>
      <c r="Q81" s="2496"/>
      <c r="R81" s="2497"/>
      <c r="T81" s="2495" t="s">
        <v>566</v>
      </c>
      <c r="U81" s="2496"/>
      <c r="V81" s="2496"/>
      <c r="W81" s="2497"/>
      <c r="X81" s="2469"/>
      <c r="Y81" s="2458"/>
      <c r="Z81" s="2459"/>
      <c r="AA81" s="2459"/>
      <c r="AB81" s="2460"/>
      <c r="AC81" s="2471"/>
      <c r="AD81" s="2458"/>
      <c r="AE81" s="2459"/>
      <c r="AF81" s="2459"/>
      <c r="AG81" s="2460"/>
      <c r="AH81" s="2462"/>
      <c r="AI81" s="2325"/>
    </row>
    <row r="82" ht="20.25" customHeight="1">
      <c r="A82" s="2319"/>
      <c r="B82" s="2482"/>
      <c r="C82" s="2499"/>
      <c r="D82" s="2458"/>
      <c r="E82" s="2500" t="s">
        <v>994</v>
      </c>
      <c r="F82" s="2459"/>
      <c r="G82" s="2459"/>
      <c r="H82" s="2501"/>
      <c r="I82" s="2498"/>
      <c r="J82" s="2500" t="s">
        <v>84</v>
      </c>
      <c r="K82" s="2459"/>
      <c r="L82" s="2459"/>
      <c r="M82" s="2501"/>
      <c r="O82" s="2500" t="s">
        <v>995</v>
      </c>
      <c r="P82" s="2459"/>
      <c r="Q82" s="2459"/>
      <c r="R82" s="2501"/>
      <c r="T82" s="2500" t="s">
        <v>569</v>
      </c>
      <c r="U82" s="2459"/>
      <c r="V82" s="2459"/>
      <c r="W82" s="2501"/>
      <c r="X82" s="2469"/>
      <c r="Y82" s="2458"/>
      <c r="Z82" s="2459"/>
      <c r="AA82" s="2459"/>
      <c r="AB82" s="2460"/>
      <c r="AC82" s="2471"/>
      <c r="AD82" s="2458"/>
      <c r="AE82" s="2459"/>
      <c r="AF82" s="2459"/>
      <c r="AG82" s="2460"/>
      <c r="AH82" s="2462"/>
      <c r="AI82" s="2325"/>
    </row>
    <row r="83" ht="20.25" customHeight="1">
      <c r="A83" s="2319"/>
      <c r="B83" s="2482"/>
      <c r="C83" s="2471"/>
      <c r="D83" s="2458"/>
      <c r="E83" s="2502" t="s">
        <v>800</v>
      </c>
      <c r="F83" s="2503"/>
      <c r="G83" s="2504"/>
      <c r="H83" s="2505" t="str">
        <f>IMAGE("https://raw.githubusercontent.com/msikma/pokesprite/master/items/hold-item/muscle-band.png",3)</f>
        <v/>
      </c>
      <c r="I83" s="2470"/>
      <c r="J83" s="2502" t="s">
        <v>540</v>
      </c>
      <c r="K83" s="2503"/>
      <c r="L83" s="2504"/>
      <c r="M83" s="2505" t="str">
        <f>IMAGE("https://raw.githubusercontent.com/msikma/pokesprite/master/items/hold-item/mystic-water.png",3)</f>
        <v/>
      </c>
      <c r="O83" s="2502" t="s">
        <v>996</v>
      </c>
      <c r="P83" s="2503"/>
      <c r="Q83" s="2504"/>
      <c r="R83" s="2505" t="str">
        <f>IMAGE("https://raw.githubusercontent.com/msikma/pokesprite/master/items/berry/passho.png",3)</f>
        <v/>
      </c>
      <c r="T83" s="2502" t="s">
        <v>491</v>
      </c>
      <c r="U83" s="2503"/>
      <c r="V83" s="2504"/>
      <c r="W83" s="2505" t="str">
        <f>IMAGE("https://raw.githubusercontent.com/msikma/pokesprite/master/items/berry/oran.png",3)</f>
        <v/>
      </c>
      <c r="X83" s="2469"/>
      <c r="Y83" s="2458"/>
      <c r="Z83" s="2459"/>
      <c r="AA83" s="2459"/>
      <c r="AB83" s="2460"/>
      <c r="AC83" s="2471"/>
      <c r="AD83" s="2458"/>
      <c r="AE83" s="2459"/>
      <c r="AF83" s="2459"/>
      <c r="AG83" s="2460"/>
      <c r="AH83" s="2462"/>
      <c r="AI83" s="2325"/>
    </row>
    <row r="84" ht="20.25" customHeight="1">
      <c r="A84" s="2319"/>
      <c r="B84" s="2482"/>
      <c r="C84" s="2494"/>
      <c r="D84" s="2458"/>
      <c r="E84" s="2495" t="s">
        <v>777</v>
      </c>
      <c r="F84" s="2496"/>
      <c r="G84" s="2496"/>
      <c r="H84" s="2506" t="str">
        <f>IMAGE("https://raw.githubusercontent.com/msikma/pokesprite/master/misc/types/gen8/normal.png",4,20,20)</f>
        <v/>
      </c>
      <c r="I84" s="2470"/>
      <c r="J84" s="2495" t="s">
        <v>974</v>
      </c>
      <c r="K84" s="2496"/>
      <c r="L84" s="2496"/>
      <c r="M84" s="2506" t="str">
        <f>IMAGE("https://raw.githubusercontent.com/msikma/pokesprite/master/misc/types/gen8/water.png",4,20,20)</f>
        <v/>
      </c>
      <c r="O84" s="2495" t="s">
        <v>496</v>
      </c>
      <c r="P84" s="2496"/>
      <c r="Q84" s="2496"/>
      <c r="R84" s="2506" t="str">
        <f>IMAGE("https://raw.githubusercontent.com/msikma/pokesprite/master/misc/types/gen8/rock.png",4,20,20)</f>
        <v/>
      </c>
      <c r="T84" s="2495" t="s">
        <v>495</v>
      </c>
      <c r="U84" s="2496"/>
      <c r="V84" s="2496"/>
      <c r="W84" s="2506" t="str">
        <f>IMAGE("https://raw.githubusercontent.com/msikma/pokesprite/master/misc/types/gen8/fighting.png",4,20,20)</f>
        <v/>
      </c>
      <c r="X84" s="2469"/>
      <c r="Y84" s="2458"/>
      <c r="Z84" s="2459"/>
      <c r="AA84" s="2459"/>
      <c r="AB84" s="2460"/>
      <c r="AC84" s="2471"/>
      <c r="AD84" s="2458"/>
      <c r="AE84" s="2459"/>
      <c r="AF84" s="2459"/>
      <c r="AG84" s="2460"/>
      <c r="AH84" s="2462"/>
      <c r="AI84" s="2325"/>
    </row>
    <row r="85" ht="20.25" customHeight="1">
      <c r="A85" s="2319"/>
      <c r="B85" s="2482"/>
      <c r="C85" s="2507"/>
      <c r="D85" s="2458"/>
      <c r="E85" s="2500" t="s">
        <v>803</v>
      </c>
      <c r="F85" s="2459"/>
      <c r="G85" s="2459"/>
      <c r="H85" s="2508" t="str">
        <f>IMAGE("https://raw.githubusercontent.com/msikma/pokesprite/master/misc/types/gen8/fighting.png",4,20,20)</f>
        <v/>
      </c>
      <c r="I85" s="2470"/>
      <c r="J85" s="2500" t="s">
        <v>802</v>
      </c>
      <c r="K85" s="2459"/>
      <c r="L85" s="2459"/>
      <c r="M85" s="2508" t="str">
        <f>IMAGE("https://raw.githubusercontent.com/msikma/pokesprite/master/misc/types/gen8/flying.png",4,20,20)</f>
        <v/>
      </c>
      <c r="O85" s="2500" t="s">
        <v>141</v>
      </c>
      <c r="P85" s="2459"/>
      <c r="Q85" s="2459"/>
      <c r="R85" s="2508" t="str">
        <f>IMAGE("https://raw.githubusercontent.com/msikma/pokesprite/master/misc/types/gen8/fire.png",4,20,20)</f>
        <v/>
      </c>
      <c r="T85" s="2500" t="s">
        <v>499</v>
      </c>
      <c r="U85" s="2459"/>
      <c r="V85" s="2459"/>
      <c r="W85" s="2508" t="str">
        <f>IMAGE("https://raw.githubusercontent.com/msikma/pokesprite/master/misc/types/gen8/grass.png",4,20,20)</f>
        <v/>
      </c>
      <c r="X85" s="2469"/>
      <c r="Y85" s="2458"/>
      <c r="Z85" s="2459"/>
      <c r="AA85" s="2459"/>
      <c r="AB85" s="2460"/>
      <c r="AC85" s="2471"/>
      <c r="AD85" s="2458"/>
      <c r="AE85" s="2459"/>
      <c r="AF85" s="2459"/>
      <c r="AG85" s="2460"/>
      <c r="AH85" s="2462"/>
      <c r="AI85" s="2325"/>
    </row>
    <row r="86" ht="20.25" customHeight="1">
      <c r="A86" s="2319"/>
      <c r="B86" s="2482"/>
      <c r="C86" s="2507"/>
      <c r="D86" s="2458"/>
      <c r="E86" s="2500" t="s">
        <v>831</v>
      </c>
      <c r="F86" s="2459"/>
      <c r="G86" s="2459"/>
      <c r="H86" s="2508" t="str">
        <f>IMAGE("https://raw.githubusercontent.com/msikma/pokesprite/master/misc/types/gen8/steel.png",4,20,20)</f>
        <v/>
      </c>
      <c r="I86" s="2470"/>
      <c r="J86" s="2500" t="s">
        <v>498</v>
      </c>
      <c r="K86" s="2459"/>
      <c r="L86" s="2459"/>
      <c r="M86" s="2508" t="str">
        <f>IMAGE("https://raw.githubusercontent.com/msikma/pokesprite/master/misc/types/gen8/rock.png",4,20,20)</f>
        <v/>
      </c>
      <c r="O86" s="2500" t="s">
        <v>498</v>
      </c>
      <c r="P86" s="2459"/>
      <c r="Q86" s="2459"/>
      <c r="R86" s="2508" t="str">
        <f>IMAGE("https://raw.githubusercontent.com/msikma/pokesprite/master/misc/types/gen8/rock.png",4,20,20)</f>
        <v/>
      </c>
      <c r="T86" s="2500" t="s">
        <v>548</v>
      </c>
      <c r="U86" s="2459"/>
      <c r="V86" s="2459"/>
      <c r="W86" s="2508" t="str">
        <f>IMAGE("https://raw.githubusercontent.com/msikma/pokesprite/master/misc/types/gen8/fighting.png",4,20,20)</f>
        <v/>
      </c>
      <c r="X86" s="2469"/>
      <c r="Y86" s="2458"/>
      <c r="Z86" s="2459"/>
      <c r="AA86" s="2459"/>
      <c r="AB86" s="2460"/>
      <c r="AC86" s="2471"/>
      <c r="AD86" s="2458"/>
      <c r="AE86" s="2459"/>
      <c r="AF86" s="2459"/>
      <c r="AG86" s="2460"/>
      <c r="AH86" s="2462"/>
      <c r="AI86" s="2325"/>
    </row>
    <row r="87" ht="21.0" customHeight="1">
      <c r="A87" s="2319"/>
      <c r="B87" s="2482"/>
      <c r="C87" s="2507"/>
      <c r="D87" s="2458"/>
      <c r="E87" s="2509" t="s">
        <v>498</v>
      </c>
      <c r="F87" s="2510"/>
      <c r="G87" s="2510"/>
      <c r="H87" s="2511" t="str">
        <f>IMAGE("https://raw.githubusercontent.com/msikma/pokesprite/master/misc/types/gen8/rock.png",4,20,20)</f>
        <v/>
      </c>
      <c r="I87" s="2470"/>
      <c r="J87" s="2509" t="s">
        <v>579</v>
      </c>
      <c r="K87" s="2510"/>
      <c r="L87" s="2510"/>
      <c r="M87" s="2511" t="str">
        <f>IMAGE("https://raw.githubusercontent.com/msikma/pokesprite/master/misc/types/gen8/dark.png",4,20,20)</f>
        <v/>
      </c>
      <c r="N87" s="2512"/>
      <c r="O87" s="2509" t="s">
        <v>494</v>
      </c>
      <c r="P87" s="2510"/>
      <c r="Q87" s="2510"/>
      <c r="R87" s="2511" t="str">
        <f>IMAGE("https://raw.githubusercontent.com/msikma/pokesprite/master/misc/types/gen8/ground.png",4,20,20)</f>
        <v/>
      </c>
      <c r="S87" s="2512"/>
      <c r="T87" s="2509" t="s">
        <v>498</v>
      </c>
      <c r="U87" s="2510"/>
      <c r="V87" s="2510"/>
      <c r="W87" s="2511" t="str">
        <f>IMAGE("https://raw.githubusercontent.com/msikma/pokesprite/master/misc/types/gen8/rock.png",4,20,20)</f>
        <v/>
      </c>
      <c r="X87" s="2513"/>
      <c r="Y87" s="2458"/>
      <c r="Z87" s="2459"/>
      <c r="AA87" s="2459"/>
      <c r="AB87" s="2460"/>
      <c r="AC87" s="2494"/>
      <c r="AD87" s="2458"/>
      <c r="AE87" s="2459"/>
      <c r="AF87" s="2459"/>
      <c r="AG87" s="2460"/>
      <c r="AH87" s="2462"/>
      <c r="AI87" s="2325"/>
    </row>
    <row r="88" ht="3.0" customHeight="1">
      <c r="A88" s="2394"/>
      <c r="B88" s="2514"/>
      <c r="C88" s="2515"/>
      <c r="D88" s="2516"/>
      <c r="E88" s="2517"/>
      <c r="F88" s="2517"/>
      <c r="G88" s="2517"/>
      <c r="H88" s="2517"/>
      <c r="I88" s="2516"/>
      <c r="J88" s="2517"/>
      <c r="K88" s="2517"/>
      <c r="L88" s="2517"/>
      <c r="M88" s="2517"/>
      <c r="N88" s="2516"/>
      <c r="O88" s="2517"/>
      <c r="P88" s="2517"/>
      <c r="Q88" s="2517"/>
      <c r="R88" s="2517"/>
      <c r="S88" s="2516"/>
      <c r="T88" s="2517"/>
      <c r="U88" s="2517"/>
      <c r="V88" s="2517"/>
      <c r="W88" s="2517"/>
      <c r="X88" s="2516"/>
      <c r="Y88" s="2516"/>
      <c r="Z88" s="2518"/>
      <c r="AA88" s="2518"/>
      <c r="AB88" s="2519"/>
      <c r="AC88" s="2519"/>
      <c r="AD88" s="2519"/>
      <c r="AE88" s="2519"/>
      <c r="AF88" s="2519"/>
      <c r="AG88" s="2519"/>
      <c r="AH88" s="2520"/>
      <c r="AI88" s="2402"/>
    </row>
    <row r="89" ht="16.5" customHeight="1">
      <c r="A89" s="2326"/>
      <c r="B89" s="2521"/>
      <c r="C89" s="2515"/>
      <c r="D89" s="2522"/>
      <c r="E89" s="2523" t="s">
        <v>512</v>
      </c>
      <c r="F89" s="606"/>
      <c r="G89" s="606"/>
      <c r="H89" s="607"/>
      <c r="I89" s="2524"/>
      <c r="J89" s="2523" t="s">
        <v>512</v>
      </c>
      <c r="K89" s="606"/>
      <c r="L89" s="606"/>
      <c r="M89" s="607"/>
      <c r="N89" s="2525"/>
      <c r="O89" s="2523" t="s">
        <v>512</v>
      </c>
      <c r="P89" s="606"/>
      <c r="Q89" s="606"/>
      <c r="R89" s="607"/>
      <c r="S89" s="2526"/>
      <c r="T89" s="2523" t="s">
        <v>512</v>
      </c>
      <c r="U89" s="606"/>
      <c r="V89" s="606"/>
      <c r="W89" s="607"/>
      <c r="X89" s="2527"/>
      <c r="Y89" s="2528"/>
      <c r="Z89" s="2528"/>
      <c r="AA89" s="2528"/>
      <c r="AB89" s="2527"/>
      <c r="AC89" s="2527"/>
      <c r="AD89" s="2527"/>
      <c r="AE89" s="2527"/>
      <c r="AF89" s="2527"/>
      <c r="AG89" s="2527"/>
      <c r="AH89" s="2529"/>
      <c r="AI89" s="2411"/>
    </row>
    <row r="90" ht="16.5" customHeight="1">
      <c r="A90" s="2326"/>
      <c r="B90" s="2521"/>
      <c r="C90" s="2515"/>
      <c r="D90" s="2522"/>
      <c r="E90" s="2530" t="s">
        <v>513</v>
      </c>
      <c r="F90" s="2531">
        <f t="array" ref="F90">IFERROR(VLOOKUP(E77,Dex!$B$3:$N422,8,FALSE),"")</f>
        <v>30</v>
      </c>
      <c r="G90" s="2532" t="str">
        <f t="array" ref="G90">IFERROR(VLOOKUP(F90,Dex!$P$22:$Q$276,2,FALSE),"")</f>
        <v/>
      </c>
      <c r="H90" s="2533"/>
      <c r="I90" s="2524"/>
      <c r="J90" s="2530" t="s">
        <v>513</v>
      </c>
      <c r="K90" s="2531">
        <f t="array" ref="K90">IFERROR(VLOOKUP(J77,Dex!$B$3:$N422,8,FALSE),"")</f>
        <v>43</v>
      </c>
      <c r="L90" s="2532" t="str">
        <f t="array" ref="L90">IFERROR(VLOOKUP(K90,Dex!$P$22:$Q$276,2,FALSE),"")</f>
        <v/>
      </c>
      <c r="M90" s="2533"/>
      <c r="N90" s="2534"/>
      <c r="O90" s="2530" t="s">
        <v>513</v>
      </c>
      <c r="P90" s="2531">
        <f t="array" ref="P90">IFERROR(VLOOKUP(O77,Dex!$B$3:$N422,8,FALSE),"")</f>
        <v>60</v>
      </c>
      <c r="Q90" s="2532" t="str">
        <f t="array" ref="Q90">IFERROR(VLOOKUP(P90,Dex!$P$22:$Q$276,2,FALSE),"")</f>
        <v/>
      </c>
      <c r="R90" s="2533"/>
      <c r="S90" s="2527"/>
      <c r="T90" s="2530" t="s">
        <v>513</v>
      </c>
      <c r="U90" s="2531">
        <f t="array" ref="U90">IFERROR(VLOOKUP(T77,Dex!$B$3:$N422,8,FALSE),"")</f>
        <v>40</v>
      </c>
      <c r="V90" s="2535" t="str">
        <f t="array" ref="V90">IFERROR(VLOOKUP(U90,Dex!$P$22:$Q$276,2,FALSE),"")</f>
        <v/>
      </c>
      <c r="W90" s="2536"/>
      <c r="X90" s="2527"/>
      <c r="Y90" s="2528"/>
      <c r="Z90" s="2528"/>
      <c r="AA90" s="2528"/>
      <c r="AB90" s="2527"/>
      <c r="AC90" s="2527"/>
      <c r="AD90" s="2527"/>
      <c r="AE90" s="2527"/>
      <c r="AF90" s="2527"/>
      <c r="AG90" s="2527"/>
      <c r="AH90" s="2529"/>
      <c r="AI90" s="2411"/>
    </row>
    <row r="91" ht="16.5" customHeight="1">
      <c r="A91" s="2326"/>
      <c r="B91" s="2521"/>
      <c r="C91" s="2515"/>
      <c r="D91" s="2522"/>
      <c r="E91" s="2537" t="s">
        <v>514</v>
      </c>
      <c r="F91" s="2538">
        <f t="array" ref="F91">IFERROR(VLOOKUP(E77,Dex!$B$3:$N422,9,FALSE),"")</f>
        <v>40</v>
      </c>
      <c r="G91" s="2539" t="str">
        <f t="array" ref="G91">IFERROR(VLOOKUP(F91,Dex!$P$22:$Q$276,2,FALSE),"")</f>
        <v/>
      </c>
      <c r="H91" s="2540"/>
      <c r="I91" s="2524"/>
      <c r="J91" s="2537" t="s">
        <v>514</v>
      </c>
      <c r="K91" s="2538">
        <f t="array" ref="K91">IFERROR(VLOOKUP(J77,Dex!$B$3:$N422,9,FALSE),"")</f>
        <v>80</v>
      </c>
      <c r="L91" s="2539" t="str">
        <f t="array" ref="L91">IFERROR(VLOOKUP(K91,Dex!$P$22:$Q$276,2,FALSE),"")</f>
        <v/>
      </c>
      <c r="M91" s="2540"/>
      <c r="N91" s="2534"/>
      <c r="O91" s="2537" t="s">
        <v>514</v>
      </c>
      <c r="P91" s="2538">
        <f t="array" ref="P91">IFERROR(VLOOKUP(O77,Dex!$B$3:$N422,9,FALSE),"")</f>
        <v>60</v>
      </c>
      <c r="Q91" s="2539" t="str">
        <f t="array" ref="Q91">IFERROR(VLOOKUP(P91,Dex!$P$22:$Q$276,2,FALSE),"")</f>
        <v/>
      </c>
      <c r="R91" s="2540"/>
      <c r="S91" s="2527"/>
      <c r="T91" s="2537" t="s">
        <v>514</v>
      </c>
      <c r="U91" s="2538">
        <f t="array" ref="U91">IFERROR(VLOOKUP(T77,Dex!$B$3:$N422,9,FALSE),"")</f>
        <v>45</v>
      </c>
      <c r="V91" s="2539" t="str">
        <f t="array" ref="V91">IFERROR(VLOOKUP(U91,Dex!$P$22:$Q$276,2,FALSE),"")</f>
        <v/>
      </c>
      <c r="W91" s="2540"/>
      <c r="X91" s="2527"/>
      <c r="Y91" s="2528"/>
      <c r="Z91" s="2528"/>
      <c r="AA91" s="2528"/>
      <c r="AB91" s="2527"/>
      <c r="AC91" s="2527"/>
      <c r="AD91" s="2527"/>
      <c r="AE91" s="2527"/>
      <c r="AF91" s="2527"/>
      <c r="AG91" s="2527"/>
      <c r="AH91" s="2529"/>
      <c r="AI91" s="2411"/>
    </row>
    <row r="92" ht="16.5" customHeight="1">
      <c r="A92" s="2326"/>
      <c r="B92" s="2521"/>
      <c r="C92" s="2515"/>
      <c r="D92" s="2522"/>
      <c r="E92" s="2537" t="s">
        <v>515</v>
      </c>
      <c r="F92" s="2538">
        <f t="array" ref="F92">IFERROR(VLOOKUP(E77,Dex!$B$3:$N422,10,FALSE),"")</f>
        <v>55</v>
      </c>
      <c r="G92" s="2539" t="str">
        <f t="array" ref="G92">IFERROR(VLOOKUP(F92,Dex!$P$22:$Q$276,2,FALSE),"")</f>
        <v/>
      </c>
      <c r="H92" s="2540"/>
      <c r="I92" s="2524"/>
      <c r="J92" s="2537" t="s">
        <v>515</v>
      </c>
      <c r="K92" s="2538">
        <f t="array" ref="K92">IFERROR(VLOOKUP(J77,Dex!$B$3:$N422,10,FALSE),"")</f>
        <v>65</v>
      </c>
      <c r="L92" s="2539" t="str">
        <f t="array" ref="L92">IFERROR(VLOOKUP(K92,Dex!$P$22:$Q$276,2,FALSE),"")</f>
        <v/>
      </c>
      <c r="M92" s="2540"/>
      <c r="N92" s="2534"/>
      <c r="O92" s="2537" t="s">
        <v>515</v>
      </c>
      <c r="P92" s="2538">
        <f t="array" ref="P92">IFERROR(VLOOKUP(O77,Dex!$B$3:$N422,10,FALSE),"")</f>
        <v>40</v>
      </c>
      <c r="Q92" s="2539" t="str">
        <f t="array" ref="Q92">IFERROR(VLOOKUP(P92,Dex!$P$22:$Q$276,2,FALSE),"")</f>
        <v/>
      </c>
      <c r="R92" s="2540"/>
      <c r="S92" s="2527"/>
      <c r="T92" s="2537" t="s">
        <v>515</v>
      </c>
      <c r="U92" s="2538">
        <f t="array" ref="U92">IFERROR(VLOOKUP(T77,Dex!$B$3:$N422,10,FALSE),"")</f>
        <v>35</v>
      </c>
      <c r="V92" s="2539" t="str">
        <f t="array" ref="V92">IFERROR(VLOOKUP(U92,Dex!$P$22:$Q$276,2,FALSE),"")</f>
        <v/>
      </c>
      <c r="W92" s="2540"/>
      <c r="X92" s="2527"/>
      <c r="Y92" s="2528"/>
      <c r="Z92" s="2528"/>
      <c r="AA92" s="2528"/>
      <c r="AB92" s="2527"/>
      <c r="AC92" s="2527"/>
      <c r="AD92" s="2527"/>
      <c r="AE92" s="2527"/>
      <c r="AF92" s="2527"/>
      <c r="AG92" s="2527"/>
      <c r="AH92" s="2529"/>
      <c r="AI92" s="2411"/>
    </row>
    <row r="93" ht="16.5" customHeight="1">
      <c r="A93" s="2326"/>
      <c r="B93" s="2521"/>
      <c r="C93" s="2515"/>
      <c r="D93" s="2522"/>
      <c r="E93" s="2537" t="s">
        <v>516</v>
      </c>
      <c r="F93" s="2538">
        <f t="array" ref="F93">IFERROR(VLOOKUP(E77,Dex!$B$3:$N422,11,FALSE),"")</f>
        <v>40</v>
      </c>
      <c r="G93" s="2539" t="str">
        <f t="array" ref="G93">IFERROR(VLOOKUP(F93,Dex!$P$22:$Q$276,2,FALSE),"")</f>
        <v/>
      </c>
      <c r="H93" s="2540"/>
      <c r="I93" s="2524"/>
      <c r="J93" s="2537" t="s">
        <v>516</v>
      </c>
      <c r="K93" s="2538">
        <f t="array" ref="K93">IFERROR(VLOOKUP(J77,Dex!$B$3:$N422,11,FALSE),"")</f>
        <v>50</v>
      </c>
      <c r="L93" s="2539" t="str">
        <f t="array" ref="L93">IFERROR(VLOOKUP(K93,Dex!$P$22:$Q$276,2,FALSE),"")</f>
        <v/>
      </c>
      <c r="M93" s="2540"/>
      <c r="N93" s="2534"/>
      <c r="O93" s="2537" t="s">
        <v>516</v>
      </c>
      <c r="P93" s="2538">
        <f t="array" ref="P93">IFERROR(VLOOKUP(O77,Dex!$B$3:$N422,11,FALSE),"")</f>
        <v>65</v>
      </c>
      <c r="Q93" s="2539" t="str">
        <f t="array" ref="Q93">IFERROR(VLOOKUP(P93,Dex!$P$22:$Q$276,2,FALSE),"")</f>
        <v/>
      </c>
      <c r="R93" s="2540"/>
      <c r="S93" s="2527"/>
      <c r="T93" s="2537" t="s">
        <v>516</v>
      </c>
      <c r="U93" s="2538">
        <f t="array" ref="U93">IFERROR(VLOOKUP(T77,Dex!$B$3:$N422,11,FALSE),"")</f>
        <v>65</v>
      </c>
      <c r="V93" s="2539" t="str">
        <f t="array" ref="V93">IFERROR(VLOOKUP(U93,Dex!$P$22:$Q$276,2,FALSE),"")</f>
        <v/>
      </c>
      <c r="W93" s="2540"/>
      <c r="X93" s="2527"/>
      <c r="Y93" s="2528"/>
      <c r="Z93" s="2528"/>
      <c r="AA93" s="2528"/>
      <c r="AB93" s="2527"/>
      <c r="AC93" s="2527"/>
      <c r="AD93" s="2527"/>
      <c r="AE93" s="2527"/>
      <c r="AF93" s="2527"/>
      <c r="AG93" s="2527"/>
      <c r="AH93" s="2529"/>
      <c r="AI93" s="2411"/>
    </row>
    <row r="94" ht="16.5" customHeight="1">
      <c r="A94" s="2326"/>
      <c r="B94" s="2521"/>
      <c r="C94" s="2515"/>
      <c r="D94" s="2522"/>
      <c r="E94" s="2537" t="s">
        <v>517</v>
      </c>
      <c r="F94" s="2538">
        <f t="array" ref="F94">IFERROR(VLOOKUP(E77,Dex!$B$3:$N422,12,FALSE),"")</f>
        <v>55</v>
      </c>
      <c r="G94" s="2539" t="str">
        <f t="array" ref="G94">IFERROR(VLOOKUP(F94,Dex!$P$22:$Q$276,2,FALSE),"")</f>
        <v/>
      </c>
      <c r="H94" s="2540"/>
      <c r="I94" s="2524"/>
      <c r="J94" s="2537" t="s">
        <v>517</v>
      </c>
      <c r="K94" s="2538">
        <f t="array" ref="K94">IFERROR(VLOOKUP(J77,Dex!$B$3:$N422,12,FALSE),"")</f>
        <v>35</v>
      </c>
      <c r="L94" s="2539" t="str">
        <f t="array" ref="L94">IFERROR(VLOOKUP(K94,Dex!$P$22:$Q$276,2,FALSE),"")</f>
        <v/>
      </c>
      <c r="M94" s="2540"/>
      <c r="N94" s="2534"/>
      <c r="O94" s="2537" t="s">
        <v>517</v>
      </c>
      <c r="P94" s="2538">
        <f t="array" ref="P94">IFERROR(VLOOKUP(O77,Dex!$B$3:$N422,12,FALSE),"")</f>
        <v>45</v>
      </c>
      <c r="Q94" s="2539" t="str">
        <f t="array" ref="Q94">IFERROR(VLOOKUP(P94,Dex!$P$22:$Q$276,2,FALSE),"")</f>
        <v/>
      </c>
      <c r="R94" s="2540"/>
      <c r="S94" s="2527"/>
      <c r="T94" s="2537" t="s">
        <v>517</v>
      </c>
      <c r="U94" s="2538">
        <f t="array" ref="U94">IFERROR(VLOOKUP(T77,Dex!$B$3:$N422,12,FALSE),"")</f>
        <v>55</v>
      </c>
      <c r="V94" s="2539" t="str">
        <f t="array" ref="V94">IFERROR(VLOOKUP(U94,Dex!$P$22:$Q$276,2,FALSE),"")</f>
        <v/>
      </c>
      <c r="W94" s="2540"/>
      <c r="X94" s="2527"/>
      <c r="Y94" s="2528"/>
      <c r="Z94" s="2528"/>
      <c r="AA94" s="2528"/>
      <c r="AB94" s="2527"/>
      <c r="AC94" s="2527"/>
      <c r="AD94" s="2527"/>
      <c r="AE94" s="2527"/>
      <c r="AF94" s="2527"/>
      <c r="AG94" s="2527"/>
      <c r="AH94" s="2529"/>
      <c r="AI94" s="2411"/>
    </row>
    <row r="95" ht="15.75" customHeight="1">
      <c r="A95" s="2326"/>
      <c r="B95" s="2521"/>
      <c r="C95" s="1426" t="s">
        <v>745</v>
      </c>
      <c r="D95" s="2522"/>
      <c r="E95" s="2541" t="s">
        <v>518</v>
      </c>
      <c r="F95" s="2542">
        <f t="array" ref="F95">IFERROR(VLOOKUP(E77,Dex!$B$3:$N422,13,FALSE),"")</f>
        <v>60</v>
      </c>
      <c r="G95" s="2543" t="str">
        <f t="array" ref="G95">IFERROR(VLOOKUP(F95,Dex!$P$22:$Q$276,2,FALSE),"")</f>
        <v/>
      </c>
      <c r="H95" s="2544"/>
      <c r="I95" s="2524"/>
      <c r="J95" s="2541" t="s">
        <v>518</v>
      </c>
      <c r="K95" s="2542">
        <f t="array" ref="K95">IFERROR(VLOOKUP(J77,Dex!$B$3:$N422,13,FALSE),"")</f>
        <v>35</v>
      </c>
      <c r="L95" s="2543" t="str">
        <f t="array" ref="L95">IFERROR(VLOOKUP(K95,Dex!$P$22:$Q$276,2,FALSE),"")</f>
        <v/>
      </c>
      <c r="M95" s="2544"/>
      <c r="N95" s="2534"/>
      <c r="O95" s="2541" t="s">
        <v>518</v>
      </c>
      <c r="P95" s="2542">
        <f t="array" ref="P95">IFERROR(VLOOKUP(O77,Dex!$B$3:$N422,13,FALSE),"")</f>
        <v>35</v>
      </c>
      <c r="Q95" s="2543" t="str">
        <f t="array" ref="Q95">IFERROR(VLOOKUP(P95,Dex!$P$22:$Q$276,2,FALSE),"")</f>
        <v/>
      </c>
      <c r="R95" s="2544"/>
      <c r="S95" s="2527"/>
      <c r="T95" s="2541" t="s">
        <v>518</v>
      </c>
      <c r="U95" s="2542">
        <f t="array" ref="U95">IFERROR(VLOOKUP(T77,Dex!$B$3:$N422,13,FALSE),"")</f>
        <v>70</v>
      </c>
      <c r="V95" s="2543" t="str">
        <f t="array" ref="V95">IFERROR(VLOOKUP(U95,Dex!$P$22:$Q$276,2,FALSE),"")</f>
        <v/>
      </c>
      <c r="W95" s="2544"/>
      <c r="X95" s="2527"/>
      <c r="Y95" s="2528"/>
      <c r="Z95" s="2528"/>
      <c r="AA95" s="2528"/>
      <c r="AB95" s="2527"/>
      <c r="AC95" s="2527"/>
      <c r="AD95" s="2527"/>
      <c r="AE95" s="2527"/>
      <c r="AF95" s="2527"/>
      <c r="AG95" s="2527"/>
      <c r="AH95" s="2529"/>
      <c r="AI95" s="2411"/>
    </row>
    <row r="96" ht="16.5" customHeight="1">
      <c r="A96" s="2326"/>
      <c r="B96" s="2521"/>
      <c r="C96" s="1427" t="s">
        <v>813</v>
      </c>
      <c r="D96" s="2522"/>
      <c r="E96" s="2545" t="s">
        <v>519</v>
      </c>
      <c r="F96" s="630"/>
      <c r="G96" s="631"/>
      <c r="H96" s="632">
        <f>ROUNDDOWN((ROUNDDOWN(((((2*F95+31)*14)/100+5)),0))*1,0)</f>
        <v>26</v>
      </c>
      <c r="I96" s="2524"/>
      <c r="J96" s="2545" t="s">
        <v>519</v>
      </c>
      <c r="K96" s="630"/>
      <c r="L96" s="631"/>
      <c r="M96" s="632">
        <f>ROUNDDOWN((ROUNDDOWN(((((2*K95+31)*15)/100+5)),0))*1,0)</f>
        <v>20</v>
      </c>
      <c r="N96" s="2525"/>
      <c r="O96" s="2545" t="s">
        <v>519</v>
      </c>
      <c r="P96" s="630"/>
      <c r="Q96" s="631"/>
      <c r="R96" s="632">
        <f>ROUNDDOWN((ROUNDDOWN(((((2*P95+31)*15)/100+5)),0))*1,0)</f>
        <v>20</v>
      </c>
      <c r="S96" s="2527"/>
      <c r="T96" s="2546" t="s">
        <v>519</v>
      </c>
      <c r="U96" s="635"/>
      <c r="V96" s="636"/>
      <c r="W96" s="632">
        <f>ROUNDDOWN((ROUNDDOWN(((((2*U95+31)*16)/100+5)),0))*1,0)</f>
        <v>32</v>
      </c>
      <c r="X96" s="2527"/>
      <c r="Y96" s="2528"/>
      <c r="Z96" s="2528"/>
      <c r="AA96" s="2528"/>
      <c r="AB96" s="2527"/>
      <c r="AC96" s="2527"/>
      <c r="AD96" s="2527"/>
      <c r="AE96" s="2527"/>
      <c r="AF96" s="2527"/>
      <c r="AG96" s="2527"/>
      <c r="AH96" s="2529"/>
      <c r="AI96" s="2411"/>
    </row>
    <row r="97" ht="16.5" customHeight="1">
      <c r="A97" s="2326"/>
      <c r="B97" s="2547"/>
      <c r="C97" s="2548"/>
      <c r="D97" s="2549"/>
      <c r="E97" s="2515"/>
      <c r="F97" s="2515"/>
      <c r="G97" s="2515"/>
      <c r="H97" s="2515"/>
      <c r="I97" s="2550"/>
      <c r="J97" s="2551"/>
      <c r="K97" s="2551"/>
      <c r="L97" s="2551"/>
      <c r="M97" s="2515"/>
      <c r="N97" s="2552"/>
      <c r="O97" s="2551"/>
      <c r="P97" s="2551"/>
      <c r="Q97" s="2551"/>
      <c r="R97" s="2515"/>
      <c r="S97" s="2553"/>
      <c r="T97" s="2554" t="s">
        <v>594</v>
      </c>
      <c r="U97" s="643"/>
      <c r="V97" s="644"/>
      <c r="W97" s="2555">
        <f>W96*2</f>
        <v>64</v>
      </c>
      <c r="X97" s="2553"/>
      <c r="Y97" s="2556"/>
      <c r="Z97" s="2556"/>
      <c r="AA97" s="2556"/>
      <c r="AB97" s="2553"/>
      <c r="AC97" s="2553"/>
      <c r="AD97" s="2553"/>
      <c r="AE97" s="2553"/>
      <c r="AF97" s="2553"/>
      <c r="AG97" s="2553"/>
      <c r="AH97" s="2557"/>
      <c r="AI97" s="2411"/>
    </row>
    <row r="98" ht="15.0" customHeight="1">
      <c r="A98" s="2319"/>
      <c r="B98" s="2558"/>
      <c r="C98" s="2559"/>
      <c r="D98" s="2560"/>
      <c r="E98" s="2561"/>
      <c r="F98" s="2561"/>
      <c r="G98" s="2561"/>
      <c r="H98" s="2561"/>
      <c r="I98" s="2560"/>
      <c r="J98" s="2561"/>
      <c r="K98" s="2561"/>
      <c r="L98" s="2561"/>
      <c r="M98" s="2561"/>
      <c r="N98" s="2560"/>
      <c r="O98" s="2560"/>
      <c r="P98" s="2560"/>
      <c r="Q98" s="2560"/>
      <c r="R98" s="2560"/>
      <c r="S98" s="2560"/>
      <c r="T98" s="2560"/>
      <c r="U98" s="2560"/>
      <c r="V98" s="2560"/>
      <c r="W98" s="2560"/>
      <c r="X98" s="2560"/>
      <c r="Y98" s="2560"/>
      <c r="Z98" s="2560"/>
      <c r="AA98" s="2560"/>
      <c r="AB98" s="2560"/>
      <c r="AC98" s="2560"/>
      <c r="AD98" s="2560"/>
      <c r="AE98" s="2560"/>
      <c r="AF98" s="2560"/>
      <c r="AG98" s="2560"/>
      <c r="AH98" s="2562"/>
      <c r="AI98" s="2325"/>
    </row>
    <row r="99" ht="15.0" customHeight="1">
      <c r="A99" s="2319"/>
      <c r="B99" s="2320"/>
      <c r="C99" s="2321"/>
      <c r="D99" s="2322"/>
      <c r="E99" s="2323"/>
      <c r="F99" s="2323"/>
      <c r="G99" s="2323"/>
      <c r="H99" s="2323"/>
      <c r="I99" s="2323"/>
      <c r="J99" s="2323"/>
      <c r="K99" s="2323"/>
      <c r="L99" s="2323"/>
      <c r="M99" s="2323"/>
      <c r="N99" s="2323"/>
      <c r="O99" s="2323"/>
      <c r="P99" s="2323"/>
      <c r="Q99" s="2323"/>
      <c r="R99" s="2323"/>
      <c r="S99" s="2323"/>
      <c r="T99" s="2323"/>
      <c r="U99" s="2323"/>
      <c r="V99" s="2323"/>
      <c r="W99" s="2323"/>
      <c r="X99" s="2323"/>
      <c r="Y99" s="2323"/>
      <c r="Z99" s="2323"/>
      <c r="AA99" s="2323"/>
      <c r="AB99" s="2323"/>
      <c r="AC99" s="2323"/>
      <c r="AD99" s="2323"/>
      <c r="AE99" s="2323"/>
      <c r="AF99" s="2323"/>
      <c r="AG99" s="2323"/>
      <c r="AH99" s="2324"/>
      <c r="AI99" s="2325"/>
    </row>
    <row r="100">
      <c r="A100" s="2326"/>
      <c r="B100" s="2327"/>
      <c r="C100" s="2328"/>
      <c r="D100" s="2329"/>
      <c r="E100" s="2330" t="s">
        <v>962</v>
      </c>
      <c r="F100" s="1732"/>
      <c r="G100" s="1732"/>
      <c r="H100" s="1732"/>
      <c r="I100" s="1732"/>
      <c r="J100" s="1732"/>
      <c r="K100" s="1732"/>
      <c r="L100" s="1732"/>
      <c r="M100" s="1732"/>
      <c r="N100" s="1732"/>
      <c r="O100" s="1732"/>
      <c r="P100" s="1732"/>
      <c r="Q100" s="1732"/>
      <c r="R100" s="1732"/>
      <c r="S100" s="1732"/>
      <c r="T100" s="1732"/>
      <c r="U100" s="1732"/>
      <c r="V100" s="1732"/>
      <c r="W100" s="1732"/>
      <c r="X100" s="1732"/>
      <c r="Y100" s="1732"/>
      <c r="Z100" s="1732"/>
      <c r="AA100" s="1732"/>
      <c r="AB100" s="1732"/>
      <c r="AC100" s="1732"/>
      <c r="AD100" s="1732"/>
      <c r="AE100" s="1732"/>
      <c r="AF100" s="1732"/>
      <c r="AG100" s="1733"/>
      <c r="AH100" s="2563"/>
      <c r="AI100" s="2325"/>
    </row>
    <row r="101" ht="3.75" customHeight="1">
      <c r="A101" s="2326"/>
      <c r="B101" s="2327"/>
      <c r="C101" s="2335"/>
      <c r="D101" s="2336"/>
      <c r="E101" s="2337"/>
      <c r="F101" s="2337"/>
      <c r="G101" s="2337"/>
      <c r="H101" s="2337"/>
      <c r="I101" s="2338"/>
      <c r="J101" s="2337"/>
      <c r="K101" s="2337"/>
      <c r="L101" s="2337"/>
      <c r="M101" s="2337"/>
      <c r="N101" s="2338"/>
      <c r="O101" s="2337"/>
      <c r="P101" s="2337"/>
      <c r="Q101" s="2337"/>
      <c r="R101" s="2337"/>
      <c r="S101" s="2338"/>
      <c r="T101" s="2337"/>
      <c r="U101" s="2337"/>
      <c r="V101" s="2337"/>
      <c r="W101" s="2337"/>
      <c r="X101" s="2338"/>
      <c r="Y101" s="2337"/>
      <c r="Z101" s="2337"/>
      <c r="AA101" s="2337"/>
      <c r="AB101" s="2337"/>
      <c r="AC101" s="2338"/>
      <c r="AD101" s="2337"/>
      <c r="AE101" s="2337"/>
      <c r="AF101" s="2337"/>
      <c r="AG101" s="2337"/>
      <c r="AH101" s="2334"/>
      <c r="AI101" s="2325"/>
    </row>
    <row r="102" ht="96.75" customHeight="1">
      <c r="A102" s="2319"/>
      <c r="B102" s="2339"/>
      <c r="C102" s="2340" t="str">
        <f>IMAGE("https://i.ibb.co/fXwks6z/Rival.png")</f>
        <v/>
      </c>
      <c r="D102" s="2341"/>
      <c r="E102" s="2342" t="str">
        <f t="array" ref="E102">IFERROR(VLOOKUP(E103,Dex!$B$3:$G422,3,FALSE),"")</f>
        <v/>
      </c>
      <c r="F102" s="1945"/>
      <c r="G102" s="1945"/>
      <c r="H102" s="1946"/>
      <c r="I102" s="2343"/>
      <c r="J102" s="2342" t="str">
        <f t="array" ref="J102">IFERROR(VLOOKUP(J103,Dex!$B$3:$G422,3,FALSE),"")</f>
        <v/>
      </c>
      <c r="K102" s="1945"/>
      <c r="L102" s="1945"/>
      <c r="M102" s="1946"/>
      <c r="N102" s="2343"/>
      <c r="O102" s="2342" t="str">
        <f t="array" ref="O102">IFERROR(VLOOKUP(O103,Dex!$B$3:$G422,3,FALSE),"")</f>
        <v/>
      </c>
      <c r="P102" s="1945"/>
      <c r="Q102" s="1945"/>
      <c r="R102" s="1946"/>
      <c r="S102" s="2343"/>
      <c r="T102" s="2342" t="str">
        <f t="array" ref="T102">IFERROR(VLOOKUP(T103,Dex!$B$3:$G422,3,FALSE),"")</f>
        <v/>
      </c>
      <c r="U102" s="1945"/>
      <c r="V102" s="1945"/>
      <c r="W102" s="1946"/>
      <c r="X102" s="2344"/>
      <c r="Y102" s="2342" t="str">
        <f t="array" ref="Y102">IFERROR(VLOOKUP(Y103,Dex!$B$3:$G422,3,FALSE),"")</f>
        <v/>
      </c>
      <c r="Z102" s="1945"/>
      <c r="AA102" s="1945"/>
      <c r="AB102" s="1946"/>
      <c r="AC102" s="2344"/>
      <c r="AD102" s="2342" t="str">
        <f t="array" ref="AD102">IFERROR(VLOOKUP(AD103,Dex!$B$3:$G422,3,FALSE),"")</f>
        <v/>
      </c>
      <c r="AE102" s="1945"/>
      <c r="AF102" s="1945"/>
      <c r="AG102" s="1946"/>
      <c r="AH102" s="2563"/>
      <c r="AI102" s="2325"/>
    </row>
    <row r="103" ht="18.75" customHeight="1">
      <c r="A103" s="2347"/>
      <c r="B103" s="2348"/>
      <c r="C103" s="2349" t="s">
        <v>997</v>
      </c>
      <c r="D103" s="2350"/>
      <c r="E103" s="2351" t="s">
        <v>561</v>
      </c>
      <c r="F103" s="2352"/>
      <c r="G103" s="2352"/>
      <c r="H103" s="2353"/>
      <c r="J103" s="2351" t="s">
        <v>998</v>
      </c>
      <c r="K103" s="2352"/>
      <c r="L103" s="2352"/>
      <c r="M103" s="2353"/>
      <c r="O103" s="2351" t="s">
        <v>913</v>
      </c>
      <c r="P103" s="2352"/>
      <c r="Q103" s="2352"/>
      <c r="R103" s="2353"/>
      <c r="T103" s="2351" t="s">
        <v>999</v>
      </c>
      <c r="U103" s="2352"/>
      <c r="V103" s="2352"/>
      <c r="W103" s="2353"/>
      <c r="Y103" s="2351" t="s">
        <v>1000</v>
      </c>
      <c r="Z103" s="2352"/>
      <c r="AA103" s="2352"/>
      <c r="AB103" s="2353"/>
      <c r="AD103" s="2351" t="s">
        <v>1001</v>
      </c>
      <c r="AE103" s="2352"/>
      <c r="AF103" s="2352"/>
      <c r="AG103" s="2353"/>
      <c r="AH103" s="2564"/>
      <c r="AI103" s="2357"/>
    </row>
    <row r="104">
      <c r="A104" s="2319"/>
      <c r="B104" s="2358"/>
      <c r="C104" s="556"/>
      <c r="D104" s="2359"/>
      <c r="E104" s="2360" t="s">
        <v>967</v>
      </c>
      <c r="F104" s="2361"/>
      <c r="G104" s="2361"/>
      <c r="H104" s="2362"/>
      <c r="J104" s="2360" t="s">
        <v>796</v>
      </c>
      <c r="K104" s="2361"/>
      <c r="L104" s="2361"/>
      <c r="M104" s="2362"/>
      <c r="O104" s="2360" t="s">
        <v>967</v>
      </c>
      <c r="P104" s="2361"/>
      <c r="Q104" s="2361"/>
      <c r="R104" s="2362"/>
      <c r="T104" s="2360" t="s">
        <v>967</v>
      </c>
      <c r="U104" s="2361"/>
      <c r="V104" s="2361"/>
      <c r="W104" s="2362"/>
      <c r="Y104" s="2360" t="s">
        <v>729</v>
      </c>
      <c r="Z104" s="2361"/>
      <c r="AA104" s="2361"/>
      <c r="AB104" s="2362"/>
      <c r="AD104" s="2360" t="s">
        <v>729</v>
      </c>
      <c r="AE104" s="2361"/>
      <c r="AF104" s="2361"/>
      <c r="AG104" s="2362"/>
      <c r="AH104" s="2563"/>
      <c r="AI104" s="2325"/>
    </row>
    <row r="105" ht="25.5" customHeight="1">
      <c r="A105" s="2319"/>
      <c r="B105" s="2327"/>
      <c r="C105" s="2363"/>
      <c r="D105" s="2364"/>
      <c r="E105" s="2365"/>
      <c r="F105" s="2366" t="str">
        <f t="array" ref="F105">IFERROR(VLOOKUP(E103,Dex!$B$3:$H422,5,FALSE),"")</f>
        <v/>
      </c>
      <c r="G105" s="2367"/>
      <c r="H105" s="2368"/>
      <c r="J105" s="2365"/>
      <c r="K105" s="2366" t="str">
        <f t="array" ref="K105">IFERROR(VLOOKUP(J103,Dex!$B$3:$H422,5,FALSE),"")</f>
        <v/>
      </c>
      <c r="L105" s="2367"/>
      <c r="M105" s="2368"/>
      <c r="O105" s="2365"/>
      <c r="P105" s="2366" t="str">
        <f t="array" ref="P105">IFERROR(VLOOKUP(O103,Dex!$B$3:$H422,5,FALSE),"")</f>
        <v/>
      </c>
      <c r="Q105" s="2367"/>
      <c r="R105" s="2368"/>
      <c r="T105" s="2365"/>
      <c r="U105" s="2366" t="str">
        <f t="array" ref="U105">IFERROR(VLOOKUP(T103,Dex!$B$3:$H422,5,FALSE),"")</f>
        <v/>
      </c>
      <c r="V105" s="2367"/>
      <c r="W105" s="2368"/>
      <c r="Y105" s="2365"/>
      <c r="Z105" s="2369" t="str">
        <f t="array" ref="Z105">IFERROR(VLOOKUP(Y103,Dex!$B$3:$H422,5,FALSE),"")</f>
        <v/>
      </c>
      <c r="AA105" s="2370" t="str">
        <f t="array" ref="AA105">IFERROR(VLOOKUP(Y103,Dex!$B$3:$H422,7,FALSE),"")</f>
        <v/>
      </c>
      <c r="AB105" s="2368"/>
      <c r="AD105" s="2365"/>
      <c r="AE105" s="2366" t="str">
        <f t="array" ref="AE105">IFERROR(VLOOKUP(AD103,Dex!$B$3:$H422,5,FALSE),"")</f>
        <v/>
      </c>
      <c r="AF105" s="2367"/>
      <c r="AG105" s="2368"/>
      <c r="AH105" s="2334"/>
      <c r="AI105" s="2325"/>
    </row>
    <row r="106" ht="2.25" customHeight="1">
      <c r="A106" s="2319"/>
      <c r="B106" s="2327"/>
      <c r="C106" s="2355"/>
      <c r="D106" s="2364"/>
      <c r="E106" s="2371"/>
      <c r="F106" s="2372"/>
      <c r="G106" s="2372"/>
      <c r="H106" s="2373"/>
      <c r="J106" s="2371"/>
      <c r="K106" s="2372"/>
      <c r="L106" s="2372"/>
      <c r="M106" s="2373"/>
      <c r="O106" s="2371"/>
      <c r="P106" s="2372"/>
      <c r="Q106" s="2372"/>
      <c r="R106" s="2373"/>
      <c r="T106" s="2371"/>
      <c r="U106" s="2372"/>
      <c r="V106" s="2372"/>
      <c r="W106" s="2373"/>
      <c r="Y106" s="2371"/>
      <c r="Z106" s="2372"/>
      <c r="AA106" s="2372"/>
      <c r="AB106" s="2373"/>
      <c r="AD106" s="2371"/>
      <c r="AE106" s="2372"/>
      <c r="AF106" s="2372"/>
      <c r="AG106" s="2373"/>
      <c r="AH106" s="2334"/>
      <c r="AI106" s="2325"/>
    </row>
    <row r="107" ht="20.25" customHeight="1">
      <c r="A107" s="2319"/>
      <c r="B107" s="2327"/>
      <c r="C107" s="2375"/>
      <c r="D107" s="2329"/>
      <c r="E107" s="2376" t="s">
        <v>532</v>
      </c>
      <c r="F107" s="2377"/>
      <c r="G107" s="2377"/>
      <c r="H107" s="2378"/>
      <c r="J107" s="2376" t="s">
        <v>658</v>
      </c>
      <c r="K107" s="2377"/>
      <c r="L107" s="2377"/>
      <c r="M107" s="2378"/>
      <c r="O107" s="2376" t="s">
        <v>564</v>
      </c>
      <c r="P107" s="2377"/>
      <c r="Q107" s="2377"/>
      <c r="R107" s="2378"/>
      <c r="T107" s="2376" t="s">
        <v>564</v>
      </c>
      <c r="U107" s="2377"/>
      <c r="V107" s="2377"/>
      <c r="W107" s="2378"/>
      <c r="Y107" s="2376" t="s">
        <v>532</v>
      </c>
      <c r="Z107" s="2377"/>
      <c r="AA107" s="2377"/>
      <c r="AB107" s="2378"/>
      <c r="AD107" s="2376" t="s">
        <v>531</v>
      </c>
      <c r="AE107" s="2377"/>
      <c r="AF107" s="2377"/>
      <c r="AG107" s="2378"/>
      <c r="AH107" s="2563"/>
      <c r="AI107" s="2325"/>
    </row>
    <row r="108" ht="20.25" customHeight="1">
      <c r="A108" s="2319"/>
      <c r="B108" s="2327"/>
      <c r="C108" s="2379"/>
      <c r="D108" s="2329"/>
      <c r="E108" s="2380" t="s">
        <v>78</v>
      </c>
      <c r="F108" s="2332"/>
      <c r="G108" s="2332"/>
      <c r="H108" s="2381"/>
      <c r="J108" s="2380" t="s">
        <v>84</v>
      </c>
      <c r="K108" s="2332"/>
      <c r="L108" s="2332"/>
      <c r="M108" s="2381"/>
      <c r="O108" s="2380" t="s">
        <v>76</v>
      </c>
      <c r="P108" s="2332"/>
      <c r="Q108" s="2332"/>
      <c r="R108" s="2381"/>
      <c r="T108" s="2380" t="s">
        <v>1002</v>
      </c>
      <c r="U108" s="2332"/>
      <c r="V108" s="2332"/>
      <c r="W108" s="2381"/>
      <c r="Y108" s="2380" t="s">
        <v>60</v>
      </c>
      <c r="Z108" s="2332"/>
      <c r="AA108" s="2332"/>
      <c r="AB108" s="2381"/>
      <c r="AD108" s="2380" t="s">
        <v>969</v>
      </c>
      <c r="AE108" s="2332"/>
      <c r="AF108" s="2332"/>
      <c r="AG108" s="2381"/>
      <c r="AH108" s="2563"/>
      <c r="AI108" s="2325"/>
    </row>
    <row r="109" ht="20.25" customHeight="1">
      <c r="A109" s="2319"/>
      <c r="B109" s="2327"/>
      <c r="C109" s="2355"/>
      <c r="D109" s="2329"/>
      <c r="E109" s="2382" t="s">
        <v>1003</v>
      </c>
      <c r="F109" s="2383"/>
      <c r="G109" s="2384"/>
      <c r="H109" s="2385"/>
      <c r="J109" s="2382" t="s">
        <v>1004</v>
      </c>
      <c r="K109" s="2383"/>
      <c r="L109" s="2384"/>
      <c r="M109" s="2385"/>
      <c r="O109" s="2382" t="s">
        <v>541</v>
      </c>
      <c r="P109" s="2383"/>
      <c r="Q109" s="2384"/>
      <c r="R109" s="2385"/>
      <c r="T109" s="2382" t="s">
        <v>1005</v>
      </c>
      <c r="U109" s="2383"/>
      <c r="V109" s="2384"/>
      <c r="W109" s="2385"/>
      <c r="Y109" s="2382" t="s">
        <v>1006</v>
      </c>
      <c r="Z109" s="2383"/>
      <c r="AA109" s="2384"/>
      <c r="AB109" s="2385"/>
      <c r="AD109" s="2382" t="s">
        <v>489</v>
      </c>
      <c r="AE109" s="2383"/>
      <c r="AF109" s="2384"/>
      <c r="AG109" s="2385"/>
      <c r="AH109" s="2334"/>
      <c r="AI109" s="2325"/>
    </row>
    <row r="110" ht="20.25" customHeight="1">
      <c r="A110" s="2319"/>
      <c r="B110" s="2327"/>
      <c r="C110" s="2375"/>
      <c r="D110" s="2329"/>
      <c r="E110" s="2376" t="s">
        <v>831</v>
      </c>
      <c r="F110" s="2377"/>
      <c r="G110" s="2386"/>
      <c r="H110" s="2387" t="str">
        <f>IMAGE("https://raw.githubusercontent.com/msikma/pokesprite/master/misc/types/gen8/steel.png",4,20,20)</f>
        <v/>
      </c>
      <c r="J110" s="2376" t="s">
        <v>1007</v>
      </c>
      <c r="K110" s="2377"/>
      <c r="L110" s="2386"/>
      <c r="M110" s="2387" t="str">
        <f t="shared" ref="M110:M111" si="4">IMAGE("https://raw.githubusercontent.com/msikma/pokesprite/master/misc/types/gen8/normal.png",4,20,20)</f>
        <v/>
      </c>
      <c r="O110" s="2376" t="s">
        <v>129</v>
      </c>
      <c r="P110" s="2377"/>
      <c r="Q110" s="2386"/>
      <c r="R110" s="2387" t="str">
        <f>IMAGE("https://raw.githubusercontent.com/msikma/pokesprite/master/misc/types/gen8/electric.png",4,20,20)</f>
        <v/>
      </c>
      <c r="T110" s="2376" t="s">
        <v>971</v>
      </c>
      <c r="U110" s="2377"/>
      <c r="V110" s="2386"/>
      <c r="W110" s="2387" t="str">
        <f>IMAGE("https://raw.githubusercontent.com/msikma/pokesprite/master/misc/types/gen8/fire.png",4,20,20)</f>
        <v/>
      </c>
      <c r="Y110" s="2376" t="s">
        <v>545</v>
      </c>
      <c r="Z110" s="2377"/>
      <c r="AA110" s="2386"/>
      <c r="AB110" s="2387" t="str">
        <f>IMAGE("https://raw.githubusercontent.com/msikma/pokesprite/master/misc/types/gen8/poison.png",4,20,20)</f>
        <v/>
      </c>
      <c r="AD110" s="2376" t="s">
        <v>273</v>
      </c>
      <c r="AE110" s="2377"/>
      <c r="AF110" s="2386"/>
      <c r="AG110" s="2387" t="str">
        <f>IMAGE("https://raw.githubusercontent.com/msikma/pokesprite/master/misc/types/gen8/normal.png",4,20,20)</f>
        <v/>
      </c>
      <c r="AH110" s="2334"/>
      <c r="AI110" s="2325"/>
    </row>
    <row r="111" ht="20.25" customHeight="1">
      <c r="A111" s="2319"/>
      <c r="B111" s="2327"/>
      <c r="C111" s="2328"/>
      <c r="D111" s="2329"/>
      <c r="E111" s="2380" t="s">
        <v>579</v>
      </c>
      <c r="F111" s="2332"/>
      <c r="G111" s="420"/>
      <c r="H111" s="2388" t="str">
        <f>IMAGE("https://raw.githubusercontent.com/msikma/pokesprite/master/misc/types/gen8/dark.png",4,20,20)</f>
        <v/>
      </c>
      <c r="J111" s="2380" t="s">
        <v>973</v>
      </c>
      <c r="K111" s="2332"/>
      <c r="L111" s="420"/>
      <c r="M111" s="2388" t="str">
        <f t="shared" si="4"/>
        <v/>
      </c>
      <c r="O111" s="2380" t="s">
        <v>786</v>
      </c>
      <c r="P111" s="2332"/>
      <c r="Q111" s="420"/>
      <c r="R111" s="2388" t="str">
        <f>IMAGE("https://raw.githubusercontent.com/msikma/pokesprite/master/misc/types/gen8/fairy.png",4,20,20)</f>
        <v/>
      </c>
      <c r="T111" s="2380" t="s">
        <v>742</v>
      </c>
      <c r="U111" s="2332"/>
      <c r="V111" s="420"/>
      <c r="W111" s="2388" t="str">
        <f>IMAGE("https://raw.githubusercontent.com/msikma/pokesprite/master/misc/types/gen8/grass.png",4,20,20)</f>
        <v/>
      </c>
      <c r="Y111" s="2380" t="s">
        <v>554</v>
      </c>
      <c r="Z111" s="2332"/>
      <c r="AA111" s="420"/>
      <c r="AB111" s="2388" t="str">
        <f t="shared" ref="AB111:AB112" si="5">IMAGE("https://raw.githubusercontent.com/msikma/pokesprite/master/misc/types/gen8/dark.png",4,20,20)</f>
        <v/>
      </c>
      <c r="AD111" s="2380" t="s">
        <v>981</v>
      </c>
      <c r="AE111" s="2332"/>
      <c r="AF111" s="420"/>
      <c r="AG111" s="2388" t="str">
        <f>IMAGE("https://raw.githubusercontent.com/msikma/pokesprite/master/misc/types/gen8/water.png",4,20,20)</f>
        <v/>
      </c>
      <c r="AH111" s="2334"/>
      <c r="AI111" s="2325"/>
    </row>
    <row r="112" ht="20.25" customHeight="1">
      <c r="A112" s="2319"/>
      <c r="B112" s="2327"/>
      <c r="C112" s="2328"/>
      <c r="D112" s="2329"/>
      <c r="E112" s="2380" t="s">
        <v>777</v>
      </c>
      <c r="F112" s="2332"/>
      <c r="G112" s="420"/>
      <c r="H112" s="2388" t="str">
        <f>IMAGE("https://raw.githubusercontent.com/msikma/pokesprite/master/misc/types/gen8/normal.png",4,20,20)</f>
        <v/>
      </c>
      <c r="J112" s="2380" t="s">
        <v>1008</v>
      </c>
      <c r="K112" s="2332"/>
      <c r="L112" s="420"/>
      <c r="M112" s="2388" t="str">
        <f>IMAGE("https://raw.githubusercontent.com/msikma/pokesprite/master/misc/types/gen8/fighting.png",4,20,20)</f>
        <v/>
      </c>
      <c r="O112" s="2380" t="s">
        <v>509</v>
      </c>
      <c r="P112" s="2332"/>
      <c r="Q112" s="420"/>
      <c r="R112" s="2388" t="str">
        <f>IMAGE("https://raw.githubusercontent.com/msikma/pokesprite/master/misc/types/gen8/ice.png",4,20,20)</f>
        <v/>
      </c>
      <c r="T112" s="2380" t="s">
        <v>506</v>
      </c>
      <c r="U112" s="2332"/>
      <c r="V112" s="420"/>
      <c r="W112" s="2388" t="str">
        <f>IMAGE("https://raw.githubusercontent.com/msikma/pokesprite/master/misc/types/gen8/rock.png",4,20,20)</f>
        <v/>
      </c>
      <c r="Y112" s="2380" t="s">
        <v>762</v>
      </c>
      <c r="Z112" s="2332"/>
      <c r="AA112" s="420"/>
      <c r="AB112" s="2388" t="str">
        <f t="shared" si="5"/>
        <v/>
      </c>
      <c r="AD112" s="2380" t="s">
        <v>509</v>
      </c>
      <c r="AE112" s="2332"/>
      <c r="AF112" s="420"/>
      <c r="AG112" s="2388" t="str">
        <f>IMAGE("https://raw.githubusercontent.com/msikma/pokesprite/master/misc/types/gen8/ice.png",4,20,20)</f>
        <v/>
      </c>
      <c r="AH112" s="2334"/>
      <c r="AI112" s="2325"/>
    </row>
    <row r="113" ht="21.0" customHeight="1">
      <c r="A113" s="2319"/>
      <c r="B113" s="2327"/>
      <c r="C113" s="2328"/>
      <c r="D113" s="2329"/>
      <c r="E113" s="2389" t="s">
        <v>1009</v>
      </c>
      <c r="F113" s="2390"/>
      <c r="G113" s="2391"/>
      <c r="H113" s="2392" t="str">
        <f>IMAGE("https://raw.githubusercontent.com/msikma/pokesprite/master/misc/types/gen8/fighting.png",4,20,20)</f>
        <v/>
      </c>
      <c r="I113" s="2393"/>
      <c r="J113" s="2389" t="s">
        <v>1010</v>
      </c>
      <c r="K113" s="2390"/>
      <c r="L113" s="2391"/>
      <c r="M113" s="2392" t="str">
        <f>IMAGE("https://raw.githubusercontent.com/msikma/pokesprite/master/misc/types/gen8/dark.png",4,20,20)</f>
        <v/>
      </c>
      <c r="N113" s="2393"/>
      <c r="O113" s="2389" t="s">
        <v>862</v>
      </c>
      <c r="P113" s="2390"/>
      <c r="Q113" s="2391"/>
      <c r="R113" s="2392" t="str">
        <f>IMAGE("https://raw.githubusercontent.com/msikma/pokesprite/master/misc/types/gen8/fire.png",4,20,20)</f>
        <v/>
      </c>
      <c r="S113" s="2393"/>
      <c r="T113" s="2389" t="s">
        <v>698</v>
      </c>
      <c r="U113" s="2390"/>
      <c r="V113" s="2391"/>
      <c r="W113" s="2392" t="str">
        <f>IMAGE("https://raw.githubusercontent.com/msikma/pokesprite/master/misc/types/gen8/normal.png",4,20,20)</f>
        <v/>
      </c>
      <c r="X113" s="2393"/>
      <c r="Y113" s="2389" t="s">
        <v>1011</v>
      </c>
      <c r="Z113" s="2390"/>
      <c r="AA113" s="2391"/>
      <c r="AB113" s="2392" t="str">
        <f>IMAGE("https://raw.githubusercontent.com/msikma/pokesprite/master/misc/types/gen8/electric.png",4,20,20)</f>
        <v/>
      </c>
      <c r="AC113" s="2393"/>
      <c r="AD113" s="2389" t="s">
        <v>1012</v>
      </c>
      <c r="AE113" s="2390"/>
      <c r="AF113" s="2391"/>
      <c r="AG113" s="2392" t="str">
        <f>IMAGE("https://raw.githubusercontent.com/msikma/pokesprite/master/misc/types/gen8/electric.png",4,20,20)</f>
        <v/>
      </c>
      <c r="AH113" s="2334"/>
      <c r="AI113" s="2325"/>
    </row>
    <row r="114" ht="3.0" customHeight="1">
      <c r="A114" s="2394"/>
      <c r="B114" s="2395"/>
      <c r="C114" s="2396"/>
      <c r="D114" s="2397"/>
      <c r="E114" s="2398"/>
      <c r="F114" s="2398"/>
      <c r="G114" s="2398"/>
      <c r="H114" s="2398"/>
      <c r="I114" s="2397"/>
      <c r="J114" s="2398"/>
      <c r="K114" s="2398"/>
      <c r="L114" s="2398"/>
      <c r="M114" s="2398"/>
      <c r="N114" s="2397"/>
      <c r="O114" s="2398"/>
      <c r="P114" s="2398"/>
      <c r="Q114" s="2398"/>
      <c r="R114" s="2398"/>
      <c r="S114" s="2397"/>
      <c r="T114" s="2398"/>
      <c r="U114" s="2398"/>
      <c r="V114" s="2398"/>
      <c r="W114" s="2398"/>
      <c r="X114" s="2397"/>
      <c r="Y114" s="2398"/>
      <c r="Z114" s="2398"/>
      <c r="AA114" s="2398"/>
      <c r="AB114" s="2398"/>
      <c r="AC114" s="2400"/>
      <c r="AD114" s="2398"/>
      <c r="AE114" s="2398"/>
      <c r="AF114" s="2398"/>
      <c r="AG114" s="2398"/>
      <c r="AH114" s="2401"/>
      <c r="AI114" s="2402"/>
    </row>
    <row r="115" ht="16.5" customHeight="1">
      <c r="A115" s="2326"/>
      <c r="B115" s="2403"/>
      <c r="C115" s="2396"/>
      <c r="D115" s="2404"/>
      <c r="E115" s="726" t="s">
        <v>512</v>
      </c>
      <c r="F115" s="606"/>
      <c r="G115" s="606"/>
      <c r="H115" s="607"/>
      <c r="I115" s="2405"/>
      <c r="J115" s="726" t="s">
        <v>512</v>
      </c>
      <c r="K115" s="606"/>
      <c r="L115" s="606"/>
      <c r="M115" s="607"/>
      <c r="N115" s="2405"/>
      <c r="O115" s="726" t="s">
        <v>512</v>
      </c>
      <c r="P115" s="606"/>
      <c r="Q115" s="606"/>
      <c r="R115" s="607"/>
      <c r="S115" s="2405"/>
      <c r="T115" s="726" t="s">
        <v>512</v>
      </c>
      <c r="U115" s="606"/>
      <c r="V115" s="606"/>
      <c r="W115" s="607"/>
      <c r="X115" s="2565"/>
      <c r="Y115" s="726" t="s">
        <v>512</v>
      </c>
      <c r="Z115" s="606"/>
      <c r="AA115" s="606"/>
      <c r="AB115" s="607"/>
      <c r="AC115" s="2566"/>
      <c r="AD115" s="726" t="s">
        <v>512</v>
      </c>
      <c r="AE115" s="606"/>
      <c r="AF115" s="606"/>
      <c r="AG115" s="607"/>
      <c r="AH115" s="2410"/>
      <c r="AI115" s="2411"/>
    </row>
    <row r="116" ht="16.5" customHeight="1">
      <c r="A116" s="2326"/>
      <c r="B116" s="2403"/>
      <c r="C116" s="2396"/>
      <c r="D116" s="2404"/>
      <c r="E116" s="731" t="s">
        <v>513</v>
      </c>
      <c r="F116" s="732">
        <f t="array" ref="F116">IFERROR(VLOOKUP(E103,Dex!$B$3:$N422,8,FALSE),"")</f>
        <v>50</v>
      </c>
      <c r="G116" s="733" t="str">
        <f t="array" ref="G116">IFERROR(VLOOKUP(F116,Dex!$P$22:$Q$276,2,FALSE),"")</f>
        <v/>
      </c>
      <c r="H116" s="734"/>
      <c r="I116" s="2405"/>
      <c r="J116" s="731" t="s">
        <v>513</v>
      </c>
      <c r="K116" s="732">
        <f t="array" ref="K116">IFERROR(VLOOKUP(J103,Dex!$B$3:$N422,8,FALSE),"")</f>
        <v>55</v>
      </c>
      <c r="L116" s="733" t="str">
        <f t="array" ref="L116">IFERROR(VLOOKUP(K116,Dex!$P$22:$Q$276,2,FALSE),"")</f>
        <v/>
      </c>
      <c r="M116" s="734"/>
      <c r="N116" s="2405"/>
      <c r="O116" s="731" t="s">
        <v>513</v>
      </c>
      <c r="P116" s="732">
        <f t="array" ref="P116">IFERROR(VLOOKUP(O103,Dex!$B$3:$N422,8,FALSE),"")</f>
        <v>95</v>
      </c>
      <c r="Q116" s="733" t="str">
        <f t="array" ref="Q116">IFERROR(VLOOKUP(P116,Dex!$P$22:$Q$276,2,FALSE),"")</f>
        <v/>
      </c>
      <c r="R116" s="734"/>
      <c r="S116" s="2405"/>
      <c r="T116" s="731" t="s">
        <v>513</v>
      </c>
      <c r="U116" s="732">
        <f t="array" ref="U116">IFERROR(VLOOKUP(T103,Dex!$B$3:$N422,8,FALSE),"")</f>
        <v>75</v>
      </c>
      <c r="V116" s="733" t="str">
        <f t="array" ref="V116">IFERROR(VLOOKUP(U116,Dex!$P$22:$Q$276,2,FALSE),"")</f>
        <v/>
      </c>
      <c r="W116" s="734"/>
      <c r="X116" s="2407"/>
      <c r="Y116" s="731" t="s">
        <v>513</v>
      </c>
      <c r="Z116" s="732">
        <f t="array" ref="Z116">IFERROR(VLOOKUP(Y103,Dex!$B$3:$N422,8,FALSE),"")</f>
        <v>75</v>
      </c>
      <c r="AA116" s="733" t="str">
        <f t="array" ref="AA116">IFERROR(VLOOKUP(Z116,Dex!$P$22:$Q$276,2,FALSE),"")</f>
        <v/>
      </c>
      <c r="AB116" s="734"/>
      <c r="AC116" s="2409"/>
      <c r="AD116" s="731" t="s">
        <v>513</v>
      </c>
      <c r="AE116" s="732">
        <f t="array" ref="AE116">IFERROR(VLOOKUP(AD103,Dex!$B$3:$N422,8,FALSE),"")</f>
        <v>59</v>
      </c>
      <c r="AF116" s="733" t="str">
        <f t="array" ref="AF116">IFERROR(VLOOKUP(AE116,Dex!$P$22:$Q$276,2,FALSE),"")</f>
        <v/>
      </c>
      <c r="AG116" s="734"/>
      <c r="AH116" s="2410"/>
      <c r="AI116" s="2411"/>
    </row>
    <row r="117" ht="16.5" customHeight="1">
      <c r="A117" s="2326"/>
      <c r="B117" s="2403"/>
      <c r="C117" s="2396"/>
      <c r="D117" s="2404"/>
      <c r="E117" s="738" t="s">
        <v>514</v>
      </c>
      <c r="F117" s="739">
        <f t="array" ref="F117">IFERROR(VLOOKUP(E103,Dex!$B$3:$N422,9,FALSE),"")</f>
        <v>120</v>
      </c>
      <c r="G117" s="740" t="str">
        <f t="array" ref="G117">IFERROR(VLOOKUP(F117,Dex!$P$22:$Q$276,2,FALSE),"")</f>
        <v/>
      </c>
      <c r="H117" s="741"/>
      <c r="I117" s="2405"/>
      <c r="J117" s="738" t="s">
        <v>514</v>
      </c>
      <c r="K117" s="739">
        <f t="array" ref="K117">IFERROR(VLOOKUP(J103,Dex!$B$3:$N422,9,FALSE),"")</f>
        <v>55</v>
      </c>
      <c r="L117" s="740" t="str">
        <f t="array" ref="L117">IFERROR(VLOOKUP(K117,Dex!$P$22:$Q$276,2,FALSE),"")</f>
        <v/>
      </c>
      <c r="M117" s="741"/>
      <c r="N117" s="2405"/>
      <c r="O117" s="738" t="s">
        <v>514</v>
      </c>
      <c r="P117" s="739">
        <f t="array" ref="P117">IFERROR(VLOOKUP(O103,Dex!$B$3:$N422,9,FALSE),"")</f>
        <v>70</v>
      </c>
      <c r="Q117" s="740" t="str">
        <f t="array" ref="Q117">IFERROR(VLOOKUP(P117,Dex!$P$22:$Q$276,2,FALSE),"")</f>
        <v/>
      </c>
      <c r="R117" s="741"/>
      <c r="S117" s="2405"/>
      <c r="T117" s="738" t="s">
        <v>514</v>
      </c>
      <c r="U117" s="739">
        <f t="array" ref="U117">IFERROR(VLOOKUP(T103,Dex!$B$3:$N422,9,FALSE),"")</f>
        <v>98</v>
      </c>
      <c r="V117" s="740" t="str">
        <f t="array" ref="V117">IFERROR(VLOOKUP(U117,Dex!$P$22:$Q$276,2,FALSE),"")</f>
        <v/>
      </c>
      <c r="W117" s="741"/>
      <c r="X117" s="2407"/>
      <c r="Y117" s="738" t="s">
        <v>514</v>
      </c>
      <c r="Z117" s="739">
        <f t="array" ref="Z117">IFERROR(VLOOKUP(Y103,Dex!$B$3:$N422,9,FALSE),"")</f>
        <v>95</v>
      </c>
      <c r="AA117" s="740" t="str">
        <f t="array" ref="AA117">IFERROR(VLOOKUP(Z117,Dex!$P$22:$Q$276,2,FALSE),"")</f>
        <v/>
      </c>
      <c r="AB117" s="741"/>
      <c r="AC117" s="2409"/>
      <c r="AD117" s="738" t="s">
        <v>514</v>
      </c>
      <c r="AE117" s="739">
        <f t="array" ref="AE117">IFERROR(VLOOKUP(AD103,Dex!$B$3:$N422,9,FALSE),"")</f>
        <v>63</v>
      </c>
      <c r="AF117" s="740" t="str">
        <f t="array" ref="AF117">IFERROR(VLOOKUP(AE117,Dex!$P$22:$Q$276,2,FALSE),"")</f>
        <v/>
      </c>
      <c r="AG117" s="741"/>
      <c r="AH117" s="2410"/>
      <c r="AI117" s="2411"/>
    </row>
    <row r="118" ht="16.5" customHeight="1">
      <c r="A118" s="2326"/>
      <c r="B118" s="2403"/>
      <c r="C118" s="2396"/>
      <c r="D118" s="2404"/>
      <c r="E118" s="738" t="s">
        <v>515</v>
      </c>
      <c r="F118" s="739">
        <f t="array" ref="F118">IFERROR(VLOOKUP(E103,Dex!$B$3:$N422,10,FALSE),"")</f>
        <v>53</v>
      </c>
      <c r="G118" s="740" t="str">
        <f t="array" ref="G118">IFERROR(VLOOKUP(F118,Dex!$P$22:$Q$276,2,FALSE),"")</f>
        <v/>
      </c>
      <c r="H118" s="741"/>
      <c r="I118" s="2405"/>
      <c r="J118" s="738" t="s">
        <v>515</v>
      </c>
      <c r="K118" s="739">
        <f t="array" ref="K118">IFERROR(VLOOKUP(J103,Dex!$B$3:$N422,10,FALSE),"")</f>
        <v>50</v>
      </c>
      <c r="L118" s="740" t="str">
        <f t="array" ref="L118">IFERROR(VLOOKUP(K118,Dex!$P$22:$Q$276,2,FALSE),"")</f>
        <v/>
      </c>
      <c r="M118" s="741"/>
      <c r="N118" s="2405"/>
      <c r="O118" s="738" t="s">
        <v>515</v>
      </c>
      <c r="P118" s="739">
        <f t="array" ref="P118">IFERROR(VLOOKUP(O103,Dex!$B$3:$N422,10,FALSE),"")</f>
        <v>73</v>
      </c>
      <c r="Q118" s="740" t="str">
        <f t="array" ref="Q118">IFERROR(VLOOKUP(P118,Dex!$P$22:$Q$276,2,FALSE),"")</f>
        <v/>
      </c>
      <c r="R118" s="741"/>
      <c r="S118" s="2405"/>
      <c r="T118" s="738" t="s">
        <v>515</v>
      </c>
      <c r="U118" s="739">
        <f t="array" ref="U118">IFERROR(VLOOKUP(T103,Dex!$B$3:$N422,10,FALSE),"")</f>
        <v>63</v>
      </c>
      <c r="V118" s="740" t="str">
        <f t="array" ref="V118">IFERROR(VLOOKUP(U118,Dex!$P$22:$Q$276,2,FALSE),"")</f>
        <v/>
      </c>
      <c r="W118" s="741"/>
      <c r="X118" s="2407"/>
      <c r="Y118" s="738" t="s">
        <v>515</v>
      </c>
      <c r="Z118" s="739">
        <f t="array" ref="Z118">IFERROR(VLOOKUP(Y103,Dex!$B$3:$N422,10,FALSE),"")</f>
        <v>75</v>
      </c>
      <c r="AA118" s="740" t="str">
        <f t="array" ref="AA118">IFERROR(VLOOKUP(Z118,Dex!$P$22:$Q$276,2,FALSE),"")</f>
        <v/>
      </c>
      <c r="AB118" s="741"/>
      <c r="AC118" s="2409"/>
      <c r="AD118" s="738" t="s">
        <v>515</v>
      </c>
      <c r="AE118" s="739">
        <f t="array" ref="AE118">IFERROR(VLOOKUP(AD103,Dex!$B$3:$N422,10,FALSE),"")</f>
        <v>80</v>
      </c>
      <c r="AF118" s="740" t="str">
        <f t="array" ref="AF118">IFERROR(VLOOKUP(AE118,Dex!$P$22:$Q$276,2,FALSE),"")</f>
        <v/>
      </c>
      <c r="AG118" s="741"/>
      <c r="AH118" s="2410"/>
      <c r="AI118" s="2411"/>
    </row>
    <row r="119" ht="16.5" customHeight="1">
      <c r="A119" s="2326"/>
      <c r="B119" s="2403"/>
      <c r="C119" s="2396"/>
      <c r="D119" s="2404"/>
      <c r="E119" s="738" t="s">
        <v>516</v>
      </c>
      <c r="F119" s="739">
        <f t="array" ref="F119">IFERROR(VLOOKUP(E103,Dex!$B$3:$N422,11,FALSE),"")</f>
        <v>35</v>
      </c>
      <c r="G119" s="740" t="str">
        <f t="array" ref="G119">IFERROR(VLOOKUP(F119,Dex!$P$22:$Q$276,2,FALSE),"")</f>
        <v/>
      </c>
      <c r="H119" s="741"/>
      <c r="I119" s="2405"/>
      <c r="J119" s="738" t="s">
        <v>516</v>
      </c>
      <c r="K119" s="739">
        <f t="array" ref="K119">IFERROR(VLOOKUP(J103,Dex!$B$3:$N422,11,FALSE),"")</f>
        <v>45</v>
      </c>
      <c r="L119" s="740" t="str">
        <f t="array" ref="L119">IFERROR(VLOOKUP(K119,Dex!$P$22:$Q$276,2,FALSE),"")</f>
        <v/>
      </c>
      <c r="M119" s="741"/>
      <c r="N119" s="2405"/>
      <c r="O119" s="738" t="s">
        <v>516</v>
      </c>
      <c r="P119" s="739">
        <f t="array" ref="P119">IFERROR(VLOOKUP(O103,Dex!$B$3:$N422,11,FALSE),"")</f>
        <v>95</v>
      </c>
      <c r="Q119" s="740" t="str">
        <f t="array" ref="Q119">IFERROR(VLOOKUP(P119,Dex!$P$22:$Q$276,2,FALSE),"")</f>
        <v/>
      </c>
      <c r="R119" s="741"/>
      <c r="S119" s="2405"/>
      <c r="T119" s="738" t="s">
        <v>516</v>
      </c>
      <c r="U119" s="739">
        <f t="array" ref="U119">IFERROR(VLOOKUP(T103,Dex!$B$3:$N422,11,FALSE),"")</f>
        <v>98</v>
      </c>
      <c r="V119" s="740" t="str">
        <f t="array" ref="V119">IFERROR(VLOOKUP(U119,Dex!$P$22:$Q$276,2,FALSE),"")</f>
        <v/>
      </c>
      <c r="W119" s="741"/>
      <c r="X119" s="2407"/>
      <c r="Y119" s="738" t="s">
        <v>516</v>
      </c>
      <c r="Z119" s="739">
        <f t="array" ref="Z119">IFERROR(VLOOKUP(Y103,Dex!$B$3:$N422,11,FALSE),"")</f>
        <v>65</v>
      </c>
      <c r="AA119" s="740" t="str">
        <f t="array" ref="AA119">IFERROR(VLOOKUP(Z119,Dex!$P$22:$Q$276,2,FALSE),"")</f>
        <v/>
      </c>
      <c r="AB119" s="741"/>
      <c r="AC119" s="2409"/>
      <c r="AD119" s="738" t="s">
        <v>516</v>
      </c>
      <c r="AE119" s="739">
        <f t="array" ref="AE119">IFERROR(VLOOKUP(AD103,Dex!$B$3:$N422,11,FALSE),"")</f>
        <v>65</v>
      </c>
      <c r="AF119" s="740" t="str">
        <f t="array" ref="AF119">IFERROR(VLOOKUP(AE119,Dex!$P$22:$Q$276,2,FALSE),"")</f>
        <v/>
      </c>
      <c r="AG119" s="741"/>
      <c r="AH119" s="2410"/>
      <c r="AI119" s="2411"/>
    </row>
    <row r="120" ht="16.5" customHeight="1">
      <c r="A120" s="2326"/>
      <c r="B120" s="2403"/>
      <c r="C120" s="2567"/>
      <c r="D120" s="2404"/>
      <c r="E120" s="738" t="s">
        <v>517</v>
      </c>
      <c r="F120" s="739">
        <f t="array" ref="F120">IFERROR(VLOOKUP(E103,Dex!$B$3:$N422,12,FALSE),"")</f>
        <v>110</v>
      </c>
      <c r="G120" s="740" t="str">
        <f t="array" ref="G120">IFERROR(VLOOKUP(F120,Dex!$P$22:$Q$276,2,FALSE),"")</f>
        <v/>
      </c>
      <c r="H120" s="741"/>
      <c r="I120" s="2405"/>
      <c r="J120" s="738" t="s">
        <v>517</v>
      </c>
      <c r="K120" s="739">
        <f t="array" ref="K120">IFERROR(VLOOKUP(J103,Dex!$B$3:$N422,12,FALSE),"")</f>
        <v>65</v>
      </c>
      <c r="L120" s="740" t="str">
        <f t="array" ref="L120">IFERROR(VLOOKUP(K120,Dex!$P$22:$Q$276,2,FALSE),"")</f>
        <v/>
      </c>
      <c r="M120" s="741"/>
      <c r="N120" s="2405"/>
      <c r="O120" s="738" t="s">
        <v>517</v>
      </c>
      <c r="P120" s="739">
        <f t="array" ref="P120">IFERROR(VLOOKUP(O103,Dex!$B$3:$N422,12,FALSE),"")</f>
        <v>90</v>
      </c>
      <c r="Q120" s="740" t="str">
        <f t="array" ref="Q120">IFERROR(VLOOKUP(P120,Dex!$P$22:$Q$276,2,FALSE),"")</f>
        <v/>
      </c>
      <c r="R120" s="741"/>
      <c r="S120" s="2405"/>
      <c r="T120" s="738" t="s">
        <v>517</v>
      </c>
      <c r="U120" s="739">
        <f t="array" ref="U120">IFERROR(VLOOKUP(T103,Dex!$B$3:$N422,12,FALSE),"")</f>
        <v>63</v>
      </c>
      <c r="V120" s="740" t="str">
        <f t="array" ref="V120">IFERROR(VLOOKUP(U120,Dex!$P$22:$Q$276,2,FALSE),"")</f>
        <v/>
      </c>
      <c r="W120" s="741"/>
      <c r="X120" s="2407"/>
      <c r="Y120" s="738" t="s">
        <v>517</v>
      </c>
      <c r="Z120" s="739">
        <f t="array" ref="Z120">IFERROR(VLOOKUP(Y103,Dex!$B$3:$N422,12,FALSE),"")</f>
        <v>79</v>
      </c>
      <c r="AA120" s="740" t="str">
        <f t="array" ref="AA120">IFERROR(VLOOKUP(Z120,Dex!$P$22:$Q$276,2,FALSE),"")</f>
        <v/>
      </c>
      <c r="AB120" s="741"/>
      <c r="AC120" s="2409"/>
      <c r="AD120" s="738" t="s">
        <v>517</v>
      </c>
      <c r="AE120" s="739">
        <f t="array" ref="AE120">IFERROR(VLOOKUP(AD103,Dex!$B$3:$N422,12,FALSE),"")</f>
        <v>80</v>
      </c>
      <c r="AF120" s="740" t="str">
        <f t="array" ref="AF120">IFERROR(VLOOKUP(AE120,Dex!$P$22:$Q$276,2,FALSE),"")</f>
        <v/>
      </c>
      <c r="AG120" s="741"/>
      <c r="AH120" s="2410"/>
      <c r="AI120" s="2411"/>
    </row>
    <row r="121" ht="15.75" customHeight="1">
      <c r="A121" s="2326"/>
      <c r="B121" s="2568"/>
      <c r="C121" s="1426" t="s">
        <v>745</v>
      </c>
      <c r="D121" s="2569"/>
      <c r="E121" s="742" t="s">
        <v>518</v>
      </c>
      <c r="F121" s="743">
        <f t="array" ref="F121">IFERROR(VLOOKUP(E103,Dex!$B$3:$N422,13,FALSE),"")</f>
        <v>87</v>
      </c>
      <c r="G121" s="744" t="str">
        <f t="array" ref="G121">IFERROR(VLOOKUP(F121,Dex!$P$22:$Q$276,2,FALSE),"")</f>
        <v/>
      </c>
      <c r="H121" s="745"/>
      <c r="I121" s="2405"/>
      <c r="J121" s="742" t="s">
        <v>518</v>
      </c>
      <c r="K121" s="743">
        <f t="array" ref="K121">IFERROR(VLOOKUP(J103,Dex!$B$3:$N422,13,FALSE),"")</f>
        <v>55</v>
      </c>
      <c r="L121" s="744" t="str">
        <f t="array" ref="L121">IFERROR(VLOOKUP(K121,Dex!$P$22:$Q$276,2,FALSE),"")</f>
        <v/>
      </c>
      <c r="M121" s="745"/>
      <c r="N121" s="2405"/>
      <c r="O121" s="742" t="s">
        <v>518</v>
      </c>
      <c r="P121" s="743">
        <f t="array" ref="P121">IFERROR(VLOOKUP(O103,Dex!$B$3:$N422,13,FALSE),"")</f>
        <v>60</v>
      </c>
      <c r="Q121" s="744" t="str">
        <f t="array" ref="Q121">IFERROR(VLOOKUP(P121,Dex!$P$22:$Q$276,2,FALSE),"")</f>
        <v/>
      </c>
      <c r="R121" s="745"/>
      <c r="S121" s="2405"/>
      <c r="T121" s="742" t="s">
        <v>518</v>
      </c>
      <c r="U121" s="743">
        <f t="array" ref="U121">IFERROR(VLOOKUP(T103,Dex!$B$3:$N422,13,FALSE),"")</f>
        <v>101</v>
      </c>
      <c r="V121" s="744" t="str">
        <f t="array" ref="V121">IFERROR(VLOOKUP(U121,Dex!$P$22:$Q$276,2,FALSE),"")</f>
        <v/>
      </c>
      <c r="W121" s="745"/>
      <c r="X121" s="2407"/>
      <c r="Y121" s="742" t="s">
        <v>518</v>
      </c>
      <c r="Z121" s="743">
        <f t="array" ref="Z121">IFERROR(VLOOKUP(Y103,Dex!$B$3:$N422,13,FALSE),"")</f>
        <v>80</v>
      </c>
      <c r="AA121" s="744" t="str">
        <f t="array" ref="AA121">IFERROR(VLOOKUP(Z121,Dex!$P$22:$Q$276,2,FALSE),"")</f>
        <v/>
      </c>
      <c r="AB121" s="745"/>
      <c r="AC121" s="2409"/>
      <c r="AD121" s="742" t="s">
        <v>518</v>
      </c>
      <c r="AE121" s="743">
        <f t="array" ref="AE121">IFERROR(VLOOKUP(AD103,Dex!$B$3:$N422,13,FALSE),"")</f>
        <v>58</v>
      </c>
      <c r="AF121" s="744" t="str">
        <f t="array" ref="AF121">IFERROR(VLOOKUP(AE121,Dex!$P$22:$Q$276,2,FALSE),"")</f>
        <v/>
      </c>
      <c r="AG121" s="745"/>
      <c r="AH121" s="2410"/>
      <c r="AI121" s="2411"/>
    </row>
    <row r="122" ht="16.5" customHeight="1">
      <c r="A122" s="2326"/>
      <c r="B122" s="2568"/>
      <c r="C122" s="1427" t="s">
        <v>836</v>
      </c>
      <c r="D122" s="2570"/>
      <c r="E122" s="746" t="s">
        <v>519</v>
      </c>
      <c r="F122" s="630"/>
      <c r="G122" s="631"/>
      <c r="H122" s="632">
        <f>ROUNDDOWN((ROUNDDOWN(((((2*F121+31)*27)/100+5)),0))*1.1,0)</f>
        <v>66</v>
      </c>
      <c r="I122" s="2438"/>
      <c r="J122" s="748" t="s">
        <v>519</v>
      </c>
      <c r="K122" s="635"/>
      <c r="L122" s="636"/>
      <c r="M122" s="632">
        <f>ROUNDDOWN((ROUNDDOWN(((((2*K121+31)*26)/100+5)),0))*1,0)</f>
        <v>41</v>
      </c>
      <c r="N122" s="2438"/>
      <c r="O122" s="746" t="s">
        <v>519</v>
      </c>
      <c r="P122" s="630"/>
      <c r="Q122" s="631"/>
      <c r="R122" s="632">
        <f>ROUNDDOWN((ROUNDDOWN(((((2*P121+31)*27)/100+5)),0))*1.1,0)</f>
        <v>49</v>
      </c>
      <c r="S122" s="2438"/>
      <c r="T122" s="746" t="s">
        <v>519</v>
      </c>
      <c r="U122" s="630"/>
      <c r="V122" s="631"/>
      <c r="W122" s="632">
        <f>ROUNDDOWN((ROUNDDOWN(((((2*U121+31)*27)/100+5)),0))*1.1,0)</f>
        <v>73</v>
      </c>
      <c r="X122" s="2571"/>
      <c r="Y122" s="746" t="s">
        <v>519</v>
      </c>
      <c r="Z122" s="630"/>
      <c r="AA122" s="631"/>
      <c r="AB122" s="632">
        <f>ROUNDDOWN((ROUNDDOWN(((((2*Z121+31)*28)/100+5)),0))*1.1,0)</f>
        <v>63</v>
      </c>
      <c r="AC122" s="2566"/>
      <c r="AD122" s="746" t="s">
        <v>519</v>
      </c>
      <c r="AE122" s="630"/>
      <c r="AF122" s="631"/>
      <c r="AG122" s="632">
        <f>ROUNDDOWN((ROUNDDOWN(((((2*AE121+31)*28)/100+5)),0))*1,0)</f>
        <v>46</v>
      </c>
      <c r="AH122" s="2410"/>
      <c r="AI122" s="2411"/>
    </row>
    <row r="123" ht="16.5" customHeight="1">
      <c r="A123" s="2326"/>
      <c r="B123" s="2572"/>
      <c r="C123" s="2396"/>
      <c r="D123" s="2573"/>
      <c r="E123" s="2396"/>
      <c r="F123" s="2396"/>
      <c r="G123" s="2396"/>
      <c r="H123" s="2396"/>
      <c r="I123" s="2574"/>
      <c r="J123" s="755" t="s">
        <v>1013</v>
      </c>
      <c r="K123" s="643"/>
      <c r="L123" s="644"/>
      <c r="M123" s="2555">
        <f>M122*2</f>
        <v>82</v>
      </c>
      <c r="N123" s="2574"/>
      <c r="O123" s="2396"/>
      <c r="P123" s="2396"/>
      <c r="Q123" s="2396"/>
      <c r="R123" s="2396"/>
      <c r="S123" s="2574"/>
      <c r="T123" s="2396"/>
      <c r="U123" s="2396"/>
      <c r="V123" s="2396"/>
      <c r="W123" s="2396"/>
      <c r="X123" s="2565"/>
      <c r="Y123" s="2396"/>
      <c r="Z123" s="2396"/>
      <c r="AA123" s="2396"/>
      <c r="AB123" s="2396"/>
      <c r="AC123" s="2566"/>
      <c r="AD123" s="2396"/>
      <c r="AE123" s="2396"/>
      <c r="AF123" s="2396"/>
      <c r="AG123" s="2396"/>
      <c r="AH123" s="2410"/>
      <c r="AI123" s="2411"/>
    </row>
    <row r="124" ht="11.25" customHeight="1">
      <c r="A124" s="2319"/>
      <c r="B124" s="2327"/>
      <c r="C124" s="2575"/>
      <c r="D124" s="2576"/>
      <c r="E124" s="2413"/>
      <c r="F124" s="2413"/>
      <c r="G124" s="2413"/>
      <c r="H124" s="2413"/>
      <c r="I124" s="2414"/>
      <c r="J124" s="2413"/>
      <c r="K124" s="2413"/>
      <c r="L124" s="2413"/>
      <c r="M124" s="2413"/>
      <c r="N124" s="2434"/>
      <c r="O124" s="2414"/>
      <c r="P124" s="2414"/>
      <c r="Q124" s="2414"/>
      <c r="R124" s="2434"/>
      <c r="S124" s="2434"/>
      <c r="T124" s="2414"/>
      <c r="U124" s="2414"/>
      <c r="V124" s="2414"/>
      <c r="W124" s="2434"/>
      <c r="X124" s="2346"/>
      <c r="Y124" s="2414"/>
      <c r="Z124" s="2414"/>
      <c r="AA124" s="2414"/>
      <c r="AB124" s="2346"/>
      <c r="AC124" s="2346"/>
      <c r="AD124" s="2414"/>
      <c r="AE124" s="2414"/>
      <c r="AF124" s="2414"/>
      <c r="AG124" s="2346"/>
      <c r="AH124" s="2334"/>
      <c r="AI124" s="2325"/>
    </row>
    <row r="125">
      <c r="A125" s="2326"/>
      <c r="B125" s="2327"/>
      <c r="C125" s="2328"/>
      <c r="D125" s="2329"/>
      <c r="E125" s="1731" t="s">
        <v>976</v>
      </c>
      <c r="F125" s="1732"/>
      <c r="G125" s="1732"/>
      <c r="H125" s="1732"/>
      <c r="I125" s="1732"/>
      <c r="J125" s="1732"/>
      <c r="K125" s="1732"/>
      <c r="L125" s="1732"/>
      <c r="M125" s="1732"/>
      <c r="N125" s="1732"/>
      <c r="O125" s="1732"/>
      <c r="P125" s="1732"/>
      <c r="Q125" s="1732"/>
      <c r="R125" s="1732"/>
      <c r="S125" s="1732"/>
      <c r="T125" s="1732"/>
      <c r="U125" s="1732"/>
      <c r="V125" s="1732"/>
      <c r="W125" s="1732"/>
      <c r="X125" s="1732"/>
      <c r="Y125" s="1732"/>
      <c r="Z125" s="1732"/>
      <c r="AA125" s="1732"/>
      <c r="AB125" s="1732"/>
      <c r="AC125" s="1732"/>
      <c r="AD125" s="1732"/>
      <c r="AE125" s="1732"/>
      <c r="AF125" s="1732"/>
      <c r="AG125" s="1733"/>
      <c r="AH125" s="2563"/>
      <c r="AI125" s="2325"/>
    </row>
    <row r="126" ht="3.75" customHeight="1">
      <c r="A126" s="2326"/>
      <c r="B126" s="2327"/>
      <c r="C126" s="2335"/>
      <c r="D126" s="2336"/>
      <c r="E126" s="2337"/>
      <c r="F126" s="2337"/>
      <c r="G126" s="2337"/>
      <c r="H126" s="2337"/>
      <c r="I126" s="2338"/>
      <c r="J126" s="2337"/>
      <c r="K126" s="2337"/>
      <c r="L126" s="2337"/>
      <c r="M126" s="2337"/>
      <c r="N126" s="2338"/>
      <c r="O126" s="2337"/>
      <c r="P126" s="2337"/>
      <c r="Q126" s="2337"/>
      <c r="R126" s="2337"/>
      <c r="S126" s="2338"/>
      <c r="T126" s="2337"/>
      <c r="U126" s="2337"/>
      <c r="V126" s="2337"/>
      <c r="W126" s="2337"/>
      <c r="X126" s="2338"/>
      <c r="Y126" s="2337"/>
      <c r="Z126" s="2337"/>
      <c r="AA126" s="2337"/>
      <c r="AB126" s="2337"/>
      <c r="AC126" s="2338"/>
      <c r="AD126" s="2337"/>
      <c r="AE126" s="2337"/>
      <c r="AF126" s="2337"/>
      <c r="AG126" s="2337"/>
      <c r="AH126" s="2334"/>
      <c r="AI126" s="2325"/>
    </row>
    <row r="127" ht="96.75" customHeight="1">
      <c r="A127" s="2319"/>
      <c r="B127" s="2339"/>
      <c r="C127" s="2416" t="str">
        <f>IMAGE("https://i.ibb.co/fXwks6z/Rival.png")</f>
        <v/>
      </c>
      <c r="D127" s="2341"/>
      <c r="E127" s="2417" t="str">
        <f t="array" ref="E127">IFERROR(VLOOKUP(E128,Dex!$B$3:$G422,3,FALSE),"")</f>
        <v/>
      </c>
      <c r="F127" s="1945"/>
      <c r="G127" s="1945"/>
      <c r="H127" s="1946"/>
      <c r="I127" s="2343"/>
      <c r="J127" s="2417" t="str">
        <f t="array" ref="J127">IFERROR(VLOOKUP(J128,Dex!$B$3:$G422,3,FALSE),"")</f>
        <v/>
      </c>
      <c r="K127" s="1945"/>
      <c r="L127" s="1945"/>
      <c r="M127" s="1946"/>
      <c r="N127" s="2343"/>
      <c r="O127" s="2417" t="str">
        <f t="array" ref="O127">IFERROR(VLOOKUP(O128,Dex!$B$3:$G422,3,FALSE),"")</f>
        <v/>
      </c>
      <c r="P127" s="1945"/>
      <c r="Q127" s="1945"/>
      <c r="R127" s="1946"/>
      <c r="S127" s="2343"/>
      <c r="T127" s="2417" t="str">
        <f t="array" ref="T127">IFERROR(VLOOKUP(T128,Dex!$B$3:$G422,3,FALSE),"")</f>
        <v/>
      </c>
      <c r="U127" s="1945"/>
      <c r="V127" s="1945"/>
      <c r="W127" s="1946"/>
      <c r="X127" s="2344"/>
      <c r="Y127" s="2417" t="str">
        <f t="array" ref="Y127">IFERROR(VLOOKUP(Y128,Dex!$B$3:$G422,3,FALSE),"")</f>
        <v/>
      </c>
      <c r="Z127" s="1945"/>
      <c r="AA127" s="1945"/>
      <c r="AB127" s="1946"/>
      <c r="AC127" s="2344"/>
      <c r="AD127" s="2417" t="str">
        <f t="array" ref="AD127">IFERROR(VLOOKUP(AD128,Dex!$B$3:$G422,3,FALSE),"")</f>
        <v/>
      </c>
      <c r="AE127" s="1945"/>
      <c r="AF127" s="1945"/>
      <c r="AG127" s="1946"/>
      <c r="AH127" s="2563"/>
      <c r="AI127" s="2325"/>
    </row>
    <row r="128" ht="18.75" customHeight="1">
      <c r="A128" s="2347"/>
      <c r="B128" s="2419"/>
      <c r="C128" s="2349" t="s">
        <v>1014</v>
      </c>
      <c r="D128" s="2350"/>
      <c r="E128" s="2351" t="s">
        <v>1015</v>
      </c>
      <c r="F128" s="2352"/>
      <c r="G128" s="2352"/>
      <c r="H128" s="2353"/>
      <c r="J128" s="2351" t="s">
        <v>913</v>
      </c>
      <c r="K128" s="2352"/>
      <c r="L128" s="2352"/>
      <c r="M128" s="2353"/>
      <c r="O128" s="2351" t="s">
        <v>1016</v>
      </c>
      <c r="P128" s="2352"/>
      <c r="Q128" s="2352"/>
      <c r="R128" s="2353"/>
      <c r="T128" s="2351" t="s">
        <v>1000</v>
      </c>
      <c r="U128" s="2352"/>
      <c r="V128" s="2352"/>
      <c r="W128" s="2353"/>
      <c r="Y128" s="2351" t="s">
        <v>998</v>
      </c>
      <c r="Z128" s="2352"/>
      <c r="AA128" s="2352"/>
      <c r="AB128" s="2353"/>
      <c r="AD128" s="2351" t="s">
        <v>1017</v>
      </c>
      <c r="AE128" s="2352"/>
      <c r="AF128" s="2352"/>
      <c r="AG128" s="2353"/>
      <c r="AH128" s="2564"/>
      <c r="AI128" s="2357"/>
    </row>
    <row r="129">
      <c r="A129" s="2319"/>
      <c r="B129" s="2358"/>
      <c r="C129" s="556"/>
      <c r="D129" s="2359"/>
      <c r="E129" s="2360" t="s">
        <v>967</v>
      </c>
      <c r="F129" s="2361"/>
      <c r="G129" s="2361"/>
      <c r="H129" s="2362"/>
      <c r="J129" s="2360" t="s">
        <v>967</v>
      </c>
      <c r="K129" s="2361"/>
      <c r="L129" s="2361"/>
      <c r="M129" s="2362"/>
      <c r="O129" s="2360" t="s">
        <v>967</v>
      </c>
      <c r="P129" s="2361"/>
      <c r="Q129" s="2361"/>
      <c r="R129" s="2362"/>
      <c r="T129" s="2360" t="s">
        <v>729</v>
      </c>
      <c r="U129" s="2361"/>
      <c r="V129" s="2361"/>
      <c r="W129" s="2362"/>
      <c r="Y129" s="2360" t="s">
        <v>796</v>
      </c>
      <c r="Z129" s="2361"/>
      <c r="AA129" s="2361"/>
      <c r="AB129" s="2362"/>
      <c r="AD129" s="2360" t="s">
        <v>729</v>
      </c>
      <c r="AE129" s="2361"/>
      <c r="AF129" s="2361"/>
      <c r="AG129" s="2362"/>
      <c r="AH129" s="2563"/>
      <c r="AI129" s="2325"/>
    </row>
    <row r="130" ht="25.5" customHeight="1">
      <c r="A130" s="2319"/>
      <c r="B130" s="2327"/>
      <c r="C130" s="2363"/>
      <c r="D130" s="2364"/>
      <c r="E130" s="2365"/>
      <c r="F130" s="2366" t="str">
        <f t="array" ref="F130">IFERROR(VLOOKUP(E128,Dex!$B$3:$H422,5,FALSE),"")</f>
        <v/>
      </c>
      <c r="G130" s="2367"/>
      <c r="H130" s="2368"/>
      <c r="J130" s="2365"/>
      <c r="K130" s="2366" t="str">
        <f t="array" ref="K130">IFERROR(VLOOKUP(J128,Dex!$B$3:$H422,5,FALSE),"")</f>
        <v/>
      </c>
      <c r="L130" s="2367"/>
      <c r="M130" s="2368"/>
      <c r="O130" s="2365"/>
      <c r="P130" s="2366" t="str">
        <f t="array" ref="P130">IFERROR(VLOOKUP(O128,Dex!$B$3:$H422,5,FALSE),"")</f>
        <v/>
      </c>
      <c r="Q130" s="2367"/>
      <c r="R130" s="2368"/>
      <c r="T130" s="2365"/>
      <c r="U130" s="2369" t="str">
        <f t="array" ref="U130">IFERROR(VLOOKUP(T128,Dex!$B$3:$H422,5,FALSE),"")</f>
        <v/>
      </c>
      <c r="V130" s="2370" t="str">
        <f t="array" ref="V130">IFERROR(VLOOKUP(T128,Dex!$B$3:$H422,7,FALSE),"")</f>
        <v/>
      </c>
      <c r="W130" s="2368"/>
      <c r="Y130" s="2365"/>
      <c r="Z130" s="2366" t="str">
        <f t="array" ref="Z130">IFERROR(VLOOKUP(Y128,Dex!$B$3:$H422,5,FALSE),"")</f>
        <v/>
      </c>
      <c r="AA130" s="2367"/>
      <c r="AB130" s="2368"/>
      <c r="AD130" s="2365"/>
      <c r="AE130" s="2366" t="str">
        <f t="array" ref="AE130">IFERROR(VLOOKUP(AD128,Dex!$B$3:$H422,5,FALSE),"")</f>
        <v/>
      </c>
      <c r="AF130" s="2367"/>
      <c r="AG130" s="2368"/>
      <c r="AH130" s="2334"/>
      <c r="AI130" s="2325"/>
    </row>
    <row r="131" ht="2.25" customHeight="1">
      <c r="A131" s="2319"/>
      <c r="B131" s="2327"/>
      <c r="C131" s="2355"/>
      <c r="D131" s="2364"/>
      <c r="E131" s="2371"/>
      <c r="F131" s="2372"/>
      <c r="G131" s="2372"/>
      <c r="H131" s="2373"/>
      <c r="J131" s="2371"/>
      <c r="K131" s="2372"/>
      <c r="L131" s="2372"/>
      <c r="M131" s="2373"/>
      <c r="O131" s="2371"/>
      <c r="P131" s="2372"/>
      <c r="Q131" s="2372"/>
      <c r="R131" s="2373"/>
      <c r="T131" s="2371"/>
      <c r="U131" s="2372"/>
      <c r="V131" s="2372"/>
      <c r="W131" s="2373"/>
      <c r="Y131" s="2371"/>
      <c r="Z131" s="2372"/>
      <c r="AA131" s="2372"/>
      <c r="AB131" s="2373"/>
      <c r="AD131" s="2371"/>
      <c r="AE131" s="2372"/>
      <c r="AF131" s="2372"/>
      <c r="AG131" s="2373"/>
      <c r="AH131" s="2334"/>
      <c r="AI131" s="2325"/>
    </row>
    <row r="132" ht="20.25" customHeight="1">
      <c r="A132" s="2319"/>
      <c r="B132" s="2327"/>
      <c r="C132" s="2375"/>
      <c r="D132" s="2329"/>
      <c r="E132" s="2376" t="s">
        <v>532</v>
      </c>
      <c r="F132" s="2377"/>
      <c r="G132" s="2377"/>
      <c r="H132" s="2378"/>
      <c r="J132" s="2376" t="s">
        <v>564</v>
      </c>
      <c r="K132" s="2377"/>
      <c r="L132" s="2377"/>
      <c r="M132" s="2378"/>
      <c r="O132" s="2376" t="s">
        <v>564</v>
      </c>
      <c r="P132" s="2377"/>
      <c r="Q132" s="2377"/>
      <c r="R132" s="2378"/>
      <c r="T132" s="2376" t="s">
        <v>532</v>
      </c>
      <c r="U132" s="2377"/>
      <c r="V132" s="2377"/>
      <c r="W132" s="2378"/>
      <c r="Y132" s="2376" t="s">
        <v>917</v>
      </c>
      <c r="Z132" s="2377"/>
      <c r="AA132" s="2377"/>
      <c r="AB132" s="2378"/>
      <c r="AD132" s="2376" t="s">
        <v>532</v>
      </c>
      <c r="AE132" s="2377"/>
      <c r="AF132" s="2377"/>
      <c r="AG132" s="2378"/>
      <c r="AH132" s="2563"/>
      <c r="AI132" s="2325"/>
    </row>
    <row r="133" ht="20.25" customHeight="1">
      <c r="A133" s="2319"/>
      <c r="B133" s="2327"/>
      <c r="C133" s="2379"/>
      <c r="D133" s="2329"/>
      <c r="E133" s="2380" t="s">
        <v>826</v>
      </c>
      <c r="F133" s="2332"/>
      <c r="G133" s="2332"/>
      <c r="H133" s="2381"/>
      <c r="J133" s="2380" t="s">
        <v>76</v>
      </c>
      <c r="K133" s="2332"/>
      <c r="L133" s="2332"/>
      <c r="M133" s="2381"/>
      <c r="O133" s="2380" t="s">
        <v>1002</v>
      </c>
      <c r="P133" s="2332"/>
      <c r="Q133" s="2332"/>
      <c r="R133" s="2381"/>
      <c r="T133" s="2380" t="s">
        <v>60</v>
      </c>
      <c r="U133" s="2332"/>
      <c r="V133" s="2332"/>
      <c r="W133" s="2381"/>
      <c r="Y133" s="2380" t="s">
        <v>84</v>
      </c>
      <c r="Z133" s="2332"/>
      <c r="AA133" s="2332"/>
      <c r="AB133" s="2381"/>
      <c r="AD133" s="2380" t="s">
        <v>1018</v>
      </c>
      <c r="AE133" s="2332"/>
      <c r="AF133" s="2332"/>
      <c r="AG133" s="2381"/>
      <c r="AH133" s="2563"/>
      <c r="AI133" s="2325"/>
    </row>
    <row r="134" ht="20.25" customHeight="1">
      <c r="A134" s="2319"/>
      <c r="B134" s="2327"/>
      <c r="C134" s="2355"/>
      <c r="D134" s="2329"/>
      <c r="E134" s="2382" t="s">
        <v>1003</v>
      </c>
      <c r="F134" s="2383"/>
      <c r="G134" s="2384"/>
      <c r="H134" s="2385"/>
      <c r="J134" s="2382" t="s">
        <v>541</v>
      </c>
      <c r="K134" s="2383"/>
      <c r="L134" s="2384"/>
      <c r="M134" s="2385"/>
      <c r="O134" s="2382" t="s">
        <v>1019</v>
      </c>
      <c r="P134" s="2383"/>
      <c r="Q134" s="2384"/>
      <c r="R134" s="2385"/>
      <c r="T134" s="2382" t="s">
        <v>1006</v>
      </c>
      <c r="U134" s="2383"/>
      <c r="V134" s="2384"/>
      <c r="W134" s="2385"/>
      <c r="Y134" s="2382" t="s">
        <v>1004</v>
      </c>
      <c r="Z134" s="2383"/>
      <c r="AA134" s="2384"/>
      <c r="AB134" s="2385"/>
      <c r="AD134" s="2382" t="s">
        <v>489</v>
      </c>
      <c r="AE134" s="2383"/>
      <c r="AF134" s="2384"/>
      <c r="AG134" s="2385"/>
      <c r="AH134" s="2334"/>
      <c r="AI134" s="2325"/>
    </row>
    <row r="135" ht="20.25" customHeight="1">
      <c r="A135" s="2319"/>
      <c r="B135" s="2327"/>
      <c r="C135" s="2375"/>
      <c r="D135" s="2329"/>
      <c r="E135" s="2376" t="s">
        <v>777</v>
      </c>
      <c r="F135" s="2377"/>
      <c r="G135" s="2386"/>
      <c r="H135" s="2387" t="str">
        <f>IMAGE("https://raw.githubusercontent.com/msikma/pokesprite/master/misc/types/gen8/normal.png",4,20,20)</f>
        <v/>
      </c>
      <c r="J135" s="2376" t="s">
        <v>129</v>
      </c>
      <c r="K135" s="2377"/>
      <c r="L135" s="2386"/>
      <c r="M135" s="2387" t="str">
        <f>IMAGE("https://raw.githubusercontent.com/msikma/pokesprite/master/misc/types/gen8/electric.png",4,20,20)</f>
        <v/>
      </c>
      <c r="O135" s="2376" t="s">
        <v>510</v>
      </c>
      <c r="P135" s="2377"/>
      <c r="Q135" s="2386"/>
      <c r="R135" s="2387" t="str">
        <f>IMAGE("https://raw.githubusercontent.com/msikma/pokesprite/master/misc/types/gen8/grass.png",4,20,20)</f>
        <v/>
      </c>
      <c r="T135" s="2376" t="s">
        <v>545</v>
      </c>
      <c r="U135" s="2377"/>
      <c r="V135" s="2386"/>
      <c r="W135" s="2387" t="str">
        <f>IMAGE("https://raw.githubusercontent.com/msikma/pokesprite/master/misc/types/gen8/poison.png",4,20,20)</f>
        <v/>
      </c>
      <c r="Y135" s="2376" t="s">
        <v>1007</v>
      </c>
      <c r="Z135" s="2377"/>
      <c r="AA135" s="2386"/>
      <c r="AB135" s="2387" t="str">
        <f t="shared" ref="AB135:AB136" si="6">IMAGE("https://raw.githubusercontent.com/msikma/pokesprite/master/misc/types/gen8/normal.png",4,20,20)</f>
        <v/>
      </c>
      <c r="AD135" s="2376" t="s">
        <v>219</v>
      </c>
      <c r="AE135" s="2377"/>
      <c r="AF135" s="2386"/>
      <c r="AG135" s="2387" t="str">
        <f>IMAGE("https://raw.githubusercontent.com/msikma/pokesprite/master/misc/types/gen8/dragon.png",4,20,20)</f>
        <v/>
      </c>
      <c r="AH135" s="2334"/>
      <c r="AI135" s="2325"/>
    </row>
    <row r="136" ht="20.25" customHeight="1">
      <c r="A136" s="2319"/>
      <c r="B136" s="2327"/>
      <c r="C136" s="2328"/>
      <c r="D136" s="2329"/>
      <c r="E136" s="2380" t="s">
        <v>831</v>
      </c>
      <c r="F136" s="2332"/>
      <c r="G136" s="420"/>
      <c r="H136" s="2388" t="str">
        <f>IMAGE("https://raw.githubusercontent.com/msikma/pokesprite/master/misc/types/gen8/steel.png",4,20,20)</f>
        <v/>
      </c>
      <c r="J136" s="2380" t="s">
        <v>786</v>
      </c>
      <c r="K136" s="2332"/>
      <c r="L136" s="420"/>
      <c r="M136" s="2388" t="str">
        <f>IMAGE("https://raw.githubusercontent.com/msikma/pokesprite/master/misc/types/gen8/fairy.png",4,20,20)</f>
        <v/>
      </c>
      <c r="O136" s="2380" t="s">
        <v>671</v>
      </c>
      <c r="P136" s="2332"/>
      <c r="Q136" s="420"/>
      <c r="R136" s="2388" t="str">
        <f>IMAGE("https://raw.githubusercontent.com/msikma/pokesprite/master/misc/types/gen8/fire.png",4,20,20)</f>
        <v/>
      </c>
      <c r="T136" s="2380" t="s">
        <v>554</v>
      </c>
      <c r="U136" s="2332"/>
      <c r="V136" s="420"/>
      <c r="W136" s="2388" t="str">
        <f t="shared" ref="W136:W137" si="7">IMAGE("https://raw.githubusercontent.com/msikma/pokesprite/master/misc/types/gen8/dark.png",4,20,20)</f>
        <v/>
      </c>
      <c r="Y136" s="2380" t="s">
        <v>973</v>
      </c>
      <c r="Z136" s="2332"/>
      <c r="AA136" s="420"/>
      <c r="AB136" s="2388" t="str">
        <f t="shared" si="6"/>
        <v/>
      </c>
      <c r="AD136" s="2380" t="s">
        <v>1020</v>
      </c>
      <c r="AE136" s="2332"/>
      <c r="AF136" s="420"/>
      <c r="AG136" s="2388" t="str">
        <f>IMAGE("https://raw.githubusercontent.com/msikma/pokesprite/master/misc/types/gen8/fire.png",4,20,20)</f>
        <v/>
      </c>
      <c r="AH136" s="2334"/>
      <c r="AI136" s="2325"/>
    </row>
    <row r="137" ht="20.25" customHeight="1">
      <c r="A137" s="2319"/>
      <c r="B137" s="2327"/>
      <c r="C137" s="2328"/>
      <c r="D137" s="2329"/>
      <c r="E137" s="2380" t="s">
        <v>803</v>
      </c>
      <c r="F137" s="2332"/>
      <c r="G137" s="420"/>
      <c r="H137" s="2388" t="str">
        <f>IMAGE("https://raw.githubusercontent.com/msikma/pokesprite/master/misc/types/gen8/fighting.png",4,20,20)</f>
        <v/>
      </c>
      <c r="J137" s="2380" t="s">
        <v>509</v>
      </c>
      <c r="K137" s="2332"/>
      <c r="L137" s="420"/>
      <c r="M137" s="2388" t="str">
        <f>IMAGE("https://raw.githubusercontent.com/msikma/pokesprite/master/misc/types/gen8/ice.png",4,20,20)</f>
        <v/>
      </c>
      <c r="O137" s="2380" t="s">
        <v>1021</v>
      </c>
      <c r="P137" s="2332"/>
      <c r="Q137" s="420"/>
      <c r="R137" s="2388" t="str">
        <f>IMAGE("https://raw.githubusercontent.com/msikma/pokesprite/master/misc/types/gen8/rock.png",4,20,20)</f>
        <v/>
      </c>
      <c r="T137" s="2380" t="s">
        <v>762</v>
      </c>
      <c r="U137" s="2332"/>
      <c r="V137" s="420"/>
      <c r="W137" s="2388" t="str">
        <f t="shared" si="7"/>
        <v/>
      </c>
      <c r="Y137" s="2380" t="s">
        <v>1008</v>
      </c>
      <c r="Z137" s="2332"/>
      <c r="AA137" s="420"/>
      <c r="AB137" s="2388" t="str">
        <f>IMAGE("https://raw.githubusercontent.com/msikma/pokesprite/master/misc/types/gen8/fighting.png",4,20,20)</f>
        <v/>
      </c>
      <c r="AD137" s="2380" t="s">
        <v>504</v>
      </c>
      <c r="AE137" s="2332"/>
      <c r="AF137" s="420"/>
      <c r="AG137" s="2388" t="str">
        <f>IMAGE("https://raw.githubusercontent.com/msikma/pokesprite/master/misc/types/gen8/electric.png",4,20,20)</f>
        <v/>
      </c>
      <c r="AH137" s="2334"/>
      <c r="AI137" s="2325"/>
    </row>
    <row r="138" ht="21.0" customHeight="1">
      <c r="A138" s="2319"/>
      <c r="B138" s="2327"/>
      <c r="C138" s="2328"/>
      <c r="D138" s="2329"/>
      <c r="E138" s="2389" t="s">
        <v>1022</v>
      </c>
      <c r="F138" s="2390"/>
      <c r="G138" s="2391"/>
      <c r="H138" s="2392" t="str">
        <f>IMAGE("https://raw.githubusercontent.com/msikma/pokesprite/master/misc/types/gen8/dark.png",4,20,20)</f>
        <v/>
      </c>
      <c r="I138" s="2393"/>
      <c r="J138" s="2389" t="s">
        <v>862</v>
      </c>
      <c r="K138" s="2390"/>
      <c r="L138" s="2391"/>
      <c r="M138" s="2392" t="str">
        <f>IMAGE("https://raw.githubusercontent.com/msikma/pokesprite/master/misc/types/gen8/fire.png",4,20,20)</f>
        <v/>
      </c>
      <c r="N138" s="2393"/>
      <c r="O138" s="2389" t="s">
        <v>698</v>
      </c>
      <c r="P138" s="2390"/>
      <c r="Q138" s="2391"/>
      <c r="R138" s="2392" t="str">
        <f>IMAGE("https://raw.githubusercontent.com/msikma/pokesprite/master/misc/types/gen8/normal.png",4,20,20)</f>
        <v/>
      </c>
      <c r="S138" s="2393"/>
      <c r="T138" s="2389" t="s">
        <v>1011</v>
      </c>
      <c r="U138" s="2390"/>
      <c r="V138" s="2391"/>
      <c r="W138" s="2392" t="str">
        <f>IMAGE("https://raw.githubusercontent.com/msikma/pokesprite/master/misc/types/gen8/electric.png",4,20,20)</f>
        <v/>
      </c>
      <c r="X138" s="2393"/>
      <c r="Y138" s="2389" t="s">
        <v>1010</v>
      </c>
      <c r="Z138" s="2390"/>
      <c r="AA138" s="2391"/>
      <c r="AB138" s="2392" t="str">
        <f>IMAGE("https://raw.githubusercontent.com/msikma/pokesprite/master/misc/types/gen8/dark.png",4,20,20)</f>
        <v/>
      </c>
      <c r="AC138" s="2393"/>
      <c r="AD138" s="2389" t="s">
        <v>1023</v>
      </c>
      <c r="AE138" s="2390"/>
      <c r="AF138" s="2391"/>
      <c r="AG138" s="2392" t="str">
        <f>IMAGE("https://raw.githubusercontent.com/msikma/pokesprite/master/misc/types/gen8/fighting.png",4,20,20)</f>
        <v/>
      </c>
      <c r="AH138" s="2334"/>
      <c r="AI138" s="2325"/>
    </row>
    <row r="139" ht="3.0" customHeight="1">
      <c r="A139" s="2394"/>
      <c r="B139" s="2395"/>
      <c r="C139" s="2396"/>
      <c r="D139" s="2397"/>
      <c r="E139" s="2398"/>
      <c r="F139" s="2398"/>
      <c r="G139" s="2398"/>
      <c r="H139" s="2398"/>
      <c r="I139" s="2397"/>
      <c r="J139" s="2398"/>
      <c r="K139" s="2398"/>
      <c r="L139" s="2398"/>
      <c r="M139" s="2398"/>
      <c r="N139" s="2397"/>
      <c r="O139" s="2398"/>
      <c r="P139" s="2398"/>
      <c r="Q139" s="2398"/>
      <c r="R139" s="2398"/>
      <c r="S139" s="2397"/>
      <c r="T139" s="2398"/>
      <c r="U139" s="2398"/>
      <c r="V139" s="2398"/>
      <c r="W139" s="2398"/>
      <c r="X139" s="2397"/>
      <c r="Y139" s="2398"/>
      <c r="Z139" s="2398"/>
      <c r="AA139" s="2398"/>
      <c r="AB139" s="2398"/>
      <c r="AC139" s="2400"/>
      <c r="AD139" s="2398"/>
      <c r="AE139" s="2398"/>
      <c r="AF139" s="2398"/>
      <c r="AG139" s="2398"/>
      <c r="AH139" s="2401"/>
      <c r="AI139" s="2402"/>
    </row>
    <row r="140" ht="16.5" customHeight="1">
      <c r="A140" s="2326"/>
      <c r="B140" s="2403"/>
      <c r="C140" s="2396"/>
      <c r="D140" s="2404"/>
      <c r="E140" s="2422" t="s">
        <v>512</v>
      </c>
      <c r="F140" s="606"/>
      <c r="G140" s="606"/>
      <c r="H140" s="607"/>
      <c r="I140" s="2405"/>
      <c r="J140" s="2422" t="s">
        <v>512</v>
      </c>
      <c r="K140" s="606"/>
      <c r="L140" s="606"/>
      <c r="M140" s="607"/>
      <c r="N140" s="2405"/>
      <c r="O140" s="2422" t="s">
        <v>512</v>
      </c>
      <c r="P140" s="606"/>
      <c r="Q140" s="606"/>
      <c r="R140" s="607"/>
      <c r="S140" s="2405"/>
      <c r="T140" s="2422" t="s">
        <v>512</v>
      </c>
      <c r="U140" s="606"/>
      <c r="V140" s="606"/>
      <c r="W140" s="607"/>
      <c r="X140" s="2565"/>
      <c r="Y140" s="2422" t="s">
        <v>512</v>
      </c>
      <c r="Z140" s="606"/>
      <c r="AA140" s="606"/>
      <c r="AB140" s="607"/>
      <c r="AC140" s="2566"/>
      <c r="AD140" s="2422" t="s">
        <v>512</v>
      </c>
      <c r="AE140" s="606"/>
      <c r="AF140" s="606"/>
      <c r="AG140" s="607"/>
      <c r="AH140" s="2410"/>
      <c r="AI140" s="2411"/>
    </row>
    <row r="141" ht="16.5" customHeight="1">
      <c r="A141" s="2326"/>
      <c r="B141" s="2403"/>
      <c r="C141" s="2396"/>
      <c r="D141" s="2404"/>
      <c r="E141" s="2424" t="s">
        <v>513</v>
      </c>
      <c r="F141" s="2425">
        <f t="array" ref="F141">IFERROR(VLOOKUP(E128,Dex!$B$3:$N422,8,FALSE),"")</f>
        <v>50</v>
      </c>
      <c r="G141" s="2426" t="str">
        <f t="array" ref="G141">IFERROR(VLOOKUP(F141,Dex!$P$22:$Q$276,2,FALSE),"")</f>
        <v/>
      </c>
      <c r="H141" s="1255"/>
      <c r="I141" s="2405"/>
      <c r="J141" s="2424" t="s">
        <v>513</v>
      </c>
      <c r="K141" s="2425">
        <f t="array" ref="K141">IFERROR(VLOOKUP(J128,Dex!$B$3:$N422,8,FALSE),"")</f>
        <v>95</v>
      </c>
      <c r="L141" s="2426" t="str">
        <f t="array" ref="L141">IFERROR(VLOOKUP(K141,Dex!$P$22:$Q$276,2,FALSE),"")</f>
        <v/>
      </c>
      <c r="M141" s="1255"/>
      <c r="N141" s="2405"/>
      <c r="O141" s="2424" t="s">
        <v>513</v>
      </c>
      <c r="P141" s="2425">
        <f t="array" ref="P141">IFERROR(VLOOKUP(O128,Dex!$B$3:$N422,8,FALSE),"")</f>
        <v>75</v>
      </c>
      <c r="Q141" s="2426" t="str">
        <f t="array" ref="Q141">IFERROR(VLOOKUP(P141,Dex!$P$22:$Q$276,2,FALSE),"")</f>
        <v/>
      </c>
      <c r="R141" s="1255"/>
      <c r="S141" s="2405"/>
      <c r="T141" s="2424" t="s">
        <v>513</v>
      </c>
      <c r="U141" s="2425">
        <f t="array" ref="U141">IFERROR(VLOOKUP(T128,Dex!$B$3:$N422,8,FALSE),"")</f>
        <v>75</v>
      </c>
      <c r="V141" s="2426" t="str">
        <f t="array" ref="V141">IFERROR(VLOOKUP(U141,Dex!$P$22:$Q$276,2,FALSE),"")</f>
        <v/>
      </c>
      <c r="W141" s="1255"/>
      <c r="X141" s="2407"/>
      <c r="Y141" s="2424" t="s">
        <v>513</v>
      </c>
      <c r="Z141" s="2425">
        <f t="array" ref="Z141">IFERROR(VLOOKUP(Y128,Dex!$B$3:$N422,8,FALSE),"")</f>
        <v>55</v>
      </c>
      <c r="AA141" s="2426" t="str">
        <f t="array" ref="AA141">IFERROR(VLOOKUP(Z141,Dex!$P$22:$Q$276,2,FALSE),"")</f>
        <v/>
      </c>
      <c r="AB141" s="1255"/>
      <c r="AC141" s="2409"/>
      <c r="AD141" s="2424" t="s">
        <v>513</v>
      </c>
      <c r="AE141" s="2425">
        <f t="array" ref="AE141">IFERROR(VLOOKUP(AD128,Dex!$B$3:$N422,8,FALSE),"")</f>
        <v>58</v>
      </c>
      <c r="AF141" s="2426" t="str">
        <f t="array" ref="AF141">IFERROR(VLOOKUP(AE141,Dex!$P$22:$Q$276,2,FALSE),"")</f>
        <v/>
      </c>
      <c r="AG141" s="1255"/>
      <c r="AH141" s="2410"/>
      <c r="AI141" s="2411"/>
    </row>
    <row r="142" ht="16.5" customHeight="1">
      <c r="A142" s="2326"/>
      <c r="B142" s="2403"/>
      <c r="C142" s="2396"/>
      <c r="D142" s="2404"/>
      <c r="E142" s="2427" t="s">
        <v>514</v>
      </c>
      <c r="F142" s="2428">
        <f t="array" ref="F142">IFERROR(VLOOKUP(E128,Dex!$B$3:$N422,9,FALSE),"")</f>
        <v>95</v>
      </c>
      <c r="G142" s="2429" t="str">
        <f t="array" ref="G142">IFERROR(VLOOKUP(F142,Dex!$P$22:$Q$276,2,FALSE),"")</f>
        <v/>
      </c>
      <c r="H142" s="1261"/>
      <c r="I142" s="2405"/>
      <c r="J142" s="2427" t="s">
        <v>514</v>
      </c>
      <c r="K142" s="2428">
        <f t="array" ref="K142">IFERROR(VLOOKUP(J128,Dex!$B$3:$N422,9,FALSE),"")</f>
        <v>70</v>
      </c>
      <c r="L142" s="2429" t="str">
        <f t="array" ref="L142">IFERROR(VLOOKUP(K142,Dex!$P$22:$Q$276,2,FALSE),"")</f>
        <v/>
      </c>
      <c r="M142" s="1261"/>
      <c r="N142" s="2405"/>
      <c r="O142" s="2427" t="s">
        <v>514</v>
      </c>
      <c r="P142" s="2428">
        <f t="array" ref="P142">IFERROR(VLOOKUP(O128,Dex!$B$3:$N422,9,FALSE),"")</f>
        <v>98</v>
      </c>
      <c r="Q142" s="2429" t="str">
        <f t="array" ref="Q142">IFERROR(VLOOKUP(P142,Dex!$P$22:$Q$276,2,FALSE),"")</f>
        <v/>
      </c>
      <c r="R142" s="1261"/>
      <c r="S142" s="2405"/>
      <c r="T142" s="2427" t="s">
        <v>514</v>
      </c>
      <c r="U142" s="2428">
        <f t="array" ref="U142">IFERROR(VLOOKUP(T128,Dex!$B$3:$N422,9,FALSE),"")</f>
        <v>95</v>
      </c>
      <c r="V142" s="2429" t="str">
        <f t="array" ref="V142">IFERROR(VLOOKUP(U142,Dex!$P$22:$Q$276,2,FALSE),"")</f>
        <v/>
      </c>
      <c r="W142" s="1261"/>
      <c r="X142" s="2407"/>
      <c r="Y142" s="2427" t="s">
        <v>514</v>
      </c>
      <c r="Z142" s="2428">
        <f t="array" ref="Z142">IFERROR(VLOOKUP(Y128,Dex!$B$3:$N422,9,FALSE),"")</f>
        <v>55</v>
      </c>
      <c r="AA142" s="2429" t="str">
        <f t="array" ref="AA142">IFERROR(VLOOKUP(Z142,Dex!$P$22:$Q$276,2,FALSE),"")</f>
        <v/>
      </c>
      <c r="AB142" s="1261"/>
      <c r="AC142" s="2409"/>
      <c r="AD142" s="2427" t="s">
        <v>514</v>
      </c>
      <c r="AE142" s="2428">
        <f t="array" ref="AE142">IFERROR(VLOOKUP(AD128,Dex!$B$3:$N422,9,FALSE),"")</f>
        <v>64</v>
      </c>
      <c r="AF142" s="2429" t="str">
        <f t="array" ref="AF142">IFERROR(VLOOKUP(AE142,Dex!$P$22:$Q$276,2,FALSE),"")</f>
        <v/>
      </c>
      <c r="AG142" s="1261"/>
      <c r="AH142" s="2410"/>
      <c r="AI142" s="2411"/>
    </row>
    <row r="143" ht="16.5" customHeight="1">
      <c r="A143" s="2326"/>
      <c r="B143" s="2403"/>
      <c r="C143" s="2396"/>
      <c r="D143" s="2404"/>
      <c r="E143" s="2427" t="s">
        <v>515</v>
      </c>
      <c r="F143" s="2428">
        <f t="array" ref="F143">IFERROR(VLOOKUP(E128,Dex!$B$3:$N422,10,FALSE),"")</f>
        <v>95</v>
      </c>
      <c r="G143" s="2429" t="str">
        <f t="array" ref="G143">IFERROR(VLOOKUP(F143,Dex!$P$22:$Q$276,2,FALSE),"")</f>
        <v/>
      </c>
      <c r="H143" s="1261"/>
      <c r="I143" s="2405"/>
      <c r="J143" s="2427" t="s">
        <v>515</v>
      </c>
      <c r="K143" s="2428">
        <f t="array" ref="K143">IFERROR(VLOOKUP(J128,Dex!$B$3:$N422,10,FALSE),"")</f>
        <v>73</v>
      </c>
      <c r="L143" s="2429" t="str">
        <f t="array" ref="L143">IFERROR(VLOOKUP(K143,Dex!$P$22:$Q$276,2,FALSE),"")</f>
        <v/>
      </c>
      <c r="M143" s="1261"/>
      <c r="N143" s="2405"/>
      <c r="O143" s="2427" t="s">
        <v>515</v>
      </c>
      <c r="P143" s="2428">
        <f t="array" ref="P143">IFERROR(VLOOKUP(O128,Dex!$B$3:$N422,10,FALSE),"")</f>
        <v>63</v>
      </c>
      <c r="Q143" s="2429" t="str">
        <f t="array" ref="Q143">IFERROR(VLOOKUP(P143,Dex!$P$22:$Q$276,2,FALSE),"")</f>
        <v/>
      </c>
      <c r="R143" s="1261"/>
      <c r="S143" s="2405"/>
      <c r="T143" s="2427" t="s">
        <v>515</v>
      </c>
      <c r="U143" s="2428">
        <f t="array" ref="U143">IFERROR(VLOOKUP(T128,Dex!$B$3:$N422,10,FALSE),"")</f>
        <v>75</v>
      </c>
      <c r="V143" s="2429" t="str">
        <f t="array" ref="V143">IFERROR(VLOOKUP(U143,Dex!$P$22:$Q$276,2,FALSE),"")</f>
        <v/>
      </c>
      <c r="W143" s="1261"/>
      <c r="X143" s="2407"/>
      <c r="Y143" s="2427" t="s">
        <v>515</v>
      </c>
      <c r="Z143" s="2428">
        <f t="array" ref="Z143">IFERROR(VLOOKUP(Y128,Dex!$B$3:$N422,10,FALSE),"")</f>
        <v>50</v>
      </c>
      <c r="AA143" s="2429" t="str">
        <f t="array" ref="AA143">IFERROR(VLOOKUP(Z143,Dex!$P$22:$Q$276,2,FALSE),"")</f>
        <v/>
      </c>
      <c r="AB143" s="1261"/>
      <c r="AC143" s="2409"/>
      <c r="AD143" s="2427" t="s">
        <v>515</v>
      </c>
      <c r="AE143" s="2428">
        <f t="array" ref="AE143">IFERROR(VLOOKUP(AD128,Dex!$B$3:$N422,10,FALSE),"")</f>
        <v>58</v>
      </c>
      <c r="AF143" s="2429" t="str">
        <f t="array" ref="AF143">IFERROR(VLOOKUP(AE143,Dex!$P$22:$Q$276,2,FALSE),"")</f>
        <v/>
      </c>
      <c r="AG143" s="1261"/>
      <c r="AH143" s="2410"/>
      <c r="AI143" s="2411"/>
    </row>
    <row r="144" ht="16.5" customHeight="1">
      <c r="A144" s="2326"/>
      <c r="B144" s="2403"/>
      <c r="C144" s="2396"/>
      <c r="D144" s="2404"/>
      <c r="E144" s="2427" t="s">
        <v>516</v>
      </c>
      <c r="F144" s="2428">
        <f t="array" ref="F144">IFERROR(VLOOKUP(E128,Dex!$B$3:$N422,11,FALSE),"")</f>
        <v>35</v>
      </c>
      <c r="G144" s="2429" t="str">
        <f t="array" ref="G144">IFERROR(VLOOKUP(F144,Dex!$P$22:$Q$276,2,FALSE),"")</f>
        <v/>
      </c>
      <c r="H144" s="1261"/>
      <c r="I144" s="2405"/>
      <c r="J144" s="2427" t="s">
        <v>516</v>
      </c>
      <c r="K144" s="2428">
        <f t="array" ref="K144">IFERROR(VLOOKUP(J128,Dex!$B$3:$N422,11,FALSE),"")</f>
        <v>95</v>
      </c>
      <c r="L144" s="2429" t="str">
        <f t="array" ref="L144">IFERROR(VLOOKUP(K144,Dex!$P$22:$Q$276,2,FALSE),"")</f>
        <v/>
      </c>
      <c r="M144" s="1261"/>
      <c r="N144" s="2405"/>
      <c r="O144" s="2427" t="s">
        <v>516</v>
      </c>
      <c r="P144" s="2428">
        <f t="array" ref="P144">IFERROR(VLOOKUP(O128,Dex!$B$3:$N422,11,FALSE),"")</f>
        <v>98</v>
      </c>
      <c r="Q144" s="2429" t="str">
        <f t="array" ref="Q144">IFERROR(VLOOKUP(P144,Dex!$P$22:$Q$276,2,FALSE),"")</f>
        <v/>
      </c>
      <c r="R144" s="1261"/>
      <c r="S144" s="2405"/>
      <c r="T144" s="2427" t="s">
        <v>516</v>
      </c>
      <c r="U144" s="2428">
        <f t="array" ref="U144">IFERROR(VLOOKUP(T128,Dex!$B$3:$N422,11,FALSE),"")</f>
        <v>65</v>
      </c>
      <c r="V144" s="2429" t="str">
        <f t="array" ref="V144">IFERROR(VLOOKUP(U144,Dex!$P$22:$Q$276,2,FALSE),"")</f>
        <v/>
      </c>
      <c r="W144" s="1261"/>
      <c r="X144" s="2407"/>
      <c r="Y144" s="2427" t="s">
        <v>516</v>
      </c>
      <c r="Z144" s="2428">
        <f t="array" ref="Z144">IFERROR(VLOOKUP(Y128,Dex!$B$3:$N422,11,FALSE),"")</f>
        <v>45</v>
      </c>
      <c r="AA144" s="2429" t="str">
        <f t="array" ref="AA144">IFERROR(VLOOKUP(Z144,Dex!$P$22:$Q$276,2,FALSE),"")</f>
        <v/>
      </c>
      <c r="AB144" s="1261"/>
      <c r="AC144" s="2409"/>
      <c r="AD144" s="2427" t="s">
        <v>516</v>
      </c>
      <c r="AE144" s="2428">
        <f t="array" ref="AE144">IFERROR(VLOOKUP(AD128,Dex!$B$3:$N422,11,FALSE),"")</f>
        <v>80</v>
      </c>
      <c r="AF144" s="2429" t="str">
        <f t="array" ref="AF144">IFERROR(VLOOKUP(AE144,Dex!$P$22:$Q$276,2,FALSE),"")</f>
        <v/>
      </c>
      <c r="AG144" s="1261"/>
      <c r="AH144" s="2410"/>
      <c r="AI144" s="2411"/>
    </row>
    <row r="145" ht="16.5" customHeight="1">
      <c r="A145" s="2326"/>
      <c r="B145" s="2403"/>
      <c r="C145" s="2567"/>
      <c r="D145" s="2404"/>
      <c r="E145" s="2427" t="s">
        <v>517</v>
      </c>
      <c r="F145" s="2428">
        <f t="array" ref="F145">IFERROR(VLOOKUP(E128,Dex!$B$3:$N422,12,FALSE),"")</f>
        <v>110</v>
      </c>
      <c r="G145" s="2429" t="str">
        <f t="array" ref="G145">IFERROR(VLOOKUP(F145,Dex!$P$22:$Q$276,2,FALSE),"")</f>
        <v/>
      </c>
      <c r="H145" s="1261"/>
      <c r="I145" s="2405"/>
      <c r="J145" s="2427" t="s">
        <v>517</v>
      </c>
      <c r="K145" s="2428">
        <f t="array" ref="K145">IFERROR(VLOOKUP(J128,Dex!$B$3:$N422,12,FALSE),"")</f>
        <v>90</v>
      </c>
      <c r="L145" s="2429" t="str">
        <f t="array" ref="L145">IFERROR(VLOOKUP(K145,Dex!$P$22:$Q$276,2,FALSE),"")</f>
        <v/>
      </c>
      <c r="M145" s="1261"/>
      <c r="N145" s="2405"/>
      <c r="O145" s="2427" t="s">
        <v>517</v>
      </c>
      <c r="P145" s="2428">
        <f t="array" ref="P145">IFERROR(VLOOKUP(O128,Dex!$B$3:$N422,12,FALSE),"")</f>
        <v>63</v>
      </c>
      <c r="Q145" s="2429" t="str">
        <f t="array" ref="Q145">IFERROR(VLOOKUP(P145,Dex!$P$22:$Q$276,2,FALSE),"")</f>
        <v/>
      </c>
      <c r="R145" s="1261"/>
      <c r="S145" s="2405"/>
      <c r="T145" s="2427" t="s">
        <v>517</v>
      </c>
      <c r="U145" s="2428">
        <f t="array" ref="U145">IFERROR(VLOOKUP(T128,Dex!$B$3:$N422,12,FALSE),"")</f>
        <v>79</v>
      </c>
      <c r="V145" s="2429" t="str">
        <f t="array" ref="V145">IFERROR(VLOOKUP(U145,Dex!$P$22:$Q$276,2,FALSE),"")</f>
        <v/>
      </c>
      <c r="W145" s="1261"/>
      <c r="X145" s="2407"/>
      <c r="Y145" s="2427" t="s">
        <v>517</v>
      </c>
      <c r="Z145" s="2428">
        <f t="array" ref="Z145">IFERROR(VLOOKUP(Y128,Dex!$B$3:$N422,12,FALSE),"")</f>
        <v>65</v>
      </c>
      <c r="AA145" s="2429" t="str">
        <f t="array" ref="AA145">IFERROR(VLOOKUP(Z145,Dex!$P$22:$Q$276,2,FALSE),"")</f>
        <v/>
      </c>
      <c r="AB145" s="1261"/>
      <c r="AC145" s="2409"/>
      <c r="AD145" s="2427" t="s">
        <v>517</v>
      </c>
      <c r="AE145" s="2428">
        <f t="array" ref="AE145">IFERROR(VLOOKUP(AD128,Dex!$B$3:$N422,12,FALSE),"")</f>
        <v>65</v>
      </c>
      <c r="AF145" s="2429" t="str">
        <f t="array" ref="AF145">IFERROR(VLOOKUP(AE145,Dex!$P$22:$Q$276,2,FALSE),"")</f>
        <v/>
      </c>
      <c r="AG145" s="1261"/>
      <c r="AH145" s="2410"/>
      <c r="AI145" s="2411"/>
    </row>
    <row r="146" ht="15.75" customHeight="1">
      <c r="A146" s="2326"/>
      <c r="B146" s="2568"/>
      <c r="C146" s="1426" t="s">
        <v>745</v>
      </c>
      <c r="D146" s="2569"/>
      <c r="E146" s="2430" t="s">
        <v>518</v>
      </c>
      <c r="F146" s="2431">
        <f t="array" ref="F146">IFERROR(VLOOKUP(E128,Dex!$B$3:$N422,13,FALSE),"")</f>
        <v>70</v>
      </c>
      <c r="G146" s="2432" t="str">
        <f t="array" ref="G146">IFERROR(VLOOKUP(F146,Dex!$P$22:$Q$276,2,FALSE),"")</f>
        <v/>
      </c>
      <c r="H146" s="1265"/>
      <c r="I146" s="2405"/>
      <c r="J146" s="2430" t="s">
        <v>518</v>
      </c>
      <c r="K146" s="2431">
        <f t="array" ref="K146">IFERROR(VLOOKUP(J128,Dex!$B$3:$N422,13,FALSE),"")</f>
        <v>60</v>
      </c>
      <c r="L146" s="2432" t="str">
        <f t="array" ref="L146">IFERROR(VLOOKUP(K146,Dex!$P$22:$Q$276,2,FALSE),"")</f>
        <v/>
      </c>
      <c r="M146" s="1265"/>
      <c r="N146" s="2405"/>
      <c r="O146" s="2430" t="s">
        <v>518</v>
      </c>
      <c r="P146" s="2431">
        <f t="array" ref="P146">IFERROR(VLOOKUP(O128,Dex!$B$3:$N422,13,FALSE),"")</f>
        <v>101</v>
      </c>
      <c r="Q146" s="2432" t="str">
        <f t="array" ref="Q146">IFERROR(VLOOKUP(P146,Dex!$P$22:$Q$276,2,FALSE),"")</f>
        <v/>
      </c>
      <c r="R146" s="1265"/>
      <c r="S146" s="2405"/>
      <c r="T146" s="2430" t="s">
        <v>518</v>
      </c>
      <c r="U146" s="2431">
        <f t="array" ref="U146">IFERROR(VLOOKUP(T128,Dex!$B$3:$N422,13,FALSE),"")</f>
        <v>80</v>
      </c>
      <c r="V146" s="2432" t="str">
        <f t="array" ref="V146">IFERROR(VLOOKUP(U146,Dex!$P$22:$Q$276,2,FALSE),"")</f>
        <v/>
      </c>
      <c r="W146" s="1265"/>
      <c r="X146" s="2407"/>
      <c r="Y146" s="2430" t="s">
        <v>518</v>
      </c>
      <c r="Z146" s="2431">
        <f t="array" ref="Z146">IFERROR(VLOOKUP(Y128,Dex!$B$3:$N422,13,FALSE),"")</f>
        <v>55</v>
      </c>
      <c r="AA146" s="2432" t="str">
        <f t="array" ref="AA146">IFERROR(VLOOKUP(Z146,Dex!$P$22:$Q$276,2,FALSE),"")</f>
        <v/>
      </c>
      <c r="AB146" s="1265"/>
      <c r="AC146" s="2409"/>
      <c r="AD146" s="2430" t="s">
        <v>518</v>
      </c>
      <c r="AE146" s="2431">
        <f t="array" ref="AE146">IFERROR(VLOOKUP(AD128,Dex!$B$3:$N422,13,FALSE),"")</f>
        <v>80</v>
      </c>
      <c r="AF146" s="2432" t="str">
        <f t="array" ref="AF146">IFERROR(VLOOKUP(AE146,Dex!$P$22:$Q$276,2,FALSE),"")</f>
        <v/>
      </c>
      <c r="AG146" s="1265"/>
      <c r="AH146" s="2410"/>
      <c r="AI146" s="2411"/>
    </row>
    <row r="147" ht="16.5" customHeight="1">
      <c r="A147" s="2326"/>
      <c r="B147" s="2568"/>
      <c r="C147" s="1427" t="s">
        <v>836</v>
      </c>
      <c r="D147" s="2570"/>
      <c r="E147" s="2433" t="s">
        <v>519</v>
      </c>
      <c r="F147" s="630"/>
      <c r="G147" s="631"/>
      <c r="H147" s="632">
        <f>ROUNDDOWN((ROUNDDOWN(((((2*F146+31)*27)/100+5)),0))*1.1,0)</f>
        <v>56</v>
      </c>
      <c r="I147" s="2438"/>
      <c r="J147" s="2433" t="s">
        <v>519</v>
      </c>
      <c r="K147" s="630"/>
      <c r="L147" s="631"/>
      <c r="M147" s="632">
        <f>ROUNDDOWN((ROUNDDOWN(((((2*K146+31)*27)/100+5)),0))*1.1,0)</f>
        <v>49</v>
      </c>
      <c r="N147" s="2438"/>
      <c r="O147" s="2433" t="s">
        <v>519</v>
      </c>
      <c r="P147" s="630"/>
      <c r="Q147" s="631"/>
      <c r="R147" s="632">
        <f>ROUNDDOWN((ROUNDDOWN(((((2*P146+31)*27)/100+5)),0))*1.1,0)</f>
        <v>73</v>
      </c>
      <c r="S147" s="2438"/>
      <c r="T147" s="2433" t="s">
        <v>519</v>
      </c>
      <c r="U147" s="630"/>
      <c r="V147" s="631"/>
      <c r="W147" s="632">
        <f>ROUNDDOWN((ROUNDDOWN(((((2*U146+31)*28)/100+5)),0))*1.1,0)</f>
        <v>63</v>
      </c>
      <c r="X147" s="2571"/>
      <c r="Y147" s="2577" t="s">
        <v>519</v>
      </c>
      <c r="Z147" s="635"/>
      <c r="AA147" s="636"/>
      <c r="AB147" s="632">
        <f>ROUNDDOWN((ROUNDDOWN(((((2*Z146+31)*26)/100+5)),0))*1,0)</f>
        <v>41</v>
      </c>
      <c r="AC147" s="2566"/>
      <c r="AD147" s="2433" t="s">
        <v>519</v>
      </c>
      <c r="AE147" s="630"/>
      <c r="AF147" s="631"/>
      <c r="AG147" s="632">
        <f>ROUNDDOWN((ROUNDDOWN(((((2*AE146+31)*28)/100+5)),0))*1.1,0)</f>
        <v>63</v>
      </c>
      <c r="AH147" s="2410"/>
      <c r="AI147" s="2411"/>
    </row>
    <row r="148" ht="16.5" customHeight="1">
      <c r="A148" s="2326"/>
      <c r="B148" s="2572"/>
      <c r="C148" s="2396"/>
      <c r="D148" s="2573"/>
      <c r="E148" s="2396"/>
      <c r="F148" s="2396"/>
      <c r="G148" s="2396"/>
      <c r="H148" s="2396"/>
      <c r="I148" s="2574"/>
      <c r="J148" s="2396"/>
      <c r="K148" s="2396"/>
      <c r="L148" s="2396"/>
      <c r="M148" s="2396"/>
      <c r="N148" s="2574"/>
      <c r="O148" s="2396"/>
      <c r="P148" s="2396"/>
      <c r="Q148" s="2396"/>
      <c r="R148" s="2396"/>
      <c r="S148" s="2574"/>
      <c r="T148" s="2396"/>
      <c r="U148" s="2396"/>
      <c r="V148" s="2396"/>
      <c r="W148" s="2396"/>
      <c r="X148" s="2578"/>
      <c r="Y148" s="2579" t="s">
        <v>1013</v>
      </c>
      <c r="Z148" s="643"/>
      <c r="AA148" s="644"/>
      <c r="AB148" s="2555">
        <f>AB147*2</f>
        <v>82</v>
      </c>
      <c r="AC148" s="2580"/>
      <c r="AD148" s="2396"/>
      <c r="AE148" s="2396"/>
      <c r="AF148" s="2396"/>
      <c r="AG148" s="2396"/>
      <c r="AH148" s="2410"/>
      <c r="AI148" s="2411"/>
    </row>
    <row r="149" ht="11.25" customHeight="1">
      <c r="A149" s="2319"/>
      <c r="B149" s="2327"/>
      <c r="C149" s="2575"/>
      <c r="D149" s="2576"/>
      <c r="E149" s="2413"/>
      <c r="F149" s="2413"/>
      <c r="G149" s="2413"/>
      <c r="H149" s="2413"/>
      <c r="I149" s="2434"/>
      <c r="J149" s="2413"/>
      <c r="K149" s="2413"/>
      <c r="L149" s="2413"/>
      <c r="M149" s="2413"/>
      <c r="N149" s="2434"/>
      <c r="O149" s="2414"/>
      <c r="P149" s="2414"/>
      <c r="Q149" s="2414"/>
      <c r="R149" s="2434"/>
      <c r="S149" s="2434"/>
      <c r="T149" s="2414"/>
      <c r="U149" s="2414"/>
      <c r="V149" s="2414"/>
      <c r="W149" s="2434"/>
      <c r="X149" s="2346"/>
      <c r="Y149" s="2414"/>
      <c r="Z149" s="2414"/>
      <c r="AA149" s="2414"/>
      <c r="AB149" s="2346"/>
      <c r="AC149" s="2346"/>
      <c r="AD149" s="2414"/>
      <c r="AE149" s="2414"/>
      <c r="AF149" s="2414"/>
      <c r="AG149" s="2346"/>
      <c r="AH149" s="2334"/>
      <c r="AI149" s="2325"/>
    </row>
    <row r="150">
      <c r="A150" s="2326"/>
      <c r="B150" s="2327"/>
      <c r="C150" s="2328"/>
      <c r="D150" s="2329"/>
      <c r="E150" s="2435" t="s">
        <v>983</v>
      </c>
      <c r="F150" s="1732"/>
      <c r="G150" s="1732"/>
      <c r="H150" s="1732"/>
      <c r="I150" s="1732"/>
      <c r="J150" s="1732"/>
      <c r="K150" s="1732"/>
      <c r="L150" s="1732"/>
      <c r="M150" s="1732"/>
      <c r="N150" s="1732"/>
      <c r="O150" s="1732"/>
      <c r="P150" s="1732"/>
      <c r="Q150" s="1732"/>
      <c r="R150" s="1732"/>
      <c r="S150" s="1732"/>
      <c r="T150" s="1732"/>
      <c r="U150" s="1732"/>
      <c r="V150" s="1732"/>
      <c r="W150" s="1732"/>
      <c r="X150" s="1732"/>
      <c r="Y150" s="1732"/>
      <c r="Z150" s="1732"/>
      <c r="AA150" s="1732"/>
      <c r="AB150" s="1732"/>
      <c r="AC150" s="1732"/>
      <c r="AD150" s="1732"/>
      <c r="AE150" s="1732"/>
      <c r="AF150" s="1732"/>
      <c r="AG150" s="1733"/>
      <c r="AH150" s="2563"/>
      <c r="AI150" s="2325"/>
    </row>
    <row r="151" ht="3.75" customHeight="1">
      <c r="A151" s="2326"/>
      <c r="B151" s="2327"/>
      <c r="C151" s="2335"/>
      <c r="D151" s="2336"/>
      <c r="E151" s="2337"/>
      <c r="F151" s="2337"/>
      <c r="G151" s="2337"/>
      <c r="H151" s="2337"/>
      <c r="I151" s="2338"/>
      <c r="J151" s="2337"/>
      <c r="K151" s="2337"/>
      <c r="L151" s="2337"/>
      <c r="M151" s="2337"/>
      <c r="N151" s="2338"/>
      <c r="O151" s="2337"/>
      <c r="P151" s="2337"/>
      <c r="Q151" s="2337"/>
      <c r="R151" s="2337"/>
      <c r="S151" s="2338"/>
      <c r="T151" s="2337"/>
      <c r="U151" s="2337"/>
      <c r="V151" s="2337"/>
      <c r="W151" s="2337"/>
      <c r="X151" s="2338"/>
      <c r="Y151" s="2337"/>
      <c r="Z151" s="2337"/>
      <c r="AA151" s="2337"/>
      <c r="AB151" s="2337"/>
      <c r="AC151" s="2338"/>
      <c r="AD151" s="2337"/>
      <c r="AE151" s="2337"/>
      <c r="AF151" s="2337"/>
      <c r="AG151" s="2337"/>
      <c r="AH151" s="2334"/>
      <c r="AI151" s="2325"/>
    </row>
    <row r="152" ht="96.75" customHeight="1">
      <c r="A152" s="2319"/>
      <c r="B152" s="2339"/>
      <c r="C152" s="2436" t="str">
        <f>IMAGE("https://i.ibb.co/fXwks6z/Rival.png")</f>
        <v/>
      </c>
      <c r="D152" s="2341"/>
      <c r="E152" s="2437" t="str">
        <f t="array" ref="E152">IFERROR(VLOOKUP(E153,Dex!$B$3:$G422,3,FALSE),"")</f>
        <v/>
      </c>
      <c r="F152" s="1945"/>
      <c r="G152" s="1945"/>
      <c r="H152" s="1946"/>
      <c r="I152" s="2343"/>
      <c r="J152" s="2437" t="str">
        <f t="array" ref="J152">IFERROR(VLOOKUP(J153,Dex!$B$3:$G422,3,FALSE),"")</f>
        <v/>
      </c>
      <c r="K152" s="1945"/>
      <c r="L152" s="1945"/>
      <c r="M152" s="1946"/>
      <c r="N152" s="2343"/>
      <c r="O152" s="2437" t="str">
        <f t="array" ref="O152">IFERROR(VLOOKUP(O153,Dex!$B$3:$G422,3,FALSE),"")</f>
        <v/>
      </c>
      <c r="P152" s="1945"/>
      <c r="Q152" s="1945"/>
      <c r="R152" s="1946"/>
      <c r="S152" s="2343"/>
      <c r="T152" s="2437" t="str">
        <f t="array" ref="T152">IFERROR(VLOOKUP(T153,Dex!$B$3:$G422,3,FALSE),"")</f>
        <v/>
      </c>
      <c r="U152" s="1945"/>
      <c r="V152" s="1945"/>
      <c r="W152" s="1946"/>
      <c r="X152" s="2344"/>
      <c r="Y152" s="2437" t="str">
        <f t="array" ref="Y152">IFERROR(VLOOKUP(Y153,Dex!$B$3:$G422,3,FALSE),"")</f>
        <v/>
      </c>
      <c r="Z152" s="1945"/>
      <c r="AA152" s="1945"/>
      <c r="AB152" s="1946"/>
      <c r="AC152" s="2344"/>
      <c r="AD152" s="2437" t="str">
        <f t="array" ref="AD152">IFERROR(VLOOKUP(AD153,Dex!$B$3:$G422,3,FALSE),"")</f>
        <v/>
      </c>
      <c r="AE152" s="1945"/>
      <c r="AF152" s="1945"/>
      <c r="AG152" s="1946"/>
      <c r="AH152" s="2563"/>
      <c r="AI152" s="2325"/>
    </row>
    <row r="153" ht="18.75" customHeight="1">
      <c r="A153" s="2347"/>
      <c r="B153" s="2419"/>
      <c r="C153" s="2349" t="s">
        <v>1024</v>
      </c>
      <c r="D153" s="2350"/>
      <c r="E153" s="2351" t="s">
        <v>1025</v>
      </c>
      <c r="F153" s="2352"/>
      <c r="G153" s="2352"/>
      <c r="H153" s="2353"/>
      <c r="J153" s="2351" t="s">
        <v>913</v>
      </c>
      <c r="K153" s="2352"/>
      <c r="L153" s="2352"/>
      <c r="M153" s="2353"/>
      <c r="O153" s="2351" t="s">
        <v>1026</v>
      </c>
      <c r="P153" s="2352"/>
      <c r="Q153" s="2352"/>
      <c r="R153" s="2353"/>
      <c r="T153" s="2351" t="s">
        <v>1000</v>
      </c>
      <c r="U153" s="2352"/>
      <c r="V153" s="2352"/>
      <c r="W153" s="2353"/>
      <c r="Y153" s="2351" t="s">
        <v>998</v>
      </c>
      <c r="Z153" s="2352"/>
      <c r="AA153" s="2352"/>
      <c r="AB153" s="2353"/>
      <c r="AD153" s="2351" t="s">
        <v>1027</v>
      </c>
      <c r="AE153" s="2352"/>
      <c r="AF153" s="2352"/>
      <c r="AG153" s="2353"/>
      <c r="AH153" s="2564"/>
      <c r="AI153" s="2357"/>
    </row>
    <row r="154">
      <c r="A154" s="2319"/>
      <c r="B154" s="2358"/>
      <c r="C154" s="556"/>
      <c r="D154" s="2359"/>
      <c r="E154" s="2360" t="s">
        <v>967</v>
      </c>
      <c r="F154" s="2361"/>
      <c r="G154" s="2361"/>
      <c r="H154" s="2362"/>
      <c r="J154" s="2360" t="s">
        <v>967</v>
      </c>
      <c r="K154" s="2361"/>
      <c r="L154" s="2361"/>
      <c r="M154" s="2362"/>
      <c r="O154" s="2360" t="s">
        <v>967</v>
      </c>
      <c r="P154" s="2361"/>
      <c r="Q154" s="2361"/>
      <c r="R154" s="2362"/>
      <c r="T154" s="2360" t="s">
        <v>729</v>
      </c>
      <c r="U154" s="2361"/>
      <c r="V154" s="2361"/>
      <c r="W154" s="2362"/>
      <c r="Y154" s="2360" t="s">
        <v>796</v>
      </c>
      <c r="Z154" s="2361"/>
      <c r="AA154" s="2361"/>
      <c r="AB154" s="2362"/>
      <c r="AD154" s="2360" t="s">
        <v>729</v>
      </c>
      <c r="AE154" s="2361"/>
      <c r="AF154" s="2361"/>
      <c r="AG154" s="2362"/>
      <c r="AH154" s="2563"/>
      <c r="AI154" s="2325"/>
    </row>
    <row r="155" ht="25.5" customHeight="1">
      <c r="A155" s="2319"/>
      <c r="B155" s="2327"/>
      <c r="C155" s="2363"/>
      <c r="D155" s="2364"/>
      <c r="E155" s="2365"/>
      <c r="F155" s="2366" t="str">
        <f t="array" ref="F155">IFERROR(VLOOKUP(E153,Dex!$B$3:$H422,5,FALSE),"")</f>
        <v/>
      </c>
      <c r="G155" s="2367"/>
      <c r="H155" s="2368"/>
      <c r="J155" s="2365"/>
      <c r="K155" s="2366" t="str">
        <f t="array" ref="K155">IFERROR(VLOOKUP(J153,Dex!$B$3:$H422,5,FALSE),"")</f>
        <v/>
      </c>
      <c r="L155" s="2367"/>
      <c r="M155" s="2368"/>
      <c r="O155" s="2365"/>
      <c r="P155" s="2366" t="str">
        <f t="array" ref="P155">IFERROR(VLOOKUP(O153,Dex!$B$3:$H422,5,FALSE),"")</f>
        <v/>
      </c>
      <c r="Q155" s="2367"/>
      <c r="R155" s="2368"/>
      <c r="T155" s="2365"/>
      <c r="U155" s="2369" t="str">
        <f t="array" ref="U155">IFERROR(VLOOKUP(T153,Dex!$B$3:$H422,5,FALSE),"")</f>
        <v/>
      </c>
      <c r="V155" s="2370" t="str">
        <f t="array" ref="V155">IFERROR(VLOOKUP(T153,Dex!$B$3:$H422,7,FALSE),"")</f>
        <v/>
      </c>
      <c r="W155" s="2368"/>
      <c r="Y155" s="2365"/>
      <c r="Z155" s="2366" t="str">
        <f t="array" ref="Z155">IFERROR(VLOOKUP(Y153,Dex!$B$3:$H422,5,FALSE),"")</f>
        <v/>
      </c>
      <c r="AA155" s="2367"/>
      <c r="AB155" s="2368"/>
      <c r="AD155" s="2365"/>
      <c r="AE155" s="2369" t="str">
        <f t="array" ref="AE155">IFERROR(VLOOKUP(AD153,Dex!$B$3:$H422,5,FALSE),"")</f>
        <v/>
      </c>
      <c r="AF155" s="2370" t="str">
        <f t="array" ref="AF155">IFERROR(VLOOKUP(AD153,Dex!$B$3:$H422,7,FALSE),"")</f>
        <v/>
      </c>
      <c r="AG155" s="2368"/>
      <c r="AH155" s="2334"/>
      <c r="AI155" s="2325"/>
    </row>
    <row r="156" ht="2.25" customHeight="1">
      <c r="A156" s="2319"/>
      <c r="B156" s="2327"/>
      <c r="C156" s="2355"/>
      <c r="D156" s="2364"/>
      <c r="E156" s="2371"/>
      <c r="F156" s="2372"/>
      <c r="G156" s="2372"/>
      <c r="H156" s="2373"/>
      <c r="J156" s="2371"/>
      <c r="K156" s="2372"/>
      <c r="L156" s="2372"/>
      <c r="M156" s="2373"/>
      <c r="O156" s="2371"/>
      <c r="P156" s="2372"/>
      <c r="Q156" s="2372"/>
      <c r="R156" s="2373"/>
      <c r="T156" s="2371"/>
      <c r="U156" s="2372"/>
      <c r="V156" s="2372"/>
      <c r="W156" s="2373"/>
      <c r="Y156" s="2371"/>
      <c r="Z156" s="2372"/>
      <c r="AA156" s="2372"/>
      <c r="AB156" s="2373"/>
      <c r="AD156" s="2371"/>
      <c r="AE156" s="2372"/>
      <c r="AF156" s="2372"/>
      <c r="AG156" s="2373"/>
      <c r="AH156" s="2334"/>
      <c r="AI156" s="2325"/>
    </row>
    <row r="157" ht="20.25" customHeight="1">
      <c r="A157" s="2319"/>
      <c r="B157" s="2327"/>
      <c r="C157" s="2375"/>
      <c r="D157" s="2329"/>
      <c r="E157" s="2376" t="s">
        <v>532</v>
      </c>
      <c r="F157" s="2377"/>
      <c r="G157" s="2377"/>
      <c r="H157" s="2378"/>
      <c r="J157" s="2376" t="s">
        <v>564</v>
      </c>
      <c r="K157" s="2377"/>
      <c r="L157" s="2377"/>
      <c r="M157" s="2378"/>
      <c r="O157" s="2376" t="s">
        <v>564</v>
      </c>
      <c r="P157" s="2377"/>
      <c r="Q157" s="2377"/>
      <c r="R157" s="2378"/>
      <c r="T157" s="2376" t="s">
        <v>532</v>
      </c>
      <c r="U157" s="2377"/>
      <c r="V157" s="2377"/>
      <c r="W157" s="2378"/>
      <c r="Y157" s="2376" t="s">
        <v>917</v>
      </c>
      <c r="Z157" s="2377"/>
      <c r="AA157" s="2377"/>
      <c r="AB157" s="2378"/>
      <c r="AD157" s="2376" t="s">
        <v>564</v>
      </c>
      <c r="AE157" s="2377"/>
      <c r="AF157" s="2377"/>
      <c r="AG157" s="2378"/>
      <c r="AH157" s="2563"/>
      <c r="AI157" s="2325"/>
    </row>
    <row r="158" ht="20.25" customHeight="1">
      <c r="A158" s="2319"/>
      <c r="B158" s="2327"/>
      <c r="C158" s="2379"/>
      <c r="D158" s="2329"/>
      <c r="E158" s="2380" t="s">
        <v>570</v>
      </c>
      <c r="F158" s="2332"/>
      <c r="G158" s="2332"/>
      <c r="H158" s="2381"/>
      <c r="J158" s="2380" t="s">
        <v>76</v>
      </c>
      <c r="K158" s="2332"/>
      <c r="L158" s="2332"/>
      <c r="M158" s="2381"/>
      <c r="O158" s="2380" t="s">
        <v>1002</v>
      </c>
      <c r="P158" s="2332"/>
      <c r="Q158" s="2332"/>
      <c r="R158" s="2381"/>
      <c r="T158" s="2380" t="s">
        <v>60</v>
      </c>
      <c r="U158" s="2332"/>
      <c r="V158" s="2332"/>
      <c r="W158" s="2381"/>
      <c r="Y158" s="2380" t="s">
        <v>84</v>
      </c>
      <c r="Z158" s="2332"/>
      <c r="AA158" s="2332"/>
      <c r="AB158" s="2381"/>
      <c r="AD158" s="2380" t="s">
        <v>986</v>
      </c>
      <c r="AE158" s="2332"/>
      <c r="AF158" s="2332"/>
      <c r="AG158" s="2381"/>
      <c r="AH158" s="2563"/>
      <c r="AI158" s="2325"/>
    </row>
    <row r="159" ht="20.25" customHeight="1">
      <c r="A159" s="2319"/>
      <c r="B159" s="2327"/>
      <c r="C159" s="2355"/>
      <c r="D159" s="2329"/>
      <c r="E159" s="2382" t="s">
        <v>1003</v>
      </c>
      <c r="F159" s="2383"/>
      <c r="G159" s="2384"/>
      <c r="H159" s="2385"/>
      <c r="J159" s="2382" t="s">
        <v>541</v>
      </c>
      <c r="K159" s="2383"/>
      <c r="L159" s="2384"/>
      <c r="M159" s="2385"/>
      <c r="O159" s="2382" t="s">
        <v>540</v>
      </c>
      <c r="P159" s="2383"/>
      <c r="Q159" s="2384"/>
      <c r="R159" s="2385"/>
      <c r="T159" s="2382" t="s">
        <v>1006</v>
      </c>
      <c r="U159" s="2383"/>
      <c r="V159" s="2384"/>
      <c r="W159" s="2385"/>
      <c r="Y159" s="2382" t="s">
        <v>1004</v>
      </c>
      <c r="Z159" s="2383"/>
      <c r="AA159" s="2384"/>
      <c r="AB159" s="2385"/>
      <c r="AD159" s="2382" t="s">
        <v>489</v>
      </c>
      <c r="AE159" s="2383"/>
      <c r="AF159" s="2384"/>
      <c r="AG159" s="2385"/>
      <c r="AH159" s="2334"/>
      <c r="AI159" s="2325"/>
    </row>
    <row r="160" ht="20.25" customHeight="1">
      <c r="A160" s="2319"/>
      <c r="B160" s="2327"/>
      <c r="C160" s="2375"/>
      <c r="D160" s="2329"/>
      <c r="E160" s="2376" t="s">
        <v>548</v>
      </c>
      <c r="F160" s="2377"/>
      <c r="G160" s="2386"/>
      <c r="H160" s="2387" t="str">
        <f>IMAGE("https://raw.githubusercontent.com/msikma/pokesprite/master/misc/types/gen8/fighting.png",4,20,20)</f>
        <v/>
      </c>
      <c r="J160" s="2376" t="s">
        <v>129</v>
      </c>
      <c r="K160" s="2377"/>
      <c r="L160" s="2386"/>
      <c r="M160" s="2387" t="str">
        <f>IMAGE("https://raw.githubusercontent.com/msikma/pokesprite/master/misc/types/gen8/electric.png",4,20,20)</f>
        <v/>
      </c>
      <c r="O160" s="2376" t="s">
        <v>981</v>
      </c>
      <c r="P160" s="2377"/>
      <c r="Q160" s="2386"/>
      <c r="R160" s="2387" t="str">
        <f>IMAGE("https://raw.githubusercontent.com/msikma/pokesprite/master/misc/types/gen8/water.png",4,20,20)</f>
        <v/>
      </c>
      <c r="T160" s="2376" t="s">
        <v>545</v>
      </c>
      <c r="U160" s="2377"/>
      <c r="V160" s="2386"/>
      <c r="W160" s="2387" t="str">
        <f>IMAGE("https://raw.githubusercontent.com/msikma/pokesprite/master/misc/types/gen8/poison.png",4,20,20)</f>
        <v/>
      </c>
      <c r="Y160" s="2376" t="s">
        <v>1007</v>
      </c>
      <c r="Z160" s="2377"/>
      <c r="AA160" s="2386"/>
      <c r="AB160" s="2387" t="str">
        <f t="shared" ref="AB160:AB161" si="8">IMAGE("https://raw.githubusercontent.com/msikma/pokesprite/master/misc/types/gen8/normal.png",4,20,20)</f>
        <v/>
      </c>
      <c r="AD160" s="2376" t="s">
        <v>1028</v>
      </c>
      <c r="AE160" s="2377"/>
      <c r="AF160" s="2386"/>
      <c r="AG160" s="2387" t="str">
        <f>IMAGE("https://raw.githubusercontent.com/msikma/pokesprite/master/misc/types/gen8/grass.png",4,20,20)</f>
        <v/>
      </c>
      <c r="AH160" s="2334"/>
      <c r="AI160" s="2325"/>
    </row>
    <row r="161" ht="20.25" customHeight="1">
      <c r="A161" s="2319"/>
      <c r="B161" s="2327"/>
      <c r="C161" s="2328"/>
      <c r="D161" s="2329"/>
      <c r="E161" s="2380" t="s">
        <v>589</v>
      </c>
      <c r="F161" s="2332"/>
      <c r="G161" s="420"/>
      <c r="H161" s="2388" t="str">
        <f>IMAGE("https://raw.githubusercontent.com/msikma/pokesprite/master/misc/types/gen8/ice.png",4,20,20)</f>
        <v/>
      </c>
      <c r="J161" s="2380" t="s">
        <v>786</v>
      </c>
      <c r="K161" s="2332"/>
      <c r="L161" s="420"/>
      <c r="M161" s="2388" t="str">
        <f>IMAGE("https://raw.githubusercontent.com/msikma/pokesprite/master/misc/types/gen8/fairy.png",4,20,20)</f>
        <v/>
      </c>
      <c r="O161" s="2380" t="s">
        <v>509</v>
      </c>
      <c r="P161" s="2332"/>
      <c r="Q161" s="420"/>
      <c r="R161" s="2388" t="str">
        <f>IMAGE("https://raw.githubusercontent.com/msikma/pokesprite/master/misc/types/gen8/ice.png",4,20,20)</f>
        <v/>
      </c>
      <c r="T161" s="2380" t="s">
        <v>554</v>
      </c>
      <c r="U161" s="2332"/>
      <c r="V161" s="420"/>
      <c r="W161" s="2388" t="str">
        <f t="shared" ref="W161:W162" si="9">IMAGE("https://raw.githubusercontent.com/msikma/pokesprite/master/misc/types/gen8/dark.png",4,20,20)</f>
        <v/>
      </c>
      <c r="Y161" s="2380" t="s">
        <v>973</v>
      </c>
      <c r="Z161" s="2332"/>
      <c r="AA161" s="420"/>
      <c r="AB161" s="2388" t="str">
        <f t="shared" si="8"/>
        <v/>
      </c>
      <c r="AD161" s="2380" t="s">
        <v>184</v>
      </c>
      <c r="AE161" s="2332"/>
      <c r="AF161" s="420"/>
      <c r="AG161" s="2388" t="str">
        <f>IMAGE("https://raw.githubusercontent.com/msikma/pokesprite/master/misc/types/gen8/normal.png",4,20,20)</f>
        <v/>
      </c>
      <c r="AH161" s="2334"/>
      <c r="AI161" s="2325"/>
    </row>
    <row r="162" ht="20.25" customHeight="1">
      <c r="A162" s="2319"/>
      <c r="B162" s="2327"/>
      <c r="C162" s="2328"/>
      <c r="D162" s="2329"/>
      <c r="E162" s="2380" t="s">
        <v>584</v>
      </c>
      <c r="F162" s="2332"/>
      <c r="G162" s="420"/>
      <c r="H162" s="2388" t="str">
        <f>IMAGE("https://raw.githubusercontent.com/msikma/pokesprite/master/misc/types/gen8/fighting.png",4,20,20)</f>
        <v/>
      </c>
      <c r="J162" s="2380" t="s">
        <v>509</v>
      </c>
      <c r="K162" s="2332"/>
      <c r="L162" s="420"/>
      <c r="M162" s="2388" t="str">
        <f>IMAGE("https://raw.githubusercontent.com/msikma/pokesprite/master/misc/types/gen8/ice.png",4,20,20)</f>
        <v/>
      </c>
      <c r="O162" s="2380" t="s">
        <v>1012</v>
      </c>
      <c r="P162" s="2332"/>
      <c r="Q162" s="420"/>
      <c r="R162" s="2388" t="str">
        <f>IMAGE("https://raw.githubusercontent.com/msikma/pokesprite/master/misc/types/gen8/electric.png",4,20,20)</f>
        <v/>
      </c>
      <c r="T162" s="2380" t="s">
        <v>762</v>
      </c>
      <c r="U162" s="2332"/>
      <c r="V162" s="420"/>
      <c r="W162" s="2388" t="str">
        <f t="shared" si="9"/>
        <v/>
      </c>
      <c r="Y162" s="2380" t="s">
        <v>1008</v>
      </c>
      <c r="Z162" s="2332"/>
      <c r="AA162" s="420"/>
      <c r="AB162" s="2388" t="str">
        <f>IMAGE("https://raw.githubusercontent.com/msikma/pokesprite/master/misc/types/gen8/fighting.png",4,20,20)</f>
        <v/>
      </c>
      <c r="AD162" s="2380" t="s">
        <v>988</v>
      </c>
      <c r="AE162" s="2332"/>
      <c r="AF162" s="420"/>
      <c r="AG162" s="2388" t="str">
        <f>IMAGE("https://raw.githubusercontent.com/msikma/pokesprite/master/misc/types/gen8/poison.png",4,20,20)</f>
        <v/>
      </c>
      <c r="AH162" s="2334"/>
      <c r="AI162" s="2325"/>
    </row>
    <row r="163" ht="21.0" customHeight="1">
      <c r="A163" s="2319"/>
      <c r="B163" s="2327"/>
      <c r="C163" s="2328"/>
      <c r="D163" s="2329"/>
      <c r="E163" s="2389" t="s">
        <v>554</v>
      </c>
      <c r="F163" s="2390"/>
      <c r="G163" s="2391"/>
      <c r="H163" s="2392" t="str">
        <f>IMAGE("https://raw.githubusercontent.com/msikma/pokesprite/master/misc/types/gen8/dark.png",4,20,20)</f>
        <v/>
      </c>
      <c r="I163" s="2393"/>
      <c r="J163" s="2389" t="s">
        <v>862</v>
      </c>
      <c r="K163" s="2390"/>
      <c r="L163" s="2391"/>
      <c r="M163" s="2392" t="str">
        <f>IMAGE("https://raw.githubusercontent.com/msikma/pokesprite/master/misc/types/gen8/fire.png",4,20,20)</f>
        <v/>
      </c>
      <c r="N163" s="2393"/>
      <c r="O163" s="2389" t="s">
        <v>742</v>
      </c>
      <c r="P163" s="2390"/>
      <c r="Q163" s="2391"/>
      <c r="R163" s="2392" t="str">
        <f>IMAGE("https://raw.githubusercontent.com/msikma/pokesprite/master/misc/types/gen8/grass.png",4,20,20)</f>
        <v/>
      </c>
      <c r="S163" s="2393"/>
      <c r="T163" s="2389" t="s">
        <v>1011</v>
      </c>
      <c r="U163" s="2390"/>
      <c r="V163" s="2391"/>
      <c r="W163" s="2392" t="str">
        <f>IMAGE("https://raw.githubusercontent.com/msikma/pokesprite/master/misc/types/gen8/electric.png",4,20,20)</f>
        <v/>
      </c>
      <c r="X163" s="2393"/>
      <c r="Y163" s="2389" t="s">
        <v>1010</v>
      </c>
      <c r="Z163" s="2390"/>
      <c r="AA163" s="2391"/>
      <c r="AB163" s="2392" t="str">
        <f>IMAGE("https://raw.githubusercontent.com/msikma/pokesprite/master/misc/types/gen8/dark.png",4,20,20)</f>
        <v/>
      </c>
      <c r="AC163" s="2393"/>
      <c r="AD163" s="2389" t="s">
        <v>543</v>
      </c>
      <c r="AE163" s="2390"/>
      <c r="AF163" s="2391"/>
      <c r="AG163" s="2392" t="str">
        <f>IMAGE("https://raw.githubusercontent.com/msikma/pokesprite/master/misc/types/gen8/grass.png",4,20,20)</f>
        <v/>
      </c>
      <c r="AH163" s="2334"/>
      <c r="AI163" s="2325"/>
    </row>
    <row r="164" ht="3.0" customHeight="1">
      <c r="A164" s="2394"/>
      <c r="B164" s="2395"/>
      <c r="C164" s="2396"/>
      <c r="D164" s="2397"/>
      <c r="E164" s="2398"/>
      <c r="F164" s="2398"/>
      <c r="G164" s="2398"/>
      <c r="H164" s="2398"/>
      <c r="I164" s="2397"/>
      <c r="J164" s="2398"/>
      <c r="K164" s="2398"/>
      <c r="L164" s="2398"/>
      <c r="M164" s="2398"/>
      <c r="N164" s="2397"/>
      <c r="O164" s="2398"/>
      <c r="P164" s="2398"/>
      <c r="Q164" s="2398"/>
      <c r="R164" s="2398"/>
      <c r="S164" s="2397"/>
      <c r="T164" s="2398"/>
      <c r="U164" s="2398"/>
      <c r="V164" s="2398"/>
      <c r="W164" s="2398"/>
      <c r="X164" s="2397"/>
      <c r="Y164" s="2398"/>
      <c r="Z164" s="2398"/>
      <c r="AA164" s="2398"/>
      <c r="AB164" s="2398"/>
      <c r="AC164" s="2400"/>
      <c r="AD164" s="2398"/>
      <c r="AE164" s="2398"/>
      <c r="AF164" s="2398"/>
      <c r="AG164" s="2398"/>
      <c r="AH164" s="2401"/>
      <c r="AI164" s="2402"/>
    </row>
    <row r="165" ht="16.5" customHeight="1">
      <c r="A165" s="2326"/>
      <c r="B165" s="2403"/>
      <c r="C165" s="2396"/>
      <c r="D165" s="2404"/>
      <c r="E165" s="951" t="s">
        <v>512</v>
      </c>
      <c r="F165" s="606"/>
      <c r="G165" s="606"/>
      <c r="H165" s="607"/>
      <c r="I165" s="2405"/>
      <c r="J165" s="951" t="s">
        <v>512</v>
      </c>
      <c r="K165" s="606"/>
      <c r="L165" s="606"/>
      <c r="M165" s="607"/>
      <c r="N165" s="2405"/>
      <c r="O165" s="951" t="s">
        <v>512</v>
      </c>
      <c r="P165" s="606"/>
      <c r="Q165" s="606"/>
      <c r="R165" s="607"/>
      <c r="S165" s="2405"/>
      <c r="T165" s="951" t="s">
        <v>512</v>
      </c>
      <c r="U165" s="606"/>
      <c r="V165" s="606"/>
      <c r="W165" s="607"/>
      <c r="X165" s="2565"/>
      <c r="Y165" s="951" t="s">
        <v>512</v>
      </c>
      <c r="Z165" s="606"/>
      <c r="AA165" s="606"/>
      <c r="AB165" s="607"/>
      <c r="AC165" s="2566"/>
      <c r="AD165" s="951" t="s">
        <v>512</v>
      </c>
      <c r="AE165" s="606"/>
      <c r="AF165" s="606"/>
      <c r="AG165" s="607"/>
      <c r="AH165" s="2410"/>
      <c r="AI165" s="2411"/>
    </row>
    <row r="166" ht="16.5" customHeight="1">
      <c r="A166" s="2326"/>
      <c r="B166" s="2403"/>
      <c r="C166" s="2396"/>
      <c r="D166" s="2404"/>
      <c r="E166" s="955" t="s">
        <v>513</v>
      </c>
      <c r="F166" s="956">
        <f t="array" ref="F166">IFERROR(VLOOKUP(E153,Dex!$B$3:$N422,8,FALSE),"")</f>
        <v>50</v>
      </c>
      <c r="G166" s="957" t="str">
        <f t="array" ref="G166">IFERROR(VLOOKUP(F166,Dex!$P$22:$Q$276,2,FALSE),"")</f>
        <v/>
      </c>
      <c r="H166" s="958"/>
      <c r="I166" s="2405"/>
      <c r="J166" s="955" t="s">
        <v>513</v>
      </c>
      <c r="K166" s="956">
        <f t="array" ref="K166">IFERROR(VLOOKUP(J153,Dex!$B$3:$N422,8,FALSE),"")</f>
        <v>95</v>
      </c>
      <c r="L166" s="957" t="str">
        <f t="array" ref="L166">IFERROR(VLOOKUP(K166,Dex!$P$22:$Q$276,2,FALSE),"")</f>
        <v/>
      </c>
      <c r="M166" s="958"/>
      <c r="N166" s="2405"/>
      <c r="O166" s="955" t="s">
        <v>513</v>
      </c>
      <c r="P166" s="956">
        <f t="array" ref="P166">IFERROR(VLOOKUP(O153,Dex!$B$3:$N422,8,FALSE),"")</f>
        <v>75</v>
      </c>
      <c r="Q166" s="957" t="str">
        <f t="array" ref="Q166">IFERROR(VLOOKUP(P166,Dex!$P$22:$Q$276,2,FALSE),"")</f>
        <v/>
      </c>
      <c r="R166" s="958"/>
      <c r="S166" s="2405"/>
      <c r="T166" s="955" t="s">
        <v>513</v>
      </c>
      <c r="U166" s="956">
        <f t="array" ref="U166">IFERROR(VLOOKUP(T153,Dex!$B$3:$N422,8,FALSE),"")</f>
        <v>75</v>
      </c>
      <c r="V166" s="957" t="str">
        <f t="array" ref="V166">IFERROR(VLOOKUP(U166,Dex!$P$22:$Q$276,2,FALSE),"")</f>
        <v/>
      </c>
      <c r="W166" s="958"/>
      <c r="X166" s="2407"/>
      <c r="Y166" s="955" t="s">
        <v>513</v>
      </c>
      <c r="Z166" s="956">
        <f t="array" ref="Z166">IFERROR(VLOOKUP(Y153,Dex!$B$3:$N422,8,FALSE),"")</f>
        <v>55</v>
      </c>
      <c r="AA166" s="957" t="str">
        <f t="array" ref="AA166">IFERROR(VLOOKUP(Z166,Dex!$P$22:$Q$276,2,FALSE),"")</f>
        <v/>
      </c>
      <c r="AB166" s="958"/>
      <c r="AC166" s="2409"/>
      <c r="AD166" s="955" t="s">
        <v>513</v>
      </c>
      <c r="AE166" s="956">
        <f t="array" ref="AE166">IFERROR(VLOOKUP(AD153,Dex!$B$3:$N422,8,FALSE),"")</f>
        <v>60</v>
      </c>
      <c r="AF166" s="957" t="str">
        <f t="array" ref="AF166">IFERROR(VLOOKUP(AE166,Dex!$P$22:$Q$276,2,FALSE),"")</f>
        <v/>
      </c>
      <c r="AG166" s="958"/>
      <c r="AH166" s="2410"/>
      <c r="AI166" s="2411"/>
    </row>
    <row r="167" ht="16.5" customHeight="1">
      <c r="A167" s="2326"/>
      <c r="B167" s="2403"/>
      <c r="C167" s="2396"/>
      <c r="D167" s="2404"/>
      <c r="E167" s="961" t="s">
        <v>514</v>
      </c>
      <c r="F167" s="962">
        <f t="array" ref="F167">IFERROR(VLOOKUP(E153,Dex!$B$3:$N422,9,FALSE),"")</f>
        <v>115</v>
      </c>
      <c r="G167" s="963" t="str">
        <f t="array" ref="G167">IFERROR(VLOOKUP(F167,Dex!$P$22:$Q$276,2,FALSE),"")</f>
        <v/>
      </c>
      <c r="H167" s="964"/>
      <c r="I167" s="2405"/>
      <c r="J167" s="961" t="s">
        <v>514</v>
      </c>
      <c r="K167" s="962">
        <f t="array" ref="K167">IFERROR(VLOOKUP(J153,Dex!$B$3:$N422,9,FALSE),"")</f>
        <v>70</v>
      </c>
      <c r="L167" s="963" t="str">
        <f t="array" ref="L167">IFERROR(VLOOKUP(K167,Dex!$P$22:$Q$276,2,FALSE),"")</f>
        <v/>
      </c>
      <c r="M167" s="964"/>
      <c r="N167" s="2405"/>
      <c r="O167" s="961" t="s">
        <v>514</v>
      </c>
      <c r="P167" s="962">
        <f t="array" ref="P167">IFERROR(VLOOKUP(O153,Dex!$B$3:$N422,9,FALSE),"")</f>
        <v>98</v>
      </c>
      <c r="Q167" s="963" t="str">
        <f t="array" ref="Q167">IFERROR(VLOOKUP(P167,Dex!$P$22:$Q$276,2,FALSE),"")</f>
        <v/>
      </c>
      <c r="R167" s="964"/>
      <c r="S167" s="2405"/>
      <c r="T167" s="961" t="s">
        <v>514</v>
      </c>
      <c r="U167" s="962">
        <f t="array" ref="U167">IFERROR(VLOOKUP(T153,Dex!$B$3:$N422,9,FALSE),"")</f>
        <v>95</v>
      </c>
      <c r="V167" s="963" t="str">
        <f t="array" ref="V167">IFERROR(VLOOKUP(U167,Dex!$P$22:$Q$276,2,FALSE),"")</f>
        <v/>
      </c>
      <c r="W167" s="964"/>
      <c r="X167" s="2407"/>
      <c r="Y167" s="961" t="s">
        <v>514</v>
      </c>
      <c r="Z167" s="962">
        <f t="array" ref="Z167">IFERROR(VLOOKUP(Y153,Dex!$B$3:$N422,9,FALSE),"")</f>
        <v>55</v>
      </c>
      <c r="AA167" s="963" t="str">
        <f t="array" ref="AA167">IFERROR(VLOOKUP(Z167,Dex!$P$22:$Q$276,2,FALSE),"")</f>
        <v/>
      </c>
      <c r="AB167" s="964"/>
      <c r="AC167" s="2409"/>
      <c r="AD167" s="961" t="s">
        <v>514</v>
      </c>
      <c r="AE167" s="962">
        <f t="array" ref="AE167">IFERROR(VLOOKUP(AD153,Dex!$B$3:$N422,9,FALSE),"")</f>
        <v>62</v>
      </c>
      <c r="AF167" s="963" t="str">
        <f t="array" ref="AF167">IFERROR(VLOOKUP(AE167,Dex!$P$22:$Q$276,2,FALSE),"")</f>
        <v/>
      </c>
      <c r="AG167" s="964"/>
      <c r="AH167" s="2410"/>
      <c r="AI167" s="2411"/>
    </row>
    <row r="168" ht="16.5" customHeight="1">
      <c r="A168" s="2326"/>
      <c r="B168" s="2403"/>
      <c r="C168" s="2396"/>
      <c r="D168" s="2404"/>
      <c r="E168" s="961" t="s">
        <v>515</v>
      </c>
      <c r="F168" s="962">
        <f t="array" ref="F168">IFERROR(VLOOKUP(E153,Dex!$B$3:$N422,10,FALSE),"")</f>
        <v>79</v>
      </c>
      <c r="G168" s="963" t="str">
        <f t="array" ref="G168">IFERROR(VLOOKUP(F168,Dex!$P$22:$Q$276,2,FALSE),"")</f>
        <v/>
      </c>
      <c r="H168" s="964"/>
      <c r="I168" s="2405"/>
      <c r="J168" s="961" t="s">
        <v>515</v>
      </c>
      <c r="K168" s="962">
        <f t="array" ref="K168">IFERROR(VLOOKUP(J153,Dex!$B$3:$N422,10,FALSE),"")</f>
        <v>73</v>
      </c>
      <c r="L168" s="963" t="str">
        <f t="array" ref="L168">IFERROR(VLOOKUP(K168,Dex!$P$22:$Q$276,2,FALSE),"")</f>
        <v/>
      </c>
      <c r="M168" s="964"/>
      <c r="N168" s="2405"/>
      <c r="O168" s="961" t="s">
        <v>515</v>
      </c>
      <c r="P168" s="962">
        <f t="array" ref="P168">IFERROR(VLOOKUP(O153,Dex!$B$3:$N422,10,FALSE),"")</f>
        <v>63</v>
      </c>
      <c r="Q168" s="963" t="str">
        <f t="array" ref="Q168">IFERROR(VLOOKUP(P168,Dex!$P$22:$Q$276,2,FALSE),"")</f>
        <v/>
      </c>
      <c r="R168" s="964"/>
      <c r="S168" s="2405"/>
      <c r="T168" s="961" t="s">
        <v>515</v>
      </c>
      <c r="U168" s="962">
        <f t="array" ref="U168">IFERROR(VLOOKUP(T153,Dex!$B$3:$N422,10,FALSE),"")</f>
        <v>75</v>
      </c>
      <c r="V168" s="963" t="str">
        <f t="array" ref="V168">IFERROR(VLOOKUP(U168,Dex!$P$22:$Q$276,2,FALSE),"")</f>
        <v/>
      </c>
      <c r="W168" s="964"/>
      <c r="X168" s="2407"/>
      <c r="Y168" s="961" t="s">
        <v>515</v>
      </c>
      <c r="Z168" s="962">
        <f t="array" ref="Z168">IFERROR(VLOOKUP(Y153,Dex!$B$3:$N422,10,FALSE),"")</f>
        <v>50</v>
      </c>
      <c r="AA168" s="963" t="str">
        <f t="array" ref="AA168">IFERROR(VLOOKUP(Z168,Dex!$P$22:$Q$276,2,FALSE),"")</f>
        <v/>
      </c>
      <c r="AB168" s="964"/>
      <c r="AC168" s="2409"/>
      <c r="AD168" s="961" t="s">
        <v>515</v>
      </c>
      <c r="AE168" s="962">
        <f t="array" ref="AE168">IFERROR(VLOOKUP(AD153,Dex!$B$3:$N422,10,FALSE),"")</f>
        <v>63</v>
      </c>
      <c r="AF168" s="963" t="str">
        <f t="array" ref="AF168">IFERROR(VLOOKUP(AE168,Dex!$P$22:$Q$276,2,FALSE),"")</f>
        <v/>
      </c>
      <c r="AG168" s="964"/>
      <c r="AH168" s="2410"/>
      <c r="AI168" s="2411"/>
    </row>
    <row r="169" ht="16.5" customHeight="1">
      <c r="A169" s="2326"/>
      <c r="B169" s="2403"/>
      <c r="C169" s="2396"/>
      <c r="D169" s="2404"/>
      <c r="E169" s="961" t="s">
        <v>516</v>
      </c>
      <c r="F169" s="962">
        <f t="array" ref="F169">IFERROR(VLOOKUP(E153,Dex!$B$3:$N422,11,FALSE),"")</f>
        <v>35</v>
      </c>
      <c r="G169" s="963" t="str">
        <f t="array" ref="G169">IFERROR(VLOOKUP(F169,Dex!$P$22:$Q$276,2,FALSE),"")</f>
        <v/>
      </c>
      <c r="H169" s="964"/>
      <c r="I169" s="2405"/>
      <c r="J169" s="961" t="s">
        <v>516</v>
      </c>
      <c r="K169" s="962">
        <f t="array" ref="K169">IFERROR(VLOOKUP(J153,Dex!$B$3:$N422,11,FALSE),"")</f>
        <v>95</v>
      </c>
      <c r="L169" s="963" t="str">
        <f t="array" ref="L169">IFERROR(VLOOKUP(K169,Dex!$P$22:$Q$276,2,FALSE),"")</f>
        <v/>
      </c>
      <c r="M169" s="964"/>
      <c r="N169" s="2405"/>
      <c r="O169" s="961" t="s">
        <v>516</v>
      </c>
      <c r="P169" s="962">
        <f t="array" ref="P169">IFERROR(VLOOKUP(O153,Dex!$B$3:$N422,11,FALSE),"")</f>
        <v>98</v>
      </c>
      <c r="Q169" s="963" t="str">
        <f t="array" ref="Q169">IFERROR(VLOOKUP(P169,Dex!$P$22:$Q$276,2,FALSE),"")</f>
        <v/>
      </c>
      <c r="R169" s="964"/>
      <c r="S169" s="2405"/>
      <c r="T169" s="961" t="s">
        <v>516</v>
      </c>
      <c r="U169" s="962">
        <f t="array" ref="U169">IFERROR(VLOOKUP(T153,Dex!$B$3:$N422,11,FALSE),"")</f>
        <v>65</v>
      </c>
      <c r="V169" s="963" t="str">
        <f t="array" ref="V169">IFERROR(VLOOKUP(U169,Dex!$P$22:$Q$276,2,FALSE),"")</f>
        <v/>
      </c>
      <c r="W169" s="964"/>
      <c r="X169" s="2407"/>
      <c r="Y169" s="961" t="s">
        <v>516</v>
      </c>
      <c r="Z169" s="962">
        <f t="array" ref="Z169">IFERROR(VLOOKUP(Y153,Dex!$B$3:$N422,11,FALSE),"")</f>
        <v>45</v>
      </c>
      <c r="AA169" s="963" t="str">
        <f t="array" ref="AA169">IFERROR(VLOOKUP(Z169,Dex!$P$22:$Q$276,2,FALSE),"")</f>
        <v/>
      </c>
      <c r="AB169" s="964"/>
      <c r="AC169" s="2409"/>
      <c r="AD169" s="961" t="s">
        <v>516</v>
      </c>
      <c r="AE169" s="962">
        <f t="array" ref="AE169">IFERROR(VLOOKUP(AD153,Dex!$B$3:$N422,11,FALSE),"")</f>
        <v>80</v>
      </c>
      <c r="AF169" s="963" t="str">
        <f t="array" ref="AF169">IFERROR(VLOOKUP(AE169,Dex!$P$22:$Q$276,2,FALSE),"")</f>
        <v/>
      </c>
      <c r="AG169" s="964"/>
      <c r="AH169" s="2410"/>
      <c r="AI169" s="2411"/>
    </row>
    <row r="170" ht="16.5" customHeight="1">
      <c r="A170" s="2326"/>
      <c r="B170" s="2403"/>
      <c r="C170" s="2567"/>
      <c r="D170" s="2404"/>
      <c r="E170" s="961" t="s">
        <v>517</v>
      </c>
      <c r="F170" s="962">
        <f t="array" ref="F170">IFERROR(VLOOKUP(E153,Dex!$B$3:$N422,12,FALSE),"")</f>
        <v>110</v>
      </c>
      <c r="G170" s="963" t="str">
        <f t="array" ref="G170">IFERROR(VLOOKUP(F170,Dex!$P$22:$Q$276,2,FALSE),"")</f>
        <v/>
      </c>
      <c r="H170" s="964"/>
      <c r="I170" s="2405"/>
      <c r="J170" s="961" t="s">
        <v>517</v>
      </c>
      <c r="K170" s="962">
        <f t="array" ref="K170">IFERROR(VLOOKUP(J153,Dex!$B$3:$N422,12,FALSE),"")</f>
        <v>90</v>
      </c>
      <c r="L170" s="963" t="str">
        <f t="array" ref="L170">IFERROR(VLOOKUP(K170,Dex!$P$22:$Q$276,2,FALSE),"")</f>
        <v/>
      </c>
      <c r="M170" s="964"/>
      <c r="N170" s="2405"/>
      <c r="O170" s="961" t="s">
        <v>517</v>
      </c>
      <c r="P170" s="962">
        <f t="array" ref="P170">IFERROR(VLOOKUP(O153,Dex!$B$3:$N422,12,FALSE),"")</f>
        <v>63</v>
      </c>
      <c r="Q170" s="963" t="str">
        <f t="array" ref="Q170">IFERROR(VLOOKUP(P170,Dex!$P$22:$Q$276,2,FALSE),"")</f>
        <v/>
      </c>
      <c r="R170" s="964"/>
      <c r="S170" s="2405"/>
      <c r="T170" s="961" t="s">
        <v>517</v>
      </c>
      <c r="U170" s="962">
        <f t="array" ref="U170">IFERROR(VLOOKUP(T153,Dex!$B$3:$N422,12,FALSE),"")</f>
        <v>79</v>
      </c>
      <c r="V170" s="963" t="str">
        <f t="array" ref="V170">IFERROR(VLOOKUP(U170,Dex!$P$22:$Q$276,2,FALSE),"")</f>
        <v/>
      </c>
      <c r="W170" s="964"/>
      <c r="X170" s="2407"/>
      <c r="Y170" s="961" t="s">
        <v>517</v>
      </c>
      <c r="Z170" s="962">
        <f t="array" ref="Z170">IFERROR(VLOOKUP(Y153,Dex!$B$3:$N422,12,FALSE),"")</f>
        <v>65</v>
      </c>
      <c r="AA170" s="963" t="str">
        <f t="array" ref="AA170">IFERROR(VLOOKUP(Z170,Dex!$P$22:$Q$276,2,FALSE),"")</f>
        <v/>
      </c>
      <c r="AB170" s="964"/>
      <c r="AC170" s="2409"/>
      <c r="AD170" s="961" t="s">
        <v>517</v>
      </c>
      <c r="AE170" s="962">
        <f t="array" ref="AE170">IFERROR(VLOOKUP(AD153,Dex!$B$3:$N422,12,FALSE),"")</f>
        <v>80</v>
      </c>
      <c r="AF170" s="963" t="str">
        <f t="array" ref="AF170">IFERROR(VLOOKUP(AE170,Dex!$P$22:$Q$276,2,FALSE),"")</f>
        <v/>
      </c>
      <c r="AG170" s="964"/>
      <c r="AH170" s="2410"/>
      <c r="AI170" s="2411"/>
    </row>
    <row r="171" ht="15.75" customHeight="1">
      <c r="A171" s="2326"/>
      <c r="B171" s="2581"/>
      <c r="C171" s="1426" t="s">
        <v>745</v>
      </c>
      <c r="D171" s="2569"/>
      <c r="E171" s="965" t="s">
        <v>518</v>
      </c>
      <c r="F171" s="966">
        <f t="array" ref="F171">IFERROR(VLOOKUP(E153,Dex!$B$3:$N422,13,FALSE),"")</f>
        <v>76</v>
      </c>
      <c r="G171" s="967" t="str">
        <f t="array" ref="G171">IFERROR(VLOOKUP(F171,Dex!$P$22:$Q$276,2,FALSE),"")</f>
        <v/>
      </c>
      <c r="H171" s="968"/>
      <c r="I171" s="2405"/>
      <c r="J171" s="965" t="s">
        <v>518</v>
      </c>
      <c r="K171" s="966">
        <f t="array" ref="K171">IFERROR(VLOOKUP(J153,Dex!$B$3:$N422,13,FALSE),"")</f>
        <v>60</v>
      </c>
      <c r="L171" s="967" t="str">
        <f t="array" ref="L171">IFERROR(VLOOKUP(K171,Dex!$P$22:$Q$276,2,FALSE),"")</f>
        <v/>
      </c>
      <c r="M171" s="968"/>
      <c r="N171" s="2405"/>
      <c r="O171" s="965" t="s">
        <v>518</v>
      </c>
      <c r="P171" s="966">
        <f t="array" ref="P171">IFERROR(VLOOKUP(O153,Dex!$B$3:$N422,13,FALSE),"")</f>
        <v>101</v>
      </c>
      <c r="Q171" s="967" t="str">
        <f t="array" ref="Q171">IFERROR(VLOOKUP(P171,Dex!$P$22:$Q$276,2,FALSE),"")</f>
        <v/>
      </c>
      <c r="R171" s="968"/>
      <c r="S171" s="2405"/>
      <c r="T171" s="965" t="s">
        <v>518</v>
      </c>
      <c r="U171" s="966">
        <f t="array" ref="U171">IFERROR(VLOOKUP(T153,Dex!$B$3:$N422,13,FALSE),"")</f>
        <v>80</v>
      </c>
      <c r="V171" s="967" t="str">
        <f t="array" ref="V171">IFERROR(VLOOKUP(U171,Dex!$P$22:$Q$276,2,FALSE),"")</f>
        <v/>
      </c>
      <c r="W171" s="968"/>
      <c r="X171" s="2407"/>
      <c r="Y171" s="965" t="s">
        <v>518</v>
      </c>
      <c r="Z171" s="966">
        <f t="array" ref="Z171">IFERROR(VLOOKUP(Y153,Dex!$B$3:$N422,13,FALSE),"")</f>
        <v>55</v>
      </c>
      <c r="AA171" s="967" t="str">
        <f t="array" ref="AA171">IFERROR(VLOOKUP(Z171,Dex!$P$22:$Q$276,2,FALSE),"")</f>
        <v/>
      </c>
      <c r="AB171" s="968"/>
      <c r="AC171" s="2409"/>
      <c r="AD171" s="965" t="s">
        <v>518</v>
      </c>
      <c r="AE171" s="966">
        <f t="array" ref="AE171">IFERROR(VLOOKUP(AD153,Dex!$B$3:$N422,13,FALSE),"")</f>
        <v>60</v>
      </c>
      <c r="AF171" s="967" t="str">
        <f t="array" ref="AF171">IFERROR(VLOOKUP(AE171,Dex!$P$22:$Q$276,2,FALSE),"")</f>
        <v/>
      </c>
      <c r="AG171" s="968"/>
      <c r="AH171" s="2410"/>
      <c r="AI171" s="2411"/>
    </row>
    <row r="172" ht="16.5" customHeight="1">
      <c r="A172" s="2326"/>
      <c r="B172" s="2581"/>
      <c r="C172" s="1427" t="s">
        <v>836</v>
      </c>
      <c r="D172" s="2570"/>
      <c r="E172" s="969" t="s">
        <v>519</v>
      </c>
      <c r="F172" s="630"/>
      <c r="G172" s="631"/>
      <c r="H172" s="632">
        <f>ROUNDDOWN((ROUNDDOWN(((((2*F171+31)*27)/100+5)),0))*1.1,0)</f>
        <v>59</v>
      </c>
      <c r="I172" s="2438"/>
      <c r="J172" s="969" t="s">
        <v>519</v>
      </c>
      <c r="K172" s="630"/>
      <c r="L172" s="631"/>
      <c r="M172" s="632">
        <f>ROUNDDOWN((ROUNDDOWN(((((2*K171+31)*27)/100+5)),0))*1.1,0)</f>
        <v>49</v>
      </c>
      <c r="N172" s="2438"/>
      <c r="O172" s="969" t="s">
        <v>519</v>
      </c>
      <c r="P172" s="630"/>
      <c r="Q172" s="631"/>
      <c r="R172" s="632">
        <f>ROUNDDOWN((ROUNDDOWN(((((2*P171+31)*27)/100+5)),0))*1.1,0)</f>
        <v>73</v>
      </c>
      <c r="S172" s="2438"/>
      <c r="T172" s="969" t="s">
        <v>519</v>
      </c>
      <c r="U172" s="630"/>
      <c r="V172" s="631"/>
      <c r="W172" s="632">
        <f>ROUNDDOWN((ROUNDDOWN(((((2*U171+31)*28)/100+5)),0))*1.1,0)</f>
        <v>63</v>
      </c>
      <c r="X172" s="2582"/>
      <c r="Y172" s="971" t="s">
        <v>519</v>
      </c>
      <c r="Z172" s="635"/>
      <c r="AA172" s="636"/>
      <c r="AB172" s="632">
        <f>ROUNDDOWN((ROUNDDOWN(((((2*Z171+31)*26)/100+5)),0))*1,0)</f>
        <v>41</v>
      </c>
      <c r="AC172" s="2566"/>
      <c r="AD172" s="969" t="s">
        <v>519</v>
      </c>
      <c r="AE172" s="630"/>
      <c r="AF172" s="631"/>
      <c r="AG172" s="632">
        <f>ROUNDDOWN((ROUNDDOWN(((((2*AE171+31)*28)/100+5)),0))*1.1,0)</f>
        <v>51</v>
      </c>
      <c r="AH172" s="2410"/>
      <c r="AI172" s="2411"/>
    </row>
    <row r="173" ht="16.5" customHeight="1">
      <c r="A173" s="2326"/>
      <c r="B173" s="2583"/>
      <c r="C173" s="2396"/>
      <c r="D173" s="2573"/>
      <c r="E173" s="2396"/>
      <c r="F173" s="2396"/>
      <c r="G173" s="2396"/>
      <c r="H173" s="2396"/>
      <c r="I173" s="2574"/>
      <c r="J173" s="2396"/>
      <c r="K173" s="2396"/>
      <c r="L173" s="2396"/>
      <c r="M173" s="2396"/>
      <c r="N173" s="2574"/>
      <c r="O173" s="2396"/>
      <c r="P173" s="2396"/>
      <c r="Q173" s="2396"/>
      <c r="R173" s="2396"/>
      <c r="S173" s="2574"/>
      <c r="T173" s="2396"/>
      <c r="U173" s="2396"/>
      <c r="V173" s="2396"/>
      <c r="W173" s="2396"/>
      <c r="X173" s="2578"/>
      <c r="Y173" s="978" t="s">
        <v>1013</v>
      </c>
      <c r="Z173" s="643"/>
      <c r="AA173" s="644"/>
      <c r="AB173" s="2555">
        <f>AB172*2</f>
        <v>82</v>
      </c>
      <c r="AC173" s="2580"/>
      <c r="AD173" s="2396"/>
      <c r="AE173" s="2396"/>
      <c r="AF173" s="2396"/>
      <c r="AG173" s="2396"/>
      <c r="AH173" s="2584"/>
      <c r="AI173" s="2411"/>
    </row>
    <row r="174" ht="15.0" customHeight="1">
      <c r="A174" s="2319"/>
      <c r="B174" s="2440"/>
      <c r="C174" s="2585"/>
      <c r="D174" s="2586"/>
      <c r="E174" s="2443"/>
      <c r="F174" s="2443"/>
      <c r="G174" s="2443"/>
      <c r="H174" s="2443"/>
      <c r="I174" s="2587"/>
      <c r="J174" s="2443"/>
      <c r="K174" s="2443"/>
      <c r="L174" s="2443"/>
      <c r="M174" s="2443"/>
      <c r="N174" s="2586"/>
      <c r="O174" s="2444"/>
      <c r="P174" s="2444"/>
      <c r="Q174" s="2444"/>
      <c r="R174" s="2586"/>
      <c r="S174" s="2586"/>
      <c r="T174" s="2444"/>
      <c r="U174" s="2444"/>
      <c r="V174" s="2444"/>
      <c r="W174" s="2586"/>
      <c r="X174" s="2442"/>
      <c r="Y174" s="2444"/>
      <c r="Z174" s="2444"/>
      <c r="AA174" s="2444"/>
      <c r="AB174" s="2442"/>
      <c r="AC174" s="2442"/>
      <c r="AD174" s="2444"/>
      <c r="AE174" s="2444"/>
      <c r="AF174" s="2444"/>
      <c r="AG174" s="2442"/>
      <c r="AH174" s="2445"/>
      <c r="AI174" s="2325"/>
    </row>
    <row r="175" ht="15.0" customHeight="1">
      <c r="A175" s="2319"/>
      <c r="B175" s="2446"/>
      <c r="C175" s="2447"/>
      <c r="D175" s="2448"/>
      <c r="E175" s="2449"/>
      <c r="F175" s="2449"/>
      <c r="G175" s="2449"/>
      <c r="H175" s="2449"/>
      <c r="I175" s="2448"/>
      <c r="J175" s="2449"/>
      <c r="K175" s="2449"/>
      <c r="L175" s="2449"/>
      <c r="M175" s="2449"/>
      <c r="N175" s="2448"/>
      <c r="O175" s="2449"/>
      <c r="P175" s="2449"/>
      <c r="Q175" s="2449"/>
      <c r="R175" s="2449"/>
      <c r="S175" s="2448"/>
      <c r="T175" s="2449"/>
      <c r="U175" s="2449"/>
      <c r="V175" s="2449"/>
      <c r="W175" s="2449"/>
      <c r="X175" s="2448"/>
      <c r="Y175" s="2449"/>
      <c r="Z175" s="2449"/>
      <c r="AA175" s="2449"/>
      <c r="AB175" s="2449"/>
      <c r="AC175" s="2448"/>
      <c r="AD175" s="2449"/>
      <c r="AE175" s="2449"/>
      <c r="AF175" s="2449"/>
      <c r="AG175" s="2449"/>
      <c r="AH175" s="2450"/>
      <c r="AI175" s="2325"/>
    </row>
    <row r="176" ht="96.75" customHeight="1">
      <c r="A176" s="2319"/>
      <c r="B176" s="2451"/>
      <c r="C176" s="2452" t="str">
        <f>IMAGE("https://i.ibb.co/rpm30sn/Brendan.png")</f>
        <v/>
      </c>
      <c r="D176" s="2453"/>
      <c r="E176" s="2588" t="str">
        <f t="array" ref="E176">IFERROR(VLOOKUP(E177,Dex!$B$3:$G422,3,FALSE),"")</f>
        <v/>
      </c>
      <c r="F176" s="1945"/>
      <c r="G176" s="1945"/>
      <c r="H176" s="1946"/>
      <c r="I176" s="2453"/>
      <c r="J176" s="2588" t="str">
        <f t="array" ref="J176">IFERROR(VLOOKUP(J177,Dex!$B$3:$G422,3,FALSE),"")</f>
        <v/>
      </c>
      <c r="K176" s="1945"/>
      <c r="L176" s="1945"/>
      <c r="M176" s="1946"/>
      <c r="N176" s="2453"/>
      <c r="O176" s="2588" t="str">
        <f t="array" ref="O176">IFERROR(VLOOKUP(O177,Dex!$B$3:$G422,3,FALSE),"")</f>
        <v/>
      </c>
      <c r="P176" s="1945"/>
      <c r="Q176" s="1945"/>
      <c r="R176" s="1946"/>
      <c r="S176" s="2453"/>
      <c r="T176" s="2588" t="str">
        <f t="array" ref="T176">IFERROR(VLOOKUP(T177,Dex!$B$3:$G422,3,FALSE),"")</f>
        <v/>
      </c>
      <c r="U176" s="1945"/>
      <c r="V176" s="1945"/>
      <c r="W176" s="1946"/>
      <c r="X176" s="2456"/>
      <c r="Y176" s="2588" t="str">
        <f t="array" ref="Y176">IFERROR(VLOOKUP(Y177,Dex!$B$3:$G422,3,FALSE),"")</f>
        <v/>
      </c>
      <c r="Z176" s="1945"/>
      <c r="AA176" s="1945"/>
      <c r="AB176" s="1946"/>
      <c r="AC176" s="2456"/>
      <c r="AD176" s="2588" t="str">
        <f t="array" ref="AD176">IFERROR(VLOOKUP(AD177,Dex!$B$3:$G422,3,FALSE),"")</f>
        <v/>
      </c>
      <c r="AE176" s="1945"/>
      <c r="AF176" s="1945"/>
      <c r="AG176" s="1946"/>
      <c r="AH176" s="2589"/>
      <c r="AI176" s="2325"/>
    </row>
    <row r="177" ht="18.75" customHeight="1">
      <c r="A177" s="2347"/>
      <c r="B177" s="2463"/>
      <c r="C177" s="2464" t="s">
        <v>1029</v>
      </c>
      <c r="D177" s="2465"/>
      <c r="E177" s="2466" t="s">
        <v>1030</v>
      </c>
      <c r="F177" s="2467"/>
      <c r="G177" s="2467"/>
      <c r="H177" s="2468"/>
      <c r="I177" s="2465"/>
      <c r="J177" s="2466" t="s">
        <v>1031</v>
      </c>
      <c r="K177" s="2467"/>
      <c r="L177" s="2467"/>
      <c r="M177" s="2468"/>
      <c r="N177" s="2465"/>
      <c r="O177" s="2466" t="s">
        <v>1032</v>
      </c>
      <c r="P177" s="2467"/>
      <c r="Q177" s="2467"/>
      <c r="R177" s="2468"/>
      <c r="S177" s="2465"/>
      <c r="T177" s="2466" t="s">
        <v>1033</v>
      </c>
      <c r="U177" s="2467"/>
      <c r="V177" s="2467"/>
      <c r="W177" s="2468"/>
      <c r="Y177" s="2466" t="s">
        <v>1034</v>
      </c>
      <c r="Z177" s="2467"/>
      <c r="AA177" s="2467"/>
      <c r="AB177" s="2468"/>
      <c r="AD177" s="2466" t="s">
        <v>1035</v>
      </c>
      <c r="AE177" s="2467"/>
      <c r="AF177" s="2467"/>
      <c r="AG177" s="2468"/>
      <c r="AH177" s="2590"/>
      <c r="AI177" s="2357"/>
    </row>
    <row r="178">
      <c r="A178" s="2473"/>
      <c r="B178" s="2474"/>
      <c r="C178" s="556"/>
      <c r="D178" s="2475"/>
      <c r="E178" s="2476" t="s">
        <v>1036</v>
      </c>
      <c r="F178" s="2477"/>
      <c r="G178" s="2477"/>
      <c r="H178" s="2478"/>
      <c r="I178" s="2479"/>
      <c r="J178" s="2476" t="s">
        <v>1036</v>
      </c>
      <c r="K178" s="2477"/>
      <c r="L178" s="2477"/>
      <c r="M178" s="2478"/>
      <c r="N178" s="2479"/>
      <c r="O178" s="2476" t="s">
        <v>1036</v>
      </c>
      <c r="P178" s="2477"/>
      <c r="Q178" s="2477"/>
      <c r="R178" s="2478"/>
      <c r="S178" s="2479"/>
      <c r="T178" s="2476" t="s">
        <v>1036</v>
      </c>
      <c r="U178" s="2477"/>
      <c r="V178" s="2477"/>
      <c r="W178" s="2478"/>
      <c r="Y178" s="2476" t="s">
        <v>1036</v>
      </c>
      <c r="Z178" s="2477"/>
      <c r="AA178" s="2477"/>
      <c r="AB178" s="2478"/>
      <c r="AD178" s="2476" t="s">
        <v>1036</v>
      </c>
      <c r="AE178" s="2477"/>
      <c r="AF178" s="2477"/>
      <c r="AG178" s="2478"/>
      <c r="AH178" s="2591"/>
      <c r="AI178" s="2481"/>
    </row>
    <row r="179" ht="25.5" customHeight="1">
      <c r="A179" s="2319"/>
      <c r="B179" s="2482"/>
      <c r="C179" s="2483"/>
      <c r="D179" s="2458"/>
      <c r="E179" s="2484"/>
      <c r="F179" s="2485" t="str">
        <f t="array" ref="F179">IFERROR(VLOOKUP(E177,Dex!$B$3:$H422,5,FALSE),"")</f>
        <v/>
      </c>
      <c r="G179" s="2486" t="str">
        <f t="array" ref="G179">IFERROR(VLOOKUP(E177,Dex!$B$3:$H422,7,FALSE),"")</f>
        <v/>
      </c>
      <c r="H179" s="2487"/>
      <c r="I179" s="2470"/>
      <c r="J179" s="2484"/>
      <c r="K179" s="2488" t="str">
        <f t="array" ref="K179">IFERROR(VLOOKUP(J177,Dex!$B$3:$H422,5,FALSE),"")</f>
        <v/>
      </c>
      <c r="L179" s="2489"/>
      <c r="M179" s="2487"/>
      <c r="N179" s="2470"/>
      <c r="O179" s="2484"/>
      <c r="P179" s="2488" t="str">
        <f t="array" ref="P179">IFERROR(VLOOKUP(O177,Dex!$B$3:$H422,5,FALSE),"")</f>
        <v/>
      </c>
      <c r="Q179" s="2489"/>
      <c r="R179" s="2487"/>
      <c r="S179" s="2470"/>
      <c r="T179" s="2484"/>
      <c r="U179" s="2485" t="str">
        <f t="array" ref="U179">IFERROR(VLOOKUP(T177,Dex!$B$3:$H422,5,FALSE),"")</f>
        <v/>
      </c>
      <c r="V179" s="2486" t="str">
        <f t="array" ref="V179">IFERROR(VLOOKUP(T177,Dex!$B$3:$H422,7,FALSE),"")</f>
        <v/>
      </c>
      <c r="W179" s="2487"/>
      <c r="Y179" s="2484"/>
      <c r="Z179" s="2485" t="str">
        <f t="array" ref="Z179">IFERROR(VLOOKUP(Y177,Dex!$B$3:$H422,5,FALSE),"")</f>
        <v/>
      </c>
      <c r="AA179" s="2486" t="str">
        <f t="array" ref="AA179">IFERROR(VLOOKUP(Y177,Dex!$B$3:$H422,7,FALSE),"")</f>
        <v/>
      </c>
      <c r="AB179" s="2487"/>
      <c r="AD179" s="2484"/>
      <c r="AE179" s="2488" t="str">
        <f t="array" ref="AE179">IFERROR(VLOOKUP(AD177,Dex!$B$3:$H422,5,FALSE),"")</f>
        <v/>
      </c>
      <c r="AF179" s="2489"/>
      <c r="AG179" s="2487"/>
      <c r="AH179" s="2462"/>
      <c r="AI179" s="2325"/>
    </row>
    <row r="180" ht="2.25" customHeight="1">
      <c r="A180" s="2319"/>
      <c r="B180" s="2482"/>
      <c r="C180" s="2471"/>
      <c r="D180" s="2458"/>
      <c r="E180" s="2490"/>
      <c r="F180" s="2491"/>
      <c r="G180" s="2491"/>
      <c r="H180" s="2492"/>
      <c r="I180" s="2470"/>
      <c r="J180" s="2490"/>
      <c r="K180" s="2491"/>
      <c r="L180" s="2491"/>
      <c r="M180" s="2492"/>
      <c r="N180" s="2470"/>
      <c r="O180" s="2490"/>
      <c r="P180" s="2491"/>
      <c r="Q180" s="2491"/>
      <c r="R180" s="2492"/>
      <c r="S180" s="2470"/>
      <c r="T180" s="2490"/>
      <c r="U180" s="2491"/>
      <c r="V180" s="2491"/>
      <c r="W180" s="2492"/>
      <c r="Y180" s="2490"/>
      <c r="Z180" s="2491"/>
      <c r="AA180" s="2491"/>
      <c r="AB180" s="2492"/>
      <c r="AD180" s="2490"/>
      <c r="AE180" s="2491"/>
      <c r="AF180" s="2491"/>
      <c r="AG180" s="2492"/>
      <c r="AH180" s="2462"/>
      <c r="AI180" s="2325"/>
    </row>
    <row r="181" ht="20.25" customHeight="1">
      <c r="A181" s="2319"/>
      <c r="B181" s="2482"/>
      <c r="C181" s="2494"/>
      <c r="D181" s="2458"/>
      <c r="E181" s="2495" t="s">
        <v>566</v>
      </c>
      <c r="F181" s="2496"/>
      <c r="G181" s="2496"/>
      <c r="H181" s="2497"/>
      <c r="I181" s="2498"/>
      <c r="J181" s="2495" t="s">
        <v>532</v>
      </c>
      <c r="K181" s="2496"/>
      <c r="L181" s="2496"/>
      <c r="M181" s="2497"/>
      <c r="N181" s="2498"/>
      <c r="O181" s="2495" t="s">
        <v>564</v>
      </c>
      <c r="P181" s="2496"/>
      <c r="Q181" s="2496"/>
      <c r="R181" s="2497"/>
      <c r="S181" s="2498"/>
      <c r="T181" s="2495" t="s">
        <v>564</v>
      </c>
      <c r="U181" s="2496"/>
      <c r="V181" s="2496"/>
      <c r="W181" s="2497"/>
      <c r="Y181" s="2495" t="s">
        <v>532</v>
      </c>
      <c r="Z181" s="2496"/>
      <c r="AA181" s="2496"/>
      <c r="AB181" s="2497"/>
      <c r="AD181" s="2495" t="s">
        <v>566</v>
      </c>
      <c r="AE181" s="2496"/>
      <c r="AF181" s="2496"/>
      <c r="AG181" s="2497"/>
      <c r="AH181" s="2589"/>
      <c r="AI181" s="2325"/>
    </row>
    <row r="182" ht="20.25" customHeight="1">
      <c r="A182" s="2319"/>
      <c r="B182" s="2482"/>
      <c r="C182" s="2499"/>
      <c r="D182" s="2458"/>
      <c r="E182" s="2500" t="s">
        <v>84</v>
      </c>
      <c r="F182" s="2459"/>
      <c r="G182" s="2459"/>
      <c r="H182" s="2501"/>
      <c r="I182" s="2498"/>
      <c r="J182" s="2500" t="s">
        <v>1037</v>
      </c>
      <c r="K182" s="2459"/>
      <c r="L182" s="2459"/>
      <c r="M182" s="2501"/>
      <c r="N182" s="2498"/>
      <c r="O182" s="2500" t="s">
        <v>1038</v>
      </c>
      <c r="P182" s="2459"/>
      <c r="Q182" s="2459"/>
      <c r="R182" s="2501"/>
      <c r="S182" s="2498"/>
      <c r="T182" s="2500" t="s">
        <v>89</v>
      </c>
      <c r="U182" s="2459"/>
      <c r="V182" s="2459"/>
      <c r="W182" s="2501"/>
      <c r="Y182" s="2500" t="s">
        <v>986</v>
      </c>
      <c r="Z182" s="2459"/>
      <c r="AA182" s="2459"/>
      <c r="AB182" s="2501"/>
      <c r="AD182" s="2500" t="s">
        <v>856</v>
      </c>
      <c r="AE182" s="2459"/>
      <c r="AF182" s="2459"/>
      <c r="AG182" s="2501"/>
      <c r="AH182" s="2589"/>
      <c r="AI182" s="2325"/>
    </row>
    <row r="183" ht="20.25" customHeight="1">
      <c r="A183" s="2319"/>
      <c r="B183" s="2482"/>
      <c r="C183" s="2471"/>
      <c r="D183" s="2458"/>
      <c r="E183" s="2502" t="s">
        <v>573</v>
      </c>
      <c r="F183" s="2503"/>
      <c r="G183" s="2504"/>
      <c r="H183" s="2592" t="str">
        <f>IMAGE("https://raw.githubusercontent.com/msikma/pokesprite/master/items/hold-item/focus-sash.png",3)</f>
        <v/>
      </c>
      <c r="I183" s="2470"/>
      <c r="J183" s="2502" t="s">
        <v>733</v>
      </c>
      <c r="K183" s="2503"/>
      <c r="L183" s="2504"/>
      <c r="M183" s="2592" t="str">
        <f>IMAGE("https://raw.githubusercontent.com/msikma/pokesprite/master/items/hold-item/leftovers.png",3)</f>
        <v/>
      </c>
      <c r="N183" s="2470"/>
      <c r="O183" s="2502" t="s">
        <v>829</v>
      </c>
      <c r="P183" s="2503"/>
      <c r="Q183" s="2504"/>
      <c r="R183" s="2592" t="str">
        <f>IMAGE("https://raw.githubusercontent.com/msikma/pokesprite/master/items/hold-item/magnet.png",3)</f>
        <v/>
      </c>
      <c r="S183" s="2470"/>
      <c r="T183" s="2502" t="s">
        <v>733</v>
      </c>
      <c r="U183" s="2503"/>
      <c r="V183" s="2504"/>
      <c r="W183" s="2592" t="str">
        <f>IMAGE("https://raw.githubusercontent.com/msikma/pokesprite/master/items/hold-item/leftovers.png",3)</f>
        <v/>
      </c>
      <c r="Y183" s="2502" t="s">
        <v>541</v>
      </c>
      <c r="Z183" s="2503"/>
      <c r="AA183" s="2504"/>
      <c r="AB183" s="2592" t="str">
        <f>IMAGE("https://raw.githubusercontent.com/msikma/pokesprite/master/items/hold-item/life-orb.png",3)</f>
        <v/>
      </c>
      <c r="AD183" s="2502" t="s">
        <v>1039</v>
      </c>
      <c r="AE183" s="2503"/>
      <c r="AF183" s="2504"/>
      <c r="AG183" s="2592" t="str">
        <f>IMAGE("https://raw.githubusercontent.com/msikma/pokesprite/master/items/hold-item/flame-orb.png",3)</f>
        <v/>
      </c>
      <c r="AH183" s="2462"/>
      <c r="AI183" s="2325"/>
    </row>
    <row r="184" ht="20.25" customHeight="1">
      <c r="A184" s="2319"/>
      <c r="B184" s="2482"/>
      <c r="C184" s="2494"/>
      <c r="D184" s="2458"/>
      <c r="E184" s="2495" t="s">
        <v>974</v>
      </c>
      <c r="F184" s="2496"/>
      <c r="G184" s="2496"/>
      <c r="H184" s="2506" t="str">
        <f t="shared" ref="H184:H185" si="10">IMAGE("https://raw.githubusercontent.com/msikma/pokesprite/master/misc/types/gen8/water.png",4,20,20)</f>
        <v/>
      </c>
      <c r="I184" s="2470"/>
      <c r="J184" s="2495" t="s">
        <v>1040</v>
      </c>
      <c r="K184" s="2496"/>
      <c r="L184" s="2496"/>
      <c r="M184" s="2506" t="str">
        <f>IMAGE("https://raw.githubusercontent.com/msikma/pokesprite/master/misc/types/gen8/normal.png",4,20,20)</f>
        <v/>
      </c>
      <c r="N184" s="2470"/>
      <c r="O184" s="2495" t="s">
        <v>581</v>
      </c>
      <c r="P184" s="2496"/>
      <c r="Q184" s="2496"/>
      <c r="R184" s="2506" t="str">
        <f>IMAGE("https://raw.githubusercontent.com/msikma/pokesprite/master/misc/types/gen8/electric.png",4,20,20)</f>
        <v/>
      </c>
      <c r="S184" s="2470"/>
      <c r="T184" s="2495" t="s">
        <v>669</v>
      </c>
      <c r="U184" s="2496"/>
      <c r="V184" s="2496"/>
      <c r="W184" s="2506" t="str">
        <f t="shared" ref="W184:W185" si="11">IMAGE("https://raw.githubusercontent.com/msikma/pokesprite/master/misc/types/gen8/psychic.png",4,20,20)</f>
        <v/>
      </c>
      <c r="Y184" s="2495" t="s">
        <v>287</v>
      </c>
      <c r="Z184" s="2496"/>
      <c r="AA184" s="2496"/>
      <c r="AB184" s="2506" t="str">
        <f>IMAGE("https://raw.githubusercontent.com/msikma/pokesprite/master/misc/types/gen8/normal.png",4,20,20)</f>
        <v/>
      </c>
      <c r="AD184" s="2495" t="s">
        <v>548</v>
      </c>
      <c r="AE184" s="2496"/>
      <c r="AF184" s="2496"/>
      <c r="AG184" s="2506" t="str">
        <f>IMAGE("https://raw.githubusercontent.com/msikma/pokesprite/master/misc/types/gen8/fighting.png",4,20,20)</f>
        <v/>
      </c>
      <c r="AH184" s="2462"/>
      <c r="AI184" s="2325"/>
    </row>
    <row r="185" ht="20.25" customHeight="1">
      <c r="A185" s="2319"/>
      <c r="B185" s="2482"/>
      <c r="C185" s="2507"/>
      <c r="D185" s="2458"/>
      <c r="E185" s="2500" t="s">
        <v>845</v>
      </c>
      <c r="F185" s="2459"/>
      <c r="G185" s="2459"/>
      <c r="H185" s="2508" t="str">
        <f t="shared" si="10"/>
        <v/>
      </c>
      <c r="I185" s="2470"/>
      <c r="J185" s="2500" t="s">
        <v>579</v>
      </c>
      <c r="K185" s="2459"/>
      <c r="L185" s="2459"/>
      <c r="M185" s="2508" t="str">
        <f>IMAGE("https://raw.githubusercontent.com/msikma/pokesprite/master/misc/types/gen8/dark.png",4,20,20)</f>
        <v/>
      </c>
      <c r="N185" s="2470"/>
      <c r="O185" s="2500" t="s">
        <v>742</v>
      </c>
      <c r="P185" s="2459"/>
      <c r="Q185" s="2459"/>
      <c r="R185" s="2508" t="str">
        <f>IMAGE("https://raw.githubusercontent.com/msikma/pokesprite/master/misc/types/gen8/grass.png",4,20,20)</f>
        <v/>
      </c>
      <c r="S185" s="2470"/>
      <c r="T185" s="2500" t="s">
        <v>170</v>
      </c>
      <c r="U185" s="2459"/>
      <c r="V185" s="2459"/>
      <c r="W185" s="2508" t="str">
        <f t="shared" si="11"/>
        <v/>
      </c>
      <c r="Y185" s="2500" t="s">
        <v>1041</v>
      </c>
      <c r="Z185" s="2459"/>
      <c r="AA185" s="2459"/>
      <c r="AB185" s="2508" t="str">
        <f>IMAGE("https://raw.githubusercontent.com/msikma/pokesprite/master/misc/types/gen8/grass.png",4,20,20)</f>
        <v/>
      </c>
      <c r="AD185" s="2500" t="s">
        <v>831</v>
      </c>
      <c r="AE185" s="2459"/>
      <c r="AF185" s="2459"/>
      <c r="AG185" s="2508" t="str">
        <f>IMAGE("https://raw.githubusercontent.com/msikma/pokesprite/master/misc/types/gen8/steel.png",4,20,20)</f>
        <v/>
      </c>
      <c r="AH185" s="2462"/>
      <c r="AI185" s="2325"/>
    </row>
    <row r="186" ht="20.25" customHeight="1">
      <c r="A186" s="2319"/>
      <c r="B186" s="2482"/>
      <c r="C186" s="2507"/>
      <c r="D186" s="2458"/>
      <c r="E186" s="2500" t="s">
        <v>579</v>
      </c>
      <c r="F186" s="2459"/>
      <c r="G186" s="2459"/>
      <c r="H186" s="2508" t="str">
        <f>IMAGE("https://raw.githubusercontent.com/msikma/pokesprite/master/misc/types/gen8/dark.png",4,20,20)</f>
        <v/>
      </c>
      <c r="I186" s="2470"/>
      <c r="J186" s="2500" t="s">
        <v>1023</v>
      </c>
      <c r="K186" s="2459"/>
      <c r="L186" s="2459"/>
      <c r="M186" s="2508" t="str">
        <f>IMAGE("https://raw.githubusercontent.com/msikma/pokesprite/master/misc/types/gen8/fighting.png",4,20,20)</f>
        <v/>
      </c>
      <c r="N186" s="2470"/>
      <c r="O186" s="2500" t="s">
        <v>592</v>
      </c>
      <c r="P186" s="2459"/>
      <c r="Q186" s="2459"/>
      <c r="R186" s="2508" t="str">
        <f>IMAGE("https://raw.githubusercontent.com/msikma/pokesprite/master/misc/types/gen8/water.png",4,20,20)</f>
        <v/>
      </c>
      <c r="S186" s="2470"/>
      <c r="T186" s="2500" t="s">
        <v>641</v>
      </c>
      <c r="U186" s="2459"/>
      <c r="V186" s="2459"/>
      <c r="W186" s="2508" t="str">
        <f>IMAGE("https://raw.githubusercontent.com/msikma/pokesprite/master/misc/types/gen8/fairy.png",4,20,20)</f>
        <v/>
      </c>
      <c r="Y186" s="2500" t="s">
        <v>548</v>
      </c>
      <c r="Z186" s="2459"/>
      <c r="AA186" s="2459"/>
      <c r="AB186" s="2508" t="str">
        <f>IMAGE("https://raw.githubusercontent.com/msikma/pokesprite/master/misc/types/gen8/fighting.png",4,20,20)</f>
        <v/>
      </c>
      <c r="AD186" s="2500" t="s">
        <v>579</v>
      </c>
      <c r="AE186" s="2459"/>
      <c r="AF186" s="2459"/>
      <c r="AG186" s="2508" t="str">
        <f>IMAGE("https://raw.githubusercontent.com/msikma/pokesprite/master/misc/types/gen8/dark.png",4,20,20)</f>
        <v/>
      </c>
      <c r="AH186" s="2462"/>
      <c r="AI186" s="2325"/>
    </row>
    <row r="187" ht="21.0" customHeight="1">
      <c r="A187" s="2319"/>
      <c r="B187" s="2482"/>
      <c r="C187" s="2507"/>
      <c r="D187" s="2458"/>
      <c r="E187" s="2509" t="s">
        <v>830</v>
      </c>
      <c r="F187" s="2510"/>
      <c r="G187" s="2510"/>
      <c r="H187" s="2511" t="str">
        <f>IMAGE("https://raw.githubusercontent.com/msikma/pokesprite/master/misc/types/gen8/bug.png",4,20,20)</f>
        <v/>
      </c>
      <c r="I187" s="2470"/>
      <c r="J187" s="2509" t="s">
        <v>507</v>
      </c>
      <c r="K187" s="2510"/>
      <c r="L187" s="2510"/>
      <c r="M187" s="2511" t="str">
        <f>IMAGE("https://raw.githubusercontent.com/msikma/pokesprite/master/misc/types/gen8/normal.png",4,20,20)</f>
        <v/>
      </c>
      <c r="N187" s="2498"/>
      <c r="O187" s="2509" t="s">
        <v>587</v>
      </c>
      <c r="P187" s="2510"/>
      <c r="Q187" s="2510"/>
      <c r="R187" s="2511" t="str">
        <f>IMAGE("https://raw.githubusercontent.com/msikma/pokesprite/master/misc/types/gen8/ice.png",4,20,20)</f>
        <v/>
      </c>
      <c r="S187" s="2470"/>
      <c r="T187" s="2509" t="s">
        <v>862</v>
      </c>
      <c r="U187" s="2510"/>
      <c r="V187" s="2510"/>
      <c r="W187" s="2511" t="str">
        <f>IMAGE("https://raw.githubusercontent.com/msikma/pokesprite/master/misc/types/gen8/fire.png",4,20,20)</f>
        <v/>
      </c>
      <c r="X187" s="2512"/>
      <c r="Y187" s="2509" t="s">
        <v>588</v>
      </c>
      <c r="Z187" s="2510"/>
      <c r="AA187" s="2510"/>
      <c r="AB187" s="2511" t="str">
        <f>IMAGE("https://raw.githubusercontent.com/msikma/pokesprite/master/misc/types/gen8/rock.png",4,20,20)</f>
        <v/>
      </c>
      <c r="AC187" s="2512"/>
      <c r="AD187" s="2509" t="s">
        <v>777</v>
      </c>
      <c r="AE187" s="2510"/>
      <c r="AF187" s="2510"/>
      <c r="AG187" s="2511" t="str">
        <f>IMAGE("https://raw.githubusercontent.com/msikma/pokesprite/master/misc/types/gen8/normal.png",4,20,20)</f>
        <v/>
      </c>
      <c r="AH187" s="2462"/>
      <c r="AI187" s="2325"/>
    </row>
    <row r="188" ht="3.0" customHeight="1">
      <c r="A188" s="2394"/>
      <c r="B188" s="2514"/>
      <c r="C188" s="2515"/>
      <c r="D188" s="2516"/>
      <c r="E188" s="2517"/>
      <c r="F188" s="2517"/>
      <c r="G188" s="2517"/>
      <c r="H188" s="2593"/>
      <c r="I188" s="2516"/>
      <c r="J188" s="2517"/>
      <c r="K188" s="2517"/>
      <c r="L188" s="2517"/>
      <c r="M188" s="2517"/>
      <c r="N188" s="2516"/>
      <c r="O188" s="2517"/>
      <c r="P188" s="2517"/>
      <c r="Q188" s="2517"/>
      <c r="R188" s="2593"/>
      <c r="S188" s="2516"/>
      <c r="T188" s="2517"/>
      <c r="U188" s="2517"/>
      <c r="V188" s="2517"/>
      <c r="W188" s="2593"/>
      <c r="X188" s="2516"/>
      <c r="Y188" s="2517"/>
      <c r="Z188" s="2517"/>
      <c r="AA188" s="2517"/>
      <c r="AB188" s="2593"/>
      <c r="AC188" s="2519"/>
      <c r="AD188" s="2517"/>
      <c r="AE188" s="2517"/>
      <c r="AF188" s="2517"/>
      <c r="AG188" s="2593"/>
      <c r="AH188" s="2520"/>
      <c r="AI188" s="2402"/>
    </row>
    <row r="189" ht="16.5" customHeight="1">
      <c r="A189" s="2326"/>
      <c r="B189" s="2521"/>
      <c r="C189" s="2515"/>
      <c r="D189" s="2522"/>
      <c r="E189" s="2523" t="s">
        <v>512</v>
      </c>
      <c r="F189" s="606"/>
      <c r="G189" s="606"/>
      <c r="H189" s="607"/>
      <c r="I189" s="2594"/>
      <c r="J189" s="2523" t="s">
        <v>512</v>
      </c>
      <c r="K189" s="606"/>
      <c r="L189" s="606"/>
      <c r="M189" s="607"/>
      <c r="N189" s="2595"/>
      <c r="O189" s="2523" t="s">
        <v>512</v>
      </c>
      <c r="P189" s="606"/>
      <c r="Q189" s="606"/>
      <c r="R189" s="607"/>
      <c r="S189" s="2595"/>
      <c r="T189" s="2523" t="s">
        <v>512</v>
      </c>
      <c r="U189" s="606"/>
      <c r="V189" s="606"/>
      <c r="W189" s="607"/>
      <c r="X189" s="2596"/>
      <c r="Y189" s="2523" t="s">
        <v>512</v>
      </c>
      <c r="Z189" s="606"/>
      <c r="AA189" s="606"/>
      <c r="AB189" s="607"/>
      <c r="AC189" s="2526"/>
      <c r="AD189" s="2523" t="s">
        <v>512</v>
      </c>
      <c r="AE189" s="606"/>
      <c r="AF189" s="606"/>
      <c r="AG189" s="607"/>
      <c r="AH189" s="2529"/>
      <c r="AI189" s="2411"/>
    </row>
    <row r="190" ht="16.5" customHeight="1">
      <c r="A190" s="2326"/>
      <c r="B190" s="2521"/>
      <c r="C190" s="2515"/>
      <c r="D190" s="2522"/>
      <c r="E190" s="2530" t="s">
        <v>513</v>
      </c>
      <c r="F190" s="2531">
        <f t="array" ref="F190">IFERROR(VLOOKUP(E177,Dex!$B$3:$N422,8,FALSE),"")</f>
        <v>63</v>
      </c>
      <c r="G190" s="2532" t="str">
        <f t="array" ref="G190">IFERROR(VLOOKUP(F190,Dex!$P$22:$Q$276,2,FALSE),"")</f>
        <v/>
      </c>
      <c r="H190" s="2533"/>
      <c r="I190" s="2597"/>
      <c r="J190" s="2530" t="s">
        <v>513</v>
      </c>
      <c r="K190" s="2531">
        <f t="array" ref="K190">IFERROR(VLOOKUP(J177,Dex!$B$3:$N422,8,FALSE),"")</f>
        <v>150</v>
      </c>
      <c r="L190" s="2532" t="str">
        <f t="array" ref="L190">IFERROR(VLOOKUP(K190,Dex!$P$22:$Q$276,2,FALSE),"")</f>
        <v/>
      </c>
      <c r="M190" s="2533"/>
      <c r="N190" s="2598"/>
      <c r="O190" s="2530" t="s">
        <v>513</v>
      </c>
      <c r="P190" s="2531">
        <f t="array" ref="P190">IFERROR(VLOOKUP(O177,Dex!$B$3:$N422,8,FALSE),"")</f>
        <v>60</v>
      </c>
      <c r="Q190" s="2532" t="str">
        <f t="array" ref="Q190">IFERROR(VLOOKUP(P190,Dex!$P$22:$Q$276,2,FALSE),"")</f>
        <v/>
      </c>
      <c r="R190" s="2533"/>
      <c r="S190" s="2598"/>
      <c r="T190" s="2530" t="s">
        <v>513</v>
      </c>
      <c r="U190" s="2531">
        <f t="array" ref="U190">IFERROR(VLOOKUP(T177,Dex!$B$3:$N422,8,FALSE),"")</f>
        <v>68</v>
      </c>
      <c r="V190" s="2532" t="str">
        <f t="array" ref="V190">IFERROR(VLOOKUP(U190,Dex!$P$22:$Q$276,2,FALSE),"")</f>
        <v/>
      </c>
      <c r="W190" s="2533"/>
      <c r="X190" s="2599"/>
      <c r="Y190" s="2530" t="s">
        <v>513</v>
      </c>
      <c r="Z190" s="2531">
        <f t="array" ref="Z190">IFERROR(VLOOKUP(Y177,Dex!$B$3:$N422,8,FALSE),"")</f>
        <v>70</v>
      </c>
      <c r="AA190" s="2532" t="str">
        <f t="array" ref="AA190">IFERROR(VLOOKUP(Z190,Dex!$P$22:$Q$276,2,FALSE),"")</f>
        <v/>
      </c>
      <c r="AB190" s="2533"/>
      <c r="AC190" s="2527"/>
      <c r="AD190" s="2530" t="s">
        <v>513</v>
      </c>
      <c r="AE190" s="2531">
        <f t="array" ref="AE190">IFERROR(VLOOKUP(AD177,Dex!$B$3:$N422,8,FALSE),"")</f>
        <v>144</v>
      </c>
      <c r="AF190" s="2532" t="str">
        <f t="array" ref="AF190">IFERROR(VLOOKUP(AE190,Dex!$P$22:$Q$276,2,FALSE),"")</f>
        <v/>
      </c>
      <c r="AG190" s="2533"/>
      <c r="AH190" s="2529"/>
      <c r="AI190" s="2411"/>
    </row>
    <row r="191" ht="16.5" customHeight="1">
      <c r="A191" s="2326"/>
      <c r="B191" s="2521"/>
      <c r="C191" s="2515"/>
      <c r="D191" s="2522"/>
      <c r="E191" s="2537" t="s">
        <v>514</v>
      </c>
      <c r="F191" s="2538">
        <f t="array" ref="F191">IFERROR(VLOOKUP(E177,Dex!$B$3:$N422,9,FALSE),"")</f>
        <v>120</v>
      </c>
      <c r="G191" s="2539" t="str">
        <f t="array" ref="G191">IFERROR(VLOOKUP(F191,Dex!$P$22:$Q$276,2,FALSE),"")</f>
        <v/>
      </c>
      <c r="H191" s="2540"/>
      <c r="I191" s="2597"/>
      <c r="J191" s="2537" t="s">
        <v>514</v>
      </c>
      <c r="K191" s="2538">
        <f t="array" ref="K191">IFERROR(VLOOKUP(J177,Dex!$B$3:$N422,9,FALSE),"")</f>
        <v>160</v>
      </c>
      <c r="L191" s="2539" t="str">
        <f t="array" ref="L191">IFERROR(VLOOKUP(K191,Dex!$P$22:$Q$276,2,FALSE),"")</f>
        <v/>
      </c>
      <c r="M191" s="2540"/>
      <c r="N191" s="2598"/>
      <c r="O191" s="2537" t="s">
        <v>514</v>
      </c>
      <c r="P191" s="2538">
        <f t="array" ref="P191">IFERROR(VLOOKUP(O177,Dex!$B$3:$N422,9,FALSE),"")</f>
        <v>50</v>
      </c>
      <c r="Q191" s="2539" t="str">
        <f t="array" ref="Q191">IFERROR(VLOOKUP(P191,Dex!$P$22:$Q$276,2,FALSE),"")</f>
        <v/>
      </c>
      <c r="R191" s="2540"/>
      <c r="S191" s="2598"/>
      <c r="T191" s="2537" t="s">
        <v>514</v>
      </c>
      <c r="U191" s="2538">
        <f t="array" ref="U191">IFERROR(VLOOKUP(T177,Dex!$B$3:$N422,9,FALSE),"")</f>
        <v>65</v>
      </c>
      <c r="V191" s="2539" t="str">
        <f t="array" ref="V191">IFERROR(VLOOKUP(U191,Dex!$P$22:$Q$276,2,FALSE),"")</f>
        <v/>
      </c>
      <c r="W191" s="2540"/>
      <c r="X191" s="2599"/>
      <c r="Y191" s="2537" t="s">
        <v>514</v>
      </c>
      <c r="Z191" s="2538">
        <f t="array" ref="Z191">IFERROR(VLOOKUP(Y177,Dex!$B$3:$N422,9,FALSE),"")</f>
        <v>105</v>
      </c>
      <c r="AA191" s="2539" t="str">
        <f t="array" ref="AA191">IFERROR(VLOOKUP(Z191,Dex!$P$22:$Q$276,2,FALSE),"")</f>
        <v/>
      </c>
      <c r="AB191" s="2540"/>
      <c r="AC191" s="2527"/>
      <c r="AD191" s="2537" t="s">
        <v>514</v>
      </c>
      <c r="AE191" s="2538">
        <f t="array" ref="AE191">IFERROR(VLOOKUP(AD177,Dex!$B$3:$N422,9,FALSE),"")</f>
        <v>120</v>
      </c>
      <c r="AF191" s="2539" t="str">
        <f t="array" ref="AF191">IFERROR(VLOOKUP(AE191,Dex!$P$22:$Q$276,2,FALSE),"")</f>
        <v/>
      </c>
      <c r="AG191" s="2540"/>
      <c r="AH191" s="2529"/>
      <c r="AI191" s="2411"/>
    </row>
    <row r="192" ht="16.5" customHeight="1">
      <c r="A192" s="2326"/>
      <c r="B192" s="2521"/>
      <c r="C192" s="2515"/>
      <c r="D192" s="2522"/>
      <c r="E192" s="2537" t="s">
        <v>515</v>
      </c>
      <c r="F192" s="2538">
        <f t="array" ref="F192">IFERROR(VLOOKUP(E177,Dex!$B$3:$N422,10,FALSE),"")</f>
        <v>85</v>
      </c>
      <c r="G192" s="2539" t="str">
        <f t="array" ref="G192">IFERROR(VLOOKUP(F192,Dex!$P$22:$Q$276,2,FALSE),"")</f>
        <v/>
      </c>
      <c r="H192" s="2540"/>
      <c r="I192" s="2597"/>
      <c r="J192" s="2537" t="s">
        <v>515</v>
      </c>
      <c r="K192" s="2538">
        <f t="array" ref="K192">IFERROR(VLOOKUP(J177,Dex!$B$3:$N422,10,FALSE),"")</f>
        <v>100</v>
      </c>
      <c r="L192" s="2539" t="str">
        <f t="array" ref="L192">IFERROR(VLOOKUP(K192,Dex!$P$22:$Q$276,2,FALSE),"")</f>
        <v/>
      </c>
      <c r="M192" s="2540"/>
      <c r="N192" s="2598"/>
      <c r="O192" s="2537" t="s">
        <v>515</v>
      </c>
      <c r="P192" s="2538">
        <f t="array" ref="P192">IFERROR(VLOOKUP(O177,Dex!$B$3:$N422,10,FALSE),"")</f>
        <v>40</v>
      </c>
      <c r="Q192" s="2539" t="str">
        <f t="array" ref="Q192">IFERROR(VLOOKUP(P192,Dex!$P$22:$Q$276,2,FALSE),"")</f>
        <v/>
      </c>
      <c r="R192" s="2540"/>
      <c r="S192" s="2598"/>
      <c r="T192" s="2537" t="s">
        <v>515</v>
      </c>
      <c r="U192" s="2538">
        <f t="array" ref="U192">IFERROR(VLOOKUP(T177,Dex!$B$3:$N422,10,FALSE),"")</f>
        <v>65</v>
      </c>
      <c r="V192" s="2539" t="str">
        <f t="array" ref="V192">IFERROR(VLOOKUP(U192,Dex!$P$22:$Q$276,2,FALSE),"")</f>
        <v/>
      </c>
      <c r="W192" s="2540"/>
      <c r="X192" s="2599"/>
      <c r="Y192" s="2537" t="s">
        <v>515</v>
      </c>
      <c r="Z192" s="2538">
        <f t="array" ref="Z192">IFERROR(VLOOKUP(Y177,Dex!$B$3:$N422,10,FALSE),"")</f>
        <v>65</v>
      </c>
      <c r="AA192" s="2539" t="str">
        <f t="array" ref="AA192">IFERROR(VLOOKUP(Z192,Dex!$P$22:$Q$276,2,FALSE),"")</f>
        <v/>
      </c>
      <c r="AB192" s="2540"/>
      <c r="AC192" s="2527"/>
      <c r="AD192" s="2537" t="s">
        <v>515</v>
      </c>
      <c r="AE192" s="2538">
        <f t="array" ref="AE192">IFERROR(VLOOKUP(AD177,Dex!$B$3:$N422,10,FALSE),"")</f>
        <v>60</v>
      </c>
      <c r="AF192" s="2539" t="str">
        <f t="array" ref="AF192">IFERROR(VLOOKUP(AE192,Dex!$P$22:$Q$276,2,FALSE),"")</f>
        <v/>
      </c>
      <c r="AG192" s="2540"/>
      <c r="AH192" s="2529"/>
      <c r="AI192" s="2411"/>
    </row>
    <row r="193" ht="16.5" customHeight="1">
      <c r="A193" s="2326"/>
      <c r="B193" s="2521"/>
      <c r="C193" s="2515"/>
      <c r="D193" s="2522"/>
      <c r="E193" s="2537" t="s">
        <v>516</v>
      </c>
      <c r="F193" s="2538">
        <f t="array" ref="F193">IFERROR(VLOOKUP(E177,Dex!$B$3:$N422,11,FALSE),"")</f>
        <v>90</v>
      </c>
      <c r="G193" s="2539" t="str">
        <f t="array" ref="G193">IFERROR(VLOOKUP(F193,Dex!$P$22:$Q$276,2,FALSE),"")</f>
        <v/>
      </c>
      <c r="H193" s="2540"/>
      <c r="I193" s="2597"/>
      <c r="J193" s="2537" t="s">
        <v>516</v>
      </c>
      <c r="K193" s="2538">
        <f t="array" ref="K193">IFERROR(VLOOKUP(J177,Dex!$B$3:$N422,11,FALSE),"")</f>
        <v>95</v>
      </c>
      <c r="L193" s="2539" t="str">
        <f t="array" ref="L193">IFERROR(VLOOKUP(K193,Dex!$P$22:$Q$276,2,FALSE),"")</f>
        <v/>
      </c>
      <c r="M193" s="2540"/>
      <c r="N193" s="2598"/>
      <c r="O193" s="2537" t="s">
        <v>516</v>
      </c>
      <c r="P193" s="2538">
        <f t="array" ref="P193">IFERROR(VLOOKUP(O177,Dex!$B$3:$N422,11,FALSE),"")</f>
        <v>85</v>
      </c>
      <c r="Q193" s="2539" t="str">
        <f t="array" ref="Q193">IFERROR(VLOOKUP(P193,Dex!$P$22:$Q$276,2,FALSE),"")</f>
        <v/>
      </c>
      <c r="R193" s="2540"/>
      <c r="S193" s="2598"/>
      <c r="T193" s="2537" t="s">
        <v>516</v>
      </c>
      <c r="U193" s="2538">
        <f t="array" ref="U193">IFERROR(VLOOKUP(T177,Dex!$B$3:$N422,11,FALSE),"")</f>
        <v>125</v>
      </c>
      <c r="V193" s="2539" t="str">
        <f t="array" ref="V193">IFERROR(VLOOKUP(U193,Dex!$P$22:$Q$276,2,FALSE),"")</f>
        <v/>
      </c>
      <c r="W193" s="2540"/>
      <c r="X193" s="2599"/>
      <c r="Y193" s="2537" t="s">
        <v>516</v>
      </c>
      <c r="Z193" s="2538">
        <f t="array" ref="Z193">IFERROR(VLOOKUP(Y177,Dex!$B$3:$N422,11,FALSE),"")</f>
        <v>85</v>
      </c>
      <c r="AA193" s="2539" t="str">
        <f t="array" ref="AA193">IFERROR(VLOOKUP(Z193,Dex!$P$22:$Q$276,2,FALSE),"")</f>
        <v/>
      </c>
      <c r="AB193" s="2540"/>
      <c r="AC193" s="2527"/>
      <c r="AD193" s="2537" t="s">
        <v>516</v>
      </c>
      <c r="AE193" s="2538">
        <f t="array" ref="AE193">IFERROR(VLOOKUP(AD177,Dex!$B$3:$N422,11,FALSE),"")</f>
        <v>40</v>
      </c>
      <c r="AF193" s="2539" t="str">
        <f t="array" ref="AF193">IFERROR(VLOOKUP(AE193,Dex!$P$22:$Q$276,2,FALSE),"")</f>
        <v/>
      </c>
      <c r="AG193" s="2540"/>
      <c r="AH193" s="2529"/>
      <c r="AI193" s="2411"/>
    </row>
    <row r="194" ht="16.5" customHeight="1">
      <c r="A194" s="2326"/>
      <c r="B194" s="2521"/>
      <c r="C194" s="2515"/>
      <c r="D194" s="2522"/>
      <c r="E194" s="2537" t="s">
        <v>517</v>
      </c>
      <c r="F194" s="2538">
        <f t="array" ref="F194">IFERROR(VLOOKUP(E177,Dex!$B$3:$N422,12,FALSE),"")</f>
        <v>55</v>
      </c>
      <c r="G194" s="2539" t="str">
        <f t="array" ref="G194">IFERROR(VLOOKUP(F194,Dex!$P$22:$Q$276,2,FALSE),"")</f>
        <v/>
      </c>
      <c r="H194" s="2540"/>
      <c r="I194" s="2597"/>
      <c r="J194" s="2537" t="s">
        <v>517</v>
      </c>
      <c r="K194" s="2538">
        <f t="array" ref="K194">IFERROR(VLOOKUP(J177,Dex!$B$3:$N422,12,FALSE),"")</f>
        <v>65</v>
      </c>
      <c r="L194" s="2539" t="str">
        <f t="array" ref="L194">IFERROR(VLOOKUP(K194,Dex!$P$22:$Q$276,2,FALSE),"")</f>
        <v/>
      </c>
      <c r="M194" s="2540"/>
      <c r="N194" s="2598"/>
      <c r="O194" s="2537" t="s">
        <v>517</v>
      </c>
      <c r="P194" s="2538">
        <f t="array" ref="P194">IFERROR(VLOOKUP(O177,Dex!$B$3:$N422,12,FALSE),"")</f>
        <v>75</v>
      </c>
      <c r="Q194" s="2539" t="str">
        <f t="array" ref="Q194">IFERROR(VLOOKUP(P194,Dex!$P$22:$Q$276,2,FALSE),"")</f>
        <v/>
      </c>
      <c r="R194" s="2540"/>
      <c r="S194" s="2598"/>
      <c r="T194" s="2537" t="s">
        <v>517</v>
      </c>
      <c r="U194" s="2538">
        <f t="array" ref="U194">IFERROR(VLOOKUP(T177,Dex!$B$3:$N422,12,FALSE),"")</f>
        <v>115</v>
      </c>
      <c r="V194" s="2539" t="str">
        <f t="array" ref="V194">IFERROR(VLOOKUP(U194,Dex!$P$22:$Q$276,2,FALSE),"")</f>
        <v/>
      </c>
      <c r="W194" s="2540"/>
      <c r="X194" s="2599"/>
      <c r="Y194" s="2537" t="s">
        <v>517</v>
      </c>
      <c r="Z194" s="2538">
        <f t="array" ref="Z194">IFERROR(VLOOKUP(Y177,Dex!$B$3:$N422,12,FALSE),"")</f>
        <v>85</v>
      </c>
      <c r="AA194" s="2539" t="str">
        <f t="array" ref="AA194">IFERROR(VLOOKUP(Z194,Dex!$P$22:$Q$276,2,FALSE),"")</f>
        <v/>
      </c>
      <c r="AB194" s="2540"/>
      <c r="AC194" s="2527"/>
      <c r="AD194" s="2537" t="s">
        <v>517</v>
      </c>
      <c r="AE194" s="2538">
        <f t="array" ref="AE194">IFERROR(VLOOKUP(AD177,Dex!$B$3:$N422,12,FALSE),"")</f>
        <v>60</v>
      </c>
      <c r="AF194" s="2539" t="str">
        <f t="array" ref="AF194">IFERROR(VLOOKUP(AE194,Dex!$P$22:$Q$276,2,FALSE),"")</f>
        <v/>
      </c>
      <c r="AG194" s="2540"/>
      <c r="AH194" s="2529"/>
      <c r="AI194" s="2411"/>
    </row>
    <row r="195" ht="15.75" customHeight="1">
      <c r="A195" s="2326"/>
      <c r="B195" s="2521"/>
      <c r="C195" s="1426" t="s">
        <v>745</v>
      </c>
      <c r="D195" s="2522"/>
      <c r="E195" s="2541" t="s">
        <v>518</v>
      </c>
      <c r="F195" s="2542">
        <f t="array" ref="F195">IFERROR(VLOOKUP(E177,Dex!$B$3:$N422,13,FALSE),"")</f>
        <v>55</v>
      </c>
      <c r="G195" s="2543" t="str">
        <f t="array" ref="G195">IFERROR(VLOOKUP(F195,Dex!$P$22:$Q$276,2,FALSE),"")</f>
        <v/>
      </c>
      <c r="H195" s="2544"/>
      <c r="I195" s="2597"/>
      <c r="J195" s="2541" t="s">
        <v>518</v>
      </c>
      <c r="K195" s="2542">
        <f t="array" ref="K195">IFERROR(VLOOKUP(J177,Dex!$B$3:$N422,13,FALSE),"")</f>
        <v>100</v>
      </c>
      <c r="L195" s="2543" t="str">
        <f t="array" ref="L195">IFERROR(VLOOKUP(K195,Dex!$P$22:$Q$276,2,FALSE),"")</f>
        <v/>
      </c>
      <c r="M195" s="2544"/>
      <c r="N195" s="2598"/>
      <c r="O195" s="2541" t="s">
        <v>518</v>
      </c>
      <c r="P195" s="2542">
        <f t="array" ref="P195">IFERROR(VLOOKUP(O177,Dex!$B$3:$N422,13,FALSE),"")</f>
        <v>110</v>
      </c>
      <c r="Q195" s="2543" t="str">
        <f t="array" ref="Q195">IFERROR(VLOOKUP(P195,Dex!$P$22:$Q$276,2,FALSE),"")</f>
        <v/>
      </c>
      <c r="R195" s="2544"/>
      <c r="S195" s="2598"/>
      <c r="T195" s="2541" t="s">
        <v>518</v>
      </c>
      <c r="U195" s="2542">
        <f t="array" ref="U195">IFERROR(VLOOKUP(T177,Dex!$B$3:$N422,13,FALSE),"")</f>
        <v>80</v>
      </c>
      <c r="V195" s="2543" t="str">
        <f t="array" ref="V195">IFERROR(VLOOKUP(U195,Dex!$P$22:$Q$276,2,FALSE),"")</f>
        <v/>
      </c>
      <c r="W195" s="2544"/>
      <c r="X195" s="2599"/>
      <c r="Y195" s="2541" t="s">
        <v>518</v>
      </c>
      <c r="Z195" s="2542">
        <f t="array" ref="Z195">IFERROR(VLOOKUP(Y177,Dex!$B$3:$N422,13,FALSE),"")</f>
        <v>120</v>
      </c>
      <c r="AA195" s="2543" t="str">
        <f t="array" ref="AA195">IFERROR(VLOOKUP(Z195,Dex!$P$22:$Q$276,2,FALSE),"")</f>
        <v/>
      </c>
      <c r="AB195" s="2544"/>
      <c r="AC195" s="2527"/>
      <c r="AD195" s="2541" t="s">
        <v>518</v>
      </c>
      <c r="AE195" s="2542">
        <f t="array" ref="AE195">IFERROR(VLOOKUP(AD177,Dex!$B$3:$N422,13,FALSE),"")</f>
        <v>50</v>
      </c>
      <c r="AF195" s="2543" t="str">
        <f t="array" ref="AF195">IFERROR(VLOOKUP(AE195,Dex!$P$22:$Q$276,2,FALSE),"")</f>
        <v/>
      </c>
      <c r="AG195" s="2544"/>
      <c r="AH195" s="2529"/>
      <c r="AI195" s="2411"/>
    </row>
    <row r="196" ht="16.5" customHeight="1">
      <c r="A196" s="2326"/>
      <c r="B196" s="2521"/>
      <c r="C196" s="1427" t="s">
        <v>836</v>
      </c>
      <c r="D196" s="2522"/>
      <c r="E196" s="2545" t="s">
        <v>519</v>
      </c>
      <c r="F196" s="630"/>
      <c r="G196" s="631"/>
      <c r="H196" s="632">
        <f>ROUNDDOWN((ROUNDDOWN(((((2*F195+31)*28)/100+5)),0))*1,0)</f>
        <v>44</v>
      </c>
      <c r="I196" s="2594"/>
      <c r="J196" s="2545" t="s">
        <v>519</v>
      </c>
      <c r="K196" s="630"/>
      <c r="L196" s="631"/>
      <c r="M196" s="632">
        <f>ROUNDDOWN((ROUNDDOWN(((((2*K195+31)*28)/100+5)),0))*1.1,0)</f>
        <v>75</v>
      </c>
      <c r="N196" s="2595"/>
      <c r="O196" s="2545" t="s">
        <v>519</v>
      </c>
      <c r="P196" s="630"/>
      <c r="Q196" s="631"/>
      <c r="R196" s="632">
        <f>ROUNDDOWN((ROUNDDOWN(((((2*P195+31)*28)/100+5)),0))*1.1,0)</f>
        <v>82</v>
      </c>
      <c r="S196" s="2595"/>
      <c r="T196" s="2545" t="s">
        <v>519</v>
      </c>
      <c r="U196" s="630"/>
      <c r="V196" s="631"/>
      <c r="W196" s="632">
        <f>ROUNDDOWN((ROUNDDOWN(((((2*U195+31)*28)/100+5)),0))*1.1,0)</f>
        <v>63</v>
      </c>
      <c r="X196" s="2596"/>
      <c r="Y196" s="2545" t="s">
        <v>519</v>
      </c>
      <c r="Z196" s="630"/>
      <c r="AA196" s="631"/>
      <c r="AB196" s="632">
        <f>ROUNDDOWN((ROUNDDOWN(((((2*Z195+31)*28)/100+5)),0))*1.1,0)</f>
        <v>88</v>
      </c>
      <c r="AC196" s="2526"/>
      <c r="AD196" s="2545" t="s">
        <v>519</v>
      </c>
      <c r="AE196" s="630"/>
      <c r="AF196" s="631"/>
      <c r="AG196" s="632">
        <f>ROUNDDOWN((ROUNDDOWN(((((2*AE195+31)*28)/100+5)),0))*1,0)</f>
        <v>41</v>
      </c>
      <c r="AH196" s="2529"/>
      <c r="AI196" s="2411"/>
    </row>
    <row r="197" ht="15.0" customHeight="1">
      <c r="A197" s="2319"/>
      <c r="B197" s="2558"/>
      <c r="C197" s="2559"/>
      <c r="D197" s="2560"/>
      <c r="E197" s="2561"/>
      <c r="F197" s="2561"/>
      <c r="G197" s="2561"/>
      <c r="H197" s="2561"/>
      <c r="I197" s="2560"/>
      <c r="J197" s="2561"/>
      <c r="K197" s="2561"/>
      <c r="L197" s="2561"/>
      <c r="M197" s="2561"/>
      <c r="N197" s="2560"/>
      <c r="O197" s="2561"/>
      <c r="P197" s="2561"/>
      <c r="Q197" s="2561"/>
      <c r="R197" s="2561"/>
      <c r="S197" s="2560"/>
      <c r="T197" s="2561"/>
      <c r="U197" s="2561"/>
      <c r="V197" s="2561"/>
      <c r="W197" s="2561"/>
      <c r="X197" s="2561"/>
      <c r="Y197" s="2561"/>
      <c r="Z197" s="2561"/>
      <c r="AA197" s="2561"/>
      <c r="AB197" s="2561"/>
      <c r="AC197" s="2560"/>
      <c r="AD197" s="2561"/>
      <c r="AE197" s="2561"/>
      <c r="AF197" s="2561"/>
      <c r="AG197" s="2560"/>
      <c r="AH197" s="2562"/>
      <c r="AI197" s="2325"/>
    </row>
    <row r="198" ht="15.0" customHeight="1">
      <c r="A198" s="2319"/>
      <c r="B198" s="2320"/>
      <c r="C198" s="2321"/>
      <c r="D198" s="2322"/>
      <c r="E198" s="2323"/>
      <c r="F198" s="2323"/>
      <c r="G198" s="2323"/>
      <c r="H198" s="2323"/>
      <c r="I198" s="2323"/>
      <c r="J198" s="2323"/>
      <c r="K198" s="2323"/>
      <c r="L198" s="2323"/>
      <c r="M198" s="2323"/>
      <c r="N198" s="2323"/>
      <c r="O198" s="2323"/>
      <c r="P198" s="2323"/>
      <c r="Q198" s="2323"/>
      <c r="R198" s="2323"/>
      <c r="S198" s="2323"/>
      <c r="T198" s="2323"/>
      <c r="U198" s="2323"/>
      <c r="V198" s="2323"/>
      <c r="W198" s="2323"/>
      <c r="X198" s="2323"/>
      <c r="Y198" s="2323"/>
      <c r="Z198" s="2323"/>
      <c r="AA198" s="2323"/>
      <c r="AB198" s="2323"/>
      <c r="AC198" s="2322"/>
      <c r="AD198" s="2322"/>
      <c r="AE198" s="2322"/>
      <c r="AF198" s="2322"/>
      <c r="AG198" s="2322"/>
      <c r="AH198" s="2324"/>
      <c r="AI198" s="2325"/>
    </row>
    <row r="199">
      <c r="A199" s="2326"/>
      <c r="B199" s="2327"/>
      <c r="C199" s="2328"/>
      <c r="D199" s="2329"/>
      <c r="E199" s="2330" t="s">
        <v>962</v>
      </c>
      <c r="F199" s="1732"/>
      <c r="G199" s="1732"/>
      <c r="H199" s="1732"/>
      <c r="I199" s="1732"/>
      <c r="J199" s="1732"/>
      <c r="K199" s="1732"/>
      <c r="L199" s="1732"/>
      <c r="M199" s="1732"/>
      <c r="N199" s="1732"/>
      <c r="O199" s="1732"/>
      <c r="P199" s="1732"/>
      <c r="Q199" s="1732"/>
      <c r="R199" s="1732"/>
      <c r="S199" s="1732"/>
      <c r="T199" s="1732"/>
      <c r="U199" s="1732"/>
      <c r="V199" s="1732"/>
      <c r="W199" s="1732"/>
      <c r="X199" s="1732"/>
      <c r="Y199" s="1732"/>
      <c r="Z199" s="1732"/>
      <c r="AA199" s="1732"/>
      <c r="AB199" s="1732"/>
      <c r="AC199" s="1732"/>
      <c r="AD199" s="1732"/>
      <c r="AE199" s="1732"/>
      <c r="AF199" s="1732"/>
      <c r="AG199" s="1733"/>
      <c r="AH199" s="2334"/>
      <c r="AI199" s="2325"/>
    </row>
    <row r="200" ht="3.75" customHeight="1">
      <c r="A200" s="2326"/>
      <c r="B200" s="2327"/>
      <c r="C200" s="2335"/>
      <c r="D200" s="2336"/>
      <c r="E200" s="2337"/>
      <c r="F200" s="2337"/>
      <c r="G200" s="2337"/>
      <c r="H200" s="2337"/>
      <c r="I200" s="2338"/>
      <c r="J200" s="2337"/>
      <c r="K200" s="2337"/>
      <c r="L200" s="2337"/>
      <c r="M200" s="2337"/>
      <c r="N200" s="2338"/>
      <c r="O200" s="2337"/>
      <c r="P200" s="2337"/>
      <c r="Q200" s="2337"/>
      <c r="R200" s="2337"/>
      <c r="S200" s="2338"/>
      <c r="T200" s="2337"/>
      <c r="U200" s="2337"/>
      <c r="V200" s="2337"/>
      <c r="W200" s="2337"/>
      <c r="X200" s="2338"/>
      <c r="Y200" s="2337"/>
      <c r="Z200" s="2337"/>
      <c r="AA200" s="2337"/>
      <c r="AB200" s="2337"/>
      <c r="AC200" s="2336"/>
      <c r="AD200" s="2600"/>
      <c r="AE200" s="2600"/>
      <c r="AF200" s="2600"/>
      <c r="AG200" s="2600"/>
      <c r="AH200" s="2334"/>
      <c r="AI200" s="2325"/>
    </row>
    <row r="201" ht="96.75" customHeight="1">
      <c r="A201" s="2319"/>
      <c r="B201" s="2339"/>
      <c r="C201" s="2340" t="str">
        <f>IMAGE("https://i.ibb.co/fXwks6z/Rival.png")</f>
        <v/>
      </c>
      <c r="D201" s="2341"/>
      <c r="E201" s="2601" t="str">
        <f t="array" ref="E201">IFERROR(VLOOKUP(E202,Dex!$B$3:$G422,3,FALSE),"")</f>
        <v/>
      </c>
      <c r="F201" s="1945"/>
      <c r="G201" s="1945"/>
      <c r="H201" s="1946"/>
      <c r="I201" s="2343"/>
      <c r="J201" s="2601" t="str">
        <f t="array" ref="J201">IFERROR(VLOOKUP(J202,Dex!$B$3:$G422,3,FALSE),"")</f>
        <v/>
      </c>
      <c r="K201" s="1945"/>
      <c r="L201" s="1945"/>
      <c r="M201" s="1946"/>
      <c r="N201" s="2343"/>
      <c r="O201" s="2601" t="str">
        <f t="array" ref="O201">IFERROR(VLOOKUP(O202,Dex!$B$3:$G422,3,FALSE),"")</f>
        <v/>
      </c>
      <c r="P201" s="1945"/>
      <c r="Q201" s="1945"/>
      <c r="R201" s="1946"/>
      <c r="S201" s="2343"/>
      <c r="T201" s="2601" t="str">
        <f t="array" ref="T201">IFERROR(VLOOKUP(T202,Dex!$B$3:$G422,3,FALSE),"")</f>
        <v/>
      </c>
      <c r="U201" s="1945"/>
      <c r="V201" s="1945"/>
      <c r="W201" s="1946"/>
      <c r="X201" s="2343"/>
      <c r="Y201" s="2601" t="str">
        <f t="array" ref="Y201">IFERROR(VLOOKUP(Y202,Dex!$B$3:$G422,3,FALSE),"")</f>
        <v/>
      </c>
      <c r="Z201" s="1945"/>
      <c r="AA201" s="1945"/>
      <c r="AB201" s="1946"/>
      <c r="AC201" s="2344"/>
      <c r="AD201" s="2601" t="str">
        <f t="array" ref="AD201">IFERROR(VLOOKUP(AD202,Dex!$B$3:$G422,3,FALSE),"")</f>
        <v/>
      </c>
      <c r="AE201" s="1945"/>
      <c r="AF201" s="1945"/>
      <c r="AG201" s="1946"/>
      <c r="AH201" s="2563"/>
      <c r="AI201" s="2325"/>
    </row>
    <row r="202" ht="18.75" customHeight="1">
      <c r="A202" s="2347"/>
      <c r="B202" s="2348"/>
      <c r="C202" s="2349" t="s">
        <v>1042</v>
      </c>
      <c r="D202" s="2350"/>
      <c r="E202" s="2351" t="s">
        <v>1043</v>
      </c>
      <c r="F202" s="2352"/>
      <c r="G202" s="2352"/>
      <c r="H202" s="2353"/>
      <c r="J202" s="2351" t="s">
        <v>1044</v>
      </c>
      <c r="K202" s="2352"/>
      <c r="L202" s="2352"/>
      <c r="M202" s="2353"/>
      <c r="O202" s="2351" t="s">
        <v>1045</v>
      </c>
      <c r="P202" s="2352"/>
      <c r="Q202" s="2352"/>
      <c r="R202" s="2353"/>
      <c r="T202" s="2351" t="s">
        <v>1046</v>
      </c>
      <c r="U202" s="2352"/>
      <c r="V202" s="2352"/>
      <c r="W202" s="2353"/>
      <c r="Y202" s="2351" t="s">
        <v>1047</v>
      </c>
      <c r="Z202" s="2352"/>
      <c r="AA202" s="2352"/>
      <c r="AB202" s="2353"/>
      <c r="AD202" s="2351" t="s">
        <v>1048</v>
      </c>
      <c r="AE202" s="2352"/>
      <c r="AF202" s="2352"/>
      <c r="AG202" s="2353"/>
      <c r="AH202" s="2564"/>
      <c r="AI202" s="2357"/>
    </row>
    <row r="203">
      <c r="A203" s="2319"/>
      <c r="B203" s="2358"/>
      <c r="C203" s="556"/>
      <c r="D203" s="2359"/>
      <c r="E203" s="2360" t="s">
        <v>729</v>
      </c>
      <c r="F203" s="2361"/>
      <c r="G203" s="2361"/>
      <c r="H203" s="2362"/>
      <c r="J203" s="2360" t="s">
        <v>729</v>
      </c>
      <c r="K203" s="2361"/>
      <c r="L203" s="2361"/>
      <c r="M203" s="2362"/>
      <c r="O203" s="2360" t="s">
        <v>729</v>
      </c>
      <c r="P203" s="2361"/>
      <c r="Q203" s="2361"/>
      <c r="R203" s="2362"/>
      <c r="T203" s="2360" t="s">
        <v>729</v>
      </c>
      <c r="U203" s="2361"/>
      <c r="V203" s="2361"/>
      <c r="W203" s="2362"/>
      <c r="Y203" s="2360" t="s">
        <v>729</v>
      </c>
      <c r="Z203" s="2361"/>
      <c r="AA203" s="2361"/>
      <c r="AB203" s="2362"/>
      <c r="AD203" s="2360" t="s">
        <v>729</v>
      </c>
      <c r="AE203" s="2361"/>
      <c r="AF203" s="2361"/>
      <c r="AG203" s="2362"/>
      <c r="AH203" s="2563"/>
      <c r="AI203" s="2325"/>
    </row>
    <row r="204" ht="25.5" customHeight="1">
      <c r="A204" s="2319"/>
      <c r="B204" s="2327"/>
      <c r="C204" s="2363"/>
      <c r="D204" s="2364"/>
      <c r="E204" s="2365"/>
      <c r="F204" s="2366" t="str">
        <f t="array" ref="F204">IFERROR(VLOOKUP(E202,Dex!$B$3:$H422,5,FALSE),"")</f>
        <v/>
      </c>
      <c r="G204" s="2367"/>
      <c r="H204" s="2368"/>
      <c r="J204" s="2365"/>
      <c r="K204" s="2369" t="str">
        <f t="array" ref="K204">IFERROR(VLOOKUP(J202,Dex!$B$3:$H422,5,FALSE),"")</f>
        <v/>
      </c>
      <c r="L204" s="2370" t="str">
        <f t="array" ref="L204">IFERROR(VLOOKUP(J202,Dex!$B$3:$H422,7,FALSE),"")</f>
        <v/>
      </c>
      <c r="M204" s="2368"/>
      <c r="O204" s="2365"/>
      <c r="P204" s="2366" t="str">
        <f t="array" ref="P204">IFERROR(VLOOKUP(O202,Dex!$B$3:$H422,5,FALSE),"")</f>
        <v/>
      </c>
      <c r="Q204" s="2367"/>
      <c r="R204" s="2368"/>
      <c r="T204" s="2365"/>
      <c r="U204" s="2369" t="str">
        <f t="array" ref="U204">IFERROR(VLOOKUP(T202,Dex!$B$3:$H422,5,FALSE),"")</f>
        <v/>
      </c>
      <c r="V204" s="2370" t="str">
        <f t="array" ref="V204">IFERROR(VLOOKUP(T202,Dex!$B$3:$H422,7,FALSE),"")</f>
        <v/>
      </c>
      <c r="W204" s="2368"/>
      <c r="Y204" s="2365"/>
      <c r="Z204" s="2366" t="str">
        <f t="array" ref="Z204">IFERROR(VLOOKUP(Y202,Dex!$B$3:$H422,5,FALSE),"")</f>
        <v/>
      </c>
      <c r="AA204" s="2367"/>
      <c r="AB204" s="2368"/>
      <c r="AD204" s="2365"/>
      <c r="AE204" s="2366" t="str">
        <f t="array" ref="AE204">IFERROR(VLOOKUP(AD202,Dex!$B$3:$H422,5,FALSE),"")</f>
        <v/>
      </c>
      <c r="AF204" s="2367"/>
      <c r="AG204" s="2368"/>
      <c r="AH204" s="2334"/>
      <c r="AI204" s="2325"/>
    </row>
    <row r="205" ht="2.25" customHeight="1">
      <c r="A205" s="2319"/>
      <c r="B205" s="2327"/>
      <c r="C205" s="2355"/>
      <c r="D205" s="2364"/>
      <c r="E205" s="2371"/>
      <c r="F205" s="2372"/>
      <c r="G205" s="2372"/>
      <c r="H205" s="2373"/>
      <c r="J205" s="2371"/>
      <c r="K205" s="2372"/>
      <c r="L205" s="2372"/>
      <c r="M205" s="2373"/>
      <c r="O205" s="2371"/>
      <c r="P205" s="2372"/>
      <c r="Q205" s="2372"/>
      <c r="R205" s="2373"/>
      <c r="T205" s="2371"/>
      <c r="U205" s="2372"/>
      <c r="V205" s="2372"/>
      <c r="W205" s="2373"/>
      <c r="Y205" s="2371"/>
      <c r="Z205" s="2372"/>
      <c r="AA205" s="2372"/>
      <c r="AB205" s="2373"/>
      <c r="AD205" s="2371"/>
      <c r="AE205" s="2372"/>
      <c r="AF205" s="2372"/>
      <c r="AG205" s="2373"/>
      <c r="AH205" s="2334"/>
      <c r="AI205" s="2325"/>
    </row>
    <row r="206" ht="20.25" customHeight="1">
      <c r="A206" s="2319"/>
      <c r="B206" s="2327"/>
      <c r="C206" s="2375"/>
      <c r="D206" s="2329"/>
      <c r="E206" s="2376" t="s">
        <v>565</v>
      </c>
      <c r="F206" s="2377"/>
      <c r="G206" s="2377"/>
      <c r="H206" s="2378"/>
      <c r="J206" s="2376" t="s">
        <v>531</v>
      </c>
      <c r="K206" s="2377"/>
      <c r="L206" s="2377"/>
      <c r="M206" s="2378"/>
      <c r="O206" s="2376" t="s">
        <v>532</v>
      </c>
      <c r="P206" s="2377"/>
      <c r="Q206" s="2377"/>
      <c r="R206" s="2378"/>
      <c r="T206" s="2376" t="s">
        <v>532</v>
      </c>
      <c r="U206" s="2377"/>
      <c r="V206" s="2377"/>
      <c r="W206" s="2378"/>
      <c r="Y206" s="2376" t="s">
        <v>532</v>
      </c>
      <c r="Z206" s="2377"/>
      <c r="AA206" s="2377"/>
      <c r="AB206" s="2378"/>
      <c r="AD206" s="2376" t="s">
        <v>531</v>
      </c>
      <c r="AE206" s="2377"/>
      <c r="AF206" s="2377"/>
      <c r="AG206" s="2378"/>
      <c r="AH206" s="2563"/>
      <c r="AI206" s="2325"/>
    </row>
    <row r="207">
      <c r="A207" s="2319"/>
      <c r="B207" s="2327"/>
      <c r="C207" s="2379"/>
      <c r="D207" s="2329"/>
      <c r="E207" s="2380" t="s">
        <v>484</v>
      </c>
      <c r="F207" s="2332"/>
      <c r="G207" s="2332"/>
      <c r="H207" s="2381"/>
      <c r="J207" s="2380" t="s">
        <v>120</v>
      </c>
      <c r="K207" s="2332"/>
      <c r="L207" s="2332"/>
      <c r="M207" s="2381"/>
      <c r="O207" s="2380" t="s">
        <v>570</v>
      </c>
      <c r="P207" s="2332"/>
      <c r="Q207" s="2332"/>
      <c r="R207" s="2381"/>
      <c r="T207" s="2380" t="s">
        <v>1049</v>
      </c>
      <c r="U207" s="2332"/>
      <c r="V207" s="2332"/>
      <c r="W207" s="2381"/>
      <c r="Y207" s="2380" t="s">
        <v>56</v>
      </c>
      <c r="Z207" s="2332"/>
      <c r="AA207" s="2332"/>
      <c r="AB207" s="2381"/>
      <c r="AD207" s="2380" t="s">
        <v>1050</v>
      </c>
      <c r="AE207" s="2332"/>
      <c r="AF207" s="2332"/>
      <c r="AG207" s="2381"/>
      <c r="AH207" s="2563"/>
      <c r="AI207" s="2325"/>
    </row>
    <row r="208" ht="20.25" customHeight="1">
      <c r="A208" s="2319"/>
      <c r="B208" s="2327"/>
      <c r="C208" s="2355"/>
      <c r="D208" s="2329"/>
      <c r="E208" s="2382" t="s">
        <v>573</v>
      </c>
      <c r="F208" s="2383"/>
      <c r="G208" s="2384"/>
      <c r="H208" s="2385"/>
      <c r="J208" s="2382" t="s">
        <v>710</v>
      </c>
      <c r="K208" s="2383"/>
      <c r="L208" s="2384"/>
      <c r="M208" s="2385"/>
      <c r="O208" s="2382" t="s">
        <v>1051</v>
      </c>
      <c r="P208" s="2383"/>
      <c r="Q208" s="2384"/>
      <c r="R208" s="2385" t="str">
        <f>IMAGE("https://raw.githubusercontent.com/msikma/pokesprite/master/items/evo-item/electirizer.png",3)</f>
        <v/>
      </c>
      <c r="T208" s="2382" t="s">
        <v>1052</v>
      </c>
      <c r="U208" s="2383"/>
      <c r="V208" s="2384"/>
      <c r="W208" s="2385"/>
      <c r="Y208" s="2382" t="s">
        <v>541</v>
      </c>
      <c r="Z208" s="2383"/>
      <c r="AA208" s="2384"/>
      <c r="AB208" s="2385"/>
      <c r="AD208" s="2382" t="s">
        <v>1053</v>
      </c>
      <c r="AE208" s="2383"/>
      <c r="AF208" s="2384"/>
      <c r="AG208" s="2385"/>
      <c r="AH208" s="2334"/>
      <c r="AI208" s="2325"/>
    </row>
    <row r="209" ht="20.25" customHeight="1">
      <c r="A209" s="2319"/>
      <c r="B209" s="2327"/>
      <c r="C209" s="2375"/>
      <c r="D209" s="2329"/>
      <c r="E209" s="2376" t="s">
        <v>191</v>
      </c>
      <c r="F209" s="2377"/>
      <c r="G209" s="2386"/>
      <c r="H209" s="2387" t="str">
        <f>IMAGE("https://raw.githubusercontent.com/msikma/pokesprite/master/misc/types/gen8/rock.png",4,20,20)</f>
        <v/>
      </c>
      <c r="J209" s="2376" t="s">
        <v>147</v>
      </c>
      <c r="K209" s="2377"/>
      <c r="L209" s="2386"/>
      <c r="M209" s="2387" t="str">
        <f>IMAGE("https://raw.githubusercontent.com/msikma/pokesprite/master/misc/types/gen8/steel.png",4,20,20)</f>
        <v/>
      </c>
      <c r="O209" s="2376" t="s">
        <v>584</v>
      </c>
      <c r="P209" s="2377"/>
      <c r="Q209" s="2386"/>
      <c r="R209" s="2387" t="str">
        <f>IMAGE("https://raw.githubusercontent.com/msikma/pokesprite/master/misc/types/gen8/fighting.png",4,20,20)</f>
        <v/>
      </c>
      <c r="T209" s="2376" t="s">
        <v>1054</v>
      </c>
      <c r="U209" s="2377"/>
      <c r="V209" s="2386"/>
      <c r="W209" s="2387" t="str">
        <f>IMAGE("https://raw.githubusercontent.com/msikma/pokesprite/master/misc/types/gen8/grass.png",4,20,20)</f>
        <v/>
      </c>
      <c r="Y209" s="2376" t="s">
        <v>694</v>
      </c>
      <c r="Z209" s="2377"/>
      <c r="AA209" s="2386"/>
      <c r="AB209" s="2387" t="str">
        <f>IMAGE("https://raw.githubusercontent.com/msikma/pokesprite/master/misc/types/gen8/fire.png",4,20,20)</f>
        <v/>
      </c>
      <c r="AD209" s="2376" t="s">
        <v>273</v>
      </c>
      <c r="AE209" s="2377"/>
      <c r="AF209" s="2386"/>
      <c r="AG209" s="2387" t="str">
        <f>IMAGE("https://raw.githubusercontent.com/msikma/pokesprite/master/misc/types/gen8/normal.png",4,20,20)</f>
        <v/>
      </c>
      <c r="AH209" s="2334"/>
      <c r="AI209" s="2325"/>
    </row>
    <row r="210" ht="20.25" customHeight="1">
      <c r="A210" s="2319"/>
      <c r="B210" s="2327"/>
      <c r="C210" s="2328"/>
      <c r="D210" s="2329"/>
      <c r="E210" s="2380" t="s">
        <v>591</v>
      </c>
      <c r="F210" s="2332"/>
      <c r="G210" s="420"/>
      <c r="H210" s="2388" t="str">
        <f>IMAGE("https://raw.githubusercontent.com/msikma/pokesprite/master/misc/types/gen8/normal.png",4,20,20)</f>
        <v/>
      </c>
      <c r="J210" s="2380" t="s">
        <v>805</v>
      </c>
      <c r="K210" s="2332"/>
      <c r="L210" s="420"/>
      <c r="M210" s="2388" t="str">
        <f>IMAGE("https://raw.githubusercontent.com/msikma/pokesprite/master/misc/types/gen8/flying.png",4,20,20)</f>
        <v/>
      </c>
      <c r="O210" s="2380" t="s">
        <v>580</v>
      </c>
      <c r="P210" s="2332"/>
      <c r="Q210" s="420"/>
      <c r="R210" s="2388" t="str">
        <f>IMAGE("https://raw.githubusercontent.com/msikma/pokesprite/master/misc/types/gen8/electric.png",4,20,20)</f>
        <v/>
      </c>
      <c r="T210" s="2380" t="s">
        <v>928</v>
      </c>
      <c r="U210" s="2332"/>
      <c r="V210" s="420"/>
      <c r="W210" s="2388" t="str">
        <f>IMAGE("https://raw.githubusercontent.com/msikma/pokesprite/master/misc/types/gen8/flying.png",4,20,20)</f>
        <v/>
      </c>
      <c r="Y210" s="2380" t="s">
        <v>588</v>
      </c>
      <c r="Z210" s="2332"/>
      <c r="AA210" s="420"/>
      <c r="AB210" s="2388" t="str">
        <f>IMAGE("https://raw.githubusercontent.com/msikma/pokesprite/master/misc/types/gen8/rock.png",4,20,20)</f>
        <v/>
      </c>
      <c r="AD210" s="2380" t="s">
        <v>981</v>
      </c>
      <c r="AE210" s="2332"/>
      <c r="AF210" s="420"/>
      <c r="AG210" s="2388" t="str">
        <f>IMAGE("https://raw.githubusercontent.com/msikma/pokesprite/master/misc/types/gen8/water.png",4,20,20)</f>
        <v/>
      </c>
      <c r="AH210" s="2334"/>
      <c r="AI210" s="2325"/>
    </row>
    <row r="211" ht="20.25" customHeight="1">
      <c r="A211" s="2319"/>
      <c r="B211" s="2327"/>
      <c r="C211" s="2328"/>
      <c r="D211" s="2329"/>
      <c r="E211" s="2380" t="s">
        <v>619</v>
      </c>
      <c r="F211" s="2332"/>
      <c r="G211" s="420"/>
      <c r="H211" s="2388" t="str">
        <f>IMAGE("https://raw.githubusercontent.com/msikma/pokesprite/master/misc/types/gen8/fire.png",4,20,20)</f>
        <v/>
      </c>
      <c r="J211" s="2380" t="s">
        <v>619</v>
      </c>
      <c r="K211" s="2332"/>
      <c r="L211" s="420"/>
      <c r="M211" s="2388" t="str">
        <f>IMAGE("https://raw.githubusercontent.com/msikma/pokesprite/master/misc/types/gen8/fire.png",4,20,20)</f>
        <v/>
      </c>
      <c r="O211" s="2380" t="s">
        <v>583</v>
      </c>
      <c r="P211" s="2332"/>
      <c r="Q211" s="420"/>
      <c r="R211" s="2388" t="str">
        <f>IMAGE("https://raw.githubusercontent.com/msikma/pokesprite/master/misc/types/gen8/fighting.png",4,20,20)</f>
        <v/>
      </c>
      <c r="T211" s="2380" t="s">
        <v>1041</v>
      </c>
      <c r="U211" s="2332"/>
      <c r="V211" s="420"/>
      <c r="W211" s="2388" t="str">
        <f>IMAGE("https://raw.githubusercontent.com/msikma/pokesprite/master/misc/types/gen8/grass.png",4,20,20)</f>
        <v/>
      </c>
      <c r="Y211" s="2380" t="s">
        <v>612</v>
      </c>
      <c r="Z211" s="2332"/>
      <c r="AA211" s="420"/>
      <c r="AB211" s="2388" t="str">
        <f>IMAGE("https://raw.githubusercontent.com/msikma/pokesprite/master/misc/types/gen8/bug.png",4,20,20)</f>
        <v/>
      </c>
      <c r="AD211" s="2380" t="s">
        <v>666</v>
      </c>
      <c r="AE211" s="2332"/>
      <c r="AF211" s="420"/>
      <c r="AG211" s="2388" t="str">
        <f>IMAGE("https://raw.githubusercontent.com/msikma/pokesprite/master/misc/types/gen8/dark.png",4,20,20)</f>
        <v/>
      </c>
      <c r="AH211" s="2334"/>
      <c r="AI211" s="2325"/>
    </row>
    <row r="212" ht="21.0" customHeight="1">
      <c r="A212" s="2319"/>
      <c r="B212" s="2327"/>
      <c r="C212" s="2328"/>
      <c r="D212" s="2329"/>
      <c r="E212" s="2389" t="s">
        <v>669</v>
      </c>
      <c r="F212" s="2390"/>
      <c r="G212" s="2391"/>
      <c r="H212" s="2392" t="str">
        <f>IMAGE("https://raw.githubusercontent.com/msikma/pokesprite/master/misc/types/gen8/psychic.png",4,20,20)</f>
        <v/>
      </c>
      <c r="I212" s="2393"/>
      <c r="J212" s="2389" t="s">
        <v>543</v>
      </c>
      <c r="K212" s="2390"/>
      <c r="L212" s="2391"/>
      <c r="M212" s="2392" t="str">
        <f>IMAGE("https://raw.githubusercontent.com/msikma/pokesprite/master/misc/types/gen8/grass.png",4,20,20)</f>
        <v/>
      </c>
      <c r="N212" s="2393"/>
      <c r="O212" s="2389" t="s">
        <v>589</v>
      </c>
      <c r="P212" s="2390"/>
      <c r="Q212" s="2391"/>
      <c r="R212" s="2392" t="str">
        <f>IMAGE("https://raw.githubusercontent.com/msikma/pokesprite/master/misc/types/gen8/ice.png",4,20,20)</f>
        <v/>
      </c>
      <c r="S212" s="2393"/>
      <c r="T212" s="2389" t="s">
        <v>287</v>
      </c>
      <c r="U212" s="2390"/>
      <c r="V212" s="2391"/>
      <c r="W212" s="2392" t="str">
        <f>IMAGE("https://raw.githubusercontent.com/msikma/pokesprite/master/misc/types/gen8/flying.png",4,20,20)</f>
        <v/>
      </c>
      <c r="X212" s="2393"/>
      <c r="Y212" s="2389" t="s">
        <v>549</v>
      </c>
      <c r="Z212" s="2390"/>
      <c r="AA212" s="2391"/>
      <c r="AB212" s="2392" t="str">
        <f>IMAGE("https://raw.githubusercontent.com/msikma/pokesprite/master/misc/types/gen8/ground.png",4,20,20)</f>
        <v/>
      </c>
      <c r="AC212" s="2393"/>
      <c r="AD212" s="2389" t="s">
        <v>718</v>
      </c>
      <c r="AE212" s="2390"/>
      <c r="AF212" s="2391"/>
      <c r="AG212" s="2392" t="str">
        <f>IMAGE("https://raw.githubusercontent.com/msikma/pokesprite/master/misc/types/gen8/fighting.png",4,20,20)</f>
        <v/>
      </c>
      <c r="AH212" s="2334"/>
      <c r="AI212" s="2325"/>
    </row>
    <row r="213" ht="3.0" customHeight="1">
      <c r="A213" s="2394"/>
      <c r="B213" s="2395"/>
      <c r="C213" s="2396"/>
      <c r="D213" s="2397"/>
      <c r="E213" s="2398"/>
      <c r="F213" s="2398"/>
      <c r="G213" s="2398"/>
      <c r="H213" s="2398"/>
      <c r="I213" s="2397"/>
      <c r="J213" s="2398"/>
      <c r="K213" s="2398"/>
      <c r="L213" s="2398"/>
      <c r="M213" s="2398"/>
      <c r="N213" s="2397"/>
      <c r="O213" s="2398"/>
      <c r="P213" s="2398"/>
      <c r="Q213" s="2398"/>
      <c r="R213" s="2398"/>
      <c r="S213" s="2397"/>
      <c r="T213" s="2398"/>
      <c r="U213" s="2398"/>
      <c r="V213" s="2398"/>
      <c r="W213" s="2398"/>
      <c r="X213" s="2397"/>
      <c r="Y213" s="2398"/>
      <c r="Z213" s="2398"/>
      <c r="AA213" s="2398"/>
      <c r="AB213" s="2398"/>
      <c r="AC213" s="2400"/>
      <c r="AD213" s="2398"/>
      <c r="AE213" s="2398"/>
      <c r="AF213" s="2398"/>
      <c r="AG213" s="2398"/>
      <c r="AH213" s="2401"/>
      <c r="AI213" s="2402"/>
    </row>
    <row r="214" ht="16.5" customHeight="1">
      <c r="A214" s="2326"/>
      <c r="B214" s="2403"/>
      <c r="C214" s="2396"/>
      <c r="D214" s="2404"/>
      <c r="E214" s="726" t="s">
        <v>512</v>
      </c>
      <c r="F214" s="606"/>
      <c r="G214" s="606"/>
      <c r="H214" s="607"/>
      <c r="I214" s="2405"/>
      <c r="J214" s="726" t="s">
        <v>512</v>
      </c>
      <c r="K214" s="606"/>
      <c r="L214" s="606"/>
      <c r="M214" s="607"/>
      <c r="N214" s="2405"/>
      <c r="O214" s="726" t="s">
        <v>512</v>
      </c>
      <c r="P214" s="606"/>
      <c r="Q214" s="606"/>
      <c r="R214" s="607"/>
      <c r="S214" s="2405"/>
      <c r="T214" s="726" t="s">
        <v>512</v>
      </c>
      <c r="U214" s="606"/>
      <c r="V214" s="606"/>
      <c r="W214" s="607"/>
      <c r="X214" s="2405"/>
      <c r="Y214" s="726" t="s">
        <v>512</v>
      </c>
      <c r="Z214" s="606"/>
      <c r="AA214" s="606"/>
      <c r="AB214" s="607"/>
      <c r="AC214" s="2565"/>
      <c r="AD214" s="726" t="s">
        <v>512</v>
      </c>
      <c r="AE214" s="606"/>
      <c r="AF214" s="606"/>
      <c r="AG214" s="607"/>
      <c r="AH214" s="2410"/>
      <c r="AI214" s="2411"/>
    </row>
    <row r="215" ht="16.5" customHeight="1">
      <c r="A215" s="2326"/>
      <c r="B215" s="2403"/>
      <c r="C215" s="2396"/>
      <c r="D215" s="2404"/>
      <c r="E215" s="731" t="s">
        <v>513</v>
      </c>
      <c r="F215" s="732">
        <f t="array" ref="F215">IFERROR(VLOOKUP(E202,Dex!$B$3:$N422,8,FALSE),"")</f>
        <v>75</v>
      </c>
      <c r="G215" s="733" t="str">
        <f t="array" ref="G215">IFERROR(VLOOKUP(F215,Dex!$P$22:$Q$276,2,FALSE),"")</f>
        <v/>
      </c>
      <c r="H215" s="734"/>
      <c r="I215" s="2602"/>
      <c r="J215" s="731" t="s">
        <v>513</v>
      </c>
      <c r="K215" s="732">
        <f t="array" ref="K215">IFERROR(VLOOKUP(J202,Dex!$B$3:$N422,8,FALSE),"")</f>
        <v>97</v>
      </c>
      <c r="L215" s="733" t="str">
        <f t="array" ref="L215">IFERROR(VLOOKUP(K215,Dex!$P$22:$Q$276,2,FALSE),"")</f>
        <v/>
      </c>
      <c r="M215" s="734"/>
      <c r="N215" s="2602"/>
      <c r="O215" s="731" t="s">
        <v>513</v>
      </c>
      <c r="P215" s="732">
        <f t="array" ref="P215">IFERROR(VLOOKUP(O202,Dex!$B$3:$N422,8,FALSE),"")</f>
        <v>75</v>
      </c>
      <c r="Q215" s="733" t="str">
        <f t="array" ref="Q215">IFERROR(VLOOKUP(P215,Dex!$P$22:$Q$276,2,FALSE),"")</f>
        <v/>
      </c>
      <c r="R215" s="734"/>
      <c r="S215" s="2602"/>
      <c r="T215" s="731" t="s">
        <v>513</v>
      </c>
      <c r="U215" s="732">
        <f t="array" ref="U215">IFERROR(VLOOKUP(T202,Dex!$B$3:$N422,8,FALSE),"")</f>
        <v>75</v>
      </c>
      <c r="V215" s="733" t="str">
        <f t="array" ref="V215">IFERROR(VLOOKUP(U215,Dex!$P$22:$Q$276,2,FALSE),"")</f>
        <v/>
      </c>
      <c r="W215" s="734"/>
      <c r="X215" s="2602"/>
      <c r="Y215" s="731" t="s">
        <v>513</v>
      </c>
      <c r="Z215" s="732">
        <f t="array" ref="Z215">IFERROR(VLOOKUP(Y202,Dex!$B$3:$N422,8,FALSE),"")</f>
        <v>105</v>
      </c>
      <c r="AA215" s="733" t="str">
        <f t="array" ref="AA215">IFERROR(VLOOKUP(Z215,Dex!$P$22:$Q$276,2,FALSE),"")</f>
        <v/>
      </c>
      <c r="AB215" s="734"/>
      <c r="AC215" s="2603"/>
      <c r="AD215" s="731" t="s">
        <v>513</v>
      </c>
      <c r="AE215" s="732">
        <f t="array" ref="AE215">IFERROR(VLOOKUP(AD202,Dex!$B$3:$N422,8,FALSE),"")</f>
        <v>79</v>
      </c>
      <c r="AF215" s="733" t="str">
        <f t="array" ref="AF215">IFERROR(VLOOKUP(AE215,Dex!$P$22:$Q$276,2,FALSE),"")</f>
        <v/>
      </c>
      <c r="AG215" s="734"/>
      <c r="AH215" s="2410"/>
      <c r="AI215" s="2411"/>
    </row>
    <row r="216" ht="16.5" customHeight="1">
      <c r="A216" s="2326"/>
      <c r="B216" s="2403"/>
      <c r="C216" s="2396"/>
      <c r="D216" s="2404"/>
      <c r="E216" s="738" t="s">
        <v>514</v>
      </c>
      <c r="F216" s="739">
        <f t="array" ref="F216">IFERROR(VLOOKUP(E202,Dex!$B$3:$N422,9,FALSE),"")</f>
        <v>125</v>
      </c>
      <c r="G216" s="740" t="str">
        <f t="array" ref="G216">IFERROR(VLOOKUP(F216,Dex!$P$22:$Q$276,2,FALSE),"")</f>
        <v/>
      </c>
      <c r="H216" s="741"/>
      <c r="I216" s="2602"/>
      <c r="J216" s="738" t="s">
        <v>514</v>
      </c>
      <c r="K216" s="739">
        <f t="array" ref="K216">IFERROR(VLOOKUP(J202,Dex!$B$3:$N422,9,FALSE),"")</f>
        <v>101</v>
      </c>
      <c r="L216" s="740" t="str">
        <f t="array" ref="L216">IFERROR(VLOOKUP(K216,Dex!$P$22:$Q$276,2,FALSE),"")</f>
        <v/>
      </c>
      <c r="M216" s="741"/>
      <c r="N216" s="2602"/>
      <c r="O216" s="738" t="s">
        <v>514</v>
      </c>
      <c r="P216" s="739">
        <f t="array" ref="P216">IFERROR(VLOOKUP(O202,Dex!$B$3:$N422,9,FALSE),"")</f>
        <v>123</v>
      </c>
      <c r="Q216" s="740" t="str">
        <f t="array" ref="Q216">IFERROR(VLOOKUP(P216,Dex!$P$22:$Q$276,2,FALSE),"")</f>
        <v/>
      </c>
      <c r="R216" s="741"/>
      <c r="S216" s="2602"/>
      <c r="T216" s="738" t="s">
        <v>514</v>
      </c>
      <c r="U216" s="739">
        <f t="array" ref="U216">IFERROR(VLOOKUP(T202,Dex!$B$3:$N422,9,FALSE),"")</f>
        <v>85</v>
      </c>
      <c r="V216" s="740" t="str">
        <f t="array" ref="V216">IFERROR(VLOOKUP(U216,Dex!$P$22:$Q$276,2,FALSE),"")</f>
        <v/>
      </c>
      <c r="W216" s="741"/>
      <c r="X216" s="2602"/>
      <c r="Y216" s="738" t="s">
        <v>514</v>
      </c>
      <c r="Z216" s="739">
        <f t="array" ref="Z216">IFERROR(VLOOKUP(Y202,Dex!$B$3:$N422,9,FALSE),"")</f>
        <v>140</v>
      </c>
      <c r="AA216" s="740" t="str">
        <f t="array" ref="AA216">IFERROR(VLOOKUP(Z216,Dex!$P$22:$Q$276,2,FALSE),"")</f>
        <v/>
      </c>
      <c r="AB216" s="741"/>
      <c r="AC216" s="2603"/>
      <c r="AD216" s="738" t="s">
        <v>514</v>
      </c>
      <c r="AE216" s="739">
        <f t="array" ref="AE216">IFERROR(VLOOKUP(AD202,Dex!$B$3:$N422,9,FALSE),"")</f>
        <v>103</v>
      </c>
      <c r="AF216" s="740" t="str">
        <f t="array" ref="AF216">IFERROR(VLOOKUP(AE216,Dex!$P$22:$Q$276,2,FALSE),"")</f>
        <v/>
      </c>
      <c r="AG216" s="741"/>
      <c r="AH216" s="2410"/>
      <c r="AI216" s="2411"/>
    </row>
    <row r="217" ht="16.5" customHeight="1">
      <c r="A217" s="2326"/>
      <c r="B217" s="2403"/>
      <c r="C217" s="2396"/>
      <c r="D217" s="2404"/>
      <c r="E217" s="738" t="s">
        <v>515</v>
      </c>
      <c r="F217" s="739">
        <f t="array" ref="F217">IFERROR(VLOOKUP(E202,Dex!$B$3:$N422,10,FALSE),"")</f>
        <v>70</v>
      </c>
      <c r="G217" s="740" t="str">
        <f t="array" ref="G217">IFERROR(VLOOKUP(F217,Dex!$P$22:$Q$276,2,FALSE),"")</f>
        <v/>
      </c>
      <c r="H217" s="741"/>
      <c r="I217" s="2602"/>
      <c r="J217" s="738" t="s">
        <v>515</v>
      </c>
      <c r="K217" s="739">
        <f t="array" ref="K217">IFERROR(VLOOKUP(J202,Dex!$B$3:$N422,10,FALSE),"")</f>
        <v>103</v>
      </c>
      <c r="L217" s="740" t="str">
        <f t="array" ref="L217">IFERROR(VLOOKUP(K217,Dex!$P$22:$Q$276,2,FALSE),"")</f>
        <v/>
      </c>
      <c r="M217" s="741"/>
      <c r="N217" s="2602"/>
      <c r="O217" s="738" t="s">
        <v>515</v>
      </c>
      <c r="P217" s="739">
        <f t="array" ref="P217">IFERROR(VLOOKUP(O202,Dex!$B$3:$N422,10,FALSE),"")</f>
        <v>67</v>
      </c>
      <c r="Q217" s="740" t="str">
        <f t="array" ref="Q217">IFERROR(VLOOKUP(P217,Dex!$P$22:$Q$276,2,FALSE),"")</f>
        <v/>
      </c>
      <c r="R217" s="741"/>
      <c r="S217" s="2602"/>
      <c r="T217" s="738" t="s">
        <v>515</v>
      </c>
      <c r="U217" s="739">
        <f t="array" ref="U217">IFERROR(VLOOKUP(T202,Dex!$B$3:$N422,10,FALSE),"")</f>
        <v>70</v>
      </c>
      <c r="V217" s="740" t="str">
        <f t="array" ref="V217">IFERROR(VLOOKUP(U217,Dex!$P$22:$Q$276,2,FALSE),"")</f>
        <v/>
      </c>
      <c r="W217" s="741"/>
      <c r="X217" s="2602"/>
      <c r="Y217" s="738" t="s">
        <v>515</v>
      </c>
      <c r="Z217" s="739">
        <f t="array" ref="Z217">IFERROR(VLOOKUP(Y202,Dex!$B$3:$N422,10,FALSE),"")</f>
        <v>55</v>
      </c>
      <c r="AA217" s="740" t="str">
        <f t="array" ref="AA217">IFERROR(VLOOKUP(Z217,Dex!$P$22:$Q$276,2,FALSE),"")</f>
        <v/>
      </c>
      <c r="AB217" s="741"/>
      <c r="AC217" s="2603"/>
      <c r="AD217" s="738" t="s">
        <v>515</v>
      </c>
      <c r="AE217" s="739">
        <f t="array" ref="AE217">IFERROR(VLOOKUP(AD202,Dex!$B$3:$N422,10,FALSE),"")</f>
        <v>120</v>
      </c>
      <c r="AF217" s="740" t="str">
        <f t="array" ref="AF217">IFERROR(VLOOKUP(AE217,Dex!$P$22:$Q$276,2,FALSE),"")</f>
        <v/>
      </c>
      <c r="AG217" s="741"/>
      <c r="AH217" s="2410"/>
      <c r="AI217" s="2411"/>
    </row>
    <row r="218" ht="16.5" customHeight="1">
      <c r="A218" s="2326"/>
      <c r="B218" s="2403"/>
      <c r="C218" s="2396"/>
      <c r="D218" s="2404"/>
      <c r="E218" s="738" t="s">
        <v>516</v>
      </c>
      <c r="F218" s="739">
        <f t="array" ref="F218">IFERROR(VLOOKUP(E202,Dex!$B$3:$N422,11,FALSE),"")</f>
        <v>125</v>
      </c>
      <c r="G218" s="740" t="str">
        <f t="array" ref="G218">IFERROR(VLOOKUP(F218,Dex!$P$22:$Q$276,2,FALSE),"")</f>
        <v/>
      </c>
      <c r="H218" s="741"/>
      <c r="I218" s="2602"/>
      <c r="J218" s="738" t="s">
        <v>516</v>
      </c>
      <c r="K218" s="739">
        <f t="array" ref="K218">IFERROR(VLOOKUP(J202,Dex!$B$3:$N422,11,FALSE),"")</f>
        <v>107</v>
      </c>
      <c r="L218" s="740" t="str">
        <f t="array" ref="L218">IFERROR(VLOOKUP(K218,Dex!$P$22:$Q$276,2,FALSE),"")</f>
        <v/>
      </c>
      <c r="M218" s="741"/>
      <c r="N218" s="2602"/>
      <c r="O218" s="738" t="s">
        <v>516</v>
      </c>
      <c r="P218" s="739">
        <f t="array" ref="P218">IFERROR(VLOOKUP(O202,Dex!$B$3:$N422,11,FALSE),"")</f>
        <v>95</v>
      </c>
      <c r="Q218" s="740" t="str">
        <f t="array" ref="Q218">IFERROR(VLOOKUP(P218,Dex!$P$22:$Q$276,2,FALSE),"")</f>
        <v/>
      </c>
      <c r="R218" s="741"/>
      <c r="S218" s="2602"/>
      <c r="T218" s="738" t="s">
        <v>516</v>
      </c>
      <c r="U218" s="739">
        <f t="array" ref="U218">IFERROR(VLOOKUP(T202,Dex!$B$3:$N422,11,FALSE),"")</f>
        <v>35</v>
      </c>
      <c r="V218" s="740" t="str">
        <f t="array" ref="V218">IFERROR(VLOOKUP(U218,Dex!$P$22:$Q$276,2,FALSE),"")</f>
        <v/>
      </c>
      <c r="W218" s="741"/>
      <c r="X218" s="2602"/>
      <c r="Y218" s="738" t="s">
        <v>516</v>
      </c>
      <c r="Z218" s="739">
        <f t="array" ref="Z218">IFERROR(VLOOKUP(Y202,Dex!$B$3:$N422,11,FALSE),"")</f>
        <v>30</v>
      </c>
      <c r="AA218" s="740" t="str">
        <f t="array" ref="AA218">IFERROR(VLOOKUP(Z218,Dex!$P$22:$Q$276,2,FALSE),"")</f>
        <v/>
      </c>
      <c r="AB218" s="741"/>
      <c r="AC218" s="2603"/>
      <c r="AD218" s="738" t="s">
        <v>516</v>
      </c>
      <c r="AE218" s="739">
        <f t="array" ref="AE218">IFERROR(VLOOKUP(AD202,Dex!$B$3:$N422,11,FALSE),"")</f>
        <v>135</v>
      </c>
      <c r="AF218" s="740" t="str">
        <f t="array" ref="AF218">IFERROR(VLOOKUP(AE218,Dex!$P$22:$Q$276,2,FALSE),"")</f>
        <v/>
      </c>
      <c r="AG218" s="741"/>
      <c r="AH218" s="2410"/>
      <c r="AI218" s="2411"/>
    </row>
    <row r="219" ht="16.5" customHeight="1">
      <c r="A219" s="2326"/>
      <c r="B219" s="2403"/>
      <c r="C219" s="2567"/>
      <c r="D219" s="2404"/>
      <c r="E219" s="738" t="s">
        <v>517</v>
      </c>
      <c r="F219" s="739">
        <f t="array" ref="F219">IFERROR(VLOOKUP(E202,Dex!$B$3:$N422,12,FALSE),"")</f>
        <v>70</v>
      </c>
      <c r="G219" s="740" t="str">
        <f t="array" ref="G219">IFERROR(VLOOKUP(F219,Dex!$P$22:$Q$276,2,FALSE),"")</f>
        <v/>
      </c>
      <c r="H219" s="741"/>
      <c r="I219" s="2602"/>
      <c r="J219" s="738" t="s">
        <v>517</v>
      </c>
      <c r="K219" s="739">
        <f t="array" ref="K219">IFERROR(VLOOKUP(J202,Dex!$B$3:$N422,12,FALSE),"")</f>
        <v>101</v>
      </c>
      <c r="L219" s="740" t="str">
        <f t="array" ref="L219">IFERROR(VLOOKUP(K219,Dex!$P$22:$Q$276,2,FALSE),"")</f>
        <v/>
      </c>
      <c r="M219" s="741"/>
      <c r="N219" s="2602"/>
      <c r="O219" s="738" t="s">
        <v>517</v>
      </c>
      <c r="P219" s="739">
        <f t="array" ref="P219">IFERROR(VLOOKUP(O202,Dex!$B$3:$N422,12,FALSE),"")</f>
        <v>85</v>
      </c>
      <c r="Q219" s="740" t="str">
        <f t="array" ref="Q219">IFERROR(VLOOKUP(P219,Dex!$P$22:$Q$276,2,FALSE),"")</f>
        <v/>
      </c>
      <c r="R219" s="741"/>
      <c r="S219" s="2602"/>
      <c r="T219" s="738" t="s">
        <v>517</v>
      </c>
      <c r="U219" s="739">
        <f t="array" ref="U219">IFERROR(VLOOKUP(T202,Dex!$B$3:$N422,12,FALSE),"")</f>
        <v>95</v>
      </c>
      <c r="V219" s="740" t="str">
        <f t="array" ref="V219">IFERROR(VLOOKUP(U219,Dex!$P$22:$Q$276,2,FALSE),"")</f>
        <v/>
      </c>
      <c r="W219" s="741"/>
      <c r="X219" s="2602"/>
      <c r="Y219" s="738" t="s">
        <v>517</v>
      </c>
      <c r="Z219" s="739">
        <f t="array" ref="Z219">IFERROR(VLOOKUP(Y202,Dex!$B$3:$N422,12,FALSE),"")</f>
        <v>55</v>
      </c>
      <c r="AA219" s="740" t="str">
        <f t="array" ref="AA219">IFERROR(VLOOKUP(Z219,Dex!$P$22:$Q$276,2,FALSE),"")</f>
        <v/>
      </c>
      <c r="AB219" s="741"/>
      <c r="AC219" s="2603"/>
      <c r="AD219" s="738" t="s">
        <v>517</v>
      </c>
      <c r="AE219" s="739">
        <f t="array" ref="AE219">IFERROR(VLOOKUP(AD202,Dex!$B$3:$N422,12,FALSE),"")</f>
        <v>115</v>
      </c>
      <c r="AF219" s="740" t="str">
        <f t="array" ref="AF219">IFERROR(VLOOKUP(AE219,Dex!$P$22:$Q$276,2,FALSE),"")</f>
        <v/>
      </c>
      <c r="AG219" s="741"/>
      <c r="AH219" s="2410"/>
      <c r="AI219" s="2411"/>
    </row>
    <row r="220" ht="15.75" customHeight="1">
      <c r="A220" s="2326"/>
      <c r="B220" s="2568"/>
      <c r="C220" s="1426" t="s">
        <v>745</v>
      </c>
      <c r="D220" s="2569"/>
      <c r="E220" s="742" t="s">
        <v>518</v>
      </c>
      <c r="F220" s="743">
        <f t="array" ref="F220">IFERROR(VLOOKUP(E202,Dex!$B$3:$N422,13,FALSE),"")</f>
        <v>115</v>
      </c>
      <c r="G220" s="744" t="str">
        <f t="array" ref="G220">IFERROR(VLOOKUP(F220,Dex!$P$22:$Q$276,2,FALSE),"")</f>
        <v/>
      </c>
      <c r="H220" s="745"/>
      <c r="I220" s="2602"/>
      <c r="J220" s="742" t="s">
        <v>518</v>
      </c>
      <c r="K220" s="743">
        <f t="array" ref="K220">IFERROR(VLOOKUP(J202,Dex!$B$3:$N422,13,FALSE),"")</f>
        <v>61</v>
      </c>
      <c r="L220" s="744" t="str">
        <f t="array" ref="L220">IFERROR(VLOOKUP(K220,Dex!$P$22:$Q$276,2,FALSE),"")</f>
        <v/>
      </c>
      <c r="M220" s="745"/>
      <c r="N220" s="2602"/>
      <c r="O220" s="742" t="s">
        <v>518</v>
      </c>
      <c r="P220" s="743">
        <f t="array" ref="P220">IFERROR(VLOOKUP(O202,Dex!$B$3:$N422,13,FALSE),"")</f>
        <v>95</v>
      </c>
      <c r="Q220" s="744" t="str">
        <f t="array" ref="Q220">IFERROR(VLOOKUP(P220,Dex!$P$22:$Q$276,2,FALSE),"")</f>
        <v/>
      </c>
      <c r="R220" s="745"/>
      <c r="S220" s="2602"/>
      <c r="T220" s="742" t="s">
        <v>518</v>
      </c>
      <c r="U220" s="743">
        <f t="array" ref="U220">IFERROR(VLOOKUP(T202,Dex!$B$3:$N422,13,FALSE),"")</f>
        <v>110</v>
      </c>
      <c r="V220" s="744" t="str">
        <f t="array" ref="V220">IFERROR(VLOOKUP(U220,Dex!$P$22:$Q$276,2,FALSE),"")</f>
        <v/>
      </c>
      <c r="W220" s="745"/>
      <c r="X220" s="2602"/>
      <c r="Y220" s="742" t="s">
        <v>518</v>
      </c>
      <c r="Z220" s="743">
        <f t="array" ref="Z220">IFERROR(VLOOKUP(Y202,Dex!$B$3:$N422,13,FALSE),"")</f>
        <v>95</v>
      </c>
      <c r="AA220" s="744" t="str">
        <f t="array" ref="AA220">IFERROR(VLOOKUP(Z220,Dex!$P$22:$Q$276,2,FALSE),"")</f>
        <v/>
      </c>
      <c r="AB220" s="745"/>
      <c r="AC220" s="2603"/>
      <c r="AD220" s="742" t="s">
        <v>518</v>
      </c>
      <c r="AE220" s="743">
        <f t="array" ref="AE220">IFERROR(VLOOKUP(AD202,Dex!$B$3:$N422,13,FALSE),"")</f>
        <v>78</v>
      </c>
      <c r="AF220" s="744" t="str">
        <f t="array" ref="AF220">IFERROR(VLOOKUP(AE220,Dex!$P$22:$Q$276,2,FALSE),"")</f>
        <v/>
      </c>
      <c r="AG220" s="745"/>
      <c r="AH220" s="2410"/>
      <c r="AI220" s="2411"/>
    </row>
    <row r="221" ht="16.5" customHeight="1">
      <c r="A221" s="2326"/>
      <c r="B221" s="2568"/>
      <c r="C221" s="1427" t="s">
        <v>1055</v>
      </c>
      <c r="D221" s="2569"/>
      <c r="E221" s="746" t="s">
        <v>519</v>
      </c>
      <c r="F221" s="630"/>
      <c r="G221" s="631"/>
      <c r="H221" s="632">
        <f>ROUNDDOWN((ROUNDDOWN(((((2*F220+31)*56)/100+5)),0))*1.1,0)</f>
        <v>166</v>
      </c>
      <c r="I221" s="2405"/>
      <c r="J221" s="746" t="s">
        <v>519</v>
      </c>
      <c r="K221" s="630"/>
      <c r="L221" s="631"/>
      <c r="M221" s="632">
        <f>ROUNDDOWN((ROUNDDOWN(((((2*K220+31)*56)/100+5)),0))*1,0)</f>
        <v>90</v>
      </c>
      <c r="N221" s="2405"/>
      <c r="O221" s="746" t="s">
        <v>519</v>
      </c>
      <c r="P221" s="630"/>
      <c r="Q221" s="631"/>
      <c r="R221" s="632">
        <f>ROUNDDOWN((ROUNDDOWN(((((2*P220+31)*56)/100+5)),0))*1.1,0)</f>
        <v>140</v>
      </c>
      <c r="S221" s="2405"/>
      <c r="T221" s="746" t="s">
        <v>519</v>
      </c>
      <c r="U221" s="630"/>
      <c r="V221" s="631"/>
      <c r="W221" s="632">
        <f>ROUNDDOWN((ROUNDDOWN(((((2*U220+31)*56)/100+5)),0))*1.1,0)</f>
        <v>159</v>
      </c>
      <c r="X221" s="2405"/>
      <c r="Y221" s="746" t="s">
        <v>519</v>
      </c>
      <c r="Z221" s="630"/>
      <c r="AA221" s="631"/>
      <c r="AB221" s="632">
        <f>ROUNDDOWN((ROUNDDOWN(((((2*Z220+31)*56)/100+5)),0))*1.1,0)</f>
        <v>140</v>
      </c>
      <c r="AC221" s="2565"/>
      <c r="AD221" s="746" t="s">
        <v>519</v>
      </c>
      <c r="AE221" s="630"/>
      <c r="AF221" s="631"/>
      <c r="AG221" s="632">
        <f>ROUNDDOWN((ROUNDDOWN(((((2*AE220+31)*56)/100+5)),0))*1,0)</f>
        <v>109</v>
      </c>
      <c r="AH221" s="2410"/>
      <c r="AI221" s="2411"/>
    </row>
    <row r="222" ht="11.25" customHeight="1">
      <c r="A222" s="2319"/>
      <c r="B222" s="2327"/>
      <c r="C222" s="2575"/>
      <c r="D222" s="2374"/>
      <c r="E222" s="2413"/>
      <c r="F222" s="2413"/>
      <c r="G222" s="2413"/>
      <c r="H222" s="2413"/>
      <c r="I222" s="2346"/>
      <c r="J222" s="2413"/>
      <c r="K222" s="2413"/>
      <c r="L222" s="2413"/>
      <c r="M222" s="2413"/>
      <c r="N222" s="2346"/>
      <c r="O222" s="2414"/>
      <c r="P222" s="2414"/>
      <c r="Q222" s="2414"/>
      <c r="R222" s="2434"/>
      <c r="S222" s="2346"/>
      <c r="T222" s="2414"/>
      <c r="U222" s="2414"/>
      <c r="V222" s="2414"/>
      <c r="W222" s="2434"/>
      <c r="X222" s="2346"/>
      <c r="Y222" s="2414"/>
      <c r="Z222" s="2414"/>
      <c r="AA222" s="2414"/>
      <c r="AB222" s="2434"/>
      <c r="AC222" s="2374"/>
      <c r="AD222" s="2604"/>
      <c r="AE222" s="2604"/>
      <c r="AF222" s="2604"/>
      <c r="AG222" s="2374"/>
      <c r="AH222" s="2334"/>
      <c r="AI222" s="2325"/>
    </row>
    <row r="223">
      <c r="A223" s="2326"/>
      <c r="B223" s="2327"/>
      <c r="C223" s="2328"/>
      <c r="D223" s="2329"/>
      <c r="E223" s="1731" t="s">
        <v>976</v>
      </c>
      <c r="F223" s="1732"/>
      <c r="G223" s="1732"/>
      <c r="H223" s="1732"/>
      <c r="I223" s="1732"/>
      <c r="J223" s="1732"/>
      <c r="K223" s="1732"/>
      <c r="L223" s="1732"/>
      <c r="M223" s="1732"/>
      <c r="N223" s="1732"/>
      <c r="O223" s="1732"/>
      <c r="P223" s="1732"/>
      <c r="Q223" s="1732"/>
      <c r="R223" s="1732"/>
      <c r="S223" s="1732"/>
      <c r="T223" s="1732"/>
      <c r="U223" s="1732"/>
      <c r="V223" s="1732"/>
      <c r="W223" s="1732"/>
      <c r="X223" s="1732"/>
      <c r="Y223" s="1732"/>
      <c r="Z223" s="1732"/>
      <c r="AA223" s="1732"/>
      <c r="AB223" s="1732"/>
      <c r="AC223" s="1732"/>
      <c r="AD223" s="1732"/>
      <c r="AE223" s="1732"/>
      <c r="AF223" s="1732"/>
      <c r="AG223" s="1733"/>
      <c r="AH223" s="2334"/>
      <c r="AI223" s="2325"/>
    </row>
    <row r="224" ht="3.75" customHeight="1">
      <c r="A224" s="2326"/>
      <c r="B224" s="2327"/>
      <c r="C224" s="2335"/>
      <c r="D224" s="2336"/>
      <c r="E224" s="2337"/>
      <c r="F224" s="2337"/>
      <c r="G224" s="2337"/>
      <c r="H224" s="2337"/>
      <c r="I224" s="2338"/>
      <c r="J224" s="2337"/>
      <c r="K224" s="2337"/>
      <c r="L224" s="2337"/>
      <c r="M224" s="2337"/>
      <c r="N224" s="2338"/>
      <c r="O224" s="2337"/>
      <c r="P224" s="2337"/>
      <c r="Q224" s="2337"/>
      <c r="R224" s="2337"/>
      <c r="S224" s="2338"/>
      <c r="T224" s="2337"/>
      <c r="U224" s="2337"/>
      <c r="V224" s="2337"/>
      <c r="W224" s="2337"/>
      <c r="X224" s="2338"/>
      <c r="Y224" s="2337"/>
      <c r="Z224" s="2337"/>
      <c r="AA224" s="2337"/>
      <c r="AB224" s="2337"/>
      <c r="AC224" s="2336"/>
      <c r="AD224" s="2600"/>
      <c r="AE224" s="2600"/>
      <c r="AF224" s="2600"/>
      <c r="AG224" s="2600"/>
      <c r="AH224" s="2334"/>
      <c r="AI224" s="2325"/>
    </row>
    <row r="225" ht="96.75" customHeight="1">
      <c r="A225" s="2319"/>
      <c r="B225" s="2339"/>
      <c r="C225" s="2416" t="str">
        <f>IMAGE("https://i.ibb.co/fXwks6z/Rival.png")</f>
        <v/>
      </c>
      <c r="D225" s="2341"/>
      <c r="E225" s="2417" t="str">
        <f t="array" ref="E225">IFERROR(VLOOKUP(E226,Dex!$B$3:$G422,3,FALSE),"")</f>
        <v/>
      </c>
      <c r="F225" s="1945"/>
      <c r="G225" s="1945"/>
      <c r="H225" s="1946"/>
      <c r="I225" s="2343"/>
      <c r="J225" s="2417" t="str">
        <f t="array" ref="J225">IFERROR(VLOOKUP(J226,Dex!$B$3:$G422,3,FALSE),"")</f>
        <v/>
      </c>
      <c r="K225" s="1945"/>
      <c r="L225" s="1945"/>
      <c r="M225" s="1946"/>
      <c r="N225" s="2343"/>
      <c r="O225" s="2417" t="str">
        <f t="array" ref="O225">IFERROR(VLOOKUP(O226,Dex!$B$3:$G422,3,FALSE),"")</f>
        <v/>
      </c>
      <c r="P225" s="1945"/>
      <c r="Q225" s="1945"/>
      <c r="R225" s="1946"/>
      <c r="S225" s="2343"/>
      <c r="T225" s="2417" t="str">
        <f t="array" ref="T225">IFERROR(VLOOKUP(T226,Dex!$B$3:$G422,3,FALSE),"")</f>
        <v/>
      </c>
      <c r="U225" s="1945"/>
      <c r="V225" s="1945"/>
      <c r="W225" s="1946"/>
      <c r="X225" s="2343"/>
      <c r="Y225" s="2417" t="str">
        <f t="array" ref="Y225">IFERROR(VLOOKUP(Y226,Dex!$B$3:$G422,3,FALSE),"")</f>
        <v/>
      </c>
      <c r="Z225" s="1945"/>
      <c r="AA225" s="1945"/>
      <c r="AB225" s="1946"/>
      <c r="AC225" s="2344"/>
      <c r="AD225" s="2417" t="str">
        <f t="array" ref="AD225">IFERROR(VLOOKUP(AD226,Dex!$B$3:$G422,3,FALSE),"")</f>
        <v/>
      </c>
      <c r="AE225" s="1945"/>
      <c r="AF225" s="1945"/>
      <c r="AG225" s="1946"/>
      <c r="AH225" s="2563"/>
      <c r="AI225" s="2325"/>
    </row>
    <row r="226" ht="18.75" customHeight="1">
      <c r="A226" s="2347"/>
      <c r="B226" s="2419"/>
      <c r="C226" s="2349" t="s">
        <v>1056</v>
      </c>
      <c r="D226" s="2420"/>
      <c r="E226" s="2351" t="s">
        <v>1043</v>
      </c>
      <c r="F226" s="2352"/>
      <c r="G226" s="2352"/>
      <c r="H226" s="2353"/>
      <c r="J226" s="2351" t="s">
        <v>1046</v>
      </c>
      <c r="K226" s="2352"/>
      <c r="L226" s="2352"/>
      <c r="M226" s="2353"/>
      <c r="O226" s="2351" t="s">
        <v>1044</v>
      </c>
      <c r="P226" s="2352"/>
      <c r="Q226" s="2352"/>
      <c r="R226" s="2353"/>
      <c r="T226" s="2351" t="s">
        <v>1045</v>
      </c>
      <c r="U226" s="2352"/>
      <c r="V226" s="2352"/>
      <c r="W226" s="2353"/>
      <c r="Y226" s="2351" t="s">
        <v>1057</v>
      </c>
      <c r="Z226" s="2352"/>
      <c r="AA226" s="2352"/>
      <c r="AB226" s="2353"/>
      <c r="AD226" s="2351" t="s">
        <v>680</v>
      </c>
      <c r="AE226" s="2352"/>
      <c r="AF226" s="2352"/>
      <c r="AG226" s="2353"/>
      <c r="AH226" s="2564"/>
      <c r="AI226" s="2357"/>
    </row>
    <row r="227">
      <c r="A227" s="2319"/>
      <c r="B227" s="2358"/>
      <c r="C227" s="556"/>
      <c r="D227" s="2359"/>
      <c r="E227" s="2360" t="s">
        <v>729</v>
      </c>
      <c r="F227" s="2361"/>
      <c r="G227" s="2361"/>
      <c r="H227" s="2362"/>
      <c r="J227" s="2360" t="s">
        <v>729</v>
      </c>
      <c r="K227" s="2361"/>
      <c r="L227" s="2361"/>
      <c r="M227" s="2362"/>
      <c r="O227" s="2360" t="s">
        <v>729</v>
      </c>
      <c r="P227" s="2361"/>
      <c r="Q227" s="2361"/>
      <c r="R227" s="2362"/>
      <c r="T227" s="2360" t="s">
        <v>729</v>
      </c>
      <c r="U227" s="2361"/>
      <c r="V227" s="2361"/>
      <c r="W227" s="2362"/>
      <c r="Y227" s="2360" t="s">
        <v>729</v>
      </c>
      <c r="Z227" s="2361"/>
      <c r="AA227" s="2361"/>
      <c r="AB227" s="2362"/>
      <c r="AD227" s="2360" t="s">
        <v>729</v>
      </c>
      <c r="AE227" s="2361"/>
      <c r="AF227" s="2361"/>
      <c r="AG227" s="2362"/>
      <c r="AH227" s="2563"/>
      <c r="AI227" s="2325"/>
    </row>
    <row r="228" ht="25.5" customHeight="1">
      <c r="A228" s="2319"/>
      <c r="B228" s="2327"/>
      <c r="C228" s="2363"/>
      <c r="D228" s="2364"/>
      <c r="E228" s="2365"/>
      <c r="F228" s="2366" t="str">
        <f t="array" ref="F228">IFERROR(VLOOKUP(E226,Dex!$B$3:$H422,5,FALSE),"")</f>
        <v/>
      </c>
      <c r="G228" s="2367"/>
      <c r="H228" s="2368"/>
      <c r="J228" s="2365"/>
      <c r="K228" s="2369" t="str">
        <f t="array" ref="K228">IFERROR(VLOOKUP(J226,Dex!$B$3:$H422,5,FALSE),"")</f>
        <v/>
      </c>
      <c r="L228" s="2370" t="str">
        <f t="array" ref="L228">IFERROR(VLOOKUP(J226,Dex!$B$3:$H422,7,FALSE),"")</f>
        <v/>
      </c>
      <c r="M228" s="2368"/>
      <c r="O228" s="2365"/>
      <c r="P228" s="2369" t="str">
        <f t="array" ref="P228">IFERROR(VLOOKUP(O226,Dex!$B$3:$H422,5,FALSE),"")</f>
        <v/>
      </c>
      <c r="Q228" s="2370" t="str">
        <f t="array" ref="Q228">IFERROR(VLOOKUP(O226,Dex!$B$3:$H422,7,FALSE),"")</f>
        <v/>
      </c>
      <c r="R228" s="2368"/>
      <c r="T228" s="2365"/>
      <c r="U228" s="2366" t="str">
        <f t="array" ref="U228">IFERROR(VLOOKUP(T226,Dex!$B$3:$H422,5,FALSE),"")</f>
        <v/>
      </c>
      <c r="V228" s="2367"/>
      <c r="W228" s="2368"/>
      <c r="Y228" s="2365"/>
      <c r="Z228" s="2369" t="str">
        <f t="array" ref="Z228">IFERROR(VLOOKUP(Y226,Dex!$B$3:$H422,5,FALSE),"")</f>
        <v/>
      </c>
      <c r="AA228" s="2370" t="str">
        <f t="array" ref="AA228">IFERROR(VLOOKUP(Y226,Dex!$B$3:$H422,7,FALSE),"")</f>
        <v/>
      </c>
      <c r="AB228" s="2368"/>
      <c r="AD228" s="2365"/>
      <c r="AE228" s="2369" t="str">
        <f t="array" ref="AE228">IFERROR(VLOOKUP(AD226,Dex!$B$3:$H422,5,FALSE),"")</f>
        <v/>
      </c>
      <c r="AF228" s="2370" t="str">
        <f t="array" ref="AF228">IFERROR(VLOOKUP(AD226,Dex!$B$3:$H422,7,FALSE),"")</f>
        <v/>
      </c>
      <c r="AG228" s="2368"/>
      <c r="AH228" s="2334"/>
      <c r="AI228" s="2325"/>
    </row>
    <row r="229" ht="2.25" customHeight="1">
      <c r="A229" s="2319"/>
      <c r="B229" s="2327"/>
      <c r="C229" s="2355"/>
      <c r="D229" s="2364"/>
      <c r="E229" s="2371"/>
      <c r="F229" s="2372"/>
      <c r="G229" s="2372"/>
      <c r="H229" s="2373"/>
      <c r="J229" s="2371"/>
      <c r="K229" s="2372"/>
      <c r="L229" s="2372"/>
      <c r="M229" s="2373"/>
      <c r="O229" s="2371"/>
      <c r="P229" s="2372"/>
      <c r="Q229" s="2372"/>
      <c r="R229" s="2373"/>
      <c r="T229" s="2371"/>
      <c r="U229" s="2372"/>
      <c r="V229" s="2372"/>
      <c r="W229" s="2373"/>
      <c r="Y229" s="2371"/>
      <c r="Z229" s="2372"/>
      <c r="AA229" s="2372"/>
      <c r="AB229" s="2373"/>
      <c r="AD229" s="2371"/>
      <c r="AE229" s="2372"/>
      <c r="AF229" s="2372"/>
      <c r="AG229" s="2373"/>
      <c r="AH229" s="2334"/>
      <c r="AI229" s="2325"/>
    </row>
    <row r="230" ht="20.25" customHeight="1">
      <c r="A230" s="2319"/>
      <c r="B230" s="2327"/>
      <c r="C230" s="2375"/>
      <c r="D230" s="2329"/>
      <c r="E230" s="2376" t="s">
        <v>565</v>
      </c>
      <c r="F230" s="2377"/>
      <c r="G230" s="2377"/>
      <c r="H230" s="2378"/>
      <c r="J230" s="2376" t="s">
        <v>532</v>
      </c>
      <c r="K230" s="2377"/>
      <c r="L230" s="2377"/>
      <c r="M230" s="2378"/>
      <c r="O230" s="2376" t="s">
        <v>531</v>
      </c>
      <c r="P230" s="2377"/>
      <c r="Q230" s="2377"/>
      <c r="R230" s="2378"/>
      <c r="T230" s="2376" t="s">
        <v>532</v>
      </c>
      <c r="U230" s="2377"/>
      <c r="V230" s="2377"/>
      <c r="W230" s="2378"/>
      <c r="Y230" s="2376" t="s">
        <v>564</v>
      </c>
      <c r="Z230" s="2377"/>
      <c r="AA230" s="2377"/>
      <c r="AB230" s="2378"/>
      <c r="AD230" s="2376" t="s">
        <v>532</v>
      </c>
      <c r="AE230" s="2377"/>
      <c r="AF230" s="2377"/>
      <c r="AG230" s="2378"/>
      <c r="AH230" s="2563"/>
      <c r="AI230" s="2325"/>
    </row>
    <row r="231">
      <c r="A231" s="2319"/>
      <c r="B231" s="2327"/>
      <c r="C231" s="2379"/>
      <c r="D231" s="2329"/>
      <c r="E231" s="2380" t="s">
        <v>484</v>
      </c>
      <c r="F231" s="2332"/>
      <c r="G231" s="2332"/>
      <c r="H231" s="2381"/>
      <c r="J231" s="2380" t="s">
        <v>1049</v>
      </c>
      <c r="K231" s="2332"/>
      <c r="L231" s="2332"/>
      <c r="M231" s="2381"/>
      <c r="O231" s="2380" t="s">
        <v>120</v>
      </c>
      <c r="P231" s="2332"/>
      <c r="Q231" s="2332"/>
      <c r="R231" s="2381"/>
      <c r="T231" s="2380" t="s">
        <v>570</v>
      </c>
      <c r="U231" s="2332"/>
      <c r="V231" s="2332"/>
      <c r="W231" s="2381"/>
      <c r="Y231" s="2380" t="s">
        <v>103</v>
      </c>
      <c r="Z231" s="2332"/>
      <c r="AA231" s="2332"/>
      <c r="AB231" s="2381"/>
      <c r="AD231" s="2380" t="s">
        <v>1058</v>
      </c>
      <c r="AE231" s="2332"/>
      <c r="AF231" s="2332"/>
      <c r="AG231" s="2381"/>
      <c r="AH231" s="2563"/>
      <c r="AI231" s="2325"/>
    </row>
    <row r="232" ht="20.25" customHeight="1">
      <c r="A232" s="2319"/>
      <c r="B232" s="2327"/>
      <c r="C232" s="2355"/>
      <c r="D232" s="2329"/>
      <c r="E232" s="2382" t="s">
        <v>573</v>
      </c>
      <c r="F232" s="2383"/>
      <c r="G232" s="2384"/>
      <c r="H232" s="2385"/>
      <c r="J232" s="2382" t="s">
        <v>1052</v>
      </c>
      <c r="K232" s="2383"/>
      <c r="L232" s="2384"/>
      <c r="M232" s="2385"/>
      <c r="O232" s="2382" t="s">
        <v>710</v>
      </c>
      <c r="P232" s="2383"/>
      <c r="Q232" s="2384"/>
      <c r="R232" s="2385"/>
      <c r="T232" s="2382" t="s">
        <v>1051</v>
      </c>
      <c r="U232" s="2383"/>
      <c r="V232" s="2384"/>
      <c r="W232" s="2385" t="str">
        <f>IMAGE("https://raw.githubusercontent.com/msikma/pokesprite/master/items/evo-item/electirizer.png",3)</f>
        <v/>
      </c>
      <c r="Y232" s="2382" t="s">
        <v>920</v>
      </c>
      <c r="Z232" s="2383"/>
      <c r="AA232" s="2384"/>
      <c r="AB232" s="2385"/>
      <c r="AD232" s="2382" t="s">
        <v>688</v>
      </c>
      <c r="AE232" s="2383"/>
      <c r="AF232" s="2384"/>
      <c r="AG232" s="2385"/>
      <c r="AH232" s="2334"/>
      <c r="AI232" s="2325"/>
    </row>
    <row r="233" ht="20.25" customHeight="1">
      <c r="A233" s="2319"/>
      <c r="B233" s="2327"/>
      <c r="C233" s="2375"/>
      <c r="D233" s="2329"/>
      <c r="E233" s="2376" t="s">
        <v>191</v>
      </c>
      <c r="F233" s="2377"/>
      <c r="G233" s="2386"/>
      <c r="H233" s="2387" t="str">
        <f>IMAGE("https://raw.githubusercontent.com/msikma/pokesprite/master/misc/types/gen8/rock.png",4,20,20)</f>
        <v/>
      </c>
      <c r="J233" s="2376" t="s">
        <v>1054</v>
      </c>
      <c r="K233" s="2377"/>
      <c r="L233" s="2386"/>
      <c r="M233" s="2387" t="str">
        <f>IMAGE("https://raw.githubusercontent.com/msikma/pokesprite/master/misc/types/gen8/grass.png",4,20,20)</f>
        <v/>
      </c>
      <c r="O233" s="2376" t="s">
        <v>147</v>
      </c>
      <c r="P233" s="2377"/>
      <c r="Q233" s="2386"/>
      <c r="R233" s="2387" t="str">
        <f>IMAGE("https://raw.githubusercontent.com/msikma/pokesprite/master/misc/types/gen8/steel.png",4,20,20)</f>
        <v/>
      </c>
      <c r="T233" s="2376" t="s">
        <v>584</v>
      </c>
      <c r="U233" s="2377"/>
      <c r="V233" s="2386"/>
      <c r="W233" s="2387" t="str">
        <f>IMAGE("https://raw.githubusercontent.com/msikma/pokesprite/master/misc/types/gen8/fighting.png",4,20,20)</f>
        <v/>
      </c>
      <c r="Y233" s="2376" t="s">
        <v>273</v>
      </c>
      <c r="Z233" s="2377"/>
      <c r="AA233" s="2386"/>
      <c r="AB233" s="2387" t="str">
        <f>IMAGE("https://raw.githubusercontent.com/msikma/pokesprite/master/misc/types/gen8/normal.png",4,20,20)</f>
        <v/>
      </c>
      <c r="AD233" s="2376" t="s">
        <v>219</v>
      </c>
      <c r="AE233" s="2377"/>
      <c r="AF233" s="2386"/>
      <c r="AG233" s="2387" t="str">
        <f t="shared" ref="AG233:AG234" si="12">IMAGE("https://raw.githubusercontent.com/msikma/pokesprite/master/misc/types/gen8/dragon.png",4,20,20)</f>
        <v/>
      </c>
      <c r="AH233" s="2334"/>
      <c r="AI233" s="2325"/>
    </row>
    <row r="234" ht="20.25" customHeight="1">
      <c r="A234" s="2319"/>
      <c r="B234" s="2327"/>
      <c r="C234" s="2328"/>
      <c r="D234" s="2329"/>
      <c r="E234" s="2380" t="s">
        <v>591</v>
      </c>
      <c r="F234" s="2332"/>
      <c r="G234" s="420"/>
      <c r="H234" s="2388" t="str">
        <f>IMAGE("https://raw.githubusercontent.com/msikma/pokesprite/master/misc/types/gen8/normal.png",4,20,20)</f>
        <v/>
      </c>
      <c r="J234" s="2380" t="s">
        <v>928</v>
      </c>
      <c r="K234" s="2332"/>
      <c r="L234" s="420"/>
      <c r="M234" s="2388" t="str">
        <f>IMAGE("https://raw.githubusercontent.com/msikma/pokesprite/master/misc/types/gen8/flying.png",4,20,20)</f>
        <v/>
      </c>
      <c r="O234" s="2380" t="s">
        <v>805</v>
      </c>
      <c r="P234" s="2332"/>
      <c r="Q234" s="420"/>
      <c r="R234" s="2388" t="str">
        <f>IMAGE("https://raw.githubusercontent.com/msikma/pokesprite/master/misc/types/gen8/flying.png",4,20,20)</f>
        <v/>
      </c>
      <c r="T234" s="2380" t="s">
        <v>580</v>
      </c>
      <c r="U234" s="2332"/>
      <c r="V234" s="420"/>
      <c r="W234" s="2388" t="str">
        <f>IMAGE("https://raw.githubusercontent.com/msikma/pokesprite/master/misc/types/gen8/electric.png",4,20,20)</f>
        <v/>
      </c>
      <c r="Y234" s="2380" t="s">
        <v>592</v>
      </c>
      <c r="Z234" s="2332"/>
      <c r="AA234" s="420"/>
      <c r="AB234" s="2388" t="str">
        <f>IMAGE("https://raw.githubusercontent.com/msikma/pokesprite/master/misc/types/gen8/water.png",4,20,20)</f>
        <v/>
      </c>
      <c r="AD234" s="2380" t="s">
        <v>696</v>
      </c>
      <c r="AE234" s="2332"/>
      <c r="AF234" s="420"/>
      <c r="AG234" s="2388" t="str">
        <f t="shared" si="12"/>
        <v/>
      </c>
      <c r="AH234" s="2334"/>
      <c r="AI234" s="2325"/>
    </row>
    <row r="235" ht="20.25" customHeight="1">
      <c r="A235" s="2319"/>
      <c r="B235" s="2327"/>
      <c r="C235" s="2328"/>
      <c r="D235" s="2329"/>
      <c r="E235" s="2380" t="s">
        <v>619</v>
      </c>
      <c r="F235" s="2332"/>
      <c r="G235" s="420"/>
      <c r="H235" s="2388" t="str">
        <f>IMAGE("https://raw.githubusercontent.com/msikma/pokesprite/master/misc/types/gen8/fire.png",4,20,20)</f>
        <v/>
      </c>
      <c r="J235" s="2380" t="s">
        <v>1041</v>
      </c>
      <c r="K235" s="2332"/>
      <c r="L235" s="420"/>
      <c r="M235" s="2388" t="str">
        <f>IMAGE("https://raw.githubusercontent.com/msikma/pokesprite/master/misc/types/gen8/grass.png",4,20,20)</f>
        <v/>
      </c>
      <c r="O235" s="2380" t="s">
        <v>619</v>
      </c>
      <c r="P235" s="2332"/>
      <c r="Q235" s="420"/>
      <c r="R235" s="2388" t="str">
        <f>IMAGE("https://raw.githubusercontent.com/msikma/pokesprite/master/misc/types/gen8/fire.png",4,20,20)</f>
        <v/>
      </c>
      <c r="T235" s="2380" t="s">
        <v>583</v>
      </c>
      <c r="U235" s="2332"/>
      <c r="V235" s="420"/>
      <c r="W235" s="2388" t="str">
        <f>IMAGE("https://raw.githubusercontent.com/msikma/pokesprite/master/misc/types/gen8/fighting.png",4,20,20)</f>
        <v/>
      </c>
      <c r="Y235" s="2380" t="s">
        <v>641</v>
      </c>
      <c r="Z235" s="2332"/>
      <c r="AA235" s="420"/>
      <c r="AB235" s="2388" t="str">
        <f>IMAGE("https://raw.githubusercontent.com/msikma/pokesprite/master/misc/types/gen8/fairy.png",4,20,20)</f>
        <v/>
      </c>
      <c r="AD235" s="2380" t="s">
        <v>694</v>
      </c>
      <c r="AE235" s="2332"/>
      <c r="AF235" s="420"/>
      <c r="AG235" s="2388" t="str">
        <f>IMAGE("https://raw.githubusercontent.com/msikma/pokesprite/master/misc/types/gen8/fire.png",4,20,20)</f>
        <v/>
      </c>
      <c r="AH235" s="2334"/>
      <c r="AI235" s="2325"/>
    </row>
    <row r="236" ht="21.0" customHeight="1">
      <c r="A236" s="2319"/>
      <c r="B236" s="2327"/>
      <c r="C236" s="2328"/>
      <c r="D236" s="2329"/>
      <c r="E236" s="2389" t="s">
        <v>669</v>
      </c>
      <c r="F236" s="2390"/>
      <c r="G236" s="2391"/>
      <c r="H236" s="2392" t="str">
        <f>IMAGE("https://raw.githubusercontent.com/msikma/pokesprite/master/misc/types/gen8/psychic.png",4,20,20)</f>
        <v/>
      </c>
      <c r="I236" s="2393"/>
      <c r="J236" s="2389" t="s">
        <v>287</v>
      </c>
      <c r="K236" s="2390"/>
      <c r="L236" s="2391"/>
      <c r="M236" s="2392" t="str">
        <f>IMAGE("https://raw.githubusercontent.com/msikma/pokesprite/master/misc/types/gen8/flying.png",4,20,20)</f>
        <v/>
      </c>
      <c r="N236" s="2393"/>
      <c r="O236" s="2389" t="s">
        <v>543</v>
      </c>
      <c r="P236" s="2390"/>
      <c r="Q236" s="2391"/>
      <c r="R236" s="2392" t="str">
        <f>IMAGE("https://raw.githubusercontent.com/msikma/pokesprite/master/misc/types/gen8/grass.png",4,20,20)</f>
        <v/>
      </c>
      <c r="S236" s="2393"/>
      <c r="T236" s="2389" t="s">
        <v>589</v>
      </c>
      <c r="U236" s="2390"/>
      <c r="V236" s="2391"/>
      <c r="W236" s="2392" t="str">
        <f>IMAGE("https://raw.githubusercontent.com/msikma/pokesprite/master/misc/types/gen8/ice.png",4,20,20)</f>
        <v/>
      </c>
      <c r="X236" s="2393"/>
      <c r="Y236" s="2389" t="s">
        <v>669</v>
      </c>
      <c r="Z236" s="2390"/>
      <c r="AA236" s="2391"/>
      <c r="AB236" s="2392" t="str">
        <f>IMAGE("https://raw.githubusercontent.com/msikma/pokesprite/master/misc/types/gen8/psychic.png",4,20,20)</f>
        <v/>
      </c>
      <c r="AC236" s="2393"/>
      <c r="AD236" s="2389" t="s">
        <v>549</v>
      </c>
      <c r="AE236" s="2390"/>
      <c r="AF236" s="2391"/>
      <c r="AG236" s="2392" t="str">
        <f>IMAGE("https://raw.githubusercontent.com/msikma/pokesprite/master/misc/types/gen8/ground.png",4,20,20)</f>
        <v/>
      </c>
      <c r="AH236" s="2334"/>
      <c r="AI236" s="2325"/>
    </row>
    <row r="237" ht="3.0" customHeight="1">
      <c r="A237" s="2394"/>
      <c r="B237" s="2395"/>
      <c r="C237" s="2396"/>
      <c r="D237" s="2397"/>
      <c r="E237" s="2398"/>
      <c r="F237" s="2398"/>
      <c r="G237" s="2398"/>
      <c r="H237" s="2398"/>
      <c r="I237" s="2397"/>
      <c r="J237" s="2398"/>
      <c r="K237" s="2398"/>
      <c r="L237" s="2398"/>
      <c r="M237" s="2398"/>
      <c r="N237" s="2397"/>
      <c r="O237" s="2398"/>
      <c r="P237" s="2398"/>
      <c r="Q237" s="2398"/>
      <c r="R237" s="2398"/>
      <c r="S237" s="2397"/>
      <c r="T237" s="2398"/>
      <c r="U237" s="2398"/>
      <c r="V237" s="2398"/>
      <c r="W237" s="2398"/>
      <c r="X237" s="2397"/>
      <c r="Y237" s="2398"/>
      <c r="Z237" s="2398"/>
      <c r="AA237" s="2398"/>
      <c r="AB237" s="2398"/>
      <c r="AC237" s="2400"/>
      <c r="AD237" s="2398"/>
      <c r="AE237" s="2398"/>
      <c r="AF237" s="2398"/>
      <c r="AG237" s="2398"/>
      <c r="AH237" s="2401"/>
      <c r="AI237" s="2402"/>
    </row>
    <row r="238" ht="16.5" customHeight="1">
      <c r="A238" s="2326"/>
      <c r="B238" s="2403"/>
      <c r="C238" s="2396"/>
      <c r="D238" s="2404"/>
      <c r="E238" s="2422" t="s">
        <v>512</v>
      </c>
      <c r="F238" s="606"/>
      <c r="G238" s="606"/>
      <c r="H238" s="607"/>
      <c r="I238" s="2405"/>
      <c r="J238" s="2422" t="s">
        <v>512</v>
      </c>
      <c r="K238" s="606"/>
      <c r="L238" s="606"/>
      <c r="M238" s="607"/>
      <c r="N238" s="2405"/>
      <c r="O238" s="2422" t="s">
        <v>512</v>
      </c>
      <c r="P238" s="606"/>
      <c r="Q238" s="606"/>
      <c r="R238" s="607"/>
      <c r="S238" s="2405"/>
      <c r="T238" s="2422" t="s">
        <v>512</v>
      </c>
      <c r="U238" s="606"/>
      <c r="V238" s="606"/>
      <c r="W238" s="607"/>
      <c r="X238" s="2405"/>
      <c r="Y238" s="2422" t="s">
        <v>512</v>
      </c>
      <c r="Z238" s="606"/>
      <c r="AA238" s="606"/>
      <c r="AB238" s="607"/>
      <c r="AC238" s="2565"/>
      <c r="AD238" s="2422" t="s">
        <v>512</v>
      </c>
      <c r="AE238" s="606"/>
      <c r="AF238" s="606"/>
      <c r="AG238" s="607"/>
      <c r="AH238" s="2410"/>
      <c r="AI238" s="2411"/>
    </row>
    <row r="239" ht="16.5" customHeight="1">
      <c r="A239" s="2326"/>
      <c r="B239" s="2403"/>
      <c r="C239" s="2396"/>
      <c r="D239" s="2404"/>
      <c r="E239" s="2424" t="s">
        <v>513</v>
      </c>
      <c r="F239" s="2425">
        <f t="array" ref="F239">IFERROR(VLOOKUP(E226,Dex!$B$3:$N422,8,FALSE),"")</f>
        <v>75</v>
      </c>
      <c r="G239" s="2426" t="str">
        <f t="array" ref="G239">IFERROR(VLOOKUP(F239,Dex!$P$22:$Q$276,2,FALSE),"")</f>
        <v/>
      </c>
      <c r="H239" s="1255"/>
      <c r="I239" s="2602"/>
      <c r="J239" s="2424" t="s">
        <v>513</v>
      </c>
      <c r="K239" s="2425">
        <f t="array" ref="K239">IFERROR(VLOOKUP(J226,Dex!$B$3:$N422,8,FALSE),"")</f>
        <v>75</v>
      </c>
      <c r="L239" s="2426" t="str">
        <f t="array" ref="L239">IFERROR(VLOOKUP(K239,Dex!$P$22:$Q$276,2,FALSE),"")</f>
        <v/>
      </c>
      <c r="M239" s="1255"/>
      <c r="N239" s="2602"/>
      <c r="O239" s="2424" t="s">
        <v>513</v>
      </c>
      <c r="P239" s="2425">
        <f t="array" ref="P239">IFERROR(VLOOKUP(O226,Dex!$B$3:$N422,8,FALSE),"")</f>
        <v>97</v>
      </c>
      <c r="Q239" s="2426" t="str">
        <f t="array" ref="Q239">IFERROR(VLOOKUP(P239,Dex!$P$22:$Q$276,2,FALSE),"")</f>
        <v/>
      </c>
      <c r="R239" s="1255"/>
      <c r="S239" s="2602"/>
      <c r="T239" s="2424" t="s">
        <v>513</v>
      </c>
      <c r="U239" s="2425">
        <f t="array" ref="U239">IFERROR(VLOOKUP(T226,Dex!$B$3:$N422,8,FALSE),"")</f>
        <v>75</v>
      </c>
      <c r="V239" s="2426" t="str">
        <f t="array" ref="V239">IFERROR(VLOOKUP(U239,Dex!$P$22:$Q$276,2,FALSE),"")</f>
        <v/>
      </c>
      <c r="W239" s="1255"/>
      <c r="X239" s="2602"/>
      <c r="Y239" s="2424" t="s">
        <v>513</v>
      </c>
      <c r="Z239" s="2425">
        <f t="array" ref="Z239">IFERROR(VLOOKUP(Y226,Dex!$B$3:$N422,8,FALSE),"")</f>
        <v>55</v>
      </c>
      <c r="AA239" s="2426" t="str">
        <f t="array" ref="AA239">IFERROR(VLOOKUP(Z239,Dex!$P$22:$Q$276,2,FALSE),"")</f>
        <v/>
      </c>
      <c r="AB239" s="1255"/>
      <c r="AC239" s="2603"/>
      <c r="AD239" s="2424" t="s">
        <v>513</v>
      </c>
      <c r="AE239" s="2425">
        <f t="array" ref="AE239">IFERROR(VLOOKUP(AD226,Dex!$B$3:$N422,8,FALSE),"")</f>
        <v>78</v>
      </c>
      <c r="AF239" s="2426" t="str">
        <f t="array" ref="AF239">IFERROR(VLOOKUP(AE239,Dex!$P$22:$Q$276,2,FALSE),"")</f>
        <v/>
      </c>
      <c r="AG239" s="1255"/>
      <c r="AH239" s="2410"/>
      <c r="AI239" s="2411"/>
    </row>
    <row r="240" ht="16.5" customHeight="1">
      <c r="A240" s="2326"/>
      <c r="B240" s="2403"/>
      <c r="C240" s="2396"/>
      <c r="D240" s="2404"/>
      <c r="E240" s="2427" t="s">
        <v>514</v>
      </c>
      <c r="F240" s="2428">
        <f t="array" ref="F240">IFERROR(VLOOKUP(E226,Dex!$B$3:$N422,9,FALSE),"")</f>
        <v>125</v>
      </c>
      <c r="G240" s="2429" t="str">
        <f t="array" ref="G240">IFERROR(VLOOKUP(F240,Dex!$P$22:$Q$276,2,FALSE),"")</f>
        <v/>
      </c>
      <c r="H240" s="1261"/>
      <c r="I240" s="2602"/>
      <c r="J240" s="2427" t="s">
        <v>514</v>
      </c>
      <c r="K240" s="2428">
        <f t="array" ref="K240">IFERROR(VLOOKUP(J226,Dex!$B$3:$N422,9,FALSE),"")</f>
        <v>85</v>
      </c>
      <c r="L240" s="2429" t="str">
        <f t="array" ref="L240">IFERROR(VLOOKUP(K240,Dex!$P$22:$Q$276,2,FALSE),"")</f>
        <v/>
      </c>
      <c r="M240" s="1261"/>
      <c r="N240" s="2602"/>
      <c r="O240" s="2427" t="s">
        <v>514</v>
      </c>
      <c r="P240" s="2428">
        <f t="array" ref="P240">IFERROR(VLOOKUP(O226,Dex!$B$3:$N422,9,FALSE),"")</f>
        <v>101</v>
      </c>
      <c r="Q240" s="2429" t="str">
        <f t="array" ref="Q240">IFERROR(VLOOKUP(P240,Dex!$P$22:$Q$276,2,FALSE),"")</f>
        <v/>
      </c>
      <c r="R240" s="1261"/>
      <c r="S240" s="2602"/>
      <c r="T240" s="2427" t="s">
        <v>514</v>
      </c>
      <c r="U240" s="2428">
        <f t="array" ref="U240">IFERROR(VLOOKUP(T226,Dex!$B$3:$N422,9,FALSE),"")</f>
        <v>123</v>
      </c>
      <c r="V240" s="2429" t="str">
        <f t="array" ref="V240">IFERROR(VLOOKUP(U240,Dex!$P$22:$Q$276,2,FALSE),"")</f>
        <v/>
      </c>
      <c r="W240" s="1261"/>
      <c r="X240" s="2602"/>
      <c r="Y240" s="2427" t="s">
        <v>514</v>
      </c>
      <c r="Z240" s="2428">
        <f t="array" ref="Z240">IFERROR(VLOOKUP(Y226,Dex!$B$3:$N422,9,FALSE),"")</f>
        <v>84</v>
      </c>
      <c r="AA240" s="2429" t="str">
        <f t="array" ref="AA240">IFERROR(VLOOKUP(Z240,Dex!$P$22:$Q$276,2,FALSE),"")</f>
        <v/>
      </c>
      <c r="AB240" s="1261"/>
      <c r="AC240" s="2603"/>
      <c r="AD240" s="2427" t="s">
        <v>514</v>
      </c>
      <c r="AE240" s="2428">
        <f t="array" ref="AE240">IFERROR(VLOOKUP(AD226,Dex!$B$3:$N422,9,FALSE),"")</f>
        <v>130</v>
      </c>
      <c r="AF240" s="2429" t="str">
        <f t="array" ref="AF240">IFERROR(VLOOKUP(AE240,Dex!$P$22:$Q$276,2,FALSE),"")</f>
        <v/>
      </c>
      <c r="AG240" s="1261"/>
      <c r="AH240" s="2410"/>
      <c r="AI240" s="2411"/>
    </row>
    <row r="241" ht="16.5" customHeight="1">
      <c r="A241" s="2326"/>
      <c r="B241" s="2403"/>
      <c r="C241" s="2396"/>
      <c r="D241" s="2404"/>
      <c r="E241" s="2427" t="s">
        <v>515</v>
      </c>
      <c r="F241" s="2428">
        <f t="array" ref="F241">IFERROR(VLOOKUP(E226,Dex!$B$3:$N422,10,FALSE),"")</f>
        <v>70</v>
      </c>
      <c r="G241" s="2429" t="str">
        <f t="array" ref="G241">IFERROR(VLOOKUP(F241,Dex!$P$22:$Q$276,2,FALSE),"")</f>
        <v/>
      </c>
      <c r="H241" s="1261"/>
      <c r="I241" s="2602"/>
      <c r="J241" s="2427" t="s">
        <v>515</v>
      </c>
      <c r="K241" s="2428">
        <f t="array" ref="K241">IFERROR(VLOOKUP(J226,Dex!$B$3:$N422,10,FALSE),"")</f>
        <v>70</v>
      </c>
      <c r="L241" s="2429" t="str">
        <f t="array" ref="L241">IFERROR(VLOOKUP(K241,Dex!$P$22:$Q$276,2,FALSE),"")</f>
        <v/>
      </c>
      <c r="M241" s="1261"/>
      <c r="N241" s="2602"/>
      <c r="O241" s="2427" t="s">
        <v>515</v>
      </c>
      <c r="P241" s="2428">
        <f t="array" ref="P241">IFERROR(VLOOKUP(O226,Dex!$B$3:$N422,10,FALSE),"")</f>
        <v>103</v>
      </c>
      <c r="Q241" s="2429" t="str">
        <f t="array" ref="Q241">IFERROR(VLOOKUP(P241,Dex!$P$22:$Q$276,2,FALSE),"")</f>
        <v/>
      </c>
      <c r="R241" s="1261"/>
      <c r="S241" s="2602"/>
      <c r="T241" s="2427" t="s">
        <v>515</v>
      </c>
      <c r="U241" s="2428">
        <f t="array" ref="U241">IFERROR(VLOOKUP(T226,Dex!$B$3:$N422,10,FALSE),"")</f>
        <v>67</v>
      </c>
      <c r="V241" s="2429" t="str">
        <f t="array" ref="V241">IFERROR(VLOOKUP(U241,Dex!$P$22:$Q$276,2,FALSE),"")</f>
        <v/>
      </c>
      <c r="W241" s="1261"/>
      <c r="X241" s="2602"/>
      <c r="Y241" s="2427" t="s">
        <v>515</v>
      </c>
      <c r="Z241" s="2428">
        <f t="array" ref="Z241">IFERROR(VLOOKUP(Y226,Dex!$B$3:$N422,10,FALSE),"")</f>
        <v>105</v>
      </c>
      <c r="AA241" s="2429" t="str">
        <f t="array" ref="AA241">IFERROR(VLOOKUP(Z241,Dex!$P$22:$Q$276,2,FALSE),"")</f>
        <v/>
      </c>
      <c r="AB241" s="1261"/>
      <c r="AC241" s="2603"/>
      <c r="AD241" s="2427" t="s">
        <v>515</v>
      </c>
      <c r="AE241" s="2428">
        <f t="array" ref="AE241">IFERROR(VLOOKUP(AD226,Dex!$B$3:$N422,10,FALSE),"")</f>
        <v>111</v>
      </c>
      <c r="AF241" s="2429" t="str">
        <f t="array" ref="AF241">IFERROR(VLOOKUP(AE241,Dex!$P$22:$Q$276,2,FALSE),"")</f>
        <v/>
      </c>
      <c r="AG241" s="1261"/>
      <c r="AH241" s="2410"/>
      <c r="AI241" s="2411"/>
    </row>
    <row r="242" ht="16.5" customHeight="1">
      <c r="A242" s="2326"/>
      <c r="B242" s="2403"/>
      <c r="C242" s="2396"/>
      <c r="D242" s="2404"/>
      <c r="E242" s="2427" t="s">
        <v>516</v>
      </c>
      <c r="F242" s="2428">
        <f t="array" ref="F242">IFERROR(VLOOKUP(E226,Dex!$B$3:$N422,11,FALSE),"")</f>
        <v>125</v>
      </c>
      <c r="G242" s="2429" t="str">
        <f t="array" ref="G242">IFERROR(VLOOKUP(F242,Dex!$P$22:$Q$276,2,FALSE),"")</f>
        <v/>
      </c>
      <c r="H242" s="1261"/>
      <c r="I242" s="2602"/>
      <c r="J242" s="2427" t="s">
        <v>516</v>
      </c>
      <c r="K242" s="2428">
        <f t="array" ref="K242">IFERROR(VLOOKUP(J226,Dex!$B$3:$N422,11,FALSE),"")</f>
        <v>35</v>
      </c>
      <c r="L242" s="2429" t="str">
        <f t="array" ref="L242">IFERROR(VLOOKUP(K242,Dex!$P$22:$Q$276,2,FALSE),"")</f>
        <v/>
      </c>
      <c r="M242" s="1261"/>
      <c r="N242" s="2602"/>
      <c r="O242" s="2427" t="s">
        <v>516</v>
      </c>
      <c r="P242" s="2428">
        <f t="array" ref="P242">IFERROR(VLOOKUP(O226,Dex!$B$3:$N422,11,FALSE),"")</f>
        <v>107</v>
      </c>
      <c r="Q242" s="2429" t="str">
        <f t="array" ref="Q242">IFERROR(VLOOKUP(P242,Dex!$P$22:$Q$276,2,FALSE),"")</f>
        <v/>
      </c>
      <c r="R242" s="1261"/>
      <c r="S242" s="2602"/>
      <c r="T242" s="2427" t="s">
        <v>516</v>
      </c>
      <c r="U242" s="2428">
        <f t="array" ref="U242">IFERROR(VLOOKUP(T226,Dex!$B$3:$N422,11,FALSE),"")</f>
        <v>95</v>
      </c>
      <c r="V242" s="2429" t="str">
        <f t="array" ref="V242">IFERROR(VLOOKUP(U242,Dex!$P$22:$Q$276,2,FALSE),"")</f>
        <v/>
      </c>
      <c r="W242" s="1261"/>
      <c r="X242" s="2602"/>
      <c r="Y242" s="2427" t="s">
        <v>516</v>
      </c>
      <c r="Z242" s="2428">
        <f t="array" ref="Z242">IFERROR(VLOOKUP(Y226,Dex!$B$3:$N422,11,FALSE),"")</f>
        <v>104</v>
      </c>
      <c r="AA242" s="2429" t="str">
        <f t="array" ref="AA242">IFERROR(VLOOKUP(Z242,Dex!$P$22:$Q$276,2,FALSE),"")</f>
        <v/>
      </c>
      <c r="AB242" s="1261"/>
      <c r="AC242" s="2603"/>
      <c r="AD242" s="2427" t="s">
        <v>516</v>
      </c>
      <c r="AE242" s="2428">
        <f t="array" ref="AE242">IFERROR(VLOOKUP(AD226,Dex!$B$3:$N422,11,FALSE),"")</f>
        <v>130</v>
      </c>
      <c r="AF242" s="2429" t="str">
        <f t="array" ref="AF242">IFERROR(VLOOKUP(AE242,Dex!$P$22:$Q$276,2,FALSE),"")</f>
        <v/>
      </c>
      <c r="AG242" s="1261"/>
      <c r="AH242" s="2410"/>
      <c r="AI242" s="2411"/>
    </row>
    <row r="243" ht="16.5" customHeight="1">
      <c r="A243" s="2326"/>
      <c r="B243" s="2403"/>
      <c r="C243" s="2567"/>
      <c r="D243" s="2404"/>
      <c r="E243" s="2427" t="s">
        <v>517</v>
      </c>
      <c r="F243" s="2428">
        <f t="array" ref="F243">IFERROR(VLOOKUP(E226,Dex!$B$3:$N422,12,FALSE),"")</f>
        <v>70</v>
      </c>
      <c r="G243" s="2429" t="str">
        <f t="array" ref="G243">IFERROR(VLOOKUP(F243,Dex!$P$22:$Q$276,2,FALSE),"")</f>
        <v/>
      </c>
      <c r="H243" s="1261"/>
      <c r="I243" s="2602"/>
      <c r="J243" s="2427" t="s">
        <v>517</v>
      </c>
      <c r="K243" s="2428">
        <f t="array" ref="K243">IFERROR(VLOOKUP(J226,Dex!$B$3:$N422,12,FALSE),"")</f>
        <v>95</v>
      </c>
      <c r="L243" s="2429" t="str">
        <f t="array" ref="L243">IFERROR(VLOOKUP(K243,Dex!$P$22:$Q$276,2,FALSE),"")</f>
        <v/>
      </c>
      <c r="M243" s="1261"/>
      <c r="N243" s="2602"/>
      <c r="O243" s="2427" t="s">
        <v>517</v>
      </c>
      <c r="P243" s="2428">
        <f t="array" ref="P243">IFERROR(VLOOKUP(O226,Dex!$B$3:$N422,12,FALSE),"")</f>
        <v>101</v>
      </c>
      <c r="Q243" s="2429" t="str">
        <f t="array" ref="Q243">IFERROR(VLOOKUP(P243,Dex!$P$22:$Q$276,2,FALSE),"")</f>
        <v/>
      </c>
      <c r="R243" s="1261"/>
      <c r="S243" s="2602"/>
      <c r="T243" s="2427" t="s">
        <v>517</v>
      </c>
      <c r="U243" s="2428">
        <f t="array" ref="U243">IFERROR(VLOOKUP(T226,Dex!$B$3:$N422,12,FALSE),"")</f>
        <v>85</v>
      </c>
      <c r="V243" s="2429" t="str">
        <f t="array" ref="V243">IFERROR(VLOOKUP(U243,Dex!$P$22:$Q$276,2,FALSE),"")</f>
        <v/>
      </c>
      <c r="W243" s="1261"/>
      <c r="X243" s="2602"/>
      <c r="Y243" s="2427" t="s">
        <v>517</v>
      </c>
      <c r="Z243" s="2428">
        <f t="array" ref="Z243">IFERROR(VLOOKUP(Y226,Dex!$B$3:$N422,12,FALSE),"")</f>
        <v>75</v>
      </c>
      <c r="AA243" s="2429" t="str">
        <f t="array" ref="AA243">IFERROR(VLOOKUP(Z243,Dex!$P$22:$Q$276,2,FALSE),"")</f>
        <v/>
      </c>
      <c r="AB243" s="1261"/>
      <c r="AC243" s="2603"/>
      <c r="AD243" s="2427" t="s">
        <v>517</v>
      </c>
      <c r="AE243" s="2428">
        <f t="array" ref="AE243">IFERROR(VLOOKUP(AD226,Dex!$B$3:$N422,12,FALSE),"")</f>
        <v>85</v>
      </c>
      <c r="AF243" s="2429" t="str">
        <f t="array" ref="AF243">IFERROR(VLOOKUP(AE243,Dex!$P$22:$Q$276,2,FALSE),"")</f>
        <v/>
      </c>
      <c r="AG243" s="1261"/>
      <c r="AH243" s="2410"/>
      <c r="AI243" s="2411"/>
    </row>
    <row r="244" ht="15.75" customHeight="1">
      <c r="A244" s="2326"/>
      <c r="B244" s="2568"/>
      <c r="C244" s="1426" t="s">
        <v>745</v>
      </c>
      <c r="D244" s="2569"/>
      <c r="E244" s="2430" t="s">
        <v>518</v>
      </c>
      <c r="F244" s="2431">
        <f t="array" ref="F244">IFERROR(VLOOKUP(E226,Dex!$B$3:$N422,13,FALSE),"")</f>
        <v>115</v>
      </c>
      <c r="G244" s="2432" t="str">
        <f t="array" ref="G244">IFERROR(VLOOKUP(F244,Dex!$P$22:$Q$276,2,FALSE),"")</f>
        <v/>
      </c>
      <c r="H244" s="1265"/>
      <c r="I244" s="2602"/>
      <c r="J244" s="2430" t="s">
        <v>518</v>
      </c>
      <c r="K244" s="2431">
        <f t="array" ref="K244">IFERROR(VLOOKUP(J226,Dex!$B$3:$N422,13,FALSE),"")</f>
        <v>110</v>
      </c>
      <c r="L244" s="2432" t="str">
        <f t="array" ref="L244">IFERROR(VLOOKUP(K244,Dex!$P$22:$Q$276,2,FALSE),"")</f>
        <v/>
      </c>
      <c r="M244" s="1265"/>
      <c r="N244" s="2602"/>
      <c r="O244" s="2430" t="s">
        <v>518</v>
      </c>
      <c r="P244" s="2431">
        <f t="array" ref="P244">IFERROR(VLOOKUP(O226,Dex!$B$3:$N422,13,FALSE),"")</f>
        <v>61</v>
      </c>
      <c r="Q244" s="2432" t="str">
        <f t="array" ref="Q244">IFERROR(VLOOKUP(P244,Dex!$P$22:$Q$276,2,FALSE),"")</f>
        <v/>
      </c>
      <c r="R244" s="1265"/>
      <c r="S244" s="2602"/>
      <c r="T244" s="2430" t="s">
        <v>518</v>
      </c>
      <c r="U244" s="2431">
        <f t="array" ref="U244">IFERROR(VLOOKUP(T226,Dex!$B$3:$N422,13,FALSE),"")</f>
        <v>95</v>
      </c>
      <c r="V244" s="2432" t="str">
        <f t="array" ref="V244">IFERROR(VLOOKUP(U244,Dex!$P$22:$Q$276,2,FALSE),"")</f>
        <v/>
      </c>
      <c r="W244" s="1265"/>
      <c r="X244" s="2602"/>
      <c r="Y244" s="2430" t="s">
        <v>518</v>
      </c>
      <c r="Z244" s="2431">
        <f t="array" ref="Z244">IFERROR(VLOOKUP(Y226,Dex!$B$3:$N422,13,FALSE),"")</f>
        <v>52</v>
      </c>
      <c r="AA244" s="2432" t="str">
        <f t="array" ref="AA244">IFERROR(VLOOKUP(Z244,Dex!$P$22:$Q$276,2,FALSE),"")</f>
        <v/>
      </c>
      <c r="AB244" s="1265"/>
      <c r="AC244" s="2603"/>
      <c r="AD244" s="2430" t="s">
        <v>518</v>
      </c>
      <c r="AE244" s="2431">
        <f t="array" ref="AE244">IFERROR(VLOOKUP(AD226,Dex!$B$3:$N422,13,FALSE),"")</f>
        <v>100</v>
      </c>
      <c r="AF244" s="2432" t="str">
        <f t="array" ref="AF244">IFERROR(VLOOKUP(AE244,Dex!$P$22:$Q$276,2,FALSE),"")</f>
        <v/>
      </c>
      <c r="AG244" s="1265"/>
      <c r="AH244" s="2410"/>
      <c r="AI244" s="2411"/>
    </row>
    <row r="245" ht="16.5" customHeight="1">
      <c r="A245" s="2326"/>
      <c r="B245" s="2568"/>
      <c r="C245" s="1427" t="s">
        <v>1055</v>
      </c>
      <c r="D245" s="2569"/>
      <c r="E245" s="2433" t="s">
        <v>519</v>
      </c>
      <c r="F245" s="630"/>
      <c r="G245" s="631"/>
      <c r="H245" s="632">
        <f>ROUNDDOWN((ROUNDDOWN(((((2*F244+31)*56)/100+5)),0))*1.1,0)</f>
        <v>166</v>
      </c>
      <c r="I245" s="2405"/>
      <c r="J245" s="2433" t="s">
        <v>519</v>
      </c>
      <c r="K245" s="630"/>
      <c r="L245" s="631"/>
      <c r="M245" s="632">
        <f>ROUNDDOWN((ROUNDDOWN(((((2*K244+31)*56)/100+5)),0))*1.1,0)</f>
        <v>159</v>
      </c>
      <c r="N245" s="2405"/>
      <c r="O245" s="2433" t="s">
        <v>519</v>
      </c>
      <c r="P245" s="630"/>
      <c r="Q245" s="631"/>
      <c r="R245" s="632">
        <f>ROUNDDOWN((ROUNDDOWN(((((2*P244+31)*56)/100+5)),0))*1,0)</f>
        <v>90</v>
      </c>
      <c r="S245" s="2405"/>
      <c r="T245" s="2433" t="s">
        <v>519</v>
      </c>
      <c r="U245" s="630"/>
      <c r="V245" s="631"/>
      <c r="W245" s="632">
        <f>ROUNDDOWN((ROUNDDOWN(((((2*U244+31)*56)/100+5)),0))*1.1,0)</f>
        <v>140</v>
      </c>
      <c r="X245" s="2405"/>
      <c r="Y245" s="2433" t="s">
        <v>519</v>
      </c>
      <c r="Z245" s="630"/>
      <c r="AA245" s="631"/>
      <c r="AB245" s="632">
        <f>ROUNDDOWN((ROUNDDOWN(((((2*Z244+31)*56)/100+5)),0))*1.1,0)</f>
        <v>88</v>
      </c>
      <c r="AC245" s="2565"/>
      <c r="AD245" s="2433" t="s">
        <v>519</v>
      </c>
      <c r="AE245" s="630"/>
      <c r="AF245" s="631"/>
      <c r="AG245" s="632">
        <f>ROUNDDOWN((ROUNDDOWN(((((2*AE244+31)*56)/100+5)),0))*1.1,0)</f>
        <v>147</v>
      </c>
      <c r="AH245" s="2410"/>
      <c r="AI245" s="2411"/>
    </row>
    <row r="246" ht="11.25" customHeight="1">
      <c r="A246" s="2319"/>
      <c r="B246" s="2327"/>
      <c r="C246" s="2575"/>
      <c r="D246" s="2374"/>
      <c r="E246" s="2413"/>
      <c r="F246" s="2413"/>
      <c r="G246" s="2413"/>
      <c r="H246" s="2413"/>
      <c r="I246" s="2346"/>
      <c r="J246" s="2413"/>
      <c r="K246" s="2413"/>
      <c r="L246" s="2413"/>
      <c r="M246" s="2413"/>
      <c r="N246" s="2346"/>
      <c r="O246" s="2414"/>
      <c r="P246" s="2414"/>
      <c r="Q246" s="2414"/>
      <c r="R246" s="2434"/>
      <c r="S246" s="2346"/>
      <c r="T246" s="2414"/>
      <c r="U246" s="2414"/>
      <c r="V246" s="2414"/>
      <c r="W246" s="2434"/>
      <c r="X246" s="2346"/>
      <c r="Y246" s="2414"/>
      <c r="Z246" s="2414"/>
      <c r="AA246" s="2414"/>
      <c r="AB246" s="2434"/>
      <c r="AC246" s="2374"/>
      <c r="AD246" s="2604"/>
      <c r="AE246" s="2604"/>
      <c r="AF246" s="2604"/>
      <c r="AG246" s="2374"/>
      <c r="AH246" s="2334"/>
      <c r="AI246" s="2325"/>
    </row>
    <row r="247">
      <c r="A247" s="2326"/>
      <c r="B247" s="2327"/>
      <c r="C247" s="2328"/>
      <c r="D247" s="2329"/>
      <c r="E247" s="2435" t="s">
        <v>983</v>
      </c>
      <c r="F247" s="1732"/>
      <c r="G247" s="1732"/>
      <c r="H247" s="1732"/>
      <c r="I247" s="1732"/>
      <c r="J247" s="1732"/>
      <c r="K247" s="1732"/>
      <c r="L247" s="1732"/>
      <c r="M247" s="1732"/>
      <c r="N247" s="1732"/>
      <c r="O247" s="1732"/>
      <c r="P247" s="1732"/>
      <c r="Q247" s="1732"/>
      <c r="R247" s="1732"/>
      <c r="S247" s="1732"/>
      <c r="T247" s="1732"/>
      <c r="U247" s="1732"/>
      <c r="V247" s="1732"/>
      <c r="W247" s="1732"/>
      <c r="X247" s="1732"/>
      <c r="Y247" s="1732"/>
      <c r="Z247" s="1732"/>
      <c r="AA247" s="1732"/>
      <c r="AB247" s="1732"/>
      <c r="AC247" s="1732"/>
      <c r="AD247" s="1732"/>
      <c r="AE247" s="1732"/>
      <c r="AF247" s="1732"/>
      <c r="AG247" s="1733"/>
      <c r="AH247" s="2334"/>
      <c r="AI247" s="2325"/>
    </row>
    <row r="248" ht="3.75" customHeight="1">
      <c r="A248" s="2326"/>
      <c r="B248" s="2327"/>
      <c r="C248" s="2335"/>
      <c r="D248" s="2336"/>
      <c r="E248" s="2337"/>
      <c r="F248" s="2337"/>
      <c r="G248" s="2337"/>
      <c r="H248" s="2337"/>
      <c r="I248" s="2415"/>
      <c r="J248" s="2337"/>
      <c r="K248" s="2337"/>
      <c r="L248" s="2337"/>
      <c r="M248" s="2337"/>
      <c r="N248" s="2415"/>
      <c r="O248" s="2337"/>
      <c r="P248" s="2337"/>
      <c r="Q248" s="2337"/>
      <c r="R248" s="2337"/>
      <c r="S248" s="2415"/>
      <c r="T248" s="2337"/>
      <c r="U248" s="2337"/>
      <c r="V248" s="2337"/>
      <c r="W248" s="2337"/>
      <c r="X248" s="2415"/>
      <c r="Y248" s="2337"/>
      <c r="Z248" s="2337"/>
      <c r="AA248" s="2337"/>
      <c r="AB248" s="2337"/>
      <c r="AC248" s="2336"/>
      <c r="AD248" s="2600"/>
      <c r="AE248" s="2600"/>
      <c r="AF248" s="2600"/>
      <c r="AG248" s="2600"/>
      <c r="AH248" s="2334"/>
      <c r="AI248" s="2325"/>
    </row>
    <row r="249" ht="96.75" customHeight="1">
      <c r="A249" s="2319"/>
      <c r="B249" s="2339"/>
      <c r="C249" s="2436" t="str">
        <f>IMAGE("https://i.ibb.co/fXwks6z/Rival.png")</f>
        <v/>
      </c>
      <c r="D249" s="2341"/>
      <c r="E249" s="2437" t="str">
        <f t="array" ref="E249">IFERROR(VLOOKUP(E250,Dex!$B$3:$G422,3,FALSE),"")</f>
        <v/>
      </c>
      <c r="F249" s="1945"/>
      <c r="G249" s="1945"/>
      <c r="H249" s="1946"/>
      <c r="I249" s="2418"/>
      <c r="J249" s="2437" t="str">
        <f t="array" ref="J249">IFERROR(VLOOKUP(J250,Dex!$B$3:$G422,3,FALSE),"")</f>
        <v/>
      </c>
      <c r="K249" s="1945"/>
      <c r="L249" s="1945"/>
      <c r="M249" s="1946"/>
      <c r="N249" s="2418"/>
      <c r="O249" s="2437" t="str">
        <f t="array" ref="O249">IFERROR(VLOOKUP(O250,Dex!$B$3:$G422,3,FALSE),"")</f>
        <v/>
      </c>
      <c r="P249" s="1945"/>
      <c r="Q249" s="1945"/>
      <c r="R249" s="1946"/>
      <c r="S249" s="2418"/>
      <c r="T249" s="2437" t="str">
        <f t="array" ref="T249">IFERROR(VLOOKUP(T250,Dex!$B$3:$G422,3,FALSE),"")</f>
        <v/>
      </c>
      <c r="U249" s="1945"/>
      <c r="V249" s="1945"/>
      <c r="W249" s="1946"/>
      <c r="X249" s="2418"/>
      <c r="Y249" s="2437" t="str">
        <f t="array" ref="Y249">IFERROR(VLOOKUP(Y250,Dex!$B$3:$G422,3,FALSE),"")</f>
        <v/>
      </c>
      <c r="Z249" s="1945"/>
      <c r="AA249" s="1945"/>
      <c r="AB249" s="1946"/>
      <c r="AC249" s="2344"/>
      <c r="AD249" s="2437" t="str">
        <f t="array" ref="AD249">IFERROR(VLOOKUP(AD250,Dex!$B$3:$G422,3,FALSE),"")</f>
        <v/>
      </c>
      <c r="AE249" s="1945"/>
      <c r="AF249" s="1945"/>
      <c r="AG249" s="1946"/>
      <c r="AH249" s="2563"/>
      <c r="AI249" s="2325"/>
    </row>
    <row r="250" ht="18.75" customHeight="1">
      <c r="A250" s="2347"/>
      <c r="B250" s="2419"/>
      <c r="C250" s="2349" t="s">
        <v>1059</v>
      </c>
      <c r="D250" s="2420"/>
      <c r="E250" s="2351" t="s">
        <v>1043</v>
      </c>
      <c r="F250" s="2352"/>
      <c r="G250" s="2352"/>
      <c r="H250" s="2353"/>
      <c r="J250" s="2351" t="s">
        <v>1044</v>
      </c>
      <c r="K250" s="2352"/>
      <c r="L250" s="2352"/>
      <c r="M250" s="2353"/>
      <c r="O250" s="2351" t="s">
        <v>1045</v>
      </c>
      <c r="P250" s="2352"/>
      <c r="Q250" s="2352"/>
      <c r="R250" s="2353"/>
      <c r="T250" s="2351" t="s">
        <v>1057</v>
      </c>
      <c r="U250" s="2352"/>
      <c r="V250" s="2352"/>
      <c r="W250" s="2353"/>
      <c r="Y250" s="2351" t="s">
        <v>1047</v>
      </c>
      <c r="Z250" s="2352"/>
      <c r="AA250" s="2352"/>
      <c r="AB250" s="2353"/>
      <c r="AD250" s="2351" t="s">
        <v>1060</v>
      </c>
      <c r="AE250" s="2352"/>
      <c r="AF250" s="2352"/>
      <c r="AG250" s="2353"/>
      <c r="AH250" s="2564"/>
      <c r="AI250" s="2357"/>
    </row>
    <row r="251">
      <c r="A251" s="2319"/>
      <c r="B251" s="2358"/>
      <c r="C251" s="556"/>
      <c r="D251" s="2359"/>
      <c r="E251" s="2360" t="s">
        <v>729</v>
      </c>
      <c r="F251" s="2361"/>
      <c r="G251" s="2361"/>
      <c r="H251" s="2362"/>
      <c r="J251" s="2360" t="s">
        <v>729</v>
      </c>
      <c r="K251" s="2361"/>
      <c r="L251" s="2361"/>
      <c r="M251" s="2362"/>
      <c r="O251" s="2360" t="s">
        <v>729</v>
      </c>
      <c r="P251" s="2361"/>
      <c r="Q251" s="2361"/>
      <c r="R251" s="2362"/>
      <c r="T251" s="2360" t="s">
        <v>729</v>
      </c>
      <c r="U251" s="2361"/>
      <c r="V251" s="2361"/>
      <c r="W251" s="2362"/>
      <c r="Y251" s="2360" t="s">
        <v>729</v>
      </c>
      <c r="Z251" s="2361"/>
      <c r="AA251" s="2361"/>
      <c r="AB251" s="2362"/>
      <c r="AD251" s="2360" t="s">
        <v>729</v>
      </c>
      <c r="AE251" s="2361"/>
      <c r="AF251" s="2361"/>
      <c r="AG251" s="2362"/>
      <c r="AH251" s="2563"/>
      <c r="AI251" s="2325"/>
    </row>
    <row r="252" ht="25.5" customHeight="1">
      <c r="A252" s="2319"/>
      <c r="B252" s="2327"/>
      <c r="C252" s="2363"/>
      <c r="D252" s="2364"/>
      <c r="E252" s="2365"/>
      <c r="F252" s="2366" t="str">
        <f t="array" ref="F252">IFERROR(VLOOKUP(E250,Dex!$B$3:$H422,5,FALSE),"")</f>
        <v/>
      </c>
      <c r="G252" s="2367"/>
      <c r="H252" s="2368"/>
      <c r="J252" s="2365"/>
      <c r="K252" s="2369" t="str">
        <f t="array" ref="K252">IFERROR(VLOOKUP(J250,Dex!$B$3:$H422,5,FALSE),"")</f>
        <v/>
      </c>
      <c r="L252" s="2370" t="str">
        <f t="array" ref="L252">IFERROR(VLOOKUP(J250,Dex!$B$3:$H422,7,FALSE),"")</f>
        <v/>
      </c>
      <c r="M252" s="2368"/>
      <c r="O252" s="2365"/>
      <c r="P252" s="2366" t="str">
        <f t="array" ref="P252">IFERROR(VLOOKUP(O250,Dex!$B$3:$H422,5,FALSE),"")</f>
        <v/>
      </c>
      <c r="Q252" s="2367"/>
      <c r="R252" s="2368"/>
      <c r="T252" s="2365"/>
      <c r="U252" s="2369" t="str">
        <f t="array" ref="U252">IFERROR(VLOOKUP(T250,Dex!$B$3:$H422,5,FALSE),"")</f>
        <v/>
      </c>
      <c r="V252" s="2370" t="str">
        <f t="array" ref="V252">IFERROR(VLOOKUP(T250,Dex!$B$3:$H422,7,FALSE),"")</f>
        <v/>
      </c>
      <c r="W252" s="2368"/>
      <c r="Y252" s="2365"/>
      <c r="Z252" s="2366" t="str">
        <f t="array" ref="Z252">IFERROR(VLOOKUP(Y250,Dex!$B$3:$H422,5,FALSE),"")</f>
        <v/>
      </c>
      <c r="AA252" s="2367"/>
      <c r="AB252" s="2368"/>
      <c r="AD252" s="2365"/>
      <c r="AE252" s="2369" t="str">
        <f t="array" ref="AE252">IFERROR(VLOOKUP(AD250,Dex!$B$3:$H422,5,FALSE),"")</f>
        <v/>
      </c>
      <c r="AF252" s="2370" t="str">
        <f t="array" ref="AF252">IFERROR(VLOOKUP(AD250,Dex!$B$3:$H422,7,FALSE),"")</f>
        <v/>
      </c>
      <c r="AG252" s="2368"/>
      <c r="AH252" s="2334"/>
      <c r="AI252" s="2325"/>
    </row>
    <row r="253" ht="2.25" customHeight="1">
      <c r="A253" s="2319"/>
      <c r="B253" s="2327"/>
      <c r="C253" s="2355"/>
      <c r="D253" s="2364"/>
      <c r="E253" s="2371"/>
      <c r="F253" s="2372"/>
      <c r="G253" s="2372"/>
      <c r="H253" s="2373"/>
      <c r="J253" s="2371"/>
      <c r="K253" s="2372"/>
      <c r="L253" s="2372"/>
      <c r="M253" s="2373"/>
      <c r="O253" s="2371"/>
      <c r="P253" s="2372"/>
      <c r="Q253" s="2372"/>
      <c r="R253" s="2373"/>
      <c r="T253" s="2371"/>
      <c r="U253" s="2372"/>
      <c r="V253" s="2372"/>
      <c r="W253" s="2373"/>
      <c r="Y253" s="2371"/>
      <c r="Z253" s="2372"/>
      <c r="AA253" s="2372"/>
      <c r="AB253" s="2373"/>
      <c r="AD253" s="2371"/>
      <c r="AE253" s="2372"/>
      <c r="AF253" s="2372"/>
      <c r="AG253" s="2373"/>
      <c r="AH253" s="2334"/>
      <c r="AI253" s="2325"/>
    </row>
    <row r="254" ht="20.25" customHeight="1">
      <c r="A254" s="2319"/>
      <c r="B254" s="2327"/>
      <c r="C254" s="2375"/>
      <c r="D254" s="2329"/>
      <c r="E254" s="2376" t="s">
        <v>565</v>
      </c>
      <c r="F254" s="2377"/>
      <c r="G254" s="2377"/>
      <c r="H254" s="2378"/>
      <c r="J254" s="2376" t="s">
        <v>531</v>
      </c>
      <c r="K254" s="2377"/>
      <c r="L254" s="2377"/>
      <c r="M254" s="2378"/>
      <c r="O254" s="2376" t="s">
        <v>532</v>
      </c>
      <c r="P254" s="2377"/>
      <c r="Q254" s="2377"/>
      <c r="R254" s="2378"/>
      <c r="T254" s="2376" t="s">
        <v>564</v>
      </c>
      <c r="U254" s="2377"/>
      <c r="V254" s="2377"/>
      <c r="W254" s="2378"/>
      <c r="Y254" s="2376" t="s">
        <v>532</v>
      </c>
      <c r="Z254" s="2377"/>
      <c r="AA254" s="2377"/>
      <c r="AB254" s="2378"/>
      <c r="AD254" s="2376" t="s">
        <v>564</v>
      </c>
      <c r="AE254" s="2377"/>
      <c r="AF254" s="2377"/>
      <c r="AG254" s="2378"/>
      <c r="AH254" s="2563"/>
      <c r="AI254" s="2325"/>
    </row>
    <row r="255">
      <c r="A255" s="2319"/>
      <c r="B255" s="2327"/>
      <c r="C255" s="2379"/>
      <c r="D255" s="2329"/>
      <c r="E255" s="2380" t="s">
        <v>484</v>
      </c>
      <c r="F255" s="2332"/>
      <c r="G255" s="2332"/>
      <c r="H255" s="2381"/>
      <c r="J255" s="2380" t="s">
        <v>120</v>
      </c>
      <c r="K255" s="2332"/>
      <c r="L255" s="2332"/>
      <c r="M255" s="2381"/>
      <c r="O255" s="2380" t="s">
        <v>570</v>
      </c>
      <c r="P255" s="2332"/>
      <c r="Q255" s="2332"/>
      <c r="R255" s="2381"/>
      <c r="T255" s="2380" t="s">
        <v>103</v>
      </c>
      <c r="U255" s="2332"/>
      <c r="V255" s="2332"/>
      <c r="W255" s="2381"/>
      <c r="Y255" s="2380" t="s">
        <v>56</v>
      </c>
      <c r="Z255" s="2332"/>
      <c r="AA255" s="2332"/>
      <c r="AB255" s="2381"/>
      <c r="AD255" s="2380" t="s">
        <v>1061</v>
      </c>
      <c r="AE255" s="2332"/>
      <c r="AF255" s="2332"/>
      <c r="AG255" s="2381"/>
      <c r="AH255" s="2563"/>
      <c r="AI255" s="2325"/>
    </row>
    <row r="256" ht="20.25" customHeight="1">
      <c r="A256" s="2319"/>
      <c r="B256" s="2327"/>
      <c r="C256" s="2355"/>
      <c r="D256" s="2329"/>
      <c r="E256" s="2382" t="s">
        <v>573</v>
      </c>
      <c r="F256" s="2383"/>
      <c r="G256" s="2384"/>
      <c r="H256" s="2385"/>
      <c r="J256" s="2382" t="s">
        <v>710</v>
      </c>
      <c r="K256" s="2383"/>
      <c r="L256" s="2384"/>
      <c r="M256" s="2385"/>
      <c r="O256" s="2382" t="s">
        <v>1051</v>
      </c>
      <c r="P256" s="2383"/>
      <c r="Q256" s="2384"/>
      <c r="R256" s="2385" t="str">
        <f>IMAGE("https://raw.githubusercontent.com/msikma/pokesprite/master/items/evo-item/electirizer.png",3)</f>
        <v/>
      </c>
      <c r="T256" s="2382" t="s">
        <v>920</v>
      </c>
      <c r="U256" s="2383"/>
      <c r="V256" s="2384"/>
      <c r="W256" s="2385"/>
      <c r="Y256" s="2382" t="s">
        <v>541</v>
      </c>
      <c r="Z256" s="2383"/>
      <c r="AA256" s="2384"/>
      <c r="AB256" s="2385"/>
      <c r="AD256" s="2382" t="s">
        <v>1062</v>
      </c>
      <c r="AE256" s="2383"/>
      <c r="AF256" s="2384"/>
      <c r="AG256" s="2385"/>
      <c r="AH256" s="2334"/>
      <c r="AI256" s="2325"/>
    </row>
    <row r="257" ht="20.25" customHeight="1">
      <c r="A257" s="2319"/>
      <c r="B257" s="2327"/>
      <c r="C257" s="2375"/>
      <c r="D257" s="2329"/>
      <c r="E257" s="2376" t="s">
        <v>191</v>
      </c>
      <c r="F257" s="2377"/>
      <c r="G257" s="2386"/>
      <c r="H257" s="2387" t="str">
        <f>IMAGE("https://raw.githubusercontent.com/msikma/pokesprite/master/misc/types/gen8/rock.png",4,20,20)</f>
        <v/>
      </c>
      <c r="J257" s="2376" t="s">
        <v>147</v>
      </c>
      <c r="K257" s="2377"/>
      <c r="L257" s="2386"/>
      <c r="M257" s="2387" t="str">
        <f>IMAGE("https://raw.githubusercontent.com/msikma/pokesprite/master/misc/types/gen8/steel.png",4,20,20)</f>
        <v/>
      </c>
      <c r="O257" s="2376" t="s">
        <v>584</v>
      </c>
      <c r="P257" s="2377"/>
      <c r="Q257" s="2386"/>
      <c r="R257" s="2387" t="str">
        <f>IMAGE("https://raw.githubusercontent.com/msikma/pokesprite/master/misc/types/gen8/fighting.png",4,20,20)</f>
        <v/>
      </c>
      <c r="T257" s="2376" t="s">
        <v>273</v>
      </c>
      <c r="U257" s="2377"/>
      <c r="V257" s="2386"/>
      <c r="W257" s="2387" t="str">
        <f>IMAGE("https://raw.githubusercontent.com/msikma/pokesprite/master/misc/types/gen8/normal.png",4,20,20)</f>
        <v/>
      </c>
      <c r="Y257" s="2376" t="s">
        <v>694</v>
      </c>
      <c r="Z257" s="2377"/>
      <c r="AA257" s="2386"/>
      <c r="AB257" s="2387" t="str">
        <f>IMAGE("https://raw.githubusercontent.com/msikma/pokesprite/master/misc/types/gen8/fire.png",4,20,20)</f>
        <v/>
      </c>
      <c r="AD257" s="2376" t="s">
        <v>987</v>
      </c>
      <c r="AE257" s="2377"/>
      <c r="AF257" s="2386"/>
      <c r="AG257" s="2387" t="str">
        <f t="shared" ref="AG257:AG258" si="13">IMAGE("https://raw.githubusercontent.com/msikma/pokesprite/master/misc/types/gen8/grass.png",4,20,20)</f>
        <v/>
      </c>
      <c r="AH257" s="2334"/>
      <c r="AI257" s="2325"/>
    </row>
    <row r="258" ht="20.25" customHeight="1">
      <c r="A258" s="2319"/>
      <c r="B258" s="2327"/>
      <c r="C258" s="2328"/>
      <c r="D258" s="2329"/>
      <c r="E258" s="2380" t="s">
        <v>591</v>
      </c>
      <c r="F258" s="2332"/>
      <c r="G258" s="420"/>
      <c r="H258" s="2388" t="str">
        <f>IMAGE("https://raw.githubusercontent.com/msikma/pokesprite/master/misc/types/gen8/normal.png",4,20,20)</f>
        <v/>
      </c>
      <c r="J258" s="2380" t="s">
        <v>805</v>
      </c>
      <c r="K258" s="2332"/>
      <c r="L258" s="420"/>
      <c r="M258" s="2388" t="str">
        <f>IMAGE("https://raw.githubusercontent.com/msikma/pokesprite/master/misc/types/gen8/flying.png",4,20,20)</f>
        <v/>
      </c>
      <c r="O258" s="2380" t="s">
        <v>580</v>
      </c>
      <c r="P258" s="2332"/>
      <c r="Q258" s="420"/>
      <c r="R258" s="2388" t="str">
        <f>IMAGE("https://raw.githubusercontent.com/msikma/pokesprite/master/misc/types/gen8/electric.png",4,20,20)</f>
        <v/>
      </c>
      <c r="T258" s="2380" t="s">
        <v>592</v>
      </c>
      <c r="U258" s="2332"/>
      <c r="V258" s="420"/>
      <c r="W258" s="2388" t="str">
        <f>IMAGE("https://raw.githubusercontent.com/msikma/pokesprite/master/misc/types/gen8/water.png",4,20,20)</f>
        <v/>
      </c>
      <c r="Y258" s="2380" t="s">
        <v>588</v>
      </c>
      <c r="Z258" s="2332"/>
      <c r="AA258" s="420"/>
      <c r="AB258" s="2388" t="str">
        <f>IMAGE("https://raw.githubusercontent.com/msikma/pokesprite/master/misc/types/gen8/rock.png",4,20,20)</f>
        <v/>
      </c>
      <c r="AD258" s="2380" t="s">
        <v>543</v>
      </c>
      <c r="AE258" s="2332"/>
      <c r="AF258" s="420"/>
      <c r="AG258" s="2388" t="str">
        <f t="shared" si="13"/>
        <v/>
      </c>
      <c r="AH258" s="2334"/>
      <c r="AI258" s="2325"/>
    </row>
    <row r="259" ht="20.25" customHeight="1">
      <c r="A259" s="2319"/>
      <c r="B259" s="2327"/>
      <c r="C259" s="2328"/>
      <c r="D259" s="2329"/>
      <c r="E259" s="2380" t="s">
        <v>619</v>
      </c>
      <c r="F259" s="2332"/>
      <c r="G259" s="420"/>
      <c r="H259" s="2388" t="str">
        <f>IMAGE("https://raw.githubusercontent.com/msikma/pokesprite/master/misc/types/gen8/fire.png",4,20,20)</f>
        <v/>
      </c>
      <c r="J259" s="2380" t="s">
        <v>619</v>
      </c>
      <c r="K259" s="2332"/>
      <c r="L259" s="420"/>
      <c r="M259" s="2388" t="str">
        <f>IMAGE("https://raw.githubusercontent.com/msikma/pokesprite/master/misc/types/gen8/fire.png",4,20,20)</f>
        <v/>
      </c>
      <c r="O259" s="2380" t="s">
        <v>583</v>
      </c>
      <c r="P259" s="2332"/>
      <c r="Q259" s="420"/>
      <c r="R259" s="2388" t="str">
        <f>IMAGE("https://raw.githubusercontent.com/msikma/pokesprite/master/misc/types/gen8/fighting.png",4,20,20)</f>
        <v/>
      </c>
      <c r="T259" s="2380" t="s">
        <v>641</v>
      </c>
      <c r="U259" s="2332"/>
      <c r="V259" s="420"/>
      <c r="W259" s="2388" t="str">
        <f>IMAGE("https://raw.githubusercontent.com/msikma/pokesprite/master/misc/types/gen8/fairy.png",4,20,20)</f>
        <v/>
      </c>
      <c r="Y259" s="2380" t="s">
        <v>612</v>
      </c>
      <c r="Z259" s="2332"/>
      <c r="AA259" s="420"/>
      <c r="AB259" s="2388" t="str">
        <f>IMAGE("https://raw.githubusercontent.com/msikma/pokesprite/master/misc/types/gen8/bug.png",4,20,20)</f>
        <v/>
      </c>
      <c r="AD259" s="2380" t="s">
        <v>614</v>
      </c>
      <c r="AE259" s="2332"/>
      <c r="AF259" s="420"/>
      <c r="AG259" s="2388" t="str">
        <f>IMAGE("https://raw.githubusercontent.com/msikma/pokesprite/master/misc/types/gen8/poison.png",4,20,20)</f>
        <v/>
      </c>
      <c r="AH259" s="2334"/>
      <c r="AI259" s="2325"/>
    </row>
    <row r="260" ht="21.0" customHeight="1">
      <c r="A260" s="2319"/>
      <c r="B260" s="2327"/>
      <c r="C260" s="2328"/>
      <c r="D260" s="2329"/>
      <c r="E260" s="2389" t="s">
        <v>669</v>
      </c>
      <c r="F260" s="2390"/>
      <c r="G260" s="2391"/>
      <c r="H260" s="2392" t="str">
        <f>IMAGE("https://raw.githubusercontent.com/msikma/pokesprite/master/misc/types/gen8/psychic.png",4,20,20)</f>
        <v/>
      </c>
      <c r="I260" s="2421"/>
      <c r="J260" s="2389" t="s">
        <v>543</v>
      </c>
      <c r="K260" s="2390"/>
      <c r="L260" s="2391"/>
      <c r="M260" s="2392" t="str">
        <f>IMAGE("https://raw.githubusercontent.com/msikma/pokesprite/master/misc/types/gen8/grass.png",4,20,20)</f>
        <v/>
      </c>
      <c r="N260" s="2421"/>
      <c r="O260" s="2389" t="s">
        <v>589</v>
      </c>
      <c r="P260" s="2390"/>
      <c r="Q260" s="2391"/>
      <c r="R260" s="2392" t="str">
        <f>IMAGE("https://raw.githubusercontent.com/msikma/pokesprite/master/misc/types/gen8/ice.png",4,20,20)</f>
        <v/>
      </c>
      <c r="S260" s="2421"/>
      <c r="T260" s="2389" t="s">
        <v>669</v>
      </c>
      <c r="U260" s="2390"/>
      <c r="V260" s="2391"/>
      <c r="W260" s="2392" t="str">
        <f>IMAGE("https://raw.githubusercontent.com/msikma/pokesprite/master/misc/types/gen8/psychic.png",4,20,20)</f>
        <v/>
      </c>
      <c r="X260" s="2421"/>
      <c r="Y260" s="2389" t="s">
        <v>549</v>
      </c>
      <c r="Z260" s="2390"/>
      <c r="AA260" s="2391"/>
      <c r="AB260" s="2392" t="str">
        <f>IMAGE("https://raw.githubusercontent.com/msikma/pokesprite/master/misc/types/gen8/ground.png",4,20,20)</f>
        <v/>
      </c>
      <c r="AC260" s="2393"/>
      <c r="AD260" s="2389" t="s">
        <v>644</v>
      </c>
      <c r="AE260" s="2390"/>
      <c r="AF260" s="2391"/>
      <c r="AG260" s="2392" t="str">
        <f>IMAGE("https://raw.githubusercontent.com/msikma/pokesprite/master/misc/types/gen8/ground.png",4,20,20)</f>
        <v/>
      </c>
      <c r="AH260" s="2334"/>
      <c r="AI260" s="2325"/>
    </row>
    <row r="261" ht="3.0" customHeight="1">
      <c r="A261" s="2394"/>
      <c r="B261" s="2395"/>
      <c r="C261" s="2396"/>
      <c r="D261" s="2397"/>
      <c r="E261" s="2398"/>
      <c r="F261" s="2398"/>
      <c r="G261" s="2398"/>
      <c r="H261" s="2398"/>
      <c r="I261" s="2397"/>
      <c r="J261" s="2398"/>
      <c r="K261" s="2398"/>
      <c r="L261" s="2398"/>
      <c r="M261" s="2398"/>
      <c r="N261" s="2397"/>
      <c r="O261" s="2398"/>
      <c r="P261" s="2398"/>
      <c r="Q261" s="2398"/>
      <c r="R261" s="2398"/>
      <c r="S261" s="2397"/>
      <c r="T261" s="2398"/>
      <c r="U261" s="2398"/>
      <c r="V261" s="2398"/>
      <c r="W261" s="2398"/>
      <c r="X261" s="2397"/>
      <c r="Y261" s="2398"/>
      <c r="Z261" s="2398"/>
      <c r="AA261" s="2398"/>
      <c r="AB261" s="2398"/>
      <c r="AC261" s="2400"/>
      <c r="AD261" s="2398"/>
      <c r="AE261" s="2398"/>
      <c r="AF261" s="2398"/>
      <c r="AG261" s="2398"/>
      <c r="AH261" s="2401"/>
      <c r="AI261" s="2402"/>
    </row>
    <row r="262" ht="16.5" customHeight="1">
      <c r="A262" s="2326"/>
      <c r="B262" s="2403"/>
      <c r="C262" s="2396"/>
      <c r="D262" s="2404"/>
      <c r="E262" s="951" t="s">
        <v>512</v>
      </c>
      <c r="F262" s="606"/>
      <c r="G262" s="606"/>
      <c r="H262" s="607"/>
      <c r="I262" s="2605"/>
      <c r="J262" s="951" t="s">
        <v>512</v>
      </c>
      <c r="K262" s="606"/>
      <c r="L262" s="606"/>
      <c r="M262" s="607"/>
      <c r="N262" s="2605"/>
      <c r="O262" s="951" t="s">
        <v>512</v>
      </c>
      <c r="P262" s="606"/>
      <c r="Q262" s="606"/>
      <c r="R262" s="607"/>
      <c r="S262" s="2606"/>
      <c r="T262" s="951" t="s">
        <v>512</v>
      </c>
      <c r="U262" s="606"/>
      <c r="V262" s="606"/>
      <c r="W262" s="607"/>
      <c r="X262" s="2606"/>
      <c r="Y262" s="951" t="s">
        <v>512</v>
      </c>
      <c r="Z262" s="606"/>
      <c r="AA262" s="606"/>
      <c r="AB262" s="607"/>
      <c r="AC262" s="2565"/>
      <c r="AD262" s="951" t="s">
        <v>512</v>
      </c>
      <c r="AE262" s="606"/>
      <c r="AF262" s="606"/>
      <c r="AG262" s="607"/>
      <c r="AH262" s="2410"/>
      <c r="AI262" s="2411"/>
    </row>
    <row r="263" ht="16.5" customHeight="1">
      <c r="A263" s="2326"/>
      <c r="B263" s="2403"/>
      <c r="C263" s="2396"/>
      <c r="D263" s="2404"/>
      <c r="E263" s="955" t="s">
        <v>513</v>
      </c>
      <c r="F263" s="956">
        <f t="array" ref="F263">IFERROR(VLOOKUP(E250,Dex!$B$3:$N422,8,FALSE),"")</f>
        <v>75</v>
      </c>
      <c r="G263" s="957" t="str">
        <f t="array" ref="G263">IFERROR(VLOOKUP(F263,Dex!$P$22:$Q$276,2,FALSE),"")</f>
        <v/>
      </c>
      <c r="H263" s="958"/>
      <c r="I263" s="2607"/>
      <c r="J263" s="955" t="s">
        <v>513</v>
      </c>
      <c r="K263" s="956">
        <f t="array" ref="K263">IFERROR(VLOOKUP(J250,Dex!$B$3:$N422,8,FALSE),"")</f>
        <v>97</v>
      </c>
      <c r="L263" s="957" t="str">
        <f t="array" ref="L263">IFERROR(VLOOKUP(K263,Dex!$P$22:$Q$276,2,FALSE),"")</f>
        <v/>
      </c>
      <c r="M263" s="958"/>
      <c r="N263" s="2607"/>
      <c r="O263" s="955" t="s">
        <v>513</v>
      </c>
      <c r="P263" s="956">
        <f t="array" ref="P263">IFERROR(VLOOKUP(O250,Dex!$B$3:$N422,8,FALSE),"")</f>
        <v>75</v>
      </c>
      <c r="Q263" s="957" t="str">
        <f t="array" ref="Q263">IFERROR(VLOOKUP(P263,Dex!$P$22:$Q$276,2,FALSE),"")</f>
        <v/>
      </c>
      <c r="R263" s="958"/>
      <c r="S263" s="2608"/>
      <c r="T263" s="955" t="s">
        <v>513</v>
      </c>
      <c r="U263" s="956">
        <f t="array" ref="U263">IFERROR(VLOOKUP(T250,Dex!$B$3:$N422,8,FALSE),"")</f>
        <v>55</v>
      </c>
      <c r="V263" s="957" t="str">
        <f t="array" ref="V263">IFERROR(VLOOKUP(U263,Dex!$P$22:$Q$276,2,FALSE),"")</f>
        <v/>
      </c>
      <c r="W263" s="958"/>
      <c r="X263" s="2608"/>
      <c r="Y263" s="955" t="s">
        <v>513</v>
      </c>
      <c r="Z263" s="956">
        <f t="array" ref="Z263">IFERROR(VLOOKUP(Y250,Dex!$B$3:$N422,8,FALSE),"")</f>
        <v>105</v>
      </c>
      <c r="AA263" s="957" t="str">
        <f t="array" ref="AA263">IFERROR(VLOOKUP(Z263,Dex!$P$22:$Q$276,2,FALSE),"")</f>
        <v/>
      </c>
      <c r="AB263" s="958"/>
      <c r="AC263" s="2603"/>
      <c r="AD263" s="955" t="s">
        <v>513</v>
      </c>
      <c r="AE263" s="956">
        <f t="array" ref="AE263">IFERROR(VLOOKUP(AD250,Dex!$B$3:$N422,8,FALSE),"")</f>
        <v>80</v>
      </c>
      <c r="AF263" s="957" t="str">
        <f t="array" ref="AF263">IFERROR(VLOOKUP(AE263,Dex!$P$22:$Q$276,2,FALSE),"")</f>
        <v/>
      </c>
      <c r="AG263" s="958"/>
      <c r="AH263" s="2410"/>
      <c r="AI263" s="2411"/>
    </row>
    <row r="264" ht="16.5" customHeight="1">
      <c r="A264" s="2326"/>
      <c r="B264" s="2403"/>
      <c r="C264" s="2396"/>
      <c r="D264" s="2404"/>
      <c r="E264" s="961" t="s">
        <v>514</v>
      </c>
      <c r="F264" s="962">
        <f t="array" ref="F264">IFERROR(VLOOKUP(E250,Dex!$B$3:$N422,9,FALSE),"")</f>
        <v>125</v>
      </c>
      <c r="G264" s="963" t="str">
        <f t="array" ref="G264">IFERROR(VLOOKUP(F264,Dex!$P$22:$Q$276,2,FALSE),"")</f>
        <v/>
      </c>
      <c r="H264" s="964"/>
      <c r="I264" s="2607"/>
      <c r="J264" s="961" t="s">
        <v>514</v>
      </c>
      <c r="K264" s="962">
        <f t="array" ref="K264">IFERROR(VLOOKUP(J250,Dex!$B$3:$N422,9,FALSE),"")</f>
        <v>101</v>
      </c>
      <c r="L264" s="963" t="str">
        <f t="array" ref="L264">IFERROR(VLOOKUP(K264,Dex!$P$22:$Q$276,2,FALSE),"")</f>
        <v/>
      </c>
      <c r="M264" s="964"/>
      <c r="N264" s="2607"/>
      <c r="O264" s="961" t="s">
        <v>514</v>
      </c>
      <c r="P264" s="962">
        <f t="array" ref="P264">IFERROR(VLOOKUP(O250,Dex!$B$3:$N422,9,FALSE),"")</f>
        <v>123</v>
      </c>
      <c r="Q264" s="963" t="str">
        <f t="array" ref="Q264">IFERROR(VLOOKUP(P264,Dex!$P$22:$Q$276,2,FALSE),"")</f>
        <v/>
      </c>
      <c r="R264" s="964"/>
      <c r="S264" s="2608"/>
      <c r="T264" s="961" t="s">
        <v>514</v>
      </c>
      <c r="U264" s="962">
        <f t="array" ref="U264">IFERROR(VLOOKUP(T250,Dex!$B$3:$N422,9,FALSE),"")</f>
        <v>84</v>
      </c>
      <c r="V264" s="963" t="str">
        <f t="array" ref="V264">IFERROR(VLOOKUP(U264,Dex!$P$22:$Q$276,2,FALSE),"")</f>
        <v/>
      </c>
      <c r="W264" s="964"/>
      <c r="X264" s="2608"/>
      <c r="Y264" s="961" t="s">
        <v>514</v>
      </c>
      <c r="Z264" s="962">
        <f t="array" ref="Z264">IFERROR(VLOOKUP(Y250,Dex!$B$3:$N422,9,FALSE),"")</f>
        <v>140</v>
      </c>
      <c r="AA264" s="963" t="str">
        <f t="array" ref="AA264">IFERROR(VLOOKUP(Z264,Dex!$P$22:$Q$276,2,FALSE),"")</f>
        <v/>
      </c>
      <c r="AB264" s="964"/>
      <c r="AC264" s="2603"/>
      <c r="AD264" s="961" t="s">
        <v>514</v>
      </c>
      <c r="AE264" s="962">
        <f t="array" ref="AE264">IFERROR(VLOOKUP(AD250,Dex!$B$3:$N422,9,FALSE),"")</f>
        <v>100</v>
      </c>
      <c r="AF264" s="963" t="str">
        <f t="array" ref="AF264">IFERROR(VLOOKUP(AE264,Dex!$P$22:$Q$276,2,FALSE),"")</f>
        <v/>
      </c>
      <c r="AG264" s="964"/>
      <c r="AH264" s="2410"/>
      <c r="AI264" s="2411"/>
    </row>
    <row r="265" ht="16.5" customHeight="1">
      <c r="A265" s="2326"/>
      <c r="B265" s="2403"/>
      <c r="C265" s="2396"/>
      <c r="D265" s="2404"/>
      <c r="E265" s="961" t="s">
        <v>515</v>
      </c>
      <c r="F265" s="962">
        <f t="array" ref="F265">IFERROR(VLOOKUP(E250,Dex!$B$3:$N422,10,FALSE),"")</f>
        <v>70</v>
      </c>
      <c r="G265" s="963" t="str">
        <f t="array" ref="G265">IFERROR(VLOOKUP(F265,Dex!$P$22:$Q$276,2,FALSE),"")</f>
        <v/>
      </c>
      <c r="H265" s="964"/>
      <c r="I265" s="2607"/>
      <c r="J265" s="961" t="s">
        <v>515</v>
      </c>
      <c r="K265" s="962">
        <f t="array" ref="K265">IFERROR(VLOOKUP(J250,Dex!$B$3:$N422,10,FALSE),"")</f>
        <v>103</v>
      </c>
      <c r="L265" s="963" t="str">
        <f t="array" ref="L265">IFERROR(VLOOKUP(K265,Dex!$P$22:$Q$276,2,FALSE),"")</f>
        <v/>
      </c>
      <c r="M265" s="964"/>
      <c r="N265" s="2607"/>
      <c r="O265" s="961" t="s">
        <v>515</v>
      </c>
      <c r="P265" s="962">
        <f t="array" ref="P265">IFERROR(VLOOKUP(O250,Dex!$B$3:$N422,10,FALSE),"")</f>
        <v>67</v>
      </c>
      <c r="Q265" s="963" t="str">
        <f t="array" ref="Q265">IFERROR(VLOOKUP(P265,Dex!$P$22:$Q$276,2,FALSE),"")</f>
        <v/>
      </c>
      <c r="R265" s="964"/>
      <c r="S265" s="2608"/>
      <c r="T265" s="961" t="s">
        <v>515</v>
      </c>
      <c r="U265" s="962">
        <f t="array" ref="U265">IFERROR(VLOOKUP(T250,Dex!$B$3:$N422,10,FALSE),"")</f>
        <v>105</v>
      </c>
      <c r="V265" s="963" t="str">
        <f t="array" ref="V265">IFERROR(VLOOKUP(U265,Dex!$P$22:$Q$276,2,FALSE),"")</f>
        <v/>
      </c>
      <c r="W265" s="964"/>
      <c r="X265" s="2608"/>
      <c r="Y265" s="961" t="s">
        <v>515</v>
      </c>
      <c r="Z265" s="962">
        <f t="array" ref="Z265">IFERROR(VLOOKUP(Y250,Dex!$B$3:$N422,10,FALSE),"")</f>
        <v>55</v>
      </c>
      <c r="AA265" s="963" t="str">
        <f t="array" ref="AA265">IFERROR(VLOOKUP(Z265,Dex!$P$22:$Q$276,2,FALSE),"")</f>
        <v/>
      </c>
      <c r="AB265" s="964"/>
      <c r="AC265" s="2603"/>
      <c r="AD265" s="961" t="s">
        <v>515</v>
      </c>
      <c r="AE265" s="962">
        <f t="array" ref="AE265">IFERROR(VLOOKUP(AD250,Dex!$B$3:$N422,10,FALSE),"")</f>
        <v>123</v>
      </c>
      <c r="AF265" s="963" t="str">
        <f t="array" ref="AF265">IFERROR(VLOOKUP(AE265,Dex!$P$22:$Q$276,2,FALSE),"")</f>
        <v/>
      </c>
      <c r="AG265" s="964"/>
      <c r="AH265" s="2410"/>
      <c r="AI265" s="2411"/>
    </row>
    <row r="266" ht="16.5" customHeight="1">
      <c r="A266" s="2326"/>
      <c r="B266" s="2403"/>
      <c r="C266" s="2396"/>
      <c r="D266" s="2404"/>
      <c r="E266" s="961" t="s">
        <v>516</v>
      </c>
      <c r="F266" s="962">
        <f t="array" ref="F266">IFERROR(VLOOKUP(E250,Dex!$B$3:$N422,11,FALSE),"")</f>
        <v>125</v>
      </c>
      <c r="G266" s="963" t="str">
        <f t="array" ref="G266">IFERROR(VLOOKUP(F266,Dex!$P$22:$Q$276,2,FALSE),"")</f>
        <v/>
      </c>
      <c r="H266" s="964"/>
      <c r="I266" s="2607"/>
      <c r="J266" s="961" t="s">
        <v>516</v>
      </c>
      <c r="K266" s="962">
        <f t="array" ref="K266">IFERROR(VLOOKUP(J250,Dex!$B$3:$N422,11,FALSE),"")</f>
        <v>107</v>
      </c>
      <c r="L266" s="963" t="str">
        <f t="array" ref="L266">IFERROR(VLOOKUP(K266,Dex!$P$22:$Q$276,2,FALSE),"")</f>
        <v/>
      </c>
      <c r="M266" s="964"/>
      <c r="N266" s="2607"/>
      <c r="O266" s="961" t="s">
        <v>516</v>
      </c>
      <c r="P266" s="962">
        <f t="array" ref="P266">IFERROR(VLOOKUP(O250,Dex!$B$3:$N422,11,FALSE),"")</f>
        <v>95</v>
      </c>
      <c r="Q266" s="963" t="str">
        <f t="array" ref="Q266">IFERROR(VLOOKUP(P266,Dex!$P$22:$Q$276,2,FALSE),"")</f>
        <v/>
      </c>
      <c r="R266" s="964"/>
      <c r="S266" s="2608"/>
      <c r="T266" s="961" t="s">
        <v>516</v>
      </c>
      <c r="U266" s="962">
        <f t="array" ref="U266">IFERROR(VLOOKUP(T250,Dex!$B$3:$N422,11,FALSE),"")</f>
        <v>104</v>
      </c>
      <c r="V266" s="963" t="str">
        <f t="array" ref="V266">IFERROR(VLOOKUP(U266,Dex!$P$22:$Q$276,2,FALSE),"")</f>
        <v/>
      </c>
      <c r="W266" s="964"/>
      <c r="X266" s="2608"/>
      <c r="Y266" s="961" t="s">
        <v>516</v>
      </c>
      <c r="Z266" s="962">
        <f t="array" ref="Z266">IFERROR(VLOOKUP(Y250,Dex!$B$3:$N422,11,FALSE),"")</f>
        <v>30</v>
      </c>
      <c r="AA266" s="963" t="str">
        <f t="array" ref="AA266">IFERROR(VLOOKUP(Z266,Dex!$P$22:$Q$276,2,FALSE),"")</f>
        <v/>
      </c>
      <c r="AB266" s="964"/>
      <c r="AC266" s="2603"/>
      <c r="AD266" s="961" t="s">
        <v>516</v>
      </c>
      <c r="AE266" s="962">
        <f t="array" ref="AE266">IFERROR(VLOOKUP(AD250,Dex!$B$3:$N422,11,FALSE),"")</f>
        <v>122</v>
      </c>
      <c r="AF266" s="963" t="str">
        <f t="array" ref="AF266">IFERROR(VLOOKUP(AE266,Dex!$P$22:$Q$276,2,FALSE),"")</f>
        <v/>
      </c>
      <c r="AG266" s="964"/>
      <c r="AH266" s="2410"/>
      <c r="AI266" s="2411"/>
    </row>
    <row r="267" ht="16.5" customHeight="1">
      <c r="A267" s="2326"/>
      <c r="B267" s="2403"/>
      <c r="C267" s="2567"/>
      <c r="D267" s="2404"/>
      <c r="E267" s="961" t="s">
        <v>517</v>
      </c>
      <c r="F267" s="962">
        <f t="array" ref="F267">IFERROR(VLOOKUP(E250,Dex!$B$3:$N422,12,FALSE),"")</f>
        <v>70</v>
      </c>
      <c r="G267" s="963" t="str">
        <f t="array" ref="G267">IFERROR(VLOOKUP(F267,Dex!$P$22:$Q$276,2,FALSE),"")</f>
        <v/>
      </c>
      <c r="H267" s="964"/>
      <c r="I267" s="2607"/>
      <c r="J267" s="961" t="s">
        <v>517</v>
      </c>
      <c r="K267" s="962">
        <f t="array" ref="K267">IFERROR(VLOOKUP(J250,Dex!$B$3:$N422,12,FALSE),"")</f>
        <v>101</v>
      </c>
      <c r="L267" s="963" t="str">
        <f t="array" ref="L267">IFERROR(VLOOKUP(K267,Dex!$P$22:$Q$276,2,FALSE),"")</f>
        <v/>
      </c>
      <c r="M267" s="964"/>
      <c r="N267" s="2607"/>
      <c r="O267" s="961" t="s">
        <v>517</v>
      </c>
      <c r="P267" s="962">
        <f t="array" ref="P267">IFERROR(VLOOKUP(O250,Dex!$B$3:$N422,12,FALSE),"")</f>
        <v>85</v>
      </c>
      <c r="Q267" s="963" t="str">
        <f t="array" ref="Q267">IFERROR(VLOOKUP(P267,Dex!$P$22:$Q$276,2,FALSE),"")</f>
        <v/>
      </c>
      <c r="R267" s="964"/>
      <c r="S267" s="2608"/>
      <c r="T267" s="961" t="s">
        <v>517</v>
      </c>
      <c r="U267" s="962">
        <f t="array" ref="U267">IFERROR(VLOOKUP(T250,Dex!$B$3:$N422,12,FALSE),"")</f>
        <v>75</v>
      </c>
      <c r="V267" s="963" t="str">
        <f t="array" ref="V267">IFERROR(VLOOKUP(U267,Dex!$P$22:$Q$276,2,FALSE),"")</f>
        <v/>
      </c>
      <c r="W267" s="964"/>
      <c r="X267" s="2608"/>
      <c r="Y267" s="961" t="s">
        <v>517</v>
      </c>
      <c r="Z267" s="962">
        <f t="array" ref="Z267">IFERROR(VLOOKUP(Y250,Dex!$B$3:$N422,12,FALSE),"")</f>
        <v>55</v>
      </c>
      <c r="AA267" s="963" t="str">
        <f t="array" ref="AA267">IFERROR(VLOOKUP(Z267,Dex!$P$22:$Q$276,2,FALSE),"")</f>
        <v/>
      </c>
      <c r="AB267" s="964"/>
      <c r="AC267" s="2603"/>
      <c r="AD267" s="961" t="s">
        <v>517</v>
      </c>
      <c r="AE267" s="962">
        <f t="array" ref="AE267">IFERROR(VLOOKUP(AD250,Dex!$B$3:$N422,12,FALSE),"")</f>
        <v>120</v>
      </c>
      <c r="AF267" s="963" t="str">
        <f t="array" ref="AF267">IFERROR(VLOOKUP(AE267,Dex!$P$22:$Q$276,2,FALSE),"")</f>
        <v/>
      </c>
      <c r="AG267" s="964"/>
      <c r="AH267" s="2410"/>
      <c r="AI267" s="2411"/>
    </row>
    <row r="268" ht="15.75" customHeight="1">
      <c r="A268" s="2326"/>
      <c r="B268" s="2568"/>
      <c r="C268" s="1426" t="s">
        <v>745</v>
      </c>
      <c r="D268" s="2569"/>
      <c r="E268" s="965" t="s">
        <v>518</v>
      </c>
      <c r="F268" s="966">
        <f t="array" ref="F268">IFERROR(VLOOKUP(E250,Dex!$B$3:$N422,13,FALSE),"")</f>
        <v>115</v>
      </c>
      <c r="G268" s="967" t="str">
        <f t="array" ref="G268">IFERROR(VLOOKUP(F268,Dex!$P$22:$Q$276,2,FALSE),"")</f>
        <v/>
      </c>
      <c r="H268" s="968"/>
      <c r="I268" s="2607"/>
      <c r="J268" s="965" t="s">
        <v>518</v>
      </c>
      <c r="K268" s="966">
        <f t="array" ref="K268">IFERROR(VLOOKUP(J250,Dex!$B$3:$N422,13,FALSE),"")</f>
        <v>61</v>
      </c>
      <c r="L268" s="967" t="str">
        <f t="array" ref="L268">IFERROR(VLOOKUP(K268,Dex!$P$22:$Q$276,2,FALSE),"")</f>
        <v/>
      </c>
      <c r="M268" s="968"/>
      <c r="N268" s="2607"/>
      <c r="O268" s="965" t="s">
        <v>518</v>
      </c>
      <c r="P268" s="966">
        <f t="array" ref="P268">IFERROR(VLOOKUP(O250,Dex!$B$3:$N422,13,FALSE),"")</f>
        <v>95</v>
      </c>
      <c r="Q268" s="967" t="str">
        <f t="array" ref="Q268">IFERROR(VLOOKUP(P268,Dex!$P$22:$Q$276,2,FALSE),"")</f>
        <v/>
      </c>
      <c r="R268" s="968"/>
      <c r="S268" s="2608"/>
      <c r="T268" s="965" t="s">
        <v>518</v>
      </c>
      <c r="U268" s="966">
        <f t="array" ref="U268">IFERROR(VLOOKUP(T250,Dex!$B$3:$N422,13,FALSE),"")</f>
        <v>52</v>
      </c>
      <c r="V268" s="967" t="str">
        <f t="array" ref="V268">IFERROR(VLOOKUP(U268,Dex!$P$22:$Q$276,2,FALSE),"")</f>
        <v/>
      </c>
      <c r="W268" s="968"/>
      <c r="X268" s="2608"/>
      <c r="Y268" s="965" t="s">
        <v>518</v>
      </c>
      <c r="Z268" s="966">
        <f t="array" ref="Z268">IFERROR(VLOOKUP(Y250,Dex!$B$3:$N422,13,FALSE),"")</f>
        <v>95</v>
      </c>
      <c r="AA268" s="967" t="str">
        <f t="array" ref="AA268">IFERROR(VLOOKUP(Z268,Dex!$P$22:$Q$276,2,FALSE),"")</f>
        <v/>
      </c>
      <c r="AB268" s="968"/>
      <c r="AC268" s="2603"/>
      <c r="AD268" s="965" t="s">
        <v>518</v>
      </c>
      <c r="AE268" s="966">
        <f t="array" ref="AE268">IFERROR(VLOOKUP(AD250,Dex!$B$3:$N422,13,FALSE),"")</f>
        <v>80</v>
      </c>
      <c r="AF268" s="967" t="str">
        <f t="array" ref="AF268">IFERROR(VLOOKUP(AE268,Dex!$P$22:$Q$276,2,FALSE),"")</f>
        <v/>
      </c>
      <c r="AG268" s="968"/>
      <c r="AH268" s="2410"/>
      <c r="AI268" s="2411"/>
    </row>
    <row r="269" ht="16.5" customHeight="1">
      <c r="A269" s="2326"/>
      <c r="B269" s="2568"/>
      <c r="C269" s="1427" t="s">
        <v>1055</v>
      </c>
      <c r="D269" s="2569"/>
      <c r="E269" s="969" t="s">
        <v>519</v>
      </c>
      <c r="F269" s="630"/>
      <c r="G269" s="631"/>
      <c r="H269" s="632">
        <f>ROUNDDOWN((ROUNDDOWN(((((2*F268+31)*56)/100+5)),0))*1.1,0)</f>
        <v>166</v>
      </c>
      <c r="I269" s="2605"/>
      <c r="J269" s="969" t="s">
        <v>519</v>
      </c>
      <c r="K269" s="630"/>
      <c r="L269" s="631"/>
      <c r="M269" s="632">
        <f>ROUNDDOWN((ROUNDDOWN(((((2*K268+31)*56)/100+5)),0))*1,0)</f>
        <v>90</v>
      </c>
      <c r="N269" s="2605"/>
      <c r="O269" s="969" t="s">
        <v>519</v>
      </c>
      <c r="P269" s="630"/>
      <c r="Q269" s="631"/>
      <c r="R269" s="632">
        <f>ROUNDDOWN((ROUNDDOWN(((((2*P268+31)*56)/100+5)),0))*1.1,0)</f>
        <v>140</v>
      </c>
      <c r="S269" s="2606"/>
      <c r="T269" s="969" t="s">
        <v>519</v>
      </c>
      <c r="U269" s="630"/>
      <c r="V269" s="631"/>
      <c r="W269" s="632">
        <f>ROUNDDOWN((ROUNDDOWN(((((2*U268+31)*56)/100+5)),0))*1.1,0)</f>
        <v>88</v>
      </c>
      <c r="X269" s="2606"/>
      <c r="Y269" s="969" t="s">
        <v>519</v>
      </c>
      <c r="Z269" s="630"/>
      <c r="AA269" s="631"/>
      <c r="AB269" s="632">
        <f>ROUNDDOWN((ROUNDDOWN(((((2*Z268+31)*56)/100+5)),0))*1.1,0)</f>
        <v>140</v>
      </c>
      <c r="AC269" s="2565"/>
      <c r="AD269" s="969" t="s">
        <v>519</v>
      </c>
      <c r="AE269" s="630"/>
      <c r="AF269" s="631"/>
      <c r="AG269" s="632">
        <f>ROUNDDOWN((ROUNDDOWN(((((2*AE268+31)*56)/100+5)),0))*1.1,0)</f>
        <v>122</v>
      </c>
      <c r="AH269" s="2410"/>
      <c r="AI269" s="2411"/>
    </row>
    <row r="270" ht="15.0" customHeight="1">
      <c r="A270" s="2319"/>
      <c r="B270" s="2440"/>
      <c r="C270" s="2585"/>
      <c r="D270" s="2442"/>
      <c r="E270" s="2443"/>
      <c r="F270" s="2443"/>
      <c r="G270" s="2443"/>
      <c r="H270" s="2443"/>
      <c r="I270" s="2587"/>
      <c r="J270" s="2443"/>
      <c r="K270" s="2443"/>
      <c r="L270" s="2443"/>
      <c r="M270" s="2443"/>
      <c r="N270" s="2586"/>
      <c r="O270" s="2444"/>
      <c r="P270" s="2444"/>
      <c r="Q270" s="2444"/>
      <c r="R270" s="2586"/>
      <c r="S270" s="2586"/>
      <c r="T270" s="2444"/>
      <c r="U270" s="2444"/>
      <c r="V270" s="2444"/>
      <c r="W270" s="2586"/>
      <c r="X270" s="2586"/>
      <c r="Y270" s="2444"/>
      <c r="Z270" s="2444"/>
      <c r="AA270" s="2444"/>
      <c r="AB270" s="2586"/>
      <c r="AC270" s="2442"/>
      <c r="AD270" s="2444"/>
      <c r="AE270" s="2444"/>
      <c r="AF270" s="2444"/>
      <c r="AG270" s="2442"/>
      <c r="AH270" s="2445"/>
      <c r="AI270" s="2325"/>
    </row>
    <row r="271" ht="15.0" customHeight="1">
      <c r="A271" s="2319"/>
      <c r="B271" s="2446"/>
      <c r="C271" s="2447"/>
      <c r="D271" s="2448"/>
      <c r="E271" s="2449"/>
      <c r="F271" s="2449"/>
      <c r="G271" s="2449"/>
      <c r="H271" s="2449"/>
      <c r="I271" s="2448"/>
      <c r="J271" s="2449"/>
      <c r="K271" s="2449"/>
      <c r="L271" s="2449"/>
      <c r="M271" s="2449"/>
      <c r="N271" s="2448"/>
      <c r="O271" s="2449"/>
      <c r="P271" s="2449"/>
      <c r="Q271" s="2449"/>
      <c r="R271" s="2449"/>
      <c r="S271" s="2448"/>
      <c r="T271" s="2449"/>
      <c r="U271" s="2449"/>
      <c r="V271" s="2449"/>
      <c r="W271" s="2449"/>
      <c r="X271" s="2448"/>
      <c r="Y271" s="2449"/>
      <c r="Z271" s="2449"/>
      <c r="AA271" s="2449"/>
      <c r="AB271" s="2449"/>
      <c r="AC271" s="2448"/>
      <c r="AD271" s="2449"/>
      <c r="AE271" s="2449"/>
      <c r="AF271" s="2449"/>
      <c r="AG271" s="2449"/>
      <c r="AH271" s="2450"/>
      <c r="AI271" s="2325"/>
    </row>
    <row r="272">
      <c r="A272" s="2319"/>
      <c r="B272" s="2521"/>
      <c r="C272" s="2515"/>
      <c r="D272" s="2515"/>
      <c r="E272" s="2609" t="s">
        <v>1063</v>
      </c>
      <c r="F272" s="2459"/>
      <c r="G272" s="2459"/>
      <c r="H272" s="2459"/>
      <c r="I272" s="2459"/>
      <c r="J272" s="2459"/>
      <c r="K272" s="2459"/>
      <c r="L272" s="2459"/>
      <c r="M272" s="2459"/>
      <c r="N272" s="2459"/>
      <c r="O272" s="2459"/>
      <c r="P272" s="2459"/>
      <c r="Q272" s="2459"/>
      <c r="R272" s="2459"/>
      <c r="S272" s="2459"/>
      <c r="T272" s="2459"/>
      <c r="U272" s="2459"/>
      <c r="V272" s="2459"/>
      <c r="W272" s="2459"/>
      <c r="X272" s="2459"/>
      <c r="Y272" s="2459"/>
      <c r="Z272" s="2459"/>
      <c r="AA272" s="2459"/>
      <c r="AB272" s="2459"/>
      <c r="AC272" s="2459"/>
      <c r="AD272" s="2459"/>
      <c r="AE272" s="2459"/>
      <c r="AF272" s="2459"/>
      <c r="AG272" s="2460"/>
      <c r="AH272" s="2610"/>
      <c r="AI272" s="2325"/>
    </row>
    <row r="273" ht="96.75" customHeight="1">
      <c r="A273" s="2319"/>
      <c r="B273" s="2451"/>
      <c r="C273" s="2452" t="str">
        <f>IMAGE("https://i.ibb.co/rpm30sn/Brendan.png")</f>
        <v/>
      </c>
      <c r="D273" s="2453"/>
      <c r="E273" s="2454" t="str">
        <f t="array" ref="E273">IFERROR(VLOOKUP(E274,Dex!$B$3:$G422,3,FALSE),"")</f>
        <v/>
      </c>
      <c r="F273" s="1945"/>
      <c r="G273" s="1945"/>
      <c r="H273" s="1946"/>
      <c r="I273" s="2455"/>
      <c r="J273" s="2454" t="str">
        <f t="array" ref="J273">IFERROR(VLOOKUP(J274,Dex!$B$3:$G422,3,FALSE),"")</f>
        <v/>
      </c>
      <c r="K273" s="1945"/>
      <c r="L273" s="1945"/>
      <c r="M273" s="1946"/>
      <c r="N273" s="2455"/>
      <c r="O273" s="2454" t="str">
        <f t="array" ref="O273">IFERROR(VLOOKUP(O274,Dex!$B$3:$G422,3,FALSE),"")</f>
        <v/>
      </c>
      <c r="P273" s="1945"/>
      <c r="Q273" s="1945"/>
      <c r="R273" s="1946"/>
      <c r="S273" s="2455"/>
      <c r="T273" s="2454" t="str">
        <f t="array" ref="T273">IFERROR(VLOOKUP(T274,Dex!$B$3:$G422,3,FALSE),"")</f>
        <v/>
      </c>
      <c r="U273" s="1945"/>
      <c r="V273" s="1945"/>
      <c r="W273" s="1946"/>
      <c r="X273" s="2611"/>
      <c r="Y273" s="2454" t="str">
        <f t="array" ref="Y273">IFERROR(VLOOKUP(Y274,Dex!$B$3:$G422,3,FALSE),"")</f>
        <v/>
      </c>
      <c r="Z273" s="1945"/>
      <c r="AA273" s="1945"/>
      <c r="AB273" s="1946"/>
      <c r="AC273" s="2611"/>
      <c r="AD273" s="2454" t="str">
        <f t="array" ref="AD273">IFERROR(VLOOKUP(AD274,Dex!$B$3:$G422,3,FALSE),"")</f>
        <v/>
      </c>
      <c r="AE273" s="1945"/>
      <c r="AF273" s="1945"/>
      <c r="AG273" s="1946"/>
      <c r="AH273" s="2589"/>
      <c r="AI273" s="2325"/>
    </row>
    <row r="274" ht="18.75" customHeight="1">
      <c r="A274" s="2347"/>
      <c r="B274" s="2463"/>
      <c r="C274" s="2464" t="s">
        <v>1064</v>
      </c>
      <c r="D274" s="2465"/>
      <c r="E274" s="2466" t="s">
        <v>1065</v>
      </c>
      <c r="F274" s="2467"/>
      <c r="G274" s="2467"/>
      <c r="H274" s="2468"/>
      <c r="I274" s="2465"/>
      <c r="J274" s="2466" t="s">
        <v>1066</v>
      </c>
      <c r="K274" s="2467"/>
      <c r="L274" s="2467"/>
      <c r="M274" s="2468"/>
      <c r="N274" s="2465"/>
      <c r="O274" s="2466" t="s">
        <v>1067</v>
      </c>
      <c r="P274" s="2467"/>
      <c r="Q274" s="2467"/>
      <c r="R274" s="2468"/>
      <c r="S274" s="2465"/>
      <c r="T274" s="2466" t="s">
        <v>1068</v>
      </c>
      <c r="U274" s="2467"/>
      <c r="V274" s="2467"/>
      <c r="W274" s="2468"/>
      <c r="Y274" s="2466" t="s">
        <v>1069</v>
      </c>
      <c r="Z274" s="2467"/>
      <c r="AA274" s="2467"/>
      <c r="AB274" s="2468"/>
      <c r="AD274" s="2466" t="s">
        <v>599</v>
      </c>
      <c r="AE274" s="2467"/>
      <c r="AF274" s="2467"/>
      <c r="AG274" s="2468"/>
      <c r="AH274" s="2590"/>
      <c r="AI274" s="2357"/>
    </row>
    <row r="275">
      <c r="A275" s="2473"/>
      <c r="B275" s="2474"/>
      <c r="C275" s="556"/>
      <c r="D275" s="2475"/>
      <c r="E275" s="2476" t="s">
        <v>729</v>
      </c>
      <c r="F275" s="2477"/>
      <c r="G275" s="2477"/>
      <c r="H275" s="2478"/>
      <c r="I275" s="2479"/>
      <c r="J275" s="2476" t="s">
        <v>729</v>
      </c>
      <c r="K275" s="2477"/>
      <c r="L275" s="2477"/>
      <c r="M275" s="2478"/>
      <c r="N275" s="2479"/>
      <c r="O275" s="2476" t="s">
        <v>729</v>
      </c>
      <c r="P275" s="2477"/>
      <c r="Q275" s="2477"/>
      <c r="R275" s="2478"/>
      <c r="S275" s="2479"/>
      <c r="T275" s="2476" t="s">
        <v>729</v>
      </c>
      <c r="U275" s="2477"/>
      <c r="V275" s="2477"/>
      <c r="W275" s="2478"/>
      <c r="Y275" s="2476" t="s">
        <v>729</v>
      </c>
      <c r="Z275" s="2477"/>
      <c r="AA275" s="2477"/>
      <c r="AB275" s="2478"/>
      <c r="AD275" s="2476" t="s">
        <v>729</v>
      </c>
      <c r="AE275" s="2477"/>
      <c r="AF275" s="2477"/>
      <c r="AG275" s="2478"/>
      <c r="AH275" s="2591"/>
      <c r="AI275" s="2481"/>
    </row>
    <row r="276" ht="25.5" customHeight="1">
      <c r="A276" s="2319"/>
      <c r="B276" s="2482"/>
      <c r="C276" s="2483"/>
      <c r="D276" s="2458"/>
      <c r="E276" s="2484"/>
      <c r="F276" s="2485" t="str">
        <f t="array" ref="F276">IFERROR(VLOOKUP(E274,Dex!$B$3:$H422,5,FALSE),"")</f>
        <v/>
      </c>
      <c r="G276" s="2486" t="str">
        <f t="array" ref="G276">IFERROR(VLOOKUP(E274,Dex!$B$3:$H422,7,FALSE),"")</f>
        <v/>
      </c>
      <c r="H276" s="2487"/>
      <c r="I276" s="2470"/>
      <c r="J276" s="2484"/>
      <c r="K276" s="2485" t="str">
        <f t="array" ref="K276">IFERROR(VLOOKUP(J274,Dex!$B$3:$H422,5,FALSE),"")</f>
        <v/>
      </c>
      <c r="L276" s="2486" t="str">
        <f t="array" ref="L276">IFERROR(VLOOKUP(J274,Dex!$B$3:$H422,7,FALSE),"")</f>
        <v/>
      </c>
      <c r="M276" s="2487"/>
      <c r="N276" s="2470"/>
      <c r="O276" s="2484"/>
      <c r="P276" s="2485" t="str">
        <f t="array" ref="P276">IFERROR(VLOOKUP(O274,Dex!$B$3:$H422,5,FALSE),"")</f>
        <v/>
      </c>
      <c r="Q276" s="2486" t="str">
        <f t="array" ref="Q276">IFERROR(VLOOKUP(O274,Dex!$B$3:$H422,7,FALSE),"")</f>
        <v/>
      </c>
      <c r="R276" s="2487"/>
      <c r="S276" s="2470"/>
      <c r="T276" s="2484"/>
      <c r="U276" s="2485" t="str">
        <f t="array" ref="U276">IFERROR(VLOOKUP(T274,Dex!$B$3:$H422,5,FALSE),"")</f>
        <v/>
      </c>
      <c r="V276" s="2486" t="str">
        <f t="array" ref="V276">IFERROR(VLOOKUP(T274,Dex!$B$3:$H422,7,FALSE),"")</f>
        <v/>
      </c>
      <c r="W276" s="2487"/>
      <c r="Y276" s="2484"/>
      <c r="Z276" s="2488" t="str">
        <f t="array" ref="Z276">IFERROR(VLOOKUP(Y274,Dex!$B$3:$H422,5,FALSE),"")</f>
        <v/>
      </c>
      <c r="AA276" s="2489"/>
      <c r="AB276" s="2487"/>
      <c r="AD276" s="2484"/>
      <c r="AE276" s="2485" t="str">
        <f t="array" ref="AE276">IFERROR(VLOOKUP(AD274,Dex!$B$3:$H422,5,FALSE),"")</f>
        <v/>
      </c>
      <c r="AF276" s="2486" t="str">
        <f t="array" ref="AF276">IFERROR(VLOOKUP(AD274,Dex!$B$3:$H422,7,FALSE),"")</f>
        <v/>
      </c>
      <c r="AG276" s="2487"/>
      <c r="AH276" s="2462"/>
      <c r="AI276" s="2325"/>
    </row>
    <row r="277" ht="2.25" customHeight="1">
      <c r="A277" s="2319"/>
      <c r="B277" s="2482"/>
      <c r="C277" s="2471"/>
      <c r="D277" s="2458"/>
      <c r="E277" s="2490"/>
      <c r="F277" s="2491"/>
      <c r="G277" s="2491"/>
      <c r="H277" s="2492"/>
      <c r="I277" s="2470"/>
      <c r="J277" s="2490"/>
      <c r="K277" s="2491"/>
      <c r="L277" s="2491"/>
      <c r="M277" s="2492"/>
      <c r="N277" s="2470"/>
      <c r="O277" s="2490"/>
      <c r="P277" s="2491"/>
      <c r="Q277" s="2491"/>
      <c r="R277" s="2492"/>
      <c r="S277" s="2470"/>
      <c r="T277" s="2490"/>
      <c r="U277" s="2491"/>
      <c r="V277" s="2491"/>
      <c r="W277" s="2492"/>
      <c r="Y277" s="2490"/>
      <c r="Z277" s="2491"/>
      <c r="AA277" s="2491"/>
      <c r="AB277" s="2492"/>
      <c r="AD277" s="2490"/>
      <c r="AE277" s="2491"/>
      <c r="AF277" s="2491"/>
      <c r="AG277" s="2492"/>
      <c r="AH277" s="2462"/>
      <c r="AI277" s="2325"/>
    </row>
    <row r="278" ht="20.25" customHeight="1">
      <c r="A278" s="2319"/>
      <c r="B278" s="2482"/>
      <c r="C278" s="2494"/>
      <c r="D278" s="2458"/>
      <c r="E278" s="2495" t="s">
        <v>564</v>
      </c>
      <c r="F278" s="2496"/>
      <c r="G278" s="2496"/>
      <c r="H278" s="2497"/>
      <c r="I278" s="2498"/>
      <c r="J278" s="2495" t="s">
        <v>564</v>
      </c>
      <c r="K278" s="2496"/>
      <c r="L278" s="2496"/>
      <c r="M278" s="2497"/>
      <c r="N278" s="2498"/>
      <c r="O278" s="2495" t="s">
        <v>565</v>
      </c>
      <c r="P278" s="2496"/>
      <c r="Q278" s="2496"/>
      <c r="R278" s="2497"/>
      <c r="S278" s="2498"/>
      <c r="T278" s="2495" t="s">
        <v>532</v>
      </c>
      <c r="U278" s="2496"/>
      <c r="V278" s="2496"/>
      <c r="W278" s="2497"/>
      <c r="Y278" s="2495" t="s">
        <v>565</v>
      </c>
      <c r="Z278" s="2496"/>
      <c r="AA278" s="2496"/>
      <c r="AB278" s="2497"/>
      <c r="AD278" s="2495" t="s">
        <v>532</v>
      </c>
      <c r="AE278" s="2496"/>
      <c r="AF278" s="2496"/>
      <c r="AG278" s="2497"/>
      <c r="AH278" s="2589"/>
      <c r="AI278" s="2325"/>
    </row>
    <row r="279">
      <c r="A279" s="2319"/>
      <c r="B279" s="2482"/>
      <c r="C279" s="2499"/>
      <c r="D279" s="2458"/>
      <c r="E279" s="2500" t="s">
        <v>484</v>
      </c>
      <c r="F279" s="2459"/>
      <c r="G279" s="2459"/>
      <c r="H279" s="2501"/>
      <c r="I279" s="2498"/>
      <c r="J279" s="2500" t="s">
        <v>120</v>
      </c>
      <c r="K279" s="2459"/>
      <c r="L279" s="2459"/>
      <c r="M279" s="2501"/>
      <c r="N279" s="2498"/>
      <c r="O279" s="2500" t="s">
        <v>105</v>
      </c>
      <c r="P279" s="2459"/>
      <c r="Q279" s="2459"/>
      <c r="R279" s="2501"/>
      <c r="S279" s="2498"/>
      <c r="T279" s="2500" t="s">
        <v>1070</v>
      </c>
      <c r="U279" s="2459"/>
      <c r="V279" s="2459"/>
      <c r="W279" s="2501"/>
      <c r="Y279" s="2500" t="s">
        <v>709</v>
      </c>
      <c r="Z279" s="2459"/>
      <c r="AA279" s="2459"/>
      <c r="AB279" s="2501"/>
      <c r="AD279" s="2500" t="s">
        <v>1071</v>
      </c>
      <c r="AE279" s="2459"/>
      <c r="AF279" s="2459"/>
      <c r="AG279" s="2501"/>
      <c r="AH279" s="2589"/>
      <c r="AI279" s="2325"/>
    </row>
    <row r="280" ht="20.25" customHeight="1">
      <c r="A280" s="2319"/>
      <c r="B280" s="2482"/>
      <c r="C280" s="2471"/>
      <c r="D280" s="2458"/>
      <c r="E280" s="2502" t="s">
        <v>573</v>
      </c>
      <c r="F280" s="2503"/>
      <c r="G280" s="2504"/>
      <c r="H280" s="2592" t="str">
        <f>IMAGE("https://raw.githubusercontent.com/msikma/pokesprite/master/items/hold-item/focus-sash.png",3)</f>
        <v/>
      </c>
      <c r="I280" s="2470"/>
      <c r="J280" s="2502" t="s">
        <v>712</v>
      </c>
      <c r="K280" s="2503"/>
      <c r="L280" s="2504"/>
      <c r="M280" s="2592" t="str">
        <f>IMAGE("https://raw.githubusercontent.com/msikma/pokesprite/master/items/hold-item/power-herb.png",3)</f>
        <v/>
      </c>
      <c r="N280" s="2470"/>
      <c r="O280" s="2502" t="s">
        <v>733</v>
      </c>
      <c r="P280" s="2503"/>
      <c r="Q280" s="2504"/>
      <c r="R280" s="2592" t="str">
        <f>IMAGE("https://raw.githubusercontent.com/msikma/pokesprite/master/items/hold-item/leftovers.png",3)</f>
        <v/>
      </c>
      <c r="S280" s="2470"/>
      <c r="T280" s="2502" t="s">
        <v>540</v>
      </c>
      <c r="U280" s="2503"/>
      <c r="V280" s="2504"/>
      <c r="W280" s="2592" t="str">
        <f>IMAGE("https://raw.githubusercontent.com/msikma/pokesprite/master/items/hold-item/mystic-water.png",3)</f>
        <v/>
      </c>
      <c r="Y280" s="2502" t="s">
        <v>541</v>
      </c>
      <c r="Z280" s="2503"/>
      <c r="AA280" s="2504"/>
      <c r="AB280" s="2592" t="str">
        <f>IMAGE("https://raw.githubusercontent.com/msikma/pokesprite/master/items/hold-item/life-orb.png",3)</f>
        <v/>
      </c>
      <c r="AD280" s="2502" t="s">
        <v>608</v>
      </c>
      <c r="AE280" s="2503"/>
      <c r="AF280" s="2504"/>
      <c r="AG280" s="2592" t="str">
        <f>IMAGE("https://raw.githubusercontent.com/msikma/pokesprite/master/items/mega-stone/sceptilite.png",3)</f>
        <v/>
      </c>
      <c r="AH280" s="2462"/>
      <c r="AI280" s="2325"/>
    </row>
    <row r="281" ht="20.25" customHeight="1">
      <c r="A281" s="2319"/>
      <c r="B281" s="2482"/>
      <c r="C281" s="2494"/>
      <c r="D281" s="2458"/>
      <c r="E281" s="2495" t="s">
        <v>647</v>
      </c>
      <c r="F281" s="2496"/>
      <c r="G281" s="2496"/>
      <c r="H281" s="2506" t="str">
        <f>IMAGE("https://raw.githubusercontent.com/msikma/pokesprite/master/misc/types/gen8/ghost.png",4,20,20)</f>
        <v/>
      </c>
      <c r="I281" s="2470"/>
      <c r="J281" s="2495" t="s">
        <v>155</v>
      </c>
      <c r="K281" s="2496"/>
      <c r="L281" s="2496"/>
      <c r="M281" s="2506" t="str">
        <f>IMAGE("https://raw.githubusercontent.com/msikma/pokesprite/master/misc/types/gen8/rock.png",4,20,20)</f>
        <v/>
      </c>
      <c r="N281" s="2470"/>
      <c r="O281" s="2495" t="s">
        <v>905</v>
      </c>
      <c r="P281" s="2496"/>
      <c r="Q281" s="2496"/>
      <c r="R281" s="2506" t="str">
        <f>IMAGE("https://raw.githubusercontent.com/msikma/pokesprite/master/misc/types/gen8/electric.png",4,20,20)</f>
        <v/>
      </c>
      <c r="S281" s="2470"/>
      <c r="T281" s="2495" t="s">
        <v>1072</v>
      </c>
      <c r="U281" s="2496"/>
      <c r="V281" s="2496"/>
      <c r="W281" s="2506" t="str">
        <f>IMAGE("https://raw.githubusercontent.com/msikma/pokesprite/master/misc/types/gen8/water.png",4,20,20)</f>
        <v/>
      </c>
      <c r="Y281" s="2495" t="s">
        <v>669</v>
      </c>
      <c r="Z281" s="2496"/>
      <c r="AA281" s="2496"/>
      <c r="AB281" s="2506" t="str">
        <f>IMAGE("https://raw.githubusercontent.com/msikma/pokesprite/master/misc/types/gen8/psychic.png",4,20,20)</f>
        <v/>
      </c>
      <c r="AD281" s="2495" t="s">
        <v>219</v>
      </c>
      <c r="AE281" s="2496"/>
      <c r="AF281" s="2496"/>
      <c r="AG281" s="2506" t="str">
        <f t="shared" ref="AG281:AG282" si="14">IMAGE("https://raw.githubusercontent.com/msikma/pokesprite/master/misc/types/gen8/dragon.png",4,20,20)</f>
        <v/>
      </c>
      <c r="AH281" s="2462"/>
      <c r="AI281" s="2325"/>
    </row>
    <row r="282" ht="20.25" customHeight="1">
      <c r="A282" s="2319"/>
      <c r="B282" s="2482"/>
      <c r="C282" s="2507"/>
      <c r="D282" s="2458"/>
      <c r="E282" s="2500" t="s">
        <v>773</v>
      </c>
      <c r="F282" s="2459"/>
      <c r="G282" s="2459"/>
      <c r="H282" s="2508" t="str">
        <f>IMAGE("https://raw.githubusercontent.com/msikma/pokesprite/master/misc/types/gen8/poison.png",4,20,20)</f>
        <v/>
      </c>
      <c r="I282" s="2470"/>
      <c r="J282" s="2500" t="s">
        <v>773</v>
      </c>
      <c r="K282" s="2459"/>
      <c r="L282" s="2459"/>
      <c r="M282" s="2508" t="str">
        <f>IMAGE("https://raw.githubusercontent.com/msikma/pokesprite/master/misc/types/gen8/poison.png",4,20,20)</f>
        <v/>
      </c>
      <c r="N282" s="2470"/>
      <c r="O282" s="2500" t="s">
        <v>959</v>
      </c>
      <c r="P282" s="2459"/>
      <c r="Q282" s="2459"/>
      <c r="R282" s="2508" t="str">
        <f>IMAGE("https://raw.githubusercontent.com/msikma/pokesprite/master/misc/types/gen8/fairy.png",4,20,20)</f>
        <v/>
      </c>
      <c r="S282" s="2470"/>
      <c r="T282" s="2500" t="s">
        <v>583</v>
      </c>
      <c r="U282" s="2459"/>
      <c r="V282" s="2459"/>
      <c r="W282" s="2508" t="str">
        <f>IMAGE("https://raw.githubusercontent.com/msikma/pokesprite/master/misc/types/gen8/fighting.png",4,20,20)</f>
        <v/>
      </c>
      <c r="Y282" s="2500" t="s">
        <v>670</v>
      </c>
      <c r="Z282" s="2459"/>
      <c r="AA282" s="2459"/>
      <c r="AB282" s="2508" t="str">
        <f>IMAGE("https://raw.githubusercontent.com/msikma/pokesprite/master/misc/types/gen8/ice.png",4,20,20)</f>
        <v/>
      </c>
      <c r="AD282" s="2500" t="s">
        <v>1073</v>
      </c>
      <c r="AE282" s="2459"/>
      <c r="AF282" s="2459"/>
      <c r="AG282" s="2508" t="str">
        <f t="shared" si="14"/>
        <v/>
      </c>
      <c r="AH282" s="2462"/>
      <c r="AI282" s="2325"/>
    </row>
    <row r="283" ht="20.25" customHeight="1">
      <c r="A283" s="2319"/>
      <c r="B283" s="2482"/>
      <c r="C283" s="2507"/>
      <c r="D283" s="2458"/>
      <c r="E283" s="2500" t="s">
        <v>590</v>
      </c>
      <c r="F283" s="2459"/>
      <c r="G283" s="2459"/>
      <c r="H283" s="2508" t="str">
        <f>IMAGE("https://raw.githubusercontent.com/msikma/pokesprite/master/misc/types/gen8/fighting.png",4,20,20)</f>
        <v/>
      </c>
      <c r="I283" s="2470"/>
      <c r="J283" s="2500" t="s">
        <v>547</v>
      </c>
      <c r="K283" s="2459"/>
      <c r="L283" s="2459"/>
      <c r="M283" s="2508" t="str">
        <f>IMAGE("https://raw.githubusercontent.com/msikma/pokesprite/master/misc/types/gen8/electric.png",4,20,20)</f>
        <v/>
      </c>
      <c r="N283" s="2470"/>
      <c r="O283" s="2500" t="s">
        <v>578</v>
      </c>
      <c r="P283" s="2459"/>
      <c r="Q283" s="2459"/>
      <c r="R283" s="2508" t="str">
        <f>IMAGE("https://raw.githubusercontent.com/msikma/pokesprite/master/misc/types/gen8/electric.png",4,20,20)</f>
        <v/>
      </c>
      <c r="S283" s="2470"/>
      <c r="T283" s="2500" t="s">
        <v>974</v>
      </c>
      <c r="U283" s="2459"/>
      <c r="V283" s="2459"/>
      <c r="W283" s="2508" t="str">
        <f>IMAGE("https://raw.githubusercontent.com/msikma/pokesprite/master/misc/types/gen8/water.png",4,20,20)</f>
        <v/>
      </c>
      <c r="Y283" s="2500" t="s">
        <v>958</v>
      </c>
      <c r="Z283" s="2459"/>
      <c r="AA283" s="2459"/>
      <c r="AB283" s="2508" t="str">
        <f>IMAGE("https://raw.githubusercontent.com/msikma/pokesprite/master/misc/types/gen8/normal.png",4,20,20)</f>
        <v/>
      </c>
      <c r="AD283" s="2500" t="s">
        <v>499</v>
      </c>
      <c r="AE283" s="2459"/>
      <c r="AF283" s="2459"/>
      <c r="AG283" s="2508" t="str">
        <f>IMAGE("https://raw.githubusercontent.com/msikma/pokesprite/master/misc/types/gen8/grass.png",4,20,20)</f>
        <v/>
      </c>
      <c r="AH283" s="2462"/>
      <c r="AI283" s="2325"/>
    </row>
    <row r="284" ht="21.0" customHeight="1">
      <c r="A284" s="2319"/>
      <c r="B284" s="2482"/>
      <c r="C284" s="2507"/>
      <c r="D284" s="2458"/>
      <c r="E284" s="2509" t="s">
        <v>543</v>
      </c>
      <c r="F284" s="2510"/>
      <c r="G284" s="2510"/>
      <c r="H284" s="2511" t="str">
        <f>IMAGE("https://raw.githubusercontent.com/msikma/pokesprite/master/misc/types/gen8/grass.png",4,20,20)</f>
        <v/>
      </c>
      <c r="I284" s="2470"/>
      <c r="J284" s="2509" t="s">
        <v>742</v>
      </c>
      <c r="K284" s="2510"/>
      <c r="L284" s="2510"/>
      <c r="M284" s="2511" t="str">
        <f>IMAGE("https://raw.githubusercontent.com/msikma/pokesprite/master/misc/types/gen8/grass.png",4,20,20)</f>
        <v/>
      </c>
      <c r="N284" s="2498"/>
      <c r="O284" s="2509" t="s">
        <v>742</v>
      </c>
      <c r="P284" s="2510"/>
      <c r="Q284" s="2510"/>
      <c r="R284" s="2511" t="str">
        <f>IMAGE("https://raw.githubusercontent.com/msikma/pokesprite/master/misc/types/gen8/grass.png",4,20,20)</f>
        <v/>
      </c>
      <c r="S284" s="2470"/>
      <c r="T284" s="2509" t="s">
        <v>612</v>
      </c>
      <c r="U284" s="2510"/>
      <c r="V284" s="2510"/>
      <c r="W284" s="2511" t="str">
        <f>IMAGE("https://raw.githubusercontent.com/msikma/pokesprite/master/misc/types/gen8/bug.png",4,20,20)</f>
        <v/>
      </c>
      <c r="X284" s="2512"/>
      <c r="Y284" s="2509" t="s">
        <v>1020</v>
      </c>
      <c r="Z284" s="2510"/>
      <c r="AA284" s="2510"/>
      <c r="AB284" s="2511" t="str">
        <f>IMAGE("https://raw.githubusercontent.com/msikma/pokesprite/master/misc/types/gen8/fire.png",4,20,20)</f>
        <v/>
      </c>
      <c r="AC284" s="2512"/>
      <c r="AD284" s="2509" t="s">
        <v>549</v>
      </c>
      <c r="AE284" s="2510"/>
      <c r="AF284" s="2510"/>
      <c r="AG284" s="2511" t="str">
        <f>IMAGE("https://raw.githubusercontent.com/msikma/pokesprite/master/misc/types/gen8/ground.png",4,20,20)</f>
        <v/>
      </c>
      <c r="AH284" s="2462"/>
      <c r="AI284" s="2325"/>
    </row>
    <row r="285" ht="3.0" customHeight="1">
      <c r="A285" s="2394"/>
      <c r="B285" s="2514"/>
      <c r="C285" s="2515"/>
      <c r="D285" s="2516"/>
      <c r="E285" s="2517"/>
      <c r="F285" s="2517"/>
      <c r="G285" s="2517"/>
      <c r="H285" s="2593"/>
      <c r="I285" s="2516"/>
      <c r="J285" s="2517"/>
      <c r="K285" s="2517"/>
      <c r="L285" s="2517"/>
      <c r="M285" s="2517"/>
      <c r="N285" s="2516"/>
      <c r="O285" s="2517"/>
      <c r="P285" s="2517"/>
      <c r="Q285" s="2517"/>
      <c r="R285" s="2593"/>
      <c r="S285" s="2516"/>
      <c r="T285" s="2517"/>
      <c r="U285" s="2517"/>
      <c r="V285" s="2517"/>
      <c r="W285" s="2593"/>
      <c r="X285" s="2516"/>
      <c r="Y285" s="2517"/>
      <c r="Z285" s="2517"/>
      <c r="AA285" s="2517"/>
      <c r="AB285" s="2593"/>
      <c r="AC285" s="2519"/>
      <c r="AD285" s="2517"/>
      <c r="AE285" s="2517"/>
      <c r="AF285" s="2517"/>
      <c r="AG285" s="2593"/>
      <c r="AH285" s="2520"/>
      <c r="AI285" s="2402"/>
    </row>
    <row r="286" ht="16.5" customHeight="1">
      <c r="A286" s="2326"/>
      <c r="B286" s="2521"/>
      <c r="C286" s="2515"/>
      <c r="D286" s="2522"/>
      <c r="E286" s="2523" t="s">
        <v>512</v>
      </c>
      <c r="F286" s="606"/>
      <c r="G286" s="606"/>
      <c r="H286" s="607"/>
      <c r="I286" s="2594"/>
      <c r="J286" s="2523" t="s">
        <v>512</v>
      </c>
      <c r="K286" s="606"/>
      <c r="L286" s="606"/>
      <c r="M286" s="607"/>
      <c r="N286" s="2595"/>
      <c r="O286" s="2523" t="s">
        <v>512</v>
      </c>
      <c r="P286" s="606"/>
      <c r="Q286" s="606"/>
      <c r="R286" s="607"/>
      <c r="S286" s="2595"/>
      <c r="T286" s="2523" t="s">
        <v>512</v>
      </c>
      <c r="U286" s="606"/>
      <c r="V286" s="606"/>
      <c r="W286" s="607"/>
      <c r="X286" s="2612"/>
      <c r="Y286" s="2523" t="s">
        <v>512</v>
      </c>
      <c r="Z286" s="606"/>
      <c r="AA286" s="606"/>
      <c r="AB286" s="607"/>
      <c r="AC286" s="2612"/>
      <c r="AD286" s="2523" t="s">
        <v>512</v>
      </c>
      <c r="AE286" s="606"/>
      <c r="AF286" s="606"/>
      <c r="AG286" s="607"/>
      <c r="AH286" s="2613"/>
      <c r="AI286" s="2411"/>
    </row>
    <row r="287" ht="16.5" customHeight="1">
      <c r="A287" s="2326"/>
      <c r="B287" s="2521"/>
      <c r="C287" s="2515"/>
      <c r="D287" s="2522"/>
      <c r="E287" s="2530" t="s">
        <v>513</v>
      </c>
      <c r="F287" s="2531">
        <f t="array" ref="F287">IFERROR(VLOOKUP(E274,Dex!$B$3:$N422,8,FALSE),"")</f>
        <v>60</v>
      </c>
      <c r="G287" s="2532" t="str">
        <f t="array" ref="G287">IFERROR(VLOOKUP(F287,Dex!$P$22:$Q$276,2,FALSE),"")</f>
        <v/>
      </c>
      <c r="H287" s="2533"/>
      <c r="I287" s="2597"/>
      <c r="J287" s="2530" t="s">
        <v>513</v>
      </c>
      <c r="K287" s="2531">
        <f t="array" ref="K287">IFERROR(VLOOKUP(J274,Dex!$B$3:$N422,8,FALSE),"")</f>
        <v>109</v>
      </c>
      <c r="L287" s="2532" t="str">
        <f t="array" ref="L287">IFERROR(VLOOKUP(K287,Dex!$P$22:$Q$276,2,FALSE),"")</f>
        <v/>
      </c>
      <c r="M287" s="2533"/>
      <c r="N287" s="2598"/>
      <c r="O287" s="2530" t="s">
        <v>513</v>
      </c>
      <c r="P287" s="2531">
        <f t="array" ref="P287">IFERROR(VLOOKUP(O274,Dex!$B$3:$N422,8,FALSE),"")</f>
        <v>70</v>
      </c>
      <c r="Q287" s="2532" t="str">
        <f t="array" ref="Q287">IFERROR(VLOOKUP(P287,Dex!$P$22:$Q$276,2,FALSE),"")</f>
        <v/>
      </c>
      <c r="R287" s="2533"/>
      <c r="S287" s="2598"/>
      <c r="T287" s="2530" t="s">
        <v>513</v>
      </c>
      <c r="U287" s="2531">
        <f t="array" ref="U287">IFERROR(VLOOKUP(T274,Dex!$B$3:$N422,8,FALSE),"")</f>
        <v>100</v>
      </c>
      <c r="V287" s="2532" t="str">
        <f t="array" ref="V287">IFERROR(VLOOKUP(U287,Dex!$P$22:$Q$276,2,FALSE),"")</f>
        <v/>
      </c>
      <c r="W287" s="2533"/>
      <c r="X287" s="2614"/>
      <c r="Y287" s="2530" t="s">
        <v>513</v>
      </c>
      <c r="Z287" s="2531">
        <f t="array" ref="Z287">IFERROR(VLOOKUP(Y274,Dex!$B$3:$N422,8,FALSE),"")</f>
        <v>50</v>
      </c>
      <c r="AA287" s="2532" t="str">
        <f t="array" ref="AA287">IFERROR(VLOOKUP(Z287,Dex!$P$22:$Q$276,2,FALSE),"")</f>
        <v/>
      </c>
      <c r="AB287" s="2533"/>
      <c r="AC287" s="2614"/>
      <c r="AD287" s="2530" t="s">
        <v>513</v>
      </c>
      <c r="AE287" s="2531">
        <f t="array" ref="AE287">IFERROR(VLOOKUP(AD274,Dex!$B$3:$N422,8,FALSE),"")</f>
        <v>70</v>
      </c>
      <c r="AF287" s="2532" t="str">
        <f t="array" ref="AF287">IFERROR(VLOOKUP(AE287,Dex!$P$22:$Q$276,2,FALSE),"")</f>
        <v/>
      </c>
      <c r="AG287" s="2533"/>
      <c r="AH287" s="2615"/>
      <c r="AI287" s="2411"/>
    </row>
    <row r="288" ht="16.5" customHeight="1">
      <c r="A288" s="2326"/>
      <c r="B288" s="2521"/>
      <c r="C288" s="2515"/>
      <c r="D288" s="2522"/>
      <c r="E288" s="2537" t="s">
        <v>514</v>
      </c>
      <c r="F288" s="2538">
        <f t="array" ref="F288">IFERROR(VLOOKUP(E274,Dex!$B$3:$N422,9,FALSE),"")</f>
        <v>65</v>
      </c>
      <c r="G288" s="2539" t="str">
        <f t="array" ref="G288">IFERROR(VLOOKUP(F288,Dex!$P$22:$Q$276,2,FALSE),"")</f>
        <v/>
      </c>
      <c r="H288" s="2540"/>
      <c r="I288" s="2597"/>
      <c r="J288" s="2537" t="s">
        <v>514</v>
      </c>
      <c r="K288" s="2538">
        <f t="array" ref="K288">IFERROR(VLOOKUP(J274,Dex!$B$3:$N422,9,FALSE),"")</f>
        <v>53</v>
      </c>
      <c r="L288" s="2539" t="str">
        <f t="array" ref="L288">IFERROR(VLOOKUP(K288,Dex!$P$22:$Q$276,2,FALSE),"")</f>
        <v/>
      </c>
      <c r="M288" s="2540"/>
      <c r="N288" s="2598"/>
      <c r="O288" s="2537" t="s">
        <v>514</v>
      </c>
      <c r="P288" s="2538">
        <f t="array" ref="P288">IFERROR(VLOOKUP(O274,Dex!$B$3:$N422,9,FALSE),"")</f>
        <v>115</v>
      </c>
      <c r="Q288" s="2539" t="str">
        <f t="array" ref="Q288">IFERROR(VLOOKUP(P288,Dex!$P$22:$Q$276,2,FALSE),"")</f>
        <v/>
      </c>
      <c r="R288" s="2540"/>
      <c r="S288" s="2598"/>
      <c r="T288" s="2537" t="s">
        <v>514</v>
      </c>
      <c r="U288" s="2538">
        <f t="array" ref="U288">IFERROR(VLOOKUP(T274,Dex!$B$3:$N422,9,FALSE),"")</f>
        <v>130</v>
      </c>
      <c r="V288" s="2539" t="str">
        <f t="array" ref="V288">IFERROR(VLOOKUP(U288,Dex!$P$22:$Q$276,2,FALSE),"")</f>
        <v/>
      </c>
      <c r="W288" s="2540"/>
      <c r="X288" s="2614"/>
      <c r="Y288" s="2537" t="s">
        <v>514</v>
      </c>
      <c r="Z288" s="2538">
        <f t="array" ref="Z288">IFERROR(VLOOKUP(Y274,Dex!$B$3:$N422,9,FALSE),"")</f>
        <v>180</v>
      </c>
      <c r="AA288" s="2539" t="str">
        <f t="array" ref="AA288">IFERROR(VLOOKUP(Z288,Dex!$P$22:$Q$276,2,FALSE),"")</f>
        <v/>
      </c>
      <c r="AB288" s="2540"/>
      <c r="AC288" s="2614"/>
      <c r="AD288" s="2537" t="s">
        <v>514</v>
      </c>
      <c r="AE288" s="2538">
        <f t="array" ref="AE288">IFERROR(VLOOKUP(AD274,Dex!$B$3:$N422,9,FALSE),"")</f>
        <v>135</v>
      </c>
      <c r="AF288" s="2539" t="str">
        <f t="array" ref="AF288">IFERROR(VLOOKUP(AE288,Dex!$P$22:$Q$276,2,FALSE),"")</f>
        <v/>
      </c>
      <c r="AG288" s="2540"/>
      <c r="AH288" s="2615"/>
      <c r="AI288" s="2411"/>
    </row>
    <row r="289" ht="16.5" customHeight="1">
      <c r="A289" s="2326"/>
      <c r="B289" s="2521"/>
      <c r="C289" s="2515"/>
      <c r="D289" s="2522"/>
      <c r="E289" s="2537" t="s">
        <v>515</v>
      </c>
      <c r="F289" s="2538">
        <f t="array" ref="F289">IFERROR(VLOOKUP(E274,Dex!$B$3:$N422,10,FALSE),"")</f>
        <v>60</v>
      </c>
      <c r="G289" s="2539" t="str">
        <f t="array" ref="G289">IFERROR(VLOOKUP(F289,Dex!$P$22:$Q$276,2,FALSE),"")</f>
        <v/>
      </c>
      <c r="H289" s="2540"/>
      <c r="I289" s="2597"/>
      <c r="J289" s="2537" t="s">
        <v>515</v>
      </c>
      <c r="K289" s="2538">
        <f t="array" ref="K289">IFERROR(VLOOKUP(J274,Dex!$B$3:$N422,10,FALSE),"")</f>
        <v>47</v>
      </c>
      <c r="L289" s="2539" t="str">
        <f t="array" ref="L289">IFERROR(VLOOKUP(K289,Dex!$P$22:$Q$276,2,FALSE),"")</f>
        <v/>
      </c>
      <c r="M289" s="2540"/>
      <c r="N289" s="2598"/>
      <c r="O289" s="2537" t="s">
        <v>515</v>
      </c>
      <c r="P289" s="2538">
        <f t="array" ref="P289">IFERROR(VLOOKUP(O274,Dex!$B$3:$N422,10,FALSE),"")</f>
        <v>85</v>
      </c>
      <c r="Q289" s="2539" t="str">
        <f t="array" ref="Q289">IFERROR(VLOOKUP(P289,Dex!$P$22:$Q$276,2,FALSE),"")</f>
        <v/>
      </c>
      <c r="R289" s="2540"/>
      <c r="S289" s="2598"/>
      <c r="T289" s="2537" t="s">
        <v>515</v>
      </c>
      <c r="U289" s="2538">
        <f t="array" ref="U289">IFERROR(VLOOKUP(T274,Dex!$B$3:$N422,10,FALSE),"")</f>
        <v>100</v>
      </c>
      <c r="V289" s="2539" t="str">
        <f t="array" ref="V289">IFERROR(VLOOKUP(U289,Dex!$P$22:$Q$276,2,FALSE),"")</f>
        <v/>
      </c>
      <c r="W289" s="2540"/>
      <c r="X289" s="2614"/>
      <c r="Y289" s="2537" t="s">
        <v>515</v>
      </c>
      <c r="Z289" s="2538">
        <f t="array" ref="Z289">IFERROR(VLOOKUP(Y274,Dex!$B$3:$N422,10,FALSE),"")</f>
        <v>20</v>
      </c>
      <c r="AA289" s="2539" t="str">
        <f t="array" ref="AA289">IFERROR(VLOOKUP(Z289,Dex!$P$22:$Q$276,2,FALSE),"")</f>
        <v/>
      </c>
      <c r="AB289" s="2540"/>
      <c r="AC289" s="2614"/>
      <c r="AD289" s="2537" t="s">
        <v>515</v>
      </c>
      <c r="AE289" s="2538">
        <f t="array" ref="AE289">IFERROR(VLOOKUP(AD274,Dex!$B$3:$N422,10,FALSE),"")</f>
        <v>75</v>
      </c>
      <c r="AF289" s="2539" t="str">
        <f t="array" ref="AF289">IFERROR(VLOOKUP(AE289,Dex!$P$22:$Q$276,2,FALSE),"")</f>
        <v/>
      </c>
      <c r="AG289" s="2540"/>
      <c r="AH289" s="2615"/>
      <c r="AI289" s="2411"/>
    </row>
    <row r="290" ht="16.5" customHeight="1">
      <c r="A290" s="2326"/>
      <c r="B290" s="2521"/>
      <c r="C290" s="2515"/>
      <c r="D290" s="2522"/>
      <c r="E290" s="2537" t="s">
        <v>516</v>
      </c>
      <c r="F290" s="2538">
        <f t="array" ref="F290">IFERROR(VLOOKUP(E274,Dex!$B$3:$N422,11,FALSE),"")</f>
        <v>130</v>
      </c>
      <c r="G290" s="2539" t="str">
        <f t="array" ref="G290">IFERROR(VLOOKUP(F290,Dex!$P$22:$Q$276,2,FALSE),"")</f>
        <v/>
      </c>
      <c r="H290" s="2540"/>
      <c r="I290" s="2597"/>
      <c r="J290" s="2537" t="s">
        <v>516</v>
      </c>
      <c r="K290" s="2538">
        <f t="array" ref="K290">IFERROR(VLOOKUP(J274,Dex!$B$3:$N422,11,FALSE),"")</f>
        <v>127</v>
      </c>
      <c r="L290" s="2539" t="str">
        <f t="array" ref="L290">IFERROR(VLOOKUP(K290,Dex!$P$22:$Q$276,2,FALSE),"")</f>
        <v/>
      </c>
      <c r="M290" s="2540"/>
      <c r="N290" s="2598"/>
      <c r="O290" s="2537" t="s">
        <v>516</v>
      </c>
      <c r="P290" s="2538">
        <f t="array" ref="P290">IFERROR(VLOOKUP(O274,Dex!$B$3:$N422,11,FALSE),"")</f>
        <v>95</v>
      </c>
      <c r="Q290" s="2539" t="str">
        <f t="array" ref="Q290">IFERROR(VLOOKUP(P290,Dex!$P$22:$Q$276,2,FALSE),"")</f>
        <v/>
      </c>
      <c r="R290" s="2540"/>
      <c r="S290" s="2598"/>
      <c r="T290" s="2537" t="s">
        <v>516</v>
      </c>
      <c r="U290" s="2538">
        <f t="array" ref="U290">IFERROR(VLOOKUP(T274,Dex!$B$3:$N422,11,FALSE),"")</f>
        <v>63</v>
      </c>
      <c r="V290" s="2539" t="str">
        <f t="array" ref="V290">IFERROR(VLOOKUP(U290,Dex!$P$22:$Q$276,2,FALSE),"")</f>
        <v/>
      </c>
      <c r="W290" s="2540"/>
      <c r="X290" s="2614"/>
      <c r="Y290" s="2537" t="s">
        <v>516</v>
      </c>
      <c r="Z290" s="2538">
        <f t="array" ref="Z290">IFERROR(VLOOKUP(Y274,Dex!$B$3:$N422,11,FALSE),"")</f>
        <v>180</v>
      </c>
      <c r="AA290" s="2539" t="str">
        <f t="array" ref="AA290">IFERROR(VLOOKUP(Z290,Dex!$P$22:$Q$276,2,FALSE),"")</f>
        <v/>
      </c>
      <c r="AB290" s="2540"/>
      <c r="AC290" s="2614"/>
      <c r="AD290" s="2537" t="s">
        <v>516</v>
      </c>
      <c r="AE290" s="2538">
        <f t="array" ref="AE290">IFERROR(VLOOKUP(AD274,Dex!$B$3:$N422,11,FALSE),"")</f>
        <v>110</v>
      </c>
      <c r="AF290" s="2539" t="str">
        <f t="array" ref="AF290">IFERROR(VLOOKUP(AE290,Dex!$P$22:$Q$276,2,FALSE),"")</f>
        <v/>
      </c>
      <c r="AG290" s="2540"/>
      <c r="AH290" s="2615"/>
      <c r="AI290" s="2411"/>
    </row>
    <row r="291" ht="16.5" customHeight="1">
      <c r="A291" s="2326"/>
      <c r="B291" s="2521"/>
      <c r="C291" s="2515"/>
      <c r="D291" s="2522"/>
      <c r="E291" s="2537" t="s">
        <v>517</v>
      </c>
      <c r="F291" s="2538">
        <f t="array" ref="F291">IFERROR(VLOOKUP(E274,Dex!$B$3:$N422,12,FALSE),"")</f>
        <v>75</v>
      </c>
      <c r="G291" s="2539" t="str">
        <f t="array" ref="G291">IFERROR(VLOOKUP(F291,Dex!$P$22:$Q$276,2,FALSE),"")</f>
        <v/>
      </c>
      <c r="H291" s="2540"/>
      <c r="I291" s="2597"/>
      <c r="J291" s="2537" t="s">
        <v>517</v>
      </c>
      <c r="K291" s="2538">
        <f t="array" ref="K291">IFERROR(VLOOKUP(J274,Dex!$B$3:$N422,12,FALSE),"")</f>
        <v>131</v>
      </c>
      <c r="L291" s="2539" t="str">
        <f t="array" ref="L291">IFERROR(VLOOKUP(K291,Dex!$P$22:$Q$276,2,FALSE),"")</f>
        <v/>
      </c>
      <c r="M291" s="2540"/>
      <c r="N291" s="2598"/>
      <c r="O291" s="2537" t="s">
        <v>517</v>
      </c>
      <c r="P291" s="2538">
        <f t="array" ref="P291">IFERROR(VLOOKUP(O274,Dex!$B$3:$N422,12,FALSE),"")</f>
        <v>75</v>
      </c>
      <c r="Q291" s="2539" t="str">
        <f t="array" ref="Q291">IFERROR(VLOOKUP(P291,Dex!$P$22:$Q$276,2,FALSE),"")</f>
        <v/>
      </c>
      <c r="R291" s="2540"/>
      <c r="S291" s="2598"/>
      <c r="T291" s="2537" t="s">
        <v>517</v>
      </c>
      <c r="U291" s="2538">
        <f t="array" ref="U291">IFERROR(VLOOKUP(T274,Dex!$B$3:$N422,12,FALSE),"")</f>
        <v>60</v>
      </c>
      <c r="V291" s="2539" t="str">
        <f t="array" ref="V291">IFERROR(VLOOKUP(U291,Dex!$P$22:$Q$276,2,FALSE),"")</f>
        <v/>
      </c>
      <c r="W291" s="2540"/>
      <c r="X291" s="2614"/>
      <c r="Y291" s="2537" t="s">
        <v>517</v>
      </c>
      <c r="Z291" s="2538">
        <f t="array" ref="Z291">IFERROR(VLOOKUP(Y274,Dex!$B$3:$N422,12,FALSE),"")</f>
        <v>20</v>
      </c>
      <c r="AA291" s="2539" t="str">
        <f t="array" ref="AA291">IFERROR(VLOOKUP(Z291,Dex!$P$22:$Q$276,2,FALSE),"")</f>
        <v/>
      </c>
      <c r="AB291" s="2540"/>
      <c r="AC291" s="2614"/>
      <c r="AD291" s="2537" t="s">
        <v>517</v>
      </c>
      <c r="AE291" s="2538">
        <f t="array" ref="AE291">IFERROR(VLOOKUP(AD274,Dex!$B$3:$N422,12,FALSE),"")</f>
        <v>85</v>
      </c>
      <c r="AF291" s="2539" t="str">
        <f t="array" ref="AF291">IFERROR(VLOOKUP(AE291,Dex!$P$22:$Q$276,2,FALSE),"")</f>
        <v/>
      </c>
      <c r="AG291" s="2540"/>
      <c r="AH291" s="2615"/>
      <c r="AI291" s="2411"/>
    </row>
    <row r="292" ht="15.75" customHeight="1">
      <c r="A292" s="2326"/>
      <c r="B292" s="2521"/>
      <c r="C292" s="1426" t="s">
        <v>745</v>
      </c>
      <c r="D292" s="2522"/>
      <c r="E292" s="2541" t="s">
        <v>518</v>
      </c>
      <c r="F292" s="2542">
        <f t="array" ref="F292">IFERROR(VLOOKUP(E274,Dex!$B$3:$N422,13,FALSE),"")</f>
        <v>110</v>
      </c>
      <c r="G292" s="2543" t="str">
        <f t="array" ref="G292">IFERROR(VLOOKUP(F292,Dex!$P$22:$Q$276,2,FALSE),"")</f>
        <v/>
      </c>
      <c r="H292" s="2544"/>
      <c r="I292" s="2597"/>
      <c r="J292" s="2541" t="s">
        <v>518</v>
      </c>
      <c r="K292" s="2542">
        <f t="array" ref="K292">IFERROR(VLOOKUP(J274,Dex!$B$3:$N422,13,FALSE),"")</f>
        <v>103</v>
      </c>
      <c r="L292" s="2543" t="str">
        <f t="array" ref="L292">IFERROR(VLOOKUP(K292,Dex!$P$22:$Q$276,2,FALSE),"")</f>
        <v/>
      </c>
      <c r="M292" s="2544"/>
      <c r="N292" s="2598"/>
      <c r="O292" s="2541" t="s">
        <v>518</v>
      </c>
      <c r="P292" s="2542">
        <f t="array" ref="P292">IFERROR(VLOOKUP(O274,Dex!$B$3:$N422,13,FALSE),"")</f>
        <v>130</v>
      </c>
      <c r="Q292" s="2543" t="str">
        <f t="array" ref="Q292">IFERROR(VLOOKUP(P292,Dex!$P$22:$Q$276,2,FALSE),"")</f>
        <v/>
      </c>
      <c r="R292" s="2544"/>
      <c r="S292" s="2598"/>
      <c r="T292" s="2541" t="s">
        <v>518</v>
      </c>
      <c r="U292" s="2542">
        <f t="array" ref="U292">IFERROR(VLOOKUP(T274,Dex!$B$3:$N422,13,FALSE),"")</f>
        <v>97</v>
      </c>
      <c r="V292" s="2543" t="str">
        <f t="array" ref="V292">IFERROR(VLOOKUP(U292,Dex!$P$22:$Q$276,2,FALSE),"")</f>
        <v/>
      </c>
      <c r="W292" s="2544"/>
      <c r="X292" s="2614"/>
      <c r="Y292" s="2541" t="s">
        <v>518</v>
      </c>
      <c r="Z292" s="2542">
        <f t="array" ref="Z292">IFERROR(VLOOKUP(Y274,Dex!$B$3:$N422,13,FALSE),"")</f>
        <v>150</v>
      </c>
      <c r="AA292" s="2543" t="str">
        <f t="array" ref="AA292">IFERROR(VLOOKUP(Z292,Dex!$P$22:$Q$276,2,FALSE),"")</f>
        <v/>
      </c>
      <c r="AB292" s="2544"/>
      <c r="AC292" s="2614"/>
      <c r="AD292" s="2541" t="s">
        <v>518</v>
      </c>
      <c r="AE292" s="2542">
        <f t="array" ref="AE292">IFERROR(VLOOKUP(AD274,Dex!$B$3:$N422,13,FALSE),"")</f>
        <v>145</v>
      </c>
      <c r="AF292" s="2543" t="str">
        <f t="array" ref="AF292">IFERROR(VLOOKUP(AE292,Dex!$P$22:$Q$276,2,FALSE),"")</f>
        <v/>
      </c>
      <c r="AG292" s="2544"/>
      <c r="AH292" s="2615"/>
      <c r="AI292" s="2411"/>
    </row>
    <row r="293" ht="16.5" customHeight="1">
      <c r="A293" s="2326"/>
      <c r="B293" s="2521"/>
      <c r="C293" s="1427" t="s">
        <v>746</v>
      </c>
      <c r="D293" s="2522"/>
      <c r="E293" s="2545" t="s">
        <v>519</v>
      </c>
      <c r="F293" s="630"/>
      <c r="G293" s="631"/>
      <c r="H293" s="632">
        <f>ROUNDDOWN((ROUNDDOWN(((((2*F292+31)*68)/100+5)),0))*1.1,0)</f>
        <v>192</v>
      </c>
      <c r="I293" s="2594"/>
      <c r="J293" s="2545" t="s">
        <v>519</v>
      </c>
      <c r="K293" s="630"/>
      <c r="L293" s="631"/>
      <c r="M293" s="632">
        <f>ROUNDDOWN((ROUNDDOWN(((((2*K292+31)*68)/100+5)),0))*1.1,0)</f>
        <v>182</v>
      </c>
      <c r="N293" s="2595"/>
      <c r="O293" s="2545" t="s">
        <v>519</v>
      </c>
      <c r="P293" s="630"/>
      <c r="Q293" s="631"/>
      <c r="R293" s="632">
        <f>ROUNDDOWN((ROUNDDOWN(((((2*P292+31)*68)/100+5)),0))*1.1,0)</f>
        <v>222</v>
      </c>
      <c r="S293" s="2595"/>
      <c r="T293" s="2545" t="s">
        <v>519</v>
      </c>
      <c r="U293" s="630"/>
      <c r="V293" s="631"/>
      <c r="W293" s="632">
        <f>ROUNDDOWN((ROUNDDOWN(((((2*U292+31)*68)/100+5)),0))*1.1,0)</f>
        <v>173</v>
      </c>
      <c r="X293" s="2612"/>
      <c r="Y293" s="2545" t="s">
        <v>519</v>
      </c>
      <c r="Z293" s="630"/>
      <c r="AA293" s="631"/>
      <c r="AB293" s="632">
        <f>ROUNDDOWN((ROUNDDOWN(((((2*Z292+31)*68)/100+5)),0))*1.1,0)</f>
        <v>253</v>
      </c>
      <c r="AC293" s="2612"/>
      <c r="AD293" s="2545" t="s">
        <v>519</v>
      </c>
      <c r="AE293" s="630"/>
      <c r="AF293" s="631"/>
      <c r="AG293" s="632">
        <f>ROUNDDOWN((ROUNDDOWN(((((2*AE292+31)*68)/100+5)),0))*1.1,0)</f>
        <v>245</v>
      </c>
      <c r="AH293" s="2613"/>
      <c r="AI293" s="2411"/>
    </row>
    <row r="294" ht="15.0" customHeight="1">
      <c r="A294" s="2319"/>
      <c r="B294" s="2558"/>
      <c r="C294" s="2559"/>
      <c r="D294" s="2560"/>
      <c r="E294" s="2561"/>
      <c r="F294" s="2561"/>
      <c r="G294" s="2561"/>
      <c r="H294" s="2560"/>
      <c r="I294" s="2560"/>
      <c r="J294" s="2561"/>
      <c r="K294" s="2561"/>
      <c r="L294" s="2561"/>
      <c r="M294" s="2561"/>
      <c r="N294" s="2560"/>
      <c r="O294" s="2561"/>
      <c r="P294" s="2561"/>
      <c r="Q294" s="2561"/>
      <c r="R294" s="2560"/>
      <c r="S294" s="2560"/>
      <c r="T294" s="2561"/>
      <c r="U294" s="2561"/>
      <c r="V294" s="2561"/>
      <c r="W294" s="2560"/>
      <c r="X294" s="2561"/>
      <c r="Y294" s="2561"/>
      <c r="Z294" s="2561"/>
      <c r="AA294" s="2561"/>
      <c r="AB294" s="2560"/>
      <c r="AC294" s="2560"/>
      <c r="AD294" s="2561"/>
      <c r="AE294" s="2561"/>
      <c r="AF294" s="2561"/>
      <c r="AG294" s="2560"/>
      <c r="AH294" s="2562"/>
      <c r="AI294" s="2325"/>
    </row>
    <row r="295" ht="15.0" customHeight="1">
      <c r="A295" s="2319"/>
      <c r="B295" s="2616"/>
      <c r="C295" s="2617"/>
      <c r="D295" s="2618"/>
      <c r="E295" s="2619"/>
      <c r="F295" s="2619"/>
      <c r="G295" s="2619"/>
      <c r="H295" s="2619"/>
      <c r="I295" s="2618"/>
      <c r="J295" s="2619"/>
      <c r="K295" s="2619"/>
      <c r="L295" s="2619"/>
      <c r="M295" s="2619"/>
      <c r="N295" s="2618"/>
      <c r="O295" s="2619"/>
      <c r="P295" s="2619"/>
      <c r="Q295" s="2619"/>
      <c r="R295" s="2619"/>
      <c r="S295" s="2618"/>
      <c r="T295" s="2619"/>
      <c r="U295" s="2619"/>
      <c r="V295" s="2619"/>
      <c r="W295" s="2619"/>
      <c r="X295" s="2618"/>
      <c r="Y295" s="2619"/>
      <c r="Z295" s="2619"/>
      <c r="AA295" s="2619"/>
      <c r="AB295" s="2619"/>
      <c r="AC295" s="2618"/>
      <c r="AD295" s="2619"/>
      <c r="AE295" s="2619"/>
      <c r="AF295" s="2619"/>
      <c r="AG295" s="2619"/>
      <c r="AH295" s="2620"/>
      <c r="AI295" s="2325"/>
    </row>
    <row r="296">
      <c r="A296" s="2319"/>
      <c r="B296" s="2621"/>
      <c r="C296" s="2622"/>
      <c r="D296" s="2622"/>
      <c r="E296" s="2623" t="s">
        <v>1074</v>
      </c>
      <c r="F296" s="2624"/>
      <c r="G296" s="2624"/>
      <c r="H296" s="2624"/>
      <c r="I296" s="2624"/>
      <c r="J296" s="2624"/>
      <c r="K296" s="2624"/>
      <c r="L296" s="2624"/>
      <c r="M296" s="2624"/>
      <c r="N296" s="2624"/>
      <c r="O296" s="2624"/>
      <c r="P296" s="2624"/>
      <c r="Q296" s="2624"/>
      <c r="R296" s="2624"/>
      <c r="S296" s="2624"/>
      <c r="T296" s="2624"/>
      <c r="U296" s="2624"/>
      <c r="V296" s="2624"/>
      <c r="W296" s="2624"/>
      <c r="X296" s="2624"/>
      <c r="Y296" s="2624"/>
      <c r="Z296" s="2624"/>
      <c r="AA296" s="2624"/>
      <c r="AB296" s="2624"/>
      <c r="AC296" s="2624"/>
      <c r="AD296" s="2624"/>
      <c r="AE296" s="2624"/>
      <c r="AF296" s="2624"/>
      <c r="AG296" s="2625"/>
      <c r="AH296" s="2626"/>
      <c r="AI296" s="2325"/>
    </row>
    <row r="297" ht="96.75" customHeight="1">
      <c r="A297" s="2319"/>
      <c r="B297" s="2627"/>
      <c r="C297" s="2628" t="str">
        <f>IMAGE("https://i.ibb.co/5Y4g02T/May.png")</f>
        <v/>
      </c>
      <c r="D297" s="2629"/>
      <c r="E297" s="2630" t="str">
        <f t="array" ref="E297">IFERROR(VLOOKUP(E298,Dex!$B$3:$G422,3,FALSE),"")</f>
        <v/>
      </c>
      <c r="F297" s="1945"/>
      <c r="G297" s="1945"/>
      <c r="H297" s="1946"/>
      <c r="I297" s="2629"/>
      <c r="J297" s="2630" t="str">
        <f t="array" ref="J297">IFERROR(VLOOKUP(J298,Dex!$B$3:$G422,3,FALSE),"")</f>
        <v/>
      </c>
      <c r="K297" s="1945"/>
      <c r="L297" s="1945"/>
      <c r="M297" s="1946"/>
      <c r="N297" s="2629"/>
      <c r="O297" s="2630" t="str">
        <f t="array" ref="O297">IFERROR(VLOOKUP(O298,Dex!$B$3:$G422,3,FALSE),"")</f>
        <v/>
      </c>
      <c r="P297" s="1945"/>
      <c r="Q297" s="1945"/>
      <c r="R297" s="1946"/>
      <c r="S297" s="2629"/>
      <c r="T297" s="2630" t="str">
        <f t="array" ref="T297">IFERROR(VLOOKUP(T298,Dex!$B$3:$G422,3,FALSE),"")</f>
        <v/>
      </c>
      <c r="U297" s="1945"/>
      <c r="V297" s="1945"/>
      <c r="W297" s="1946"/>
      <c r="X297" s="2629"/>
      <c r="Y297" s="2630" t="str">
        <f t="array" ref="Y297">IFERROR(VLOOKUP(Y298,Dex!$B$3:$G422,3,FALSE),"")</f>
        <v/>
      </c>
      <c r="Z297" s="1945"/>
      <c r="AA297" s="1945"/>
      <c r="AB297" s="1946"/>
      <c r="AC297" s="2629"/>
      <c r="AD297" s="2630" t="str">
        <f t="array" ref="AD297">IFERROR(VLOOKUP(AD298,Dex!$B$3:$G422,3,FALSE),"")</f>
        <v/>
      </c>
      <c r="AE297" s="1945"/>
      <c r="AF297" s="1945"/>
      <c r="AG297" s="1946"/>
      <c r="AH297" s="2631"/>
      <c r="AI297" s="2325"/>
    </row>
    <row r="298" ht="18.75" customHeight="1">
      <c r="A298" s="2347"/>
      <c r="B298" s="2632"/>
      <c r="C298" s="2633" t="s">
        <v>1075</v>
      </c>
      <c r="D298" s="2634"/>
      <c r="E298" s="2635" t="s">
        <v>1076</v>
      </c>
      <c r="F298" s="2636"/>
      <c r="G298" s="2636"/>
      <c r="H298" s="2637"/>
      <c r="I298" s="2634"/>
      <c r="J298" s="2635" t="s">
        <v>1046</v>
      </c>
      <c r="K298" s="2636"/>
      <c r="L298" s="2636"/>
      <c r="M298" s="2637"/>
      <c r="N298" s="2634"/>
      <c r="O298" s="2635" t="s">
        <v>1077</v>
      </c>
      <c r="P298" s="2636"/>
      <c r="Q298" s="2636"/>
      <c r="R298" s="2637"/>
      <c r="S298" s="2634"/>
      <c r="T298" s="2635" t="s">
        <v>1078</v>
      </c>
      <c r="U298" s="2636"/>
      <c r="V298" s="2636"/>
      <c r="W298" s="2637"/>
      <c r="X298" s="2634"/>
      <c r="Y298" s="2635" t="s">
        <v>1079</v>
      </c>
      <c r="Z298" s="2636"/>
      <c r="AA298" s="2636"/>
      <c r="AB298" s="2637"/>
      <c r="AC298" s="2634"/>
      <c r="AD298" s="2635" t="s">
        <v>1080</v>
      </c>
      <c r="AE298" s="2636"/>
      <c r="AF298" s="2636"/>
      <c r="AG298" s="2637"/>
      <c r="AH298" s="2638"/>
      <c r="AI298" s="2357"/>
    </row>
    <row r="299">
      <c r="A299" s="2473"/>
      <c r="B299" s="2639"/>
      <c r="C299" s="556"/>
      <c r="D299" s="2640"/>
      <c r="E299" s="2641">
        <v>73.0</v>
      </c>
      <c r="F299" s="2642"/>
      <c r="G299" s="2642"/>
      <c r="H299" s="2643"/>
      <c r="I299" s="2644"/>
      <c r="J299" s="2641">
        <v>73.0</v>
      </c>
      <c r="K299" s="2642"/>
      <c r="L299" s="2642"/>
      <c r="M299" s="2643"/>
      <c r="N299" s="2644"/>
      <c r="O299" s="2641">
        <v>73.0</v>
      </c>
      <c r="P299" s="2642"/>
      <c r="Q299" s="2642"/>
      <c r="R299" s="2643"/>
      <c r="S299" s="2644"/>
      <c r="T299" s="2641">
        <v>73.0</v>
      </c>
      <c r="U299" s="2642"/>
      <c r="V299" s="2642"/>
      <c r="W299" s="2643"/>
      <c r="X299" s="2644"/>
      <c r="Y299" s="2641">
        <v>73.0</v>
      </c>
      <c r="Z299" s="2642"/>
      <c r="AA299" s="2642"/>
      <c r="AB299" s="2643"/>
      <c r="AC299" s="2644"/>
      <c r="AD299" s="2641">
        <v>73.0</v>
      </c>
      <c r="AE299" s="2642"/>
      <c r="AF299" s="2642"/>
      <c r="AG299" s="2643"/>
      <c r="AH299" s="2645"/>
      <c r="AI299" s="2481"/>
    </row>
    <row r="300" ht="25.5" customHeight="1">
      <c r="A300" s="2319"/>
      <c r="B300" s="2646"/>
      <c r="C300" s="2647"/>
      <c r="D300" s="2648"/>
      <c r="E300" s="2649"/>
      <c r="F300" s="2650" t="str">
        <f t="array" ref="F300">IFERROR(VLOOKUP(E298,Dex!$B$3:$H422,5,FALSE),"")</f>
        <v/>
      </c>
      <c r="G300" s="2651" t="str">
        <f t="array" ref="G300">IFERROR(VLOOKUP(E298,Dex!$B$3:$H422,7,FALSE),"")</f>
        <v/>
      </c>
      <c r="H300" s="2652"/>
      <c r="I300" s="2653"/>
      <c r="J300" s="2649"/>
      <c r="K300" s="2650" t="str">
        <f t="array" ref="K300">IFERROR(VLOOKUP(J298,Dex!$B$3:$H422,5,FALSE),"")</f>
        <v/>
      </c>
      <c r="L300" s="2651" t="str">
        <f t="array" ref="L300">IFERROR(VLOOKUP(J298,Dex!$B$3:$H422,7,FALSE),"")</f>
        <v/>
      </c>
      <c r="M300" s="2652"/>
      <c r="N300" s="2653"/>
      <c r="O300" s="2649"/>
      <c r="P300" s="2654" t="str">
        <f t="array" ref="P300">IFERROR(VLOOKUP(O298,Dex!$B$3:$H422,5,FALSE),"")</f>
        <v/>
      </c>
      <c r="Q300" s="2655"/>
      <c r="R300" s="2652"/>
      <c r="S300" s="2653"/>
      <c r="T300" s="2649"/>
      <c r="U300" s="2650" t="str">
        <f t="array" ref="U300">IFERROR(VLOOKUP(T298,Dex!$B$3:$H422,5,FALSE),"")</f>
        <v/>
      </c>
      <c r="V300" s="2651" t="str">
        <f t="array" ref="V300">IFERROR(VLOOKUP(T298,Dex!$B$3:$H422,7,FALSE),"")</f>
        <v/>
      </c>
      <c r="W300" s="2652"/>
      <c r="X300" s="2653"/>
      <c r="Y300" s="2649"/>
      <c r="Z300" s="2654" t="str">
        <f t="array" ref="Z300">IFERROR(VLOOKUP(Y298,Dex!$B$3:$H422,5,FALSE),"")</f>
        <v/>
      </c>
      <c r="AA300" s="2655"/>
      <c r="AB300" s="2652"/>
      <c r="AC300" s="2653"/>
      <c r="AD300" s="2649"/>
      <c r="AE300" s="2650" t="str">
        <f t="array" ref="AE300">IFERROR(VLOOKUP(AD298,Dex!$B$3:$H422,5,FALSE),"")</f>
        <v/>
      </c>
      <c r="AF300" s="2651" t="str">
        <f t="array" ref="AF300">IFERROR(VLOOKUP(AD298,Dex!$B$3:$H422,7,FALSE),"")</f>
        <v/>
      </c>
      <c r="AG300" s="2652"/>
      <c r="AH300" s="2631"/>
      <c r="AI300" s="2325"/>
    </row>
    <row r="301" ht="2.25" customHeight="1">
      <c r="A301" s="2319"/>
      <c r="B301" s="2646"/>
      <c r="C301" s="2656"/>
      <c r="D301" s="2648"/>
      <c r="E301" s="2657"/>
      <c r="F301" s="2658"/>
      <c r="G301" s="2658"/>
      <c r="H301" s="2659"/>
      <c r="I301" s="2653"/>
      <c r="J301" s="2657"/>
      <c r="K301" s="2658"/>
      <c r="L301" s="2658"/>
      <c r="M301" s="2659"/>
      <c r="N301" s="2653"/>
      <c r="O301" s="2657"/>
      <c r="P301" s="2658"/>
      <c r="Q301" s="2658"/>
      <c r="R301" s="2659"/>
      <c r="S301" s="2653"/>
      <c r="T301" s="2657"/>
      <c r="U301" s="2658"/>
      <c r="V301" s="2658"/>
      <c r="W301" s="2659"/>
      <c r="X301" s="2653"/>
      <c r="Y301" s="2657"/>
      <c r="Z301" s="2658"/>
      <c r="AA301" s="2658"/>
      <c r="AB301" s="2659"/>
      <c r="AC301" s="2653"/>
      <c r="AD301" s="2657"/>
      <c r="AE301" s="2658"/>
      <c r="AF301" s="2658"/>
      <c r="AG301" s="2659"/>
      <c r="AH301" s="2631"/>
      <c r="AI301" s="2325"/>
    </row>
    <row r="302" ht="20.25" customHeight="1">
      <c r="A302" s="2319"/>
      <c r="B302" s="2646"/>
      <c r="C302" s="2660"/>
      <c r="D302" s="2648"/>
      <c r="E302" s="2661" t="s">
        <v>566</v>
      </c>
      <c r="F302" s="2662"/>
      <c r="G302" s="2662"/>
      <c r="H302" s="2663"/>
      <c r="I302" s="2664"/>
      <c r="J302" s="2661" t="s">
        <v>532</v>
      </c>
      <c r="K302" s="2662"/>
      <c r="L302" s="2662"/>
      <c r="M302" s="2663"/>
      <c r="N302" s="2664"/>
      <c r="O302" s="2661" t="s">
        <v>565</v>
      </c>
      <c r="P302" s="2662"/>
      <c r="Q302" s="2662"/>
      <c r="R302" s="2663"/>
      <c r="S302" s="2664"/>
      <c r="T302" s="2661" t="s">
        <v>482</v>
      </c>
      <c r="U302" s="2662"/>
      <c r="V302" s="2662"/>
      <c r="W302" s="2663"/>
      <c r="X302" s="2664"/>
      <c r="Y302" s="2661" t="s">
        <v>480</v>
      </c>
      <c r="Z302" s="2662"/>
      <c r="AA302" s="2662"/>
      <c r="AB302" s="2663"/>
      <c r="AC302" s="2664"/>
      <c r="AD302" s="2661" t="s">
        <v>532</v>
      </c>
      <c r="AE302" s="2662"/>
      <c r="AF302" s="2662"/>
      <c r="AG302" s="2663"/>
      <c r="AH302" s="2631"/>
      <c r="AI302" s="2325"/>
    </row>
    <row r="303" ht="20.25" customHeight="1">
      <c r="A303" s="2319"/>
      <c r="B303" s="2646"/>
      <c r="C303" s="2665"/>
      <c r="D303" s="2648"/>
      <c r="E303" s="2666" t="s">
        <v>603</v>
      </c>
      <c r="F303" s="2624"/>
      <c r="G303" s="2624"/>
      <c r="H303" s="2667"/>
      <c r="I303" s="2664"/>
      <c r="J303" s="2666" t="s">
        <v>1049</v>
      </c>
      <c r="K303" s="2624"/>
      <c r="L303" s="2624"/>
      <c r="M303" s="2667"/>
      <c r="N303" s="2664"/>
      <c r="O303" s="2666" t="s">
        <v>1038</v>
      </c>
      <c r="P303" s="2624"/>
      <c r="Q303" s="2624"/>
      <c r="R303" s="2667"/>
      <c r="S303" s="2664"/>
      <c r="T303" s="2666" t="s">
        <v>115</v>
      </c>
      <c r="U303" s="2624"/>
      <c r="V303" s="2624"/>
      <c r="W303" s="2667"/>
      <c r="X303" s="2664"/>
      <c r="Y303" s="2666" t="s">
        <v>1081</v>
      </c>
      <c r="Z303" s="2624"/>
      <c r="AA303" s="2624"/>
      <c r="AB303" s="2667"/>
      <c r="AC303" s="2664"/>
      <c r="AD303" s="2668" t="s">
        <v>1082</v>
      </c>
      <c r="AE303" s="2624"/>
      <c r="AF303" s="2624"/>
      <c r="AG303" s="2667"/>
      <c r="AH303" s="2631"/>
      <c r="AI303" s="2325"/>
    </row>
    <row r="304" ht="20.25" customHeight="1">
      <c r="A304" s="2319"/>
      <c r="B304" s="2646"/>
      <c r="C304" s="2656"/>
      <c r="D304" s="2648"/>
      <c r="E304" s="2669" t="s">
        <v>1083</v>
      </c>
      <c r="F304" s="2670"/>
      <c r="G304" s="2671"/>
      <c r="H304" s="2672"/>
      <c r="I304" s="2653"/>
      <c r="J304" s="2669" t="s">
        <v>1084</v>
      </c>
      <c r="K304" s="2670"/>
      <c r="L304" s="2671"/>
      <c r="M304" s="2672"/>
      <c r="N304" s="2653"/>
      <c r="O304" s="2669" t="s">
        <v>541</v>
      </c>
      <c r="P304" s="2670"/>
      <c r="Q304" s="2671"/>
      <c r="R304" s="2672"/>
      <c r="S304" s="2653"/>
      <c r="T304" s="2669" t="s">
        <v>733</v>
      </c>
      <c r="U304" s="2670"/>
      <c r="V304" s="2671"/>
      <c r="W304" s="2672"/>
      <c r="X304" s="2653"/>
      <c r="Y304" s="2669" t="s">
        <v>733</v>
      </c>
      <c r="Z304" s="2670"/>
      <c r="AA304" s="2671"/>
      <c r="AB304" s="2672"/>
      <c r="AC304" s="2653"/>
      <c r="AD304" s="2669" t="s">
        <v>1085</v>
      </c>
      <c r="AE304" s="2670"/>
      <c r="AF304" s="2671"/>
      <c r="AG304" s="2672"/>
      <c r="AH304" s="2631"/>
      <c r="AI304" s="2325"/>
    </row>
    <row r="305" ht="20.25" customHeight="1">
      <c r="A305" s="2319"/>
      <c r="B305" s="2646"/>
      <c r="C305" s="2660"/>
      <c r="D305" s="2648"/>
      <c r="E305" s="2661" t="s">
        <v>621</v>
      </c>
      <c r="F305" s="2662"/>
      <c r="G305" s="2662"/>
      <c r="H305" s="2673" t="str">
        <f>IMAGE("https://raw.githubusercontent.com/msikma/pokesprite/master/misc/types/gen8/rock.png",4,20,20)</f>
        <v/>
      </c>
      <c r="I305" s="2653"/>
      <c r="J305" s="2661" t="s">
        <v>928</v>
      </c>
      <c r="K305" s="2662"/>
      <c r="L305" s="2662"/>
      <c r="M305" s="2673" t="str">
        <f>IMAGE("https://raw.githubusercontent.com/msikma/pokesprite/master/misc/types/gen8/flying.png",4,20,20)</f>
        <v/>
      </c>
      <c r="N305" s="2653"/>
      <c r="O305" s="2661" t="s">
        <v>547</v>
      </c>
      <c r="P305" s="2662"/>
      <c r="Q305" s="2662"/>
      <c r="R305" s="2673" t="str">
        <f t="shared" ref="R305:R307" si="15">IMAGE("https://raw.githubusercontent.com/msikma/pokesprite/master/misc/types/gen8/electric.png",4,20,20)</f>
        <v/>
      </c>
      <c r="S305" s="2653"/>
      <c r="T305" s="2661" t="s">
        <v>544</v>
      </c>
      <c r="U305" s="2662"/>
      <c r="V305" s="2662"/>
      <c r="W305" s="2673" t="str">
        <f>IMAGE("https://raw.githubusercontent.com/msikma/pokesprite/master/misc/types/gen8/water.png",4,20,20)</f>
        <v/>
      </c>
      <c r="X305" s="2653"/>
      <c r="Y305" s="2661" t="s">
        <v>1040</v>
      </c>
      <c r="Z305" s="2662"/>
      <c r="AA305" s="2662"/>
      <c r="AB305" s="2673" t="str">
        <f>IMAGE("https://raw.githubusercontent.com/msikma/pokesprite/master/misc/types/gen8/normal.png",4,20,20)</f>
        <v/>
      </c>
      <c r="AC305" s="2653"/>
      <c r="AD305" s="2661" t="s">
        <v>287</v>
      </c>
      <c r="AE305" s="2662"/>
      <c r="AF305" s="2662"/>
      <c r="AG305" s="2673" t="str">
        <f>IMAGE("https://raw.githubusercontent.com/msikma/pokesprite/master/misc/types/gen8/normal.png",4,20,20)</f>
        <v/>
      </c>
      <c r="AH305" s="2631"/>
      <c r="AI305" s="2325"/>
    </row>
    <row r="306" ht="20.25" customHeight="1">
      <c r="A306" s="2319"/>
      <c r="B306" s="2646"/>
      <c r="C306" s="2674"/>
      <c r="D306" s="2648"/>
      <c r="E306" s="2666" t="s">
        <v>961</v>
      </c>
      <c r="F306" s="2624"/>
      <c r="G306" s="2624"/>
      <c r="H306" s="2675" t="str">
        <f>IMAGE("https://raw.githubusercontent.com/msikma/pokesprite/master/misc/types/gen8/steel.png",4,20,20)</f>
        <v/>
      </c>
      <c r="I306" s="2653"/>
      <c r="J306" s="2666" t="s">
        <v>612</v>
      </c>
      <c r="K306" s="2624"/>
      <c r="L306" s="2624"/>
      <c r="M306" s="2675" t="str">
        <f>IMAGE("https://raw.githubusercontent.com/msikma/pokesprite/master/misc/types/gen8/bug.png",4,20,20)</f>
        <v/>
      </c>
      <c r="N306" s="2653"/>
      <c r="O306" s="2666" t="s">
        <v>1086</v>
      </c>
      <c r="P306" s="2624"/>
      <c r="Q306" s="2624"/>
      <c r="R306" s="2675" t="str">
        <f t="shared" si="15"/>
        <v/>
      </c>
      <c r="S306" s="2653"/>
      <c r="T306" s="2666" t="s">
        <v>720</v>
      </c>
      <c r="U306" s="2624"/>
      <c r="V306" s="2624"/>
      <c r="W306" s="2675" t="str">
        <f>IMAGE("https://raw.githubusercontent.com/msikma/pokesprite/master/misc/types/gen8/fighting.png",4,20,20)</f>
        <v/>
      </c>
      <c r="X306" s="2653"/>
      <c r="Y306" s="2666" t="s">
        <v>1087</v>
      </c>
      <c r="Z306" s="2624"/>
      <c r="AA306" s="2624"/>
      <c r="AB306" s="2675" t="str">
        <f>IMAGE("https://raw.githubusercontent.com/msikma/pokesprite/master/misc/types/gen8/dark.png",4,20,20)</f>
        <v/>
      </c>
      <c r="AC306" s="2653"/>
      <c r="AD306" s="2666" t="s">
        <v>694</v>
      </c>
      <c r="AE306" s="2624"/>
      <c r="AF306" s="2624"/>
      <c r="AG306" s="2675" t="str">
        <f>IMAGE("https://raw.githubusercontent.com/msikma/pokesprite/master/misc/types/gen8/fire.png",4,20,20)</f>
        <v/>
      </c>
      <c r="AH306" s="2631"/>
      <c r="AI306" s="2325"/>
    </row>
    <row r="307" ht="20.25" customHeight="1">
      <c r="A307" s="2319"/>
      <c r="B307" s="2646"/>
      <c r="C307" s="2674"/>
      <c r="D307" s="2648"/>
      <c r="E307" s="2666" t="s">
        <v>1088</v>
      </c>
      <c r="F307" s="2624"/>
      <c r="G307" s="2624"/>
      <c r="H307" s="2675" t="str">
        <f>IMAGE("https://raw.githubusercontent.com/msikma/pokesprite/master/misc/types/gen8/fire.png",4,20,20)</f>
        <v/>
      </c>
      <c r="I307" s="2653"/>
      <c r="J307" s="2666" t="s">
        <v>1054</v>
      </c>
      <c r="K307" s="2624"/>
      <c r="L307" s="2624"/>
      <c r="M307" s="2675" t="str">
        <f t="shared" ref="M307:M308" si="16">IMAGE("https://raw.githubusercontent.com/msikma/pokesprite/master/misc/types/gen8/grass.png",4,20,20)</f>
        <v/>
      </c>
      <c r="N307" s="2653"/>
      <c r="O307" s="2666" t="s">
        <v>581</v>
      </c>
      <c r="P307" s="2624"/>
      <c r="Q307" s="2624"/>
      <c r="R307" s="2675" t="str">
        <f t="shared" si="15"/>
        <v/>
      </c>
      <c r="S307" s="2653"/>
      <c r="T307" s="2666" t="s">
        <v>623</v>
      </c>
      <c r="U307" s="2624"/>
      <c r="V307" s="2624"/>
      <c r="W307" s="2675" t="str">
        <f>IMAGE("https://raw.githubusercontent.com/msikma/pokesprite/master/misc/types/gen8/psychic.png",4,20,20)</f>
        <v/>
      </c>
      <c r="X307" s="2653"/>
      <c r="Y307" s="2666" t="s">
        <v>208</v>
      </c>
      <c r="Z307" s="2624"/>
      <c r="AA307" s="2624"/>
      <c r="AB307" s="2675" t="str">
        <f>IMAGE("https://raw.githubusercontent.com/msikma/pokesprite/master/misc/types/gen8/ghost.png",4,20,20)</f>
        <v/>
      </c>
      <c r="AC307" s="2653"/>
      <c r="AD307" s="2666" t="s">
        <v>583</v>
      </c>
      <c r="AE307" s="2624"/>
      <c r="AF307" s="2624"/>
      <c r="AG307" s="2675" t="str">
        <f>IMAGE("https://raw.githubusercontent.com/msikma/pokesprite/master/misc/types/gen8/fighting.png",4,20,20)</f>
        <v/>
      </c>
      <c r="AH307" s="2631"/>
      <c r="AI307" s="2325"/>
    </row>
    <row r="308" ht="21.0" customHeight="1">
      <c r="A308" s="2319"/>
      <c r="B308" s="2646"/>
      <c r="C308" s="2674"/>
      <c r="D308" s="2648"/>
      <c r="E308" s="2676" t="s">
        <v>1089</v>
      </c>
      <c r="F308" s="2677"/>
      <c r="G308" s="2677"/>
      <c r="H308" s="2678" t="str">
        <f>IMAGE("https://raw.githubusercontent.com/msikma/pokesprite/master/misc/types/gen8/normal.png",4,20,20)</f>
        <v/>
      </c>
      <c r="I308" s="2653"/>
      <c r="J308" s="2676" t="s">
        <v>1090</v>
      </c>
      <c r="K308" s="2677"/>
      <c r="L308" s="2677"/>
      <c r="M308" s="2678" t="str">
        <f t="shared" si="16"/>
        <v/>
      </c>
      <c r="N308" s="2653"/>
      <c r="O308" s="2676" t="s">
        <v>591</v>
      </c>
      <c r="P308" s="2677"/>
      <c r="Q308" s="2677"/>
      <c r="R308" s="2678" t="str">
        <f>IMAGE("https://raw.githubusercontent.com/msikma/pokesprite/master/misc/types/gen8/normal.png",4,20,20)</f>
        <v/>
      </c>
      <c r="S308" s="2653"/>
      <c r="T308" s="2676" t="s">
        <v>507</v>
      </c>
      <c r="U308" s="2677"/>
      <c r="V308" s="2677"/>
      <c r="W308" s="2678" t="str">
        <f>IMAGE("https://raw.githubusercontent.com/msikma/pokesprite/master/misc/types/gen8/normal.png",4,20,20)</f>
        <v/>
      </c>
      <c r="X308" s="2653"/>
      <c r="Y308" s="2676" t="s">
        <v>738</v>
      </c>
      <c r="Z308" s="2677"/>
      <c r="AA308" s="2677"/>
      <c r="AB308" s="2678" t="str">
        <f>IMAGE("https://raw.githubusercontent.com/msikma/pokesprite/master/misc/types/gen8/psychic.png",4,20,20)</f>
        <v/>
      </c>
      <c r="AC308" s="2653"/>
      <c r="AD308" s="2676" t="s">
        <v>504</v>
      </c>
      <c r="AE308" s="2677"/>
      <c r="AF308" s="2677"/>
      <c r="AG308" s="2678" t="str">
        <f>IMAGE("https://raw.githubusercontent.com/msikma/pokesprite/master/misc/types/gen8/electric.png",4,20,20)</f>
        <v/>
      </c>
      <c r="AH308" s="2631"/>
      <c r="AI308" s="2325"/>
    </row>
    <row r="309" ht="3.0" customHeight="1">
      <c r="A309" s="2394"/>
      <c r="B309" s="2679"/>
      <c r="C309" s="2622"/>
      <c r="D309" s="2680"/>
      <c r="E309" s="2681"/>
      <c r="F309" s="2681"/>
      <c r="G309" s="2681"/>
      <c r="H309" s="2682"/>
      <c r="I309" s="2680"/>
      <c r="J309" s="2681"/>
      <c r="K309" s="2681"/>
      <c r="L309" s="2681"/>
      <c r="M309" s="2681"/>
      <c r="N309" s="2680"/>
      <c r="O309" s="2681"/>
      <c r="P309" s="2681"/>
      <c r="Q309" s="2681"/>
      <c r="R309" s="2682"/>
      <c r="S309" s="2680"/>
      <c r="T309" s="2681"/>
      <c r="U309" s="2681"/>
      <c r="V309" s="2681"/>
      <c r="W309" s="2682"/>
      <c r="X309" s="2680"/>
      <c r="Y309" s="2681"/>
      <c r="Z309" s="2681"/>
      <c r="AA309" s="2681"/>
      <c r="AB309" s="2682"/>
      <c r="AC309" s="2680"/>
      <c r="AD309" s="2681"/>
      <c r="AE309" s="2681"/>
      <c r="AF309" s="2681"/>
      <c r="AG309" s="2682"/>
      <c r="AH309" s="2683"/>
      <c r="AI309" s="2402"/>
    </row>
    <row r="310" ht="16.5" customHeight="1">
      <c r="A310" s="2326"/>
      <c r="B310" s="2621"/>
      <c r="C310" s="2622"/>
      <c r="D310" s="2684"/>
      <c r="E310" s="2685" t="s">
        <v>512</v>
      </c>
      <c r="F310" s="606"/>
      <c r="G310" s="606"/>
      <c r="H310" s="607"/>
      <c r="I310" s="2686"/>
      <c r="J310" s="2685" t="s">
        <v>512</v>
      </c>
      <c r="K310" s="606"/>
      <c r="L310" s="606"/>
      <c r="M310" s="607"/>
      <c r="N310" s="2686"/>
      <c r="O310" s="2685" t="s">
        <v>512</v>
      </c>
      <c r="P310" s="606"/>
      <c r="Q310" s="606"/>
      <c r="R310" s="607"/>
      <c r="S310" s="2686"/>
      <c r="T310" s="2685" t="s">
        <v>512</v>
      </c>
      <c r="U310" s="606"/>
      <c r="V310" s="606"/>
      <c r="W310" s="607"/>
      <c r="X310" s="2686"/>
      <c r="Y310" s="2685" t="s">
        <v>512</v>
      </c>
      <c r="Z310" s="606"/>
      <c r="AA310" s="606"/>
      <c r="AB310" s="607"/>
      <c r="AC310" s="2686"/>
      <c r="AD310" s="2685" t="s">
        <v>512</v>
      </c>
      <c r="AE310" s="606"/>
      <c r="AF310" s="606"/>
      <c r="AG310" s="607"/>
      <c r="AH310" s="2687"/>
      <c r="AI310" s="2411"/>
    </row>
    <row r="311" ht="16.5" customHeight="1">
      <c r="A311" s="2326"/>
      <c r="B311" s="2621"/>
      <c r="C311" s="2622"/>
      <c r="D311" s="2684"/>
      <c r="E311" s="2688" t="s">
        <v>513</v>
      </c>
      <c r="F311" s="2689">
        <f t="array" ref="F311">IFERROR(VLOOKUP(E298,Dex!$B$3:$N422,8,FALSE),"")</f>
        <v>70</v>
      </c>
      <c r="G311" s="2690" t="str">
        <f t="array" ref="G311">IFERROR(VLOOKUP(F311,Dex!$P$22:$Q$276,2,FALSE),"")</f>
        <v/>
      </c>
      <c r="H311" s="2691"/>
      <c r="I311" s="2692"/>
      <c r="J311" s="2688" t="s">
        <v>513</v>
      </c>
      <c r="K311" s="2689">
        <f t="array" ref="K311">IFERROR(VLOOKUP(J298,Dex!$B$3:$N422,8,FALSE),"")</f>
        <v>75</v>
      </c>
      <c r="L311" s="2690" t="str">
        <f t="array" ref="L311">IFERROR(VLOOKUP(K311,Dex!$P$22:$Q$276,2,FALSE),"")</f>
        <v/>
      </c>
      <c r="M311" s="2691"/>
      <c r="N311" s="2692"/>
      <c r="O311" s="2688" t="s">
        <v>513</v>
      </c>
      <c r="P311" s="2689">
        <f t="array" ref="P311">IFERROR(VLOOKUP(O298,Dex!$B$3:$N422,8,FALSE),"")</f>
        <v>80</v>
      </c>
      <c r="Q311" s="2690" t="str">
        <f t="array" ref="Q311">IFERROR(VLOOKUP(P311,Dex!$P$22:$Q$276,2,FALSE),"")</f>
        <v/>
      </c>
      <c r="R311" s="2691"/>
      <c r="S311" s="2692"/>
      <c r="T311" s="2688" t="s">
        <v>513</v>
      </c>
      <c r="U311" s="2689">
        <f t="array" ref="U311">IFERROR(VLOOKUP(T298,Dex!$B$3:$N422,8,FALSE),"")</f>
        <v>95</v>
      </c>
      <c r="V311" s="2690" t="str">
        <f t="array" ref="V311">IFERROR(VLOOKUP(U311,Dex!$P$22:$Q$276,2,FALSE),"")</f>
        <v/>
      </c>
      <c r="W311" s="2691"/>
      <c r="X311" s="2692"/>
      <c r="Y311" s="2688" t="s">
        <v>513</v>
      </c>
      <c r="Z311" s="2689">
        <f t="array" ref="Z311">IFERROR(VLOOKUP(Y298,Dex!$B$3:$N422,8,FALSE),"")</f>
        <v>160</v>
      </c>
      <c r="AA311" s="2690" t="str">
        <f t="array" ref="AA311">IFERROR(VLOOKUP(Z311,Dex!$P$22:$Q$276,2,FALSE),"")</f>
        <v/>
      </c>
      <c r="AB311" s="2691"/>
      <c r="AC311" s="2692"/>
      <c r="AD311" s="2688" t="s">
        <v>513</v>
      </c>
      <c r="AE311" s="2689">
        <f t="array" ref="AE311">IFERROR(VLOOKUP(AD298,Dex!$B$3:$N422,8,FALSE),"")</f>
        <v>80</v>
      </c>
      <c r="AF311" s="2690" t="str">
        <f t="array" ref="AF311">IFERROR(VLOOKUP(AE311,Dex!$P$22:$Q$276,2,FALSE),"")</f>
        <v/>
      </c>
      <c r="AG311" s="2691"/>
      <c r="AH311" s="2693"/>
      <c r="AI311" s="2411"/>
    </row>
    <row r="312" ht="16.5" customHeight="1">
      <c r="A312" s="2326"/>
      <c r="B312" s="2621"/>
      <c r="C312" s="2622"/>
      <c r="D312" s="2684"/>
      <c r="E312" s="2694" t="s">
        <v>514</v>
      </c>
      <c r="F312" s="2695">
        <f t="array" ref="F312">IFERROR(VLOOKUP(E298,Dex!$B$3:$N422,9,FALSE),"")</f>
        <v>110</v>
      </c>
      <c r="G312" s="2696" t="str">
        <f t="array" ref="G312">IFERROR(VLOOKUP(F312,Dex!$P$22:$Q$276,2,FALSE),"")</f>
        <v/>
      </c>
      <c r="H312" s="2697"/>
      <c r="I312" s="2692"/>
      <c r="J312" s="2694" t="s">
        <v>514</v>
      </c>
      <c r="K312" s="2695">
        <f t="array" ref="K312">IFERROR(VLOOKUP(J298,Dex!$B$3:$N422,9,FALSE),"")</f>
        <v>85</v>
      </c>
      <c r="L312" s="2696" t="str">
        <f t="array" ref="L312">IFERROR(VLOOKUP(K312,Dex!$P$22:$Q$276,2,FALSE),"")</f>
        <v/>
      </c>
      <c r="M312" s="2697"/>
      <c r="N312" s="2692"/>
      <c r="O312" s="2694" t="s">
        <v>514</v>
      </c>
      <c r="P312" s="2695">
        <f t="array" ref="P312">IFERROR(VLOOKUP(O298,Dex!$B$3:$N422,9,FALSE),"")</f>
        <v>100</v>
      </c>
      <c r="Q312" s="2696" t="str">
        <f t="array" ref="Q312">IFERROR(VLOOKUP(P312,Dex!$P$22:$Q$276,2,FALSE),"")</f>
        <v/>
      </c>
      <c r="R312" s="2697"/>
      <c r="S312" s="2692"/>
      <c r="T312" s="2694" t="s">
        <v>514</v>
      </c>
      <c r="U312" s="2695">
        <f t="array" ref="U312">IFERROR(VLOOKUP(T298,Dex!$B$3:$N422,9,FALSE),"")</f>
        <v>75</v>
      </c>
      <c r="V312" s="2696" t="str">
        <f t="array" ref="V312">IFERROR(VLOOKUP(U312,Dex!$P$22:$Q$276,2,FALSE),"")</f>
        <v/>
      </c>
      <c r="W312" s="2697"/>
      <c r="X312" s="2692"/>
      <c r="Y312" s="2694" t="s">
        <v>514</v>
      </c>
      <c r="Z312" s="2695">
        <f t="array" ref="Z312">IFERROR(VLOOKUP(Y298,Dex!$B$3:$N422,9,FALSE),"")</f>
        <v>110</v>
      </c>
      <c r="AA312" s="2696" t="str">
        <f t="array" ref="AA312">IFERROR(VLOOKUP(Z312,Dex!$P$22:$Q$276,2,FALSE),"")</f>
        <v/>
      </c>
      <c r="AB312" s="2697"/>
      <c r="AC312" s="2692"/>
      <c r="AD312" s="2694" t="s">
        <v>514</v>
      </c>
      <c r="AE312" s="2695">
        <f t="array" ref="AE312">IFERROR(VLOOKUP(AD298,Dex!$B$3:$N422,9,FALSE),"")</f>
        <v>160</v>
      </c>
      <c r="AF312" s="2696" t="str">
        <f t="array" ref="AF312">IFERROR(VLOOKUP(AE312,Dex!$P$22:$Q$276,2,FALSE),"")</f>
        <v/>
      </c>
      <c r="AG312" s="2697"/>
      <c r="AH312" s="2693"/>
      <c r="AI312" s="2411"/>
    </row>
    <row r="313" ht="16.5" customHeight="1">
      <c r="A313" s="2326"/>
      <c r="B313" s="2621"/>
      <c r="C313" s="2622"/>
      <c r="D313" s="2684"/>
      <c r="E313" s="2694" t="s">
        <v>515</v>
      </c>
      <c r="F313" s="2695">
        <f t="array" ref="F313">IFERROR(VLOOKUP(E298,Dex!$B$3:$N422,10,FALSE),"")</f>
        <v>180</v>
      </c>
      <c r="G313" s="2696" t="str">
        <f t="array" ref="G313">IFERROR(VLOOKUP(F313,Dex!$P$22:$Q$276,2,FALSE),"")</f>
        <v/>
      </c>
      <c r="H313" s="2697"/>
      <c r="I313" s="2692"/>
      <c r="J313" s="2694" t="s">
        <v>515</v>
      </c>
      <c r="K313" s="2695">
        <f t="array" ref="K313">IFERROR(VLOOKUP(J298,Dex!$B$3:$N422,10,FALSE),"")</f>
        <v>70</v>
      </c>
      <c r="L313" s="2696" t="str">
        <f t="array" ref="L313">IFERROR(VLOOKUP(K313,Dex!$P$22:$Q$276,2,FALSE),"")</f>
        <v/>
      </c>
      <c r="M313" s="2697"/>
      <c r="N313" s="2692"/>
      <c r="O313" s="2694" t="s">
        <v>515</v>
      </c>
      <c r="P313" s="2695">
        <f t="array" ref="P313">IFERROR(VLOOKUP(O298,Dex!$B$3:$N422,10,FALSE),"")</f>
        <v>50</v>
      </c>
      <c r="Q313" s="2696" t="str">
        <f t="array" ref="Q313">IFERROR(VLOOKUP(P313,Dex!$P$22:$Q$276,2,FALSE),"")</f>
        <v/>
      </c>
      <c r="R313" s="2697"/>
      <c r="S313" s="2692"/>
      <c r="T313" s="2694" t="s">
        <v>515</v>
      </c>
      <c r="U313" s="2695">
        <f t="array" ref="U313">IFERROR(VLOOKUP(T298,Dex!$B$3:$N422,10,FALSE),"")</f>
        <v>110</v>
      </c>
      <c r="V313" s="2696" t="str">
        <f t="array" ref="V313">IFERROR(VLOOKUP(U313,Dex!$P$22:$Q$276,2,FALSE),"")</f>
        <v/>
      </c>
      <c r="W313" s="2697"/>
      <c r="X313" s="2692"/>
      <c r="Y313" s="2694" t="s">
        <v>515</v>
      </c>
      <c r="Z313" s="2695">
        <f t="array" ref="Z313">IFERROR(VLOOKUP(Y298,Dex!$B$3:$N422,10,FALSE),"")</f>
        <v>65</v>
      </c>
      <c r="AA313" s="2696" t="str">
        <f t="array" ref="AA313">IFERROR(VLOOKUP(Z313,Dex!$P$22:$Q$276,2,FALSE),"")</f>
        <v/>
      </c>
      <c r="AB313" s="2697"/>
      <c r="AC313" s="2692"/>
      <c r="AD313" s="2694" t="s">
        <v>515</v>
      </c>
      <c r="AE313" s="2695">
        <f t="array" ref="AE313">IFERROR(VLOOKUP(AD298,Dex!$B$3:$N422,10,FALSE),"")</f>
        <v>80</v>
      </c>
      <c r="AF313" s="2696" t="str">
        <f t="array" ref="AF313">IFERROR(VLOOKUP(AE313,Dex!$P$22:$Q$276,2,FALSE),"")</f>
        <v/>
      </c>
      <c r="AG313" s="2697"/>
      <c r="AH313" s="2693"/>
      <c r="AI313" s="2411"/>
    </row>
    <row r="314" ht="16.5" customHeight="1">
      <c r="A314" s="2326"/>
      <c r="B314" s="2621"/>
      <c r="C314" s="2622"/>
      <c r="D314" s="2684"/>
      <c r="E314" s="2694" t="s">
        <v>516</v>
      </c>
      <c r="F314" s="2695">
        <f t="array" ref="F314">IFERROR(VLOOKUP(E298,Dex!$B$3:$N422,11,FALSE),"")</f>
        <v>60</v>
      </c>
      <c r="G314" s="2696" t="str">
        <f t="array" ref="G314">IFERROR(VLOOKUP(F314,Dex!$P$22:$Q$276,2,FALSE),"")</f>
        <v/>
      </c>
      <c r="H314" s="2697"/>
      <c r="I314" s="2692"/>
      <c r="J314" s="2694" t="s">
        <v>516</v>
      </c>
      <c r="K314" s="2695">
        <f t="array" ref="K314">IFERROR(VLOOKUP(J298,Dex!$B$3:$N422,11,FALSE),"")</f>
        <v>35</v>
      </c>
      <c r="L314" s="2696" t="str">
        <f t="array" ref="L314">IFERROR(VLOOKUP(K314,Dex!$P$22:$Q$276,2,FALSE),"")</f>
        <v/>
      </c>
      <c r="M314" s="2697"/>
      <c r="N314" s="2692"/>
      <c r="O314" s="2694" t="s">
        <v>516</v>
      </c>
      <c r="P314" s="2695">
        <f t="array" ref="P314">IFERROR(VLOOKUP(O298,Dex!$B$3:$N422,11,FALSE),"")</f>
        <v>100</v>
      </c>
      <c r="Q314" s="2696" t="str">
        <f t="array" ref="Q314">IFERROR(VLOOKUP(P314,Dex!$P$22:$Q$276,2,FALSE),"")</f>
        <v/>
      </c>
      <c r="R314" s="2697"/>
      <c r="S314" s="2692"/>
      <c r="T314" s="2694" t="s">
        <v>516</v>
      </c>
      <c r="U314" s="2695">
        <f t="array" ref="U314">IFERROR(VLOOKUP(T298,Dex!$B$3:$N422,11,FALSE),"")</f>
        <v>100</v>
      </c>
      <c r="V314" s="2696" t="str">
        <f t="array" ref="V314">IFERROR(VLOOKUP(U314,Dex!$P$22:$Q$276,2,FALSE),"")</f>
        <v/>
      </c>
      <c r="W314" s="2697"/>
      <c r="X314" s="2692"/>
      <c r="Y314" s="2694" t="s">
        <v>516</v>
      </c>
      <c r="Z314" s="2695">
        <f t="array" ref="Z314">IFERROR(VLOOKUP(Y298,Dex!$B$3:$N422,11,FALSE),"")</f>
        <v>65</v>
      </c>
      <c r="AA314" s="2696" t="str">
        <f t="array" ref="AA314">IFERROR(VLOOKUP(Z314,Dex!$P$22:$Q$276,2,FALSE),"")</f>
        <v/>
      </c>
      <c r="AB314" s="2697"/>
      <c r="AC314" s="2692"/>
      <c r="AD314" s="2694" t="s">
        <v>516</v>
      </c>
      <c r="AE314" s="2695">
        <f t="array" ref="AE314">IFERROR(VLOOKUP(AD298,Dex!$B$3:$N422,11,FALSE),"")</f>
        <v>130</v>
      </c>
      <c r="AF314" s="2696" t="str">
        <f t="array" ref="AF314">IFERROR(VLOOKUP(AE314,Dex!$P$22:$Q$276,2,FALSE),"")</f>
        <v/>
      </c>
      <c r="AG314" s="2697"/>
      <c r="AH314" s="2693"/>
      <c r="AI314" s="2411"/>
    </row>
    <row r="315" ht="16.5" customHeight="1">
      <c r="A315" s="2326"/>
      <c r="B315" s="2621"/>
      <c r="C315" s="2622"/>
      <c r="D315" s="2684"/>
      <c r="E315" s="2694" t="s">
        <v>517</v>
      </c>
      <c r="F315" s="2695">
        <f t="array" ref="F315">IFERROR(VLOOKUP(E298,Dex!$B$3:$N422,12,FALSE),"")</f>
        <v>60</v>
      </c>
      <c r="G315" s="2696" t="str">
        <f t="array" ref="G315">IFERROR(VLOOKUP(F315,Dex!$P$22:$Q$276,2,FALSE),"")</f>
        <v/>
      </c>
      <c r="H315" s="2697"/>
      <c r="I315" s="2692"/>
      <c r="J315" s="2694" t="s">
        <v>517</v>
      </c>
      <c r="K315" s="2695">
        <f t="array" ref="K315">IFERROR(VLOOKUP(J298,Dex!$B$3:$N422,12,FALSE),"")</f>
        <v>95</v>
      </c>
      <c r="L315" s="2696" t="str">
        <f t="array" ref="L315">IFERROR(VLOOKUP(K315,Dex!$P$22:$Q$276,2,FALSE),"")</f>
        <v/>
      </c>
      <c r="M315" s="2697"/>
      <c r="N315" s="2692"/>
      <c r="O315" s="2694" t="s">
        <v>517</v>
      </c>
      <c r="P315" s="2695">
        <f t="array" ref="P315">IFERROR(VLOOKUP(O298,Dex!$B$3:$N422,12,FALSE),"")</f>
        <v>50</v>
      </c>
      <c r="Q315" s="2696" t="str">
        <f t="array" ref="Q315">IFERROR(VLOOKUP(P315,Dex!$P$22:$Q$276,2,FALSE),"")</f>
        <v/>
      </c>
      <c r="R315" s="2697"/>
      <c r="S315" s="2692"/>
      <c r="T315" s="2694" t="s">
        <v>517</v>
      </c>
      <c r="U315" s="2695">
        <f t="array" ref="U315">IFERROR(VLOOKUP(T298,Dex!$B$3:$N422,12,FALSE),"")</f>
        <v>80</v>
      </c>
      <c r="V315" s="2696" t="str">
        <f t="array" ref="V315">IFERROR(VLOOKUP(U315,Dex!$P$22:$Q$276,2,FALSE),"")</f>
        <v/>
      </c>
      <c r="W315" s="2697"/>
      <c r="X315" s="2692"/>
      <c r="Y315" s="2694" t="s">
        <v>517</v>
      </c>
      <c r="Z315" s="2695">
        <f t="array" ref="Z315">IFERROR(VLOOKUP(Y298,Dex!$B$3:$N422,12,FALSE),"")</f>
        <v>110</v>
      </c>
      <c r="AA315" s="2696" t="str">
        <f t="array" ref="AA315">IFERROR(VLOOKUP(Z315,Dex!$P$22:$Q$276,2,FALSE),"")</f>
        <v/>
      </c>
      <c r="AB315" s="2697"/>
      <c r="AC315" s="2692"/>
      <c r="AD315" s="2694" t="s">
        <v>517</v>
      </c>
      <c r="AE315" s="2695">
        <f t="array" ref="AE315">IFERROR(VLOOKUP(AD298,Dex!$B$3:$N422,12,FALSE),"")</f>
        <v>80</v>
      </c>
      <c r="AF315" s="2696" t="str">
        <f t="array" ref="AF315">IFERROR(VLOOKUP(AE315,Dex!$P$22:$Q$276,2,FALSE),"")</f>
        <v/>
      </c>
      <c r="AG315" s="2697"/>
      <c r="AH315" s="2693"/>
      <c r="AI315" s="2411"/>
    </row>
    <row r="316" ht="15.75" customHeight="1">
      <c r="A316" s="2326"/>
      <c r="B316" s="2621"/>
      <c r="C316" s="2622"/>
      <c r="D316" s="2684"/>
      <c r="E316" s="2698" t="s">
        <v>518</v>
      </c>
      <c r="F316" s="2699">
        <f t="array" ref="F316">IFERROR(VLOOKUP(E298,Dex!$B$3:$N422,13,FALSE),"")</f>
        <v>50</v>
      </c>
      <c r="G316" s="2700" t="str">
        <f t="array" ref="G316">IFERROR(VLOOKUP(F316,Dex!$P$22:$Q$276,2,FALSE),"")</f>
        <v/>
      </c>
      <c r="H316" s="2701"/>
      <c r="I316" s="2692"/>
      <c r="J316" s="2698" t="s">
        <v>518</v>
      </c>
      <c r="K316" s="2699">
        <f t="array" ref="K316">IFERROR(VLOOKUP(J298,Dex!$B$3:$N422,13,FALSE),"")</f>
        <v>110</v>
      </c>
      <c r="L316" s="2700" t="str">
        <f t="array" ref="L316">IFERROR(VLOOKUP(K316,Dex!$P$22:$Q$276,2,FALSE),"")</f>
        <v/>
      </c>
      <c r="M316" s="2701"/>
      <c r="N316" s="2692"/>
      <c r="O316" s="2698" t="s">
        <v>518</v>
      </c>
      <c r="P316" s="2699">
        <f t="array" ref="P316">IFERROR(VLOOKUP(O298,Dex!$B$3:$N422,13,FALSE),"")</f>
        <v>200</v>
      </c>
      <c r="Q316" s="2700" t="str">
        <f t="array" ref="Q316">IFERROR(VLOOKUP(P316,Dex!$P$22:$Q$276,2,FALSE),"")</f>
        <v/>
      </c>
      <c r="R316" s="2701"/>
      <c r="S316" s="2692"/>
      <c r="T316" s="2698" t="s">
        <v>518</v>
      </c>
      <c r="U316" s="2699">
        <f t="array" ref="U316">IFERROR(VLOOKUP(T298,Dex!$B$3:$N422,13,FALSE),"")</f>
        <v>30</v>
      </c>
      <c r="V316" s="2700" t="str">
        <f t="array" ref="V316">IFERROR(VLOOKUP(U316,Dex!$P$22:$Q$276,2,FALSE),"")</f>
        <v/>
      </c>
      <c r="W316" s="2701"/>
      <c r="X316" s="2692"/>
      <c r="Y316" s="2698" t="s">
        <v>518</v>
      </c>
      <c r="Z316" s="2699">
        <f t="array" ref="Z316">IFERROR(VLOOKUP(Y298,Dex!$B$3:$N422,13,FALSE),"")</f>
        <v>30</v>
      </c>
      <c r="AA316" s="2700" t="str">
        <f t="array" ref="AA316">IFERROR(VLOOKUP(Z316,Dex!$P$22:$Q$276,2,FALSE),"")</f>
        <v/>
      </c>
      <c r="AB316" s="2701"/>
      <c r="AC316" s="2692"/>
      <c r="AD316" s="2698" t="s">
        <v>518</v>
      </c>
      <c r="AE316" s="2699">
        <f t="array" ref="AE316">IFERROR(VLOOKUP(AD298,Dex!$B$3:$N422,13,FALSE),"")</f>
        <v>100</v>
      </c>
      <c r="AF316" s="2700" t="str">
        <f t="array" ref="AF316">IFERROR(VLOOKUP(AE316,Dex!$P$22:$Q$276,2,FALSE),"")</f>
        <v/>
      </c>
      <c r="AG316" s="2701"/>
      <c r="AH316" s="2693"/>
      <c r="AI316" s="2411"/>
    </row>
    <row r="317" ht="16.5" customHeight="1">
      <c r="A317" s="2326"/>
      <c r="B317" s="2621"/>
      <c r="C317" s="2622"/>
      <c r="D317" s="2684"/>
      <c r="E317" s="2702" t="s">
        <v>519</v>
      </c>
      <c r="F317" s="630"/>
      <c r="G317" s="631"/>
      <c r="H317" s="632">
        <f>ROUNDDOWN((ROUNDDOWN(((((2*F316+31)*73)/100+5)),0))*1,0)</f>
        <v>100</v>
      </c>
      <c r="I317" s="2686"/>
      <c r="J317" s="2702" t="s">
        <v>519</v>
      </c>
      <c r="K317" s="630"/>
      <c r="L317" s="631"/>
      <c r="M317" s="632">
        <f>ROUNDDOWN((ROUNDDOWN(((((2*K316+31)*73)/100+5)),0))*1.1,0)</f>
        <v>206</v>
      </c>
      <c r="N317" s="2686"/>
      <c r="O317" s="2702" t="s">
        <v>519</v>
      </c>
      <c r="P317" s="630"/>
      <c r="Q317" s="631"/>
      <c r="R317" s="632">
        <f>ROUNDDOWN((ROUNDDOWN(((((2*P316+31)*73)/100+5)),0))*1.1,0)</f>
        <v>350</v>
      </c>
      <c r="S317" s="2686"/>
      <c r="T317" s="2702" t="s">
        <v>519</v>
      </c>
      <c r="U317" s="630"/>
      <c r="V317" s="631"/>
      <c r="W317" s="632">
        <f>ROUNDDOWN((ROUNDDOWN(((((2*U316+31)*73)/100+5)),0))*1,0)</f>
        <v>71</v>
      </c>
      <c r="X317" s="2686"/>
      <c r="Y317" s="2702" t="s">
        <v>519</v>
      </c>
      <c r="Z317" s="630"/>
      <c r="AA317" s="631"/>
      <c r="AB317" s="632">
        <f>ROUNDDOWN((ROUNDDOWN(((((2*Z316+31)*73)/100+5)),0))*1,0)</f>
        <v>71</v>
      </c>
      <c r="AC317" s="2686"/>
      <c r="AD317" s="2703" t="s">
        <v>519</v>
      </c>
      <c r="AE317" s="635"/>
      <c r="AF317" s="636"/>
      <c r="AG317" s="632">
        <f>ROUNDDOWN((ROUNDDOWN(((((2*AE316+31)*73)/100+5)),0))*1.1,0)</f>
        <v>190</v>
      </c>
      <c r="AH317" s="2687"/>
      <c r="AI317" s="2411"/>
    </row>
    <row r="318" ht="16.5" customHeight="1">
      <c r="A318" s="2326"/>
      <c r="B318" s="2621"/>
      <c r="C318" s="2622"/>
      <c r="D318" s="2684"/>
      <c r="E318" s="2704"/>
      <c r="F318" s="2704"/>
      <c r="G318" s="2704"/>
      <c r="H318" s="2704"/>
      <c r="I318" s="2686"/>
      <c r="J318" s="2705"/>
      <c r="K318" s="2705"/>
      <c r="L318" s="2705"/>
      <c r="M318" s="2704"/>
      <c r="N318" s="2686"/>
      <c r="O318" s="2705"/>
      <c r="P318" s="2705"/>
      <c r="Q318" s="2705"/>
      <c r="R318" s="2704"/>
      <c r="S318" s="2686"/>
      <c r="T318" s="2705"/>
      <c r="U318" s="2705"/>
      <c r="V318" s="2705"/>
      <c r="W318" s="2704"/>
      <c r="X318" s="2686"/>
      <c r="Y318" s="2705"/>
      <c r="Z318" s="2705"/>
      <c r="AA318" s="2705"/>
      <c r="AB318" s="2704"/>
      <c r="AC318" s="2686"/>
      <c r="AD318" s="2706" t="s">
        <v>814</v>
      </c>
      <c r="AE318" s="643"/>
      <c r="AF318" s="644"/>
      <c r="AG318" s="2555">
        <f>AG317*1.5</f>
        <v>285</v>
      </c>
      <c r="AH318" s="2687"/>
      <c r="AI318" s="2411"/>
    </row>
    <row r="319" ht="15.0" customHeight="1">
      <c r="A319" s="2319"/>
      <c r="B319" s="2707"/>
      <c r="C319" s="2708"/>
      <c r="D319" s="2709"/>
      <c r="E319" s="2709"/>
      <c r="F319" s="2709"/>
      <c r="G319" s="2709"/>
      <c r="H319" s="2709"/>
      <c r="I319" s="2709"/>
      <c r="J319" s="2709"/>
      <c r="K319" s="2709"/>
      <c r="L319" s="2709"/>
      <c r="M319" s="2709"/>
      <c r="N319" s="2709"/>
      <c r="O319" s="2709"/>
      <c r="P319" s="2709"/>
      <c r="Q319" s="2709"/>
      <c r="R319" s="2709"/>
      <c r="S319" s="2709"/>
      <c r="T319" s="2709"/>
      <c r="U319" s="2709"/>
      <c r="V319" s="2709"/>
      <c r="W319" s="2709"/>
      <c r="X319" s="2709"/>
      <c r="Y319" s="2709"/>
      <c r="Z319" s="2709"/>
      <c r="AA319" s="2709"/>
      <c r="AB319" s="2709"/>
      <c r="AC319" s="2709"/>
      <c r="AD319" s="2619"/>
      <c r="AE319" s="2619"/>
      <c r="AF319" s="2619"/>
      <c r="AG319" s="2619"/>
      <c r="AH319" s="2710"/>
      <c r="AI319" s="2325"/>
    </row>
    <row r="320" ht="15.0" customHeight="1">
      <c r="A320" s="2319"/>
      <c r="B320" s="2320"/>
      <c r="C320" s="2321"/>
      <c r="D320" s="2322"/>
      <c r="E320" s="2323"/>
      <c r="F320" s="2323"/>
      <c r="G320" s="2323"/>
      <c r="H320" s="2323"/>
      <c r="I320" s="2323"/>
      <c r="J320" s="2323"/>
      <c r="K320" s="2323"/>
      <c r="L320" s="2323"/>
      <c r="M320" s="2323"/>
      <c r="N320" s="2323"/>
      <c r="O320" s="2323"/>
      <c r="P320" s="2323"/>
      <c r="Q320" s="2323"/>
      <c r="R320" s="2323"/>
      <c r="S320" s="2323"/>
      <c r="T320" s="2323"/>
      <c r="U320" s="2323"/>
      <c r="V320" s="2323"/>
      <c r="W320" s="2323"/>
      <c r="X320" s="2323"/>
      <c r="Y320" s="2323"/>
      <c r="Z320" s="2323"/>
      <c r="AA320" s="2323"/>
      <c r="AB320" s="2323"/>
      <c r="AC320" s="2323"/>
      <c r="AD320" s="2323"/>
      <c r="AE320" s="2323"/>
      <c r="AF320" s="2323"/>
      <c r="AG320" s="2323"/>
      <c r="AH320" s="2324"/>
      <c r="AI320" s="2325"/>
    </row>
    <row r="321">
      <c r="A321" s="2326"/>
      <c r="B321" s="2327"/>
      <c r="C321" s="2328"/>
      <c r="D321" s="2329"/>
      <c r="E321" s="2330" t="s">
        <v>962</v>
      </c>
      <c r="F321" s="1732"/>
      <c r="G321" s="1732"/>
      <c r="H321" s="1732"/>
      <c r="I321" s="1732"/>
      <c r="J321" s="1732"/>
      <c r="K321" s="1732"/>
      <c r="L321" s="1732"/>
      <c r="M321" s="1732"/>
      <c r="N321" s="1732"/>
      <c r="O321" s="1732"/>
      <c r="P321" s="1732"/>
      <c r="Q321" s="1732"/>
      <c r="R321" s="1732"/>
      <c r="S321" s="1732"/>
      <c r="T321" s="1732"/>
      <c r="U321" s="1732"/>
      <c r="V321" s="1732"/>
      <c r="W321" s="1732"/>
      <c r="X321" s="1732"/>
      <c r="Y321" s="1732"/>
      <c r="Z321" s="1732"/>
      <c r="AA321" s="1732"/>
      <c r="AB321" s="1732"/>
      <c r="AC321" s="1732"/>
      <c r="AD321" s="1732"/>
      <c r="AE321" s="1732"/>
      <c r="AF321" s="1732"/>
      <c r="AG321" s="1733"/>
      <c r="AH321" s="2563"/>
      <c r="AI321" s="2325"/>
    </row>
    <row r="322" ht="3.75" customHeight="1">
      <c r="A322" s="2326"/>
      <c r="B322" s="2327"/>
      <c r="C322" s="2335"/>
      <c r="D322" s="2336"/>
      <c r="E322" s="2337"/>
      <c r="F322" s="2337"/>
      <c r="G322" s="2337"/>
      <c r="H322" s="2337"/>
      <c r="I322" s="2336"/>
      <c r="J322" s="2337"/>
      <c r="K322" s="2337"/>
      <c r="L322" s="2337"/>
      <c r="M322" s="2337"/>
      <c r="N322" s="2336"/>
      <c r="O322" s="2337"/>
      <c r="P322" s="2337"/>
      <c r="Q322" s="2337"/>
      <c r="R322" s="2337"/>
      <c r="S322" s="2336"/>
      <c r="T322" s="2337"/>
      <c r="U322" s="2337"/>
      <c r="V322" s="2337"/>
      <c r="W322" s="2337"/>
      <c r="X322" s="2336"/>
      <c r="Y322" s="2337"/>
      <c r="Z322" s="2337"/>
      <c r="AA322" s="2337"/>
      <c r="AB322" s="2337"/>
      <c r="AC322" s="2336"/>
      <c r="AD322" s="2337"/>
      <c r="AE322" s="2337"/>
      <c r="AF322" s="2337"/>
      <c r="AG322" s="2337"/>
      <c r="AH322" s="2334"/>
      <c r="AI322" s="2325"/>
    </row>
    <row r="323">
      <c r="A323" s="2319"/>
      <c r="B323" s="2403"/>
      <c r="C323" s="2396"/>
      <c r="D323" s="2396"/>
      <c r="E323" s="2711" t="s">
        <v>1091</v>
      </c>
      <c r="F323" s="2332"/>
      <c r="G323" s="2332"/>
      <c r="H323" s="2332"/>
      <c r="I323" s="2332"/>
      <c r="J323" s="2332"/>
      <c r="K323" s="2332"/>
      <c r="L323" s="2332"/>
      <c r="M323" s="2332"/>
      <c r="N323" s="2332"/>
      <c r="O323" s="2332"/>
      <c r="P323" s="2332"/>
      <c r="Q323" s="2332"/>
      <c r="R323" s="2332"/>
      <c r="S323" s="2332"/>
      <c r="T323" s="2332"/>
      <c r="U323" s="2332"/>
      <c r="V323" s="2332"/>
      <c r="W323" s="2332"/>
      <c r="X323" s="2332"/>
      <c r="Y323" s="2332"/>
      <c r="Z323" s="2332"/>
      <c r="AA323" s="2332"/>
      <c r="AB323" s="2332"/>
      <c r="AC323" s="2332"/>
      <c r="AD323" s="2332"/>
      <c r="AE323" s="2332"/>
      <c r="AF323" s="2332"/>
      <c r="AG323" s="420"/>
      <c r="AH323" s="2563"/>
      <c r="AI323" s="2325"/>
    </row>
    <row r="324" ht="96.75" customHeight="1">
      <c r="A324" s="2319"/>
      <c r="B324" s="2339"/>
      <c r="C324" s="2340" t="str">
        <f>IMAGE("https://i.ibb.co/fXwks6z/Rival.png")</f>
        <v/>
      </c>
      <c r="D324" s="2341"/>
      <c r="E324" s="2712" t="str">
        <f t="array" ref="E324">IFERROR(VLOOKUP(E325,Dex!$B$3:$G422,3,FALSE),"")</f>
        <v/>
      </c>
      <c r="F324" s="1945"/>
      <c r="G324" s="1945"/>
      <c r="H324" s="1946"/>
      <c r="I324" s="2713"/>
      <c r="J324" s="2712" t="str">
        <f t="array" ref="J324">IFERROR(VLOOKUP(J325,Dex!$B$3:$G422,3,FALSE),"")</f>
        <v/>
      </c>
      <c r="K324" s="1945"/>
      <c r="L324" s="1945"/>
      <c r="M324" s="1946"/>
      <c r="N324" s="2713"/>
      <c r="O324" s="2712" t="str">
        <f t="array" ref="O324">IFERROR(VLOOKUP(O325,Dex!$B$3:$G422,3,FALSE),"")</f>
        <v/>
      </c>
      <c r="P324" s="1945"/>
      <c r="Q324" s="1945"/>
      <c r="R324" s="1946"/>
      <c r="S324" s="2713"/>
      <c r="T324" s="2712" t="str">
        <f t="array" ref="T324">IFERROR(VLOOKUP(T325,Dex!$B$3:$G422,3,FALSE),"")</f>
        <v/>
      </c>
      <c r="U324" s="1945"/>
      <c r="V324" s="1945"/>
      <c r="W324" s="1946"/>
      <c r="X324" s="2713"/>
      <c r="Y324" s="2712" t="str">
        <f t="array" ref="Y324">IFERROR(VLOOKUP(Y325,Dex!$B$3:$G422,3,FALSE),"")</f>
        <v/>
      </c>
      <c r="Z324" s="1945"/>
      <c r="AA324" s="1945"/>
      <c r="AB324" s="1946"/>
      <c r="AC324" s="2713"/>
      <c r="AD324" s="2712" t="str">
        <f t="array" ref="AD324">IFERROR(VLOOKUP(AD325,Dex!$B$3:$G422,3,FALSE),"")</f>
        <v/>
      </c>
      <c r="AE324" s="1945"/>
      <c r="AF324" s="1945"/>
      <c r="AG324" s="1946"/>
      <c r="AH324" s="2563"/>
      <c r="AI324" s="2325"/>
    </row>
    <row r="325" ht="18.75" customHeight="1">
      <c r="A325" s="2347"/>
      <c r="B325" s="2348"/>
      <c r="C325" s="2349" t="s">
        <v>1092</v>
      </c>
      <c r="D325" s="2420"/>
      <c r="E325" s="2351" t="s">
        <v>1093</v>
      </c>
      <c r="F325" s="2352"/>
      <c r="G325" s="2352"/>
      <c r="H325" s="2353"/>
      <c r="I325" s="2420"/>
      <c r="J325" s="2351" t="s">
        <v>1094</v>
      </c>
      <c r="K325" s="2352"/>
      <c r="L325" s="2352"/>
      <c r="M325" s="2353"/>
      <c r="N325" s="2420"/>
      <c r="O325" s="2351" t="s">
        <v>1044</v>
      </c>
      <c r="P325" s="2352"/>
      <c r="Q325" s="2352"/>
      <c r="R325" s="2353"/>
      <c r="S325" s="2420"/>
      <c r="T325" s="2351" t="s">
        <v>1095</v>
      </c>
      <c r="U325" s="2352"/>
      <c r="V325" s="2352"/>
      <c r="W325" s="2353"/>
      <c r="X325" s="2420"/>
      <c r="Y325" s="2351" t="s">
        <v>1096</v>
      </c>
      <c r="Z325" s="2352"/>
      <c r="AA325" s="2352"/>
      <c r="AB325" s="2353"/>
      <c r="AC325" s="2420"/>
      <c r="AD325" s="2351" t="s">
        <v>1048</v>
      </c>
      <c r="AE325" s="2352"/>
      <c r="AF325" s="2352"/>
      <c r="AG325" s="2353"/>
      <c r="AH325" s="2564"/>
      <c r="AI325" s="2357"/>
    </row>
    <row r="326">
      <c r="A326" s="2319"/>
      <c r="B326" s="2358"/>
      <c r="C326" s="556"/>
      <c r="D326" s="2359"/>
      <c r="E326" s="2360" t="s">
        <v>729</v>
      </c>
      <c r="F326" s="2361"/>
      <c r="G326" s="2361"/>
      <c r="H326" s="2362"/>
      <c r="I326" s="2420"/>
      <c r="J326" s="2360" t="s">
        <v>729</v>
      </c>
      <c r="K326" s="2361"/>
      <c r="L326" s="2361"/>
      <c r="M326" s="2362"/>
      <c r="N326" s="2420"/>
      <c r="O326" s="2360" t="s">
        <v>729</v>
      </c>
      <c r="P326" s="2361"/>
      <c r="Q326" s="2361"/>
      <c r="R326" s="2362"/>
      <c r="S326" s="2420"/>
      <c r="T326" s="2360" t="s">
        <v>729</v>
      </c>
      <c r="U326" s="2361"/>
      <c r="V326" s="2361"/>
      <c r="W326" s="2362"/>
      <c r="X326" s="2420"/>
      <c r="Y326" s="2360" t="s">
        <v>729</v>
      </c>
      <c r="Z326" s="2361"/>
      <c r="AA326" s="2361"/>
      <c r="AB326" s="2362"/>
      <c r="AC326" s="2420"/>
      <c r="AD326" s="2360" t="s">
        <v>729</v>
      </c>
      <c r="AE326" s="2361"/>
      <c r="AF326" s="2361"/>
      <c r="AG326" s="2362"/>
      <c r="AH326" s="2563"/>
      <c r="AI326" s="2325"/>
    </row>
    <row r="327" ht="25.5" customHeight="1">
      <c r="A327" s="2319"/>
      <c r="B327" s="2327"/>
      <c r="C327" s="2363"/>
      <c r="D327" s="2364"/>
      <c r="E327" s="2365"/>
      <c r="F327" s="2369" t="str">
        <f t="array" ref="F327">IFERROR(VLOOKUP(E325,Dex!$B$3:$H422,5,FALSE),"")</f>
        <v/>
      </c>
      <c r="G327" s="2370" t="str">
        <f t="array" ref="G327">IFERROR(VLOOKUP(E325,Dex!$B$3:$H422,7,FALSE),"")</f>
        <v/>
      </c>
      <c r="H327" s="2368"/>
      <c r="I327" s="2714"/>
      <c r="J327" s="2365"/>
      <c r="K327" s="2369" t="str">
        <f t="array" ref="K327">IFERROR(VLOOKUP(J325,Dex!$B$3:$H422,5,FALSE),"")</f>
        <v/>
      </c>
      <c r="L327" s="2370" t="str">
        <f t="array" ref="L327">IFERROR(VLOOKUP(J325,Dex!$B$3:$H422,7,FALSE),"")</f>
        <v/>
      </c>
      <c r="M327" s="2368"/>
      <c r="N327" s="2714"/>
      <c r="O327" s="2365"/>
      <c r="P327" s="2369" t="str">
        <f t="array" ref="P327">IFERROR(VLOOKUP(O325,Dex!$B$3:$H422,5,FALSE),"")</f>
        <v/>
      </c>
      <c r="Q327" s="2370" t="str">
        <f t="array" ref="Q327">IFERROR(VLOOKUP(O325,Dex!$B$3:$H422,7,FALSE),"")</f>
        <v/>
      </c>
      <c r="R327" s="2368"/>
      <c r="S327" s="2714"/>
      <c r="T327" s="2365"/>
      <c r="U327" s="2369" t="str">
        <f t="array" ref="U327">IFERROR(VLOOKUP(T325,Dex!$B$3:$H422,5,FALSE),"")</f>
        <v/>
      </c>
      <c r="V327" s="2370" t="str">
        <f t="array" ref="V327">IFERROR(VLOOKUP(T325,Dex!$B$3:$H422,7,FALSE),"")</f>
        <v/>
      </c>
      <c r="W327" s="2368"/>
      <c r="X327" s="2714"/>
      <c r="Y327" s="2365"/>
      <c r="Z327" s="2366" t="str">
        <f t="array" ref="Z327">IFERROR(VLOOKUP(Y325,Dex!$B$3:$H422,5,FALSE),"")</f>
        <v/>
      </c>
      <c r="AA327" s="2367"/>
      <c r="AB327" s="2368"/>
      <c r="AC327" s="2714"/>
      <c r="AD327" s="2365"/>
      <c r="AE327" s="2366" t="str">
        <f t="array" ref="AE327">IFERROR(VLOOKUP(AD325,Dex!$B$3:$H422,5,FALSE),"")</f>
        <v/>
      </c>
      <c r="AF327" s="2367"/>
      <c r="AG327" s="2368"/>
      <c r="AH327" s="2715"/>
      <c r="AI327" s="2325"/>
    </row>
    <row r="328" ht="2.25" customHeight="1">
      <c r="A328" s="2319"/>
      <c r="B328" s="2327"/>
      <c r="C328" s="2355"/>
      <c r="D328" s="2364"/>
      <c r="E328" s="2371"/>
      <c r="F328" s="2372"/>
      <c r="G328" s="2372"/>
      <c r="H328" s="2373"/>
      <c r="I328" s="2714"/>
      <c r="J328" s="2371"/>
      <c r="K328" s="2372"/>
      <c r="L328" s="2372"/>
      <c r="M328" s="2373"/>
      <c r="N328" s="2714"/>
      <c r="O328" s="2371"/>
      <c r="P328" s="2372"/>
      <c r="Q328" s="2372"/>
      <c r="R328" s="2373"/>
      <c r="S328" s="2714"/>
      <c r="T328" s="2371"/>
      <c r="U328" s="2372"/>
      <c r="V328" s="2372"/>
      <c r="W328" s="2373"/>
      <c r="X328" s="2714"/>
      <c r="Y328" s="2371"/>
      <c r="Z328" s="2372"/>
      <c r="AA328" s="2372"/>
      <c r="AB328" s="2373"/>
      <c r="AC328" s="2714"/>
      <c r="AD328" s="2371"/>
      <c r="AE328" s="2372"/>
      <c r="AF328" s="2372"/>
      <c r="AG328" s="2373"/>
      <c r="AH328" s="2715"/>
      <c r="AI328" s="2325"/>
    </row>
    <row r="329" ht="20.25" customHeight="1">
      <c r="A329" s="2319"/>
      <c r="B329" s="2327"/>
      <c r="C329" s="2375"/>
      <c r="D329" s="2329"/>
      <c r="E329" s="2376" t="s">
        <v>564</v>
      </c>
      <c r="F329" s="2377"/>
      <c r="G329" s="2377"/>
      <c r="H329" s="2378"/>
      <c r="I329" s="2716"/>
      <c r="J329" s="2376" t="s">
        <v>1097</v>
      </c>
      <c r="K329" s="2377"/>
      <c r="L329" s="2377"/>
      <c r="M329" s="2378"/>
      <c r="N329" s="2716"/>
      <c r="O329" s="2376" t="s">
        <v>565</v>
      </c>
      <c r="P329" s="2377"/>
      <c r="Q329" s="2377"/>
      <c r="R329" s="2378"/>
      <c r="S329" s="2716"/>
      <c r="T329" s="2376" t="s">
        <v>532</v>
      </c>
      <c r="U329" s="2377"/>
      <c r="V329" s="2377"/>
      <c r="W329" s="2378"/>
      <c r="X329" s="2716"/>
      <c r="Y329" s="2376" t="s">
        <v>531</v>
      </c>
      <c r="Z329" s="2377"/>
      <c r="AA329" s="2377"/>
      <c r="AB329" s="2378"/>
      <c r="AC329" s="2716"/>
      <c r="AD329" s="2376" t="s">
        <v>564</v>
      </c>
      <c r="AE329" s="2377"/>
      <c r="AF329" s="2377"/>
      <c r="AG329" s="2378"/>
      <c r="AH329" s="2563"/>
      <c r="AI329" s="2325"/>
    </row>
    <row r="330">
      <c r="A330" s="2319"/>
      <c r="B330" s="2327"/>
      <c r="C330" s="2379"/>
      <c r="D330" s="2329"/>
      <c r="E330" s="2380" t="s">
        <v>1098</v>
      </c>
      <c r="F330" s="2332"/>
      <c r="G330" s="2332"/>
      <c r="H330" s="2381"/>
      <c r="I330" s="2716"/>
      <c r="J330" s="2380" t="s">
        <v>1099</v>
      </c>
      <c r="K330" s="2332"/>
      <c r="L330" s="2332"/>
      <c r="M330" s="2381"/>
      <c r="N330" s="2716"/>
      <c r="O330" s="2380" t="s">
        <v>120</v>
      </c>
      <c r="P330" s="2332"/>
      <c r="Q330" s="2332"/>
      <c r="R330" s="2381"/>
      <c r="S330" s="2716"/>
      <c r="T330" s="2380" t="s">
        <v>533</v>
      </c>
      <c r="U330" s="2332"/>
      <c r="V330" s="2332"/>
      <c r="W330" s="2381"/>
      <c r="X330" s="2716"/>
      <c r="Y330" s="2380" t="s">
        <v>1100</v>
      </c>
      <c r="Z330" s="2332"/>
      <c r="AA330" s="2332"/>
      <c r="AB330" s="2381"/>
      <c r="AC330" s="2716"/>
      <c r="AD330" s="2380" t="s">
        <v>1101</v>
      </c>
      <c r="AE330" s="2332"/>
      <c r="AF330" s="2332"/>
      <c r="AG330" s="2381"/>
      <c r="AH330" s="2563"/>
      <c r="AI330" s="2325"/>
    </row>
    <row r="331" ht="20.25" customHeight="1">
      <c r="A331" s="2319"/>
      <c r="B331" s="2327"/>
      <c r="C331" s="2355"/>
      <c r="D331" s="2329"/>
      <c r="E331" s="2382" t="s">
        <v>687</v>
      </c>
      <c r="F331" s="2383"/>
      <c r="G331" s="2384"/>
      <c r="H331" s="2385"/>
      <c r="I331" s="2354"/>
      <c r="J331" s="2382" t="s">
        <v>892</v>
      </c>
      <c r="K331" s="2383"/>
      <c r="L331" s="2384"/>
      <c r="M331" s="2385"/>
      <c r="N331" s="2354"/>
      <c r="O331" s="2382" t="s">
        <v>710</v>
      </c>
      <c r="P331" s="2383"/>
      <c r="Q331" s="2384"/>
      <c r="R331" s="2385"/>
      <c r="S331" s="2354"/>
      <c r="T331" s="2382" t="s">
        <v>540</v>
      </c>
      <c r="U331" s="2383"/>
      <c r="V331" s="2384"/>
      <c r="W331" s="2385"/>
      <c r="X331" s="2354"/>
      <c r="Y331" s="2382" t="s">
        <v>733</v>
      </c>
      <c r="Z331" s="2383"/>
      <c r="AA331" s="2384"/>
      <c r="AB331" s="2385"/>
      <c r="AC331" s="2354"/>
      <c r="AD331" s="2382" t="s">
        <v>1053</v>
      </c>
      <c r="AE331" s="2383"/>
      <c r="AF331" s="2384"/>
      <c r="AG331" s="2385"/>
      <c r="AH331" s="2715"/>
      <c r="AI331" s="2325"/>
    </row>
    <row r="332" ht="20.25" customHeight="1">
      <c r="A332" s="2319"/>
      <c r="B332" s="2327"/>
      <c r="C332" s="2375"/>
      <c r="D332" s="2329"/>
      <c r="E332" s="2376" t="s">
        <v>546</v>
      </c>
      <c r="F332" s="2377"/>
      <c r="G332" s="2386"/>
      <c r="H332" s="2387" t="str">
        <f>IMAGE("https://raw.githubusercontent.com/msikma/pokesprite/master/misc/types/gen8/flying.png",4,20,20)</f>
        <v/>
      </c>
      <c r="I332" s="2354"/>
      <c r="J332" s="2376" t="s">
        <v>1028</v>
      </c>
      <c r="K332" s="2377"/>
      <c r="L332" s="2386"/>
      <c r="M332" s="2387" t="str">
        <f t="shared" ref="M332:M333" si="17">IMAGE("https://raw.githubusercontent.com/msikma/pokesprite/master/misc/types/gen8/grass.png",4,20,20)</f>
        <v/>
      </c>
      <c r="N332" s="2354"/>
      <c r="O332" s="2376" t="s">
        <v>147</v>
      </c>
      <c r="P332" s="2377"/>
      <c r="Q332" s="2386"/>
      <c r="R332" s="2387" t="str">
        <f t="shared" ref="R332:R333" si="18">IMAGE("https://raw.githubusercontent.com/msikma/pokesprite/master/misc/types/gen8/steel.png",4,20,20)</f>
        <v/>
      </c>
      <c r="S332" s="2354"/>
      <c r="T332" s="2376" t="s">
        <v>1102</v>
      </c>
      <c r="U332" s="2377"/>
      <c r="V332" s="2386"/>
      <c r="W332" s="2387" t="str">
        <f>IMAGE("https://raw.githubusercontent.com/msikma/pokesprite/master/misc/types/gen8/water.png",4,20,20)</f>
        <v/>
      </c>
      <c r="X332" s="2354"/>
      <c r="Y332" s="2376" t="s">
        <v>844</v>
      </c>
      <c r="Z332" s="2377"/>
      <c r="AA332" s="2386"/>
      <c r="AB332" s="2387" t="str">
        <f>IMAGE("https://raw.githubusercontent.com/msikma/pokesprite/master/misc/types/gen8/electric.png",4,20,20)</f>
        <v/>
      </c>
      <c r="AC332" s="2354"/>
      <c r="AD332" s="2376" t="s">
        <v>273</v>
      </c>
      <c r="AE332" s="2377"/>
      <c r="AF332" s="2386"/>
      <c r="AG332" s="2387" t="str">
        <f>IMAGE("https://raw.githubusercontent.com/msikma/pokesprite/master/misc/types/gen8/normal.png",4,20,20)</f>
        <v/>
      </c>
      <c r="AH332" s="2715"/>
      <c r="AI332" s="2325"/>
    </row>
    <row r="333" ht="20.25" customHeight="1">
      <c r="A333" s="2319"/>
      <c r="B333" s="2327"/>
      <c r="C333" s="2328"/>
      <c r="D333" s="2329"/>
      <c r="E333" s="2380" t="s">
        <v>844</v>
      </c>
      <c r="F333" s="2332"/>
      <c r="G333" s="420"/>
      <c r="H333" s="2388" t="str">
        <f>IMAGE("https://raw.githubusercontent.com/msikma/pokesprite/master/misc/types/gen8/electric.png",4,20,20)</f>
        <v/>
      </c>
      <c r="I333" s="2354"/>
      <c r="J333" s="2380" t="s">
        <v>616</v>
      </c>
      <c r="K333" s="2332"/>
      <c r="L333" s="420"/>
      <c r="M333" s="2388" t="str">
        <f t="shared" si="17"/>
        <v/>
      </c>
      <c r="N333" s="2354"/>
      <c r="O333" s="2380" t="s">
        <v>739</v>
      </c>
      <c r="P333" s="2332"/>
      <c r="Q333" s="420"/>
      <c r="R333" s="2388" t="str">
        <f t="shared" si="18"/>
        <v/>
      </c>
      <c r="S333" s="2354"/>
      <c r="T333" s="2380" t="s">
        <v>1103</v>
      </c>
      <c r="U333" s="2332"/>
      <c r="V333" s="420"/>
      <c r="W333" s="2388" t="str">
        <f>IMAGE("https://raw.githubusercontent.com/msikma/pokesprite/master/misc/types/gen8/ghost.png",4,20,20)</f>
        <v/>
      </c>
      <c r="X333" s="2354"/>
      <c r="Y333" s="2380" t="s">
        <v>649</v>
      </c>
      <c r="Z333" s="2332"/>
      <c r="AA333" s="420"/>
      <c r="AB333" s="2388" t="str">
        <f>IMAGE("https://raw.githubusercontent.com/msikma/pokesprite/master/misc/types/gen8/water.png",4,20,20)</f>
        <v/>
      </c>
      <c r="AC333" s="2354"/>
      <c r="AD333" s="2380" t="s">
        <v>666</v>
      </c>
      <c r="AE333" s="2332"/>
      <c r="AF333" s="420"/>
      <c r="AG333" s="2388" t="str">
        <f>IMAGE("https://raw.githubusercontent.com/msikma/pokesprite/master/misc/types/gen8/dark.png",4,20,20)</f>
        <v/>
      </c>
      <c r="AH333" s="2715"/>
      <c r="AI333" s="2325"/>
    </row>
    <row r="334" ht="20.25" customHeight="1">
      <c r="A334" s="2319"/>
      <c r="B334" s="2327"/>
      <c r="C334" s="2328"/>
      <c r="D334" s="2329"/>
      <c r="E334" s="2380" t="s">
        <v>699</v>
      </c>
      <c r="F334" s="2332"/>
      <c r="G334" s="420"/>
      <c r="H334" s="2388" t="str">
        <f>IMAGE("https://raw.githubusercontent.com/msikma/pokesprite/master/misc/types/gen8/water.png",4,20,20)</f>
        <v/>
      </c>
      <c r="I334" s="2354"/>
      <c r="J334" s="2380" t="s">
        <v>502</v>
      </c>
      <c r="K334" s="2332"/>
      <c r="L334" s="420"/>
      <c r="M334" s="2388" t="str">
        <f>IMAGE("https://raw.githubusercontent.com/msikma/pokesprite/master/misc/types/gen8/steel.png",4,20,20)</f>
        <v/>
      </c>
      <c r="N334" s="2354"/>
      <c r="O334" s="2380" t="s">
        <v>805</v>
      </c>
      <c r="P334" s="2332"/>
      <c r="Q334" s="420"/>
      <c r="R334" s="2388" t="str">
        <f>IMAGE("https://raw.githubusercontent.com/msikma/pokesprite/master/misc/types/gen8/flying.png",4,20,20)</f>
        <v/>
      </c>
      <c r="S334" s="2354"/>
      <c r="T334" s="2380" t="s">
        <v>542</v>
      </c>
      <c r="U334" s="2332"/>
      <c r="V334" s="420"/>
      <c r="W334" s="2388" t="str">
        <f>IMAGE("https://raw.githubusercontent.com/msikma/pokesprite/master/misc/types/gen8/water.png",4,20,20)</f>
        <v/>
      </c>
      <c r="X334" s="2354"/>
      <c r="Y334" s="2380" t="s">
        <v>670</v>
      </c>
      <c r="Z334" s="2332"/>
      <c r="AA334" s="420"/>
      <c r="AB334" s="2388" t="str">
        <f>IMAGE("https://raw.githubusercontent.com/msikma/pokesprite/master/misc/types/gen8/ice.png",4,20,20)</f>
        <v/>
      </c>
      <c r="AC334" s="2354"/>
      <c r="AD334" s="2380" t="s">
        <v>649</v>
      </c>
      <c r="AE334" s="2332"/>
      <c r="AF334" s="420"/>
      <c r="AG334" s="2388" t="str">
        <f>IMAGE("https://raw.githubusercontent.com/msikma/pokesprite/master/misc/types/gen8/water.png",4,20,20)</f>
        <v/>
      </c>
      <c r="AH334" s="2715"/>
      <c r="AI334" s="2325"/>
    </row>
    <row r="335" ht="21.0" customHeight="1">
      <c r="A335" s="2319"/>
      <c r="B335" s="2327"/>
      <c r="C335" s="2328"/>
      <c r="D335" s="2329"/>
      <c r="E335" s="2389" t="s">
        <v>551</v>
      </c>
      <c r="F335" s="2390"/>
      <c r="G335" s="2391"/>
      <c r="H335" s="2392" t="str">
        <f>IMAGE("https://raw.githubusercontent.com/msikma/pokesprite/master/misc/types/gen8/flying.png",4,20,20)</f>
        <v/>
      </c>
      <c r="I335" s="2354"/>
      <c r="J335" s="2389" t="s">
        <v>844</v>
      </c>
      <c r="K335" s="2390"/>
      <c r="L335" s="2391"/>
      <c r="M335" s="2392" t="str">
        <f>IMAGE("https://raw.githubusercontent.com/msikma/pokesprite/master/misc/types/gen8/electric.png",4,20,20)</f>
        <v/>
      </c>
      <c r="N335" s="2354"/>
      <c r="O335" s="2389" t="s">
        <v>543</v>
      </c>
      <c r="P335" s="2390"/>
      <c r="Q335" s="2391"/>
      <c r="R335" s="2392" t="str">
        <f>IMAGE("https://raw.githubusercontent.com/msikma/pokesprite/master/misc/types/gen8/grass.png",4,20,20)</f>
        <v/>
      </c>
      <c r="S335" s="2354"/>
      <c r="T335" s="2389" t="s">
        <v>741</v>
      </c>
      <c r="U335" s="2390"/>
      <c r="V335" s="2391"/>
      <c r="W335" s="2392" t="str">
        <f>IMAGE("https://raw.githubusercontent.com/msikma/pokesprite/master/misc/types/gen8/psychic.png",4,20,20)</f>
        <v/>
      </c>
      <c r="X335" s="2354"/>
      <c r="Y335" s="2389" t="s">
        <v>738</v>
      </c>
      <c r="Z335" s="2390"/>
      <c r="AA335" s="2391"/>
      <c r="AB335" s="2392" t="str">
        <f>IMAGE("https://raw.githubusercontent.com/msikma/pokesprite/master/misc/types/gen8/psychic.png",4,20,20)</f>
        <v/>
      </c>
      <c r="AC335" s="2354"/>
      <c r="AD335" s="2389" t="s">
        <v>670</v>
      </c>
      <c r="AE335" s="2390"/>
      <c r="AF335" s="2391"/>
      <c r="AG335" s="2392" t="str">
        <f>IMAGE("https://raw.githubusercontent.com/msikma/pokesprite/master/misc/types/gen8/ice.png",4,20,20)</f>
        <v/>
      </c>
      <c r="AH335" s="2715"/>
      <c r="AI335" s="2325"/>
    </row>
    <row r="336" ht="3.0" customHeight="1">
      <c r="A336" s="2394"/>
      <c r="B336" s="2395"/>
      <c r="C336" s="2396"/>
      <c r="D336" s="2397"/>
      <c r="E336" s="2398"/>
      <c r="F336" s="2398"/>
      <c r="G336" s="2398"/>
      <c r="H336" s="2398"/>
      <c r="I336" s="2397"/>
      <c r="J336" s="2398"/>
      <c r="K336" s="2398"/>
      <c r="L336" s="2398"/>
      <c r="M336" s="2398"/>
      <c r="N336" s="2397"/>
      <c r="O336" s="2398"/>
      <c r="P336" s="2398"/>
      <c r="Q336" s="2398"/>
      <c r="R336" s="2398"/>
      <c r="S336" s="2397"/>
      <c r="T336" s="2398"/>
      <c r="U336" s="2398"/>
      <c r="V336" s="2398"/>
      <c r="W336" s="2398"/>
      <c r="X336" s="2397"/>
      <c r="Y336" s="2398"/>
      <c r="Z336" s="2398"/>
      <c r="AA336" s="2398"/>
      <c r="AB336" s="2398"/>
      <c r="AC336" s="2397"/>
      <c r="AD336" s="2398"/>
      <c r="AE336" s="2398"/>
      <c r="AF336" s="2398"/>
      <c r="AG336" s="2398"/>
      <c r="AH336" s="2401"/>
      <c r="AI336" s="2402"/>
    </row>
    <row r="337" ht="16.5" customHeight="1">
      <c r="A337" s="2326"/>
      <c r="B337" s="2403"/>
      <c r="C337" s="2396"/>
      <c r="D337" s="2404"/>
      <c r="E337" s="726" t="s">
        <v>512</v>
      </c>
      <c r="F337" s="606"/>
      <c r="G337" s="606"/>
      <c r="H337" s="607"/>
      <c r="I337" s="2717"/>
      <c r="J337" s="726" t="s">
        <v>512</v>
      </c>
      <c r="K337" s="606"/>
      <c r="L337" s="606"/>
      <c r="M337" s="607"/>
      <c r="N337" s="2717"/>
      <c r="O337" s="726" t="s">
        <v>512</v>
      </c>
      <c r="P337" s="606"/>
      <c r="Q337" s="606"/>
      <c r="R337" s="607"/>
      <c r="S337" s="2717"/>
      <c r="T337" s="726" t="s">
        <v>512</v>
      </c>
      <c r="U337" s="606"/>
      <c r="V337" s="606"/>
      <c r="W337" s="607"/>
      <c r="X337" s="2717"/>
      <c r="Y337" s="726" t="s">
        <v>512</v>
      </c>
      <c r="Z337" s="606"/>
      <c r="AA337" s="606"/>
      <c r="AB337" s="607"/>
      <c r="AC337" s="2717"/>
      <c r="AD337" s="726" t="s">
        <v>512</v>
      </c>
      <c r="AE337" s="606"/>
      <c r="AF337" s="606"/>
      <c r="AG337" s="607"/>
      <c r="AH337" s="2718"/>
      <c r="AI337" s="2411"/>
    </row>
    <row r="338" ht="16.5" customHeight="1">
      <c r="A338" s="2326"/>
      <c r="B338" s="2403"/>
      <c r="C338" s="2396"/>
      <c r="D338" s="2404"/>
      <c r="E338" s="731" t="s">
        <v>513</v>
      </c>
      <c r="F338" s="732">
        <f t="array" ref="F338">IFERROR(VLOOKUP(E325,Dex!$B$3:$N422,8,FALSE),"")</f>
        <v>90</v>
      </c>
      <c r="G338" s="733" t="str">
        <f t="array" ref="G338">IFERROR(VLOOKUP(F338,Dex!$P$22:$Q$276,2,FALSE),"")</f>
        <v/>
      </c>
      <c r="H338" s="734"/>
      <c r="I338" s="2717"/>
      <c r="J338" s="731" t="s">
        <v>513</v>
      </c>
      <c r="K338" s="732">
        <f t="array" ref="K338">IFERROR(VLOOKUP(J325,Dex!$B$3:$N422,8,FALSE),"")</f>
        <v>74</v>
      </c>
      <c r="L338" s="733" t="str">
        <f t="array" ref="L338">IFERROR(VLOOKUP(K338,Dex!$P$22:$Q$276,2,FALSE),"")</f>
        <v/>
      </c>
      <c r="M338" s="734"/>
      <c r="N338" s="2717"/>
      <c r="O338" s="731" t="s">
        <v>513</v>
      </c>
      <c r="P338" s="732">
        <f t="array" ref="P338">IFERROR(VLOOKUP(O325,Dex!$B$3:$N422,8,FALSE),"")</f>
        <v>97</v>
      </c>
      <c r="Q338" s="733" t="str">
        <f t="array" ref="Q338">IFERROR(VLOOKUP(P338,Dex!$P$22:$Q$276,2,FALSE),"")</f>
        <v/>
      </c>
      <c r="R338" s="734"/>
      <c r="S338" s="2717"/>
      <c r="T338" s="731" t="s">
        <v>513</v>
      </c>
      <c r="U338" s="732">
        <f t="array" ref="U338">IFERROR(VLOOKUP(T325,Dex!$B$3:$N422,8,FALSE),"")</f>
        <v>120</v>
      </c>
      <c r="V338" s="733" t="str">
        <f t="array" ref="V338">IFERROR(VLOOKUP(U338,Dex!$P$22:$Q$276,2,FALSE),"")</f>
        <v/>
      </c>
      <c r="W338" s="734"/>
      <c r="X338" s="2717"/>
      <c r="Y338" s="731" t="s">
        <v>513</v>
      </c>
      <c r="Z338" s="732">
        <f t="array" ref="Z338">IFERROR(VLOOKUP(Y325,Dex!$B$3:$N422,8,FALSE),"")</f>
        <v>90</v>
      </c>
      <c r="AA338" s="733" t="str">
        <f t="array" ref="AA338">IFERROR(VLOOKUP(Z338,Dex!$P$22:$Q$276,2,FALSE),"")</f>
        <v/>
      </c>
      <c r="AB338" s="734"/>
      <c r="AC338" s="2717"/>
      <c r="AD338" s="731" t="s">
        <v>513</v>
      </c>
      <c r="AE338" s="732">
        <f t="array" ref="AE338">IFERROR(VLOOKUP(AD325,Dex!$B$3:$N422,8,FALSE),"")</f>
        <v>79</v>
      </c>
      <c r="AF338" s="733" t="str">
        <f t="array" ref="AF338">IFERROR(VLOOKUP(AE338,Dex!$P$22:$Q$276,2,FALSE),"")</f>
        <v/>
      </c>
      <c r="AG338" s="734"/>
      <c r="AH338" s="2719"/>
      <c r="AI338" s="2411"/>
    </row>
    <row r="339" ht="16.5" customHeight="1">
      <c r="A339" s="2326"/>
      <c r="B339" s="2403"/>
      <c r="C339" s="2396"/>
      <c r="D339" s="2404"/>
      <c r="E339" s="738" t="s">
        <v>514</v>
      </c>
      <c r="F339" s="739">
        <f t="array" ref="F339">IFERROR(VLOOKUP(E325,Dex!$B$3:$N422,9,FALSE),"")</f>
        <v>90</v>
      </c>
      <c r="G339" s="740" t="str">
        <f t="array" ref="G339">IFERROR(VLOOKUP(F339,Dex!$P$22:$Q$276,2,FALSE),"")</f>
        <v/>
      </c>
      <c r="H339" s="741"/>
      <c r="I339" s="2717"/>
      <c r="J339" s="738" t="s">
        <v>514</v>
      </c>
      <c r="K339" s="739">
        <f t="array" ref="K339">IFERROR(VLOOKUP(J325,Dex!$B$3:$N422,9,FALSE),"")</f>
        <v>94</v>
      </c>
      <c r="L339" s="740" t="str">
        <f t="array" ref="L339">IFERROR(VLOOKUP(K339,Dex!$P$22:$Q$276,2,FALSE),"")</f>
        <v/>
      </c>
      <c r="M339" s="741"/>
      <c r="N339" s="2717"/>
      <c r="O339" s="738" t="s">
        <v>514</v>
      </c>
      <c r="P339" s="739">
        <f t="array" ref="P339">IFERROR(VLOOKUP(O325,Dex!$B$3:$N422,9,FALSE),"")</f>
        <v>101</v>
      </c>
      <c r="Q339" s="740" t="str">
        <f t="array" ref="Q339">IFERROR(VLOOKUP(P339,Dex!$P$22:$Q$276,2,FALSE),"")</f>
        <v/>
      </c>
      <c r="R339" s="741"/>
      <c r="S339" s="2717"/>
      <c r="T339" s="738" t="s">
        <v>514</v>
      </c>
      <c r="U339" s="739">
        <f t="array" ref="U339">IFERROR(VLOOKUP(T325,Dex!$B$3:$N422,9,FALSE),"")</f>
        <v>112</v>
      </c>
      <c r="V339" s="740" t="str">
        <f t="array" ref="V339">IFERROR(VLOOKUP(U339,Dex!$P$22:$Q$276,2,FALSE),"")</f>
        <v/>
      </c>
      <c r="W339" s="741"/>
      <c r="X339" s="2717"/>
      <c r="Y339" s="738" t="s">
        <v>514</v>
      </c>
      <c r="Z339" s="739">
        <f t="array" ref="Z339">IFERROR(VLOOKUP(Y325,Dex!$B$3:$N422,9,FALSE),"")</f>
        <v>100</v>
      </c>
      <c r="AA339" s="740" t="str">
        <f t="array" ref="AA339">IFERROR(VLOOKUP(Z339,Dex!$P$22:$Q$276,2,FALSE),"")</f>
        <v/>
      </c>
      <c r="AB339" s="741"/>
      <c r="AC339" s="2717"/>
      <c r="AD339" s="738" t="s">
        <v>514</v>
      </c>
      <c r="AE339" s="739">
        <f t="array" ref="AE339">IFERROR(VLOOKUP(AD325,Dex!$B$3:$N422,9,FALSE),"")</f>
        <v>103</v>
      </c>
      <c r="AF339" s="740" t="str">
        <f t="array" ref="AF339">IFERROR(VLOOKUP(AE339,Dex!$P$22:$Q$276,2,FALSE),"")</f>
        <v/>
      </c>
      <c r="AG339" s="741"/>
      <c r="AH339" s="2719"/>
      <c r="AI339" s="2411"/>
    </row>
    <row r="340" ht="16.5" customHeight="1">
      <c r="A340" s="2326"/>
      <c r="B340" s="2403"/>
      <c r="C340" s="2396"/>
      <c r="D340" s="2404"/>
      <c r="E340" s="738" t="s">
        <v>515</v>
      </c>
      <c r="F340" s="739">
        <f t="array" ref="F340">IFERROR(VLOOKUP(E325,Dex!$B$3:$N422,10,FALSE),"")</f>
        <v>85</v>
      </c>
      <c r="G340" s="740" t="str">
        <f t="array" ref="G340">IFERROR(VLOOKUP(F340,Dex!$P$22:$Q$276,2,FALSE),"")</f>
        <v/>
      </c>
      <c r="H340" s="741"/>
      <c r="I340" s="2717"/>
      <c r="J340" s="738" t="s">
        <v>515</v>
      </c>
      <c r="K340" s="739">
        <f t="array" ref="K340">IFERROR(VLOOKUP(J325,Dex!$B$3:$N422,10,FALSE),"")</f>
        <v>131</v>
      </c>
      <c r="L340" s="740" t="str">
        <f t="array" ref="L340">IFERROR(VLOOKUP(K340,Dex!$P$22:$Q$276,2,FALSE),"")</f>
        <v/>
      </c>
      <c r="M340" s="741"/>
      <c r="N340" s="2717"/>
      <c r="O340" s="738" t="s">
        <v>515</v>
      </c>
      <c r="P340" s="739">
        <f t="array" ref="P340">IFERROR(VLOOKUP(O325,Dex!$B$3:$N422,10,FALSE),"")</f>
        <v>103</v>
      </c>
      <c r="Q340" s="740" t="str">
        <f t="array" ref="Q340">IFERROR(VLOOKUP(P340,Dex!$P$22:$Q$276,2,FALSE),"")</f>
        <v/>
      </c>
      <c r="R340" s="741"/>
      <c r="S340" s="2717"/>
      <c r="T340" s="738" t="s">
        <v>515</v>
      </c>
      <c r="U340" s="739">
        <f t="array" ref="U340">IFERROR(VLOOKUP(T325,Dex!$B$3:$N422,10,FALSE),"")</f>
        <v>65</v>
      </c>
      <c r="V340" s="740" t="str">
        <f t="array" ref="V340">IFERROR(VLOOKUP(U340,Dex!$P$22:$Q$276,2,FALSE),"")</f>
        <v/>
      </c>
      <c r="W340" s="741"/>
      <c r="X340" s="2717"/>
      <c r="Y340" s="738" t="s">
        <v>515</v>
      </c>
      <c r="Z340" s="739">
        <f t="array" ref="Z340">IFERROR(VLOOKUP(Y325,Dex!$B$3:$N422,10,FALSE),"")</f>
        <v>70</v>
      </c>
      <c r="AA340" s="740" t="str">
        <f t="array" ref="AA340">IFERROR(VLOOKUP(Z340,Dex!$P$22:$Q$276,2,FALSE),"")</f>
        <v/>
      </c>
      <c r="AB340" s="741"/>
      <c r="AC340" s="2717"/>
      <c r="AD340" s="738" t="s">
        <v>515</v>
      </c>
      <c r="AE340" s="739">
        <f t="array" ref="AE340">IFERROR(VLOOKUP(AD325,Dex!$B$3:$N422,10,FALSE),"")</f>
        <v>120</v>
      </c>
      <c r="AF340" s="740" t="str">
        <f t="array" ref="AF340">IFERROR(VLOOKUP(AE340,Dex!$P$22:$Q$276,2,FALSE),"")</f>
        <v/>
      </c>
      <c r="AG340" s="741"/>
      <c r="AH340" s="2719"/>
      <c r="AI340" s="2411"/>
    </row>
    <row r="341" ht="16.5" customHeight="1">
      <c r="A341" s="2326"/>
      <c r="B341" s="2403"/>
      <c r="C341" s="2396"/>
      <c r="D341" s="2404"/>
      <c r="E341" s="738" t="s">
        <v>516</v>
      </c>
      <c r="F341" s="739">
        <f t="array" ref="F341">IFERROR(VLOOKUP(E325,Dex!$B$3:$N422,11,FALSE),"")</f>
        <v>125</v>
      </c>
      <c r="G341" s="740" t="str">
        <f t="array" ref="G341">IFERROR(VLOOKUP(F341,Dex!$P$22:$Q$276,2,FALSE),"")</f>
        <v/>
      </c>
      <c r="H341" s="741"/>
      <c r="I341" s="2717"/>
      <c r="J341" s="738" t="s">
        <v>516</v>
      </c>
      <c r="K341" s="739">
        <f t="array" ref="K341">IFERROR(VLOOKUP(J325,Dex!$B$3:$N422,11,FALSE),"")</f>
        <v>54</v>
      </c>
      <c r="L341" s="740" t="str">
        <f t="array" ref="L341">IFERROR(VLOOKUP(K341,Dex!$P$22:$Q$276,2,FALSE),"")</f>
        <v/>
      </c>
      <c r="M341" s="741"/>
      <c r="N341" s="2717"/>
      <c r="O341" s="738" t="s">
        <v>516</v>
      </c>
      <c r="P341" s="739">
        <f t="array" ref="P341">IFERROR(VLOOKUP(O325,Dex!$B$3:$N422,11,FALSE),"")</f>
        <v>107</v>
      </c>
      <c r="Q341" s="740" t="str">
        <f t="array" ref="Q341">IFERROR(VLOOKUP(P341,Dex!$P$22:$Q$276,2,FALSE),"")</f>
        <v/>
      </c>
      <c r="R341" s="741"/>
      <c r="S341" s="2717"/>
      <c r="T341" s="738" t="s">
        <v>516</v>
      </c>
      <c r="U341" s="739">
        <f t="array" ref="U341">IFERROR(VLOOKUP(T325,Dex!$B$3:$N422,11,FALSE),"")</f>
        <v>80</v>
      </c>
      <c r="V341" s="740" t="str">
        <f t="array" ref="V341">IFERROR(VLOOKUP(U341,Dex!$P$22:$Q$276,2,FALSE),"")</f>
        <v/>
      </c>
      <c r="W341" s="741"/>
      <c r="X341" s="2717"/>
      <c r="Y341" s="738" t="s">
        <v>516</v>
      </c>
      <c r="Z341" s="739">
        <f t="array" ref="Z341">IFERROR(VLOOKUP(Y325,Dex!$B$3:$N422,11,FALSE),"")</f>
        <v>110</v>
      </c>
      <c r="AA341" s="740" t="str">
        <f t="array" ref="AA341">IFERROR(VLOOKUP(Z341,Dex!$P$22:$Q$276,2,FALSE),"")</f>
        <v/>
      </c>
      <c r="AB341" s="741"/>
      <c r="AC341" s="2717"/>
      <c r="AD341" s="738" t="s">
        <v>516</v>
      </c>
      <c r="AE341" s="739">
        <f t="array" ref="AE341">IFERROR(VLOOKUP(AD325,Dex!$B$3:$N422,11,FALSE),"")</f>
        <v>135</v>
      </c>
      <c r="AF341" s="740" t="str">
        <f t="array" ref="AF341">IFERROR(VLOOKUP(AE341,Dex!$P$22:$Q$276,2,FALSE),"")</f>
        <v/>
      </c>
      <c r="AG341" s="741"/>
      <c r="AH341" s="2719"/>
      <c r="AI341" s="2411"/>
    </row>
    <row r="342" ht="16.5" customHeight="1">
      <c r="A342" s="2326"/>
      <c r="B342" s="2403"/>
      <c r="C342" s="2567"/>
      <c r="D342" s="2404"/>
      <c r="E342" s="738" t="s">
        <v>517</v>
      </c>
      <c r="F342" s="739">
        <f t="array" ref="F342">IFERROR(VLOOKUP(E325,Dex!$B$3:$N422,12,FALSE),"")</f>
        <v>90</v>
      </c>
      <c r="G342" s="740" t="str">
        <f t="array" ref="G342">IFERROR(VLOOKUP(F342,Dex!$P$22:$Q$276,2,FALSE),"")</f>
        <v/>
      </c>
      <c r="H342" s="741"/>
      <c r="I342" s="2717"/>
      <c r="J342" s="738" t="s">
        <v>517</v>
      </c>
      <c r="K342" s="739">
        <f t="array" ref="K342">IFERROR(VLOOKUP(J325,Dex!$B$3:$N422,12,FALSE),"")</f>
        <v>116</v>
      </c>
      <c r="L342" s="740" t="str">
        <f t="array" ref="L342">IFERROR(VLOOKUP(K342,Dex!$P$22:$Q$276,2,FALSE),"")</f>
        <v/>
      </c>
      <c r="M342" s="741"/>
      <c r="N342" s="2717"/>
      <c r="O342" s="738" t="s">
        <v>517</v>
      </c>
      <c r="P342" s="739">
        <f t="array" ref="P342">IFERROR(VLOOKUP(O325,Dex!$B$3:$N422,12,FALSE),"")</f>
        <v>101</v>
      </c>
      <c r="Q342" s="740" t="str">
        <f t="array" ref="Q342">IFERROR(VLOOKUP(P342,Dex!$P$22:$Q$276,2,FALSE),"")</f>
        <v/>
      </c>
      <c r="R342" s="741"/>
      <c r="S342" s="2717"/>
      <c r="T342" s="738" t="s">
        <v>517</v>
      </c>
      <c r="U342" s="739">
        <f t="array" ref="U342">IFERROR(VLOOKUP(T325,Dex!$B$3:$N422,12,FALSE),"")</f>
        <v>75</v>
      </c>
      <c r="V342" s="740" t="str">
        <f t="array" ref="V342">IFERROR(VLOOKUP(U342,Dex!$P$22:$Q$276,2,FALSE),"")</f>
        <v/>
      </c>
      <c r="W342" s="741"/>
      <c r="X342" s="2717"/>
      <c r="Y342" s="738" t="s">
        <v>517</v>
      </c>
      <c r="Z342" s="739">
        <f t="array" ref="Z342">IFERROR(VLOOKUP(Y325,Dex!$B$3:$N422,12,FALSE),"")</f>
        <v>150</v>
      </c>
      <c r="AA342" s="740" t="str">
        <f t="array" ref="AA342">IFERROR(VLOOKUP(Z342,Dex!$P$22:$Q$276,2,FALSE),"")</f>
        <v/>
      </c>
      <c r="AB342" s="741"/>
      <c r="AC342" s="2717"/>
      <c r="AD342" s="738" t="s">
        <v>517</v>
      </c>
      <c r="AE342" s="739">
        <f t="array" ref="AE342">IFERROR(VLOOKUP(AD325,Dex!$B$3:$N422,12,FALSE),"")</f>
        <v>115</v>
      </c>
      <c r="AF342" s="740" t="str">
        <f t="array" ref="AF342">IFERROR(VLOOKUP(AE342,Dex!$P$22:$Q$276,2,FALSE),"")</f>
        <v/>
      </c>
      <c r="AG342" s="741"/>
      <c r="AH342" s="2719"/>
      <c r="AI342" s="2411"/>
    </row>
    <row r="343" ht="15.75" customHeight="1">
      <c r="A343" s="2326"/>
      <c r="B343" s="2568"/>
      <c r="C343" s="1426" t="s">
        <v>745</v>
      </c>
      <c r="D343" s="2569"/>
      <c r="E343" s="742" t="s">
        <v>518</v>
      </c>
      <c r="F343" s="743">
        <f t="array" ref="F343">IFERROR(VLOOKUP(E325,Dex!$B$3:$N422,13,FALSE),"")</f>
        <v>100</v>
      </c>
      <c r="G343" s="744" t="str">
        <f t="array" ref="G343">IFERROR(VLOOKUP(F343,Dex!$P$22:$Q$276,2,FALSE),"")</f>
        <v/>
      </c>
      <c r="H343" s="745"/>
      <c r="I343" s="2720"/>
      <c r="J343" s="742" t="s">
        <v>518</v>
      </c>
      <c r="K343" s="743">
        <f t="array" ref="K343">IFERROR(VLOOKUP(J325,Dex!$B$3:$N422,13,FALSE),"")</f>
        <v>20</v>
      </c>
      <c r="L343" s="744" t="str">
        <f t="array" ref="L343">IFERROR(VLOOKUP(K343,Dex!$P$22:$Q$276,2,FALSE),"")</f>
        <v/>
      </c>
      <c r="M343" s="745"/>
      <c r="N343" s="2720"/>
      <c r="O343" s="742" t="s">
        <v>518</v>
      </c>
      <c r="P343" s="743">
        <f t="array" ref="P343">IFERROR(VLOOKUP(O325,Dex!$B$3:$N422,13,FALSE),"")</f>
        <v>61</v>
      </c>
      <c r="Q343" s="744" t="str">
        <f t="array" ref="Q343">IFERROR(VLOOKUP(P343,Dex!$P$22:$Q$276,2,FALSE),"")</f>
        <v/>
      </c>
      <c r="R343" s="745"/>
      <c r="S343" s="2720"/>
      <c r="T343" s="742" t="s">
        <v>518</v>
      </c>
      <c r="U343" s="743">
        <f t="array" ref="U343">IFERROR(VLOOKUP(T325,Dex!$B$3:$N422,13,FALSE),"")</f>
        <v>78</v>
      </c>
      <c r="V343" s="744" t="str">
        <f t="array" ref="V343">IFERROR(VLOOKUP(U343,Dex!$P$22:$Q$276,2,FALSE),"")</f>
        <v/>
      </c>
      <c r="W343" s="745"/>
      <c r="X343" s="2720"/>
      <c r="Y343" s="742" t="s">
        <v>518</v>
      </c>
      <c r="Z343" s="743">
        <f t="array" ref="Z343">IFERROR(VLOOKUP(Y325,Dex!$B$3:$N422,13,FALSE),"")</f>
        <v>80</v>
      </c>
      <c r="AA343" s="744" t="str">
        <f t="array" ref="AA343">IFERROR(VLOOKUP(Z343,Dex!$P$22:$Q$276,2,FALSE),"")</f>
        <v/>
      </c>
      <c r="AB343" s="745"/>
      <c r="AC343" s="2720"/>
      <c r="AD343" s="742" t="s">
        <v>518</v>
      </c>
      <c r="AE343" s="743">
        <f t="array" ref="AE343">IFERROR(VLOOKUP(AD325,Dex!$B$3:$N422,13,FALSE),"")</f>
        <v>78</v>
      </c>
      <c r="AF343" s="744" t="str">
        <f t="array" ref="AF343">IFERROR(VLOOKUP(AE343,Dex!$P$22:$Q$276,2,FALSE),"")</f>
        <v/>
      </c>
      <c r="AG343" s="745"/>
      <c r="AH343" s="2719"/>
      <c r="AI343" s="2411"/>
    </row>
    <row r="344" ht="16.5" customHeight="1">
      <c r="A344" s="2326"/>
      <c r="B344" s="2568"/>
      <c r="C344" s="1427" t="s">
        <v>1104</v>
      </c>
      <c r="D344" s="2569"/>
      <c r="E344" s="746" t="s">
        <v>519</v>
      </c>
      <c r="F344" s="630"/>
      <c r="G344" s="631"/>
      <c r="H344" s="632">
        <f>ROUNDDOWN((ROUNDDOWN(((((2*F343+31)*82)/100+5)),0))*1.1,0)</f>
        <v>213</v>
      </c>
      <c r="I344" s="2720"/>
      <c r="J344" s="746" t="s">
        <v>519</v>
      </c>
      <c r="K344" s="630"/>
      <c r="L344" s="631"/>
      <c r="M344" s="632">
        <f>ROUNDDOWN((ROUNDDOWN(((((2*K343)*82)/100+5)),0))*0.9,0)</f>
        <v>33</v>
      </c>
      <c r="N344" s="2720"/>
      <c r="O344" s="746" t="s">
        <v>519</v>
      </c>
      <c r="P344" s="630"/>
      <c r="Q344" s="631"/>
      <c r="R344" s="632">
        <f>ROUNDDOWN((ROUNDDOWN(((((2*P343+31)*82)/100+5)),0))*1.1,0)</f>
        <v>143</v>
      </c>
      <c r="S344" s="2720"/>
      <c r="T344" s="748" t="s">
        <v>519</v>
      </c>
      <c r="U344" s="635"/>
      <c r="V344" s="636"/>
      <c r="W344" s="632">
        <f>ROUNDDOWN((ROUNDDOWN(((((2*U343+31)*82)/100+5)),0))*1.1,0)</f>
        <v>173</v>
      </c>
      <c r="X344" s="2720"/>
      <c r="Y344" s="746" t="s">
        <v>519</v>
      </c>
      <c r="Z344" s="630"/>
      <c r="AA344" s="631"/>
      <c r="AB344" s="632">
        <f>ROUNDDOWN((ROUNDDOWN(((((2*Z343+31)*82)/100+5)),0))*1,0)</f>
        <v>161</v>
      </c>
      <c r="AC344" s="2720"/>
      <c r="AD344" s="746" t="s">
        <v>519</v>
      </c>
      <c r="AE344" s="630"/>
      <c r="AF344" s="631"/>
      <c r="AG344" s="632">
        <f>ROUNDDOWN((ROUNDDOWN(((((2*AE343+31)*82)/100+5)),0))*1.1,0)</f>
        <v>173</v>
      </c>
      <c r="AH344" s="2718"/>
      <c r="AI344" s="2411"/>
    </row>
    <row r="345" ht="16.5" customHeight="1">
      <c r="A345" s="2326"/>
      <c r="B345" s="2403"/>
      <c r="C345" s="2721"/>
      <c r="D345" s="2408"/>
      <c r="E345" s="2722"/>
      <c r="F345" s="2722"/>
      <c r="G345" s="2722"/>
      <c r="H345" s="2723"/>
      <c r="I345" s="2724"/>
      <c r="J345" s="2722"/>
      <c r="K345" s="2722"/>
      <c r="L345" s="2722"/>
      <c r="M345" s="2723"/>
      <c r="N345" s="2724"/>
      <c r="O345" s="2722"/>
      <c r="P345" s="2722"/>
      <c r="Q345" s="2722"/>
      <c r="R345" s="2723"/>
      <c r="S345" s="2724"/>
      <c r="T345" s="755" t="s">
        <v>555</v>
      </c>
      <c r="U345" s="643"/>
      <c r="V345" s="644"/>
      <c r="W345" s="2555">
        <f>W344*2</f>
        <v>346</v>
      </c>
      <c r="X345" s="2717"/>
      <c r="Y345" s="2722"/>
      <c r="Z345" s="2722"/>
      <c r="AA345" s="2722"/>
      <c r="AB345" s="2723"/>
      <c r="AC345" s="2724"/>
      <c r="AD345" s="2722"/>
      <c r="AE345" s="2722"/>
      <c r="AF345" s="2722"/>
      <c r="AG345" s="2723"/>
      <c r="AH345" s="2410"/>
      <c r="AI345" s="2411"/>
    </row>
    <row r="346" ht="11.25" customHeight="1">
      <c r="A346" s="2319"/>
      <c r="B346" s="2327"/>
      <c r="C346" s="2328"/>
      <c r="D346" s="2374"/>
      <c r="E346" s="2725"/>
      <c r="F346" s="2725"/>
      <c r="G346" s="2725"/>
      <c r="H346" s="2725"/>
      <c r="I346" s="2346"/>
      <c r="J346" s="2725"/>
      <c r="K346" s="2725"/>
      <c r="L346" s="2725"/>
      <c r="M346" s="2725"/>
      <c r="N346" s="2346"/>
      <c r="O346" s="2346"/>
      <c r="P346" s="2346"/>
      <c r="Q346" s="2346"/>
      <c r="R346" s="2346"/>
      <c r="S346" s="2346"/>
      <c r="T346" s="2346"/>
      <c r="U346" s="2346"/>
      <c r="V346" s="2346"/>
      <c r="W346" s="2346"/>
      <c r="X346" s="2346"/>
      <c r="Y346" s="2414"/>
      <c r="Z346" s="2414"/>
      <c r="AA346" s="2414"/>
      <c r="AB346" s="2434"/>
      <c r="AC346" s="2346"/>
      <c r="AD346" s="2346"/>
      <c r="AE346" s="2346"/>
      <c r="AF346" s="2346"/>
      <c r="AG346" s="2346"/>
      <c r="AH346" s="2334"/>
      <c r="AI346" s="2325"/>
    </row>
    <row r="347">
      <c r="A347" s="2326"/>
      <c r="B347" s="2327"/>
      <c r="C347" s="2328"/>
      <c r="D347" s="2329"/>
      <c r="E347" s="1731" t="s">
        <v>976</v>
      </c>
      <c r="F347" s="1732"/>
      <c r="G347" s="1732"/>
      <c r="H347" s="1732"/>
      <c r="I347" s="1732"/>
      <c r="J347" s="1732"/>
      <c r="K347" s="1732"/>
      <c r="L347" s="1732"/>
      <c r="M347" s="1732"/>
      <c r="N347" s="1732"/>
      <c r="O347" s="1732"/>
      <c r="P347" s="1732"/>
      <c r="Q347" s="1732"/>
      <c r="R347" s="1732"/>
      <c r="S347" s="1732"/>
      <c r="T347" s="1732"/>
      <c r="U347" s="1732"/>
      <c r="V347" s="1732"/>
      <c r="W347" s="1732"/>
      <c r="X347" s="1732"/>
      <c r="Y347" s="1732"/>
      <c r="Z347" s="1732"/>
      <c r="AA347" s="1732"/>
      <c r="AB347" s="1732"/>
      <c r="AC347" s="1732"/>
      <c r="AD347" s="1732"/>
      <c r="AE347" s="1732"/>
      <c r="AF347" s="1732"/>
      <c r="AG347" s="1733"/>
      <c r="AH347" s="2563"/>
      <c r="AI347" s="2325"/>
    </row>
    <row r="348" ht="3.75" customHeight="1">
      <c r="A348" s="2326"/>
      <c r="B348" s="2327"/>
      <c r="C348" s="2335"/>
      <c r="D348" s="2336"/>
      <c r="E348" s="2337"/>
      <c r="F348" s="2337"/>
      <c r="G348" s="2337"/>
      <c r="H348" s="2337"/>
      <c r="I348" s="2336"/>
      <c r="J348" s="2337"/>
      <c r="K348" s="2337"/>
      <c r="L348" s="2337"/>
      <c r="M348" s="2337"/>
      <c r="N348" s="2336"/>
      <c r="O348" s="2337"/>
      <c r="P348" s="2337"/>
      <c r="Q348" s="2337"/>
      <c r="R348" s="2337"/>
      <c r="S348" s="2336"/>
      <c r="T348" s="2337"/>
      <c r="U348" s="2337"/>
      <c r="V348" s="2337"/>
      <c r="W348" s="2337"/>
      <c r="X348" s="2336"/>
      <c r="Y348" s="2337"/>
      <c r="Z348" s="2337"/>
      <c r="AA348" s="2337"/>
      <c r="AB348" s="2337"/>
      <c r="AC348" s="2336"/>
      <c r="AD348" s="2337"/>
      <c r="AE348" s="2337"/>
      <c r="AF348" s="2337"/>
      <c r="AG348" s="2337"/>
      <c r="AH348" s="2334"/>
      <c r="AI348" s="2325"/>
    </row>
    <row r="349">
      <c r="A349" s="2319"/>
      <c r="B349" s="2403"/>
      <c r="C349" s="2396"/>
      <c r="D349" s="2396"/>
      <c r="E349" s="2711" t="s">
        <v>1105</v>
      </c>
      <c r="F349" s="2332"/>
      <c r="G349" s="2332"/>
      <c r="H349" s="2332"/>
      <c r="I349" s="2332"/>
      <c r="J349" s="2332"/>
      <c r="K349" s="2332"/>
      <c r="L349" s="2332"/>
      <c r="M349" s="2332"/>
      <c r="N349" s="2332"/>
      <c r="O349" s="2332"/>
      <c r="P349" s="2332"/>
      <c r="Q349" s="2332"/>
      <c r="R349" s="2332"/>
      <c r="S349" s="2332"/>
      <c r="T349" s="2332"/>
      <c r="U349" s="2332"/>
      <c r="V349" s="2332"/>
      <c r="W349" s="2332"/>
      <c r="X349" s="2332"/>
      <c r="Y349" s="2332"/>
      <c r="Z349" s="2332"/>
      <c r="AA349" s="2332"/>
      <c r="AB349" s="2332"/>
      <c r="AC349" s="2332"/>
      <c r="AD349" s="2332"/>
      <c r="AE349" s="2332"/>
      <c r="AF349" s="2332"/>
      <c r="AG349" s="420"/>
      <c r="AH349" s="2563"/>
      <c r="AI349" s="2325"/>
    </row>
    <row r="350" ht="96.75" customHeight="1">
      <c r="A350" s="2319"/>
      <c r="B350" s="2339"/>
      <c r="C350" s="2416" t="str">
        <f>IMAGE("https://i.ibb.co/fXwks6z/Rival.png")</f>
        <v/>
      </c>
      <c r="D350" s="2341"/>
      <c r="E350" s="2726" t="str">
        <f t="array" ref="E350">IFERROR(VLOOKUP(E351,Dex!$B$3:$G422,3,FALSE),"")</f>
        <v/>
      </c>
      <c r="F350" s="1945"/>
      <c r="G350" s="1945"/>
      <c r="H350" s="1946"/>
      <c r="I350" s="2713"/>
      <c r="J350" s="2726" t="str">
        <f t="array" ref="J350">IFERROR(VLOOKUP(J351,Dex!$B$3:$G422,3,FALSE),"")</f>
        <v/>
      </c>
      <c r="K350" s="1945"/>
      <c r="L350" s="1945"/>
      <c r="M350" s="1946"/>
      <c r="N350" s="2713"/>
      <c r="O350" s="2726" t="str">
        <f t="array" ref="O350">IFERROR(VLOOKUP(O351,Dex!$B$3:$G422,3,FALSE),"")</f>
        <v/>
      </c>
      <c r="P350" s="1945"/>
      <c r="Q350" s="1945"/>
      <c r="R350" s="1946"/>
      <c r="S350" s="2713"/>
      <c r="T350" s="2726" t="str">
        <f t="array" ref="T350">IFERROR(VLOOKUP(T351,Dex!$B$3:$G422,3,FALSE),"")</f>
        <v/>
      </c>
      <c r="U350" s="1945"/>
      <c r="V350" s="1945"/>
      <c r="W350" s="1946"/>
      <c r="X350" s="2713"/>
      <c r="Y350" s="2726" t="str">
        <f t="array" ref="Y350">IFERROR(VLOOKUP(Y351,Dex!$B$3:$G422,3,FALSE),"")</f>
        <v/>
      </c>
      <c r="Z350" s="1945"/>
      <c r="AA350" s="1945"/>
      <c r="AB350" s="1946"/>
      <c r="AC350" s="2713"/>
      <c r="AD350" s="2726" t="str">
        <f t="array" ref="AD350">IFERROR(VLOOKUP(AD351,Dex!$B$3:$G422,3,FALSE),"")</f>
        <v/>
      </c>
      <c r="AE350" s="1945"/>
      <c r="AF350" s="1945"/>
      <c r="AG350" s="1946"/>
      <c r="AH350" s="2563"/>
      <c r="AI350" s="2325"/>
    </row>
    <row r="351" ht="18.75" customHeight="1">
      <c r="A351" s="2347"/>
      <c r="B351" s="2419"/>
      <c r="C351" s="2349" t="s">
        <v>1106</v>
      </c>
      <c r="D351" s="2420"/>
      <c r="E351" s="2351" t="s">
        <v>1107</v>
      </c>
      <c r="F351" s="2352"/>
      <c r="G351" s="2352"/>
      <c r="H351" s="2353"/>
      <c r="I351" s="2420"/>
      <c r="J351" s="2351" t="s">
        <v>1108</v>
      </c>
      <c r="K351" s="2352"/>
      <c r="L351" s="2352"/>
      <c r="M351" s="2353"/>
      <c r="N351" s="2420"/>
      <c r="O351" s="2351" t="s">
        <v>1109</v>
      </c>
      <c r="P351" s="2352"/>
      <c r="Q351" s="2352"/>
      <c r="R351" s="2353"/>
      <c r="S351" s="2420"/>
      <c r="T351" s="2351" t="s">
        <v>887</v>
      </c>
      <c r="U351" s="2352"/>
      <c r="V351" s="2352"/>
      <c r="W351" s="2353"/>
      <c r="X351" s="2420"/>
      <c r="Y351" s="2351" t="s">
        <v>946</v>
      </c>
      <c r="Z351" s="2352"/>
      <c r="AA351" s="2352"/>
      <c r="AB351" s="2353"/>
      <c r="AC351" s="2420"/>
      <c r="AD351" s="2351" t="s">
        <v>1110</v>
      </c>
      <c r="AE351" s="2352"/>
      <c r="AF351" s="2352"/>
      <c r="AG351" s="2353"/>
      <c r="AH351" s="2564"/>
      <c r="AI351" s="2357"/>
    </row>
    <row r="352">
      <c r="A352" s="2319"/>
      <c r="B352" s="2358"/>
      <c r="C352" s="556"/>
      <c r="D352" s="2359"/>
      <c r="E352" s="2360" t="s">
        <v>729</v>
      </c>
      <c r="F352" s="2361"/>
      <c r="G352" s="2361"/>
      <c r="H352" s="2362"/>
      <c r="I352" s="2420"/>
      <c r="J352" s="2360" t="s">
        <v>729</v>
      </c>
      <c r="K352" s="2361"/>
      <c r="L352" s="2361"/>
      <c r="M352" s="2362"/>
      <c r="N352" s="2420"/>
      <c r="O352" s="2360" t="s">
        <v>729</v>
      </c>
      <c r="P352" s="2361"/>
      <c r="Q352" s="2361"/>
      <c r="R352" s="2362"/>
      <c r="S352" s="2420"/>
      <c r="T352" s="2360" t="s">
        <v>729</v>
      </c>
      <c r="U352" s="2361"/>
      <c r="V352" s="2361"/>
      <c r="W352" s="2362"/>
      <c r="X352" s="2420"/>
      <c r="Y352" s="2360" t="s">
        <v>729</v>
      </c>
      <c r="Z352" s="2361"/>
      <c r="AA352" s="2361"/>
      <c r="AB352" s="2362"/>
      <c r="AC352" s="2420"/>
      <c r="AD352" s="2360" t="s">
        <v>729</v>
      </c>
      <c r="AE352" s="2361"/>
      <c r="AF352" s="2361"/>
      <c r="AG352" s="2362"/>
      <c r="AH352" s="2563"/>
      <c r="AI352" s="2325"/>
    </row>
    <row r="353" ht="25.5" customHeight="1">
      <c r="A353" s="2319"/>
      <c r="B353" s="2327"/>
      <c r="C353" s="2363"/>
      <c r="D353" s="2364"/>
      <c r="E353" s="2365"/>
      <c r="F353" s="2369" t="str">
        <f t="array" ref="F353">IFERROR(VLOOKUP(E351,Dex!$B$3:$H422,5,FALSE),"")</f>
        <v/>
      </c>
      <c r="G353" s="2370" t="str">
        <f t="array" ref="G353">IFERROR(VLOOKUP(E351,Dex!$B$3:$H422,7,FALSE),"")</f>
        <v/>
      </c>
      <c r="H353" s="2368"/>
      <c r="I353" s="2714"/>
      <c r="J353" s="2365"/>
      <c r="K353" s="2369" t="str">
        <f t="array" ref="K353">IFERROR(VLOOKUP(J351,Dex!$B$3:$H422,5,FALSE),"")</f>
        <v/>
      </c>
      <c r="L353" s="2370" t="str">
        <f t="array" ref="L353">IFERROR(VLOOKUP(J351,Dex!$B$3:$H422,7,FALSE),"")</f>
        <v/>
      </c>
      <c r="M353" s="2368"/>
      <c r="N353" s="2714"/>
      <c r="O353" s="2365"/>
      <c r="P353" s="2366" t="str">
        <f t="array" ref="P353">IFERROR(VLOOKUP(O351,Dex!$B$3:$H422,5,FALSE),"")</f>
        <v/>
      </c>
      <c r="Q353" s="2367"/>
      <c r="R353" s="2368"/>
      <c r="S353" s="2714"/>
      <c r="T353" s="2365"/>
      <c r="U353" s="2369" t="str">
        <f t="array" ref="U353">IFERROR(VLOOKUP(T351,Dex!$B$3:$H422,5,FALSE),"")</f>
        <v/>
      </c>
      <c r="V353" s="2370" t="str">
        <f t="array" ref="V353">IFERROR(VLOOKUP(T351,Dex!$B$3:$H422,7,FALSE),"")</f>
        <v/>
      </c>
      <c r="W353" s="2368"/>
      <c r="X353" s="2714"/>
      <c r="Y353" s="2365"/>
      <c r="Z353" s="2369" t="str">
        <f t="array" ref="Z353">IFERROR(VLOOKUP(Y351,Dex!$B$3:$H422,5,FALSE),"")</f>
        <v/>
      </c>
      <c r="AA353" s="2370" t="str">
        <f t="array" ref="AA353">IFERROR(VLOOKUP(Y351,Dex!$B$3:$H422,7,FALSE),"")</f>
        <v/>
      </c>
      <c r="AB353" s="2368"/>
      <c r="AC353" s="2714"/>
      <c r="AD353" s="2365"/>
      <c r="AE353" s="2369" t="str">
        <f t="array" ref="AE353">IFERROR(VLOOKUP(AD351,Dex!$B$3:$H422,5,FALSE),"")</f>
        <v/>
      </c>
      <c r="AF353" s="2370" t="str">
        <f t="array" ref="AF353">IFERROR(VLOOKUP(AD351,Dex!$B$3:$H422,7,FALSE),"")</f>
        <v/>
      </c>
      <c r="AG353" s="2368"/>
      <c r="AH353" s="2715"/>
      <c r="AI353" s="2325"/>
    </row>
    <row r="354" ht="2.25" customHeight="1">
      <c r="A354" s="2319"/>
      <c r="B354" s="2327"/>
      <c r="C354" s="2355"/>
      <c r="D354" s="2364"/>
      <c r="E354" s="2371"/>
      <c r="F354" s="2372"/>
      <c r="G354" s="2372"/>
      <c r="H354" s="2373"/>
      <c r="I354" s="2714"/>
      <c r="J354" s="2371"/>
      <c r="K354" s="2372"/>
      <c r="L354" s="2372"/>
      <c r="M354" s="2373"/>
      <c r="N354" s="2714"/>
      <c r="O354" s="2371"/>
      <c r="P354" s="2372"/>
      <c r="Q354" s="2372"/>
      <c r="R354" s="2373"/>
      <c r="S354" s="2714"/>
      <c r="T354" s="2371"/>
      <c r="U354" s="2372"/>
      <c r="V354" s="2372"/>
      <c r="W354" s="2373"/>
      <c r="X354" s="2714"/>
      <c r="Y354" s="2371"/>
      <c r="Z354" s="2372"/>
      <c r="AA354" s="2372"/>
      <c r="AB354" s="2373"/>
      <c r="AC354" s="2714"/>
      <c r="AD354" s="2371"/>
      <c r="AE354" s="2372"/>
      <c r="AF354" s="2372"/>
      <c r="AG354" s="2373"/>
      <c r="AH354" s="2715"/>
      <c r="AI354" s="2325"/>
    </row>
    <row r="355" ht="20.25" customHeight="1">
      <c r="A355" s="2319"/>
      <c r="B355" s="2327"/>
      <c r="C355" s="2375"/>
      <c r="D355" s="2329"/>
      <c r="E355" s="2376" t="s">
        <v>564</v>
      </c>
      <c r="F355" s="2377"/>
      <c r="G355" s="2377"/>
      <c r="H355" s="2378"/>
      <c r="I355" s="2716"/>
      <c r="J355" s="2376" t="s">
        <v>532</v>
      </c>
      <c r="K355" s="2377"/>
      <c r="L355" s="2377"/>
      <c r="M355" s="2378"/>
      <c r="N355" s="2716"/>
      <c r="O355" s="2376" t="s">
        <v>564</v>
      </c>
      <c r="P355" s="2377"/>
      <c r="Q355" s="2377"/>
      <c r="R355" s="2378"/>
      <c r="S355" s="2716"/>
      <c r="T355" s="2376" t="s">
        <v>532</v>
      </c>
      <c r="U355" s="2377"/>
      <c r="V355" s="2377"/>
      <c r="W355" s="2378"/>
      <c r="X355" s="2716"/>
      <c r="Y355" s="2376" t="s">
        <v>532</v>
      </c>
      <c r="Z355" s="2377"/>
      <c r="AA355" s="2377"/>
      <c r="AB355" s="2378"/>
      <c r="AC355" s="2716"/>
      <c r="AD355" s="2376" t="s">
        <v>564</v>
      </c>
      <c r="AE355" s="2377"/>
      <c r="AF355" s="2377"/>
      <c r="AG355" s="2378"/>
      <c r="AH355" s="2563"/>
      <c r="AI355" s="2325"/>
    </row>
    <row r="356">
      <c r="A356" s="2319"/>
      <c r="B356" s="2327"/>
      <c r="C356" s="2379"/>
      <c r="D356" s="2329"/>
      <c r="E356" s="2380" t="s">
        <v>1111</v>
      </c>
      <c r="F356" s="2332"/>
      <c r="G356" s="2332"/>
      <c r="H356" s="2381"/>
      <c r="I356" s="2716"/>
      <c r="J356" s="2380" t="s">
        <v>1112</v>
      </c>
      <c r="K356" s="2332"/>
      <c r="L356" s="2332"/>
      <c r="M356" s="2381"/>
      <c r="N356" s="2716"/>
      <c r="O356" s="2380" t="s">
        <v>681</v>
      </c>
      <c r="P356" s="2332"/>
      <c r="Q356" s="2332"/>
      <c r="R356" s="2381"/>
      <c r="S356" s="2716"/>
      <c r="T356" s="2380" t="s">
        <v>890</v>
      </c>
      <c r="U356" s="2332"/>
      <c r="V356" s="2332"/>
      <c r="W356" s="2381"/>
      <c r="X356" s="2716"/>
      <c r="Y356" s="2380" t="s">
        <v>952</v>
      </c>
      <c r="Z356" s="2332"/>
      <c r="AA356" s="2332"/>
      <c r="AB356" s="2381"/>
      <c r="AC356" s="2716"/>
      <c r="AD356" s="2380" t="s">
        <v>484</v>
      </c>
      <c r="AE356" s="2332"/>
      <c r="AF356" s="2332"/>
      <c r="AG356" s="2381"/>
      <c r="AH356" s="2563"/>
      <c r="AI356" s="2325"/>
    </row>
    <row r="357" ht="20.25" customHeight="1">
      <c r="A357" s="2319"/>
      <c r="B357" s="2327"/>
      <c r="C357" s="2355"/>
      <c r="D357" s="2329"/>
      <c r="E357" s="2382" t="s">
        <v>1113</v>
      </c>
      <c r="F357" s="2383"/>
      <c r="G357" s="2384"/>
      <c r="H357" s="2385"/>
      <c r="I357" s="2354"/>
      <c r="J357" s="2382" t="s">
        <v>1114</v>
      </c>
      <c r="K357" s="2383"/>
      <c r="L357" s="2384"/>
      <c r="M357" s="2385"/>
      <c r="N357" s="2354"/>
      <c r="O357" s="2382" t="s">
        <v>573</v>
      </c>
      <c r="P357" s="2383"/>
      <c r="Q357" s="2384"/>
      <c r="R357" s="2385"/>
      <c r="S357" s="2354"/>
      <c r="T357" s="2382" t="s">
        <v>896</v>
      </c>
      <c r="U357" s="2383"/>
      <c r="V357" s="2384"/>
      <c r="W357" s="2385"/>
      <c r="X357" s="2354"/>
      <c r="Y357" s="2382" t="s">
        <v>956</v>
      </c>
      <c r="Z357" s="2383"/>
      <c r="AA357" s="2384"/>
      <c r="AB357" s="2385"/>
      <c r="AC357" s="2354"/>
      <c r="AD357" s="2382" t="s">
        <v>733</v>
      </c>
      <c r="AE357" s="2383"/>
      <c r="AF357" s="2384"/>
      <c r="AG357" s="2385"/>
      <c r="AH357" s="2715"/>
      <c r="AI357" s="2325"/>
    </row>
    <row r="358" ht="20.25" customHeight="1">
      <c r="A358" s="2319"/>
      <c r="B358" s="2327"/>
      <c r="C358" s="2375"/>
      <c r="D358" s="2329"/>
      <c r="E358" s="2376" t="s">
        <v>699</v>
      </c>
      <c r="F358" s="2377"/>
      <c r="G358" s="2386"/>
      <c r="H358" s="2387" t="str">
        <f>IMAGE("https://raw.githubusercontent.com/msikma/pokesprite/master/misc/types/gen8/fire.png",4,20,20)</f>
        <v/>
      </c>
      <c r="I358" s="2354"/>
      <c r="J358" s="2376" t="s">
        <v>287</v>
      </c>
      <c r="K358" s="2377"/>
      <c r="L358" s="2386"/>
      <c r="M358" s="2387" t="str">
        <f>IMAGE("https://raw.githubusercontent.com/msikma/pokesprite/master/misc/types/gen8/normal.png",4,20,20)</f>
        <v/>
      </c>
      <c r="N358" s="2354"/>
      <c r="O358" s="2376" t="s">
        <v>237</v>
      </c>
      <c r="P358" s="2377"/>
      <c r="Q358" s="2386"/>
      <c r="R358" s="2387" t="str">
        <f>IMAGE("https://raw.githubusercontent.com/msikma/pokesprite/master/misc/types/gen8/normal.png",4,20,20)</f>
        <v/>
      </c>
      <c r="S358" s="2354"/>
      <c r="T358" s="2376" t="s">
        <v>720</v>
      </c>
      <c r="U358" s="2377"/>
      <c r="V358" s="2386"/>
      <c r="W358" s="2387" t="str">
        <f t="shared" ref="W358:W359" si="19">IMAGE("https://raw.githubusercontent.com/msikma/pokesprite/master/misc/types/gen8/fighting.png",4,20,20)</f>
        <v/>
      </c>
      <c r="X358" s="2354"/>
      <c r="Y358" s="2376" t="s">
        <v>287</v>
      </c>
      <c r="Z358" s="2377"/>
      <c r="AA358" s="2386"/>
      <c r="AB358" s="2387" t="str">
        <f t="shared" ref="AB358:AB359" si="20">IMAGE("https://raw.githubusercontent.com/msikma/pokesprite/master/misc/types/gen8/normal.png",4,20,20)</f>
        <v/>
      </c>
      <c r="AC358" s="2354"/>
      <c r="AD358" s="2376" t="s">
        <v>170</v>
      </c>
      <c r="AE358" s="2377"/>
      <c r="AF358" s="2386"/>
      <c r="AG358" s="2387" t="str">
        <f>IMAGE("https://raw.githubusercontent.com/msikma/pokesprite/master/misc/types/gen8/psychic.png",4,20,20)</f>
        <v/>
      </c>
      <c r="AH358" s="2715"/>
      <c r="AI358" s="2325"/>
    </row>
    <row r="359" ht="20.25" customHeight="1">
      <c r="A359" s="2319"/>
      <c r="B359" s="2327"/>
      <c r="C359" s="2328"/>
      <c r="D359" s="2329"/>
      <c r="E359" s="2380" t="s">
        <v>692</v>
      </c>
      <c r="F359" s="2332"/>
      <c r="G359" s="420"/>
      <c r="H359" s="2388" t="str">
        <f>IMAGE("https://raw.githubusercontent.com/msikma/pokesprite/master/misc/types/gen8/grass.png",4,20,20)</f>
        <v/>
      </c>
      <c r="I359" s="2354"/>
      <c r="J359" s="2380" t="s">
        <v>154</v>
      </c>
      <c r="K359" s="2332"/>
      <c r="L359" s="420"/>
      <c r="M359" s="2388" t="str">
        <f>IMAGE("https://raw.githubusercontent.com/msikma/pokesprite/master/misc/types/gen8/dragon.png",4,20,20)</f>
        <v/>
      </c>
      <c r="N359" s="2354"/>
      <c r="O359" s="2380" t="s">
        <v>692</v>
      </c>
      <c r="P359" s="2332"/>
      <c r="Q359" s="420"/>
      <c r="R359" s="2388" t="str">
        <f>IMAGE("https://raw.githubusercontent.com/msikma/pokesprite/master/misc/types/gen8/grass.png",4,20,20)</f>
        <v/>
      </c>
      <c r="S359" s="2354"/>
      <c r="T359" s="2380" t="s">
        <v>168</v>
      </c>
      <c r="U359" s="2332"/>
      <c r="V359" s="420"/>
      <c r="W359" s="2388" t="str">
        <f t="shared" si="19"/>
        <v/>
      </c>
      <c r="X359" s="2354"/>
      <c r="Y359" s="2380" t="s">
        <v>184</v>
      </c>
      <c r="Z359" s="2332"/>
      <c r="AA359" s="420"/>
      <c r="AB359" s="2388" t="str">
        <f t="shared" si="20"/>
        <v/>
      </c>
      <c r="AC359" s="2354"/>
      <c r="AD359" s="2380" t="s">
        <v>551</v>
      </c>
      <c r="AE359" s="2332"/>
      <c r="AF359" s="420"/>
      <c r="AG359" s="2388" t="str">
        <f>IMAGE("https://raw.githubusercontent.com/msikma/pokesprite/master/misc/types/gen8/flying.png",4,20,20)</f>
        <v/>
      </c>
      <c r="AH359" s="2715"/>
      <c r="AI359" s="2325"/>
    </row>
    <row r="360" ht="20.25" customHeight="1">
      <c r="A360" s="2319"/>
      <c r="B360" s="2327"/>
      <c r="C360" s="2328"/>
      <c r="D360" s="2329"/>
      <c r="E360" s="2380" t="s">
        <v>590</v>
      </c>
      <c r="F360" s="2332"/>
      <c r="G360" s="420"/>
      <c r="H360" s="2388" t="str">
        <f>IMAGE("https://raw.githubusercontent.com/msikma/pokesprite/master/misc/types/gen8/fighting.png",4,20,20)</f>
        <v/>
      </c>
      <c r="I360" s="2354"/>
      <c r="J360" s="2380" t="s">
        <v>549</v>
      </c>
      <c r="K360" s="2332"/>
      <c r="L360" s="420"/>
      <c r="M360" s="2388" t="str">
        <f>IMAGE("https://raw.githubusercontent.com/msikma/pokesprite/master/misc/types/gen8/ground.png",4,20,20)</f>
        <v/>
      </c>
      <c r="N360" s="2354"/>
      <c r="O360" s="2380" t="s">
        <v>146</v>
      </c>
      <c r="P360" s="2332"/>
      <c r="Q360" s="420"/>
      <c r="R360" s="2388" t="str">
        <f>IMAGE("https://raw.githubusercontent.com/msikma/pokesprite/master/misc/types/gen8/fire.png",4,20,20)</f>
        <v/>
      </c>
      <c r="S360" s="2354"/>
      <c r="T360" s="2380" t="s">
        <v>905</v>
      </c>
      <c r="U360" s="2332"/>
      <c r="V360" s="420"/>
      <c r="W360" s="2388" t="str">
        <f>IMAGE("https://raw.githubusercontent.com/msikma/pokesprite/master/misc/types/gen8/electric.png",4,20,20)</f>
        <v/>
      </c>
      <c r="X360" s="2354"/>
      <c r="Y360" s="2380" t="s">
        <v>549</v>
      </c>
      <c r="Z360" s="2332"/>
      <c r="AA360" s="420"/>
      <c r="AB360" s="2388" t="str">
        <f>IMAGE("https://raw.githubusercontent.com/msikma/pokesprite/master/misc/types/gen8/ground.png",4,20,20)</f>
        <v/>
      </c>
      <c r="AC360" s="2354"/>
      <c r="AD360" s="2380" t="s">
        <v>1115</v>
      </c>
      <c r="AE360" s="2332"/>
      <c r="AF360" s="420"/>
      <c r="AG360" s="2388" t="str">
        <f>IMAGE("https://raw.githubusercontent.com/msikma/pokesprite/master/misc/types/gen8/psychic.png",4,20,20)</f>
        <v/>
      </c>
      <c r="AH360" s="2715"/>
      <c r="AI360" s="2325"/>
    </row>
    <row r="361" ht="21.0" customHeight="1">
      <c r="A361" s="2319"/>
      <c r="B361" s="2327"/>
      <c r="C361" s="2328"/>
      <c r="D361" s="2329"/>
      <c r="E361" s="2389" t="s">
        <v>184</v>
      </c>
      <c r="F361" s="2390"/>
      <c r="G361" s="2391"/>
      <c r="H361" s="2392" t="str">
        <f>IMAGE("https://raw.githubusercontent.com/msikma/pokesprite/master/misc/types/gen8/normal.png",4,20,20)</f>
        <v/>
      </c>
      <c r="I361" s="2354"/>
      <c r="J361" s="2389" t="s">
        <v>621</v>
      </c>
      <c r="K361" s="2390"/>
      <c r="L361" s="2391"/>
      <c r="M361" s="2392" t="str">
        <f>IMAGE("https://raw.githubusercontent.com/msikma/pokesprite/master/misc/types/gen8/rock.png",4,20,20)</f>
        <v/>
      </c>
      <c r="N361" s="2354"/>
      <c r="O361" s="2389" t="s">
        <v>506</v>
      </c>
      <c r="P361" s="2390"/>
      <c r="Q361" s="2391"/>
      <c r="R361" s="2392" t="str">
        <f>IMAGE("https://raw.githubusercontent.com/msikma/pokesprite/master/misc/types/gen8/rock.png",4,20,20)</f>
        <v/>
      </c>
      <c r="S361" s="2354"/>
      <c r="T361" s="2389" t="s">
        <v>1116</v>
      </c>
      <c r="U361" s="2390"/>
      <c r="V361" s="2391"/>
      <c r="W361" s="2392" t="str">
        <f>IMAGE("https://raw.githubusercontent.com/msikma/pokesprite/master/misc/types/gen8/steel.png",4,20,20)</f>
        <v/>
      </c>
      <c r="X361" s="2354"/>
      <c r="Y361" s="2389" t="s">
        <v>511</v>
      </c>
      <c r="Z361" s="2390"/>
      <c r="AA361" s="2391"/>
      <c r="AB361" s="2392" t="str">
        <f>IMAGE("https://raw.githubusercontent.com/msikma/pokesprite/master/misc/types/gen8/normal.png",4,20,20)</f>
        <v/>
      </c>
      <c r="AC361" s="2354"/>
      <c r="AD361" s="2389" t="s">
        <v>862</v>
      </c>
      <c r="AE361" s="2390"/>
      <c r="AF361" s="2391"/>
      <c r="AG361" s="2392" t="str">
        <f>IMAGE("https://raw.githubusercontent.com/msikma/pokesprite/master/misc/types/gen8/fire.png",4,20,20)</f>
        <v/>
      </c>
      <c r="AH361" s="2715"/>
      <c r="AI361" s="2325"/>
    </row>
    <row r="362" ht="3.0" customHeight="1">
      <c r="A362" s="2394"/>
      <c r="B362" s="2395"/>
      <c r="C362" s="2396"/>
      <c r="D362" s="2397"/>
      <c r="E362" s="2398"/>
      <c r="F362" s="2398"/>
      <c r="G362" s="2398"/>
      <c r="H362" s="2398"/>
      <c r="I362" s="2397"/>
      <c r="J362" s="2398"/>
      <c r="K362" s="2398"/>
      <c r="L362" s="2398"/>
      <c r="M362" s="2398"/>
      <c r="N362" s="2397"/>
      <c r="O362" s="2398"/>
      <c r="P362" s="2398"/>
      <c r="Q362" s="2398"/>
      <c r="R362" s="2398"/>
      <c r="S362" s="2397"/>
      <c r="T362" s="2398"/>
      <c r="U362" s="2398"/>
      <c r="V362" s="2398"/>
      <c r="W362" s="2398"/>
      <c r="X362" s="2397"/>
      <c r="Y362" s="2398"/>
      <c r="Z362" s="2398"/>
      <c r="AA362" s="2398"/>
      <c r="AB362" s="2398"/>
      <c r="AC362" s="2397"/>
      <c r="AD362" s="2398"/>
      <c r="AE362" s="2398"/>
      <c r="AF362" s="2398"/>
      <c r="AG362" s="2398"/>
      <c r="AH362" s="2401"/>
      <c r="AI362" s="2402"/>
    </row>
    <row r="363" ht="16.5" customHeight="1">
      <c r="A363" s="2326"/>
      <c r="B363" s="2403"/>
      <c r="C363" s="2396"/>
      <c r="D363" s="2404"/>
      <c r="E363" s="2422" t="s">
        <v>512</v>
      </c>
      <c r="F363" s="606"/>
      <c r="G363" s="606"/>
      <c r="H363" s="607"/>
      <c r="I363" s="2717"/>
      <c r="J363" s="2422" t="s">
        <v>512</v>
      </c>
      <c r="K363" s="606"/>
      <c r="L363" s="606"/>
      <c r="M363" s="607"/>
      <c r="N363" s="2717"/>
      <c r="O363" s="2422" t="s">
        <v>512</v>
      </c>
      <c r="P363" s="606"/>
      <c r="Q363" s="606"/>
      <c r="R363" s="607"/>
      <c r="S363" s="2717"/>
      <c r="T363" s="2422" t="s">
        <v>512</v>
      </c>
      <c r="U363" s="606"/>
      <c r="V363" s="606"/>
      <c r="W363" s="607"/>
      <c r="X363" s="2717"/>
      <c r="Y363" s="2422" t="s">
        <v>512</v>
      </c>
      <c r="Z363" s="606"/>
      <c r="AA363" s="606"/>
      <c r="AB363" s="607"/>
      <c r="AC363" s="2717"/>
      <c r="AD363" s="2422" t="s">
        <v>512</v>
      </c>
      <c r="AE363" s="606"/>
      <c r="AF363" s="606"/>
      <c r="AG363" s="607"/>
      <c r="AH363" s="2718"/>
      <c r="AI363" s="2411"/>
    </row>
    <row r="364" ht="16.5" customHeight="1">
      <c r="A364" s="2326"/>
      <c r="B364" s="2403"/>
      <c r="C364" s="2396"/>
      <c r="D364" s="2404"/>
      <c r="E364" s="2424" t="s">
        <v>513</v>
      </c>
      <c r="F364" s="2425">
        <f t="array" ref="F364">IFERROR(VLOOKUP(E351,Dex!$B$3:$N422,8,FALSE),"")</f>
        <v>78</v>
      </c>
      <c r="G364" s="2426" t="str">
        <f t="array" ref="G364">IFERROR(VLOOKUP(F364,Dex!$P$22:$Q$276,2,FALSE),"")</f>
        <v/>
      </c>
      <c r="H364" s="1255"/>
      <c r="I364" s="2717"/>
      <c r="J364" s="2424" t="s">
        <v>513</v>
      </c>
      <c r="K364" s="2425">
        <f t="array" ref="K364">IFERROR(VLOOKUP(J351,Dex!$B$3:$N422,8,FALSE),"")</f>
        <v>108</v>
      </c>
      <c r="L364" s="2426" t="str">
        <f t="array" ref="L364">IFERROR(VLOOKUP(K364,Dex!$P$22:$Q$276,2,FALSE),"")</f>
        <v/>
      </c>
      <c r="M364" s="1255"/>
      <c r="N364" s="2717"/>
      <c r="O364" s="2424" t="s">
        <v>513</v>
      </c>
      <c r="P364" s="2425">
        <f t="array" ref="P364">IFERROR(VLOOKUP(O351,Dex!$B$3:$N422,8,FALSE),"")</f>
        <v>95</v>
      </c>
      <c r="Q364" s="2426" t="str">
        <f t="array" ref="Q364">IFERROR(VLOOKUP(P364,Dex!$P$22:$Q$276,2,FALSE),"")</f>
        <v/>
      </c>
      <c r="R364" s="1255"/>
      <c r="S364" s="2717"/>
      <c r="T364" s="2424" t="s">
        <v>513</v>
      </c>
      <c r="U364" s="2425">
        <f t="array" ref="U364">IFERROR(VLOOKUP(T351,Dex!$B$3:$N422,8,FALSE),"")</f>
        <v>92</v>
      </c>
      <c r="V364" s="2426" t="str">
        <f t="array" ref="V364">IFERROR(VLOOKUP(U364,Dex!$P$22:$Q$276,2,FALSE),"")</f>
        <v/>
      </c>
      <c r="W364" s="1255"/>
      <c r="X364" s="2717"/>
      <c r="Y364" s="2424" t="s">
        <v>513</v>
      </c>
      <c r="Z364" s="2425">
        <f t="array" ref="Z364">IFERROR(VLOOKUP(Y351,Dex!$B$3:$N422,8,FALSE),"")</f>
        <v>75</v>
      </c>
      <c r="AA364" s="2426" t="str">
        <f t="array" ref="AA364">IFERROR(VLOOKUP(Z364,Dex!$P$22:$Q$276,2,FALSE),"")</f>
        <v/>
      </c>
      <c r="AB364" s="1255"/>
      <c r="AC364" s="2717"/>
      <c r="AD364" s="2424" t="s">
        <v>513</v>
      </c>
      <c r="AE364" s="2425">
        <f t="array" ref="AE364">IFERROR(VLOOKUP(AD351,Dex!$B$3:$N422,8,FALSE),"")</f>
        <v>80</v>
      </c>
      <c r="AF364" s="2426" t="str">
        <f t="array" ref="AF364">IFERROR(VLOOKUP(AE364,Dex!$P$22:$Q$276,2,FALSE),"")</f>
        <v/>
      </c>
      <c r="AG364" s="1255"/>
      <c r="AH364" s="2719"/>
      <c r="AI364" s="2411"/>
    </row>
    <row r="365" ht="16.5" customHeight="1">
      <c r="A365" s="2326"/>
      <c r="B365" s="2403"/>
      <c r="C365" s="2396"/>
      <c r="D365" s="2404"/>
      <c r="E365" s="2427" t="s">
        <v>514</v>
      </c>
      <c r="F365" s="2428">
        <f t="array" ref="F365">IFERROR(VLOOKUP(E351,Dex!$B$3:$N422,9,FALSE),"")</f>
        <v>104</v>
      </c>
      <c r="G365" s="2429" t="str">
        <f t="array" ref="G365">IFERROR(VLOOKUP(F365,Dex!$P$22:$Q$276,2,FALSE),"")</f>
        <v/>
      </c>
      <c r="H365" s="1261"/>
      <c r="I365" s="2717"/>
      <c r="J365" s="2427" t="s">
        <v>514</v>
      </c>
      <c r="K365" s="2428">
        <f t="array" ref="K365">IFERROR(VLOOKUP(J351,Dex!$B$3:$N422,9,FALSE),"")</f>
        <v>130</v>
      </c>
      <c r="L365" s="2429" t="str">
        <f t="array" ref="L365">IFERROR(VLOOKUP(K365,Dex!$P$22:$Q$276,2,FALSE),"")</f>
        <v/>
      </c>
      <c r="M365" s="1261"/>
      <c r="N365" s="2717"/>
      <c r="O365" s="2427" t="s">
        <v>514</v>
      </c>
      <c r="P365" s="2428">
        <f t="array" ref="P365">IFERROR(VLOOKUP(O351,Dex!$B$3:$N422,9,FALSE),"")</f>
        <v>75</v>
      </c>
      <c r="Q365" s="2429" t="str">
        <f t="array" ref="Q365">IFERROR(VLOOKUP(P365,Dex!$P$22:$Q$276,2,FALSE),"")</f>
        <v/>
      </c>
      <c r="R365" s="1261"/>
      <c r="S365" s="2717"/>
      <c r="T365" s="2427" t="s">
        <v>514</v>
      </c>
      <c r="U365" s="2428">
        <f t="array" ref="U365">IFERROR(VLOOKUP(T351,Dex!$B$3:$N422,9,FALSE),"")</f>
        <v>120</v>
      </c>
      <c r="V365" s="2429" t="str">
        <f t="array" ref="V365">IFERROR(VLOOKUP(U365,Dex!$P$22:$Q$276,2,FALSE),"")</f>
        <v/>
      </c>
      <c r="W365" s="1261"/>
      <c r="X365" s="2717"/>
      <c r="Y365" s="2427" t="s">
        <v>514</v>
      </c>
      <c r="Z365" s="2428">
        <f t="array" ref="Z365">IFERROR(VLOOKUP(Y351,Dex!$B$3:$N422,9,FALSE),"")</f>
        <v>95</v>
      </c>
      <c r="AA365" s="2429" t="str">
        <f t="array" ref="AA365">IFERROR(VLOOKUP(Z365,Dex!$P$22:$Q$276,2,FALSE),"")</f>
        <v/>
      </c>
      <c r="AB365" s="1261"/>
      <c r="AC365" s="2717"/>
      <c r="AD365" s="2427" t="s">
        <v>514</v>
      </c>
      <c r="AE365" s="2428">
        <f t="array" ref="AE365">IFERROR(VLOOKUP(AD351,Dex!$B$3:$N422,9,FALSE),"")</f>
        <v>80</v>
      </c>
      <c r="AF365" s="2429" t="str">
        <f t="array" ref="AF365">IFERROR(VLOOKUP(AE365,Dex!$P$22:$Q$276,2,FALSE),"")</f>
        <v/>
      </c>
      <c r="AG365" s="1261"/>
      <c r="AH365" s="2719"/>
      <c r="AI365" s="2411"/>
    </row>
    <row r="366" ht="16.5" customHeight="1">
      <c r="A366" s="2326"/>
      <c r="B366" s="2403"/>
      <c r="C366" s="2396"/>
      <c r="D366" s="2404"/>
      <c r="E366" s="2427" t="s">
        <v>515</v>
      </c>
      <c r="F366" s="2428">
        <f t="array" ref="F366">IFERROR(VLOOKUP(E351,Dex!$B$3:$N422,10,FALSE),"")</f>
        <v>78</v>
      </c>
      <c r="G366" s="2429" t="str">
        <f t="array" ref="G366">IFERROR(VLOOKUP(F366,Dex!$P$22:$Q$276,2,FALSE),"")</f>
        <v/>
      </c>
      <c r="H366" s="1261"/>
      <c r="I366" s="2717"/>
      <c r="J366" s="2427" t="s">
        <v>515</v>
      </c>
      <c r="K366" s="2428">
        <f t="array" ref="K366">IFERROR(VLOOKUP(J351,Dex!$B$3:$N422,10,FALSE),"")</f>
        <v>95</v>
      </c>
      <c r="L366" s="2429" t="str">
        <f t="array" ref="L366">IFERROR(VLOOKUP(K366,Dex!$P$22:$Q$276,2,FALSE),"")</f>
        <v/>
      </c>
      <c r="M366" s="1261"/>
      <c r="N366" s="2717"/>
      <c r="O366" s="2427" t="s">
        <v>515</v>
      </c>
      <c r="P366" s="2428">
        <f t="array" ref="P366">IFERROR(VLOOKUP(O351,Dex!$B$3:$N422,10,FALSE),"")</f>
        <v>55</v>
      </c>
      <c r="Q366" s="2429" t="str">
        <f t="array" ref="Q366">IFERROR(VLOOKUP(P366,Dex!$P$22:$Q$276,2,FALSE),"")</f>
        <v/>
      </c>
      <c r="R366" s="1261"/>
      <c r="S366" s="2717"/>
      <c r="T366" s="2427" t="s">
        <v>515</v>
      </c>
      <c r="U366" s="2428">
        <f t="array" ref="U366">IFERROR(VLOOKUP(T351,Dex!$B$3:$N422,10,FALSE),"")</f>
        <v>140</v>
      </c>
      <c r="V366" s="2429" t="str">
        <f t="array" ref="V366">IFERROR(VLOOKUP(U366,Dex!$P$22:$Q$276,2,FALSE),"")</f>
        <v/>
      </c>
      <c r="W366" s="1261"/>
      <c r="X366" s="2717"/>
      <c r="Y366" s="2427" t="s">
        <v>515</v>
      </c>
      <c r="Z366" s="2428">
        <f t="array" ref="Z366">IFERROR(VLOOKUP(Y351,Dex!$B$3:$N422,10,FALSE),"")</f>
        <v>125</v>
      </c>
      <c r="AA366" s="2429" t="str">
        <f t="array" ref="AA366">IFERROR(VLOOKUP(Z366,Dex!$P$22:$Q$276,2,FALSE),"")</f>
        <v/>
      </c>
      <c r="AB366" s="1261"/>
      <c r="AC366" s="2717"/>
      <c r="AD366" s="2427" t="s">
        <v>515</v>
      </c>
      <c r="AE366" s="2428">
        <f t="array" ref="AE366">IFERROR(VLOOKUP(AD351,Dex!$B$3:$N422,10,FALSE),"")</f>
        <v>90</v>
      </c>
      <c r="AF366" s="2429" t="str">
        <f t="array" ref="AF366">IFERROR(VLOOKUP(AE366,Dex!$P$22:$Q$276,2,FALSE),"")</f>
        <v/>
      </c>
      <c r="AG366" s="1261"/>
      <c r="AH366" s="2719"/>
      <c r="AI366" s="2411"/>
    </row>
    <row r="367" ht="16.5" customHeight="1">
      <c r="A367" s="2326"/>
      <c r="B367" s="2403"/>
      <c r="C367" s="2396"/>
      <c r="D367" s="2404"/>
      <c r="E367" s="2427" t="s">
        <v>516</v>
      </c>
      <c r="F367" s="2428">
        <f t="array" ref="F367">IFERROR(VLOOKUP(E351,Dex!$B$3:$N422,11,FALSE),"")</f>
        <v>159</v>
      </c>
      <c r="G367" s="2429" t="str">
        <f t="array" ref="G367">IFERROR(VLOOKUP(F367,Dex!$P$22:$Q$276,2,FALSE),"")</f>
        <v/>
      </c>
      <c r="H367" s="1261"/>
      <c r="I367" s="2717"/>
      <c r="J367" s="2427" t="s">
        <v>516</v>
      </c>
      <c r="K367" s="2428">
        <f t="array" ref="K367">IFERROR(VLOOKUP(J351,Dex!$B$3:$N422,11,FALSE),"")</f>
        <v>80</v>
      </c>
      <c r="L367" s="2429" t="str">
        <f t="array" ref="L367">IFERROR(VLOOKUP(K367,Dex!$P$22:$Q$276,2,FALSE),"")</f>
        <v/>
      </c>
      <c r="M367" s="1261"/>
      <c r="N367" s="2717"/>
      <c r="O367" s="2427" t="s">
        <v>516</v>
      </c>
      <c r="P367" s="2428">
        <f t="array" ref="P367">IFERROR(VLOOKUP(O351,Dex!$B$3:$N422,11,FALSE),"")</f>
        <v>135</v>
      </c>
      <c r="Q367" s="2429" t="str">
        <f t="array" ref="Q367">IFERROR(VLOOKUP(P367,Dex!$P$22:$Q$276,2,FALSE),"")</f>
        <v/>
      </c>
      <c r="R367" s="1261"/>
      <c r="S367" s="2717"/>
      <c r="T367" s="2427" t="s">
        <v>516</v>
      </c>
      <c r="U367" s="2428">
        <f t="array" ref="U367">IFERROR(VLOOKUP(T351,Dex!$B$3:$N422,11,FALSE),"")</f>
        <v>80</v>
      </c>
      <c r="V367" s="2429" t="str">
        <f t="array" ref="V367">IFERROR(VLOOKUP(U367,Dex!$P$22:$Q$276,2,FALSE),"")</f>
        <v/>
      </c>
      <c r="W367" s="1261"/>
      <c r="X367" s="2717"/>
      <c r="Y367" s="2427" t="s">
        <v>516</v>
      </c>
      <c r="Z367" s="2428">
        <f t="array" ref="Z367">IFERROR(VLOOKUP(Y351,Dex!$B$3:$N422,11,FALSE),"")</f>
        <v>45</v>
      </c>
      <c r="AA367" s="2429" t="str">
        <f t="array" ref="AA367">IFERROR(VLOOKUP(Z367,Dex!$P$22:$Q$276,2,FALSE),"")</f>
        <v/>
      </c>
      <c r="AB367" s="1261"/>
      <c r="AC367" s="2717"/>
      <c r="AD367" s="2427" t="s">
        <v>516</v>
      </c>
      <c r="AE367" s="2428">
        <f t="array" ref="AE367">IFERROR(VLOOKUP(AD351,Dex!$B$3:$N422,11,FALSE),"")</f>
        <v>110</v>
      </c>
      <c r="AF367" s="2429" t="str">
        <f t="array" ref="AF367">IFERROR(VLOOKUP(AE367,Dex!$P$22:$Q$276,2,FALSE),"")</f>
        <v/>
      </c>
      <c r="AG367" s="1261"/>
      <c r="AH367" s="2719"/>
      <c r="AI367" s="2411"/>
    </row>
    <row r="368" ht="16.5" customHeight="1">
      <c r="A368" s="2326"/>
      <c r="B368" s="2403"/>
      <c r="C368" s="2567"/>
      <c r="D368" s="2404"/>
      <c r="E368" s="2427" t="s">
        <v>517</v>
      </c>
      <c r="F368" s="2428">
        <f t="array" ref="F368">IFERROR(VLOOKUP(E351,Dex!$B$3:$N422,12,FALSE),"")</f>
        <v>115</v>
      </c>
      <c r="G368" s="2429" t="str">
        <f t="array" ref="G368">IFERROR(VLOOKUP(F368,Dex!$P$22:$Q$276,2,FALSE),"")</f>
        <v/>
      </c>
      <c r="H368" s="1261"/>
      <c r="I368" s="2717"/>
      <c r="J368" s="2427" t="s">
        <v>517</v>
      </c>
      <c r="K368" s="2428">
        <f t="array" ref="K368">IFERROR(VLOOKUP(J351,Dex!$B$3:$N422,12,FALSE),"")</f>
        <v>85</v>
      </c>
      <c r="L368" s="2429" t="str">
        <f t="array" ref="L368">IFERROR(VLOOKUP(K368,Dex!$P$22:$Q$276,2,FALSE),"")</f>
        <v/>
      </c>
      <c r="M368" s="1261"/>
      <c r="N368" s="2717"/>
      <c r="O368" s="2427" t="s">
        <v>517</v>
      </c>
      <c r="P368" s="2428">
        <f t="array" ref="P368">IFERROR(VLOOKUP(O351,Dex!$B$3:$N422,12,FALSE),"")</f>
        <v>85</v>
      </c>
      <c r="Q368" s="2429" t="str">
        <f t="array" ref="Q368">IFERROR(VLOOKUP(P368,Dex!$P$22:$Q$276,2,FALSE),"")</f>
        <v/>
      </c>
      <c r="R368" s="1261"/>
      <c r="S368" s="2717"/>
      <c r="T368" s="2427" t="s">
        <v>517</v>
      </c>
      <c r="U368" s="2428">
        <f t="array" ref="U368">IFERROR(VLOOKUP(T351,Dex!$B$3:$N422,12,FALSE),"")</f>
        <v>140</v>
      </c>
      <c r="V368" s="2429" t="str">
        <f t="array" ref="V368">IFERROR(VLOOKUP(U368,Dex!$P$22:$Q$276,2,FALSE),"")</f>
        <v/>
      </c>
      <c r="W368" s="1261"/>
      <c r="X368" s="2717"/>
      <c r="Y368" s="2427" t="s">
        <v>517</v>
      </c>
      <c r="Z368" s="2428">
        <f t="array" ref="Z368">IFERROR(VLOOKUP(Y351,Dex!$B$3:$N422,12,FALSE),"")</f>
        <v>75</v>
      </c>
      <c r="AA368" s="2429" t="str">
        <f t="array" ref="AA368">IFERROR(VLOOKUP(Z368,Dex!$P$22:$Q$276,2,FALSE),"")</f>
        <v/>
      </c>
      <c r="AB368" s="1261"/>
      <c r="AC368" s="2717"/>
      <c r="AD368" s="2427" t="s">
        <v>517</v>
      </c>
      <c r="AE368" s="2428">
        <f t="array" ref="AE368">IFERROR(VLOOKUP(AD351,Dex!$B$3:$N422,12,FALSE),"")</f>
        <v>130</v>
      </c>
      <c r="AF368" s="2429" t="str">
        <f t="array" ref="AF368">IFERROR(VLOOKUP(AE368,Dex!$P$22:$Q$276,2,FALSE),"")</f>
        <v/>
      </c>
      <c r="AG368" s="1261"/>
      <c r="AH368" s="2719"/>
      <c r="AI368" s="2411"/>
    </row>
    <row r="369" ht="15.75" customHeight="1">
      <c r="A369" s="2326"/>
      <c r="B369" s="2568"/>
      <c r="C369" s="1426" t="s">
        <v>745</v>
      </c>
      <c r="D369" s="2569"/>
      <c r="E369" s="2430" t="s">
        <v>518</v>
      </c>
      <c r="F369" s="2431">
        <f t="array" ref="F369">IFERROR(VLOOKUP(E351,Dex!$B$3:$N422,13,FALSE),"")</f>
        <v>100</v>
      </c>
      <c r="G369" s="2432" t="str">
        <f t="array" ref="G369">IFERROR(VLOOKUP(F369,Dex!$P$22:$Q$276,2,FALSE),"")</f>
        <v/>
      </c>
      <c r="H369" s="1265"/>
      <c r="I369" s="2720"/>
      <c r="J369" s="2430" t="s">
        <v>518</v>
      </c>
      <c r="K369" s="2431">
        <f t="array" ref="K369">IFERROR(VLOOKUP(J351,Dex!$B$3:$N422,13,FALSE),"")</f>
        <v>102</v>
      </c>
      <c r="L369" s="2432" t="str">
        <f t="array" ref="L369">IFERROR(VLOOKUP(K369,Dex!$P$22:$Q$276,2,FALSE),"")</f>
        <v/>
      </c>
      <c r="M369" s="1265"/>
      <c r="N369" s="2720"/>
      <c r="O369" s="2430" t="s">
        <v>518</v>
      </c>
      <c r="P369" s="2431">
        <f t="array" ref="P369">IFERROR(VLOOKUP(O351,Dex!$B$3:$N422,13,FALSE),"")</f>
        <v>55</v>
      </c>
      <c r="Q369" s="2432" t="str">
        <f t="array" ref="Q369">IFERROR(VLOOKUP(P369,Dex!$P$22:$Q$276,2,FALSE),"")</f>
        <v/>
      </c>
      <c r="R369" s="1265"/>
      <c r="S369" s="2720"/>
      <c r="T369" s="2430" t="s">
        <v>518</v>
      </c>
      <c r="U369" s="2431">
        <f t="array" ref="U369">IFERROR(VLOOKUP(T351,Dex!$B$3:$N422,13,FALSE),"")</f>
        <v>128</v>
      </c>
      <c r="V369" s="2432" t="str">
        <f t="array" ref="V369">IFERROR(VLOOKUP(U369,Dex!$P$22:$Q$276,2,FALSE),"")</f>
        <v/>
      </c>
      <c r="W369" s="1265"/>
      <c r="X369" s="2720"/>
      <c r="Y369" s="2430" t="s">
        <v>518</v>
      </c>
      <c r="Z369" s="2431">
        <f t="array" ref="Z369">IFERROR(VLOOKUP(Y351,Dex!$B$3:$N422,13,FALSE),"")</f>
        <v>95</v>
      </c>
      <c r="AA369" s="2432" t="str">
        <f t="array" ref="AA369">IFERROR(VLOOKUP(Z369,Dex!$P$22:$Q$276,2,FALSE),"")</f>
        <v/>
      </c>
      <c r="AB369" s="1265"/>
      <c r="AC369" s="2720"/>
      <c r="AD369" s="2430" t="s">
        <v>518</v>
      </c>
      <c r="AE369" s="2431">
        <f t="array" ref="AE369">IFERROR(VLOOKUP(AD351,Dex!$B$3:$N422,13,FALSE),"")</f>
        <v>110</v>
      </c>
      <c r="AF369" s="2432" t="str">
        <f t="array" ref="AF369">IFERROR(VLOOKUP(AE369,Dex!$P$22:$Q$276,2,FALSE),"")</f>
        <v/>
      </c>
      <c r="AG369" s="1265"/>
      <c r="AH369" s="2719"/>
      <c r="AI369" s="2411"/>
    </row>
    <row r="370" ht="16.5" customHeight="1">
      <c r="A370" s="2326"/>
      <c r="B370" s="2568"/>
      <c r="C370" s="1427" t="s">
        <v>1104</v>
      </c>
      <c r="D370" s="2569"/>
      <c r="E370" s="2433" t="s">
        <v>519</v>
      </c>
      <c r="F370" s="630"/>
      <c r="G370" s="631"/>
      <c r="H370" s="632">
        <f>ROUNDDOWN((ROUNDDOWN(((((2*F369+31)*82)/100+5)),0))*1.1,0)</f>
        <v>213</v>
      </c>
      <c r="I370" s="2720"/>
      <c r="J370" s="2433" t="s">
        <v>519</v>
      </c>
      <c r="K370" s="630"/>
      <c r="L370" s="631"/>
      <c r="M370" s="632">
        <f>ROUNDDOWN((ROUNDDOWN(((((2*K369+31)*82)/100+5)),0))*1.1,0)</f>
        <v>216</v>
      </c>
      <c r="N370" s="2720"/>
      <c r="O370" s="2577" t="s">
        <v>519</v>
      </c>
      <c r="P370" s="635"/>
      <c r="Q370" s="636"/>
      <c r="R370" s="632">
        <f>ROUNDDOWN((ROUNDDOWN(((((2*P369+30)*82)/100+5)),0))*1.1,0)</f>
        <v>130</v>
      </c>
      <c r="S370" s="2720"/>
      <c r="T370" s="2433" t="s">
        <v>519</v>
      </c>
      <c r="U370" s="630"/>
      <c r="V370" s="631"/>
      <c r="W370" s="632">
        <f>ROUNDDOWN((ROUNDDOWN(((((2*U369+31)*82)/100+5)),0))*1.1,0)</f>
        <v>264</v>
      </c>
      <c r="X370" s="2720"/>
      <c r="Y370" s="2433" t="s">
        <v>519</v>
      </c>
      <c r="Z370" s="630"/>
      <c r="AA370" s="631"/>
      <c r="AB370" s="632">
        <f>ROUNDDOWN((ROUNDDOWN(((((2*Z369+31)*82)/100+5)),0))*1.1,0)</f>
        <v>204</v>
      </c>
      <c r="AC370" s="2720"/>
      <c r="AD370" s="2433" t="s">
        <v>519</v>
      </c>
      <c r="AE370" s="630"/>
      <c r="AF370" s="631"/>
      <c r="AG370" s="632">
        <f>ROUNDDOWN((ROUNDDOWN(((((2*AE369+31)*82)/100+5)),0))*1.1,0)</f>
        <v>231</v>
      </c>
      <c r="AH370" s="2718"/>
      <c r="AI370" s="2411"/>
    </row>
    <row r="371" ht="16.5" customHeight="1">
      <c r="A371" s="2326"/>
      <c r="B371" s="2403"/>
      <c r="C371" s="2721"/>
      <c r="D371" s="2408"/>
      <c r="E371" s="2722"/>
      <c r="F371" s="2722"/>
      <c r="G371" s="2722"/>
      <c r="H371" s="2723"/>
      <c r="I371" s="2724"/>
      <c r="J371" s="2722"/>
      <c r="K371" s="2722"/>
      <c r="L371" s="2722"/>
      <c r="M371" s="2723"/>
      <c r="N371" s="2724"/>
      <c r="O371" s="2579" t="s">
        <v>700</v>
      </c>
      <c r="P371" s="643"/>
      <c r="Q371" s="644"/>
      <c r="R371" s="2555">
        <f>R370*2</f>
        <v>260</v>
      </c>
      <c r="S371" s="2724"/>
      <c r="T371" s="2722"/>
      <c r="U371" s="2722"/>
      <c r="V371" s="2722"/>
      <c r="W371" s="2723"/>
      <c r="X371" s="2717"/>
      <c r="Y371" s="2722"/>
      <c r="Z371" s="2722"/>
      <c r="AA371" s="2722"/>
      <c r="AB371" s="2723"/>
      <c r="AC371" s="2724"/>
      <c r="AD371" s="2722"/>
      <c r="AE371" s="2722"/>
      <c r="AF371" s="2722"/>
      <c r="AG371" s="2723"/>
      <c r="AH371" s="2410"/>
      <c r="AI371" s="2411"/>
    </row>
    <row r="372" ht="11.25" customHeight="1">
      <c r="A372" s="2319"/>
      <c r="B372" s="2327"/>
      <c r="C372" s="2328"/>
      <c r="D372" s="2374"/>
      <c r="E372" s="2725"/>
      <c r="F372" s="2725"/>
      <c r="G372" s="2725"/>
      <c r="H372" s="2725"/>
      <c r="I372" s="2346"/>
      <c r="J372" s="2725"/>
      <c r="K372" s="2725"/>
      <c r="L372" s="2725"/>
      <c r="M372" s="2725"/>
      <c r="N372" s="2346"/>
      <c r="O372" s="2346"/>
      <c r="P372" s="2346"/>
      <c r="Q372" s="2346"/>
      <c r="R372" s="2346"/>
      <c r="S372" s="2346"/>
      <c r="T372" s="2346"/>
      <c r="U372" s="2346"/>
      <c r="V372" s="2346"/>
      <c r="W372" s="2346"/>
      <c r="X372" s="2346"/>
      <c r="Y372" s="2414"/>
      <c r="Z372" s="2414"/>
      <c r="AA372" s="2414"/>
      <c r="AB372" s="2434"/>
      <c r="AC372" s="2346"/>
      <c r="AD372" s="2346"/>
      <c r="AE372" s="2346"/>
      <c r="AF372" s="2346"/>
      <c r="AG372" s="2346"/>
      <c r="AH372" s="2334"/>
      <c r="AI372" s="2325"/>
    </row>
    <row r="373">
      <c r="A373" s="2326"/>
      <c r="B373" s="2327"/>
      <c r="C373" s="2328"/>
      <c r="D373" s="2329"/>
      <c r="E373" s="2435" t="s">
        <v>983</v>
      </c>
      <c r="F373" s="1732"/>
      <c r="G373" s="1732"/>
      <c r="H373" s="1732"/>
      <c r="I373" s="1732"/>
      <c r="J373" s="1732"/>
      <c r="K373" s="1732"/>
      <c r="L373" s="1732"/>
      <c r="M373" s="1732"/>
      <c r="N373" s="1732"/>
      <c r="O373" s="1732"/>
      <c r="P373" s="1732"/>
      <c r="Q373" s="1732"/>
      <c r="R373" s="1732"/>
      <c r="S373" s="1732"/>
      <c r="T373" s="1732"/>
      <c r="U373" s="1732"/>
      <c r="V373" s="1732"/>
      <c r="W373" s="1732"/>
      <c r="X373" s="1732"/>
      <c r="Y373" s="1732"/>
      <c r="Z373" s="1732"/>
      <c r="AA373" s="1732"/>
      <c r="AB373" s="1732"/>
      <c r="AC373" s="1732"/>
      <c r="AD373" s="1732"/>
      <c r="AE373" s="1732"/>
      <c r="AF373" s="1732"/>
      <c r="AG373" s="1733"/>
      <c r="AH373" s="2563"/>
      <c r="AI373" s="2325"/>
    </row>
    <row r="374" ht="3.75" customHeight="1">
      <c r="A374" s="2326"/>
      <c r="B374" s="2327"/>
      <c r="C374" s="2335"/>
      <c r="D374" s="2336"/>
      <c r="E374" s="2337"/>
      <c r="F374" s="2337"/>
      <c r="G374" s="2337"/>
      <c r="H374" s="2337"/>
      <c r="I374" s="2336"/>
      <c r="J374" s="2337"/>
      <c r="K374" s="2337"/>
      <c r="L374" s="2337"/>
      <c r="M374" s="2337"/>
      <c r="N374" s="2336"/>
      <c r="O374" s="2337"/>
      <c r="P374" s="2337"/>
      <c r="Q374" s="2337"/>
      <c r="R374" s="2337"/>
      <c r="S374" s="2336"/>
      <c r="T374" s="2337"/>
      <c r="U374" s="2337"/>
      <c r="V374" s="2337"/>
      <c r="W374" s="2337"/>
      <c r="X374" s="2336"/>
      <c r="Y374" s="2337"/>
      <c r="Z374" s="2337"/>
      <c r="AA374" s="2337"/>
      <c r="AB374" s="2337"/>
      <c r="AC374" s="2336"/>
      <c r="AD374" s="2337"/>
      <c r="AE374" s="2337"/>
      <c r="AF374" s="2337"/>
      <c r="AG374" s="2337"/>
      <c r="AH374" s="2334"/>
      <c r="AI374" s="2325"/>
    </row>
    <row r="375">
      <c r="A375" s="2319"/>
      <c r="B375" s="2403"/>
      <c r="C375" s="2396"/>
      <c r="D375" s="2396"/>
      <c r="E375" s="2711" t="s">
        <v>1117</v>
      </c>
      <c r="F375" s="2332"/>
      <c r="G375" s="2332"/>
      <c r="H375" s="2332"/>
      <c r="I375" s="2332"/>
      <c r="J375" s="2332"/>
      <c r="K375" s="2332"/>
      <c r="L375" s="2332"/>
      <c r="M375" s="2332"/>
      <c r="N375" s="2332"/>
      <c r="O375" s="2332"/>
      <c r="P375" s="2332"/>
      <c r="Q375" s="2332"/>
      <c r="R375" s="2332"/>
      <c r="S375" s="2332"/>
      <c r="T375" s="2332"/>
      <c r="U375" s="2332"/>
      <c r="V375" s="2332"/>
      <c r="W375" s="2332"/>
      <c r="X375" s="2332"/>
      <c r="Y375" s="2332"/>
      <c r="Z375" s="2332"/>
      <c r="AA375" s="2332"/>
      <c r="AB375" s="2332"/>
      <c r="AC375" s="2332"/>
      <c r="AD375" s="2332"/>
      <c r="AE375" s="2332"/>
      <c r="AF375" s="2332"/>
      <c r="AG375" s="420"/>
      <c r="AH375" s="2563"/>
      <c r="AI375" s="2325"/>
    </row>
    <row r="376" ht="96.75" customHeight="1">
      <c r="A376" s="2319"/>
      <c r="B376" s="2339"/>
      <c r="C376" s="2436" t="str">
        <f>IMAGE("https://i.ibb.co/fXwks6z/Rival.png")</f>
        <v/>
      </c>
      <c r="D376" s="2341"/>
      <c r="E376" s="2727" t="str">
        <f t="array" ref="E376">IFERROR(VLOOKUP(E377,Dex!$B$3:$G422,3,FALSE),"")</f>
        <v/>
      </c>
      <c r="F376" s="1945"/>
      <c r="G376" s="1945"/>
      <c r="H376" s="1946"/>
      <c r="I376" s="2713"/>
      <c r="J376" s="2727" t="str">
        <f t="array" ref="J376">IFERROR(VLOOKUP(J377,Dex!$B$3:$G422,3,FALSE),"")</f>
        <v/>
      </c>
      <c r="K376" s="1945"/>
      <c r="L376" s="1945"/>
      <c r="M376" s="1946"/>
      <c r="N376" s="2713"/>
      <c r="O376" s="2727" t="str">
        <f t="array" ref="O376">IFERROR(VLOOKUP(O377,Dex!$B$3:$G422,3,FALSE),"")</f>
        <v/>
      </c>
      <c r="P376" s="1945"/>
      <c r="Q376" s="1945"/>
      <c r="R376" s="1946"/>
      <c r="S376" s="2713"/>
      <c r="T376" s="2727" t="str">
        <f t="array" ref="T376">IFERROR(VLOOKUP(T377,Dex!$B$3:$G422,3,FALSE),"")</f>
        <v/>
      </c>
      <c r="U376" s="1945"/>
      <c r="V376" s="1945"/>
      <c r="W376" s="1946"/>
      <c r="X376" s="2713"/>
      <c r="Y376" s="2727" t="str">
        <f t="array" ref="Y376">IFERROR(VLOOKUP(Y377,Dex!$B$3:$G422,3,FALSE),"")</f>
        <v/>
      </c>
      <c r="Z376" s="1945"/>
      <c r="AA376" s="1945"/>
      <c r="AB376" s="1946"/>
      <c r="AC376" s="2713"/>
      <c r="AD376" s="2727" t="str">
        <f t="array" ref="AD376">IFERROR(VLOOKUP(AD377,Dex!$B$3:$G422,3,FALSE),"")</f>
        <v/>
      </c>
      <c r="AE376" s="1945"/>
      <c r="AF376" s="1945"/>
      <c r="AG376" s="1946"/>
      <c r="AH376" s="2563"/>
      <c r="AI376" s="2325"/>
    </row>
    <row r="377" ht="18.75" customHeight="1">
      <c r="A377" s="2347"/>
      <c r="B377" s="2419"/>
      <c r="C377" s="2349" t="s">
        <v>1118</v>
      </c>
      <c r="D377" s="2420"/>
      <c r="E377" s="2351" t="s">
        <v>631</v>
      </c>
      <c r="F377" s="2352"/>
      <c r="G377" s="2352"/>
      <c r="H377" s="2353"/>
      <c r="I377" s="2420"/>
      <c r="J377" s="2351" t="s">
        <v>1119</v>
      </c>
      <c r="K377" s="2352"/>
      <c r="L377" s="2352"/>
      <c r="M377" s="2353"/>
      <c r="N377" s="2420"/>
      <c r="O377" s="2351" t="s">
        <v>1120</v>
      </c>
      <c r="P377" s="2352"/>
      <c r="Q377" s="2352"/>
      <c r="R377" s="2353"/>
      <c r="S377" s="2420"/>
      <c r="T377" s="2351" t="s">
        <v>1121</v>
      </c>
      <c r="U377" s="2352"/>
      <c r="V377" s="2352"/>
      <c r="W377" s="2353"/>
      <c r="X377" s="2420"/>
      <c r="Y377" s="2351" t="s">
        <v>1122</v>
      </c>
      <c r="Z377" s="2352"/>
      <c r="AA377" s="2352"/>
      <c r="AB377" s="2353"/>
      <c r="AC377" s="2420"/>
      <c r="AD377" s="2351" t="s">
        <v>1060</v>
      </c>
      <c r="AE377" s="2352"/>
      <c r="AF377" s="2352"/>
      <c r="AG377" s="2353"/>
      <c r="AH377" s="2564"/>
      <c r="AI377" s="2357"/>
    </row>
    <row r="378">
      <c r="A378" s="2319"/>
      <c r="B378" s="2358"/>
      <c r="C378" s="556"/>
      <c r="D378" s="2359"/>
      <c r="E378" s="2360" t="s">
        <v>729</v>
      </c>
      <c r="F378" s="2361"/>
      <c r="G378" s="2361"/>
      <c r="H378" s="2362"/>
      <c r="I378" s="2420"/>
      <c r="J378" s="2360" t="s">
        <v>729</v>
      </c>
      <c r="K378" s="2361"/>
      <c r="L378" s="2361"/>
      <c r="M378" s="2362"/>
      <c r="N378" s="2420"/>
      <c r="O378" s="2360" t="s">
        <v>729</v>
      </c>
      <c r="P378" s="2361"/>
      <c r="Q378" s="2361"/>
      <c r="R378" s="2362"/>
      <c r="S378" s="2420"/>
      <c r="T378" s="2360" t="s">
        <v>729</v>
      </c>
      <c r="U378" s="2361"/>
      <c r="V378" s="2361"/>
      <c r="W378" s="2362"/>
      <c r="X378" s="2420"/>
      <c r="Y378" s="2360" t="s">
        <v>729</v>
      </c>
      <c r="Z378" s="2361"/>
      <c r="AA378" s="2361"/>
      <c r="AB378" s="2362"/>
      <c r="AC378" s="2420"/>
      <c r="AD378" s="2360" t="s">
        <v>729</v>
      </c>
      <c r="AE378" s="2361"/>
      <c r="AF378" s="2361"/>
      <c r="AG378" s="2362"/>
      <c r="AH378" s="2563"/>
      <c r="AI378" s="2325"/>
    </row>
    <row r="379" ht="25.5" customHeight="1">
      <c r="A379" s="2319"/>
      <c r="B379" s="2327"/>
      <c r="C379" s="2363"/>
      <c r="D379" s="2364"/>
      <c r="E379" s="2365"/>
      <c r="F379" s="2369" t="str">
        <f t="array" ref="F379">IFERROR(VLOOKUP(E377,Dex!$B$3:$H422,5,FALSE),"")</f>
        <v/>
      </c>
      <c r="G379" s="2370" t="str">
        <f t="array" ref="G379">IFERROR(VLOOKUP(E377,Dex!$B$3:$H422,7,FALSE),"")</f>
        <v/>
      </c>
      <c r="H379" s="2368"/>
      <c r="I379" s="2714"/>
      <c r="J379" s="2365"/>
      <c r="K379" s="2369" t="str">
        <f t="array" ref="K379">IFERROR(VLOOKUP(J377,Dex!$B$3:$H422,5,FALSE),"")</f>
        <v/>
      </c>
      <c r="L379" s="2370" t="str">
        <f t="array" ref="L379">IFERROR(VLOOKUP(J377,Dex!$B$3:$H422,7,FALSE),"")</f>
        <v/>
      </c>
      <c r="M379" s="2368"/>
      <c r="N379" s="2714"/>
      <c r="O379" s="2365"/>
      <c r="P379" s="2369" t="str">
        <f t="array" ref="P379">IFERROR(VLOOKUP(O377,Dex!$B$3:$H422,5,FALSE),"")</f>
        <v/>
      </c>
      <c r="Q379" s="2370" t="str">
        <f t="array" ref="Q379">IFERROR(VLOOKUP(O377,Dex!$B$3:$H422,7,FALSE),"")</f>
        <v/>
      </c>
      <c r="R379" s="2368"/>
      <c r="S379" s="2714"/>
      <c r="T379" s="2365"/>
      <c r="U379" s="2369" t="str">
        <f t="array" ref="U379">IFERROR(VLOOKUP(T377,Dex!$B$3:$H422,5,FALSE),"")</f>
        <v/>
      </c>
      <c r="V379" s="2370" t="str">
        <f t="array" ref="V379">IFERROR(VLOOKUP(T377,Dex!$B$3:$H422,7,FALSE),"")</f>
        <v/>
      </c>
      <c r="W379" s="2368"/>
      <c r="X379" s="2714"/>
      <c r="Y379" s="2365"/>
      <c r="Z379" s="2369" t="str">
        <f t="array" ref="Z379">IFERROR(VLOOKUP(Y377,Dex!$B$3:$H422,5,FALSE),"")</f>
        <v/>
      </c>
      <c r="AA379" s="2370" t="str">
        <f t="array" ref="AA379">IFERROR(VLOOKUP(Y377,Dex!$B$3:$H422,7,FALSE),"")</f>
        <v/>
      </c>
      <c r="AB379" s="2368"/>
      <c r="AC379" s="2714"/>
      <c r="AD379" s="2365"/>
      <c r="AE379" s="2369" t="str">
        <f t="array" ref="AE379">IFERROR(VLOOKUP(AD377,Dex!$B$3:$H422,5,FALSE),"")</f>
        <v/>
      </c>
      <c r="AF379" s="2370" t="str">
        <f t="array" ref="AF379">IFERROR(VLOOKUP(AD377,Dex!$B$3:$H422,7,FALSE),"")</f>
        <v/>
      </c>
      <c r="AG379" s="2368"/>
      <c r="AH379" s="2715"/>
      <c r="AI379" s="2325"/>
    </row>
    <row r="380" ht="2.25" customHeight="1">
      <c r="A380" s="2319"/>
      <c r="B380" s="2327"/>
      <c r="C380" s="2355"/>
      <c r="D380" s="2364"/>
      <c r="E380" s="2371"/>
      <c r="F380" s="2372"/>
      <c r="G380" s="2372"/>
      <c r="H380" s="2373"/>
      <c r="I380" s="2714"/>
      <c r="J380" s="2371"/>
      <c r="K380" s="2372"/>
      <c r="L380" s="2372"/>
      <c r="M380" s="2373"/>
      <c r="N380" s="2714"/>
      <c r="O380" s="2371"/>
      <c r="P380" s="2372"/>
      <c r="Q380" s="2372"/>
      <c r="R380" s="2373"/>
      <c r="S380" s="2714"/>
      <c r="T380" s="2371"/>
      <c r="U380" s="2372"/>
      <c r="V380" s="2372"/>
      <c r="W380" s="2373"/>
      <c r="X380" s="2714"/>
      <c r="Y380" s="2371"/>
      <c r="Z380" s="2372"/>
      <c r="AA380" s="2372"/>
      <c r="AB380" s="2373"/>
      <c r="AC380" s="2714"/>
      <c r="AD380" s="2371"/>
      <c r="AE380" s="2372"/>
      <c r="AF380" s="2372"/>
      <c r="AG380" s="2373"/>
      <c r="AH380" s="2715"/>
      <c r="AI380" s="2325"/>
    </row>
    <row r="381" ht="20.25" customHeight="1">
      <c r="A381" s="2319"/>
      <c r="B381" s="2327"/>
      <c r="C381" s="2375"/>
      <c r="D381" s="2329"/>
      <c r="E381" s="2376" t="s">
        <v>532</v>
      </c>
      <c r="F381" s="2377"/>
      <c r="G381" s="2377"/>
      <c r="H381" s="2378"/>
      <c r="I381" s="2716"/>
      <c r="J381" s="2376" t="s">
        <v>566</v>
      </c>
      <c r="K381" s="2377"/>
      <c r="L381" s="2377"/>
      <c r="M381" s="2378"/>
      <c r="N381" s="2716"/>
      <c r="O381" s="2376" t="s">
        <v>531</v>
      </c>
      <c r="P381" s="2377"/>
      <c r="Q381" s="2377"/>
      <c r="R381" s="2378"/>
      <c r="S381" s="2716"/>
      <c r="T381" s="2376" t="s">
        <v>564</v>
      </c>
      <c r="U381" s="2377"/>
      <c r="V381" s="2377"/>
      <c r="W381" s="2378"/>
      <c r="X381" s="2716"/>
      <c r="Y381" s="2376" t="s">
        <v>564</v>
      </c>
      <c r="Z381" s="2377"/>
      <c r="AA381" s="2377"/>
      <c r="AB381" s="2378"/>
      <c r="AC381" s="2716"/>
      <c r="AD381" s="2376" t="s">
        <v>564</v>
      </c>
      <c r="AE381" s="2377"/>
      <c r="AF381" s="2377"/>
      <c r="AG381" s="2378"/>
      <c r="AH381" s="2563"/>
      <c r="AI381" s="2325"/>
    </row>
    <row r="382">
      <c r="A382" s="2319"/>
      <c r="B382" s="2327"/>
      <c r="C382" s="2379"/>
      <c r="D382" s="2329"/>
      <c r="E382" s="2380" t="s">
        <v>63</v>
      </c>
      <c r="F382" s="2332"/>
      <c r="G382" s="2332"/>
      <c r="H382" s="2381"/>
      <c r="I382" s="2716"/>
      <c r="J382" s="2380" t="s">
        <v>1123</v>
      </c>
      <c r="K382" s="2332"/>
      <c r="L382" s="2332"/>
      <c r="M382" s="2381"/>
      <c r="N382" s="2716"/>
      <c r="O382" s="2380" t="s">
        <v>1124</v>
      </c>
      <c r="P382" s="2332"/>
      <c r="Q382" s="2332"/>
      <c r="R382" s="2381"/>
      <c r="S382" s="2716"/>
      <c r="T382" s="2380" t="s">
        <v>1125</v>
      </c>
      <c r="U382" s="2332"/>
      <c r="V382" s="2332"/>
      <c r="W382" s="2381"/>
      <c r="X382" s="2716"/>
      <c r="Y382" s="2380" t="s">
        <v>484</v>
      </c>
      <c r="Z382" s="2332"/>
      <c r="AA382" s="2332"/>
      <c r="AB382" s="2381"/>
      <c r="AC382" s="2716"/>
      <c r="AD382" s="2380" t="s">
        <v>1126</v>
      </c>
      <c r="AE382" s="2332"/>
      <c r="AF382" s="2332"/>
      <c r="AG382" s="2381"/>
      <c r="AH382" s="2563"/>
      <c r="AI382" s="2325"/>
    </row>
    <row r="383" ht="20.25" customHeight="1">
      <c r="A383" s="2319"/>
      <c r="B383" s="2327"/>
      <c r="C383" s="2355"/>
      <c r="D383" s="2329"/>
      <c r="E383" s="2382" t="s">
        <v>713</v>
      </c>
      <c r="F383" s="2383"/>
      <c r="G383" s="2384"/>
      <c r="H383" s="2385"/>
      <c r="I383" s="2354"/>
      <c r="J383" s="2382" t="s">
        <v>870</v>
      </c>
      <c r="K383" s="2383"/>
      <c r="L383" s="2384"/>
      <c r="M383" s="2385"/>
      <c r="N383" s="2354"/>
      <c r="O383" s="2382" t="s">
        <v>733</v>
      </c>
      <c r="P383" s="2383"/>
      <c r="Q383" s="2384"/>
      <c r="R383" s="2385"/>
      <c r="S383" s="2354"/>
      <c r="T383" s="2382" t="s">
        <v>541</v>
      </c>
      <c r="U383" s="2383"/>
      <c r="V383" s="2384"/>
      <c r="W383" s="2385"/>
      <c r="X383" s="2354"/>
      <c r="Y383" s="2382" t="s">
        <v>663</v>
      </c>
      <c r="Z383" s="2383"/>
      <c r="AA383" s="2384"/>
      <c r="AB383" s="2385"/>
      <c r="AC383" s="2354"/>
      <c r="AD383" s="2382" t="s">
        <v>1062</v>
      </c>
      <c r="AE383" s="2383"/>
      <c r="AF383" s="2384"/>
      <c r="AG383" s="2385"/>
      <c r="AH383" s="2715"/>
      <c r="AI383" s="2325"/>
    </row>
    <row r="384" ht="20.25" customHeight="1">
      <c r="A384" s="2319"/>
      <c r="B384" s="2327"/>
      <c r="C384" s="2375"/>
      <c r="D384" s="2329"/>
      <c r="E384" s="2376" t="s">
        <v>548</v>
      </c>
      <c r="F384" s="2377"/>
      <c r="G384" s="2386"/>
      <c r="H384" s="2387" t="str">
        <f>IMAGE("https://raw.githubusercontent.com/msikma/pokesprite/master/misc/types/gen8/fighting.png",4,20,20)</f>
        <v/>
      </c>
      <c r="I384" s="2354"/>
      <c r="J384" s="2376" t="s">
        <v>287</v>
      </c>
      <c r="K384" s="2377"/>
      <c r="L384" s="2386"/>
      <c r="M384" s="2387" t="str">
        <f>IMAGE("https://raw.githubusercontent.com/msikma/pokesprite/master/misc/types/gen8/normal.png",4,20,20)</f>
        <v/>
      </c>
      <c r="N384" s="2354"/>
      <c r="O384" s="2376" t="s">
        <v>170</v>
      </c>
      <c r="P384" s="2377"/>
      <c r="Q384" s="2386"/>
      <c r="R384" s="2387" t="str">
        <f>IMAGE("https://raw.githubusercontent.com/msikma/pokesprite/master/misc/types/gen8/psychic.png",4,20,20)</f>
        <v/>
      </c>
      <c r="S384" s="2354"/>
      <c r="T384" s="2376" t="s">
        <v>619</v>
      </c>
      <c r="U384" s="2377"/>
      <c r="V384" s="2386"/>
      <c r="W384" s="2387" t="str">
        <f>IMAGE("https://raw.githubusercontent.com/msikma/pokesprite/master/misc/types/gen8/fire.png",4,20,20)</f>
        <v/>
      </c>
      <c r="X384" s="2354"/>
      <c r="Y384" s="2376" t="s">
        <v>259</v>
      </c>
      <c r="Z384" s="2377"/>
      <c r="AA384" s="2386"/>
      <c r="AB384" s="2387" t="str">
        <f t="shared" ref="AB384:AB385" si="21">IMAGE("https://raw.githubusercontent.com/msikma/pokesprite/master/misc/types/gen8/dark.png",4,20,20)</f>
        <v/>
      </c>
      <c r="AC384" s="2354"/>
      <c r="AD384" s="2376" t="s">
        <v>577</v>
      </c>
      <c r="AE384" s="2377"/>
      <c r="AF384" s="2386"/>
      <c r="AG384" s="2387" t="str">
        <f>IMAGE("https://raw.githubusercontent.com/msikma/pokesprite/master/misc/types/gen8/grass.png",4,20,20)</f>
        <v/>
      </c>
      <c r="AH384" s="2715"/>
      <c r="AI384" s="2325"/>
    </row>
    <row r="385" ht="20.25" customHeight="1">
      <c r="A385" s="2319"/>
      <c r="B385" s="2327"/>
      <c r="C385" s="2328"/>
      <c r="D385" s="2329"/>
      <c r="E385" s="2380" t="s">
        <v>580</v>
      </c>
      <c r="F385" s="2332"/>
      <c r="G385" s="420"/>
      <c r="H385" s="2388" t="str">
        <f>IMAGE("https://raw.githubusercontent.com/msikma/pokesprite/master/misc/types/gen8/electric.png",4,20,20)</f>
        <v/>
      </c>
      <c r="I385" s="2354"/>
      <c r="J385" s="2380" t="s">
        <v>739</v>
      </c>
      <c r="K385" s="2332"/>
      <c r="L385" s="420"/>
      <c r="M385" s="2388" t="str">
        <f>IMAGE("https://raw.githubusercontent.com/msikma/pokesprite/master/misc/types/gen8/steel.png",4,20,20)</f>
        <v/>
      </c>
      <c r="N385" s="2354"/>
      <c r="O385" s="2380" t="s">
        <v>786</v>
      </c>
      <c r="P385" s="2332"/>
      <c r="Q385" s="420"/>
      <c r="R385" s="2388" t="str">
        <f>IMAGE("https://raw.githubusercontent.com/msikma/pokesprite/master/misc/types/gen8/fairy.png",4,20,20)</f>
        <v/>
      </c>
      <c r="S385" s="2354"/>
      <c r="T385" s="2380" t="s">
        <v>647</v>
      </c>
      <c r="U385" s="2332"/>
      <c r="V385" s="420"/>
      <c r="W385" s="2388" t="str">
        <f>IMAGE("https://raw.githubusercontent.com/msikma/pokesprite/master/misc/types/gen8/ghost.png",4,20,20)</f>
        <v/>
      </c>
      <c r="X385" s="2354"/>
      <c r="Y385" s="2380" t="s">
        <v>666</v>
      </c>
      <c r="Z385" s="2332"/>
      <c r="AA385" s="420"/>
      <c r="AB385" s="2388" t="str">
        <f t="shared" si="21"/>
        <v/>
      </c>
      <c r="AC385" s="2354"/>
      <c r="AD385" s="2380" t="s">
        <v>614</v>
      </c>
      <c r="AE385" s="2332"/>
      <c r="AF385" s="420"/>
      <c r="AG385" s="2388" t="str">
        <f>IMAGE("https://raw.githubusercontent.com/msikma/pokesprite/master/misc/types/gen8/poison.png",4,20,20)</f>
        <v/>
      </c>
      <c r="AH385" s="2715"/>
      <c r="AI385" s="2325"/>
    </row>
    <row r="386" ht="20.25" customHeight="1">
      <c r="A386" s="2319"/>
      <c r="B386" s="2327"/>
      <c r="C386" s="2328"/>
      <c r="D386" s="2329"/>
      <c r="E386" s="2380" t="s">
        <v>579</v>
      </c>
      <c r="F386" s="2332"/>
      <c r="G386" s="420"/>
      <c r="H386" s="2388" t="str">
        <f>IMAGE("https://raw.githubusercontent.com/msikma/pokesprite/master/misc/types/gen8/dark.png",4,20,20)</f>
        <v/>
      </c>
      <c r="I386" s="2354"/>
      <c r="J386" s="2380" t="s">
        <v>579</v>
      </c>
      <c r="K386" s="2332"/>
      <c r="L386" s="420"/>
      <c r="M386" s="2388" t="str">
        <f>IMAGE("https://raw.githubusercontent.com/msikma/pokesprite/master/misc/types/gen8/dark.png",4,20,20)</f>
        <v/>
      </c>
      <c r="N386" s="2354"/>
      <c r="O386" s="2380" t="s">
        <v>743</v>
      </c>
      <c r="P386" s="2332"/>
      <c r="Q386" s="420"/>
      <c r="R386" s="2388" t="str">
        <f>IMAGE("https://raw.githubusercontent.com/msikma/pokesprite/master/misc/types/gen8/water.png",4,20,20)</f>
        <v/>
      </c>
      <c r="S386" s="2354"/>
      <c r="T386" s="2380" t="s">
        <v>775</v>
      </c>
      <c r="U386" s="2332"/>
      <c r="V386" s="420"/>
      <c r="W386" s="2388" t="str">
        <f>IMAGE("https://raw.githubusercontent.com/msikma/pokesprite/master/misc/types/gen8/grass.png",4,20,20)</f>
        <v/>
      </c>
      <c r="X386" s="2354"/>
      <c r="Y386" s="2380" t="s">
        <v>646</v>
      </c>
      <c r="Z386" s="2332"/>
      <c r="AA386" s="420"/>
      <c r="AB386" s="2388" t="str">
        <f>IMAGE("https://raw.githubusercontent.com/msikma/pokesprite/master/misc/types/gen8/steel.png",4,20,20)</f>
        <v/>
      </c>
      <c r="AC386" s="2354"/>
      <c r="AD386" s="2380" t="s">
        <v>644</v>
      </c>
      <c r="AE386" s="2332"/>
      <c r="AF386" s="420"/>
      <c r="AG386" s="2388" t="str">
        <f>IMAGE("https://raw.githubusercontent.com/msikma/pokesprite/master/misc/types/gen8/ground.png",4,20,20)</f>
        <v/>
      </c>
      <c r="AH386" s="2715"/>
      <c r="AI386" s="2325"/>
    </row>
    <row r="387" ht="21.0" customHeight="1">
      <c r="A387" s="2319"/>
      <c r="B387" s="2327"/>
      <c r="C387" s="2328"/>
      <c r="D387" s="2329"/>
      <c r="E387" s="2389" t="s">
        <v>589</v>
      </c>
      <c r="F387" s="2390"/>
      <c r="G387" s="2391"/>
      <c r="H387" s="2392" t="str">
        <f>IMAGE("https://raw.githubusercontent.com/msikma/pokesprite/master/misc/types/gen8/ice.png",4,20,20)</f>
        <v/>
      </c>
      <c r="I387" s="2354"/>
      <c r="J387" s="2389" t="s">
        <v>1023</v>
      </c>
      <c r="K387" s="2390"/>
      <c r="L387" s="2391"/>
      <c r="M387" s="2392" t="str">
        <f>IMAGE("https://raw.githubusercontent.com/msikma/pokesprite/master/misc/types/gen8/fighting.png",4,20,20)</f>
        <v/>
      </c>
      <c r="N387" s="2354"/>
      <c r="O387" s="2389" t="s">
        <v>670</v>
      </c>
      <c r="P387" s="2390"/>
      <c r="Q387" s="2391"/>
      <c r="R387" s="2392" t="str">
        <f>IMAGE("https://raw.githubusercontent.com/msikma/pokesprite/master/misc/types/gen8/ice.png",4,20,20)</f>
        <v/>
      </c>
      <c r="S387" s="2354"/>
      <c r="T387" s="2389" t="s">
        <v>170</v>
      </c>
      <c r="U387" s="2390"/>
      <c r="V387" s="2391"/>
      <c r="W387" s="2392" t="str">
        <f>IMAGE("https://raw.githubusercontent.com/msikma/pokesprite/master/misc/types/gen8/psychic.png",4,20,20)</f>
        <v/>
      </c>
      <c r="X387" s="2354"/>
      <c r="Y387" s="2389" t="s">
        <v>619</v>
      </c>
      <c r="Z387" s="2390"/>
      <c r="AA387" s="2391"/>
      <c r="AB387" s="2392" t="str">
        <f>IMAGE("https://raw.githubusercontent.com/msikma/pokesprite/master/misc/types/gen8/fire.png",4,20,20)</f>
        <v/>
      </c>
      <c r="AC387" s="2354"/>
      <c r="AD387" s="2389" t="s">
        <v>987</v>
      </c>
      <c r="AE387" s="2390"/>
      <c r="AF387" s="2391"/>
      <c r="AG387" s="2392" t="str">
        <f>IMAGE("https://raw.githubusercontent.com/msikma/pokesprite/master/misc/types/gen8/grass.png",4,20,20)</f>
        <v/>
      </c>
      <c r="AH387" s="2715"/>
      <c r="AI387" s="2325"/>
    </row>
    <row r="388" ht="3.0" customHeight="1">
      <c r="A388" s="2394"/>
      <c r="B388" s="2395"/>
      <c r="C388" s="2396"/>
      <c r="D388" s="2397"/>
      <c r="E388" s="2398"/>
      <c r="F388" s="2398"/>
      <c r="G388" s="2398"/>
      <c r="H388" s="2398"/>
      <c r="I388" s="2397"/>
      <c r="J388" s="2398"/>
      <c r="K388" s="2398"/>
      <c r="L388" s="2398"/>
      <c r="M388" s="2398"/>
      <c r="N388" s="2397"/>
      <c r="O388" s="2398"/>
      <c r="P388" s="2398"/>
      <c r="Q388" s="2398"/>
      <c r="R388" s="2398"/>
      <c r="S388" s="2397"/>
      <c r="T388" s="2398"/>
      <c r="U388" s="2398"/>
      <c r="V388" s="2398"/>
      <c r="W388" s="2398"/>
      <c r="X388" s="2397"/>
      <c r="Y388" s="2398"/>
      <c r="Z388" s="2398"/>
      <c r="AA388" s="2398"/>
      <c r="AB388" s="2398"/>
      <c r="AC388" s="2397"/>
      <c r="AD388" s="2398"/>
      <c r="AE388" s="2398"/>
      <c r="AF388" s="2398"/>
      <c r="AG388" s="2398"/>
      <c r="AH388" s="2401"/>
      <c r="AI388" s="2402"/>
    </row>
    <row r="389" ht="16.5" customHeight="1">
      <c r="A389" s="2326"/>
      <c r="B389" s="2403"/>
      <c r="C389" s="2396"/>
      <c r="D389" s="2404"/>
      <c r="E389" s="2523" t="s">
        <v>512</v>
      </c>
      <c r="F389" s="606"/>
      <c r="G389" s="606"/>
      <c r="H389" s="607"/>
      <c r="I389" s="2717"/>
      <c r="J389" s="2523" t="s">
        <v>512</v>
      </c>
      <c r="K389" s="606"/>
      <c r="L389" s="606"/>
      <c r="M389" s="607"/>
      <c r="N389" s="2717"/>
      <c r="O389" s="2523" t="s">
        <v>512</v>
      </c>
      <c r="P389" s="606"/>
      <c r="Q389" s="606"/>
      <c r="R389" s="607"/>
      <c r="S389" s="2717"/>
      <c r="T389" s="2523" t="s">
        <v>512</v>
      </c>
      <c r="U389" s="606"/>
      <c r="V389" s="606"/>
      <c r="W389" s="607"/>
      <c r="X389" s="2717"/>
      <c r="Y389" s="2523" t="s">
        <v>512</v>
      </c>
      <c r="Z389" s="606"/>
      <c r="AA389" s="606"/>
      <c r="AB389" s="607"/>
      <c r="AC389" s="2717"/>
      <c r="AD389" s="2523" t="s">
        <v>512</v>
      </c>
      <c r="AE389" s="606"/>
      <c r="AF389" s="606"/>
      <c r="AG389" s="607"/>
      <c r="AH389" s="2718"/>
      <c r="AI389" s="2411"/>
    </row>
    <row r="390" ht="16.5" customHeight="1">
      <c r="A390" s="2326"/>
      <c r="B390" s="2403"/>
      <c r="C390" s="2396"/>
      <c r="D390" s="2404"/>
      <c r="E390" s="2530" t="s">
        <v>513</v>
      </c>
      <c r="F390" s="2531">
        <f t="array" ref="F390">IFERROR(VLOOKUP(E377,Dex!$B$3:$N422,8,FALSE),"")</f>
        <v>154</v>
      </c>
      <c r="G390" s="2532" t="str">
        <f t="array" ref="G390">IFERROR(VLOOKUP(F390,Dex!$P$22:$Q$276,2,FALSE),"")</f>
        <v/>
      </c>
      <c r="H390" s="2533"/>
      <c r="I390" s="2717"/>
      <c r="J390" s="2530" t="s">
        <v>513</v>
      </c>
      <c r="K390" s="2531">
        <f t="array" ref="K390">IFERROR(VLOOKUP(J377,Dex!$B$3:$N422,8,FALSE),"")</f>
        <v>100</v>
      </c>
      <c r="L390" s="2532" t="str">
        <f t="array" ref="L390">IFERROR(VLOOKUP(K390,Dex!$P$22:$Q$276,2,FALSE),"")</f>
        <v/>
      </c>
      <c r="M390" s="2533"/>
      <c r="N390" s="2717"/>
      <c r="O390" s="2530" t="s">
        <v>513</v>
      </c>
      <c r="P390" s="2531">
        <f t="array" ref="P390">IFERROR(VLOOKUP(O377,Dex!$B$3:$N422,8,FALSE),"")</f>
        <v>80</v>
      </c>
      <c r="Q390" s="2532" t="str">
        <f t="array" ref="Q390">IFERROR(VLOOKUP(P390,Dex!$P$22:$Q$276,2,FALSE),"")</f>
        <v/>
      </c>
      <c r="R390" s="2533"/>
      <c r="S390" s="2717"/>
      <c r="T390" s="2530" t="s">
        <v>513</v>
      </c>
      <c r="U390" s="2531">
        <f t="array" ref="U390">IFERROR(VLOOKUP(T377,Dex!$B$3:$N422,8,FALSE),"")</f>
        <v>60</v>
      </c>
      <c r="V390" s="2532" t="str">
        <f t="array" ref="V390">IFERROR(VLOOKUP(U390,Dex!$P$22:$Q$276,2,FALSE),"")</f>
        <v/>
      </c>
      <c r="W390" s="2533"/>
      <c r="X390" s="2717"/>
      <c r="Y390" s="2530" t="s">
        <v>513</v>
      </c>
      <c r="Z390" s="2531">
        <f t="array" ref="Z390">IFERROR(VLOOKUP(Y377,Dex!$B$3:$N422,8,FALSE),"")</f>
        <v>92</v>
      </c>
      <c r="AA390" s="2532" t="str">
        <f t="array" ref="AA390">IFERROR(VLOOKUP(Z390,Dex!$P$22:$Q$276,2,FALSE),"")</f>
        <v/>
      </c>
      <c r="AB390" s="2533"/>
      <c r="AC390" s="2717"/>
      <c r="AD390" s="2530" t="s">
        <v>513</v>
      </c>
      <c r="AE390" s="2531">
        <f t="array" ref="AE390">IFERROR(VLOOKUP(AD377,Dex!$B$3:$N422,8,FALSE),"")</f>
        <v>80</v>
      </c>
      <c r="AF390" s="2532" t="str">
        <f t="array" ref="AF390">IFERROR(VLOOKUP(AE390,Dex!$P$22:$Q$276,2,FALSE),"")</f>
        <v/>
      </c>
      <c r="AG390" s="2533"/>
      <c r="AH390" s="2719"/>
      <c r="AI390" s="2411"/>
    </row>
    <row r="391" ht="16.5" customHeight="1">
      <c r="A391" s="2326"/>
      <c r="B391" s="2403"/>
      <c r="C391" s="2396"/>
      <c r="D391" s="2404"/>
      <c r="E391" s="2537" t="s">
        <v>514</v>
      </c>
      <c r="F391" s="2538">
        <f t="array" ref="F391">IFERROR(VLOOKUP(E377,Dex!$B$3:$N422,9,FALSE),"")</f>
        <v>140</v>
      </c>
      <c r="G391" s="2539" t="str">
        <f t="array" ref="G391">IFERROR(VLOOKUP(F391,Dex!$P$22:$Q$276,2,FALSE),"")</f>
        <v/>
      </c>
      <c r="H391" s="2540"/>
      <c r="I391" s="2717"/>
      <c r="J391" s="2537" t="s">
        <v>514</v>
      </c>
      <c r="K391" s="2538">
        <f t="array" ref="K391">IFERROR(VLOOKUP(J377,Dex!$B$3:$N422,9,FALSE),"")</f>
        <v>135</v>
      </c>
      <c r="L391" s="2539" t="str">
        <f t="array" ref="L391">IFERROR(VLOOKUP(K391,Dex!$P$22:$Q$276,2,FALSE),"")</f>
        <v/>
      </c>
      <c r="M391" s="2540"/>
      <c r="N391" s="2717"/>
      <c r="O391" s="2537" t="s">
        <v>514</v>
      </c>
      <c r="P391" s="2538">
        <f t="array" ref="P391">IFERROR(VLOOKUP(O377,Dex!$B$3:$N422,9,FALSE),"")</f>
        <v>74</v>
      </c>
      <c r="Q391" s="2539" t="str">
        <f t="array" ref="Q391">IFERROR(VLOOKUP(P391,Dex!$P$22:$Q$276,2,FALSE),"")</f>
        <v/>
      </c>
      <c r="R391" s="2540"/>
      <c r="S391" s="2717"/>
      <c r="T391" s="2537" t="s">
        <v>514</v>
      </c>
      <c r="U391" s="2538">
        <f t="array" ref="U391">IFERROR(VLOOKUP(T377,Dex!$B$3:$N422,9,FALSE),"")</f>
        <v>55</v>
      </c>
      <c r="V391" s="2539" t="str">
        <f t="array" ref="V391">IFERROR(VLOOKUP(U391,Dex!$P$22:$Q$276,2,FALSE),"")</f>
        <v/>
      </c>
      <c r="W391" s="2540"/>
      <c r="X391" s="2717"/>
      <c r="Y391" s="2537" t="s">
        <v>514</v>
      </c>
      <c r="Z391" s="2538">
        <f t="array" ref="Z391">IFERROR(VLOOKUP(Y377,Dex!$B$3:$N422,9,FALSE),"")</f>
        <v>105</v>
      </c>
      <c r="AA391" s="2539" t="str">
        <f t="array" ref="AA391">IFERROR(VLOOKUP(Z391,Dex!$P$22:$Q$276,2,FALSE),"")</f>
        <v/>
      </c>
      <c r="AB391" s="2540"/>
      <c r="AC391" s="2717"/>
      <c r="AD391" s="2537" t="s">
        <v>514</v>
      </c>
      <c r="AE391" s="2538">
        <f t="array" ref="AE391">IFERROR(VLOOKUP(AD377,Dex!$B$3:$N422,9,FALSE),"")</f>
        <v>100</v>
      </c>
      <c r="AF391" s="2539" t="str">
        <f t="array" ref="AF391">IFERROR(VLOOKUP(AE391,Dex!$P$22:$Q$276,2,FALSE),"")</f>
        <v/>
      </c>
      <c r="AG391" s="2540"/>
      <c r="AH391" s="2719"/>
      <c r="AI391" s="2411"/>
    </row>
    <row r="392" ht="16.5" customHeight="1">
      <c r="A392" s="2326"/>
      <c r="B392" s="2403"/>
      <c r="C392" s="2396"/>
      <c r="D392" s="2404"/>
      <c r="E392" s="2537" t="s">
        <v>515</v>
      </c>
      <c r="F392" s="2538">
        <f t="array" ref="F392">IFERROR(VLOOKUP(E377,Dex!$B$3:$N422,10,FALSE),"")</f>
        <v>108</v>
      </c>
      <c r="G392" s="2539" t="str">
        <f t="array" ref="G392">IFERROR(VLOOKUP(F392,Dex!$P$22:$Q$276,2,FALSE),"")</f>
        <v/>
      </c>
      <c r="H392" s="2540"/>
      <c r="I392" s="2717"/>
      <c r="J392" s="2537" t="s">
        <v>515</v>
      </c>
      <c r="K392" s="2538">
        <f t="array" ref="K392">IFERROR(VLOOKUP(J377,Dex!$B$3:$N422,10,FALSE),"")</f>
        <v>120</v>
      </c>
      <c r="L392" s="2539" t="str">
        <f t="array" ref="L392">IFERROR(VLOOKUP(K392,Dex!$P$22:$Q$276,2,FALSE),"")</f>
        <v/>
      </c>
      <c r="M392" s="2540"/>
      <c r="N392" s="2717"/>
      <c r="O392" s="2537" t="s">
        <v>515</v>
      </c>
      <c r="P392" s="2538">
        <f t="array" ref="P392">IFERROR(VLOOKUP(O377,Dex!$B$3:$N422,10,FALSE),"")</f>
        <v>74</v>
      </c>
      <c r="Q392" s="2539" t="str">
        <f t="array" ref="Q392">IFERROR(VLOOKUP(P392,Dex!$P$22:$Q$276,2,FALSE),"")</f>
        <v/>
      </c>
      <c r="R392" s="2540"/>
      <c r="S392" s="2717"/>
      <c r="T392" s="2537" t="s">
        <v>515</v>
      </c>
      <c r="U392" s="2538">
        <f t="array" ref="U392">IFERROR(VLOOKUP(T377,Dex!$B$3:$N422,10,FALSE),"")</f>
        <v>90</v>
      </c>
      <c r="V392" s="2539" t="str">
        <f t="array" ref="V392">IFERROR(VLOOKUP(U392,Dex!$P$22:$Q$276,2,FALSE),"")</f>
        <v/>
      </c>
      <c r="W392" s="2540"/>
      <c r="X392" s="2717"/>
      <c r="Y392" s="2537" t="s">
        <v>515</v>
      </c>
      <c r="Z392" s="2538">
        <f t="array" ref="Z392">IFERROR(VLOOKUP(Y377,Dex!$B$3:$N422,10,FALSE),"")</f>
        <v>90</v>
      </c>
      <c r="AA392" s="2539" t="str">
        <f t="array" ref="AA392">IFERROR(VLOOKUP(Z392,Dex!$P$22:$Q$276,2,FALSE),"")</f>
        <v/>
      </c>
      <c r="AB392" s="2540"/>
      <c r="AC392" s="2717"/>
      <c r="AD392" s="2537" t="s">
        <v>515</v>
      </c>
      <c r="AE392" s="2538">
        <f t="array" ref="AE392">IFERROR(VLOOKUP(AD377,Dex!$B$3:$N422,10,FALSE),"")</f>
        <v>123</v>
      </c>
      <c r="AF392" s="2539" t="str">
        <f t="array" ref="AF392">IFERROR(VLOOKUP(AE392,Dex!$P$22:$Q$276,2,FALSE),"")</f>
        <v/>
      </c>
      <c r="AG392" s="2540"/>
      <c r="AH392" s="2719"/>
      <c r="AI392" s="2411"/>
    </row>
    <row r="393" ht="16.5" customHeight="1">
      <c r="A393" s="2326"/>
      <c r="B393" s="2403"/>
      <c r="C393" s="2396"/>
      <c r="D393" s="2404"/>
      <c r="E393" s="2537" t="s">
        <v>516</v>
      </c>
      <c r="F393" s="2538">
        <f t="array" ref="F393">IFERROR(VLOOKUP(E377,Dex!$B$3:$N422,11,FALSE),"")</f>
        <v>50</v>
      </c>
      <c r="G393" s="2539" t="str">
        <f t="array" ref="G393">IFERROR(VLOOKUP(F393,Dex!$P$22:$Q$276,2,FALSE),"")</f>
        <v/>
      </c>
      <c r="H393" s="2540"/>
      <c r="I393" s="2717"/>
      <c r="J393" s="2537" t="s">
        <v>516</v>
      </c>
      <c r="K393" s="2538">
        <f t="array" ref="K393">IFERROR(VLOOKUP(J377,Dex!$B$3:$N422,11,FALSE),"")</f>
        <v>60</v>
      </c>
      <c r="L393" s="2539" t="str">
        <f t="array" ref="L393">IFERROR(VLOOKUP(K393,Dex!$P$22:$Q$276,2,FALSE),"")</f>
        <v/>
      </c>
      <c r="M393" s="2540"/>
      <c r="N393" s="2717"/>
      <c r="O393" s="2537" t="s">
        <v>516</v>
      </c>
      <c r="P393" s="2538">
        <f t="array" ref="P393">IFERROR(VLOOKUP(O377,Dex!$B$3:$N422,11,FALSE),"")</f>
        <v>126</v>
      </c>
      <c r="Q393" s="2539" t="str">
        <f t="array" ref="Q393">IFERROR(VLOOKUP(P393,Dex!$P$22:$Q$276,2,FALSE),"")</f>
        <v/>
      </c>
      <c r="R393" s="2540"/>
      <c r="S393" s="2717"/>
      <c r="T393" s="2537" t="s">
        <v>516</v>
      </c>
      <c r="U393" s="2538">
        <f t="array" ref="U393">IFERROR(VLOOKUP(T377,Dex!$B$3:$N422,11,FALSE),"")</f>
        <v>145</v>
      </c>
      <c r="V393" s="2539" t="str">
        <f t="array" ref="V393">IFERROR(VLOOKUP(U393,Dex!$P$22:$Q$276,2,FALSE),"")</f>
        <v/>
      </c>
      <c r="W393" s="2540"/>
      <c r="X393" s="2717"/>
      <c r="Y393" s="2537" t="s">
        <v>516</v>
      </c>
      <c r="Z393" s="2538">
        <f t="array" ref="Z393">IFERROR(VLOOKUP(Y377,Dex!$B$3:$N422,11,FALSE),"")</f>
        <v>125</v>
      </c>
      <c r="AA393" s="2539" t="str">
        <f t="array" ref="AA393">IFERROR(VLOOKUP(Z393,Dex!$P$22:$Q$276,2,FALSE),"")</f>
        <v/>
      </c>
      <c r="AB393" s="2540"/>
      <c r="AC393" s="2717"/>
      <c r="AD393" s="2537" t="s">
        <v>516</v>
      </c>
      <c r="AE393" s="2538">
        <f t="array" ref="AE393">IFERROR(VLOOKUP(AD377,Dex!$B$3:$N422,11,FALSE),"")</f>
        <v>122</v>
      </c>
      <c r="AF393" s="2539" t="str">
        <f t="array" ref="AF393">IFERROR(VLOOKUP(AE393,Dex!$P$22:$Q$276,2,FALSE),"")</f>
        <v/>
      </c>
      <c r="AG393" s="2540"/>
      <c r="AH393" s="2719"/>
      <c r="AI393" s="2411"/>
    </row>
    <row r="394" ht="16.5" customHeight="1">
      <c r="A394" s="2326"/>
      <c r="B394" s="2403"/>
      <c r="C394" s="2567"/>
      <c r="D394" s="2404"/>
      <c r="E394" s="2537" t="s">
        <v>517</v>
      </c>
      <c r="F394" s="2538">
        <f t="array" ref="F394">IFERROR(VLOOKUP(E377,Dex!$B$3:$N422,12,FALSE),"")</f>
        <v>68</v>
      </c>
      <c r="G394" s="2539" t="str">
        <f t="array" ref="G394">IFERROR(VLOOKUP(F394,Dex!$P$22:$Q$276,2,FALSE),"")</f>
        <v/>
      </c>
      <c r="H394" s="2540"/>
      <c r="I394" s="2717"/>
      <c r="J394" s="2537" t="s">
        <v>517</v>
      </c>
      <c r="K394" s="2538">
        <f t="array" ref="K394">IFERROR(VLOOKUP(J377,Dex!$B$3:$N422,12,FALSE),"")</f>
        <v>85</v>
      </c>
      <c r="L394" s="2539" t="str">
        <f t="array" ref="L394">IFERROR(VLOOKUP(K394,Dex!$P$22:$Q$276,2,FALSE),"")</f>
        <v/>
      </c>
      <c r="M394" s="2540"/>
      <c r="N394" s="2717"/>
      <c r="O394" s="2537" t="s">
        <v>517</v>
      </c>
      <c r="P394" s="2538">
        <f t="array" ref="P394">IFERROR(VLOOKUP(O377,Dex!$B$3:$N422,12,FALSE),"")</f>
        <v>116</v>
      </c>
      <c r="Q394" s="2539" t="str">
        <f t="array" ref="Q394">IFERROR(VLOOKUP(P394,Dex!$P$22:$Q$276,2,FALSE),"")</f>
        <v/>
      </c>
      <c r="R394" s="2540"/>
      <c r="S394" s="2717"/>
      <c r="T394" s="2537" t="s">
        <v>517</v>
      </c>
      <c r="U394" s="2538">
        <f t="array" ref="U394">IFERROR(VLOOKUP(T377,Dex!$B$3:$N422,12,FALSE),"")</f>
        <v>90</v>
      </c>
      <c r="V394" s="2539" t="str">
        <f t="array" ref="V394">IFERROR(VLOOKUP(U394,Dex!$P$22:$Q$276,2,FALSE),"")</f>
        <v/>
      </c>
      <c r="W394" s="2540"/>
      <c r="X394" s="2717"/>
      <c r="Y394" s="2537" t="s">
        <v>517</v>
      </c>
      <c r="Z394" s="2538">
        <f t="array" ref="Z394">IFERROR(VLOOKUP(Y377,Dex!$B$3:$N422,12,FALSE),"")</f>
        <v>90</v>
      </c>
      <c r="AA394" s="2539" t="str">
        <f t="array" ref="AA394">IFERROR(VLOOKUP(Z394,Dex!$P$22:$Q$276,2,FALSE),"")</f>
        <v/>
      </c>
      <c r="AB394" s="2540"/>
      <c r="AC394" s="2717"/>
      <c r="AD394" s="2537" t="s">
        <v>517</v>
      </c>
      <c r="AE394" s="2538">
        <f t="array" ref="AE394">IFERROR(VLOOKUP(AD377,Dex!$B$3:$N422,12,FALSE),"")</f>
        <v>120</v>
      </c>
      <c r="AF394" s="2539" t="str">
        <f t="array" ref="AF394">IFERROR(VLOOKUP(AE394,Dex!$P$22:$Q$276,2,FALSE),"")</f>
        <v/>
      </c>
      <c r="AG394" s="2540"/>
      <c r="AH394" s="2719"/>
      <c r="AI394" s="2411"/>
    </row>
    <row r="395" ht="15.75" customHeight="1">
      <c r="A395" s="2326"/>
      <c r="B395" s="2568"/>
      <c r="C395" s="1426" t="s">
        <v>745</v>
      </c>
      <c r="D395" s="2569"/>
      <c r="E395" s="2541" t="s">
        <v>518</v>
      </c>
      <c r="F395" s="2542">
        <f t="array" ref="F395">IFERROR(VLOOKUP(E377,Dex!$B$3:$N422,13,FALSE),"")</f>
        <v>50</v>
      </c>
      <c r="G395" s="2543" t="str">
        <f t="array" ref="G395">IFERROR(VLOOKUP(F395,Dex!$P$22:$Q$276,2,FALSE),"")</f>
        <v/>
      </c>
      <c r="H395" s="2544"/>
      <c r="I395" s="2720"/>
      <c r="J395" s="2541" t="s">
        <v>518</v>
      </c>
      <c r="K395" s="2542">
        <f t="array" ref="K395">IFERROR(VLOOKUP(J377,Dex!$B$3:$N422,13,FALSE),"")</f>
        <v>50</v>
      </c>
      <c r="L395" s="2543" t="str">
        <f t="array" ref="L395">IFERROR(VLOOKUP(K395,Dex!$P$22:$Q$276,2,FALSE),"")</f>
        <v/>
      </c>
      <c r="M395" s="2544"/>
      <c r="N395" s="2720"/>
      <c r="O395" s="2541" t="s">
        <v>518</v>
      </c>
      <c r="P395" s="2542">
        <f t="array" ref="P395">IFERROR(VLOOKUP(O377,Dex!$B$3:$N422,13,FALSE),"")</f>
        <v>60</v>
      </c>
      <c r="Q395" s="2543" t="str">
        <f t="array" ref="Q395">IFERROR(VLOOKUP(P395,Dex!$P$22:$Q$276,2,FALSE),"")</f>
        <v/>
      </c>
      <c r="R395" s="2544"/>
      <c r="S395" s="2720"/>
      <c r="T395" s="2541" t="s">
        <v>518</v>
      </c>
      <c r="U395" s="2542">
        <f t="array" ref="U395">IFERROR(VLOOKUP(T377,Dex!$B$3:$N422,13,FALSE),"")</f>
        <v>80</v>
      </c>
      <c r="V395" s="2543" t="str">
        <f t="array" ref="V395">IFERROR(VLOOKUP(U395,Dex!$P$22:$Q$276,2,FALSE),"")</f>
        <v/>
      </c>
      <c r="W395" s="2544"/>
      <c r="X395" s="2720"/>
      <c r="Y395" s="2541" t="s">
        <v>518</v>
      </c>
      <c r="Z395" s="2542">
        <f t="array" ref="Z395">IFERROR(VLOOKUP(Y377,Dex!$B$3:$N422,13,FALSE),"")</f>
        <v>98</v>
      </c>
      <c r="AA395" s="2543" t="str">
        <f t="array" ref="AA395">IFERROR(VLOOKUP(Z395,Dex!$P$22:$Q$276,2,FALSE),"")</f>
        <v/>
      </c>
      <c r="AB395" s="2544"/>
      <c r="AC395" s="2720"/>
      <c r="AD395" s="2541" t="s">
        <v>518</v>
      </c>
      <c r="AE395" s="2542">
        <f t="array" ref="AE395">IFERROR(VLOOKUP(AD377,Dex!$B$3:$N422,13,FALSE),"")</f>
        <v>80</v>
      </c>
      <c r="AF395" s="2543" t="str">
        <f t="array" ref="AF395">IFERROR(VLOOKUP(AE395,Dex!$P$22:$Q$276,2,FALSE),"")</f>
        <v/>
      </c>
      <c r="AG395" s="2544"/>
      <c r="AH395" s="2719"/>
      <c r="AI395" s="2411"/>
    </row>
    <row r="396" ht="16.5" customHeight="1">
      <c r="A396" s="2326"/>
      <c r="B396" s="2568"/>
      <c r="C396" s="1427" t="s">
        <v>1104</v>
      </c>
      <c r="D396" s="2569"/>
      <c r="E396" s="2545" t="s">
        <v>519</v>
      </c>
      <c r="F396" s="630"/>
      <c r="G396" s="631"/>
      <c r="H396" s="632">
        <f>ROUNDDOWN((ROUNDDOWN(((((2*F395+31)*82)/100+5)),0))*1.1,0)</f>
        <v>123</v>
      </c>
      <c r="I396" s="2720"/>
      <c r="J396" s="2545" t="s">
        <v>519</v>
      </c>
      <c r="K396" s="630"/>
      <c r="L396" s="631"/>
      <c r="M396" s="632">
        <f>ROUNDDOWN((ROUNDDOWN(((((2*K395+31)*82)/100+5)),0))*1,0)</f>
        <v>112</v>
      </c>
      <c r="N396" s="2720"/>
      <c r="O396" s="2545" t="s">
        <v>519</v>
      </c>
      <c r="P396" s="630"/>
      <c r="Q396" s="631"/>
      <c r="R396" s="632">
        <f>ROUNDDOWN((ROUNDDOWN(((((2*P395+31)*82)/100+5)),0))*1,0)</f>
        <v>128</v>
      </c>
      <c r="S396" s="2720"/>
      <c r="T396" s="2545" t="s">
        <v>519</v>
      </c>
      <c r="U396" s="630"/>
      <c r="V396" s="631"/>
      <c r="W396" s="632">
        <f>ROUNDDOWN((ROUNDDOWN(((((2*U395+31)*82)/100+5)),0))*1.1,0)</f>
        <v>177</v>
      </c>
      <c r="X396" s="2720"/>
      <c r="Y396" s="2545" t="s">
        <v>519</v>
      </c>
      <c r="Z396" s="630"/>
      <c r="AA396" s="631"/>
      <c r="AB396" s="632">
        <f>ROUNDDOWN((ROUNDDOWN(((((2*Z395+31)*82)/100+5)),0))*1.1,0)</f>
        <v>210</v>
      </c>
      <c r="AC396" s="2720"/>
      <c r="AD396" s="2545" t="s">
        <v>519</v>
      </c>
      <c r="AE396" s="630"/>
      <c r="AF396" s="631"/>
      <c r="AG396" s="632">
        <f>ROUNDDOWN((ROUNDDOWN(((((2*AE395+31)*82)/100+5)),0))*1.1,0)</f>
        <v>177</v>
      </c>
      <c r="AH396" s="2718"/>
      <c r="AI396" s="2411"/>
    </row>
    <row r="397" ht="15.0" customHeight="1">
      <c r="A397" s="2319"/>
      <c r="B397" s="2440"/>
      <c r="C397" s="2441"/>
      <c r="D397" s="2442"/>
      <c r="E397" s="2443"/>
      <c r="F397" s="2443"/>
      <c r="G397" s="2443"/>
      <c r="H397" s="2728"/>
      <c r="I397" s="2442"/>
      <c r="J397" s="2443"/>
      <c r="K397" s="2443"/>
      <c r="L397" s="2443"/>
      <c r="M397" s="2728"/>
      <c r="N397" s="2442"/>
      <c r="O397" s="2444"/>
      <c r="P397" s="2444"/>
      <c r="Q397" s="2444"/>
      <c r="R397" s="2442"/>
      <c r="S397" s="2442"/>
      <c r="T397" s="2444"/>
      <c r="U397" s="2444"/>
      <c r="V397" s="2444"/>
      <c r="W397" s="2586"/>
      <c r="X397" s="2586"/>
      <c r="Y397" s="2444"/>
      <c r="Z397" s="2444"/>
      <c r="AA397" s="2444"/>
      <c r="AB397" s="2586"/>
      <c r="AC397" s="2442"/>
      <c r="AD397" s="2444"/>
      <c r="AE397" s="2444"/>
      <c r="AF397" s="2444"/>
      <c r="AG397" s="2442"/>
      <c r="AH397" s="2445"/>
      <c r="AI397" s="2325"/>
    </row>
    <row r="398" ht="15.0" customHeight="1">
      <c r="A398" s="2319"/>
      <c r="B398" s="2446"/>
      <c r="C398" s="2447"/>
      <c r="D398" s="2448"/>
      <c r="E398" s="2449"/>
      <c r="F398" s="2449"/>
      <c r="G398" s="2449"/>
      <c r="H398" s="2449"/>
      <c r="I398" s="2448"/>
      <c r="J398" s="2449"/>
      <c r="K398" s="2449"/>
      <c r="L398" s="2449"/>
      <c r="M398" s="2449"/>
      <c r="N398" s="2448"/>
      <c r="O398" s="2449"/>
      <c r="P398" s="2449"/>
      <c r="Q398" s="2449"/>
      <c r="R398" s="2449"/>
      <c r="S398" s="2448"/>
      <c r="T398" s="2449"/>
      <c r="U398" s="2449"/>
      <c r="V398" s="2449"/>
      <c r="W398" s="2449"/>
      <c r="X398" s="2448"/>
      <c r="Y398" s="2449"/>
      <c r="Z398" s="2449"/>
      <c r="AA398" s="2449"/>
      <c r="AB398" s="2449"/>
      <c r="AC398" s="2448"/>
      <c r="AD398" s="2449"/>
      <c r="AE398" s="2449"/>
      <c r="AF398" s="2449"/>
      <c r="AG398" s="2449"/>
      <c r="AH398" s="2450"/>
      <c r="AI398" s="2325"/>
    </row>
    <row r="399">
      <c r="A399" s="2319"/>
      <c r="B399" s="2521"/>
      <c r="C399" s="2515"/>
      <c r="D399" s="2515"/>
      <c r="E399" s="2729" t="s">
        <v>1127</v>
      </c>
      <c r="F399" s="2459"/>
      <c r="G399" s="2459"/>
      <c r="H399" s="2459"/>
      <c r="I399" s="2459"/>
      <c r="J399" s="2459"/>
      <c r="K399" s="2459"/>
      <c r="L399" s="2459"/>
      <c r="M399" s="2459"/>
      <c r="N399" s="2459"/>
      <c r="O399" s="2459"/>
      <c r="P399" s="2459"/>
      <c r="Q399" s="2459"/>
      <c r="R399" s="2459"/>
      <c r="S399" s="2459"/>
      <c r="T399" s="2459"/>
      <c r="U399" s="2459"/>
      <c r="V399" s="2459"/>
      <c r="W399" s="2459"/>
      <c r="X399" s="2459"/>
      <c r="Y399" s="2459"/>
      <c r="Z399" s="2459"/>
      <c r="AA399" s="2459"/>
      <c r="AB399" s="2459"/>
      <c r="AC399" s="2459"/>
      <c r="AD399" s="2459"/>
      <c r="AE399" s="2459"/>
      <c r="AF399" s="2459"/>
      <c r="AG399" s="2460"/>
      <c r="AH399" s="2610"/>
      <c r="AI399" s="2325"/>
    </row>
    <row r="400" ht="96.75" customHeight="1">
      <c r="A400" s="2319"/>
      <c r="B400" s="2451"/>
      <c r="C400" s="2452" t="str">
        <f>IMAGE("https://i.ibb.co/rpm30sn/Brendan.png")</f>
        <v/>
      </c>
      <c r="D400" s="2453"/>
      <c r="E400" s="2454" t="str">
        <f t="array" ref="E400">IFERROR(VLOOKUP(E401,Dex!$B$3:$G422,3,FALSE),"")</f>
        <v/>
      </c>
      <c r="F400" s="1945"/>
      <c r="G400" s="1945"/>
      <c r="H400" s="1946"/>
      <c r="I400" s="2455"/>
      <c r="J400" s="2454" t="str">
        <f t="array" ref="J400">IFERROR(VLOOKUP(J401,Dex!$B$3:$G422,3,FALSE),"")</f>
        <v/>
      </c>
      <c r="K400" s="1945"/>
      <c r="L400" s="1945"/>
      <c r="M400" s="1946"/>
      <c r="N400" s="2455"/>
      <c r="O400" s="2454" t="str">
        <f t="array" ref="O400">IFERROR(VLOOKUP(O401,Dex!$B$3:$G422,3,FALSE),"")</f>
        <v/>
      </c>
      <c r="P400" s="1945"/>
      <c r="Q400" s="1945"/>
      <c r="R400" s="1946"/>
      <c r="S400" s="2455"/>
      <c r="T400" s="2454" t="str">
        <f t="array" ref="T400">IFERROR(VLOOKUP(T401,Dex!$B$3:$G422,3,FALSE),"")</f>
        <v/>
      </c>
      <c r="U400" s="1945"/>
      <c r="V400" s="1945"/>
      <c r="W400" s="1946"/>
      <c r="X400" s="2611"/>
      <c r="Y400" s="2454" t="str">
        <f t="array" ref="Y400">IFERROR(VLOOKUP(Y401,Dex!$B$3:$G422,3,FALSE),"")</f>
        <v/>
      </c>
      <c r="Z400" s="1945"/>
      <c r="AA400" s="1945"/>
      <c r="AB400" s="1946"/>
      <c r="AC400" s="2611"/>
      <c r="AD400" s="2454" t="str">
        <f t="array" ref="AD400">IFERROR(VLOOKUP(AD401,Dex!$B$3:$G422,3,FALSE),"")</f>
        <v/>
      </c>
      <c r="AE400" s="1945"/>
      <c r="AF400" s="1945"/>
      <c r="AG400" s="1946"/>
      <c r="AH400" s="2589"/>
      <c r="AI400" s="2325"/>
    </row>
    <row r="401" ht="18.75" customHeight="1">
      <c r="A401" s="2347"/>
      <c r="B401" s="2463"/>
      <c r="C401" s="2464" t="s">
        <v>1128</v>
      </c>
      <c r="D401" s="2465"/>
      <c r="E401" s="2466" t="s">
        <v>1129</v>
      </c>
      <c r="F401" s="2467"/>
      <c r="G401" s="2467"/>
      <c r="H401" s="2468"/>
      <c r="I401" s="2465"/>
      <c r="J401" s="2466" t="s">
        <v>1130</v>
      </c>
      <c r="K401" s="2467"/>
      <c r="L401" s="2467"/>
      <c r="M401" s="2468"/>
      <c r="N401" s="2465"/>
      <c r="O401" s="2466" t="s">
        <v>1131</v>
      </c>
      <c r="P401" s="2467"/>
      <c r="Q401" s="2467"/>
      <c r="R401" s="2468"/>
      <c r="S401" s="2465"/>
      <c r="T401" s="2466" t="s">
        <v>724</v>
      </c>
      <c r="U401" s="2467"/>
      <c r="V401" s="2467"/>
      <c r="W401" s="2468"/>
      <c r="Y401" s="2466" t="s">
        <v>727</v>
      </c>
      <c r="Z401" s="2467"/>
      <c r="AA401" s="2467"/>
      <c r="AB401" s="2468"/>
      <c r="AD401" s="2466" t="s">
        <v>599</v>
      </c>
      <c r="AE401" s="2467"/>
      <c r="AF401" s="2467"/>
      <c r="AG401" s="2468"/>
      <c r="AH401" s="2590"/>
      <c r="AI401" s="2357"/>
    </row>
    <row r="402">
      <c r="A402" s="2473"/>
      <c r="B402" s="2474"/>
      <c r="C402" s="556"/>
      <c r="D402" s="2475"/>
      <c r="E402" s="2476" t="s">
        <v>729</v>
      </c>
      <c r="F402" s="2477"/>
      <c r="G402" s="2477"/>
      <c r="H402" s="2478"/>
      <c r="I402" s="2479"/>
      <c r="J402" s="2476" t="s">
        <v>729</v>
      </c>
      <c r="K402" s="2477"/>
      <c r="L402" s="2477"/>
      <c r="M402" s="2478"/>
      <c r="N402" s="2479"/>
      <c r="O402" s="2476" t="s">
        <v>729</v>
      </c>
      <c r="P402" s="2477"/>
      <c r="Q402" s="2477"/>
      <c r="R402" s="2478"/>
      <c r="S402" s="2479"/>
      <c r="T402" s="2476" t="s">
        <v>729</v>
      </c>
      <c r="U402" s="2477"/>
      <c r="V402" s="2477"/>
      <c r="W402" s="2478"/>
      <c r="Y402" s="2476" t="s">
        <v>729</v>
      </c>
      <c r="Z402" s="2477"/>
      <c r="AA402" s="2477"/>
      <c r="AB402" s="2478"/>
      <c r="AD402" s="2476" t="s">
        <v>729</v>
      </c>
      <c r="AE402" s="2477"/>
      <c r="AF402" s="2477"/>
      <c r="AG402" s="2478"/>
      <c r="AH402" s="2591"/>
      <c r="AI402" s="2481"/>
    </row>
    <row r="403" ht="25.5" customHeight="1">
      <c r="A403" s="2319"/>
      <c r="B403" s="2482"/>
      <c r="C403" s="2483"/>
      <c r="D403" s="2458"/>
      <c r="E403" s="2484"/>
      <c r="F403" s="2485" t="str">
        <f t="array" ref="F403">IFERROR(VLOOKUP(E401,Dex!$B$3:$H422,5,FALSE),"")</f>
        <v/>
      </c>
      <c r="G403" s="2486" t="str">
        <f t="array" ref="G403">IFERROR(VLOOKUP(E401,Dex!$B$3:$H422,7,FALSE),"")</f>
        <v/>
      </c>
      <c r="H403" s="2487"/>
      <c r="I403" s="2470"/>
      <c r="J403" s="2484"/>
      <c r="K403" s="2485" t="str">
        <f t="array" ref="K403">IFERROR(VLOOKUP(J401,Dex!$B$3:$H422,5,FALSE),"")</f>
        <v/>
      </c>
      <c r="L403" s="2486" t="str">
        <f t="array" ref="L403">IFERROR(VLOOKUP(J401,Dex!$B$3:$H422,7,FALSE),"")</f>
        <v/>
      </c>
      <c r="M403" s="2487"/>
      <c r="N403" s="2470"/>
      <c r="O403" s="2484"/>
      <c r="P403" s="2485" t="str">
        <f t="array" ref="P403">IFERROR(VLOOKUP(O401,Dex!$B$3:$H422,5,FALSE),"")</f>
        <v/>
      </c>
      <c r="Q403" s="2486" t="str">
        <f t="array" ref="Q403">IFERROR(VLOOKUP(O401,Dex!$B$3:$H422,7,FALSE),"")</f>
        <v/>
      </c>
      <c r="R403" s="2487"/>
      <c r="S403" s="2470"/>
      <c r="T403" s="2484"/>
      <c r="U403" s="2485" t="str">
        <f t="array" ref="U403">IFERROR(VLOOKUP(T401,Dex!$B$3:$H422,5,FALSE),"")</f>
        <v/>
      </c>
      <c r="V403" s="2486" t="str">
        <f t="array" ref="V403">IFERROR(VLOOKUP(T401,Dex!$B$3:$H422,7,FALSE),"")</f>
        <v/>
      </c>
      <c r="W403" s="2487"/>
      <c r="Y403" s="2484"/>
      <c r="Z403" s="2485" t="str">
        <f t="array" ref="Z403">IFERROR(VLOOKUP(Y401,Dex!$B$3:$H422,5,FALSE),"")</f>
        <v/>
      </c>
      <c r="AA403" s="2486" t="str">
        <f t="array" ref="AA403">IFERROR(VLOOKUP(Y401,Dex!$B$3:$H422,7,FALSE),"")</f>
        <v/>
      </c>
      <c r="AB403" s="2487"/>
      <c r="AD403" s="2484"/>
      <c r="AE403" s="2485" t="str">
        <f t="array" ref="AE403">IFERROR(VLOOKUP(AD401,Dex!$B$3:$H422,5,FALSE),"")</f>
        <v/>
      </c>
      <c r="AF403" s="2486" t="str">
        <f t="array" ref="AF403">IFERROR(VLOOKUP(AD401,Dex!$B$3:$H422,7,FALSE),"")</f>
        <v/>
      </c>
      <c r="AG403" s="2487"/>
      <c r="AH403" s="2462"/>
      <c r="AI403" s="2325"/>
    </row>
    <row r="404" ht="2.25" customHeight="1">
      <c r="A404" s="2319"/>
      <c r="B404" s="2482"/>
      <c r="C404" s="2471"/>
      <c r="D404" s="2458"/>
      <c r="E404" s="2490"/>
      <c r="F404" s="2491"/>
      <c r="G404" s="2491"/>
      <c r="H404" s="2492"/>
      <c r="I404" s="2470"/>
      <c r="J404" s="2490"/>
      <c r="K404" s="2491"/>
      <c r="L404" s="2491"/>
      <c r="M404" s="2492"/>
      <c r="N404" s="2470"/>
      <c r="O404" s="2490"/>
      <c r="P404" s="2491"/>
      <c r="Q404" s="2491"/>
      <c r="R404" s="2492"/>
      <c r="S404" s="2470"/>
      <c r="T404" s="2490"/>
      <c r="U404" s="2491"/>
      <c r="V404" s="2491"/>
      <c r="W404" s="2492"/>
      <c r="Y404" s="2490"/>
      <c r="Z404" s="2491"/>
      <c r="AA404" s="2491"/>
      <c r="AB404" s="2492"/>
      <c r="AD404" s="2490"/>
      <c r="AE404" s="2491"/>
      <c r="AF404" s="2491"/>
      <c r="AG404" s="2492"/>
      <c r="AH404" s="2462"/>
      <c r="AI404" s="2325"/>
    </row>
    <row r="405" ht="20.25" customHeight="1">
      <c r="A405" s="2319"/>
      <c r="B405" s="2482"/>
      <c r="C405" s="2494"/>
      <c r="D405" s="2458"/>
      <c r="E405" s="2495" t="s">
        <v>566</v>
      </c>
      <c r="F405" s="2496"/>
      <c r="G405" s="2496"/>
      <c r="H405" s="2497"/>
      <c r="I405" s="2498"/>
      <c r="J405" s="2495" t="s">
        <v>566</v>
      </c>
      <c r="K405" s="2496"/>
      <c r="L405" s="2496"/>
      <c r="M405" s="2497"/>
      <c r="N405" s="2498"/>
      <c r="O405" s="2495" t="s">
        <v>482</v>
      </c>
      <c r="P405" s="2496"/>
      <c r="Q405" s="2496"/>
      <c r="R405" s="2497"/>
      <c r="S405" s="2498"/>
      <c r="T405" s="2495" t="s">
        <v>658</v>
      </c>
      <c r="U405" s="2496"/>
      <c r="V405" s="2496"/>
      <c r="W405" s="2497"/>
      <c r="Y405" s="2495" t="s">
        <v>564</v>
      </c>
      <c r="Z405" s="2496"/>
      <c r="AA405" s="2496"/>
      <c r="AB405" s="2497"/>
      <c r="AD405" s="2495" t="s">
        <v>532</v>
      </c>
      <c r="AE405" s="2496"/>
      <c r="AF405" s="2496"/>
      <c r="AG405" s="2497"/>
      <c r="AH405" s="2589"/>
      <c r="AI405" s="2325"/>
    </row>
    <row r="406">
      <c r="A406" s="2319"/>
      <c r="B406" s="2482"/>
      <c r="C406" s="2499"/>
      <c r="D406" s="2458"/>
      <c r="E406" s="2500" t="s">
        <v>1132</v>
      </c>
      <c r="F406" s="2459"/>
      <c r="G406" s="2459"/>
      <c r="H406" s="2501"/>
      <c r="I406" s="2498"/>
      <c r="J406" s="2500" t="s">
        <v>1133</v>
      </c>
      <c r="K406" s="2459"/>
      <c r="L406" s="2459"/>
      <c r="M406" s="2501"/>
      <c r="N406" s="2498"/>
      <c r="O406" s="2500" t="s">
        <v>97</v>
      </c>
      <c r="P406" s="2459"/>
      <c r="Q406" s="2459"/>
      <c r="R406" s="2501"/>
      <c r="S406" s="2498"/>
      <c r="T406" s="2500" t="s">
        <v>56</v>
      </c>
      <c r="U406" s="2459"/>
      <c r="V406" s="2459"/>
      <c r="W406" s="2501"/>
      <c r="Y406" s="2500" t="s">
        <v>731</v>
      </c>
      <c r="Z406" s="2459"/>
      <c r="AA406" s="2459"/>
      <c r="AB406" s="2501"/>
      <c r="AD406" s="2500" t="s">
        <v>1134</v>
      </c>
      <c r="AE406" s="2459"/>
      <c r="AF406" s="2459"/>
      <c r="AG406" s="2501"/>
      <c r="AH406" s="2589"/>
      <c r="AI406" s="2325"/>
    </row>
    <row r="407" ht="20.25" customHeight="1">
      <c r="A407" s="2319"/>
      <c r="B407" s="2482"/>
      <c r="C407" s="2471"/>
      <c r="D407" s="2458"/>
      <c r="E407" s="2502" t="s">
        <v>573</v>
      </c>
      <c r="F407" s="2503"/>
      <c r="G407" s="2504"/>
      <c r="H407" s="2592" t="str">
        <f>IMAGE("https://raw.githubusercontent.com/msikma/pokesprite/master/items/hold-item/focus-sash.png",3)</f>
        <v/>
      </c>
      <c r="I407" s="2470"/>
      <c r="J407" s="2502" t="s">
        <v>1135</v>
      </c>
      <c r="K407" s="2503"/>
      <c r="L407" s="2504"/>
      <c r="M407" s="2592" t="str">
        <f>IMAGE("https://raw.githubusercontent.com/msikma/pokesprite/master/items/hold-item/thick-club.png",3)</f>
        <v/>
      </c>
      <c r="N407" s="2470"/>
      <c r="O407" s="2502" t="s">
        <v>733</v>
      </c>
      <c r="P407" s="2503"/>
      <c r="Q407" s="2504"/>
      <c r="R407" s="2592" t="str">
        <f>IMAGE("https://raw.githubusercontent.com/msikma/pokesprite/master/items/hold-item/leftovers.png",3)</f>
        <v/>
      </c>
      <c r="S407" s="2470"/>
      <c r="T407" s="2502" t="s">
        <v>541</v>
      </c>
      <c r="U407" s="2503"/>
      <c r="V407" s="2504"/>
      <c r="W407" s="2592" t="str">
        <f>IMAGE("https://raw.githubusercontent.com/msikma/pokesprite/master/items/hold-item/life-orb.png",3)</f>
        <v/>
      </c>
      <c r="Y407" s="2502" t="s">
        <v>713</v>
      </c>
      <c r="Z407" s="2503"/>
      <c r="AA407" s="2504"/>
      <c r="AB407" s="2592" t="str">
        <f>IMAGE("https://raw.githubusercontent.com/msikma/pokesprite/master/items/hold-item/assault-vest.png",3)</f>
        <v/>
      </c>
      <c r="AD407" s="2502" t="s">
        <v>608</v>
      </c>
      <c r="AE407" s="2503"/>
      <c r="AF407" s="2504"/>
      <c r="AG407" s="2592" t="str">
        <f>IMAGE("https://raw.githubusercontent.com/msikma/pokesprite/master/items/mega-stone/sceptilite.png",3)</f>
        <v/>
      </c>
      <c r="AH407" s="2462"/>
      <c r="AI407" s="2325"/>
    </row>
    <row r="408" ht="20.25" customHeight="1">
      <c r="A408" s="2319"/>
      <c r="B408" s="2482"/>
      <c r="C408" s="2494"/>
      <c r="D408" s="2458"/>
      <c r="E408" s="2495" t="s">
        <v>696</v>
      </c>
      <c r="F408" s="2496"/>
      <c r="G408" s="2496"/>
      <c r="H408" s="2506" t="str">
        <f>IMAGE("https://raw.githubusercontent.com/msikma/pokesprite/master/misc/types/gen8/dragon.png",4,20,20)</f>
        <v/>
      </c>
      <c r="I408" s="2470"/>
      <c r="J408" s="2495" t="s">
        <v>1136</v>
      </c>
      <c r="K408" s="2496"/>
      <c r="L408" s="2496"/>
      <c r="M408" s="2506" t="str">
        <f>IMAGE("https://raw.githubusercontent.com/msikma/pokesprite/master/misc/types/gen8/ghost.png",4,20,20)</f>
        <v/>
      </c>
      <c r="N408" s="2470"/>
      <c r="O408" s="2495" t="s">
        <v>170</v>
      </c>
      <c r="P408" s="2496"/>
      <c r="Q408" s="2496"/>
      <c r="R408" s="2506" t="str">
        <f>IMAGE("https://raw.githubusercontent.com/msikma/pokesprite/master/misc/types/gen8/psychic.png",4,20,20)</f>
        <v/>
      </c>
      <c r="S408" s="2470"/>
      <c r="T408" s="2495" t="s">
        <v>644</v>
      </c>
      <c r="U408" s="2496"/>
      <c r="V408" s="2496"/>
      <c r="W408" s="2506" t="str">
        <f>IMAGE("https://raw.githubusercontent.com/msikma/pokesprite/master/misc/types/gen8/ground.png",4,20,20)</f>
        <v/>
      </c>
      <c r="Y408" s="2495" t="s">
        <v>743</v>
      </c>
      <c r="Z408" s="2496"/>
      <c r="AA408" s="2496"/>
      <c r="AB408" s="2506" t="str">
        <f>IMAGE("https://raw.githubusercontent.com/msikma/pokesprite/master/misc/types/gen8/normal.png",4,20,20)</f>
        <v/>
      </c>
      <c r="AD408" s="2495" t="s">
        <v>287</v>
      </c>
      <c r="AE408" s="2496"/>
      <c r="AF408" s="2496"/>
      <c r="AG408" s="2506" t="str">
        <f>IMAGE("https://raw.githubusercontent.com/msikma/pokesprite/master/misc/types/gen8/normal.png",4,20,20)</f>
        <v/>
      </c>
      <c r="AH408" s="2462"/>
      <c r="AI408" s="2325"/>
    </row>
    <row r="409" ht="20.25" customHeight="1">
      <c r="A409" s="2319"/>
      <c r="B409" s="2482"/>
      <c r="C409" s="2507"/>
      <c r="D409" s="2458"/>
      <c r="E409" s="2500" t="s">
        <v>1137</v>
      </c>
      <c r="F409" s="2459"/>
      <c r="G409" s="2459"/>
      <c r="H409" s="2508" t="str">
        <f>IMAGE("https://raw.githubusercontent.com/msikma/pokesprite/master/misc/types/gen8/rock.png",4,20,20)</f>
        <v/>
      </c>
      <c r="I409" s="2470"/>
      <c r="J409" s="2500" t="s">
        <v>1020</v>
      </c>
      <c r="K409" s="2459"/>
      <c r="L409" s="2459"/>
      <c r="M409" s="2508" t="str">
        <f>IMAGE("https://raw.githubusercontent.com/msikma/pokesprite/master/misc/types/gen8/fire.png",4,20,20)</f>
        <v/>
      </c>
      <c r="N409" s="2470"/>
      <c r="O409" s="2500" t="s">
        <v>551</v>
      </c>
      <c r="P409" s="2459"/>
      <c r="Q409" s="2459"/>
      <c r="R409" s="2508" t="str">
        <f>IMAGE("https://raw.githubusercontent.com/msikma/pokesprite/master/misc/types/gen8/flying.png",4,20,20)</f>
        <v/>
      </c>
      <c r="S409" s="2470"/>
      <c r="T409" s="2500" t="s">
        <v>588</v>
      </c>
      <c r="U409" s="2459"/>
      <c r="V409" s="2459"/>
      <c r="W409" s="2508" t="str">
        <f>IMAGE("https://raw.githubusercontent.com/msikma/pokesprite/master/misc/types/gen8/rock.png",4,20,20)</f>
        <v/>
      </c>
      <c r="Y409" s="2500" t="s">
        <v>644</v>
      </c>
      <c r="Z409" s="2459"/>
      <c r="AA409" s="2459"/>
      <c r="AB409" s="2508" t="str">
        <f>IMAGE("https://raw.githubusercontent.com/msikma/pokesprite/master/misc/types/gen8/ground.png",4,20,20)</f>
        <v/>
      </c>
      <c r="AD409" s="2500" t="s">
        <v>1073</v>
      </c>
      <c r="AE409" s="2459"/>
      <c r="AF409" s="2459"/>
      <c r="AG409" s="2508" t="str">
        <f>IMAGE("https://raw.githubusercontent.com/msikma/pokesprite/master/misc/types/gen8/dragon.png",4,20,20)</f>
        <v/>
      </c>
      <c r="AH409" s="2462"/>
      <c r="AI409" s="2325"/>
    </row>
    <row r="410" ht="20.25" customHeight="1">
      <c r="A410" s="2319"/>
      <c r="B410" s="2482"/>
      <c r="C410" s="2507"/>
      <c r="D410" s="2458"/>
      <c r="E410" s="2500" t="s">
        <v>549</v>
      </c>
      <c r="F410" s="2459"/>
      <c r="G410" s="2459"/>
      <c r="H410" s="2508" t="str">
        <f>IMAGE("https://raw.githubusercontent.com/msikma/pokesprite/master/misc/types/gen8/ground.png",4,20,20)</f>
        <v/>
      </c>
      <c r="I410" s="2470"/>
      <c r="J410" s="2500" t="s">
        <v>1138</v>
      </c>
      <c r="K410" s="2459"/>
      <c r="L410" s="2459"/>
      <c r="M410" s="2508" t="str">
        <f>IMAGE("https://raw.githubusercontent.com/msikma/pokesprite/master/misc/types/gen8/ground.png",4,20,20)</f>
        <v/>
      </c>
      <c r="N410" s="2470"/>
      <c r="O410" s="2500" t="s">
        <v>544</v>
      </c>
      <c r="P410" s="2459"/>
      <c r="Q410" s="2459"/>
      <c r="R410" s="2508" t="str">
        <f>IMAGE("https://raw.githubusercontent.com/msikma/pokesprite/master/misc/types/gen8/water.png",4,20,20)</f>
        <v/>
      </c>
      <c r="S410" s="2470"/>
      <c r="T410" s="2500" t="s">
        <v>669</v>
      </c>
      <c r="U410" s="2459"/>
      <c r="V410" s="2459"/>
      <c r="W410" s="2508" t="str">
        <f>IMAGE("https://raw.githubusercontent.com/msikma/pokesprite/master/misc/types/gen8/psychic.png",4,20,20)</f>
        <v/>
      </c>
      <c r="Y410" s="2500" t="s">
        <v>735</v>
      </c>
      <c r="Z410" s="2459"/>
      <c r="AA410" s="2459"/>
      <c r="AB410" s="2508" t="str">
        <f>IMAGE("https://raw.githubusercontent.com/msikma/pokesprite/master/misc/types/gen8/normal.png",4,20,20)</f>
        <v/>
      </c>
      <c r="AD410" s="2500" t="s">
        <v>499</v>
      </c>
      <c r="AE410" s="2459"/>
      <c r="AF410" s="2459"/>
      <c r="AG410" s="2508" t="str">
        <f>IMAGE("https://raw.githubusercontent.com/msikma/pokesprite/master/misc/types/gen8/grass.png",4,20,20)</f>
        <v/>
      </c>
      <c r="AH410" s="2462"/>
      <c r="AI410" s="2325"/>
    </row>
    <row r="411" ht="21.0" customHeight="1">
      <c r="A411" s="2319"/>
      <c r="B411" s="2482"/>
      <c r="C411" s="2507"/>
      <c r="D411" s="2458"/>
      <c r="E411" s="2509" t="s">
        <v>583</v>
      </c>
      <c r="F411" s="2510"/>
      <c r="G411" s="2510"/>
      <c r="H411" s="2511" t="str">
        <f>IMAGE("https://raw.githubusercontent.com/msikma/pokesprite/master/misc/types/gen8/fighting.png",4,20,20)</f>
        <v/>
      </c>
      <c r="I411" s="2470"/>
      <c r="J411" s="2509" t="s">
        <v>287</v>
      </c>
      <c r="K411" s="2510"/>
      <c r="L411" s="2510"/>
      <c r="M411" s="2511" t="str">
        <f>IMAGE("https://raw.githubusercontent.com/msikma/pokesprite/master/misc/types/gen8/normal.png",4,20,20)</f>
        <v/>
      </c>
      <c r="N411" s="2498"/>
      <c r="O411" s="2509" t="s">
        <v>670</v>
      </c>
      <c r="P411" s="2510"/>
      <c r="Q411" s="2510"/>
      <c r="R411" s="2511" t="str">
        <f>IMAGE("https://raw.githubusercontent.com/msikma/pokesprite/master/misc/types/gen8/ice.png",4,20,20)</f>
        <v/>
      </c>
      <c r="S411" s="2470"/>
      <c r="T411" s="2509" t="s">
        <v>587</v>
      </c>
      <c r="U411" s="2510"/>
      <c r="V411" s="2510"/>
      <c r="W411" s="2511" t="str">
        <f>IMAGE("https://raw.githubusercontent.com/msikma/pokesprite/master/misc/types/gen8/ice.png",4,20,20)</f>
        <v/>
      </c>
      <c r="X411" s="2512"/>
      <c r="Y411" s="2509" t="s">
        <v>718</v>
      </c>
      <c r="Z411" s="2510"/>
      <c r="AA411" s="2510"/>
      <c r="AB411" s="2511" t="str">
        <f>IMAGE("https://raw.githubusercontent.com/msikma/pokesprite/master/misc/types/gen8/fighting.png",4,20,20)</f>
        <v/>
      </c>
      <c r="AC411" s="2512"/>
      <c r="AD411" s="2509" t="s">
        <v>549</v>
      </c>
      <c r="AE411" s="2510"/>
      <c r="AF411" s="2510"/>
      <c r="AG411" s="2511" t="str">
        <f>IMAGE("https://raw.githubusercontent.com/msikma/pokesprite/master/misc/types/gen8/ground.png",4,20,20)</f>
        <v/>
      </c>
      <c r="AH411" s="2462"/>
      <c r="AI411" s="2325"/>
    </row>
    <row r="412" ht="3.0" customHeight="1">
      <c r="A412" s="2394"/>
      <c r="B412" s="2514"/>
      <c r="C412" s="2515"/>
      <c r="D412" s="2516"/>
      <c r="E412" s="2517"/>
      <c r="F412" s="2517"/>
      <c r="G412" s="2517"/>
      <c r="H412" s="2593"/>
      <c r="I412" s="2516"/>
      <c r="J412" s="2517"/>
      <c r="K412" s="2517"/>
      <c r="L412" s="2517"/>
      <c r="M412" s="2517"/>
      <c r="N412" s="2516"/>
      <c r="O412" s="2517"/>
      <c r="P412" s="2517"/>
      <c r="Q412" s="2517"/>
      <c r="R412" s="2593"/>
      <c r="S412" s="2516"/>
      <c r="T412" s="2517"/>
      <c r="U412" s="2517"/>
      <c r="V412" s="2517"/>
      <c r="W412" s="2593"/>
      <c r="X412" s="2516"/>
      <c r="Y412" s="2517"/>
      <c r="Z412" s="2517"/>
      <c r="AA412" s="2517"/>
      <c r="AB412" s="2593"/>
      <c r="AC412" s="2519"/>
      <c r="AD412" s="2517"/>
      <c r="AE412" s="2517"/>
      <c r="AF412" s="2517"/>
      <c r="AG412" s="2593"/>
      <c r="AH412" s="2520"/>
      <c r="AI412" s="2402"/>
    </row>
    <row r="413" ht="16.5" customHeight="1">
      <c r="A413" s="2326"/>
      <c r="B413" s="2521"/>
      <c r="C413" s="2515"/>
      <c r="D413" s="2522"/>
      <c r="E413" s="2523" t="s">
        <v>512</v>
      </c>
      <c r="F413" s="606"/>
      <c r="G413" s="606"/>
      <c r="H413" s="607"/>
      <c r="I413" s="2594"/>
      <c r="J413" s="2523" t="s">
        <v>512</v>
      </c>
      <c r="K413" s="606"/>
      <c r="L413" s="606"/>
      <c r="M413" s="607"/>
      <c r="N413" s="2595"/>
      <c r="O413" s="2523" t="s">
        <v>512</v>
      </c>
      <c r="P413" s="606"/>
      <c r="Q413" s="606"/>
      <c r="R413" s="607"/>
      <c r="S413" s="2595"/>
      <c r="T413" s="2523" t="s">
        <v>512</v>
      </c>
      <c r="U413" s="606"/>
      <c r="V413" s="606"/>
      <c r="W413" s="607"/>
      <c r="X413" s="2612"/>
      <c r="Y413" s="2523" t="s">
        <v>512</v>
      </c>
      <c r="Z413" s="606"/>
      <c r="AA413" s="606"/>
      <c r="AB413" s="607"/>
      <c r="AC413" s="2612"/>
      <c r="AD413" s="2523" t="s">
        <v>512</v>
      </c>
      <c r="AE413" s="606"/>
      <c r="AF413" s="606"/>
      <c r="AG413" s="607"/>
      <c r="AH413" s="2613"/>
      <c r="AI413" s="2411"/>
    </row>
    <row r="414" ht="16.5" customHeight="1">
      <c r="A414" s="2326"/>
      <c r="B414" s="2521"/>
      <c r="C414" s="2515"/>
      <c r="D414" s="2522"/>
      <c r="E414" s="2530" t="s">
        <v>513</v>
      </c>
      <c r="F414" s="2531">
        <f t="array" ref="F414">IFERROR(VLOOKUP(E401,Dex!$B$3:$N422,8,FALSE),"")</f>
        <v>82</v>
      </c>
      <c r="G414" s="2532" t="str">
        <f t="array" ref="G414">IFERROR(VLOOKUP(F414,Dex!$P$22:$Q$276,2,FALSE),"")</f>
        <v/>
      </c>
      <c r="H414" s="2533"/>
      <c r="I414" s="2597"/>
      <c r="J414" s="2530" t="s">
        <v>513</v>
      </c>
      <c r="K414" s="2531">
        <f t="array" ref="K414">IFERROR(VLOOKUP(J401,Dex!$B$3:$N422,8,FALSE),"")</f>
        <v>60</v>
      </c>
      <c r="L414" s="2532" t="str">
        <f t="array" ref="L414">IFERROR(VLOOKUP(K414,Dex!$P$22:$Q$276,2,FALSE),"")</f>
        <v/>
      </c>
      <c r="M414" s="2533"/>
      <c r="N414" s="2598"/>
      <c r="O414" s="2530" t="s">
        <v>513</v>
      </c>
      <c r="P414" s="2531">
        <f t="array" ref="P414">IFERROR(VLOOKUP(O401,Dex!$B$3:$N422,8,FALSE),"")</f>
        <v>84</v>
      </c>
      <c r="Q414" s="2532" t="str">
        <f t="array" ref="Q414">IFERROR(VLOOKUP(P414,Dex!$P$22:$Q$276,2,FALSE),"")</f>
        <v/>
      </c>
      <c r="R414" s="2533"/>
      <c r="S414" s="2598"/>
      <c r="T414" s="2530" t="s">
        <v>513</v>
      </c>
      <c r="U414" s="2531">
        <f t="array" ref="U414">IFERROR(VLOOKUP(T401,Dex!$B$3:$N422,8,FALSE),"")</f>
        <v>89</v>
      </c>
      <c r="V414" s="2532" t="str">
        <f t="array" ref="V414">IFERROR(VLOOKUP(U414,Dex!$P$22:$Q$276,2,FALSE),"")</f>
        <v/>
      </c>
      <c r="W414" s="2533"/>
      <c r="X414" s="2614"/>
      <c r="Y414" s="2530" t="s">
        <v>513</v>
      </c>
      <c r="Z414" s="2531">
        <f t="array" ref="Z414">IFERROR(VLOOKUP(Y401,Dex!$B$3:$N422,8,FALSE),"")</f>
        <v>113</v>
      </c>
      <c r="AA414" s="2532" t="str">
        <f t="array" ref="AA414">IFERROR(VLOOKUP(Z414,Dex!$P$22:$Q$276,2,FALSE),"")</f>
        <v/>
      </c>
      <c r="AB414" s="2533"/>
      <c r="AC414" s="2614"/>
      <c r="AD414" s="2530" t="s">
        <v>513</v>
      </c>
      <c r="AE414" s="2531">
        <f t="array" ref="AE414">IFERROR(VLOOKUP(AD401,Dex!$B$3:$N422,8,FALSE),"")</f>
        <v>70</v>
      </c>
      <c r="AF414" s="2532" t="str">
        <f t="array" ref="AF414">IFERROR(VLOOKUP(AE414,Dex!$P$22:$Q$276,2,FALSE),"")</f>
        <v/>
      </c>
      <c r="AG414" s="2533"/>
      <c r="AH414" s="2615"/>
      <c r="AI414" s="2411"/>
    </row>
    <row r="415" ht="16.5" customHeight="1">
      <c r="A415" s="2326"/>
      <c r="B415" s="2521"/>
      <c r="C415" s="2515"/>
      <c r="D415" s="2522"/>
      <c r="E415" s="2537" t="s">
        <v>514</v>
      </c>
      <c r="F415" s="2538">
        <f t="array" ref="F415">IFERROR(VLOOKUP(E401,Dex!$B$3:$N422,9,FALSE),"")</f>
        <v>121</v>
      </c>
      <c r="G415" s="2539" t="str">
        <f t="array" ref="G415">IFERROR(VLOOKUP(F415,Dex!$P$22:$Q$276,2,FALSE),"")</f>
        <v/>
      </c>
      <c r="H415" s="2540"/>
      <c r="I415" s="2597"/>
      <c r="J415" s="2537" t="s">
        <v>514</v>
      </c>
      <c r="K415" s="2538">
        <f t="array" ref="K415">IFERROR(VLOOKUP(J401,Dex!$B$3:$N422,9,FALSE),"")</f>
        <v>80</v>
      </c>
      <c r="L415" s="2539" t="str">
        <f t="array" ref="L415">IFERROR(VLOOKUP(K415,Dex!$P$22:$Q$276,2,FALSE),"")</f>
        <v/>
      </c>
      <c r="M415" s="2540"/>
      <c r="N415" s="2598"/>
      <c r="O415" s="2537" t="s">
        <v>514</v>
      </c>
      <c r="P415" s="2538">
        <f t="array" ref="P415">IFERROR(VLOOKUP(O401,Dex!$B$3:$N422,9,FALSE),"")</f>
        <v>86</v>
      </c>
      <c r="Q415" s="2539" t="str">
        <f t="array" ref="Q415">IFERROR(VLOOKUP(P415,Dex!$P$22:$Q$276,2,FALSE),"")</f>
        <v/>
      </c>
      <c r="R415" s="2540"/>
      <c r="S415" s="2598"/>
      <c r="T415" s="2537" t="s">
        <v>514</v>
      </c>
      <c r="U415" s="2538">
        <f t="array" ref="U415">IFERROR(VLOOKUP(T401,Dex!$B$3:$N422,9,FALSE),"")</f>
        <v>125</v>
      </c>
      <c r="V415" s="2539" t="str">
        <f t="array" ref="V415">IFERROR(VLOOKUP(U415,Dex!$P$22:$Q$276,2,FALSE),"")</f>
        <v/>
      </c>
      <c r="W415" s="2540"/>
      <c r="X415" s="2614"/>
      <c r="Y415" s="2537" t="s">
        <v>514</v>
      </c>
      <c r="Z415" s="2538">
        <f t="array" ref="Z415">IFERROR(VLOOKUP(Y401,Dex!$B$3:$N422,9,FALSE),"")</f>
        <v>70</v>
      </c>
      <c r="AA415" s="2539" t="str">
        <f t="array" ref="AA415">IFERROR(VLOOKUP(Z415,Dex!$P$22:$Q$276,2,FALSE),"")</f>
        <v/>
      </c>
      <c r="AB415" s="2540"/>
      <c r="AC415" s="2614"/>
      <c r="AD415" s="2537" t="s">
        <v>514</v>
      </c>
      <c r="AE415" s="2538">
        <f t="array" ref="AE415">IFERROR(VLOOKUP(AD401,Dex!$B$3:$N422,9,FALSE),"")</f>
        <v>135</v>
      </c>
      <c r="AF415" s="2539" t="str">
        <f t="array" ref="AF415">IFERROR(VLOOKUP(AE415,Dex!$P$22:$Q$276,2,FALSE),"")</f>
        <v/>
      </c>
      <c r="AG415" s="2540"/>
      <c r="AH415" s="2615"/>
      <c r="AI415" s="2411"/>
    </row>
    <row r="416" ht="16.5" customHeight="1">
      <c r="A416" s="2326"/>
      <c r="B416" s="2521"/>
      <c r="C416" s="2515"/>
      <c r="D416" s="2522"/>
      <c r="E416" s="2537" t="s">
        <v>515</v>
      </c>
      <c r="F416" s="2538">
        <f t="array" ref="F416">IFERROR(VLOOKUP(E401,Dex!$B$3:$N422,10,FALSE),"")</f>
        <v>119</v>
      </c>
      <c r="G416" s="2539" t="str">
        <f t="array" ref="G416">IFERROR(VLOOKUP(F416,Dex!$P$22:$Q$276,2,FALSE),"")</f>
        <v/>
      </c>
      <c r="H416" s="2540"/>
      <c r="I416" s="2597"/>
      <c r="J416" s="2537" t="s">
        <v>515</v>
      </c>
      <c r="K416" s="2538">
        <f t="array" ref="K416">IFERROR(VLOOKUP(J401,Dex!$B$3:$N422,10,FALSE),"")</f>
        <v>110</v>
      </c>
      <c r="L416" s="2539" t="str">
        <f t="array" ref="L416">IFERROR(VLOOKUP(K416,Dex!$P$22:$Q$276,2,FALSE),"")</f>
        <v/>
      </c>
      <c r="M416" s="2540"/>
      <c r="N416" s="2598"/>
      <c r="O416" s="2537" t="s">
        <v>515</v>
      </c>
      <c r="P416" s="2538">
        <f t="array" ref="P416">IFERROR(VLOOKUP(O401,Dex!$B$3:$N422,10,FALSE),"")</f>
        <v>88</v>
      </c>
      <c r="Q416" s="2539" t="str">
        <f t="array" ref="Q416">IFERROR(VLOOKUP(P416,Dex!$P$22:$Q$276,2,FALSE),"")</f>
        <v/>
      </c>
      <c r="R416" s="2540"/>
      <c r="S416" s="2598"/>
      <c r="T416" s="2537" t="s">
        <v>515</v>
      </c>
      <c r="U416" s="2538">
        <f t="array" ref="U416">IFERROR(VLOOKUP(T401,Dex!$B$3:$N422,10,FALSE),"")</f>
        <v>90</v>
      </c>
      <c r="V416" s="2539" t="str">
        <f t="array" ref="V416">IFERROR(VLOOKUP(U416,Dex!$P$22:$Q$276,2,FALSE),"")</f>
        <v/>
      </c>
      <c r="W416" s="2540"/>
      <c r="X416" s="2614"/>
      <c r="Y416" s="2537" t="s">
        <v>515</v>
      </c>
      <c r="Z416" s="2538">
        <f t="array" ref="Z416">IFERROR(VLOOKUP(Y401,Dex!$B$3:$N422,10,FALSE),"")</f>
        <v>120</v>
      </c>
      <c r="AA416" s="2539" t="str">
        <f t="array" ref="AA416">IFERROR(VLOOKUP(Z416,Dex!$P$22:$Q$276,2,FALSE),"")</f>
        <v/>
      </c>
      <c r="AB416" s="2540"/>
      <c r="AC416" s="2614"/>
      <c r="AD416" s="2537" t="s">
        <v>515</v>
      </c>
      <c r="AE416" s="2538">
        <f t="array" ref="AE416">IFERROR(VLOOKUP(AD401,Dex!$B$3:$N422,10,FALSE),"")</f>
        <v>75</v>
      </c>
      <c r="AF416" s="2539" t="str">
        <f t="array" ref="AF416">IFERROR(VLOOKUP(AE416,Dex!$P$22:$Q$276,2,FALSE),"")</f>
        <v/>
      </c>
      <c r="AG416" s="2540"/>
      <c r="AH416" s="2615"/>
      <c r="AI416" s="2411"/>
    </row>
    <row r="417" ht="16.5" customHeight="1">
      <c r="A417" s="2326"/>
      <c r="B417" s="2521"/>
      <c r="C417" s="2515"/>
      <c r="D417" s="2522"/>
      <c r="E417" s="2537" t="s">
        <v>516</v>
      </c>
      <c r="F417" s="2538">
        <f t="array" ref="F417">IFERROR(VLOOKUP(E401,Dex!$B$3:$N422,11,FALSE),"")</f>
        <v>69</v>
      </c>
      <c r="G417" s="2539" t="str">
        <f t="array" ref="G417">IFERROR(VLOOKUP(F417,Dex!$P$22:$Q$276,2,FALSE),"")</f>
        <v/>
      </c>
      <c r="H417" s="2540"/>
      <c r="I417" s="2597"/>
      <c r="J417" s="2537" t="s">
        <v>516</v>
      </c>
      <c r="K417" s="2538">
        <f t="array" ref="K417">IFERROR(VLOOKUP(J401,Dex!$B$3:$N422,11,FALSE),"")</f>
        <v>50</v>
      </c>
      <c r="L417" s="2539" t="str">
        <f t="array" ref="L417">IFERROR(VLOOKUP(K417,Dex!$P$22:$Q$276,2,FALSE),"")</f>
        <v/>
      </c>
      <c r="M417" s="2540"/>
      <c r="N417" s="2598"/>
      <c r="O417" s="2537" t="s">
        <v>516</v>
      </c>
      <c r="P417" s="2538">
        <f t="array" ref="P417">IFERROR(VLOOKUP(O401,Dex!$B$3:$N422,11,FALSE),"")</f>
        <v>111</v>
      </c>
      <c r="Q417" s="2539" t="str">
        <f t="array" ref="Q417">IFERROR(VLOOKUP(P417,Dex!$P$22:$Q$276,2,FALSE),"")</f>
        <v/>
      </c>
      <c r="R417" s="2540"/>
      <c r="S417" s="2598"/>
      <c r="T417" s="2537" t="s">
        <v>516</v>
      </c>
      <c r="U417" s="2538">
        <f t="array" ref="U417">IFERROR(VLOOKUP(T401,Dex!$B$3:$N422,11,FALSE),"")</f>
        <v>115</v>
      </c>
      <c r="V417" s="2539" t="str">
        <f t="array" ref="V417">IFERROR(VLOOKUP(U417,Dex!$P$22:$Q$276,2,FALSE),"")</f>
        <v/>
      </c>
      <c r="W417" s="2540"/>
      <c r="X417" s="2614"/>
      <c r="Y417" s="2537" t="s">
        <v>516</v>
      </c>
      <c r="Z417" s="2538">
        <f t="array" ref="Z417">IFERROR(VLOOKUP(Y401,Dex!$B$3:$N422,11,FALSE),"")</f>
        <v>135</v>
      </c>
      <c r="AA417" s="2539" t="str">
        <f t="array" ref="AA417">IFERROR(VLOOKUP(Z417,Dex!$P$22:$Q$276,2,FALSE),"")</f>
        <v/>
      </c>
      <c r="AB417" s="2540"/>
      <c r="AC417" s="2614"/>
      <c r="AD417" s="2537" t="s">
        <v>516</v>
      </c>
      <c r="AE417" s="2538">
        <f t="array" ref="AE417">IFERROR(VLOOKUP(AD401,Dex!$B$3:$N422,11,FALSE),"")</f>
        <v>110</v>
      </c>
      <c r="AF417" s="2539" t="str">
        <f t="array" ref="AF417">IFERROR(VLOOKUP(AE417,Dex!$P$22:$Q$276,2,FALSE),"")</f>
        <v/>
      </c>
      <c r="AG417" s="2540"/>
      <c r="AH417" s="2615"/>
      <c r="AI417" s="2411"/>
    </row>
    <row r="418" ht="16.5" customHeight="1">
      <c r="A418" s="2326"/>
      <c r="B418" s="2521"/>
      <c r="C418" s="2515"/>
      <c r="D418" s="2522"/>
      <c r="E418" s="2537" t="s">
        <v>517</v>
      </c>
      <c r="F418" s="2538">
        <f t="array" ref="F418">IFERROR(VLOOKUP(E401,Dex!$B$3:$N422,12,FALSE),"")</f>
        <v>59</v>
      </c>
      <c r="G418" s="2539" t="str">
        <f t="array" ref="G418">IFERROR(VLOOKUP(F418,Dex!$P$22:$Q$276,2,FALSE),"")</f>
        <v/>
      </c>
      <c r="H418" s="2540"/>
      <c r="I418" s="2597"/>
      <c r="J418" s="2537" t="s">
        <v>517</v>
      </c>
      <c r="K418" s="2538">
        <f t="array" ref="K418">IFERROR(VLOOKUP(J401,Dex!$B$3:$N422,12,FALSE),"")</f>
        <v>80</v>
      </c>
      <c r="L418" s="2539" t="str">
        <f t="array" ref="L418">IFERROR(VLOOKUP(K418,Dex!$P$22:$Q$276,2,FALSE),"")</f>
        <v/>
      </c>
      <c r="M418" s="2540"/>
      <c r="N418" s="2598"/>
      <c r="O418" s="2537" t="s">
        <v>517</v>
      </c>
      <c r="P418" s="2538">
        <f t="array" ref="P418">IFERROR(VLOOKUP(O401,Dex!$B$3:$N422,12,FALSE),"")</f>
        <v>101</v>
      </c>
      <c r="Q418" s="2539" t="str">
        <f t="array" ref="Q418">IFERROR(VLOOKUP(P418,Dex!$P$22:$Q$276,2,FALSE),"")</f>
        <v/>
      </c>
      <c r="R418" s="2540"/>
      <c r="S418" s="2598"/>
      <c r="T418" s="2537" t="s">
        <v>517</v>
      </c>
      <c r="U418" s="2538">
        <f t="array" ref="U418">IFERROR(VLOOKUP(T401,Dex!$B$3:$N422,12,FALSE),"")</f>
        <v>80</v>
      </c>
      <c r="V418" s="2539" t="str">
        <f t="array" ref="V418">IFERROR(VLOOKUP(U418,Dex!$P$22:$Q$276,2,FALSE),"")</f>
        <v/>
      </c>
      <c r="W418" s="2540"/>
      <c r="X418" s="2614"/>
      <c r="Y418" s="2537" t="s">
        <v>517</v>
      </c>
      <c r="Z418" s="2538">
        <f t="array" ref="Z418">IFERROR(VLOOKUP(Y401,Dex!$B$3:$N422,12,FALSE),"")</f>
        <v>65</v>
      </c>
      <c r="AA418" s="2539" t="str">
        <f t="array" ref="AA418">IFERROR(VLOOKUP(Z418,Dex!$P$22:$Q$276,2,FALSE),"")</f>
        <v/>
      </c>
      <c r="AB418" s="2540"/>
      <c r="AC418" s="2614"/>
      <c r="AD418" s="2537" t="s">
        <v>517</v>
      </c>
      <c r="AE418" s="2538">
        <f t="array" ref="AE418">IFERROR(VLOOKUP(AD401,Dex!$B$3:$N422,12,FALSE),"")</f>
        <v>85</v>
      </c>
      <c r="AF418" s="2539" t="str">
        <f t="array" ref="AF418">IFERROR(VLOOKUP(AE418,Dex!$P$22:$Q$276,2,FALSE),"")</f>
        <v/>
      </c>
      <c r="AG418" s="2540"/>
      <c r="AH418" s="2615"/>
      <c r="AI418" s="2411"/>
    </row>
    <row r="419" ht="15.75" customHeight="1">
      <c r="A419" s="2326"/>
      <c r="B419" s="2521"/>
      <c r="C419" s="1426" t="s">
        <v>745</v>
      </c>
      <c r="D419" s="2522"/>
      <c r="E419" s="2541" t="s">
        <v>518</v>
      </c>
      <c r="F419" s="2542">
        <f t="array" ref="F419">IFERROR(VLOOKUP(E401,Dex!$B$3:$N422,13,FALSE),"")</f>
        <v>71</v>
      </c>
      <c r="G419" s="2543" t="str">
        <f t="array" ref="G419">IFERROR(VLOOKUP(F419,Dex!$P$22:$Q$276,2,FALSE),"")</f>
        <v/>
      </c>
      <c r="H419" s="2544"/>
      <c r="I419" s="2597"/>
      <c r="J419" s="2541" t="s">
        <v>518</v>
      </c>
      <c r="K419" s="2542">
        <f t="array" ref="K419">IFERROR(VLOOKUP(J401,Dex!$B$3:$N422,13,FALSE),"")</f>
        <v>45</v>
      </c>
      <c r="L419" s="2543" t="str">
        <f t="array" ref="L419">IFERROR(VLOOKUP(K419,Dex!$P$22:$Q$276,2,FALSE),"")</f>
        <v/>
      </c>
      <c r="M419" s="2544"/>
      <c r="N419" s="2598"/>
      <c r="O419" s="2541" t="s">
        <v>518</v>
      </c>
      <c r="P419" s="2542">
        <f t="array" ref="P419">IFERROR(VLOOKUP(O401,Dex!$B$3:$N422,13,FALSE),"")</f>
        <v>60</v>
      </c>
      <c r="Q419" s="2543" t="str">
        <f t="array" ref="Q419">IFERROR(VLOOKUP(P419,Dex!$P$22:$Q$276,2,FALSE),"")</f>
        <v/>
      </c>
      <c r="R419" s="2544"/>
      <c r="S419" s="2598"/>
      <c r="T419" s="2541" t="s">
        <v>518</v>
      </c>
      <c r="U419" s="2542">
        <f t="array" ref="U419">IFERROR(VLOOKUP(T401,Dex!$B$3:$N422,13,FALSE),"")</f>
        <v>101</v>
      </c>
      <c r="V419" s="2543" t="str">
        <f t="array" ref="V419">IFERROR(VLOOKUP(U419,Dex!$P$22:$Q$276,2,FALSE),"")</f>
        <v/>
      </c>
      <c r="W419" s="2544"/>
      <c r="X419" s="2614"/>
      <c r="Y419" s="2541" t="s">
        <v>518</v>
      </c>
      <c r="Z419" s="2542">
        <f t="array" ref="Z419">IFERROR(VLOOKUP(Y401,Dex!$B$3:$N422,13,FALSE),"")</f>
        <v>52</v>
      </c>
      <c r="AA419" s="2543" t="str">
        <f t="array" ref="AA419">IFERROR(VLOOKUP(Z419,Dex!$P$22:$Q$276,2,FALSE),"")</f>
        <v/>
      </c>
      <c r="AB419" s="2544"/>
      <c r="AC419" s="2614"/>
      <c r="AD419" s="2541" t="s">
        <v>518</v>
      </c>
      <c r="AE419" s="2542">
        <f t="array" ref="AE419">IFERROR(VLOOKUP(AD401,Dex!$B$3:$N422,13,FALSE),"")</f>
        <v>145</v>
      </c>
      <c r="AF419" s="2543" t="str">
        <f t="array" ref="AF419">IFERROR(VLOOKUP(AE419,Dex!$P$22:$Q$276,2,FALSE),"")</f>
        <v/>
      </c>
      <c r="AG419" s="2544"/>
      <c r="AH419" s="2615"/>
      <c r="AI419" s="2411"/>
    </row>
    <row r="420" ht="16.5" customHeight="1">
      <c r="A420" s="2326"/>
      <c r="B420" s="2521"/>
      <c r="C420" s="1427" t="s">
        <v>1104</v>
      </c>
      <c r="D420" s="2522"/>
      <c r="E420" s="2545" t="s">
        <v>519</v>
      </c>
      <c r="F420" s="630"/>
      <c r="G420" s="631"/>
      <c r="H420" s="632">
        <f>ROUNDDOWN((ROUNDDOWN(((((2*F419+31)*82)/100+5)),0))*1,0)</f>
        <v>146</v>
      </c>
      <c r="I420" s="2594"/>
      <c r="J420" s="2545" t="s">
        <v>519</v>
      </c>
      <c r="K420" s="630"/>
      <c r="L420" s="631"/>
      <c r="M420" s="632">
        <f>ROUNDDOWN((ROUNDDOWN(((((2*K419+31)*82)/100+5)),0))*1,0)</f>
        <v>104</v>
      </c>
      <c r="N420" s="2595"/>
      <c r="O420" s="2545" t="s">
        <v>519</v>
      </c>
      <c r="P420" s="630"/>
      <c r="Q420" s="631"/>
      <c r="R420" s="632">
        <f>ROUNDDOWN((ROUNDDOWN(((((2*P419+31)*82)/100+5)),0))*1,0)</f>
        <v>128</v>
      </c>
      <c r="S420" s="2595"/>
      <c r="T420" s="2545" t="s">
        <v>519</v>
      </c>
      <c r="U420" s="630"/>
      <c r="V420" s="631"/>
      <c r="W420" s="632">
        <f>ROUNDDOWN((ROUNDDOWN(((((2*U419+31)*82)/100+5)),0))*1,0)</f>
        <v>196</v>
      </c>
      <c r="X420" s="2612"/>
      <c r="Y420" s="2545" t="s">
        <v>519</v>
      </c>
      <c r="Z420" s="630"/>
      <c r="AA420" s="631"/>
      <c r="AB420" s="632">
        <f>ROUNDDOWN((ROUNDDOWN(((((2*Z419+31)*82)/100+5)),0))*1.1,0)</f>
        <v>126</v>
      </c>
      <c r="AC420" s="2612"/>
      <c r="AD420" s="2545" t="s">
        <v>519</v>
      </c>
      <c r="AE420" s="630"/>
      <c r="AF420" s="631"/>
      <c r="AG420" s="632">
        <f>ROUNDDOWN((ROUNDDOWN(((((2*AE419+31)*82)/100+5)),0))*1.1,0)</f>
        <v>294</v>
      </c>
      <c r="AH420" s="2613"/>
      <c r="AI420" s="2411"/>
    </row>
    <row r="421" ht="7.5" customHeight="1">
      <c r="A421" s="2319"/>
      <c r="B421" s="2558"/>
      <c r="C421" s="2559"/>
      <c r="D421" s="2560"/>
      <c r="E421" s="2561"/>
      <c r="F421" s="2561"/>
      <c r="G421" s="2561"/>
      <c r="H421" s="2560"/>
      <c r="I421" s="2560"/>
      <c r="J421" s="2561"/>
      <c r="K421" s="2561"/>
      <c r="L421" s="2561"/>
      <c r="M421" s="2561"/>
      <c r="N421" s="2560"/>
      <c r="O421" s="2561"/>
      <c r="P421" s="2561"/>
      <c r="Q421" s="2561"/>
      <c r="R421" s="2560"/>
      <c r="S421" s="2560"/>
      <c r="T421" s="2561"/>
      <c r="U421" s="2561"/>
      <c r="V421" s="2561"/>
      <c r="W421" s="2560"/>
      <c r="X421" s="2561"/>
      <c r="Y421" s="2561"/>
      <c r="Z421" s="2561"/>
      <c r="AA421" s="2561"/>
      <c r="AB421" s="2560"/>
      <c r="AC421" s="2560"/>
      <c r="AD421" s="2561"/>
      <c r="AE421" s="2561"/>
      <c r="AF421" s="2561"/>
      <c r="AG421" s="2560"/>
      <c r="AH421" s="2562"/>
      <c r="AI421" s="2325"/>
    </row>
    <row r="422" ht="3.75" customHeight="1">
      <c r="A422" s="2316"/>
      <c r="B422" s="2730"/>
      <c r="C422" s="2731"/>
      <c r="D422" s="2730"/>
      <c r="E422" s="2730"/>
      <c r="F422" s="2730"/>
      <c r="G422" s="2730"/>
      <c r="H422" s="2730"/>
      <c r="I422" s="2730"/>
      <c r="J422" s="2730"/>
      <c r="K422" s="2730"/>
      <c r="L422" s="2730"/>
      <c r="M422" s="2730"/>
      <c r="N422" s="2730"/>
      <c r="O422" s="2730"/>
      <c r="P422" s="2730"/>
      <c r="Q422" s="2730"/>
      <c r="R422" s="2730"/>
      <c r="S422" s="2730"/>
      <c r="T422" s="2730"/>
      <c r="U422" s="2730"/>
      <c r="V422" s="2730"/>
      <c r="W422" s="2730"/>
      <c r="X422" s="2730"/>
      <c r="Y422" s="2730"/>
      <c r="Z422" s="2730"/>
      <c r="AA422" s="2730"/>
      <c r="AB422" s="2730"/>
      <c r="AC422" s="2730"/>
      <c r="AD422" s="2730"/>
      <c r="AE422" s="2730"/>
      <c r="AF422" s="2730"/>
      <c r="AG422" s="2730"/>
      <c r="AH422" s="2730"/>
      <c r="AI422" s="2316"/>
    </row>
  </sheetData>
  <mergeCells count="1938">
    <mergeCell ref="T15:W15"/>
    <mergeCell ref="Y15:AB15"/>
    <mergeCell ref="T16:W16"/>
    <mergeCell ref="Y16:AB16"/>
    <mergeCell ref="E3:S3"/>
    <mergeCell ref="AB3:AE3"/>
    <mergeCell ref="N5:N16"/>
    <mergeCell ref="S5:S16"/>
    <mergeCell ref="X5:X16"/>
    <mergeCell ref="AC5:AC16"/>
    <mergeCell ref="Y8:AB8"/>
    <mergeCell ref="I5:I16"/>
    <mergeCell ref="E10:H10"/>
    <mergeCell ref="E11:H11"/>
    <mergeCell ref="E12:G12"/>
    <mergeCell ref="E13:G13"/>
    <mergeCell ref="E14:G14"/>
    <mergeCell ref="E15:G15"/>
    <mergeCell ref="L19:M19"/>
    <mergeCell ref="L20:M20"/>
    <mergeCell ref="L21:M21"/>
    <mergeCell ref="L22:M22"/>
    <mergeCell ref="L23:M23"/>
    <mergeCell ref="L24:M24"/>
    <mergeCell ref="J25:L25"/>
    <mergeCell ref="G20:H20"/>
    <mergeCell ref="G21:H21"/>
    <mergeCell ref="G22:H22"/>
    <mergeCell ref="G23:H23"/>
    <mergeCell ref="G24:H24"/>
    <mergeCell ref="E25:G25"/>
    <mergeCell ref="E29:H29"/>
    <mergeCell ref="Q21:R21"/>
    <mergeCell ref="Q22:R22"/>
    <mergeCell ref="Q23:R23"/>
    <mergeCell ref="Q24:R24"/>
    <mergeCell ref="O25:Q25"/>
    <mergeCell ref="E27:S27"/>
    <mergeCell ref="T27:W27"/>
    <mergeCell ref="E16:G16"/>
    <mergeCell ref="E18:H18"/>
    <mergeCell ref="J18:M18"/>
    <mergeCell ref="O18:R18"/>
    <mergeCell ref="G19:H19"/>
    <mergeCell ref="Q19:R19"/>
    <mergeCell ref="Q20:R20"/>
    <mergeCell ref="O29:R29"/>
    <mergeCell ref="O30:R30"/>
    <mergeCell ref="T30:W30"/>
    <mergeCell ref="J31:M31"/>
    <mergeCell ref="O31:R31"/>
    <mergeCell ref="T31:W31"/>
    <mergeCell ref="T32:W32"/>
    <mergeCell ref="T34:W34"/>
    <mergeCell ref="O34:R34"/>
    <mergeCell ref="J35:M35"/>
    <mergeCell ref="O35:R35"/>
    <mergeCell ref="T35:W35"/>
    <mergeCell ref="J36:L36"/>
    <mergeCell ref="O36:Q36"/>
    <mergeCell ref="T36:W36"/>
    <mergeCell ref="J37:L37"/>
    <mergeCell ref="O37:Q37"/>
    <mergeCell ref="T37:W37"/>
    <mergeCell ref="E38:G38"/>
    <mergeCell ref="T38:W38"/>
    <mergeCell ref="E39:G39"/>
    <mergeCell ref="T39:W39"/>
    <mergeCell ref="Y36:AB36"/>
    <mergeCell ref="Y37:AB37"/>
    <mergeCell ref="C30:C31"/>
    <mergeCell ref="E30:H30"/>
    <mergeCell ref="E31:H31"/>
    <mergeCell ref="C32:C34"/>
    <mergeCell ref="F32:G32"/>
    <mergeCell ref="E34:H34"/>
    <mergeCell ref="C35:C37"/>
    <mergeCell ref="E37:G37"/>
    <mergeCell ref="E35:H35"/>
    <mergeCell ref="E36:G36"/>
    <mergeCell ref="E40:G40"/>
    <mergeCell ref="E42:H42"/>
    <mergeCell ref="G43:H43"/>
    <mergeCell ref="G44:H44"/>
    <mergeCell ref="G45:H45"/>
    <mergeCell ref="J54:M54"/>
    <mergeCell ref="O54:R54"/>
    <mergeCell ref="J55:M55"/>
    <mergeCell ref="O55:R55"/>
    <mergeCell ref="J58:M58"/>
    <mergeCell ref="O58:R58"/>
    <mergeCell ref="E58:H58"/>
    <mergeCell ref="E59:H59"/>
    <mergeCell ref="J59:M59"/>
    <mergeCell ref="O59:R59"/>
    <mergeCell ref="J30:M30"/>
    <mergeCell ref="J34:M34"/>
    <mergeCell ref="J38:L38"/>
    <mergeCell ref="O38:Q38"/>
    <mergeCell ref="J39:L39"/>
    <mergeCell ref="O39:Q39"/>
    <mergeCell ref="J16:L16"/>
    <mergeCell ref="O16:Q16"/>
    <mergeCell ref="I29:I40"/>
    <mergeCell ref="J29:M29"/>
    <mergeCell ref="N29:N40"/>
    <mergeCell ref="S29:S40"/>
    <mergeCell ref="P32:Q32"/>
    <mergeCell ref="L44:M44"/>
    <mergeCell ref="L45:M45"/>
    <mergeCell ref="L46:M46"/>
    <mergeCell ref="L47:M47"/>
    <mergeCell ref="L48:M48"/>
    <mergeCell ref="J49:L49"/>
    <mergeCell ref="J53:M53"/>
    <mergeCell ref="J40:L40"/>
    <mergeCell ref="O40:Q40"/>
    <mergeCell ref="J42:M42"/>
    <mergeCell ref="O42:R42"/>
    <mergeCell ref="L43:M43"/>
    <mergeCell ref="Q43:R43"/>
    <mergeCell ref="Q44:R44"/>
    <mergeCell ref="Q45:R45"/>
    <mergeCell ref="Q46:R46"/>
    <mergeCell ref="Q47:R47"/>
    <mergeCell ref="Q48:R48"/>
    <mergeCell ref="O49:Q49"/>
    <mergeCell ref="E51:S51"/>
    <mergeCell ref="T51:W51"/>
    <mergeCell ref="J5:M5"/>
    <mergeCell ref="O5:R5"/>
    <mergeCell ref="X3:AA3"/>
    <mergeCell ref="Y5:AB5"/>
    <mergeCell ref="AD5:AG5"/>
    <mergeCell ref="E5:H5"/>
    <mergeCell ref="C6:C7"/>
    <mergeCell ref="E6:H6"/>
    <mergeCell ref="E7:H7"/>
    <mergeCell ref="J6:M6"/>
    <mergeCell ref="O6:R6"/>
    <mergeCell ref="T6:W6"/>
    <mergeCell ref="Y6:AB6"/>
    <mergeCell ref="AD6:AG6"/>
    <mergeCell ref="J7:M7"/>
    <mergeCell ref="O7:R7"/>
    <mergeCell ref="T7:W7"/>
    <mergeCell ref="Y7:AB7"/>
    <mergeCell ref="AD7:AG7"/>
    <mergeCell ref="T3:W3"/>
    <mergeCell ref="T5:W5"/>
    <mergeCell ref="C8:C10"/>
    <mergeCell ref="F8:G8"/>
    <mergeCell ref="C11:C13"/>
    <mergeCell ref="P8:Q8"/>
    <mergeCell ref="T8:W8"/>
    <mergeCell ref="AD8:AG8"/>
    <mergeCell ref="J10:M10"/>
    <mergeCell ref="O10:R10"/>
    <mergeCell ref="T10:W10"/>
    <mergeCell ref="Y10:AB10"/>
    <mergeCell ref="AD10:AG10"/>
    <mergeCell ref="J11:M11"/>
    <mergeCell ref="O11:R11"/>
    <mergeCell ref="T11:W11"/>
    <mergeCell ref="Y11:AB11"/>
    <mergeCell ref="AD11:AG11"/>
    <mergeCell ref="AD12:AG12"/>
    <mergeCell ref="AD13:AG13"/>
    <mergeCell ref="J12:L12"/>
    <mergeCell ref="O12:Q12"/>
    <mergeCell ref="T12:W12"/>
    <mergeCell ref="Y12:AB12"/>
    <mergeCell ref="J13:L13"/>
    <mergeCell ref="O13:Q13"/>
    <mergeCell ref="T13:W13"/>
    <mergeCell ref="Y13:AB13"/>
    <mergeCell ref="J14:L14"/>
    <mergeCell ref="O14:Q14"/>
    <mergeCell ref="T14:W14"/>
    <mergeCell ref="Y14:AB14"/>
    <mergeCell ref="AD14:AG14"/>
    <mergeCell ref="AD15:AG15"/>
    <mergeCell ref="AD16:AG16"/>
    <mergeCell ref="J15:L15"/>
    <mergeCell ref="O15:Q15"/>
    <mergeCell ref="X27:AA27"/>
    <mergeCell ref="AB27:AE27"/>
    <mergeCell ref="T29:W29"/>
    <mergeCell ref="Y29:AB29"/>
    <mergeCell ref="AD29:AG29"/>
    <mergeCell ref="AD30:AG30"/>
    <mergeCell ref="AD31:AG31"/>
    <mergeCell ref="T40:W40"/>
    <mergeCell ref="Y40:AB40"/>
    <mergeCell ref="AD32:AG32"/>
    <mergeCell ref="AD34:AG34"/>
    <mergeCell ref="AD35:AG35"/>
    <mergeCell ref="AD36:AG36"/>
    <mergeCell ref="AD37:AG37"/>
    <mergeCell ref="AD38:AG38"/>
    <mergeCell ref="AD39:AG39"/>
    <mergeCell ref="AD40:AG40"/>
    <mergeCell ref="T60:W60"/>
    <mergeCell ref="T61:W61"/>
    <mergeCell ref="T62:W62"/>
    <mergeCell ref="T63:W63"/>
    <mergeCell ref="T64:W64"/>
    <mergeCell ref="O53:R53"/>
    <mergeCell ref="T53:W53"/>
    <mergeCell ref="T54:W54"/>
    <mergeCell ref="T55:W55"/>
    <mergeCell ref="T56:W56"/>
    <mergeCell ref="T58:W58"/>
    <mergeCell ref="T59:W59"/>
    <mergeCell ref="AD54:AG54"/>
    <mergeCell ref="Y55:AB55"/>
    <mergeCell ref="AD55:AG55"/>
    <mergeCell ref="Y62:AB62"/>
    <mergeCell ref="AD62:AG62"/>
    <mergeCell ref="Y63:AB63"/>
    <mergeCell ref="AD63:AG63"/>
    <mergeCell ref="Y64:AB64"/>
    <mergeCell ref="AD64:AG64"/>
    <mergeCell ref="Y38:AB38"/>
    <mergeCell ref="Y39:AB39"/>
    <mergeCell ref="X51:AA51"/>
    <mergeCell ref="AB51:AE51"/>
    <mergeCell ref="X53:X64"/>
    <mergeCell ref="AC53:AC64"/>
    <mergeCell ref="AD53:AG53"/>
    <mergeCell ref="X29:X40"/>
    <mergeCell ref="AC29:AC40"/>
    <mergeCell ref="Y30:AB30"/>
    <mergeCell ref="Y31:AB31"/>
    <mergeCell ref="Y32:AB32"/>
    <mergeCell ref="Y34:AB34"/>
    <mergeCell ref="Y35:AB35"/>
    <mergeCell ref="Y53:AB53"/>
    <mergeCell ref="Y54:AB54"/>
    <mergeCell ref="Y56:AB56"/>
    <mergeCell ref="AD56:AG56"/>
    <mergeCell ref="Y58:AB58"/>
    <mergeCell ref="AD58:AG58"/>
    <mergeCell ref="Y59:AB59"/>
    <mergeCell ref="AD59:AG59"/>
    <mergeCell ref="Y60:AB60"/>
    <mergeCell ref="AD60:AG60"/>
    <mergeCell ref="Y61:AB61"/>
    <mergeCell ref="AD61:AG61"/>
    <mergeCell ref="O103:R103"/>
    <mergeCell ref="O107:R107"/>
    <mergeCell ref="Y112:AA112"/>
    <mergeCell ref="O113:Q113"/>
    <mergeCell ref="T113:V113"/>
    <mergeCell ref="Y113:AA113"/>
    <mergeCell ref="N102:N113"/>
    <mergeCell ref="S102:S113"/>
    <mergeCell ref="X102:X113"/>
    <mergeCell ref="AC102:AC113"/>
    <mergeCell ref="Y103:AB103"/>
    <mergeCell ref="Y104:AB104"/>
    <mergeCell ref="U105:V105"/>
    <mergeCell ref="O104:R104"/>
    <mergeCell ref="P105:Q105"/>
    <mergeCell ref="T107:W107"/>
    <mergeCell ref="Y107:AB107"/>
    <mergeCell ref="AD107:AG107"/>
    <mergeCell ref="O108:R108"/>
    <mergeCell ref="T108:W108"/>
    <mergeCell ref="AD108:AG108"/>
    <mergeCell ref="Y108:AB108"/>
    <mergeCell ref="O109:Q109"/>
    <mergeCell ref="T109:V109"/>
    <mergeCell ref="Y109:AA109"/>
    <mergeCell ref="AD109:AF109"/>
    <mergeCell ref="O110:Q110"/>
    <mergeCell ref="T110:V110"/>
    <mergeCell ref="AD110:AF110"/>
    <mergeCell ref="Y110:AA110"/>
    <mergeCell ref="O111:Q111"/>
    <mergeCell ref="T111:V111"/>
    <mergeCell ref="Y111:AA111"/>
    <mergeCell ref="AD111:AF111"/>
    <mergeCell ref="O112:Q112"/>
    <mergeCell ref="T112:V112"/>
    <mergeCell ref="AD112:AF112"/>
    <mergeCell ref="AD113:AF113"/>
    <mergeCell ref="E82:H82"/>
    <mergeCell ref="E83:G83"/>
    <mergeCell ref="E76:H76"/>
    <mergeCell ref="C77:C78"/>
    <mergeCell ref="E77:H77"/>
    <mergeCell ref="E78:H78"/>
    <mergeCell ref="C79:C81"/>
    <mergeCell ref="E81:H81"/>
    <mergeCell ref="C82:C84"/>
    <mergeCell ref="E84:G84"/>
    <mergeCell ref="E85:G85"/>
    <mergeCell ref="E86:G86"/>
    <mergeCell ref="E87:G87"/>
    <mergeCell ref="E89:H89"/>
    <mergeCell ref="G90:H90"/>
    <mergeCell ref="G91:H91"/>
    <mergeCell ref="E102:H102"/>
    <mergeCell ref="E103:H103"/>
    <mergeCell ref="J103:M103"/>
    <mergeCell ref="J104:M104"/>
    <mergeCell ref="K105:L105"/>
    <mergeCell ref="T103:W103"/>
    <mergeCell ref="T104:W104"/>
    <mergeCell ref="C103:C104"/>
    <mergeCell ref="C105:C107"/>
    <mergeCell ref="C108:C110"/>
    <mergeCell ref="F105:G105"/>
    <mergeCell ref="E107:H107"/>
    <mergeCell ref="J107:M107"/>
    <mergeCell ref="J108:M108"/>
    <mergeCell ref="J109:L109"/>
    <mergeCell ref="J110:L110"/>
    <mergeCell ref="J111:L111"/>
    <mergeCell ref="E108:H108"/>
    <mergeCell ref="E109:G109"/>
    <mergeCell ref="E110:G110"/>
    <mergeCell ref="E111:G111"/>
    <mergeCell ref="E112:G112"/>
    <mergeCell ref="E113:G113"/>
    <mergeCell ref="G92:H92"/>
    <mergeCell ref="G93:H93"/>
    <mergeCell ref="G94:H94"/>
    <mergeCell ref="G95:H95"/>
    <mergeCell ref="E96:G96"/>
    <mergeCell ref="I102:I113"/>
    <mergeCell ref="E104:H104"/>
    <mergeCell ref="E115:H115"/>
    <mergeCell ref="G116:H116"/>
    <mergeCell ref="G117:H117"/>
    <mergeCell ref="G118:H118"/>
    <mergeCell ref="G119:H119"/>
    <mergeCell ref="G120:H120"/>
    <mergeCell ref="G121:H121"/>
    <mergeCell ref="E128:H128"/>
    <mergeCell ref="J128:M128"/>
    <mergeCell ref="O128:R128"/>
    <mergeCell ref="T128:W128"/>
    <mergeCell ref="E127:H127"/>
    <mergeCell ref="E129:H129"/>
    <mergeCell ref="C130:C132"/>
    <mergeCell ref="F130:G130"/>
    <mergeCell ref="E132:H132"/>
    <mergeCell ref="C133:C135"/>
    <mergeCell ref="E133:H133"/>
    <mergeCell ref="E134:G134"/>
    <mergeCell ref="J132:M132"/>
    <mergeCell ref="O132:R132"/>
    <mergeCell ref="T132:W132"/>
    <mergeCell ref="Y132:AB132"/>
    <mergeCell ref="J133:M133"/>
    <mergeCell ref="O133:R133"/>
    <mergeCell ref="T133:W133"/>
    <mergeCell ref="Y133:AB133"/>
    <mergeCell ref="J134:L134"/>
    <mergeCell ref="O134:Q134"/>
    <mergeCell ref="T134:V134"/>
    <mergeCell ref="Y134:AA134"/>
    <mergeCell ref="Y129:AB129"/>
    <mergeCell ref="K130:L130"/>
    <mergeCell ref="P130:Q130"/>
    <mergeCell ref="Z130:AA130"/>
    <mergeCell ref="J138:L138"/>
    <mergeCell ref="O138:Q138"/>
    <mergeCell ref="T138:V138"/>
    <mergeCell ref="Y138:AA138"/>
    <mergeCell ref="I127:I138"/>
    <mergeCell ref="N127:N138"/>
    <mergeCell ref="S127:S138"/>
    <mergeCell ref="X127:X138"/>
    <mergeCell ref="AC127:AC138"/>
    <mergeCell ref="Y128:AB128"/>
    <mergeCell ref="T136:V136"/>
    <mergeCell ref="G143:H143"/>
    <mergeCell ref="G144:H144"/>
    <mergeCell ref="G145:H145"/>
    <mergeCell ref="G146:H146"/>
    <mergeCell ref="E147:G147"/>
    <mergeCell ref="E122:G122"/>
    <mergeCell ref="E136:G136"/>
    <mergeCell ref="E137:G137"/>
    <mergeCell ref="E138:G138"/>
    <mergeCell ref="E140:H140"/>
    <mergeCell ref="G141:H141"/>
    <mergeCell ref="G142:H142"/>
    <mergeCell ref="J137:L137"/>
    <mergeCell ref="O137:Q137"/>
    <mergeCell ref="J140:M140"/>
    <mergeCell ref="O140:R140"/>
    <mergeCell ref="T140:W140"/>
    <mergeCell ref="Q141:R141"/>
    <mergeCell ref="V141:W141"/>
    <mergeCell ref="L141:M141"/>
    <mergeCell ref="L142:M142"/>
    <mergeCell ref="Q142:R142"/>
    <mergeCell ref="V142:W142"/>
    <mergeCell ref="L143:M143"/>
    <mergeCell ref="V143:W143"/>
    <mergeCell ref="V144:W144"/>
    <mergeCell ref="E135:G135"/>
    <mergeCell ref="J135:L135"/>
    <mergeCell ref="O135:Q135"/>
    <mergeCell ref="T135:V135"/>
    <mergeCell ref="J136:L136"/>
    <mergeCell ref="O136:Q136"/>
    <mergeCell ref="T137:V137"/>
    <mergeCell ref="Y137:AA137"/>
    <mergeCell ref="Q143:R143"/>
    <mergeCell ref="Q144:R144"/>
    <mergeCell ref="Q145:R145"/>
    <mergeCell ref="V145:W145"/>
    <mergeCell ref="Q146:R146"/>
    <mergeCell ref="V146:W146"/>
    <mergeCell ref="T147:V147"/>
    <mergeCell ref="L144:M144"/>
    <mergeCell ref="L145:M145"/>
    <mergeCell ref="L146:M146"/>
    <mergeCell ref="J147:L147"/>
    <mergeCell ref="O147:Q147"/>
    <mergeCell ref="AA145:AB145"/>
    <mergeCell ref="AA146:AB146"/>
    <mergeCell ref="Y147:AA147"/>
    <mergeCell ref="Y148:AA148"/>
    <mergeCell ref="Y135:AA135"/>
    <mergeCell ref="Y136:AA136"/>
    <mergeCell ref="Y140:AB140"/>
    <mergeCell ref="AA141:AB141"/>
    <mergeCell ref="AA142:AB142"/>
    <mergeCell ref="AA143:AB143"/>
    <mergeCell ref="AA144:AB144"/>
    <mergeCell ref="Y152:AB152"/>
    <mergeCell ref="AC152:AC163"/>
    <mergeCell ref="Y153:AB153"/>
    <mergeCell ref="Y154:AB154"/>
    <mergeCell ref="Z155:AA155"/>
    <mergeCell ref="Y157:AB157"/>
    <mergeCell ref="Y158:AB158"/>
    <mergeCell ref="Y159:AA159"/>
    <mergeCell ref="Y160:AA160"/>
    <mergeCell ref="J165:M165"/>
    <mergeCell ref="O165:R165"/>
    <mergeCell ref="T165:W165"/>
    <mergeCell ref="Y165:AB165"/>
    <mergeCell ref="AD165:AG165"/>
    <mergeCell ref="AF166:AG166"/>
    <mergeCell ref="AF167:AG167"/>
    <mergeCell ref="AF168:AG168"/>
    <mergeCell ref="AF169:AG169"/>
    <mergeCell ref="AF170:AG170"/>
    <mergeCell ref="AF171:AG171"/>
    <mergeCell ref="E165:H165"/>
    <mergeCell ref="G166:H166"/>
    <mergeCell ref="Q166:R166"/>
    <mergeCell ref="AA166:AB166"/>
    <mergeCell ref="G167:H167"/>
    <mergeCell ref="Q167:R167"/>
    <mergeCell ref="AA167:AB167"/>
    <mergeCell ref="V170:W170"/>
    <mergeCell ref="V171:W171"/>
    <mergeCell ref="E172:G172"/>
    <mergeCell ref="J172:L172"/>
    <mergeCell ref="O172:Q172"/>
    <mergeCell ref="T172:V172"/>
    <mergeCell ref="Y172:AA172"/>
    <mergeCell ref="AD172:AF172"/>
    <mergeCell ref="AA171:AB171"/>
    <mergeCell ref="Y173:AA173"/>
    <mergeCell ref="Y176:AB176"/>
    <mergeCell ref="AD176:AG176"/>
    <mergeCell ref="AD177:AG177"/>
    <mergeCell ref="AD178:AG178"/>
    <mergeCell ref="V166:W166"/>
    <mergeCell ref="V167:W167"/>
    <mergeCell ref="V168:W168"/>
    <mergeCell ref="AA168:AB168"/>
    <mergeCell ref="V169:W169"/>
    <mergeCell ref="AA169:AB169"/>
    <mergeCell ref="AA170:AB170"/>
    <mergeCell ref="L166:M166"/>
    <mergeCell ref="L167:M167"/>
    <mergeCell ref="G168:H168"/>
    <mergeCell ref="L168:M168"/>
    <mergeCell ref="Q168:R168"/>
    <mergeCell ref="L169:M169"/>
    <mergeCell ref="Q169:R169"/>
    <mergeCell ref="G169:H169"/>
    <mergeCell ref="G170:H170"/>
    <mergeCell ref="L170:M170"/>
    <mergeCell ref="Q170:R170"/>
    <mergeCell ref="G171:H171"/>
    <mergeCell ref="L171:M171"/>
    <mergeCell ref="Q171:R171"/>
    <mergeCell ref="J176:M176"/>
    <mergeCell ref="J177:M177"/>
    <mergeCell ref="T176:W176"/>
    <mergeCell ref="T177:W177"/>
    <mergeCell ref="E177:H177"/>
    <mergeCell ref="E178:H178"/>
    <mergeCell ref="O177:R177"/>
    <mergeCell ref="O178:R178"/>
    <mergeCell ref="Y177:AB177"/>
    <mergeCell ref="Y178:AB178"/>
    <mergeCell ref="J225:M225"/>
    <mergeCell ref="J226:M226"/>
    <mergeCell ref="J227:M227"/>
    <mergeCell ref="J230:M230"/>
    <mergeCell ref="J231:M231"/>
    <mergeCell ref="J232:L232"/>
    <mergeCell ref="J233:L233"/>
    <mergeCell ref="J234:L234"/>
    <mergeCell ref="J235:L235"/>
    <mergeCell ref="J236:L236"/>
    <mergeCell ref="L216:M216"/>
    <mergeCell ref="L217:M217"/>
    <mergeCell ref="L218:M218"/>
    <mergeCell ref="L219:M219"/>
    <mergeCell ref="L220:M220"/>
    <mergeCell ref="J221:L221"/>
    <mergeCell ref="N225:N236"/>
    <mergeCell ref="J238:M238"/>
    <mergeCell ref="L239:M239"/>
    <mergeCell ref="L240:M240"/>
    <mergeCell ref="L241:M241"/>
    <mergeCell ref="L242:M242"/>
    <mergeCell ref="L243:M243"/>
    <mergeCell ref="L244:M244"/>
    <mergeCell ref="O273:R273"/>
    <mergeCell ref="T273:W273"/>
    <mergeCell ref="AF266:AG266"/>
    <mergeCell ref="AF267:AG267"/>
    <mergeCell ref="AF268:AG268"/>
    <mergeCell ref="AD269:AF269"/>
    <mergeCell ref="E272:AG272"/>
    <mergeCell ref="E273:H273"/>
    <mergeCell ref="J273:M273"/>
    <mergeCell ref="AD281:AF281"/>
    <mergeCell ref="AD282:AF282"/>
    <mergeCell ref="AD283:AF283"/>
    <mergeCell ref="AD284:AF284"/>
    <mergeCell ref="AD286:AG286"/>
    <mergeCell ref="AF287:AG287"/>
    <mergeCell ref="AF288:AG288"/>
    <mergeCell ref="AF289:AG289"/>
    <mergeCell ref="Y273:AB273"/>
    <mergeCell ref="AD273:AG273"/>
    <mergeCell ref="AD274:AG274"/>
    <mergeCell ref="AD275:AG275"/>
    <mergeCell ref="AD278:AG278"/>
    <mergeCell ref="AD279:AG279"/>
    <mergeCell ref="AD280:AF280"/>
    <mergeCell ref="AF220:AG220"/>
    <mergeCell ref="AD221:AF221"/>
    <mergeCell ref="E223:AG223"/>
    <mergeCell ref="AD212:AF212"/>
    <mergeCell ref="AD214:AG214"/>
    <mergeCell ref="AF215:AG215"/>
    <mergeCell ref="AF216:AG216"/>
    <mergeCell ref="AF217:AG217"/>
    <mergeCell ref="AF218:AG218"/>
    <mergeCell ref="AF219:AG219"/>
    <mergeCell ref="AD225:AG225"/>
    <mergeCell ref="AD226:AG226"/>
    <mergeCell ref="AD227:AG227"/>
    <mergeCell ref="AD230:AG230"/>
    <mergeCell ref="AD231:AG231"/>
    <mergeCell ref="AD232:AF232"/>
    <mergeCell ref="AD233:AF233"/>
    <mergeCell ref="AF242:AG242"/>
    <mergeCell ref="AF243:AG243"/>
    <mergeCell ref="AF244:AG244"/>
    <mergeCell ref="AD245:AF245"/>
    <mergeCell ref="E247:AG247"/>
    <mergeCell ref="AD234:AF234"/>
    <mergeCell ref="AD235:AF235"/>
    <mergeCell ref="AD236:AF236"/>
    <mergeCell ref="AD238:AG238"/>
    <mergeCell ref="AF239:AG239"/>
    <mergeCell ref="AF240:AG240"/>
    <mergeCell ref="AF241:AG241"/>
    <mergeCell ref="AD249:AG249"/>
    <mergeCell ref="AD250:AG250"/>
    <mergeCell ref="AD251:AG251"/>
    <mergeCell ref="AD254:AG254"/>
    <mergeCell ref="AD255:AG255"/>
    <mergeCell ref="AD256:AF256"/>
    <mergeCell ref="AD257:AF257"/>
    <mergeCell ref="AD258:AF258"/>
    <mergeCell ref="AD259:AF259"/>
    <mergeCell ref="AD260:AF260"/>
    <mergeCell ref="AD262:AG262"/>
    <mergeCell ref="AF263:AG263"/>
    <mergeCell ref="AF264:AG264"/>
    <mergeCell ref="AF265:AG265"/>
    <mergeCell ref="J183:L183"/>
    <mergeCell ref="O183:Q183"/>
    <mergeCell ref="Y182:AB182"/>
    <mergeCell ref="Y183:AA183"/>
    <mergeCell ref="E184:G184"/>
    <mergeCell ref="J184:L184"/>
    <mergeCell ref="T183:V183"/>
    <mergeCell ref="T184:V184"/>
    <mergeCell ref="O184:Q184"/>
    <mergeCell ref="E185:G185"/>
    <mergeCell ref="J185:L185"/>
    <mergeCell ref="O185:Q185"/>
    <mergeCell ref="Y184:AA184"/>
    <mergeCell ref="Y185:AA185"/>
    <mergeCell ref="E186:G186"/>
    <mergeCell ref="J186:L186"/>
    <mergeCell ref="V219:W219"/>
    <mergeCell ref="V220:W220"/>
    <mergeCell ref="T221:V221"/>
    <mergeCell ref="T225:W225"/>
    <mergeCell ref="T226:W226"/>
    <mergeCell ref="T227:W227"/>
    <mergeCell ref="U228:V228"/>
    <mergeCell ref="T230:W230"/>
    <mergeCell ref="T231:W231"/>
    <mergeCell ref="T232:V232"/>
    <mergeCell ref="T233:V233"/>
    <mergeCell ref="T234:V234"/>
    <mergeCell ref="T235:V235"/>
    <mergeCell ref="T236:V236"/>
    <mergeCell ref="C204:C206"/>
    <mergeCell ref="C207:C209"/>
    <mergeCell ref="C226:C227"/>
    <mergeCell ref="C228:C230"/>
    <mergeCell ref="C231:C233"/>
    <mergeCell ref="C250:C251"/>
    <mergeCell ref="C252:C254"/>
    <mergeCell ref="C255:C257"/>
    <mergeCell ref="E196:G196"/>
    <mergeCell ref="E201:H201"/>
    <mergeCell ref="C202:C203"/>
    <mergeCell ref="E202:H202"/>
    <mergeCell ref="E203:H203"/>
    <mergeCell ref="F204:G204"/>
    <mergeCell ref="E206:H206"/>
    <mergeCell ref="E207:H207"/>
    <mergeCell ref="E208:G208"/>
    <mergeCell ref="E209:G209"/>
    <mergeCell ref="E210:G210"/>
    <mergeCell ref="E211:G211"/>
    <mergeCell ref="E212:G212"/>
    <mergeCell ref="E214:H214"/>
    <mergeCell ref="G220:H220"/>
    <mergeCell ref="I225:I236"/>
    <mergeCell ref="G215:H215"/>
    <mergeCell ref="G216:H216"/>
    <mergeCell ref="G217:H217"/>
    <mergeCell ref="G218:H218"/>
    <mergeCell ref="G219:H219"/>
    <mergeCell ref="E221:G221"/>
    <mergeCell ref="E225:H225"/>
    <mergeCell ref="E226:H226"/>
    <mergeCell ref="E227:H227"/>
    <mergeCell ref="F228:G228"/>
    <mergeCell ref="E230:H230"/>
    <mergeCell ref="E231:H231"/>
    <mergeCell ref="E232:G232"/>
    <mergeCell ref="E233:G233"/>
    <mergeCell ref="E234:G234"/>
    <mergeCell ref="E235:G235"/>
    <mergeCell ref="E236:G236"/>
    <mergeCell ref="E238:H238"/>
    <mergeCell ref="G239:H239"/>
    <mergeCell ref="G240:H240"/>
    <mergeCell ref="G241:H241"/>
    <mergeCell ref="J256:L256"/>
    <mergeCell ref="J257:L257"/>
    <mergeCell ref="J258:L258"/>
    <mergeCell ref="J259:L259"/>
    <mergeCell ref="J245:L245"/>
    <mergeCell ref="J249:M249"/>
    <mergeCell ref="N249:N260"/>
    <mergeCell ref="J250:M250"/>
    <mergeCell ref="J251:M251"/>
    <mergeCell ref="J254:M254"/>
    <mergeCell ref="J255:M255"/>
    <mergeCell ref="J260:L260"/>
    <mergeCell ref="J262:M262"/>
    <mergeCell ref="L263:M263"/>
    <mergeCell ref="L264:M264"/>
    <mergeCell ref="L265:M265"/>
    <mergeCell ref="L266:M266"/>
    <mergeCell ref="L267:M267"/>
    <mergeCell ref="J281:L281"/>
    <mergeCell ref="J282:L282"/>
    <mergeCell ref="J283:L283"/>
    <mergeCell ref="J284:L284"/>
    <mergeCell ref="J286:M286"/>
    <mergeCell ref="L287:M287"/>
    <mergeCell ref="L288:M288"/>
    <mergeCell ref="L289:M289"/>
    <mergeCell ref="L268:M268"/>
    <mergeCell ref="J269:L269"/>
    <mergeCell ref="J274:M274"/>
    <mergeCell ref="J275:M275"/>
    <mergeCell ref="J278:M278"/>
    <mergeCell ref="J279:M279"/>
    <mergeCell ref="J280:L280"/>
    <mergeCell ref="O230:R230"/>
    <mergeCell ref="O231:R231"/>
    <mergeCell ref="O232:Q232"/>
    <mergeCell ref="O233:Q233"/>
    <mergeCell ref="O234:Q234"/>
    <mergeCell ref="O235:Q235"/>
    <mergeCell ref="Q217:R217"/>
    <mergeCell ref="Q218:R218"/>
    <mergeCell ref="Q219:R219"/>
    <mergeCell ref="Q220:R220"/>
    <mergeCell ref="O221:Q221"/>
    <mergeCell ref="O225:R225"/>
    <mergeCell ref="S225:S236"/>
    <mergeCell ref="O236:Q236"/>
    <mergeCell ref="O238:R238"/>
    <mergeCell ref="Q239:R239"/>
    <mergeCell ref="Q240:R240"/>
    <mergeCell ref="Q241:R241"/>
    <mergeCell ref="Q242:R242"/>
    <mergeCell ref="Q243:R243"/>
    <mergeCell ref="O256:Q256"/>
    <mergeCell ref="O257:Q257"/>
    <mergeCell ref="O258:Q258"/>
    <mergeCell ref="O259:Q259"/>
    <mergeCell ref="E278:H278"/>
    <mergeCell ref="E279:H279"/>
    <mergeCell ref="AA289:AB289"/>
    <mergeCell ref="G268:H268"/>
    <mergeCell ref="E269:G269"/>
    <mergeCell ref="C274:C275"/>
    <mergeCell ref="E274:H274"/>
    <mergeCell ref="E275:H275"/>
    <mergeCell ref="C276:C278"/>
    <mergeCell ref="C279:C281"/>
    <mergeCell ref="E251:H251"/>
    <mergeCell ref="F252:G252"/>
    <mergeCell ref="E254:H254"/>
    <mergeCell ref="E255:H255"/>
    <mergeCell ref="E256:G256"/>
    <mergeCell ref="E257:G257"/>
    <mergeCell ref="E258:G258"/>
    <mergeCell ref="E259:G259"/>
    <mergeCell ref="G242:H242"/>
    <mergeCell ref="G243:H243"/>
    <mergeCell ref="G244:H244"/>
    <mergeCell ref="E245:G245"/>
    <mergeCell ref="E249:H249"/>
    <mergeCell ref="I249:I260"/>
    <mergeCell ref="E250:H250"/>
    <mergeCell ref="E260:G260"/>
    <mergeCell ref="E262:H262"/>
    <mergeCell ref="G263:H263"/>
    <mergeCell ref="G264:H264"/>
    <mergeCell ref="G265:H265"/>
    <mergeCell ref="G266:H266"/>
    <mergeCell ref="G267:H267"/>
    <mergeCell ref="G288:H288"/>
    <mergeCell ref="G289:H289"/>
    <mergeCell ref="E280:G280"/>
    <mergeCell ref="E281:G281"/>
    <mergeCell ref="E282:G282"/>
    <mergeCell ref="E283:G283"/>
    <mergeCell ref="E284:G284"/>
    <mergeCell ref="E286:H286"/>
    <mergeCell ref="G287:H287"/>
    <mergeCell ref="T355:W355"/>
    <mergeCell ref="T356:W356"/>
    <mergeCell ref="T351:W351"/>
    <mergeCell ref="T352:W352"/>
    <mergeCell ref="P353:Q353"/>
    <mergeCell ref="O355:R355"/>
    <mergeCell ref="Y355:AB355"/>
    <mergeCell ref="O356:R356"/>
    <mergeCell ref="Y356:AB356"/>
    <mergeCell ref="T344:V344"/>
    <mergeCell ref="T345:V345"/>
    <mergeCell ref="E347:AG347"/>
    <mergeCell ref="E349:AG349"/>
    <mergeCell ref="E350:H350"/>
    <mergeCell ref="J350:M350"/>
    <mergeCell ref="O350:R350"/>
    <mergeCell ref="AD350:AG350"/>
    <mergeCell ref="Y351:AB351"/>
    <mergeCell ref="AD351:AG351"/>
    <mergeCell ref="AD352:AG352"/>
    <mergeCell ref="T350:W350"/>
    <mergeCell ref="Y350:AB350"/>
    <mergeCell ref="C351:C352"/>
    <mergeCell ref="E351:H351"/>
    <mergeCell ref="O351:R351"/>
    <mergeCell ref="E352:H352"/>
    <mergeCell ref="O352:R352"/>
    <mergeCell ref="Y352:AB352"/>
    <mergeCell ref="AD355:AG355"/>
    <mergeCell ref="AD356:AG356"/>
    <mergeCell ref="AD357:AF357"/>
    <mergeCell ref="AD358:AF358"/>
    <mergeCell ref="AD359:AF359"/>
    <mergeCell ref="AD360:AF360"/>
    <mergeCell ref="AD361:AF361"/>
    <mergeCell ref="O357:Q357"/>
    <mergeCell ref="T357:V357"/>
    <mergeCell ref="Y357:AA357"/>
    <mergeCell ref="O358:Q358"/>
    <mergeCell ref="T358:V358"/>
    <mergeCell ref="Y358:AA358"/>
    <mergeCell ref="C356:C358"/>
    <mergeCell ref="E358:G358"/>
    <mergeCell ref="E359:G359"/>
    <mergeCell ref="E360:G360"/>
    <mergeCell ref="E361:G361"/>
    <mergeCell ref="Y359:AA359"/>
    <mergeCell ref="Y360:AA360"/>
    <mergeCell ref="T361:V361"/>
    <mergeCell ref="Y361:AA361"/>
    <mergeCell ref="J358:L358"/>
    <mergeCell ref="J359:L359"/>
    <mergeCell ref="O359:Q359"/>
    <mergeCell ref="T359:V359"/>
    <mergeCell ref="J360:L360"/>
    <mergeCell ref="T360:V360"/>
    <mergeCell ref="J361:L361"/>
    <mergeCell ref="O360:Q360"/>
    <mergeCell ref="O361:Q361"/>
    <mergeCell ref="J363:M363"/>
    <mergeCell ref="O363:R363"/>
    <mergeCell ref="T363:W363"/>
    <mergeCell ref="Y363:AB363"/>
    <mergeCell ref="AD363:AG363"/>
    <mergeCell ref="AF364:AG364"/>
    <mergeCell ref="AF365:AG365"/>
    <mergeCell ref="AF366:AG366"/>
    <mergeCell ref="AF367:AG367"/>
    <mergeCell ref="AF368:AG368"/>
    <mergeCell ref="AF369:AG369"/>
    <mergeCell ref="E363:H363"/>
    <mergeCell ref="G364:H364"/>
    <mergeCell ref="Q364:R364"/>
    <mergeCell ref="AA364:AB364"/>
    <mergeCell ref="G365:H365"/>
    <mergeCell ref="Q365:R365"/>
    <mergeCell ref="AA365:AB365"/>
    <mergeCell ref="V368:W368"/>
    <mergeCell ref="V369:W369"/>
    <mergeCell ref="V364:W364"/>
    <mergeCell ref="V365:W365"/>
    <mergeCell ref="V366:W366"/>
    <mergeCell ref="AA366:AB366"/>
    <mergeCell ref="V367:W367"/>
    <mergeCell ref="AA367:AB367"/>
    <mergeCell ref="AA368:AB368"/>
    <mergeCell ref="AA369:AB369"/>
    <mergeCell ref="J376:M376"/>
    <mergeCell ref="O376:R376"/>
    <mergeCell ref="E370:G370"/>
    <mergeCell ref="E376:H376"/>
    <mergeCell ref="C377:C378"/>
    <mergeCell ref="E377:H377"/>
    <mergeCell ref="E378:H378"/>
    <mergeCell ref="C379:C381"/>
    <mergeCell ref="C382:C384"/>
    <mergeCell ref="E383:G383"/>
    <mergeCell ref="E384:G384"/>
    <mergeCell ref="E385:G385"/>
    <mergeCell ref="E386:G386"/>
    <mergeCell ref="E387:G387"/>
    <mergeCell ref="E389:H389"/>
    <mergeCell ref="G390:H390"/>
    <mergeCell ref="E400:H400"/>
    <mergeCell ref="E401:H401"/>
    <mergeCell ref="C401:C402"/>
    <mergeCell ref="C403:C405"/>
    <mergeCell ref="C406:C408"/>
    <mergeCell ref="G391:H391"/>
    <mergeCell ref="G392:H392"/>
    <mergeCell ref="G393:H393"/>
    <mergeCell ref="G394:H394"/>
    <mergeCell ref="G395:H395"/>
    <mergeCell ref="E396:G396"/>
    <mergeCell ref="E402:H402"/>
    <mergeCell ref="E413:H413"/>
    <mergeCell ref="G414:H414"/>
    <mergeCell ref="G415:H415"/>
    <mergeCell ref="G416:H416"/>
    <mergeCell ref="G417:H417"/>
    <mergeCell ref="G418:H418"/>
    <mergeCell ref="G419:H419"/>
    <mergeCell ref="E420:G420"/>
    <mergeCell ref="E405:H405"/>
    <mergeCell ref="E406:H406"/>
    <mergeCell ref="E407:G407"/>
    <mergeCell ref="E408:G408"/>
    <mergeCell ref="E409:G409"/>
    <mergeCell ref="E410:G410"/>
    <mergeCell ref="E411:G411"/>
    <mergeCell ref="Y382:AB382"/>
    <mergeCell ref="Y383:AA383"/>
    <mergeCell ref="Y384:AA384"/>
    <mergeCell ref="AD384:AF384"/>
    <mergeCell ref="Y385:AA385"/>
    <mergeCell ref="AD385:AF385"/>
    <mergeCell ref="AD386:AF386"/>
    <mergeCell ref="AD387:AF387"/>
    <mergeCell ref="Y405:AB405"/>
    <mergeCell ref="Y406:AB406"/>
    <mergeCell ref="AD407:AF407"/>
    <mergeCell ref="AD408:AF408"/>
    <mergeCell ref="AD409:AF409"/>
    <mergeCell ref="AD410:AF410"/>
    <mergeCell ref="AD411:AF411"/>
    <mergeCell ref="Y407:AA407"/>
    <mergeCell ref="Y408:AA408"/>
    <mergeCell ref="Y409:AA409"/>
    <mergeCell ref="Y410:AA410"/>
    <mergeCell ref="Y386:AA386"/>
    <mergeCell ref="Y387:AA387"/>
    <mergeCell ref="X400:X411"/>
    <mergeCell ref="Y400:AB400"/>
    <mergeCell ref="AC400:AC411"/>
    <mergeCell ref="Y401:AB401"/>
    <mergeCell ref="Y402:AB402"/>
    <mergeCell ref="AF415:AG415"/>
    <mergeCell ref="AF416:AG416"/>
    <mergeCell ref="AA417:AB417"/>
    <mergeCell ref="AF417:AG417"/>
    <mergeCell ref="AA418:AB418"/>
    <mergeCell ref="AF418:AG418"/>
    <mergeCell ref="AA419:AB419"/>
    <mergeCell ref="AF419:AG419"/>
    <mergeCell ref="Y420:AA420"/>
    <mergeCell ref="AD420:AF420"/>
    <mergeCell ref="Y411:AA411"/>
    <mergeCell ref="Y413:AB413"/>
    <mergeCell ref="AD413:AG413"/>
    <mergeCell ref="AA414:AB414"/>
    <mergeCell ref="AF414:AG414"/>
    <mergeCell ref="AA415:AB415"/>
    <mergeCell ref="AA416:AB416"/>
    <mergeCell ref="J370:L370"/>
    <mergeCell ref="O370:Q370"/>
    <mergeCell ref="T370:V370"/>
    <mergeCell ref="Y370:AA370"/>
    <mergeCell ref="AD370:AF370"/>
    <mergeCell ref="E373:AG373"/>
    <mergeCell ref="E375:AG375"/>
    <mergeCell ref="J377:M377"/>
    <mergeCell ref="J378:M378"/>
    <mergeCell ref="O378:R378"/>
    <mergeCell ref="T378:W378"/>
    <mergeCell ref="Y378:AB378"/>
    <mergeCell ref="AD378:AG378"/>
    <mergeCell ref="T376:W376"/>
    <mergeCell ref="Y376:AB376"/>
    <mergeCell ref="AD376:AG376"/>
    <mergeCell ref="O377:R377"/>
    <mergeCell ref="T377:W377"/>
    <mergeCell ref="Y377:AB377"/>
    <mergeCell ref="AD377:AG377"/>
    <mergeCell ref="J381:M381"/>
    <mergeCell ref="O381:R381"/>
    <mergeCell ref="T381:W381"/>
    <mergeCell ref="Y381:AB381"/>
    <mergeCell ref="AD381:AG381"/>
    <mergeCell ref="E381:H381"/>
    <mergeCell ref="E382:H382"/>
    <mergeCell ref="J382:M382"/>
    <mergeCell ref="T382:W382"/>
    <mergeCell ref="AD382:AG382"/>
    <mergeCell ref="J383:L383"/>
    <mergeCell ref="T383:V383"/>
    <mergeCell ref="AD383:AF383"/>
    <mergeCell ref="O382:R382"/>
    <mergeCell ref="O383:Q383"/>
    <mergeCell ref="J384:L384"/>
    <mergeCell ref="O384:Q384"/>
    <mergeCell ref="T384:V384"/>
    <mergeCell ref="O385:Q385"/>
    <mergeCell ref="T385:V385"/>
    <mergeCell ref="J385:L385"/>
    <mergeCell ref="J386:L386"/>
    <mergeCell ref="O386:Q386"/>
    <mergeCell ref="T386:V386"/>
    <mergeCell ref="J387:L387"/>
    <mergeCell ref="O387:Q387"/>
    <mergeCell ref="T387:V387"/>
    <mergeCell ref="O402:R402"/>
    <mergeCell ref="O405:R405"/>
    <mergeCell ref="Q392:R392"/>
    <mergeCell ref="Q393:R393"/>
    <mergeCell ref="Q394:R394"/>
    <mergeCell ref="Q395:R395"/>
    <mergeCell ref="O396:Q396"/>
    <mergeCell ref="O400:R400"/>
    <mergeCell ref="O401:R401"/>
    <mergeCell ref="L393:M393"/>
    <mergeCell ref="L394:M394"/>
    <mergeCell ref="L395:M395"/>
    <mergeCell ref="J396:L396"/>
    <mergeCell ref="J400:M400"/>
    <mergeCell ref="J401:M401"/>
    <mergeCell ref="J402:M402"/>
    <mergeCell ref="AF394:AG394"/>
    <mergeCell ref="AF395:AG395"/>
    <mergeCell ref="AD396:AF396"/>
    <mergeCell ref="E399:AG399"/>
    <mergeCell ref="AD400:AG400"/>
    <mergeCell ref="AD401:AG401"/>
    <mergeCell ref="AD402:AG402"/>
    <mergeCell ref="O408:Q408"/>
    <mergeCell ref="O409:Q409"/>
    <mergeCell ref="T409:V409"/>
    <mergeCell ref="J405:M405"/>
    <mergeCell ref="J406:M406"/>
    <mergeCell ref="O406:R406"/>
    <mergeCell ref="J407:L407"/>
    <mergeCell ref="O407:Q407"/>
    <mergeCell ref="J408:L408"/>
    <mergeCell ref="J409:L409"/>
    <mergeCell ref="O413:R413"/>
    <mergeCell ref="T413:W413"/>
    <mergeCell ref="J410:L410"/>
    <mergeCell ref="O410:Q410"/>
    <mergeCell ref="T410:V410"/>
    <mergeCell ref="J411:L411"/>
    <mergeCell ref="O411:Q411"/>
    <mergeCell ref="T411:V411"/>
    <mergeCell ref="J413:M413"/>
    <mergeCell ref="V415:W415"/>
    <mergeCell ref="V416:W416"/>
    <mergeCell ref="V418:W418"/>
    <mergeCell ref="V419:W419"/>
    <mergeCell ref="T420:V420"/>
    <mergeCell ref="Q416:R416"/>
    <mergeCell ref="Q417:R417"/>
    <mergeCell ref="Q418:R418"/>
    <mergeCell ref="Q419:R419"/>
    <mergeCell ref="O420:Q420"/>
    <mergeCell ref="L417:M417"/>
    <mergeCell ref="L418:M418"/>
    <mergeCell ref="L419:M419"/>
    <mergeCell ref="J420:L420"/>
    <mergeCell ref="L414:M414"/>
    <mergeCell ref="Q414:R414"/>
    <mergeCell ref="V414:W414"/>
    <mergeCell ref="L415:M415"/>
    <mergeCell ref="Q415:R415"/>
    <mergeCell ref="L416:M416"/>
    <mergeCell ref="V417:W417"/>
    <mergeCell ref="J389:M389"/>
    <mergeCell ref="O389:R389"/>
    <mergeCell ref="T389:W389"/>
    <mergeCell ref="AD389:AG389"/>
    <mergeCell ref="Q390:R390"/>
    <mergeCell ref="V390:W390"/>
    <mergeCell ref="AF390:AG390"/>
    <mergeCell ref="AA393:AB393"/>
    <mergeCell ref="AA394:AB394"/>
    <mergeCell ref="AA395:AB395"/>
    <mergeCell ref="Y396:AA396"/>
    <mergeCell ref="L390:M390"/>
    <mergeCell ref="L391:M391"/>
    <mergeCell ref="Q391:R391"/>
    <mergeCell ref="V391:W391"/>
    <mergeCell ref="L392:M392"/>
    <mergeCell ref="V392:W392"/>
    <mergeCell ref="V393:W393"/>
    <mergeCell ref="Y389:AB389"/>
    <mergeCell ref="AA390:AB390"/>
    <mergeCell ref="AA391:AB391"/>
    <mergeCell ref="AF391:AG391"/>
    <mergeCell ref="AA392:AB392"/>
    <mergeCell ref="AF392:AG392"/>
    <mergeCell ref="AF393:AG393"/>
    <mergeCell ref="AD405:AG405"/>
    <mergeCell ref="AD406:AG406"/>
    <mergeCell ref="T406:W406"/>
    <mergeCell ref="T407:V407"/>
    <mergeCell ref="T408:V408"/>
    <mergeCell ref="V394:W394"/>
    <mergeCell ref="V395:W395"/>
    <mergeCell ref="T396:V396"/>
    <mergeCell ref="T400:W400"/>
    <mergeCell ref="T401:W401"/>
    <mergeCell ref="T402:W402"/>
    <mergeCell ref="T405:W405"/>
    <mergeCell ref="J329:M329"/>
    <mergeCell ref="J330:M330"/>
    <mergeCell ref="C325:C326"/>
    <mergeCell ref="E326:H326"/>
    <mergeCell ref="J326:M326"/>
    <mergeCell ref="E329:H329"/>
    <mergeCell ref="O329:R329"/>
    <mergeCell ref="E330:H330"/>
    <mergeCell ref="O330:R330"/>
    <mergeCell ref="O324:R324"/>
    <mergeCell ref="O325:R325"/>
    <mergeCell ref="O326:R326"/>
    <mergeCell ref="T326:W326"/>
    <mergeCell ref="E323:AG323"/>
    <mergeCell ref="J324:M324"/>
    <mergeCell ref="T324:W324"/>
    <mergeCell ref="AD324:AG324"/>
    <mergeCell ref="J325:M325"/>
    <mergeCell ref="T325:W325"/>
    <mergeCell ref="AD325:AG325"/>
    <mergeCell ref="C327:C329"/>
    <mergeCell ref="C330:C332"/>
    <mergeCell ref="T329:W329"/>
    <mergeCell ref="T330:W330"/>
    <mergeCell ref="T331:V331"/>
    <mergeCell ref="T332:V332"/>
    <mergeCell ref="Y329:AB329"/>
    <mergeCell ref="Y330:AB330"/>
    <mergeCell ref="Y331:AA331"/>
    <mergeCell ref="Y332:AA332"/>
    <mergeCell ref="AD330:AG330"/>
    <mergeCell ref="AD331:AF331"/>
    <mergeCell ref="AD332:AF332"/>
    <mergeCell ref="Y324:AB324"/>
    <mergeCell ref="Y325:AB325"/>
    <mergeCell ref="Y326:AB326"/>
    <mergeCell ref="AD326:AG326"/>
    <mergeCell ref="Z327:AA327"/>
    <mergeCell ref="AE327:AF327"/>
    <mergeCell ref="AD329:AG329"/>
    <mergeCell ref="Q339:R339"/>
    <mergeCell ref="Q340:R340"/>
    <mergeCell ref="AA339:AB339"/>
    <mergeCell ref="AA340:AB340"/>
    <mergeCell ref="J337:M337"/>
    <mergeCell ref="L338:M338"/>
    <mergeCell ref="Q338:R338"/>
    <mergeCell ref="AA338:AB338"/>
    <mergeCell ref="L339:M339"/>
    <mergeCell ref="L340:M340"/>
    <mergeCell ref="V340:W340"/>
    <mergeCell ref="E331:G331"/>
    <mergeCell ref="J331:L331"/>
    <mergeCell ref="O331:Q331"/>
    <mergeCell ref="E332:G332"/>
    <mergeCell ref="J332:L332"/>
    <mergeCell ref="E333:G333"/>
    <mergeCell ref="O334:Q334"/>
    <mergeCell ref="O335:Q335"/>
    <mergeCell ref="E344:G344"/>
    <mergeCell ref="J344:L344"/>
    <mergeCell ref="O344:Q344"/>
    <mergeCell ref="E334:G334"/>
    <mergeCell ref="E335:G335"/>
    <mergeCell ref="E337:H337"/>
    <mergeCell ref="G338:H338"/>
    <mergeCell ref="G339:H339"/>
    <mergeCell ref="G340:H340"/>
    <mergeCell ref="L341:M341"/>
    <mergeCell ref="T334:V334"/>
    <mergeCell ref="T335:V335"/>
    <mergeCell ref="Y335:AA335"/>
    <mergeCell ref="AD335:AF335"/>
    <mergeCell ref="O332:Q332"/>
    <mergeCell ref="O333:Q333"/>
    <mergeCell ref="T333:V333"/>
    <mergeCell ref="Y333:AA333"/>
    <mergeCell ref="AD333:AF333"/>
    <mergeCell ref="Y334:AA334"/>
    <mergeCell ref="AD334:AF334"/>
    <mergeCell ref="J333:L333"/>
    <mergeCell ref="J334:L334"/>
    <mergeCell ref="J335:L335"/>
    <mergeCell ref="O337:R337"/>
    <mergeCell ref="T337:W337"/>
    <mergeCell ref="Y337:AB337"/>
    <mergeCell ref="AD337:AG337"/>
    <mergeCell ref="V338:W338"/>
    <mergeCell ref="V339:W339"/>
    <mergeCell ref="Q341:R341"/>
    <mergeCell ref="V341:W341"/>
    <mergeCell ref="AA341:AB341"/>
    <mergeCell ref="Q342:R342"/>
    <mergeCell ref="V342:W342"/>
    <mergeCell ref="AA342:AB342"/>
    <mergeCell ref="AF338:AG338"/>
    <mergeCell ref="AF339:AG339"/>
    <mergeCell ref="AF340:AG340"/>
    <mergeCell ref="AF341:AG341"/>
    <mergeCell ref="AF342:AG342"/>
    <mergeCell ref="AF343:AG343"/>
    <mergeCell ref="G341:H341"/>
    <mergeCell ref="G342:H342"/>
    <mergeCell ref="G343:H343"/>
    <mergeCell ref="L342:M342"/>
    <mergeCell ref="L343:M343"/>
    <mergeCell ref="Q343:R343"/>
    <mergeCell ref="V343:W343"/>
    <mergeCell ref="AA343:AB343"/>
    <mergeCell ref="Y344:AA344"/>
    <mergeCell ref="AD344:AF344"/>
    <mergeCell ref="E356:H356"/>
    <mergeCell ref="E357:G357"/>
    <mergeCell ref="J351:M351"/>
    <mergeCell ref="J352:M352"/>
    <mergeCell ref="C353:C355"/>
    <mergeCell ref="E355:H355"/>
    <mergeCell ref="J355:M355"/>
    <mergeCell ref="J356:M356"/>
    <mergeCell ref="J357:L357"/>
    <mergeCell ref="L364:M364"/>
    <mergeCell ref="L365:M365"/>
    <mergeCell ref="G366:H366"/>
    <mergeCell ref="L366:M366"/>
    <mergeCell ref="Q366:R366"/>
    <mergeCell ref="L367:M367"/>
    <mergeCell ref="Q367:R367"/>
    <mergeCell ref="G367:H367"/>
    <mergeCell ref="G368:H368"/>
    <mergeCell ref="L368:M368"/>
    <mergeCell ref="Q368:R368"/>
    <mergeCell ref="G369:H369"/>
    <mergeCell ref="L369:M369"/>
    <mergeCell ref="Q369:R369"/>
    <mergeCell ref="O371:Q371"/>
    <mergeCell ref="O127:R127"/>
    <mergeCell ref="T127:W127"/>
    <mergeCell ref="Y127:AB127"/>
    <mergeCell ref="AD127:AG127"/>
    <mergeCell ref="C128:C129"/>
    <mergeCell ref="AD128:AG128"/>
    <mergeCell ref="J129:M129"/>
    <mergeCell ref="AD129:AG129"/>
    <mergeCell ref="O129:R129"/>
    <mergeCell ref="T129:W129"/>
    <mergeCell ref="AE130:AF130"/>
    <mergeCell ref="AD132:AG132"/>
    <mergeCell ref="AD133:AG133"/>
    <mergeCell ref="AD134:AF134"/>
    <mergeCell ref="AD135:AF135"/>
    <mergeCell ref="J152:M152"/>
    <mergeCell ref="N152:N163"/>
    <mergeCell ref="J161:L161"/>
    <mergeCell ref="J162:L162"/>
    <mergeCell ref="J163:L163"/>
    <mergeCell ref="O152:R152"/>
    <mergeCell ref="S152:S163"/>
    <mergeCell ref="O161:Q161"/>
    <mergeCell ref="O162:Q162"/>
    <mergeCell ref="O163:Q163"/>
    <mergeCell ref="T152:W152"/>
    <mergeCell ref="X152:X163"/>
    <mergeCell ref="T161:V161"/>
    <mergeCell ref="Y161:AA161"/>
    <mergeCell ref="T162:V162"/>
    <mergeCell ref="Y162:AA162"/>
    <mergeCell ref="T163:V163"/>
    <mergeCell ref="Y163:AA163"/>
    <mergeCell ref="E152:H152"/>
    <mergeCell ref="C153:C154"/>
    <mergeCell ref="C155:C157"/>
    <mergeCell ref="C158:C160"/>
    <mergeCell ref="E161:G161"/>
    <mergeCell ref="E162:G162"/>
    <mergeCell ref="E163:G163"/>
    <mergeCell ref="AD160:AF160"/>
    <mergeCell ref="AD161:AF161"/>
    <mergeCell ref="AD162:AF162"/>
    <mergeCell ref="AD163:AF163"/>
    <mergeCell ref="AD136:AF136"/>
    <mergeCell ref="AD137:AF137"/>
    <mergeCell ref="AD138:AF138"/>
    <mergeCell ref="AD140:AG140"/>
    <mergeCell ref="AF141:AG141"/>
    <mergeCell ref="AF142:AG142"/>
    <mergeCell ref="AF143:AG143"/>
    <mergeCell ref="O153:R153"/>
    <mergeCell ref="T153:W153"/>
    <mergeCell ref="O154:R154"/>
    <mergeCell ref="T154:W154"/>
    <mergeCell ref="AD154:AG154"/>
    <mergeCell ref="I152:I163"/>
    <mergeCell ref="E154:H154"/>
    <mergeCell ref="F155:G155"/>
    <mergeCell ref="E157:H157"/>
    <mergeCell ref="E158:H158"/>
    <mergeCell ref="E159:G159"/>
    <mergeCell ref="E160:G160"/>
    <mergeCell ref="AF144:AG144"/>
    <mergeCell ref="AF145:AG145"/>
    <mergeCell ref="AF146:AG146"/>
    <mergeCell ref="AD147:AF147"/>
    <mergeCell ref="E150:AG150"/>
    <mergeCell ref="AD152:AG152"/>
    <mergeCell ref="AD153:AG153"/>
    <mergeCell ref="E153:H153"/>
    <mergeCell ref="J153:M153"/>
    <mergeCell ref="J154:M154"/>
    <mergeCell ref="K155:L155"/>
    <mergeCell ref="P155:Q155"/>
    <mergeCell ref="O157:R157"/>
    <mergeCell ref="T157:W157"/>
    <mergeCell ref="AD157:AG157"/>
    <mergeCell ref="AD158:AG158"/>
    <mergeCell ref="AD159:AF159"/>
    <mergeCell ref="O159:Q159"/>
    <mergeCell ref="O160:Q160"/>
    <mergeCell ref="J157:M157"/>
    <mergeCell ref="J158:M158"/>
    <mergeCell ref="O158:R158"/>
    <mergeCell ref="T158:W158"/>
    <mergeCell ref="J159:L159"/>
    <mergeCell ref="T159:V159"/>
    <mergeCell ref="J160:L160"/>
    <mergeCell ref="T160:V160"/>
    <mergeCell ref="G46:H46"/>
    <mergeCell ref="G47:H47"/>
    <mergeCell ref="G48:H48"/>
    <mergeCell ref="E49:G49"/>
    <mergeCell ref="I53:I64"/>
    <mergeCell ref="N53:N64"/>
    <mergeCell ref="S53:S64"/>
    <mergeCell ref="O64:Q64"/>
    <mergeCell ref="Q68:R68"/>
    <mergeCell ref="Q69:R69"/>
    <mergeCell ref="Q70:R70"/>
    <mergeCell ref="Q71:R71"/>
    <mergeCell ref="Q72:R72"/>
    <mergeCell ref="E64:G64"/>
    <mergeCell ref="J64:L64"/>
    <mergeCell ref="E66:H66"/>
    <mergeCell ref="J66:M66"/>
    <mergeCell ref="O66:R66"/>
    <mergeCell ref="L67:M67"/>
    <mergeCell ref="Q67:R67"/>
    <mergeCell ref="G67:H67"/>
    <mergeCell ref="G68:H68"/>
    <mergeCell ref="L68:M68"/>
    <mergeCell ref="G69:H69"/>
    <mergeCell ref="L69:M69"/>
    <mergeCell ref="G70:H70"/>
    <mergeCell ref="G71:H71"/>
    <mergeCell ref="Y76:AB76"/>
    <mergeCell ref="AD76:AG76"/>
    <mergeCell ref="T77:W77"/>
    <mergeCell ref="Y77:AB77"/>
    <mergeCell ref="AD77:AG77"/>
    <mergeCell ref="T78:W78"/>
    <mergeCell ref="Y78:AB78"/>
    <mergeCell ref="AD78:AG78"/>
    <mergeCell ref="U79:V79"/>
    <mergeCell ref="Y79:AB79"/>
    <mergeCell ref="AD79:AG79"/>
    <mergeCell ref="O81:R81"/>
    <mergeCell ref="O82:R82"/>
    <mergeCell ref="AD86:AG86"/>
    <mergeCell ref="AD87:AG87"/>
    <mergeCell ref="T81:W81"/>
    <mergeCell ref="Y81:AB81"/>
    <mergeCell ref="AD81:AG81"/>
    <mergeCell ref="AD82:AG82"/>
    <mergeCell ref="AD83:AG83"/>
    <mergeCell ref="AD84:AG84"/>
    <mergeCell ref="AD85:AG85"/>
    <mergeCell ref="J60:L60"/>
    <mergeCell ref="O60:Q60"/>
    <mergeCell ref="E60:G60"/>
    <mergeCell ref="E61:G61"/>
    <mergeCell ref="E53:H53"/>
    <mergeCell ref="C54:C55"/>
    <mergeCell ref="E54:H54"/>
    <mergeCell ref="E55:H55"/>
    <mergeCell ref="C56:C58"/>
    <mergeCell ref="F56:G56"/>
    <mergeCell ref="C59:C61"/>
    <mergeCell ref="J61:L61"/>
    <mergeCell ref="O61:Q61"/>
    <mergeCell ref="E62:G62"/>
    <mergeCell ref="J62:L62"/>
    <mergeCell ref="O62:Q62"/>
    <mergeCell ref="E63:G63"/>
    <mergeCell ref="J63:L63"/>
    <mergeCell ref="O63:Q63"/>
    <mergeCell ref="G72:H72"/>
    <mergeCell ref="L72:M72"/>
    <mergeCell ref="E73:G73"/>
    <mergeCell ref="J73:L73"/>
    <mergeCell ref="O73:Q73"/>
    <mergeCell ref="J76:M76"/>
    <mergeCell ref="O76:R76"/>
    <mergeCell ref="J83:L83"/>
    <mergeCell ref="O83:Q83"/>
    <mergeCell ref="J84:L84"/>
    <mergeCell ref="O84:Q84"/>
    <mergeCell ref="J85:L85"/>
    <mergeCell ref="O85:Q85"/>
    <mergeCell ref="O86:Q86"/>
    <mergeCell ref="O87:Q87"/>
    <mergeCell ref="J86:L86"/>
    <mergeCell ref="J87:L87"/>
    <mergeCell ref="J89:M89"/>
    <mergeCell ref="O89:R89"/>
    <mergeCell ref="T89:W89"/>
    <mergeCell ref="Q90:R90"/>
    <mergeCell ref="V90:W90"/>
    <mergeCell ref="L93:M93"/>
    <mergeCell ref="L94:M94"/>
    <mergeCell ref="L95:M95"/>
    <mergeCell ref="J96:L96"/>
    <mergeCell ref="J102:M102"/>
    <mergeCell ref="V94:W94"/>
    <mergeCell ref="V95:W95"/>
    <mergeCell ref="T96:V96"/>
    <mergeCell ref="T97:V97"/>
    <mergeCell ref="E100:AG100"/>
    <mergeCell ref="L90:M90"/>
    <mergeCell ref="L91:M91"/>
    <mergeCell ref="Q91:R91"/>
    <mergeCell ref="V91:W91"/>
    <mergeCell ref="L92:M92"/>
    <mergeCell ref="V92:W92"/>
    <mergeCell ref="V93:W93"/>
    <mergeCell ref="Y102:AB102"/>
    <mergeCell ref="AD102:AG102"/>
    <mergeCell ref="AD103:AG103"/>
    <mergeCell ref="AD104:AG104"/>
    <mergeCell ref="AE105:AF105"/>
    <mergeCell ref="Q92:R92"/>
    <mergeCell ref="Q93:R93"/>
    <mergeCell ref="Q94:R94"/>
    <mergeCell ref="Q95:R95"/>
    <mergeCell ref="O96:Q96"/>
    <mergeCell ref="O102:R102"/>
    <mergeCell ref="T102:W102"/>
    <mergeCell ref="T82:W82"/>
    <mergeCell ref="Y82:AB82"/>
    <mergeCell ref="J77:M77"/>
    <mergeCell ref="O77:R77"/>
    <mergeCell ref="J78:M78"/>
    <mergeCell ref="O78:R78"/>
    <mergeCell ref="K79:L79"/>
    <mergeCell ref="J81:M81"/>
    <mergeCell ref="J82:M82"/>
    <mergeCell ref="T83:V83"/>
    <mergeCell ref="Y83:AB83"/>
    <mergeCell ref="T84:V84"/>
    <mergeCell ref="Y84:AB84"/>
    <mergeCell ref="T85:V85"/>
    <mergeCell ref="Y85:AB85"/>
    <mergeCell ref="T86:V86"/>
    <mergeCell ref="Y86:AB86"/>
    <mergeCell ref="T87:V87"/>
    <mergeCell ref="Y87:AB87"/>
    <mergeCell ref="L70:M70"/>
    <mergeCell ref="L71:M71"/>
    <mergeCell ref="N76:N87"/>
    <mergeCell ref="S76:S87"/>
    <mergeCell ref="T76:W76"/>
    <mergeCell ref="X76:X87"/>
    <mergeCell ref="AC76:AC87"/>
    <mergeCell ref="J112:L112"/>
    <mergeCell ref="J113:L113"/>
    <mergeCell ref="J115:M115"/>
    <mergeCell ref="T115:W115"/>
    <mergeCell ref="AD115:AG115"/>
    <mergeCell ref="L116:M116"/>
    <mergeCell ref="V116:W116"/>
    <mergeCell ref="AF116:AG116"/>
    <mergeCell ref="V118:W118"/>
    <mergeCell ref="V119:W119"/>
    <mergeCell ref="AA119:AB119"/>
    <mergeCell ref="AF119:AG119"/>
    <mergeCell ref="V120:W120"/>
    <mergeCell ref="AA120:AB120"/>
    <mergeCell ref="AF120:AG120"/>
    <mergeCell ref="Y115:AB115"/>
    <mergeCell ref="AA116:AB116"/>
    <mergeCell ref="V117:W117"/>
    <mergeCell ref="AA117:AB117"/>
    <mergeCell ref="AF117:AG117"/>
    <mergeCell ref="AA118:AB118"/>
    <mergeCell ref="AF118:AG118"/>
    <mergeCell ref="O115:R115"/>
    <mergeCell ref="Q116:R116"/>
    <mergeCell ref="L117:M117"/>
    <mergeCell ref="Q117:R117"/>
    <mergeCell ref="L118:M118"/>
    <mergeCell ref="Q118:R118"/>
    <mergeCell ref="Q119:R119"/>
    <mergeCell ref="AD122:AF122"/>
    <mergeCell ref="E125:AG125"/>
    <mergeCell ref="Q120:R120"/>
    <mergeCell ref="Q121:R121"/>
    <mergeCell ref="V121:W121"/>
    <mergeCell ref="AA121:AB121"/>
    <mergeCell ref="AF121:AG121"/>
    <mergeCell ref="T122:V122"/>
    <mergeCell ref="Y122:AA122"/>
    <mergeCell ref="L119:M119"/>
    <mergeCell ref="L120:M120"/>
    <mergeCell ref="L121:M121"/>
    <mergeCell ref="J122:L122"/>
    <mergeCell ref="O122:Q122"/>
    <mergeCell ref="J123:L123"/>
    <mergeCell ref="J127:M127"/>
    <mergeCell ref="J178:M178"/>
    <mergeCell ref="K179:L179"/>
    <mergeCell ref="P179:Q179"/>
    <mergeCell ref="AE179:AF179"/>
    <mergeCell ref="E181:H181"/>
    <mergeCell ref="J181:M181"/>
    <mergeCell ref="O181:R181"/>
    <mergeCell ref="T181:W181"/>
    <mergeCell ref="AD181:AG181"/>
    <mergeCell ref="C179:C181"/>
    <mergeCell ref="C182:C184"/>
    <mergeCell ref="E182:H182"/>
    <mergeCell ref="J182:M182"/>
    <mergeCell ref="O182:R182"/>
    <mergeCell ref="T182:W182"/>
    <mergeCell ref="AD182:AG182"/>
    <mergeCell ref="AD183:AF183"/>
    <mergeCell ref="AD184:AF184"/>
    <mergeCell ref="AD185:AF185"/>
    <mergeCell ref="AD186:AF186"/>
    <mergeCell ref="AD187:AF187"/>
    <mergeCell ref="T196:V196"/>
    <mergeCell ref="T201:W201"/>
    <mergeCell ref="Y201:AB201"/>
    <mergeCell ref="AD201:AG201"/>
    <mergeCell ref="G194:H194"/>
    <mergeCell ref="G195:H195"/>
    <mergeCell ref="L195:M195"/>
    <mergeCell ref="Q195:R195"/>
    <mergeCell ref="J196:L196"/>
    <mergeCell ref="O196:Q196"/>
    <mergeCell ref="E199:AG199"/>
    <mergeCell ref="O176:R176"/>
    <mergeCell ref="X176:X187"/>
    <mergeCell ref="AC176:AC187"/>
    <mergeCell ref="C177:C178"/>
    <mergeCell ref="T178:W178"/>
    <mergeCell ref="Y181:AB181"/>
    <mergeCell ref="T187:V187"/>
    <mergeCell ref="O186:Q186"/>
    <mergeCell ref="E187:G187"/>
    <mergeCell ref="J187:L187"/>
    <mergeCell ref="O187:Q187"/>
    <mergeCell ref="J189:M189"/>
    <mergeCell ref="O189:R189"/>
    <mergeCell ref="Q190:R190"/>
    <mergeCell ref="AA191:AB191"/>
    <mergeCell ref="AA192:AB192"/>
    <mergeCell ref="AA193:AB193"/>
    <mergeCell ref="AA194:AB194"/>
    <mergeCell ref="AA195:AB195"/>
    <mergeCell ref="Y196:AA196"/>
    <mergeCell ref="Y186:AA186"/>
    <mergeCell ref="Y187:AA187"/>
    <mergeCell ref="Y189:AB189"/>
    <mergeCell ref="AD189:AG189"/>
    <mergeCell ref="AA190:AB190"/>
    <mergeCell ref="AF190:AG190"/>
    <mergeCell ref="AF191:AG191"/>
    <mergeCell ref="E176:H176"/>
    <mergeCell ref="E183:G183"/>
    <mergeCell ref="E189:H189"/>
    <mergeCell ref="G190:H190"/>
    <mergeCell ref="G191:H191"/>
    <mergeCell ref="G192:H192"/>
    <mergeCell ref="G193:H193"/>
    <mergeCell ref="AF192:AG192"/>
    <mergeCell ref="AF193:AG193"/>
    <mergeCell ref="AF194:AG194"/>
    <mergeCell ref="AF195:AG195"/>
    <mergeCell ref="AD196:AF196"/>
    <mergeCell ref="AD202:AG202"/>
    <mergeCell ref="AD203:AG203"/>
    <mergeCell ref="AE204:AF204"/>
    <mergeCell ref="AD206:AG206"/>
    <mergeCell ref="AD207:AG207"/>
    <mergeCell ref="AD208:AF208"/>
    <mergeCell ref="AD209:AF209"/>
    <mergeCell ref="AD210:AF210"/>
    <mergeCell ref="AD211:AF211"/>
    <mergeCell ref="Q193:R193"/>
    <mergeCell ref="Q194:R194"/>
    <mergeCell ref="L194:M194"/>
    <mergeCell ref="J201:M201"/>
    <mergeCell ref="Q192:R192"/>
    <mergeCell ref="O201:R201"/>
    <mergeCell ref="O202:R202"/>
    <mergeCell ref="J203:M203"/>
    <mergeCell ref="O203:R203"/>
    <mergeCell ref="P204:Q204"/>
    <mergeCell ref="J206:M206"/>
    <mergeCell ref="O206:R206"/>
    <mergeCell ref="J207:M207"/>
    <mergeCell ref="O207:R207"/>
    <mergeCell ref="J208:L208"/>
    <mergeCell ref="O208:Q208"/>
    <mergeCell ref="L193:M193"/>
    <mergeCell ref="J202:M202"/>
    <mergeCell ref="J209:L209"/>
    <mergeCell ref="O209:Q209"/>
    <mergeCell ref="J210:L210"/>
    <mergeCell ref="O210:Q210"/>
    <mergeCell ref="J211:L211"/>
    <mergeCell ref="O211:Q211"/>
    <mergeCell ref="L190:M190"/>
    <mergeCell ref="L191:M191"/>
    <mergeCell ref="Q191:R191"/>
    <mergeCell ref="L192:M192"/>
    <mergeCell ref="I201:I212"/>
    <mergeCell ref="N201:N212"/>
    <mergeCell ref="S201:S212"/>
    <mergeCell ref="J212:L212"/>
    <mergeCell ref="O212:Q212"/>
    <mergeCell ref="J214:M214"/>
    <mergeCell ref="O214:R214"/>
    <mergeCell ref="L215:M215"/>
    <mergeCell ref="Q215:R215"/>
    <mergeCell ref="Q216:R216"/>
    <mergeCell ref="O226:R226"/>
    <mergeCell ref="O227:R227"/>
    <mergeCell ref="Y208:AA208"/>
    <mergeCell ref="Y209:AA209"/>
    <mergeCell ref="AA218:AB218"/>
    <mergeCell ref="Y225:AB225"/>
    <mergeCell ref="AA217:AB217"/>
    <mergeCell ref="Y226:AB226"/>
    <mergeCell ref="Y227:AB227"/>
    <mergeCell ref="Y230:AB230"/>
    <mergeCell ref="Y231:AB231"/>
    <mergeCell ref="Y232:AA232"/>
    <mergeCell ref="Y233:AA233"/>
    <mergeCell ref="Y234:AA234"/>
    <mergeCell ref="Y235:AA235"/>
    <mergeCell ref="Y236:AA236"/>
    <mergeCell ref="Y210:AA210"/>
    <mergeCell ref="Y211:AA211"/>
    <mergeCell ref="Y214:AB214"/>
    <mergeCell ref="AA215:AB215"/>
    <mergeCell ref="AA216:AB216"/>
    <mergeCell ref="X225:X236"/>
    <mergeCell ref="AC225:AC236"/>
    <mergeCell ref="T185:V185"/>
    <mergeCell ref="T186:V186"/>
    <mergeCell ref="T189:W189"/>
    <mergeCell ref="V190:W190"/>
    <mergeCell ref="V191:W191"/>
    <mergeCell ref="V192:W192"/>
    <mergeCell ref="V193:W193"/>
    <mergeCell ref="Y206:AB206"/>
    <mergeCell ref="Y207:AB207"/>
    <mergeCell ref="V194:W194"/>
    <mergeCell ref="V195:W195"/>
    <mergeCell ref="X201:X212"/>
    <mergeCell ref="AC201:AC212"/>
    <mergeCell ref="Y202:AB202"/>
    <mergeCell ref="Y203:AB203"/>
    <mergeCell ref="Z204:AA204"/>
    <mergeCell ref="Y212:AA212"/>
    <mergeCell ref="T202:W202"/>
    <mergeCell ref="T203:W203"/>
    <mergeCell ref="T206:W206"/>
    <mergeCell ref="T207:W207"/>
    <mergeCell ref="T208:V208"/>
    <mergeCell ref="T209:V209"/>
    <mergeCell ref="T210:V210"/>
    <mergeCell ref="T211:V211"/>
    <mergeCell ref="T212:V212"/>
    <mergeCell ref="T214:W214"/>
    <mergeCell ref="V215:W215"/>
    <mergeCell ref="V216:W216"/>
    <mergeCell ref="V217:W217"/>
    <mergeCell ref="V218:W218"/>
    <mergeCell ref="AA219:AB219"/>
    <mergeCell ref="AA220:AB220"/>
    <mergeCell ref="Y221:AA221"/>
    <mergeCell ref="AA242:AB242"/>
    <mergeCell ref="AA243:AB243"/>
    <mergeCell ref="T249:W249"/>
    <mergeCell ref="T250:W250"/>
    <mergeCell ref="T251:W251"/>
    <mergeCell ref="T254:W254"/>
    <mergeCell ref="T255:W255"/>
    <mergeCell ref="T256:V256"/>
    <mergeCell ref="T257:V257"/>
    <mergeCell ref="V265:W265"/>
    <mergeCell ref="T274:W274"/>
    <mergeCell ref="T275:W275"/>
    <mergeCell ref="T278:W278"/>
    <mergeCell ref="T279:W279"/>
    <mergeCell ref="T280:V280"/>
    <mergeCell ref="T281:V281"/>
    <mergeCell ref="T282:V282"/>
    <mergeCell ref="T283:V283"/>
    <mergeCell ref="T284:V284"/>
    <mergeCell ref="T258:V258"/>
    <mergeCell ref="T259:V259"/>
    <mergeCell ref="T260:V260"/>
    <mergeCell ref="T262:W262"/>
    <mergeCell ref="V263:W263"/>
    <mergeCell ref="V264:W264"/>
    <mergeCell ref="X273:X284"/>
    <mergeCell ref="Y257:AA257"/>
    <mergeCell ref="Y258:AA258"/>
    <mergeCell ref="Y259:AA259"/>
    <mergeCell ref="Y260:AA260"/>
    <mergeCell ref="Y262:AB262"/>
    <mergeCell ref="AA263:AB263"/>
    <mergeCell ref="AA264:AB264"/>
    <mergeCell ref="AA265:AB265"/>
    <mergeCell ref="AA266:AB266"/>
    <mergeCell ref="T238:W238"/>
    <mergeCell ref="Y238:AB238"/>
    <mergeCell ref="V239:W239"/>
    <mergeCell ref="AA239:AB239"/>
    <mergeCell ref="V240:W240"/>
    <mergeCell ref="AA240:AB240"/>
    <mergeCell ref="AA241:AB241"/>
    <mergeCell ref="V241:W241"/>
    <mergeCell ref="V242:W242"/>
    <mergeCell ref="V243:W243"/>
    <mergeCell ref="AA244:AB244"/>
    <mergeCell ref="T245:V245"/>
    <mergeCell ref="Y245:AA245"/>
    <mergeCell ref="Y249:AB249"/>
    <mergeCell ref="Y255:AB255"/>
    <mergeCell ref="Y256:AA256"/>
    <mergeCell ref="V244:W244"/>
    <mergeCell ref="X249:X260"/>
    <mergeCell ref="AC249:AC260"/>
    <mergeCell ref="Y250:AB250"/>
    <mergeCell ref="Y251:AB251"/>
    <mergeCell ref="Z252:AA252"/>
    <mergeCell ref="Y254:AB254"/>
    <mergeCell ref="V266:W266"/>
    <mergeCell ref="V267:W267"/>
    <mergeCell ref="AA267:AB267"/>
    <mergeCell ref="AC273:AC284"/>
    <mergeCell ref="Y282:AA282"/>
    <mergeCell ref="Y283:AA283"/>
    <mergeCell ref="Y284:AA284"/>
    <mergeCell ref="Y274:AB274"/>
    <mergeCell ref="Y275:AB275"/>
    <mergeCell ref="Z276:AA276"/>
    <mergeCell ref="Y278:AB278"/>
    <mergeCell ref="Y279:AB279"/>
    <mergeCell ref="Y280:AA280"/>
    <mergeCell ref="Y281:AA281"/>
    <mergeCell ref="O254:R254"/>
    <mergeCell ref="O255:R255"/>
    <mergeCell ref="Q244:R244"/>
    <mergeCell ref="O245:Q245"/>
    <mergeCell ref="O249:R249"/>
    <mergeCell ref="S249:S260"/>
    <mergeCell ref="O250:R250"/>
    <mergeCell ref="O251:R251"/>
    <mergeCell ref="P252:Q252"/>
    <mergeCell ref="Q268:R268"/>
    <mergeCell ref="V268:W268"/>
    <mergeCell ref="AA268:AB268"/>
    <mergeCell ref="T269:V269"/>
    <mergeCell ref="Y269:AA269"/>
    <mergeCell ref="O260:Q260"/>
    <mergeCell ref="O262:R262"/>
    <mergeCell ref="Q263:R263"/>
    <mergeCell ref="Q264:R264"/>
    <mergeCell ref="Q265:R265"/>
    <mergeCell ref="Q266:R266"/>
    <mergeCell ref="Q267:R267"/>
    <mergeCell ref="O269:Q269"/>
    <mergeCell ref="O274:R274"/>
    <mergeCell ref="O275:R275"/>
    <mergeCell ref="O278:R278"/>
    <mergeCell ref="O279:R279"/>
    <mergeCell ref="O280:Q280"/>
    <mergeCell ref="O281:Q281"/>
    <mergeCell ref="Y286:AB286"/>
    <mergeCell ref="AA287:AB287"/>
    <mergeCell ref="AA288:AB288"/>
    <mergeCell ref="AA290:AB290"/>
    <mergeCell ref="Q289:R289"/>
    <mergeCell ref="V289:W289"/>
    <mergeCell ref="O282:Q282"/>
    <mergeCell ref="O283:Q283"/>
    <mergeCell ref="O284:Q284"/>
    <mergeCell ref="O286:R286"/>
    <mergeCell ref="T286:W286"/>
    <mergeCell ref="Q287:R287"/>
    <mergeCell ref="Q288:R288"/>
    <mergeCell ref="V290:W290"/>
    <mergeCell ref="V291:W291"/>
    <mergeCell ref="V292:W292"/>
    <mergeCell ref="AA292:AB292"/>
    <mergeCell ref="T293:V293"/>
    <mergeCell ref="Y293:AA293"/>
    <mergeCell ref="AF290:AG290"/>
    <mergeCell ref="AF291:AG291"/>
    <mergeCell ref="AF292:AG292"/>
    <mergeCell ref="AD293:AF293"/>
    <mergeCell ref="V287:W287"/>
    <mergeCell ref="V288:W288"/>
    <mergeCell ref="G290:H290"/>
    <mergeCell ref="Q290:R290"/>
    <mergeCell ref="G291:H291"/>
    <mergeCell ref="Q291:R291"/>
    <mergeCell ref="AA291:AB291"/>
    <mergeCell ref="L290:M290"/>
    <mergeCell ref="L291:M291"/>
    <mergeCell ref="G292:H292"/>
    <mergeCell ref="L292:M292"/>
    <mergeCell ref="Q292:R292"/>
    <mergeCell ref="E293:G293"/>
    <mergeCell ref="J293:L293"/>
    <mergeCell ref="E298:H298"/>
    <mergeCell ref="E299:H299"/>
    <mergeCell ref="O298:R298"/>
    <mergeCell ref="O299:R299"/>
    <mergeCell ref="C298:C299"/>
    <mergeCell ref="C300:C302"/>
    <mergeCell ref="E302:H302"/>
    <mergeCell ref="J302:M302"/>
    <mergeCell ref="C303:C305"/>
    <mergeCell ref="E303:H303"/>
    <mergeCell ref="E304:G304"/>
    <mergeCell ref="E310:H310"/>
    <mergeCell ref="G311:H311"/>
    <mergeCell ref="G312:H312"/>
    <mergeCell ref="G313:H313"/>
    <mergeCell ref="G314:H314"/>
    <mergeCell ref="G315:H315"/>
    <mergeCell ref="G316:H316"/>
    <mergeCell ref="E317:G317"/>
    <mergeCell ref="L311:M311"/>
    <mergeCell ref="L312:M312"/>
    <mergeCell ref="L313:M313"/>
    <mergeCell ref="L314:M314"/>
    <mergeCell ref="L315:M315"/>
    <mergeCell ref="L316:M316"/>
    <mergeCell ref="J317:L317"/>
    <mergeCell ref="E306:G306"/>
    <mergeCell ref="J306:L306"/>
    <mergeCell ref="E307:G307"/>
    <mergeCell ref="J307:L307"/>
    <mergeCell ref="E308:G308"/>
    <mergeCell ref="J308:L308"/>
    <mergeCell ref="J310:M310"/>
    <mergeCell ref="Y305:AA305"/>
    <mergeCell ref="Y306:AA306"/>
    <mergeCell ref="E305:G305"/>
    <mergeCell ref="J305:L305"/>
    <mergeCell ref="O305:Q305"/>
    <mergeCell ref="T305:V305"/>
    <mergeCell ref="AD305:AF305"/>
    <mergeCell ref="T306:V306"/>
    <mergeCell ref="AD306:AF306"/>
    <mergeCell ref="AD307:AF307"/>
    <mergeCell ref="AD308:AF308"/>
    <mergeCell ref="O306:Q306"/>
    <mergeCell ref="O307:Q307"/>
    <mergeCell ref="T307:V307"/>
    <mergeCell ref="Y307:AA307"/>
    <mergeCell ref="O308:Q308"/>
    <mergeCell ref="T308:V308"/>
    <mergeCell ref="Y308:AA308"/>
    <mergeCell ref="O293:Q293"/>
    <mergeCell ref="E296:AG296"/>
    <mergeCell ref="J297:M297"/>
    <mergeCell ref="O297:R297"/>
    <mergeCell ref="T297:W297"/>
    <mergeCell ref="Y297:AB297"/>
    <mergeCell ref="AD297:AG297"/>
    <mergeCell ref="Y298:AB298"/>
    <mergeCell ref="Y299:AB299"/>
    <mergeCell ref="P300:Q300"/>
    <mergeCell ref="Z300:AA300"/>
    <mergeCell ref="T302:W302"/>
    <mergeCell ref="Y302:AB302"/>
    <mergeCell ref="AD302:AG302"/>
    <mergeCell ref="E297:H297"/>
    <mergeCell ref="J298:M298"/>
    <mergeCell ref="T298:W298"/>
    <mergeCell ref="AD298:AG298"/>
    <mergeCell ref="J299:M299"/>
    <mergeCell ref="T299:W299"/>
    <mergeCell ref="AD299:AG299"/>
    <mergeCell ref="O302:R302"/>
    <mergeCell ref="O303:R303"/>
    <mergeCell ref="T303:W303"/>
    <mergeCell ref="Y303:AB303"/>
    <mergeCell ref="AD303:AG303"/>
    <mergeCell ref="J303:M303"/>
    <mergeCell ref="J304:L304"/>
    <mergeCell ref="O304:Q304"/>
    <mergeCell ref="T304:V304"/>
    <mergeCell ref="Y304:AA304"/>
    <mergeCell ref="AD304:AF304"/>
    <mergeCell ref="AF312:AG312"/>
    <mergeCell ref="AF313:AG313"/>
    <mergeCell ref="O310:R310"/>
    <mergeCell ref="T310:W310"/>
    <mergeCell ref="Y310:AB310"/>
    <mergeCell ref="AD310:AG310"/>
    <mergeCell ref="V311:W311"/>
    <mergeCell ref="AA311:AB311"/>
    <mergeCell ref="AF311:AG311"/>
    <mergeCell ref="V313:W313"/>
    <mergeCell ref="V314:W314"/>
    <mergeCell ref="AA314:AB314"/>
    <mergeCell ref="AF314:AG314"/>
    <mergeCell ref="Q311:R311"/>
    <mergeCell ref="Q312:R312"/>
    <mergeCell ref="V312:W312"/>
    <mergeCell ref="AA312:AB312"/>
    <mergeCell ref="Q313:R313"/>
    <mergeCell ref="AA313:AB313"/>
    <mergeCell ref="Q314:R314"/>
    <mergeCell ref="Q315:R315"/>
    <mergeCell ref="V315:W315"/>
    <mergeCell ref="AA315:AB315"/>
    <mergeCell ref="AF315:AG315"/>
    <mergeCell ref="V316:W316"/>
    <mergeCell ref="AA316:AB316"/>
    <mergeCell ref="AF316:AG316"/>
    <mergeCell ref="Q316:R316"/>
    <mergeCell ref="O317:Q317"/>
    <mergeCell ref="T317:V317"/>
    <mergeCell ref="Y317:AA317"/>
    <mergeCell ref="AD317:AF317"/>
    <mergeCell ref="AD318:AF318"/>
    <mergeCell ref="E321:AG321"/>
    <mergeCell ref="E324:H324"/>
    <mergeCell ref="E325:H325"/>
  </mergeCells>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0" priority="1" operator="between">
      <formula>1</formula>
      <formula>95</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1" priority="2" operator="between">
      <formula>96</formula>
      <formula>195</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2" priority="3" operator="between">
      <formula>196</formula>
      <formula>260</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3" priority="4" operator="between">
      <formula>261</formula>
      <formula>299</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4" priority="5" operator="between">
      <formula>300</formula>
      <formula>350</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5" priority="6" operator="between">
      <formula>351</formula>
      <formula>450</formula>
    </cfRule>
  </conditionalFormatting>
  <conditionalFormatting sqref="H25 M25 R25 H49 M49 R49 H73 M73 R73 H96 M96 R96 W96:W97 H122 M122:M123 R122 W122 AB122 AG122 H147 M147 R147 W147 AB147:AB148 AG147 H172 M172 R172 W172 AB172:AB173 AG172 H196 M196 R196 W196 AB196 AG196 H221 M221 R221 W221 AB221 AG221 H245 M245 R245 W245 AB245 AG245 H269 M269 R269 W269 AB269 AG269 H293 M293 R293 W293 AB293 AG293 H317 M317 R317 W317 AB317 AG317:AG318 H344 M344 R344 W344:W345 AB344:AB345 AG344 H370 M370 R370:R371 W370 AB370:AB371 AG370 H396 M396 R396 W396 AB396 AG396 H420 M420 R420 W420 AB420 AG420">
    <cfRule type="cellIs" dxfId="6" priority="7" operator="between">
      <formula>451</formula>
      <formula>1000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374"/>
      <c r="B1" s="2346"/>
      <c r="C1" s="2379"/>
      <c r="D1" s="2346"/>
      <c r="E1" s="2346"/>
      <c r="F1" s="2346"/>
      <c r="G1" s="2346"/>
      <c r="H1" s="2346"/>
      <c r="I1" s="2346"/>
      <c r="J1" s="2346"/>
      <c r="K1" s="2346"/>
      <c r="L1" s="2346"/>
      <c r="M1" s="2346"/>
      <c r="N1" s="2346"/>
      <c r="O1" s="2346"/>
      <c r="P1" s="2346"/>
      <c r="Q1" s="2346"/>
      <c r="R1" s="2346"/>
      <c r="S1" s="2346"/>
      <c r="T1" s="2346"/>
      <c r="U1" s="2346"/>
      <c r="V1" s="2346"/>
      <c r="W1" s="2346"/>
      <c r="X1" s="2346"/>
      <c r="Y1" s="2346"/>
      <c r="Z1" s="2346"/>
      <c r="AA1" s="2346"/>
      <c r="AB1" s="2346"/>
      <c r="AC1" s="2346"/>
      <c r="AD1" s="2346"/>
      <c r="AE1" s="2346"/>
      <c r="AF1" s="2346"/>
      <c r="AG1" s="2346"/>
      <c r="AH1" s="2346"/>
      <c r="AI1" s="2374"/>
    </row>
    <row r="2" ht="7.5" customHeight="1">
      <c r="A2" s="2329"/>
      <c r="B2" s="2732"/>
      <c r="C2" s="2733"/>
      <c r="D2" s="2734"/>
      <c r="E2" s="2735"/>
      <c r="F2" s="2735"/>
      <c r="G2" s="2735"/>
      <c r="H2" s="2735"/>
      <c r="I2" s="2734"/>
      <c r="J2" s="2735"/>
      <c r="K2" s="2735"/>
      <c r="L2" s="2735"/>
      <c r="M2" s="2735"/>
      <c r="N2" s="2734"/>
      <c r="O2" s="2735"/>
      <c r="P2" s="2735"/>
      <c r="Q2" s="2735"/>
      <c r="R2" s="2735"/>
      <c r="S2" s="2734"/>
      <c r="T2" s="2735"/>
      <c r="U2" s="2735"/>
      <c r="V2" s="2735"/>
      <c r="W2" s="2735"/>
      <c r="X2" s="2734"/>
      <c r="Y2" s="2735"/>
      <c r="Z2" s="2735"/>
      <c r="AA2" s="2735"/>
      <c r="AB2" s="2735"/>
      <c r="AC2" s="2734"/>
      <c r="AD2" s="2734"/>
      <c r="AE2" s="2734"/>
      <c r="AF2" s="2734"/>
      <c r="AG2" s="2734"/>
      <c r="AH2" s="2736"/>
      <c r="AI2" s="2737"/>
    </row>
    <row r="3" ht="96.75" customHeight="1">
      <c r="A3" s="2329"/>
      <c r="B3" s="2738"/>
      <c r="C3" s="2739" t="str">
        <f>IMAGE("https://i.ibb.co/xhnkr2Z/Archer.png")</f>
        <v/>
      </c>
      <c r="D3" s="2740"/>
      <c r="E3" s="2741" t="str">
        <f t="array" ref="E3">IFERROR(VLOOKUP(E4,Dex!$B$3:$G454,3,FALSE),"")</f>
        <v/>
      </c>
      <c r="F3" s="1945"/>
      <c r="G3" s="1945"/>
      <c r="H3" s="1946"/>
      <c r="I3" s="2740"/>
      <c r="J3" s="2741" t="str">
        <f t="array" ref="J3">IFERROR(VLOOKUP(J4,Dex!$B$3:$G454,3,FALSE),"")</f>
        <v/>
      </c>
      <c r="K3" s="1945"/>
      <c r="L3" s="1945"/>
      <c r="M3" s="1946"/>
      <c r="N3" s="2740"/>
      <c r="O3" s="2741" t="str">
        <f t="array" ref="O3">IFERROR(VLOOKUP(O4,Dex!$B$3:$G454,3,FALSE),"")</f>
        <v/>
      </c>
      <c r="P3" s="1945"/>
      <c r="Q3" s="1945"/>
      <c r="R3" s="1946"/>
      <c r="S3" s="2742"/>
      <c r="T3" s="2741" t="str">
        <f t="array" ref="T3">IFERROR(VLOOKUP(T4,Dex!$B$3:$G454,3,FALSE),"")</f>
        <v/>
      </c>
      <c r="U3" s="1945"/>
      <c r="V3" s="1945"/>
      <c r="W3" s="1946"/>
      <c r="X3" s="2742"/>
      <c r="Y3" s="2741" t="str">
        <f t="array" ref="Y3">IFERROR(VLOOKUP(Y4,Dex!$B$3:$G454,3,FALSE),"")</f>
        <v/>
      </c>
      <c r="Z3" s="1945"/>
      <c r="AA3" s="1945"/>
      <c r="AB3" s="1946"/>
      <c r="AC3" s="2743"/>
      <c r="AD3" s="2744"/>
      <c r="AE3" s="2745"/>
      <c r="AF3" s="2745"/>
      <c r="AG3" s="2746"/>
      <c r="AH3" s="2747"/>
      <c r="AI3" s="2737"/>
    </row>
    <row r="4" ht="18.75" customHeight="1">
      <c r="A4" s="2354"/>
      <c r="B4" s="2748"/>
      <c r="C4" s="2749" t="s">
        <v>1139</v>
      </c>
      <c r="D4" s="2750"/>
      <c r="E4" s="2751" t="s">
        <v>1140</v>
      </c>
      <c r="F4" s="2752"/>
      <c r="G4" s="2752"/>
      <c r="H4" s="2753"/>
      <c r="I4" s="2750"/>
      <c r="J4" s="2751" t="s">
        <v>1141</v>
      </c>
      <c r="K4" s="2752"/>
      <c r="L4" s="2752"/>
      <c r="M4" s="2753"/>
      <c r="N4" s="2750"/>
      <c r="O4" s="2751" t="s">
        <v>1142</v>
      </c>
      <c r="P4" s="2752"/>
      <c r="Q4" s="2752"/>
      <c r="R4" s="2753"/>
      <c r="T4" s="2751" t="s">
        <v>186</v>
      </c>
      <c r="U4" s="2752"/>
      <c r="V4" s="2752"/>
      <c r="W4" s="2753"/>
      <c r="Y4" s="2751" t="s">
        <v>1143</v>
      </c>
      <c r="Z4" s="2752"/>
      <c r="AA4" s="2752"/>
      <c r="AB4" s="2753"/>
      <c r="AC4" s="2754"/>
      <c r="AD4" s="2755"/>
      <c r="AE4" s="2745"/>
      <c r="AF4" s="2745"/>
      <c r="AG4" s="2746"/>
      <c r="AH4" s="2756"/>
      <c r="AI4" s="2757"/>
    </row>
    <row r="5">
      <c r="A5" s="2758"/>
      <c r="B5" s="2759"/>
      <c r="C5" s="556"/>
      <c r="D5" s="2760"/>
      <c r="E5" s="2761" t="s">
        <v>797</v>
      </c>
      <c r="F5" s="2762"/>
      <c r="G5" s="2762"/>
      <c r="H5" s="2763"/>
      <c r="I5" s="2750"/>
      <c r="J5" s="2761" t="s">
        <v>796</v>
      </c>
      <c r="K5" s="2762"/>
      <c r="L5" s="2762"/>
      <c r="M5" s="2763"/>
      <c r="N5" s="2750"/>
      <c r="O5" s="2761" t="s">
        <v>729</v>
      </c>
      <c r="P5" s="2762"/>
      <c r="Q5" s="2762"/>
      <c r="R5" s="2763"/>
      <c r="T5" s="2761" t="s">
        <v>796</v>
      </c>
      <c r="U5" s="2762"/>
      <c r="V5" s="2762"/>
      <c r="W5" s="2763"/>
      <c r="Y5" s="2761" t="s">
        <v>797</v>
      </c>
      <c r="Z5" s="2762"/>
      <c r="AA5" s="2762"/>
      <c r="AB5" s="2763"/>
      <c r="AC5" s="2754"/>
      <c r="AD5" s="2764"/>
      <c r="AE5" s="2745"/>
      <c r="AF5" s="2745"/>
      <c r="AG5" s="2746"/>
      <c r="AH5" s="2765"/>
      <c r="AI5" s="2766"/>
    </row>
    <row r="6" ht="25.5" customHeight="1">
      <c r="A6" s="2329"/>
      <c r="B6" s="2767"/>
      <c r="C6" s="2768"/>
      <c r="D6" s="2744"/>
      <c r="E6" s="2769"/>
      <c r="F6" s="2770" t="str">
        <f t="array" ref="F6">IFERROR(VLOOKUP(E4,Dex!$B$3:$H454,5,FALSE),"")</f>
        <v/>
      </c>
      <c r="G6" s="2771" t="str">
        <f t="array" ref="G6">IFERROR(VLOOKUP(E4,Dex!$B$3:$H454,7,FALSE),"")</f>
        <v/>
      </c>
      <c r="H6" s="2772"/>
      <c r="I6" s="2755"/>
      <c r="J6" s="2769"/>
      <c r="K6" s="2773" t="str">
        <f t="array" ref="K6">IFERROR(VLOOKUP(J4,Dex!$B$3:$H454,5,FALSE),"")</f>
        <v/>
      </c>
      <c r="L6" s="2774"/>
      <c r="M6" s="2772"/>
      <c r="N6" s="2755"/>
      <c r="O6" s="2769"/>
      <c r="P6" s="2770" t="str">
        <f t="array" ref="P6">IFERROR(VLOOKUP(O4,Dex!$B$3:$H454,5,FALSE),"")</f>
        <v/>
      </c>
      <c r="Q6" s="2771" t="str">
        <f t="array" ref="Q6">IFERROR(VLOOKUP(O4,Dex!$B$3:$H454,7,FALSE),"")</f>
        <v/>
      </c>
      <c r="R6" s="2772"/>
      <c r="T6" s="2769"/>
      <c r="U6" s="2773" t="str">
        <f t="array" ref="U6">IFERROR(VLOOKUP(T4,Dex!$B$3:$H454,5,FALSE),"")</f>
        <v/>
      </c>
      <c r="V6" s="2774"/>
      <c r="W6" s="2772"/>
      <c r="Y6" s="2769"/>
      <c r="Z6" s="2770" t="str">
        <f t="array" ref="Z6">IFERROR(VLOOKUP(Y4,Dex!$B$3:$H454,5,FALSE),"")</f>
        <v/>
      </c>
      <c r="AA6" s="2771" t="str">
        <f t="array" ref="AA6">IFERROR(VLOOKUP(Y4,Dex!$B$3:$H454,7,FALSE),"")</f>
        <v/>
      </c>
      <c r="AB6" s="2772"/>
      <c r="AC6" s="2754"/>
      <c r="AD6" s="2744"/>
      <c r="AE6" s="2745"/>
      <c r="AF6" s="2745"/>
      <c r="AG6" s="2746"/>
      <c r="AH6" s="2747"/>
      <c r="AI6" s="2737"/>
    </row>
    <row r="7" ht="2.25" customHeight="1">
      <c r="A7" s="2329"/>
      <c r="B7" s="2767"/>
      <c r="C7" s="2775"/>
      <c r="D7" s="2744"/>
      <c r="E7" s="2776"/>
      <c r="F7" s="2777"/>
      <c r="G7" s="2777"/>
      <c r="H7" s="2778"/>
      <c r="I7" s="2755"/>
      <c r="J7" s="2776"/>
      <c r="K7" s="2777"/>
      <c r="L7" s="2777"/>
      <c r="M7" s="2778"/>
      <c r="N7" s="2755"/>
      <c r="O7" s="2776"/>
      <c r="P7" s="2777"/>
      <c r="Q7" s="2777"/>
      <c r="R7" s="2778"/>
      <c r="T7" s="2776"/>
      <c r="U7" s="2777"/>
      <c r="V7" s="2777"/>
      <c r="W7" s="2778"/>
      <c r="Y7" s="2776"/>
      <c r="Z7" s="2777"/>
      <c r="AA7" s="2777"/>
      <c r="AB7" s="2778"/>
      <c r="AC7" s="2754"/>
      <c r="AD7" s="2779"/>
      <c r="AE7" s="2779"/>
      <c r="AF7" s="2779"/>
      <c r="AG7" s="2779"/>
      <c r="AH7" s="2747"/>
      <c r="AI7" s="2737"/>
    </row>
    <row r="8" ht="20.25" customHeight="1">
      <c r="A8" s="2329"/>
      <c r="B8" s="2767"/>
      <c r="C8" s="2780"/>
      <c r="D8" s="2744"/>
      <c r="E8" s="2781" t="s">
        <v>481</v>
      </c>
      <c r="F8" s="2782"/>
      <c r="G8" s="2782"/>
      <c r="H8" s="2783"/>
      <c r="I8" s="2784"/>
      <c r="J8" s="2781" t="s">
        <v>481</v>
      </c>
      <c r="K8" s="2782"/>
      <c r="L8" s="2782"/>
      <c r="M8" s="2783"/>
      <c r="N8" s="2784"/>
      <c r="O8" s="2781" t="s">
        <v>564</v>
      </c>
      <c r="P8" s="2782"/>
      <c r="Q8" s="2782"/>
      <c r="R8" s="2783"/>
      <c r="T8" s="2781" t="s">
        <v>481</v>
      </c>
      <c r="U8" s="2782"/>
      <c r="V8" s="2782"/>
      <c r="W8" s="2783"/>
      <c r="Y8" s="2781" t="s">
        <v>481</v>
      </c>
      <c r="Z8" s="2782"/>
      <c r="AA8" s="2782"/>
      <c r="AB8" s="2783"/>
      <c r="AC8" s="2754"/>
      <c r="AD8" s="2744"/>
      <c r="AE8" s="2745"/>
      <c r="AF8" s="2745"/>
      <c r="AG8" s="2746"/>
      <c r="AH8" s="2747"/>
      <c r="AI8" s="2737"/>
    </row>
    <row r="9" ht="20.25" customHeight="1">
      <c r="A9" s="2329"/>
      <c r="B9" s="2767"/>
      <c r="C9" s="2785"/>
      <c r="D9" s="2744"/>
      <c r="E9" s="2786" t="s">
        <v>110</v>
      </c>
      <c r="F9" s="2745"/>
      <c r="G9" s="2745"/>
      <c r="H9" s="2787"/>
      <c r="I9" s="2784"/>
      <c r="J9" s="2786" t="s">
        <v>1144</v>
      </c>
      <c r="K9" s="2745"/>
      <c r="L9" s="2745"/>
      <c r="M9" s="2787"/>
      <c r="N9" s="2784"/>
      <c r="O9" s="2786" t="s">
        <v>81</v>
      </c>
      <c r="P9" s="2745"/>
      <c r="Q9" s="2745"/>
      <c r="R9" s="2787"/>
      <c r="T9" s="2786" t="s">
        <v>1145</v>
      </c>
      <c r="U9" s="2745"/>
      <c r="V9" s="2745"/>
      <c r="W9" s="2787"/>
      <c r="Y9" s="2786" t="s">
        <v>826</v>
      </c>
      <c r="Z9" s="2745"/>
      <c r="AA9" s="2745"/>
      <c r="AB9" s="2787"/>
      <c r="AC9" s="2754"/>
      <c r="AD9" s="2744"/>
      <c r="AE9" s="2745"/>
      <c r="AF9" s="2745"/>
      <c r="AG9" s="2746"/>
      <c r="AH9" s="2747"/>
      <c r="AI9" s="2737"/>
    </row>
    <row r="10" ht="20.25" customHeight="1">
      <c r="A10" s="2329"/>
      <c r="B10" s="2767"/>
      <c r="C10" s="2775"/>
      <c r="D10" s="2744"/>
      <c r="E10" s="2788" t="s">
        <v>684</v>
      </c>
      <c r="F10" s="2789"/>
      <c r="G10" s="2790"/>
      <c r="H10" s="2791" t="str">
        <f>IMAGE("https://raw.githubusercontent.com/msikma/pokesprite/master/items/berry/shuca.png",3)</f>
        <v/>
      </c>
      <c r="I10" s="2755"/>
      <c r="J10" s="2788" t="s">
        <v>684</v>
      </c>
      <c r="K10" s="2789"/>
      <c r="L10" s="2790"/>
      <c r="M10" s="2791" t="str">
        <f>IMAGE("https://raw.githubusercontent.com/msikma/pokesprite/master/items/berry/shuca.png",3)</f>
        <v/>
      </c>
      <c r="N10" s="2755"/>
      <c r="O10" s="2788" t="s">
        <v>573</v>
      </c>
      <c r="P10" s="2789"/>
      <c r="Q10" s="2790"/>
      <c r="R10" s="2791" t="str">
        <f>IMAGE("https://raw.githubusercontent.com/msikma/pokesprite/master/items/hold-item/focus-sash.png",3)</f>
        <v/>
      </c>
      <c r="T10" s="2788" t="s">
        <v>488</v>
      </c>
      <c r="U10" s="2789"/>
      <c r="V10" s="2790"/>
      <c r="W10" s="2791" t="str">
        <f>IMAGE("https://raw.githubusercontent.com/msikma/pokesprite/master/items/medicine/berry-juice.png",3)</f>
        <v/>
      </c>
      <c r="Y10" s="2788" t="s">
        <v>800</v>
      </c>
      <c r="Z10" s="2789"/>
      <c r="AA10" s="2790"/>
      <c r="AB10" s="2791" t="str">
        <f>IMAGE("https://raw.githubusercontent.com/msikma/pokesprite/master/items/hold-item/muscle-band.png",3)</f>
        <v/>
      </c>
      <c r="AC10" s="2754"/>
      <c r="AD10" s="2744"/>
      <c r="AE10" s="2745"/>
      <c r="AF10" s="2745"/>
      <c r="AG10" s="2746"/>
      <c r="AH10" s="2747"/>
      <c r="AI10" s="2737"/>
    </row>
    <row r="11" ht="20.25" customHeight="1">
      <c r="A11" s="2329"/>
      <c r="B11" s="2767"/>
      <c r="C11" s="2780"/>
      <c r="D11" s="2744"/>
      <c r="E11" s="2781" t="s">
        <v>496</v>
      </c>
      <c r="F11" s="2782"/>
      <c r="G11" s="2792"/>
      <c r="H11" s="2793" t="str">
        <f>IMAGE("https://raw.githubusercontent.com/msikma/pokesprite/master/misc/types/gen8/rock.png",4,20,20)</f>
        <v/>
      </c>
      <c r="I11" s="2755"/>
      <c r="J11" s="2781" t="s">
        <v>510</v>
      </c>
      <c r="K11" s="2782"/>
      <c r="L11" s="2792"/>
      <c r="M11" s="2793" t="str">
        <f>IMAGE("https://raw.githubusercontent.com/msikma/pokesprite/master/misc/types/gen8/grass.png",4,20,20)</f>
        <v/>
      </c>
      <c r="N11" s="2755"/>
      <c r="O11" s="2781" t="s">
        <v>259</v>
      </c>
      <c r="P11" s="2782"/>
      <c r="Q11" s="2792"/>
      <c r="R11" s="2793" t="str">
        <f>IMAGE("https://raw.githubusercontent.com/msikma/pokesprite/master/misc/types/gen8/dark.png",4,20,20)</f>
        <v/>
      </c>
      <c r="T11" s="2781" t="s">
        <v>1010</v>
      </c>
      <c r="U11" s="2782"/>
      <c r="V11" s="2792"/>
      <c r="W11" s="2793" t="str">
        <f>IMAGE("https://raw.githubusercontent.com/msikma/pokesprite/master/misc/types/gen8/dark.png",4,20,20)</f>
        <v/>
      </c>
      <c r="Y11" s="2781" t="s">
        <v>1146</v>
      </c>
      <c r="Z11" s="2782"/>
      <c r="AA11" s="2792"/>
      <c r="AB11" s="2793" t="str">
        <f>IMAGE("https://raw.githubusercontent.com/msikma/pokesprite/master/misc/types/gen8/dark.png",4,20,20)</f>
        <v/>
      </c>
      <c r="AC11" s="2754"/>
      <c r="AD11" s="2744"/>
      <c r="AE11" s="2745"/>
      <c r="AF11" s="2745"/>
      <c r="AG11" s="2746"/>
      <c r="AH11" s="2747"/>
      <c r="AI11" s="2737"/>
    </row>
    <row r="12" ht="20.25" customHeight="1">
      <c r="A12" s="2329"/>
      <c r="B12" s="2767"/>
      <c r="C12" s="2794"/>
      <c r="D12" s="2744"/>
      <c r="E12" s="2786" t="s">
        <v>1147</v>
      </c>
      <c r="F12" s="2745"/>
      <c r="G12" s="2746"/>
      <c r="H12" s="2795" t="str">
        <f>IMAGE("https://raw.githubusercontent.com/msikma/pokesprite/master/misc/types/gen8/poison.png",4,20,20)</f>
        <v/>
      </c>
      <c r="I12" s="2755"/>
      <c r="J12" s="2786" t="s">
        <v>1148</v>
      </c>
      <c r="K12" s="2745"/>
      <c r="L12" s="2746"/>
      <c r="M12" s="2795" t="str">
        <f>IMAGE("https://raw.githubusercontent.com/msikma/pokesprite/master/misc/types/gen8/poison.png",4,20,20)</f>
        <v/>
      </c>
      <c r="N12" s="2755"/>
      <c r="O12" s="2786" t="s">
        <v>971</v>
      </c>
      <c r="P12" s="2745"/>
      <c r="Q12" s="2746"/>
      <c r="R12" s="2795" t="str">
        <f>IMAGE("https://raw.githubusercontent.com/msikma/pokesprite/master/misc/types/gen8/fire.png",4,20,20)</f>
        <v/>
      </c>
      <c r="T12" s="2786" t="s">
        <v>1149</v>
      </c>
      <c r="U12" s="2745"/>
      <c r="V12" s="2746"/>
      <c r="W12" s="2795" t="str">
        <f>IMAGE("https://raw.githubusercontent.com/msikma/pokesprite/master/misc/types/gen8/ice.png",4,20,20)</f>
        <v/>
      </c>
      <c r="Y12" s="2786" t="s">
        <v>804</v>
      </c>
      <c r="Z12" s="2745"/>
      <c r="AA12" s="2746"/>
      <c r="AB12" s="2795" t="str">
        <f>IMAGE("https://raw.githubusercontent.com/msikma/pokesprite/master/misc/types/gen8/flying.png",4,20,20)</f>
        <v/>
      </c>
      <c r="AC12" s="2754"/>
      <c r="AD12" s="2744"/>
      <c r="AE12" s="2745"/>
      <c r="AF12" s="2745"/>
      <c r="AG12" s="2746"/>
      <c r="AH12" s="2747"/>
      <c r="AI12" s="2737"/>
    </row>
    <row r="13" ht="20.25" customHeight="1">
      <c r="A13" s="2329"/>
      <c r="B13" s="2767"/>
      <c r="C13" s="2794"/>
      <c r="D13" s="2744"/>
      <c r="E13" s="2786" t="s">
        <v>1150</v>
      </c>
      <c r="F13" s="2745"/>
      <c r="G13" s="2746"/>
      <c r="H13" s="2795" t="str">
        <f>IMAGE("https://raw.githubusercontent.com/msikma/pokesprite/master/misc/types/gen8/ground.png",4,20,20)</f>
        <v/>
      </c>
      <c r="I13" s="2755"/>
      <c r="J13" s="2786" t="s">
        <v>494</v>
      </c>
      <c r="K13" s="2745"/>
      <c r="L13" s="2746"/>
      <c r="M13" s="2795" t="str">
        <f>IMAGE("https://raw.githubusercontent.com/msikma/pokesprite/master/misc/types/gen8/ground.png",4,20,20)</f>
        <v/>
      </c>
      <c r="N13" s="2755"/>
      <c r="O13" s="2786" t="s">
        <v>1151</v>
      </c>
      <c r="P13" s="2745"/>
      <c r="Q13" s="2746"/>
      <c r="R13" s="2795" t="str">
        <f>IMAGE("https://raw.githubusercontent.com/msikma/pokesprite/master/misc/types/gen8/dark.png",4,20,20)</f>
        <v/>
      </c>
      <c r="T13" s="2786" t="s">
        <v>1148</v>
      </c>
      <c r="U13" s="2745"/>
      <c r="V13" s="2746"/>
      <c r="W13" s="2795" t="str">
        <f>IMAGE("https://raw.githubusercontent.com/msikma/pokesprite/master/misc/types/gen8/poison.png",4,20,20)</f>
        <v/>
      </c>
      <c r="Y13" s="2786" t="s">
        <v>1152</v>
      </c>
      <c r="Z13" s="2745"/>
      <c r="AA13" s="2746"/>
      <c r="AB13" s="2795" t="str">
        <f>IMAGE("https://raw.githubusercontent.com/msikma/pokesprite/master/misc/types/gen8/ground.png",4,20,20)</f>
        <v/>
      </c>
      <c r="AC13" s="2754"/>
      <c r="AD13" s="2744"/>
      <c r="AE13" s="2745"/>
      <c r="AF13" s="2745"/>
      <c r="AG13" s="2746"/>
      <c r="AH13" s="2747"/>
      <c r="AI13" s="2737"/>
    </row>
    <row r="14" ht="21.0" customHeight="1">
      <c r="A14" s="2329"/>
      <c r="B14" s="2767"/>
      <c r="C14" s="2794"/>
      <c r="D14" s="2744"/>
      <c r="E14" s="2796" t="s">
        <v>184</v>
      </c>
      <c r="F14" s="2797"/>
      <c r="G14" s="2798"/>
      <c r="H14" s="2799" t="str">
        <f>IMAGE("https://raw.githubusercontent.com/msikma/pokesprite/master/misc/types/gen8/normal.png",4,20,20)</f>
        <v/>
      </c>
      <c r="I14" s="2755"/>
      <c r="J14" s="2796" t="s">
        <v>1153</v>
      </c>
      <c r="K14" s="2797"/>
      <c r="L14" s="2798"/>
      <c r="M14" s="2799" t="str">
        <f>IMAGE("https://raw.githubusercontent.com/msikma/pokesprite/master/misc/types/gen8/psychic.png",4,20,20)</f>
        <v/>
      </c>
      <c r="N14" s="2755"/>
      <c r="O14" s="2796" t="s">
        <v>1012</v>
      </c>
      <c r="P14" s="2797"/>
      <c r="Q14" s="2798"/>
      <c r="R14" s="2799" t="str">
        <f>IMAGE("https://raw.githubusercontent.com/msikma/pokesprite/master/misc/types/gen8/electric.png",4,20,20)</f>
        <v/>
      </c>
      <c r="S14" s="2800"/>
      <c r="T14" s="2796" t="s">
        <v>246</v>
      </c>
      <c r="U14" s="2797"/>
      <c r="V14" s="2798"/>
      <c r="W14" s="2799" t="str">
        <f>IMAGE("https://raw.githubusercontent.com/msikma/pokesprite/master/misc/types/gen8/normal.png",4,20,20)</f>
        <v/>
      </c>
      <c r="X14" s="2800"/>
      <c r="Y14" s="2796" t="s">
        <v>1154</v>
      </c>
      <c r="Z14" s="2797"/>
      <c r="AA14" s="2798"/>
      <c r="AB14" s="2799" t="str">
        <f>IMAGE("https://raw.githubusercontent.com/msikma/pokesprite/master/misc/types/gen8/normal.png",4,20,20)</f>
        <v/>
      </c>
      <c r="AC14" s="2801"/>
      <c r="AD14" s="2744"/>
      <c r="AE14" s="2745"/>
      <c r="AF14" s="2745"/>
      <c r="AG14" s="2746"/>
      <c r="AH14" s="2747"/>
      <c r="AI14" s="2737"/>
    </row>
    <row r="15" ht="3.0" customHeight="1">
      <c r="A15" s="2802"/>
      <c r="B15" s="2803"/>
      <c r="C15" s="2804"/>
      <c r="D15" s="2805"/>
      <c r="E15" s="2806"/>
      <c r="F15" s="2806"/>
      <c r="G15" s="2806"/>
      <c r="H15" s="2806"/>
      <c r="I15" s="2805"/>
      <c r="J15" s="2806"/>
      <c r="K15" s="2806"/>
      <c r="L15" s="2806"/>
      <c r="M15" s="2806"/>
      <c r="N15" s="2805"/>
      <c r="O15" s="2806"/>
      <c r="P15" s="2806"/>
      <c r="Q15" s="2806"/>
      <c r="R15" s="2806"/>
      <c r="S15" s="2807"/>
      <c r="T15" s="2806"/>
      <c r="U15" s="2806"/>
      <c r="V15" s="2806"/>
      <c r="W15" s="2806"/>
      <c r="X15" s="2805"/>
      <c r="Y15" s="2806"/>
      <c r="Z15" s="2806"/>
      <c r="AA15" s="2806"/>
      <c r="AB15" s="2806"/>
      <c r="AC15" s="2808"/>
      <c r="AD15" s="2808"/>
      <c r="AE15" s="2808"/>
      <c r="AF15" s="2808"/>
      <c r="AG15" s="2808"/>
      <c r="AH15" s="2809"/>
      <c r="AI15" s="2810"/>
    </row>
    <row r="16" ht="16.5" customHeight="1">
      <c r="A16" s="2811"/>
      <c r="B16" s="2812"/>
      <c r="C16" s="2804"/>
      <c r="D16" s="2813"/>
      <c r="E16" s="2814" t="s">
        <v>512</v>
      </c>
      <c r="F16" s="606"/>
      <c r="G16" s="606"/>
      <c r="H16" s="607"/>
      <c r="I16" s="2815"/>
      <c r="J16" s="2814" t="s">
        <v>512</v>
      </c>
      <c r="K16" s="606"/>
      <c r="L16" s="606"/>
      <c r="M16" s="607"/>
      <c r="N16" s="2816"/>
      <c r="O16" s="2814" t="s">
        <v>512</v>
      </c>
      <c r="P16" s="606"/>
      <c r="Q16" s="606"/>
      <c r="R16" s="607"/>
      <c r="S16" s="2817"/>
      <c r="T16" s="2814" t="s">
        <v>512</v>
      </c>
      <c r="U16" s="606"/>
      <c r="V16" s="606"/>
      <c r="W16" s="607"/>
      <c r="X16" s="2818"/>
      <c r="Y16" s="2814" t="s">
        <v>512</v>
      </c>
      <c r="Z16" s="606"/>
      <c r="AA16" s="606"/>
      <c r="AB16" s="607"/>
      <c r="AC16" s="2819"/>
      <c r="AD16" s="2820"/>
      <c r="AE16" s="2820"/>
      <c r="AF16" s="2820"/>
      <c r="AG16" s="2820"/>
      <c r="AH16" s="2821"/>
      <c r="AI16" s="2407"/>
    </row>
    <row r="17" ht="16.5" customHeight="1">
      <c r="A17" s="2811"/>
      <c r="B17" s="2812"/>
      <c r="C17" s="2804"/>
      <c r="D17" s="2813"/>
      <c r="E17" s="2822" t="s">
        <v>513</v>
      </c>
      <c r="F17" s="2823">
        <f t="array" ref="F17">IFERROR(VLOOKUP(E4,Dex!$B$3:$N454,8,FALSE),"")</f>
        <v>48</v>
      </c>
      <c r="G17" s="2824" t="str">
        <f t="array" ref="G17">IFERROR(VLOOKUP(F17,Dex!$P$22:$Q$276,2,FALSE),"")</f>
        <v/>
      </c>
      <c r="H17" s="2825"/>
      <c r="I17" s="2815"/>
      <c r="J17" s="2822" t="s">
        <v>513</v>
      </c>
      <c r="K17" s="2823">
        <f t="array" ref="K17">IFERROR(VLOOKUP(J4,Dex!$B$3:$N454,8,FALSE),"")</f>
        <v>83</v>
      </c>
      <c r="L17" s="2824" t="str">
        <f t="array" ref="L17">IFERROR(VLOOKUP(K17,Dex!$P$22:$Q$276,2,FALSE),"")</f>
        <v/>
      </c>
      <c r="M17" s="2825"/>
      <c r="N17" s="2816"/>
      <c r="O17" s="2822" t="s">
        <v>513</v>
      </c>
      <c r="P17" s="2823">
        <f t="array" ref="P17">IFERROR(VLOOKUP(O4,Dex!$B$3:$N454,8,FALSE),"")</f>
        <v>45</v>
      </c>
      <c r="Q17" s="2824" t="str">
        <f t="array" ref="Q17">IFERROR(VLOOKUP(P17,Dex!$P$22:$Q$276,2,FALSE),"")</f>
        <v/>
      </c>
      <c r="R17" s="2825"/>
      <c r="S17" s="2826"/>
      <c r="T17" s="2822" t="s">
        <v>513</v>
      </c>
      <c r="U17" s="2823">
        <f t="array" ref="U17">IFERROR(VLOOKUP(T4,Dex!$B$3:$N454,8,FALSE),"")</f>
        <v>70</v>
      </c>
      <c r="V17" s="2824" t="str">
        <f t="array" ref="V17">IFERROR(VLOOKUP(U17,Dex!$P$22:$Q$276,2,FALSE),"")</f>
        <v/>
      </c>
      <c r="W17" s="2825"/>
      <c r="X17" s="2819"/>
      <c r="Y17" s="2822" t="s">
        <v>513</v>
      </c>
      <c r="Z17" s="2823">
        <f t="array" ref="Z17">IFERROR(VLOOKUP(Y4,Dex!$B$3:$N454,8,FALSE),"")</f>
        <v>65</v>
      </c>
      <c r="AA17" s="2824" t="str">
        <f t="array" ref="AA17">IFERROR(VLOOKUP(Z17,Dex!$P$22:$Q$276,2,FALSE),"")</f>
        <v/>
      </c>
      <c r="AB17" s="2825"/>
      <c r="AC17" s="2819"/>
      <c r="AD17" s="2820"/>
      <c r="AE17" s="2820"/>
      <c r="AF17" s="2820"/>
      <c r="AG17" s="2820"/>
      <c r="AH17" s="2821"/>
      <c r="AI17" s="2407"/>
    </row>
    <row r="18" ht="16.5" customHeight="1">
      <c r="A18" s="2811"/>
      <c r="B18" s="2812"/>
      <c r="C18" s="2804"/>
      <c r="D18" s="2813"/>
      <c r="E18" s="2827" t="s">
        <v>514</v>
      </c>
      <c r="F18" s="2828">
        <f t="array" ref="F18">IFERROR(VLOOKUP(E4,Dex!$B$3:$N454,9,FALSE),"")</f>
        <v>35</v>
      </c>
      <c r="G18" s="2829" t="str">
        <f t="array" ref="G18">IFERROR(VLOOKUP(F18,Dex!$P$22:$Q$276,2,FALSE),"")</f>
        <v/>
      </c>
      <c r="H18" s="2830"/>
      <c r="I18" s="2815"/>
      <c r="J18" s="2827" t="s">
        <v>514</v>
      </c>
      <c r="K18" s="2828">
        <f t="array" ref="K18">IFERROR(VLOOKUP(J4,Dex!$B$3:$N454,9,FALSE),"")</f>
        <v>100</v>
      </c>
      <c r="L18" s="2829" t="str">
        <f t="array" ref="L18">IFERROR(VLOOKUP(K18,Dex!$P$22:$Q$276,2,FALSE),"")</f>
        <v/>
      </c>
      <c r="M18" s="2830"/>
      <c r="N18" s="2816"/>
      <c r="O18" s="2827" t="s">
        <v>514</v>
      </c>
      <c r="P18" s="2828">
        <f t="array" ref="P18">IFERROR(VLOOKUP(O4,Dex!$B$3:$N454,9,FALSE),"")</f>
        <v>60</v>
      </c>
      <c r="Q18" s="2829" t="str">
        <f t="array" ref="Q18">IFERROR(VLOOKUP(P18,Dex!$P$22:$Q$276,2,FALSE),"")</f>
        <v/>
      </c>
      <c r="R18" s="2830"/>
      <c r="S18" s="2826"/>
      <c r="T18" s="2827" t="s">
        <v>514</v>
      </c>
      <c r="U18" s="2828">
        <f t="array" ref="U18">IFERROR(VLOOKUP(T4,Dex!$B$3:$N454,9,FALSE),"")</f>
        <v>95</v>
      </c>
      <c r="V18" s="2829" t="str">
        <f t="array" ref="V18">IFERROR(VLOOKUP(U18,Dex!$P$22:$Q$276,2,FALSE),"")</f>
        <v/>
      </c>
      <c r="W18" s="2830"/>
      <c r="X18" s="2819"/>
      <c r="Y18" s="2827" t="s">
        <v>514</v>
      </c>
      <c r="Z18" s="2828">
        <f t="array" ref="Z18">IFERROR(VLOOKUP(Y4,Dex!$B$3:$N454,9,FALSE),"")</f>
        <v>100</v>
      </c>
      <c r="AA18" s="2829" t="str">
        <f t="array" ref="AA18">IFERROR(VLOOKUP(Z18,Dex!$P$22:$Q$276,2,FALSE),"")</f>
        <v/>
      </c>
      <c r="AB18" s="2830"/>
      <c r="AC18" s="2819"/>
      <c r="AD18" s="2820"/>
      <c r="AE18" s="2820"/>
      <c r="AF18" s="2820"/>
      <c r="AG18" s="2820"/>
      <c r="AH18" s="2821"/>
      <c r="AI18" s="2407"/>
    </row>
    <row r="19" ht="16.5" customHeight="1">
      <c r="A19" s="2811"/>
      <c r="B19" s="2812"/>
      <c r="C19" s="2804"/>
      <c r="D19" s="2813"/>
      <c r="E19" s="2827" t="s">
        <v>515</v>
      </c>
      <c r="F19" s="2828">
        <f t="array" ref="F19">IFERROR(VLOOKUP(E4,Dex!$B$3:$N454,10,FALSE),"")</f>
        <v>42</v>
      </c>
      <c r="G19" s="2829" t="str">
        <f t="array" ref="G19">IFERROR(VLOOKUP(F19,Dex!$P$22:$Q$276,2,FALSE),"")</f>
        <v/>
      </c>
      <c r="H19" s="2830"/>
      <c r="I19" s="2815"/>
      <c r="J19" s="2827" t="s">
        <v>515</v>
      </c>
      <c r="K19" s="2828">
        <f t="array" ref="K19">IFERROR(VLOOKUP(J4,Dex!$B$3:$N454,10,FALSE),"")</f>
        <v>83</v>
      </c>
      <c r="L19" s="2829" t="str">
        <f t="array" ref="L19">IFERROR(VLOOKUP(K19,Dex!$P$22:$Q$276,2,FALSE),"")</f>
        <v/>
      </c>
      <c r="M19" s="2830"/>
      <c r="N19" s="2816"/>
      <c r="O19" s="2827" t="s">
        <v>515</v>
      </c>
      <c r="P19" s="2828">
        <f t="array" ref="P19">IFERROR(VLOOKUP(O4,Dex!$B$3:$N454,10,FALSE),"")</f>
        <v>30</v>
      </c>
      <c r="Q19" s="2829" t="str">
        <f t="array" ref="Q19">IFERROR(VLOOKUP(P19,Dex!$P$22:$Q$276,2,FALSE),"")</f>
        <v/>
      </c>
      <c r="R19" s="2830"/>
      <c r="S19" s="2826"/>
      <c r="T19" s="2827" t="s">
        <v>515</v>
      </c>
      <c r="U19" s="2828">
        <f t="array" ref="U19">IFERROR(VLOOKUP(T4,Dex!$B$3:$N454,10,FALSE),"")</f>
        <v>70</v>
      </c>
      <c r="V19" s="2829" t="str">
        <f t="array" ref="V19">IFERROR(VLOOKUP(U19,Dex!$P$22:$Q$276,2,FALSE),"")</f>
        <v/>
      </c>
      <c r="W19" s="2830"/>
      <c r="X19" s="2819"/>
      <c r="Y19" s="2827" t="s">
        <v>515</v>
      </c>
      <c r="Z19" s="2828">
        <f t="array" ref="Z19">IFERROR(VLOOKUP(Y4,Dex!$B$3:$N454,10,FALSE),"")</f>
        <v>65</v>
      </c>
      <c r="AA19" s="2829" t="str">
        <f t="array" ref="AA19">IFERROR(VLOOKUP(Z19,Dex!$P$22:$Q$276,2,FALSE),"")</f>
        <v/>
      </c>
      <c r="AB19" s="2830"/>
      <c r="AC19" s="2819"/>
      <c r="AD19" s="2820"/>
      <c r="AE19" s="2820"/>
      <c r="AF19" s="2820"/>
      <c r="AG19" s="2820"/>
      <c r="AH19" s="2821"/>
      <c r="AI19" s="2407"/>
    </row>
    <row r="20" ht="16.5" customHeight="1">
      <c r="A20" s="2811"/>
      <c r="B20" s="2812"/>
      <c r="C20" s="2804"/>
      <c r="D20" s="2813"/>
      <c r="E20" s="2827" t="s">
        <v>516</v>
      </c>
      <c r="F20" s="2828">
        <f t="array" ref="F20">IFERROR(VLOOKUP(E4,Dex!$B$3:$N454,11,FALSE),"")</f>
        <v>105</v>
      </c>
      <c r="G20" s="2829" t="str">
        <f t="array" ref="G20">IFERROR(VLOOKUP(F20,Dex!$P$22:$Q$276,2,FALSE),"")</f>
        <v/>
      </c>
      <c r="H20" s="2830"/>
      <c r="I20" s="2815"/>
      <c r="J20" s="2827" t="s">
        <v>516</v>
      </c>
      <c r="K20" s="2828">
        <f t="array" ref="K20">IFERROR(VLOOKUP(J4,Dex!$B$3:$N454,11,FALSE),"")</f>
        <v>100</v>
      </c>
      <c r="L20" s="2829" t="str">
        <f t="array" ref="L20">IFERROR(VLOOKUP(K20,Dex!$P$22:$Q$276,2,FALSE),"")</f>
        <v/>
      </c>
      <c r="M20" s="2830"/>
      <c r="N20" s="2816"/>
      <c r="O20" s="2827" t="s">
        <v>516</v>
      </c>
      <c r="P20" s="2828">
        <f t="array" ref="P20">IFERROR(VLOOKUP(O4,Dex!$B$3:$N454,11,FALSE),"")</f>
        <v>80</v>
      </c>
      <c r="Q20" s="2829" t="str">
        <f t="array" ref="Q20">IFERROR(VLOOKUP(P20,Dex!$P$22:$Q$276,2,FALSE),"")</f>
        <v/>
      </c>
      <c r="R20" s="2830"/>
      <c r="S20" s="2826"/>
      <c r="T20" s="2827" t="s">
        <v>516</v>
      </c>
      <c r="U20" s="2828">
        <f t="array" ref="U20">IFERROR(VLOOKUP(T4,Dex!$B$3:$N454,11,FALSE),"")</f>
        <v>60</v>
      </c>
      <c r="V20" s="2829" t="str">
        <f t="array" ref="V20">IFERROR(VLOOKUP(U20,Dex!$P$22:$Q$276,2,FALSE),"")</f>
        <v/>
      </c>
      <c r="W20" s="2830"/>
      <c r="X20" s="2819"/>
      <c r="Y20" s="2827" t="s">
        <v>516</v>
      </c>
      <c r="Z20" s="2828">
        <f t="array" ref="Z20">IFERROR(VLOOKUP(Y4,Dex!$B$3:$N454,11,FALSE),"")</f>
        <v>61</v>
      </c>
      <c r="AA20" s="2829" t="str">
        <f t="array" ref="AA20">IFERROR(VLOOKUP(Z20,Dex!$P$22:$Q$276,2,FALSE),"")</f>
        <v/>
      </c>
      <c r="AB20" s="2830"/>
      <c r="AC20" s="2819"/>
      <c r="AD20" s="2820"/>
      <c r="AE20" s="2820"/>
      <c r="AF20" s="2820"/>
      <c r="AG20" s="2820"/>
      <c r="AH20" s="2821"/>
      <c r="AI20" s="2407"/>
    </row>
    <row r="21" ht="16.5" customHeight="1">
      <c r="A21" s="2811"/>
      <c r="B21" s="2812"/>
      <c r="C21" s="2804"/>
      <c r="D21" s="2813"/>
      <c r="E21" s="2827" t="s">
        <v>517</v>
      </c>
      <c r="F21" s="2828">
        <f t="array" ref="F21">IFERROR(VLOOKUP(E4,Dex!$B$3:$N454,12,FALSE),"")</f>
        <v>60</v>
      </c>
      <c r="G21" s="2829" t="str">
        <f t="array" ref="G21">IFERROR(VLOOKUP(F21,Dex!$P$22:$Q$276,2,FALSE),"")</f>
        <v/>
      </c>
      <c r="H21" s="2830"/>
      <c r="I21" s="2815"/>
      <c r="J21" s="2827" t="s">
        <v>517</v>
      </c>
      <c r="K21" s="2828">
        <f t="array" ref="K21">IFERROR(VLOOKUP(J4,Dex!$B$3:$N454,12,FALSE),"")</f>
        <v>83</v>
      </c>
      <c r="L21" s="2829" t="str">
        <f t="array" ref="L21">IFERROR(VLOOKUP(K21,Dex!$P$22:$Q$276,2,FALSE),"")</f>
        <v/>
      </c>
      <c r="M21" s="2830"/>
      <c r="N21" s="2816"/>
      <c r="O21" s="2827" t="s">
        <v>517</v>
      </c>
      <c r="P21" s="2828">
        <f t="array" ref="P21">IFERROR(VLOOKUP(O4,Dex!$B$3:$N454,12,FALSE),"")</f>
        <v>50</v>
      </c>
      <c r="Q21" s="2829" t="str">
        <f t="array" ref="Q21">IFERROR(VLOOKUP(P21,Dex!$P$22:$Q$276,2,FALSE),"")</f>
        <v/>
      </c>
      <c r="R21" s="2830"/>
      <c r="S21" s="2826"/>
      <c r="T21" s="2827" t="s">
        <v>517</v>
      </c>
      <c r="U21" s="2828">
        <f t="array" ref="U21">IFERROR(VLOOKUP(T4,Dex!$B$3:$N454,12,FALSE),"")</f>
        <v>60</v>
      </c>
      <c r="V21" s="2829" t="str">
        <f t="array" ref="V21">IFERROR(VLOOKUP(U21,Dex!$P$22:$Q$276,2,FALSE),"")</f>
        <v/>
      </c>
      <c r="W21" s="2830"/>
      <c r="X21" s="2819"/>
      <c r="Y21" s="2827" t="s">
        <v>517</v>
      </c>
      <c r="Z21" s="2828">
        <f t="array" ref="Z21">IFERROR(VLOOKUP(Y4,Dex!$B$3:$N454,12,FALSE),"")</f>
        <v>61</v>
      </c>
      <c r="AA21" s="2829" t="str">
        <f t="array" ref="AA21">IFERROR(VLOOKUP(Z21,Dex!$P$22:$Q$276,2,FALSE),"")</f>
        <v/>
      </c>
      <c r="AB21" s="2830"/>
      <c r="AC21" s="2819"/>
      <c r="AD21" s="2820"/>
      <c r="AE21" s="2820"/>
      <c r="AF21" s="2820"/>
      <c r="AG21" s="2820"/>
      <c r="AH21" s="2821"/>
      <c r="AI21" s="2407"/>
    </row>
    <row r="22" ht="15.75" customHeight="1">
      <c r="A22" s="2811"/>
      <c r="B22" s="2812"/>
      <c r="C22" s="1426" t="s">
        <v>745</v>
      </c>
      <c r="D22" s="2813"/>
      <c r="E22" s="2831" t="s">
        <v>518</v>
      </c>
      <c r="F22" s="2832">
        <f t="array" ref="F22">IFERROR(VLOOKUP(E4,Dex!$B$3:$N454,13,FALSE),"")</f>
        <v>60</v>
      </c>
      <c r="G22" s="2833" t="str">
        <f t="array" ref="G22">IFERROR(VLOOKUP(F22,Dex!$P$22:$Q$276,2,FALSE),"")</f>
        <v/>
      </c>
      <c r="H22" s="2834"/>
      <c r="I22" s="2815"/>
      <c r="J22" s="2831" t="s">
        <v>518</v>
      </c>
      <c r="K22" s="2832">
        <f t="array" ref="K22">IFERROR(VLOOKUP(J4,Dex!$B$3:$N454,13,FALSE),"")</f>
        <v>85</v>
      </c>
      <c r="L22" s="2833" t="str">
        <f t="array" ref="L22">IFERROR(VLOOKUP(K22,Dex!$P$22:$Q$276,2,FALSE),"")</f>
        <v/>
      </c>
      <c r="M22" s="2834"/>
      <c r="N22" s="2816"/>
      <c r="O22" s="2831" t="s">
        <v>518</v>
      </c>
      <c r="P22" s="2832">
        <f t="array" ref="P22">IFERROR(VLOOKUP(O4,Dex!$B$3:$N454,13,FALSE),"")</f>
        <v>65</v>
      </c>
      <c r="Q22" s="2833" t="str">
        <f t="array" ref="Q22">IFERROR(VLOOKUP(P22,Dex!$P$22:$Q$276,2,FALSE),"")</f>
        <v/>
      </c>
      <c r="R22" s="2834"/>
      <c r="S22" s="2826"/>
      <c r="T22" s="2831" t="s">
        <v>518</v>
      </c>
      <c r="U22" s="2832">
        <f t="array" ref="U22">IFERROR(VLOOKUP(T4,Dex!$B$3:$N454,13,FALSE),"")</f>
        <v>70</v>
      </c>
      <c r="V22" s="2833" t="str">
        <f t="array" ref="V22">IFERROR(VLOOKUP(U22,Dex!$P$22:$Q$276,2,FALSE),"")</f>
        <v/>
      </c>
      <c r="W22" s="2834"/>
      <c r="X22" s="2819"/>
      <c r="Y22" s="2831" t="s">
        <v>518</v>
      </c>
      <c r="Z22" s="2832">
        <f t="array" ref="Z22">IFERROR(VLOOKUP(Y4,Dex!$B$3:$N454,13,FALSE),"")</f>
        <v>115</v>
      </c>
      <c r="AA22" s="2833" t="str">
        <f t="array" ref="AA22">IFERROR(VLOOKUP(Z22,Dex!$P$22:$Q$276,2,FALSE),"")</f>
        <v/>
      </c>
      <c r="AB22" s="2834"/>
      <c r="AC22" s="2819"/>
      <c r="AD22" s="2820"/>
      <c r="AE22" s="2820"/>
      <c r="AF22" s="2820"/>
      <c r="AG22" s="2820"/>
      <c r="AH22" s="2821"/>
      <c r="AI22" s="2407"/>
    </row>
    <row r="23" ht="16.5" customHeight="1">
      <c r="A23" s="2811"/>
      <c r="B23" s="2812"/>
      <c r="C23" s="1427" t="s">
        <v>1155</v>
      </c>
      <c r="D23" s="2813"/>
      <c r="E23" s="2835" t="s">
        <v>519</v>
      </c>
      <c r="F23" s="630"/>
      <c r="G23" s="631"/>
      <c r="H23" s="632">
        <f>ROUNDDOWN((ROUNDDOWN(((((2*F22+31)*20)/100+5)),0))*1,0)</f>
        <v>35</v>
      </c>
      <c r="I23" s="2815"/>
      <c r="J23" s="2835" t="s">
        <v>519</v>
      </c>
      <c r="K23" s="630"/>
      <c r="L23" s="631"/>
      <c r="M23" s="632">
        <f>ROUNDDOWN((ROUNDDOWN(((((2*K22+31)*21)/100+5)),0))*1,0)</f>
        <v>47</v>
      </c>
      <c r="N23" s="2815"/>
      <c r="O23" s="2835" t="s">
        <v>519</v>
      </c>
      <c r="P23" s="630"/>
      <c r="Q23" s="631"/>
      <c r="R23" s="632">
        <f>ROUNDDOWN((ROUNDDOWN(((((2*P22+31)*23)/100+5)),0))*1.1,0)</f>
        <v>46</v>
      </c>
      <c r="S23" s="2836"/>
      <c r="T23" s="2835" t="s">
        <v>519</v>
      </c>
      <c r="U23" s="630"/>
      <c r="V23" s="631"/>
      <c r="W23" s="632">
        <f>ROUNDDOWN((ROUNDDOWN(((((2*U22+31)*21)/100+5)),0))*1,0)</f>
        <v>40</v>
      </c>
      <c r="X23" s="2837"/>
      <c r="Y23" s="2835" t="s">
        <v>519</v>
      </c>
      <c r="Z23" s="630"/>
      <c r="AA23" s="631"/>
      <c r="AB23" s="632">
        <f>ROUNDDOWN((ROUNDDOWN(((((2*Z22+31)*20)/100+5)),0))*1,0)</f>
        <v>57</v>
      </c>
      <c r="AC23" s="2820"/>
      <c r="AD23" s="2820"/>
      <c r="AE23" s="2820"/>
      <c r="AF23" s="2820"/>
      <c r="AG23" s="2820"/>
      <c r="AH23" s="2821"/>
      <c r="AI23" s="2407"/>
    </row>
    <row r="24" ht="15.0" customHeight="1">
      <c r="A24" s="2329"/>
      <c r="B24" s="2838"/>
      <c r="C24" s="2839"/>
      <c r="D24" s="2840"/>
      <c r="E24" s="2841"/>
      <c r="F24" s="2841"/>
      <c r="G24" s="2841"/>
      <c r="H24" s="2841"/>
      <c r="I24" s="2840"/>
      <c r="J24" s="2841"/>
      <c r="K24" s="2841"/>
      <c r="L24" s="2841"/>
      <c r="M24" s="2841"/>
      <c r="N24" s="2840"/>
      <c r="O24" s="2841"/>
      <c r="P24" s="2841"/>
      <c r="Q24" s="2841"/>
      <c r="R24" s="2841"/>
      <c r="S24" s="2840"/>
      <c r="T24" s="2842"/>
      <c r="U24" s="2842"/>
      <c r="V24" s="2842"/>
      <c r="W24" s="2840"/>
      <c r="X24" s="2840"/>
      <c r="Y24" s="2842"/>
      <c r="Z24" s="2842"/>
      <c r="AA24" s="2842"/>
      <c r="AB24" s="2840"/>
      <c r="AC24" s="2840"/>
      <c r="AD24" s="2840"/>
      <c r="AE24" s="2840"/>
      <c r="AF24" s="2840"/>
      <c r="AG24" s="2840"/>
      <c r="AH24" s="2843"/>
      <c r="AI24" s="2737"/>
    </row>
    <row r="25" ht="15.0" customHeight="1">
      <c r="A25" s="2329"/>
      <c r="B25" s="2844"/>
      <c r="C25" s="2845"/>
      <c r="D25" s="2846"/>
      <c r="E25" s="2847"/>
      <c r="F25" s="2847"/>
      <c r="G25" s="2847"/>
      <c r="H25" s="2847"/>
      <c r="I25" s="2846"/>
      <c r="J25" s="2847"/>
      <c r="K25" s="2847"/>
      <c r="L25" s="2847"/>
      <c r="M25" s="2847"/>
      <c r="N25" s="2846"/>
      <c r="O25" s="2847"/>
      <c r="P25" s="2847"/>
      <c r="Q25" s="2847"/>
      <c r="R25" s="2847"/>
      <c r="S25" s="2846"/>
      <c r="T25" s="2847"/>
      <c r="U25" s="2847"/>
      <c r="V25" s="2847"/>
      <c r="W25" s="2847"/>
      <c r="X25" s="2846"/>
      <c r="Y25" s="2846"/>
      <c r="Z25" s="2846"/>
      <c r="AA25" s="2846"/>
      <c r="AB25" s="2846"/>
      <c r="AC25" s="2846"/>
      <c r="AD25" s="2846"/>
      <c r="AE25" s="2846"/>
      <c r="AF25" s="2846"/>
      <c r="AG25" s="2846"/>
      <c r="AH25" s="2848"/>
      <c r="AI25" s="2737"/>
    </row>
    <row r="26" ht="96.75" customHeight="1">
      <c r="A26" s="2329"/>
      <c r="B26" s="2849"/>
      <c r="C26" s="2850" t="str">
        <f>IMAGE("https://i.ibb.co/kJrTDW3/Grunt.png")</f>
        <v/>
      </c>
      <c r="D26" s="2851"/>
      <c r="E26" s="2852" t="str">
        <f t="array" ref="E26">IFERROR(VLOOKUP(E27,Dex!$B$3:$G454,3,FALSE),"")</f>
        <v/>
      </c>
      <c r="F26" s="1945"/>
      <c r="G26" s="1945"/>
      <c r="H26" s="1946"/>
      <c r="I26" s="2851"/>
      <c r="J26" s="2852" t="str">
        <f t="array" ref="J26">IFERROR(VLOOKUP(J27,Dex!$B$3:$G454,3,FALSE),"")</f>
        <v/>
      </c>
      <c r="K26" s="1945"/>
      <c r="L26" s="1945"/>
      <c r="M26" s="1946"/>
      <c r="N26" s="2851"/>
      <c r="O26" s="2852" t="str">
        <f t="array" ref="O26">IFERROR(VLOOKUP(O27,Dex!$B$3:$G454,3,FALSE),"")</f>
        <v/>
      </c>
      <c r="P26" s="1945"/>
      <c r="Q26" s="1945"/>
      <c r="R26" s="1946"/>
      <c r="S26" s="2851"/>
      <c r="T26" s="2852" t="str">
        <f t="array" ref="T26">IFERROR(VLOOKUP(T27,Dex!$B$3:$G454,3,FALSE),"")</f>
        <v/>
      </c>
      <c r="U26" s="1945"/>
      <c r="V26" s="1945"/>
      <c r="W26" s="1946"/>
      <c r="X26" s="2853"/>
      <c r="Y26" s="2854"/>
      <c r="Z26" s="2855"/>
      <c r="AA26" s="2855"/>
      <c r="AB26" s="2856"/>
      <c r="AC26" s="2857"/>
      <c r="AD26" s="2854"/>
      <c r="AE26" s="2855"/>
      <c r="AF26" s="2855"/>
      <c r="AG26" s="2856"/>
      <c r="AH26" s="2858"/>
      <c r="AI26" s="2737"/>
    </row>
    <row r="27" ht="18.75" customHeight="1">
      <c r="A27" s="2354"/>
      <c r="B27" s="2859"/>
      <c r="C27" s="2860" t="s">
        <v>1156</v>
      </c>
      <c r="D27" s="2861"/>
      <c r="E27" s="2862" t="s">
        <v>1157</v>
      </c>
      <c r="F27" s="2863"/>
      <c r="G27" s="2863"/>
      <c r="H27" s="2864"/>
      <c r="I27" s="2861"/>
      <c r="J27" s="2862" t="s">
        <v>243</v>
      </c>
      <c r="K27" s="2863"/>
      <c r="L27" s="2863"/>
      <c r="M27" s="2864"/>
      <c r="N27" s="2861"/>
      <c r="O27" s="2862" t="s">
        <v>1158</v>
      </c>
      <c r="P27" s="2863"/>
      <c r="Q27" s="2863"/>
      <c r="R27" s="2864"/>
      <c r="S27" s="2861"/>
      <c r="T27" s="2862" t="s">
        <v>165</v>
      </c>
      <c r="U27" s="2863"/>
      <c r="V27" s="2863"/>
      <c r="W27" s="2864"/>
      <c r="X27" s="2865"/>
      <c r="Y27" s="2866"/>
      <c r="Z27" s="2855"/>
      <c r="AA27" s="2855"/>
      <c r="AB27" s="2856"/>
      <c r="AC27" s="2867"/>
      <c r="AD27" s="2866"/>
      <c r="AE27" s="2855"/>
      <c r="AF27" s="2855"/>
      <c r="AG27" s="2856"/>
      <c r="AH27" s="2868"/>
      <c r="AI27" s="2757"/>
    </row>
    <row r="28">
      <c r="A28" s="2758"/>
      <c r="B28" s="2869"/>
      <c r="C28" s="556"/>
      <c r="D28" s="2870"/>
      <c r="E28" s="2871" t="s">
        <v>796</v>
      </c>
      <c r="F28" s="2872"/>
      <c r="G28" s="2872"/>
      <c r="H28" s="2873"/>
      <c r="I28" s="2861"/>
      <c r="J28" s="2871" t="s">
        <v>729</v>
      </c>
      <c r="K28" s="2872"/>
      <c r="L28" s="2872"/>
      <c r="M28" s="2873"/>
      <c r="N28" s="2861"/>
      <c r="O28" s="2871" t="s">
        <v>967</v>
      </c>
      <c r="P28" s="2872"/>
      <c r="Q28" s="2872"/>
      <c r="R28" s="2873"/>
      <c r="S28" s="2861"/>
      <c r="T28" s="2871" t="s">
        <v>729</v>
      </c>
      <c r="U28" s="2872"/>
      <c r="V28" s="2872"/>
      <c r="W28" s="2873"/>
      <c r="X28" s="2865"/>
      <c r="Y28" s="2874"/>
      <c r="Z28" s="2855"/>
      <c r="AA28" s="2855"/>
      <c r="AB28" s="2856"/>
      <c r="AC28" s="2867"/>
      <c r="AD28" s="2874"/>
      <c r="AE28" s="2855"/>
      <c r="AF28" s="2855"/>
      <c r="AG28" s="2856"/>
      <c r="AH28" s="2875"/>
      <c r="AI28" s="2766"/>
    </row>
    <row r="29" ht="25.5" customHeight="1">
      <c r="A29" s="2329"/>
      <c r="B29" s="2876"/>
      <c r="C29" s="2877"/>
      <c r="D29" s="2854"/>
      <c r="E29" s="2878"/>
      <c r="F29" s="2879" t="str">
        <f t="array" ref="F29">IFERROR(VLOOKUP(E27,Dex!$B$3:$H454,5,FALSE),"")</f>
        <v/>
      </c>
      <c r="G29" s="2880"/>
      <c r="H29" s="2881"/>
      <c r="I29" s="2866"/>
      <c r="J29" s="2878"/>
      <c r="K29" s="2879" t="str">
        <f t="array" ref="K29">IFERROR(VLOOKUP(J27,Dex!$B$3:$H454,5,FALSE),"")</f>
        <v/>
      </c>
      <c r="L29" s="2880"/>
      <c r="M29" s="2881"/>
      <c r="N29" s="2866"/>
      <c r="O29" s="2878"/>
      <c r="P29" s="2882" t="str">
        <f t="array" ref="P29">IFERROR(VLOOKUP(O27,Dex!$B$3:$H454,5,FALSE),"")</f>
        <v/>
      </c>
      <c r="Q29" s="2883" t="str">
        <f t="array" ref="Q29">IFERROR(VLOOKUP(O27,Dex!$B$3:$H454,7,FALSE),"")</f>
        <v/>
      </c>
      <c r="R29" s="2881"/>
      <c r="S29" s="2866"/>
      <c r="T29" s="2878"/>
      <c r="U29" s="2879" t="str">
        <f t="array" ref="U29">IFERROR(VLOOKUP(T27,Dex!$B$3:$H454,5,FALSE),"")</f>
        <v/>
      </c>
      <c r="V29" s="2880"/>
      <c r="W29" s="2881"/>
      <c r="X29" s="2865"/>
      <c r="Y29" s="2854"/>
      <c r="Z29" s="2855"/>
      <c r="AA29" s="2855"/>
      <c r="AB29" s="2856"/>
      <c r="AC29" s="2867"/>
      <c r="AD29" s="2854"/>
      <c r="AE29" s="2855"/>
      <c r="AF29" s="2855"/>
      <c r="AG29" s="2856"/>
      <c r="AH29" s="2858"/>
      <c r="AI29" s="2737"/>
    </row>
    <row r="30" ht="2.25" customHeight="1">
      <c r="A30" s="2329"/>
      <c r="B30" s="2876"/>
      <c r="C30" s="2867"/>
      <c r="D30" s="2854"/>
      <c r="E30" s="2884"/>
      <c r="F30" s="2885"/>
      <c r="G30" s="2885"/>
      <c r="H30" s="2886"/>
      <c r="I30" s="2866"/>
      <c r="J30" s="2884"/>
      <c r="K30" s="2885"/>
      <c r="L30" s="2885"/>
      <c r="M30" s="2886"/>
      <c r="N30" s="2866"/>
      <c r="O30" s="2884"/>
      <c r="P30" s="2885"/>
      <c r="Q30" s="2885"/>
      <c r="R30" s="2886"/>
      <c r="S30" s="2866"/>
      <c r="T30" s="2884"/>
      <c r="U30" s="2885"/>
      <c r="V30" s="2885"/>
      <c r="W30" s="2886"/>
      <c r="X30" s="2865"/>
      <c r="Y30" s="2887"/>
      <c r="Z30" s="2887"/>
      <c r="AA30" s="2887"/>
      <c r="AB30" s="2887"/>
      <c r="AC30" s="2867"/>
      <c r="AD30" s="2887"/>
      <c r="AE30" s="2887"/>
      <c r="AF30" s="2887"/>
      <c r="AG30" s="2887"/>
      <c r="AH30" s="2858"/>
      <c r="AI30" s="2737"/>
    </row>
    <row r="31" ht="20.25" customHeight="1">
      <c r="A31" s="2329"/>
      <c r="B31" s="2876"/>
      <c r="C31" s="2888"/>
      <c r="D31" s="2854"/>
      <c r="E31" s="2889" t="s">
        <v>532</v>
      </c>
      <c r="F31" s="2890"/>
      <c r="G31" s="2890"/>
      <c r="H31" s="2891"/>
      <c r="I31" s="2892"/>
      <c r="J31" s="2889" t="s">
        <v>707</v>
      </c>
      <c r="K31" s="2890"/>
      <c r="L31" s="2890"/>
      <c r="M31" s="2891"/>
      <c r="N31" s="2892"/>
      <c r="O31" s="2889" t="s">
        <v>480</v>
      </c>
      <c r="P31" s="2890"/>
      <c r="Q31" s="2890"/>
      <c r="R31" s="2891"/>
      <c r="S31" s="2892"/>
      <c r="T31" s="2889" t="s">
        <v>566</v>
      </c>
      <c r="U31" s="2890"/>
      <c r="V31" s="2890"/>
      <c r="W31" s="2891"/>
      <c r="X31" s="2865"/>
      <c r="Y31" s="2854"/>
      <c r="Z31" s="2855"/>
      <c r="AA31" s="2855"/>
      <c r="AB31" s="2856"/>
      <c r="AC31" s="2867"/>
      <c r="AD31" s="2854"/>
      <c r="AE31" s="2855"/>
      <c r="AF31" s="2855"/>
      <c r="AG31" s="2856"/>
      <c r="AH31" s="2858"/>
      <c r="AI31" s="2737"/>
    </row>
    <row r="32" ht="20.25" customHeight="1">
      <c r="A32" s="2329"/>
      <c r="B32" s="2876"/>
      <c r="C32" s="2893"/>
      <c r="D32" s="2854"/>
      <c r="E32" s="2894" t="s">
        <v>60</v>
      </c>
      <c r="F32" s="2855"/>
      <c r="G32" s="2855"/>
      <c r="H32" s="2895"/>
      <c r="I32" s="2892"/>
      <c r="J32" s="2894" t="s">
        <v>1112</v>
      </c>
      <c r="K32" s="2855"/>
      <c r="L32" s="2855"/>
      <c r="M32" s="2895"/>
      <c r="N32" s="2892"/>
      <c r="O32" s="2894" t="s">
        <v>1099</v>
      </c>
      <c r="P32" s="2855"/>
      <c r="Q32" s="2855"/>
      <c r="R32" s="2895"/>
      <c r="S32" s="2892"/>
      <c r="T32" s="2894" t="s">
        <v>1159</v>
      </c>
      <c r="U32" s="2855"/>
      <c r="V32" s="2855"/>
      <c r="W32" s="2895"/>
      <c r="X32" s="2865"/>
      <c r="Y32" s="2854"/>
      <c r="Z32" s="2855"/>
      <c r="AA32" s="2855"/>
      <c r="AB32" s="2856"/>
      <c r="AC32" s="2867"/>
      <c r="AD32" s="2854"/>
      <c r="AE32" s="2855"/>
      <c r="AF32" s="2855"/>
      <c r="AG32" s="2856"/>
      <c r="AH32" s="2858"/>
      <c r="AI32" s="2737"/>
    </row>
    <row r="33" ht="20.25" customHeight="1">
      <c r="A33" s="2329"/>
      <c r="B33" s="2876"/>
      <c r="C33" s="2867"/>
      <c r="D33" s="2854"/>
      <c r="E33" s="2896" t="s">
        <v>537</v>
      </c>
      <c r="F33" s="2897"/>
      <c r="G33" s="2898"/>
      <c r="H33" s="2899" t="str">
        <f>IMAGE("https://raw.githubusercontent.com/msikma/pokesprite/master/items/berry/sitrus.png",3)</f>
        <v/>
      </c>
      <c r="I33" s="2866"/>
      <c r="J33" s="2896" t="s">
        <v>733</v>
      </c>
      <c r="K33" s="2897"/>
      <c r="L33" s="2898"/>
      <c r="M33" s="2899" t="str">
        <f>IMAGE("https://raw.githubusercontent.com/msikma/pokesprite/master/items/hold-item/leftovers.png",3)</f>
        <v/>
      </c>
      <c r="N33" s="2866"/>
      <c r="O33" s="2896" t="s">
        <v>892</v>
      </c>
      <c r="P33" s="2897"/>
      <c r="Q33" s="2898"/>
      <c r="R33" s="2899" t="str">
        <f>IMAGE("https://raw.githubusercontent.com/msikma/pokesprite/master/items/hold-item/rocky-helmet.png",3)</f>
        <v/>
      </c>
      <c r="S33" s="2866"/>
      <c r="T33" s="2896" t="s">
        <v>1160</v>
      </c>
      <c r="U33" s="2897"/>
      <c r="V33" s="2898"/>
      <c r="W33" s="2899" t="str">
        <f>IMAGE("https://raw.githubusercontent.com/msikma/pokesprite/master/items/hold-item/silk-scarf.png",3)</f>
        <v/>
      </c>
      <c r="X33" s="2865"/>
      <c r="Y33" s="2854"/>
      <c r="Z33" s="2855"/>
      <c r="AA33" s="2855"/>
      <c r="AB33" s="2856"/>
      <c r="AC33" s="2867"/>
      <c r="AD33" s="2854"/>
      <c r="AE33" s="2855"/>
      <c r="AF33" s="2855"/>
      <c r="AG33" s="2856"/>
      <c r="AH33" s="2858"/>
      <c r="AI33" s="2737"/>
    </row>
    <row r="34" ht="20.25" customHeight="1">
      <c r="A34" s="2329"/>
      <c r="B34" s="2876"/>
      <c r="C34" s="2888"/>
      <c r="D34" s="2854"/>
      <c r="E34" s="2889" t="s">
        <v>1161</v>
      </c>
      <c r="F34" s="2890"/>
      <c r="G34" s="2900"/>
      <c r="H34" s="2901" t="str">
        <f>IMAGE("https://raw.githubusercontent.com/msikma/pokesprite/master/misc/types/gen8/dragon.png",4,20,20)</f>
        <v/>
      </c>
      <c r="I34" s="2866"/>
      <c r="J34" s="2889" t="s">
        <v>503</v>
      </c>
      <c r="K34" s="2890"/>
      <c r="L34" s="2900"/>
      <c r="M34" s="2901" t="str">
        <f>IMAGE("https://raw.githubusercontent.com/msikma/pokesprite/master/misc/types/gen8/poison.png",4,20,20)</f>
        <v/>
      </c>
      <c r="N34" s="2866"/>
      <c r="O34" s="2889" t="s">
        <v>612</v>
      </c>
      <c r="P34" s="2890"/>
      <c r="Q34" s="2900"/>
      <c r="R34" s="2901" t="str">
        <f>IMAGE("https://raw.githubusercontent.com/msikma/pokesprite/master/misc/types/gen8/bug.png",4,20,20)</f>
        <v/>
      </c>
      <c r="S34" s="2866"/>
      <c r="T34" s="2889" t="s">
        <v>698</v>
      </c>
      <c r="U34" s="2890"/>
      <c r="V34" s="2900"/>
      <c r="W34" s="2901" t="str">
        <f t="shared" ref="W34:W35" si="1">IMAGE("https://raw.githubusercontent.com/msikma/pokesprite/master/misc/types/gen8/normal.png",4,20,20)</f>
        <v/>
      </c>
      <c r="X34" s="2865"/>
      <c r="Y34" s="2854"/>
      <c r="Z34" s="2855"/>
      <c r="AA34" s="2855"/>
      <c r="AB34" s="2856"/>
      <c r="AC34" s="2867"/>
      <c r="AD34" s="2854"/>
      <c r="AE34" s="2855"/>
      <c r="AF34" s="2855"/>
      <c r="AG34" s="2856"/>
      <c r="AH34" s="2858"/>
      <c r="AI34" s="2737"/>
    </row>
    <row r="35" ht="20.25" customHeight="1">
      <c r="A35" s="2329"/>
      <c r="B35" s="2876"/>
      <c r="C35" s="2902"/>
      <c r="D35" s="2854"/>
      <c r="E35" s="2894" t="s">
        <v>1162</v>
      </c>
      <c r="F35" s="2855"/>
      <c r="G35" s="2856"/>
      <c r="H35" s="2903" t="str">
        <f>IMAGE("https://raw.githubusercontent.com/msikma/pokesprite/master/misc/types/gen8/fire.png",4,20,20)</f>
        <v/>
      </c>
      <c r="I35" s="2866"/>
      <c r="J35" s="2894" t="s">
        <v>184</v>
      </c>
      <c r="K35" s="2855"/>
      <c r="L35" s="2856"/>
      <c r="M35" s="2903" t="str">
        <f>IMAGE("https://raw.githubusercontent.com/msikma/pokesprite/master/misc/types/gen8/normal.png",4,20,20)</f>
        <v/>
      </c>
      <c r="N35" s="2866"/>
      <c r="O35" s="2894" t="s">
        <v>1163</v>
      </c>
      <c r="P35" s="2855"/>
      <c r="Q35" s="2856"/>
      <c r="R35" s="2903" t="str">
        <f>IMAGE("https://raw.githubusercontent.com/msikma/pokesprite/master/misc/types/gen8/electric.png",4,20,20)</f>
        <v/>
      </c>
      <c r="S35" s="2866"/>
      <c r="T35" s="2894" t="s">
        <v>1007</v>
      </c>
      <c r="U35" s="2855"/>
      <c r="V35" s="2856"/>
      <c r="W35" s="2903" t="str">
        <f t="shared" si="1"/>
        <v/>
      </c>
      <c r="X35" s="2865"/>
      <c r="Y35" s="2854"/>
      <c r="Z35" s="2855"/>
      <c r="AA35" s="2855"/>
      <c r="AB35" s="2856"/>
      <c r="AC35" s="2867"/>
      <c r="AD35" s="2854"/>
      <c r="AE35" s="2855"/>
      <c r="AF35" s="2855"/>
      <c r="AG35" s="2856"/>
      <c r="AH35" s="2858"/>
      <c r="AI35" s="2737"/>
    </row>
    <row r="36" ht="20.25" customHeight="1">
      <c r="A36" s="2329"/>
      <c r="B36" s="2876"/>
      <c r="C36" s="2902"/>
      <c r="D36" s="2854"/>
      <c r="E36" s="2894" t="s">
        <v>1011</v>
      </c>
      <c r="F36" s="2855"/>
      <c r="G36" s="2856"/>
      <c r="H36" s="2903" t="str">
        <f>IMAGE("https://raw.githubusercontent.com/msikma/pokesprite/master/misc/types/gen8/electric.png",4,20,20)</f>
        <v/>
      </c>
      <c r="I36" s="2866"/>
      <c r="J36" s="2894" t="s">
        <v>1164</v>
      </c>
      <c r="K36" s="2855"/>
      <c r="L36" s="2856"/>
      <c r="M36" s="2903" t="str">
        <f>IMAGE("https://raw.githubusercontent.com/msikma/pokesprite/master/misc/types/gen8/dragon.png",4,20,20)</f>
        <v/>
      </c>
      <c r="N36" s="2866"/>
      <c r="O36" s="2894" t="s">
        <v>739</v>
      </c>
      <c r="P36" s="2855"/>
      <c r="Q36" s="2856"/>
      <c r="R36" s="2903" t="str">
        <f>IMAGE("https://raw.githubusercontent.com/msikma/pokesprite/master/misc/types/gen8/steel.png",4,20,20)</f>
        <v/>
      </c>
      <c r="S36" s="2866"/>
      <c r="T36" s="2894" t="s">
        <v>1165</v>
      </c>
      <c r="U36" s="2855"/>
      <c r="V36" s="2855"/>
      <c r="W36" s="2895"/>
      <c r="X36" s="2865"/>
      <c r="Y36" s="2854"/>
      <c r="Z36" s="2855"/>
      <c r="AA36" s="2855"/>
      <c r="AB36" s="2856"/>
      <c r="AC36" s="2867"/>
      <c r="AD36" s="2854"/>
      <c r="AE36" s="2855"/>
      <c r="AF36" s="2855"/>
      <c r="AG36" s="2856"/>
      <c r="AH36" s="2858"/>
      <c r="AI36" s="2737"/>
    </row>
    <row r="37" ht="21.0" customHeight="1">
      <c r="A37" s="2329"/>
      <c r="B37" s="2876"/>
      <c r="C37" s="2902"/>
      <c r="D37" s="2854"/>
      <c r="E37" s="2904" t="s">
        <v>494</v>
      </c>
      <c r="F37" s="2905"/>
      <c r="G37" s="2906"/>
      <c r="H37" s="2907" t="str">
        <f>IMAGE("https://raw.githubusercontent.com/msikma/pokesprite/master/misc/types/gen8/ground.png",4,20,20)</f>
        <v/>
      </c>
      <c r="I37" s="2866"/>
      <c r="J37" s="2904" t="s">
        <v>1166</v>
      </c>
      <c r="K37" s="2905"/>
      <c r="L37" s="2906"/>
      <c r="M37" s="2907" t="str">
        <f>IMAGE("https://raw.githubusercontent.com/msikma/pokesprite/master/misc/types/gen8/poison.png",4,20,20)</f>
        <v/>
      </c>
      <c r="N37" s="2866"/>
      <c r="O37" s="2904" t="s">
        <v>1167</v>
      </c>
      <c r="P37" s="2905"/>
      <c r="Q37" s="2906"/>
      <c r="R37" s="2907" t="str">
        <f>IMAGE("https://raw.githubusercontent.com/msikma/pokesprite/master/misc/types/gen8/electric.png",4,20,20)</f>
        <v/>
      </c>
      <c r="S37" s="2866"/>
      <c r="T37" s="2904" t="s">
        <v>1165</v>
      </c>
      <c r="U37" s="2905"/>
      <c r="V37" s="2905"/>
      <c r="W37" s="2908"/>
      <c r="X37" s="2909"/>
      <c r="Y37" s="2854"/>
      <c r="Z37" s="2855"/>
      <c r="AA37" s="2855"/>
      <c r="AB37" s="2856"/>
      <c r="AC37" s="2888"/>
      <c r="AD37" s="2854"/>
      <c r="AE37" s="2855"/>
      <c r="AF37" s="2855"/>
      <c r="AG37" s="2856"/>
      <c r="AH37" s="2858"/>
      <c r="AI37" s="2737"/>
    </row>
    <row r="38" ht="3.0" customHeight="1">
      <c r="A38" s="2802"/>
      <c r="B38" s="2910"/>
      <c r="C38" s="2911"/>
      <c r="D38" s="2912"/>
      <c r="E38" s="2913"/>
      <c r="F38" s="2913"/>
      <c r="G38" s="2913"/>
      <c r="H38" s="2913"/>
      <c r="I38" s="2912"/>
      <c r="J38" s="2913"/>
      <c r="K38" s="2913"/>
      <c r="L38" s="2913"/>
      <c r="M38" s="2913"/>
      <c r="N38" s="2912"/>
      <c r="O38" s="2913"/>
      <c r="P38" s="2913"/>
      <c r="Q38" s="2913"/>
      <c r="R38" s="2913"/>
      <c r="S38" s="2912"/>
      <c r="T38" s="2913"/>
      <c r="U38" s="2913"/>
      <c r="V38" s="2913"/>
      <c r="W38" s="2914"/>
      <c r="X38" s="2912"/>
      <c r="Y38" s="2912"/>
      <c r="Z38" s="2915"/>
      <c r="AA38" s="2915"/>
      <c r="AB38" s="2916"/>
      <c r="AC38" s="2916"/>
      <c r="AD38" s="2916"/>
      <c r="AE38" s="2916"/>
      <c r="AF38" s="2916"/>
      <c r="AG38" s="2916"/>
      <c r="AH38" s="2917"/>
      <c r="AI38" s="2810"/>
    </row>
    <row r="39" ht="16.5" customHeight="1">
      <c r="A39" s="2811"/>
      <c r="B39" s="2918"/>
      <c r="C39" s="2911"/>
      <c r="D39" s="2919"/>
      <c r="E39" s="2920" t="s">
        <v>512</v>
      </c>
      <c r="F39" s="606"/>
      <c r="G39" s="606"/>
      <c r="H39" s="607"/>
      <c r="I39" s="2921"/>
      <c r="J39" s="2920" t="s">
        <v>512</v>
      </c>
      <c r="K39" s="606"/>
      <c r="L39" s="606"/>
      <c r="M39" s="607"/>
      <c r="N39" s="2921"/>
      <c r="O39" s="2920" t="s">
        <v>512</v>
      </c>
      <c r="P39" s="606"/>
      <c r="Q39" s="606"/>
      <c r="R39" s="607"/>
      <c r="S39" s="2921"/>
      <c r="T39" s="2920" t="s">
        <v>512</v>
      </c>
      <c r="U39" s="606"/>
      <c r="V39" s="606"/>
      <c r="W39" s="607"/>
      <c r="X39" s="2922"/>
      <c r="Y39" s="2923"/>
      <c r="Z39" s="2924"/>
      <c r="AA39" s="2924"/>
      <c r="AB39" s="2923"/>
      <c r="AC39" s="2923"/>
      <c r="AD39" s="2923"/>
      <c r="AE39" s="2923"/>
      <c r="AF39" s="2923"/>
      <c r="AG39" s="2923"/>
      <c r="AH39" s="2925"/>
      <c r="AI39" s="2407"/>
    </row>
    <row r="40" ht="16.5" customHeight="1">
      <c r="A40" s="2811"/>
      <c r="B40" s="2918"/>
      <c r="C40" s="2911"/>
      <c r="D40" s="2919"/>
      <c r="E40" s="2926" t="s">
        <v>513</v>
      </c>
      <c r="F40" s="2927">
        <f t="array" ref="F40">IFERROR(VLOOKUP(E27,Dex!$B$3:$N454,8,FALSE),"")</f>
        <v>90</v>
      </c>
      <c r="G40" s="2928" t="str">
        <f t="array" ref="G40">IFERROR(VLOOKUP(F40,Dex!$P$22:$Q$276,2,FALSE),"")</f>
        <v/>
      </c>
      <c r="H40" s="2929"/>
      <c r="I40" s="2921"/>
      <c r="J40" s="2926" t="s">
        <v>513</v>
      </c>
      <c r="K40" s="2927">
        <f t="array" ref="K40">IFERROR(VLOOKUP(J27,Dex!$B$3:$N454,8,FALSE),"")</f>
        <v>90</v>
      </c>
      <c r="L40" s="2928" t="str">
        <f t="array" ref="L40">IFERROR(VLOOKUP(K40,Dex!$P$22:$Q$276,2,FALSE),"")</f>
        <v/>
      </c>
      <c r="M40" s="2929"/>
      <c r="N40" s="2921"/>
      <c r="O40" s="2926" t="s">
        <v>513</v>
      </c>
      <c r="P40" s="2927">
        <f t="array" ref="P40">IFERROR(VLOOKUP(O27,Dex!$B$3:$N454,8,FALSE),"")</f>
        <v>65</v>
      </c>
      <c r="Q40" s="2928" t="str">
        <f t="array" ref="Q40">IFERROR(VLOOKUP(P40,Dex!$P$22:$Q$276,2,FALSE),"")</f>
        <v/>
      </c>
      <c r="R40" s="2929"/>
      <c r="S40" s="2921"/>
      <c r="T40" s="2926" t="s">
        <v>513</v>
      </c>
      <c r="U40" s="2927">
        <f t="array" ref="U40">IFERROR(VLOOKUP(T27,Dex!$B$3:$N454,8,FALSE),"")</f>
        <v>75</v>
      </c>
      <c r="V40" s="2928" t="str">
        <f t="array" ref="V40">IFERROR(VLOOKUP(U40,Dex!$P$22:$Q$276,2,FALSE),"")</f>
        <v/>
      </c>
      <c r="W40" s="2929"/>
      <c r="X40" s="2922"/>
      <c r="Y40" s="2923"/>
      <c r="Z40" s="2924"/>
      <c r="AA40" s="2924"/>
      <c r="AB40" s="2923"/>
      <c r="AC40" s="2923"/>
      <c r="AD40" s="2923"/>
      <c r="AE40" s="2923"/>
      <c r="AF40" s="2923"/>
      <c r="AG40" s="2923"/>
      <c r="AH40" s="2925"/>
      <c r="AI40" s="2407"/>
    </row>
    <row r="41" ht="16.5" customHeight="1">
      <c r="A41" s="2811"/>
      <c r="B41" s="2918"/>
      <c r="C41" s="2911"/>
      <c r="D41" s="2919"/>
      <c r="E41" s="2930" t="s">
        <v>514</v>
      </c>
      <c r="F41" s="2931">
        <f t="array" ref="F41">IFERROR(VLOOKUP(E27,Dex!$B$3:$N454,9,FALSE),"")</f>
        <v>110</v>
      </c>
      <c r="G41" s="2932" t="str">
        <f t="array" ref="G41">IFERROR(VLOOKUP(F41,Dex!$P$22:$Q$276,2,FALSE),"")</f>
        <v/>
      </c>
      <c r="H41" s="2933"/>
      <c r="I41" s="2921"/>
      <c r="J41" s="2930" t="s">
        <v>514</v>
      </c>
      <c r="K41" s="2931">
        <f t="array" ref="K41">IFERROR(VLOOKUP(J27,Dex!$B$3:$N454,9,FALSE),"")</f>
        <v>120</v>
      </c>
      <c r="L41" s="2932" t="str">
        <f t="array" ref="L41">IFERROR(VLOOKUP(K41,Dex!$P$22:$Q$276,2,FALSE),"")</f>
        <v/>
      </c>
      <c r="M41" s="2933"/>
      <c r="N41" s="2921"/>
      <c r="O41" s="2930" t="s">
        <v>514</v>
      </c>
      <c r="P41" s="2931">
        <f t="array" ref="P41">IFERROR(VLOOKUP(O27,Dex!$B$3:$N454,9,FALSE),"")</f>
        <v>108</v>
      </c>
      <c r="Q41" s="2932" t="str">
        <f t="array" ref="Q41">IFERROR(VLOOKUP(P41,Dex!$P$22:$Q$276,2,FALSE),"")</f>
        <v/>
      </c>
      <c r="R41" s="2933"/>
      <c r="S41" s="2921"/>
      <c r="T41" s="2930" t="s">
        <v>514</v>
      </c>
      <c r="U41" s="2931">
        <f t="array" ref="U41">IFERROR(VLOOKUP(T27,Dex!$B$3:$N454,9,FALSE),"")</f>
        <v>115</v>
      </c>
      <c r="V41" s="2932" t="str">
        <f t="array" ref="V41">IFERROR(VLOOKUP(U41,Dex!$P$22:$Q$276,2,FALSE),"")</f>
        <v/>
      </c>
      <c r="W41" s="2933"/>
      <c r="X41" s="2922"/>
      <c r="Y41" s="2923"/>
      <c r="Z41" s="2924"/>
      <c r="AA41" s="2924"/>
      <c r="AB41" s="2923"/>
      <c r="AC41" s="2923"/>
      <c r="AD41" s="2923"/>
      <c r="AE41" s="2923"/>
      <c r="AF41" s="2923"/>
      <c r="AG41" s="2923"/>
      <c r="AH41" s="2925"/>
      <c r="AI41" s="2407"/>
    </row>
    <row r="42" ht="16.5" customHeight="1">
      <c r="A42" s="2811"/>
      <c r="B42" s="2918"/>
      <c r="C42" s="2911"/>
      <c r="D42" s="2919"/>
      <c r="E42" s="2930" t="s">
        <v>515</v>
      </c>
      <c r="F42" s="2931">
        <f t="array" ref="F42">IFERROR(VLOOKUP(E27,Dex!$B$3:$N454,10,FALSE),"")</f>
        <v>80</v>
      </c>
      <c r="G42" s="2932" t="str">
        <f t="array" ref="G42">IFERROR(VLOOKUP(F42,Dex!$P$22:$Q$276,2,FALSE),"")</f>
        <v/>
      </c>
      <c r="H42" s="2933"/>
      <c r="I42" s="2921"/>
      <c r="J42" s="2930" t="s">
        <v>515</v>
      </c>
      <c r="K42" s="2931">
        <f t="array" ref="K42">IFERROR(VLOOKUP(J27,Dex!$B$3:$N454,10,FALSE),"")</f>
        <v>90</v>
      </c>
      <c r="L42" s="2932" t="str">
        <f t="array" ref="L42">IFERROR(VLOOKUP(K42,Dex!$P$22:$Q$276,2,FALSE),"")</f>
        <v/>
      </c>
      <c r="M42" s="2933"/>
      <c r="N42" s="2921"/>
      <c r="O42" s="2930" t="s">
        <v>515</v>
      </c>
      <c r="P42" s="2931">
        <f t="array" ref="P42">IFERROR(VLOOKUP(O27,Dex!$B$3:$N454,10,FALSE),"")</f>
        <v>63</v>
      </c>
      <c r="Q42" s="2932" t="str">
        <f t="array" ref="Q42">IFERROR(VLOOKUP(P42,Dex!$P$22:$Q$276,2,FALSE),"")</f>
        <v/>
      </c>
      <c r="R42" s="2933"/>
      <c r="S42" s="2921"/>
      <c r="T42" s="2930" t="s">
        <v>515</v>
      </c>
      <c r="U42" s="2931">
        <f t="array" ref="U42">IFERROR(VLOOKUP(T27,Dex!$B$3:$N454,10,FALSE),"")</f>
        <v>65</v>
      </c>
      <c r="V42" s="2932" t="str">
        <f t="array" ref="V42">IFERROR(VLOOKUP(U42,Dex!$P$22:$Q$276,2,FALSE),"")</f>
        <v/>
      </c>
      <c r="W42" s="2933"/>
      <c r="X42" s="2922"/>
      <c r="Y42" s="2923"/>
      <c r="Z42" s="2924"/>
      <c r="AA42" s="2924"/>
      <c r="AB42" s="2923"/>
      <c r="AC42" s="2923"/>
      <c r="AD42" s="2923"/>
      <c r="AE42" s="2923"/>
      <c r="AF42" s="2923"/>
      <c r="AG42" s="2923"/>
      <c r="AH42" s="2925"/>
      <c r="AI42" s="2407"/>
    </row>
    <row r="43" ht="16.5" customHeight="1">
      <c r="A43" s="2811"/>
      <c r="B43" s="2918"/>
      <c r="C43" s="2911"/>
      <c r="D43" s="2919"/>
      <c r="E43" s="2930" t="s">
        <v>516</v>
      </c>
      <c r="F43" s="2931">
        <f t="array" ref="F43">IFERROR(VLOOKUP(E27,Dex!$B$3:$N454,11,FALSE),"")</f>
        <v>100</v>
      </c>
      <c r="G43" s="2932" t="str">
        <f t="array" ref="G43">IFERROR(VLOOKUP(F43,Dex!$P$22:$Q$276,2,FALSE),"")</f>
        <v/>
      </c>
      <c r="H43" s="2933"/>
      <c r="I43" s="2921"/>
      <c r="J43" s="2930" t="s">
        <v>516</v>
      </c>
      <c r="K43" s="2931">
        <f t="array" ref="K43">IFERROR(VLOOKUP(J27,Dex!$B$3:$N454,11,FALSE),"")</f>
        <v>60</v>
      </c>
      <c r="L43" s="2932" t="str">
        <f t="array" ref="L43">IFERROR(VLOOKUP(K43,Dex!$P$22:$Q$276,2,FALSE),"")</f>
        <v/>
      </c>
      <c r="M43" s="2933"/>
      <c r="N43" s="2921"/>
      <c r="O43" s="2930" t="s">
        <v>516</v>
      </c>
      <c r="P43" s="2931">
        <f t="array" ref="P43">IFERROR(VLOOKUP(O27,Dex!$B$3:$N454,11,FALSE),"")</f>
        <v>40</v>
      </c>
      <c r="Q43" s="2932" t="str">
        <f t="array" ref="Q43">IFERROR(VLOOKUP(P43,Dex!$P$22:$Q$276,2,FALSE),"")</f>
        <v/>
      </c>
      <c r="R43" s="2933"/>
      <c r="S43" s="2921"/>
      <c r="T43" s="2930" t="s">
        <v>516</v>
      </c>
      <c r="U43" s="2931">
        <f t="array" ref="U43">IFERROR(VLOOKUP(T27,Dex!$B$3:$N454,11,FALSE),"")</f>
        <v>75</v>
      </c>
      <c r="V43" s="2932" t="str">
        <f t="array" ref="V43">IFERROR(VLOOKUP(U43,Dex!$P$22:$Q$276,2,FALSE),"")</f>
        <v/>
      </c>
      <c r="W43" s="2933"/>
      <c r="X43" s="2922"/>
      <c r="Y43" s="2923"/>
      <c r="Z43" s="2924"/>
      <c r="AA43" s="2924"/>
      <c r="AB43" s="2923"/>
      <c r="AC43" s="2923"/>
      <c r="AD43" s="2923"/>
      <c r="AE43" s="2923"/>
      <c r="AF43" s="2923"/>
      <c r="AG43" s="2923"/>
      <c r="AH43" s="2925"/>
      <c r="AI43" s="2407"/>
    </row>
    <row r="44" ht="16.5" customHeight="1">
      <c r="A44" s="2811"/>
      <c r="B44" s="2918"/>
      <c r="C44" s="2911"/>
      <c r="D44" s="2919"/>
      <c r="E44" s="2930" t="s">
        <v>517</v>
      </c>
      <c r="F44" s="2931">
        <f t="array" ref="F44">IFERROR(VLOOKUP(E27,Dex!$B$3:$N454,12,FALSE),"")</f>
        <v>80</v>
      </c>
      <c r="G44" s="2932" t="str">
        <f t="array" ref="G44">IFERROR(VLOOKUP(F44,Dex!$P$22:$Q$276,2,FALSE),"")</f>
        <v/>
      </c>
      <c r="H44" s="2933"/>
      <c r="I44" s="2921"/>
      <c r="J44" s="2930" t="s">
        <v>517</v>
      </c>
      <c r="K44" s="2931">
        <f t="array" ref="K44">IFERROR(VLOOKUP(J27,Dex!$B$3:$N454,12,FALSE),"")</f>
        <v>90</v>
      </c>
      <c r="L44" s="2932" t="str">
        <f t="array" ref="L44">IFERROR(VLOOKUP(K44,Dex!$P$22:$Q$276,2,FALSE),"")</f>
        <v/>
      </c>
      <c r="M44" s="2933"/>
      <c r="N44" s="2921"/>
      <c r="O44" s="2930" t="s">
        <v>517</v>
      </c>
      <c r="P44" s="2931">
        <f t="array" ref="P44">IFERROR(VLOOKUP(O27,Dex!$B$3:$N454,12,FALSE),"")</f>
        <v>73</v>
      </c>
      <c r="Q44" s="2932" t="str">
        <f t="array" ref="Q44">IFERROR(VLOOKUP(P44,Dex!$P$22:$Q$276,2,FALSE),"")</f>
        <v/>
      </c>
      <c r="R44" s="2933"/>
      <c r="S44" s="2921"/>
      <c r="T44" s="2930" t="s">
        <v>517</v>
      </c>
      <c r="U44" s="2931">
        <f t="array" ref="U44">IFERROR(VLOOKUP(T27,Dex!$B$3:$N454,12,FALSE),"")</f>
        <v>95</v>
      </c>
      <c r="V44" s="2932" t="str">
        <f t="array" ref="V44">IFERROR(VLOOKUP(U44,Dex!$P$22:$Q$276,2,FALSE),"")</f>
        <v/>
      </c>
      <c r="W44" s="2933"/>
      <c r="X44" s="2922"/>
      <c r="Y44" s="2923"/>
      <c r="Z44" s="2924"/>
      <c r="AA44" s="2924"/>
      <c r="AB44" s="2923"/>
      <c r="AC44" s="2923"/>
      <c r="AD44" s="2923"/>
      <c r="AE44" s="2923"/>
      <c r="AF44" s="2923"/>
      <c r="AG44" s="2923"/>
      <c r="AH44" s="2925"/>
      <c r="AI44" s="2407"/>
    </row>
    <row r="45" ht="15.75" customHeight="1">
      <c r="A45" s="2811"/>
      <c r="B45" s="2918"/>
      <c r="C45" s="1426" t="s">
        <v>745</v>
      </c>
      <c r="D45" s="2919"/>
      <c r="E45" s="2934" t="s">
        <v>518</v>
      </c>
      <c r="F45" s="2935">
        <f t="array" ref="F45">IFERROR(VLOOKUP(E27,Dex!$B$3:$N454,13,FALSE),"")</f>
        <v>95</v>
      </c>
      <c r="G45" s="2936" t="str">
        <f t="array" ref="G45">IFERROR(VLOOKUP(F45,Dex!$P$22:$Q$276,2,FALSE),"")</f>
        <v/>
      </c>
      <c r="H45" s="2937"/>
      <c r="I45" s="2921"/>
      <c r="J45" s="2934" t="s">
        <v>518</v>
      </c>
      <c r="K45" s="2935">
        <f t="array" ref="K45">IFERROR(VLOOKUP(J27,Dex!$B$3:$N454,13,FALSE),"")</f>
        <v>41</v>
      </c>
      <c r="L45" s="2936" t="str">
        <f t="array" ref="L45">IFERROR(VLOOKUP(K45,Dex!$P$22:$Q$276,2,FALSE),"")</f>
        <v/>
      </c>
      <c r="M45" s="2937"/>
      <c r="N45" s="2921"/>
      <c r="O45" s="2934" t="s">
        <v>518</v>
      </c>
      <c r="P45" s="2935">
        <f t="array" ref="P45">IFERROR(VLOOKUP(O27,Dex!$B$3:$N454,13,FALSE),"")</f>
        <v>96</v>
      </c>
      <c r="Q45" s="2936" t="str">
        <f t="array" ref="Q45">IFERROR(VLOOKUP(P45,Dex!$P$22:$Q$276,2,FALSE),"")</f>
        <v/>
      </c>
      <c r="R45" s="2937"/>
      <c r="S45" s="2921"/>
      <c r="T45" s="2934" t="s">
        <v>518</v>
      </c>
      <c r="U45" s="2935">
        <f t="array" ref="U45">IFERROR(VLOOKUP(T27,Dex!$B$3:$N454,13,FALSE),"")</f>
        <v>65</v>
      </c>
      <c r="V45" s="2936" t="str">
        <f t="array" ref="V45">IFERROR(VLOOKUP(U45,Dex!$P$22:$Q$276,2,FALSE),"")</f>
        <v/>
      </c>
      <c r="W45" s="2937"/>
      <c r="X45" s="2922"/>
      <c r="Y45" s="2923"/>
      <c r="Z45" s="2924"/>
      <c r="AA45" s="2924"/>
      <c r="AB45" s="2923"/>
      <c r="AC45" s="2923"/>
      <c r="AD45" s="2923"/>
      <c r="AE45" s="2923"/>
      <c r="AF45" s="2923"/>
      <c r="AG45" s="2923"/>
      <c r="AH45" s="2925"/>
      <c r="AI45" s="2407"/>
    </row>
    <row r="46" ht="16.5" customHeight="1">
      <c r="A46" s="2811"/>
      <c r="B46" s="2918"/>
      <c r="C46" s="1427" t="s">
        <v>836</v>
      </c>
      <c r="D46" s="2919"/>
      <c r="E46" s="2938" t="s">
        <v>519</v>
      </c>
      <c r="F46" s="630"/>
      <c r="G46" s="631"/>
      <c r="H46" s="632">
        <f>ROUNDDOWN((ROUNDDOWN(((((2*F45+31)*26)/100+5)),0))*1.1,0)</f>
        <v>68</v>
      </c>
      <c r="I46" s="2921"/>
      <c r="J46" s="2938" t="s">
        <v>519</v>
      </c>
      <c r="K46" s="630"/>
      <c r="L46" s="631"/>
      <c r="M46" s="632">
        <f>ROUNDDOWN((ROUNDDOWN(((((2*K45+31)*28)/100+5)),0))*1,0)</f>
        <v>36</v>
      </c>
      <c r="N46" s="2921"/>
      <c r="O46" s="2938" t="s">
        <v>519</v>
      </c>
      <c r="P46" s="630"/>
      <c r="Q46" s="631"/>
      <c r="R46" s="632">
        <f>ROUNDDOWN((ROUNDDOWN(((((2*P45+31)*27)/100+5)),0))*1,0)</f>
        <v>65</v>
      </c>
      <c r="S46" s="2921"/>
      <c r="T46" s="2938" t="s">
        <v>519</v>
      </c>
      <c r="U46" s="630"/>
      <c r="V46" s="631"/>
      <c r="W46" s="632">
        <f>ROUNDDOWN((ROUNDDOWN(((((2*U45+31)*28)/100+5)),0))*1,0)</f>
        <v>50</v>
      </c>
      <c r="X46" s="2922"/>
      <c r="Y46" s="2923"/>
      <c r="Z46" s="2924"/>
      <c r="AA46" s="2924"/>
      <c r="AB46" s="2923"/>
      <c r="AC46" s="2923"/>
      <c r="AD46" s="2923"/>
      <c r="AE46" s="2923"/>
      <c r="AF46" s="2923"/>
      <c r="AG46" s="2923"/>
      <c r="AH46" s="2925"/>
      <c r="AI46" s="2407"/>
    </row>
    <row r="47" ht="15.0" customHeight="1">
      <c r="A47" s="2329"/>
      <c r="B47" s="2939"/>
      <c r="C47" s="2940"/>
      <c r="D47" s="2941"/>
      <c r="E47" s="2942"/>
      <c r="F47" s="2942"/>
      <c r="G47" s="2942"/>
      <c r="H47" s="2942"/>
      <c r="I47" s="2941"/>
      <c r="J47" s="2942"/>
      <c r="K47" s="2942"/>
      <c r="L47" s="2942"/>
      <c r="M47" s="2942"/>
      <c r="N47" s="2941"/>
      <c r="O47" s="2942"/>
      <c r="P47" s="2942"/>
      <c r="Q47" s="2942"/>
      <c r="R47" s="2942"/>
      <c r="S47" s="2941"/>
      <c r="T47" s="2942"/>
      <c r="U47" s="2942"/>
      <c r="V47" s="2942"/>
      <c r="W47" s="2942"/>
      <c r="X47" s="2941"/>
      <c r="Y47" s="2941"/>
      <c r="Z47" s="2941"/>
      <c r="AA47" s="2941"/>
      <c r="AB47" s="2941"/>
      <c r="AC47" s="2941"/>
      <c r="AD47" s="2941"/>
      <c r="AE47" s="2941"/>
      <c r="AF47" s="2941"/>
      <c r="AG47" s="2941"/>
      <c r="AH47" s="2943"/>
      <c r="AI47" s="2737"/>
    </row>
    <row r="48" ht="15.0" customHeight="1">
      <c r="A48" s="2329"/>
      <c r="B48" s="2844"/>
      <c r="C48" s="2845"/>
      <c r="D48" s="2846"/>
      <c r="E48" s="2847"/>
      <c r="F48" s="2847"/>
      <c r="G48" s="2847"/>
      <c r="H48" s="2847"/>
      <c r="I48" s="2846"/>
      <c r="J48" s="2847"/>
      <c r="K48" s="2847"/>
      <c r="L48" s="2847"/>
      <c r="M48" s="2847"/>
      <c r="N48" s="2846"/>
      <c r="O48" s="2847"/>
      <c r="P48" s="2847"/>
      <c r="Q48" s="2847"/>
      <c r="R48" s="2847"/>
      <c r="S48" s="2846"/>
      <c r="T48" s="2847"/>
      <c r="U48" s="2847"/>
      <c r="V48" s="2847"/>
      <c r="W48" s="2847"/>
      <c r="X48" s="2846"/>
      <c r="Y48" s="2846"/>
      <c r="Z48" s="2846"/>
      <c r="AA48" s="2846"/>
      <c r="AB48" s="2846"/>
      <c r="AC48" s="2846"/>
      <c r="AD48" s="2846"/>
      <c r="AE48" s="2846"/>
      <c r="AF48" s="2846"/>
      <c r="AG48" s="2846"/>
      <c r="AH48" s="2848"/>
      <c r="AI48" s="2737"/>
    </row>
    <row r="49" ht="96.75" customHeight="1">
      <c r="A49" s="2329"/>
      <c r="B49" s="2849"/>
      <c r="C49" s="2850" t="str">
        <f>IMAGE("https://i.ibb.co/kJrTDW3/Grunt.png")</f>
        <v/>
      </c>
      <c r="D49" s="2851"/>
      <c r="E49" s="2852" t="str">
        <f t="array" ref="E49">IFERROR(VLOOKUP(E50,Dex!$B$3:$G454,3,FALSE),"")</f>
        <v/>
      </c>
      <c r="F49" s="1945"/>
      <c r="G49" s="1945"/>
      <c r="H49" s="1946"/>
      <c r="I49" s="2944"/>
      <c r="J49" s="2852" t="str">
        <f t="array" ref="J49">IFERROR(VLOOKUP(J50,Dex!$B$3:$G454,3,FALSE),"")</f>
        <v/>
      </c>
      <c r="K49" s="1945"/>
      <c r="L49" s="1945"/>
      <c r="M49" s="1946"/>
      <c r="N49" s="2944"/>
      <c r="O49" s="2852" t="str">
        <f t="array" ref="O49">IFERROR(VLOOKUP(O50,Dex!$B$3:$G454,3,FALSE),"")</f>
        <v/>
      </c>
      <c r="P49" s="1945"/>
      <c r="Q49" s="1945"/>
      <c r="R49" s="1946"/>
      <c r="S49" s="2944"/>
      <c r="T49" s="2852" t="str">
        <f t="array" ref="T49">IFERROR(VLOOKUP(T50,Dex!$B$3:$G454,3,FALSE),"")</f>
        <v/>
      </c>
      <c r="U49" s="1945"/>
      <c r="V49" s="1945"/>
      <c r="W49" s="1946"/>
      <c r="X49" s="2853"/>
      <c r="Y49" s="2854"/>
      <c r="Z49" s="2855"/>
      <c r="AA49" s="2855"/>
      <c r="AB49" s="2856"/>
      <c r="AC49" s="2857"/>
      <c r="AD49" s="2854"/>
      <c r="AE49" s="2855"/>
      <c r="AF49" s="2855"/>
      <c r="AG49" s="2856"/>
      <c r="AH49" s="2858"/>
      <c r="AI49" s="2737"/>
    </row>
    <row r="50" ht="18.75" customHeight="1">
      <c r="A50" s="2354"/>
      <c r="B50" s="2859"/>
      <c r="C50" s="2860" t="s">
        <v>1168</v>
      </c>
      <c r="D50" s="2861"/>
      <c r="E50" s="2862" t="s">
        <v>240</v>
      </c>
      <c r="F50" s="2863"/>
      <c r="G50" s="2863"/>
      <c r="H50" s="2864"/>
      <c r="I50" s="2861"/>
      <c r="J50" s="2862" t="s">
        <v>1169</v>
      </c>
      <c r="K50" s="2863"/>
      <c r="L50" s="2863"/>
      <c r="M50" s="2864"/>
      <c r="N50" s="2861"/>
      <c r="O50" s="2862" t="s">
        <v>149</v>
      </c>
      <c r="P50" s="2863"/>
      <c r="Q50" s="2863"/>
      <c r="R50" s="2864"/>
      <c r="S50" s="2861"/>
      <c r="T50" s="2862" t="s">
        <v>1170</v>
      </c>
      <c r="U50" s="2863"/>
      <c r="V50" s="2863"/>
      <c r="W50" s="2864"/>
      <c r="X50" s="2865"/>
      <c r="Y50" s="2866"/>
      <c r="Z50" s="2855"/>
      <c r="AA50" s="2855"/>
      <c r="AB50" s="2856"/>
      <c r="AC50" s="2867"/>
      <c r="AD50" s="2866"/>
      <c r="AE50" s="2855"/>
      <c r="AF50" s="2855"/>
      <c r="AG50" s="2856"/>
      <c r="AH50" s="2868"/>
      <c r="AI50" s="2757"/>
    </row>
    <row r="51">
      <c r="A51" s="2758"/>
      <c r="B51" s="2869"/>
      <c r="C51" s="556"/>
      <c r="D51" s="2870"/>
      <c r="E51" s="2871" t="s">
        <v>796</v>
      </c>
      <c r="F51" s="2872"/>
      <c r="G51" s="2872"/>
      <c r="H51" s="2873"/>
      <c r="I51" s="2861"/>
      <c r="J51" s="2871" t="s">
        <v>796</v>
      </c>
      <c r="K51" s="2872"/>
      <c r="L51" s="2872"/>
      <c r="M51" s="2873"/>
      <c r="N51" s="2861"/>
      <c r="O51" s="2871" t="s">
        <v>967</v>
      </c>
      <c r="P51" s="2872"/>
      <c r="Q51" s="2872"/>
      <c r="R51" s="2873"/>
      <c r="S51" s="2861"/>
      <c r="T51" s="2871" t="s">
        <v>797</v>
      </c>
      <c r="U51" s="2872"/>
      <c r="V51" s="2872"/>
      <c r="W51" s="2873"/>
      <c r="X51" s="2865"/>
      <c r="Y51" s="2874"/>
      <c r="Z51" s="2855"/>
      <c r="AA51" s="2855"/>
      <c r="AB51" s="2856"/>
      <c r="AC51" s="2867"/>
      <c r="AD51" s="2874"/>
      <c r="AE51" s="2855"/>
      <c r="AF51" s="2855"/>
      <c r="AG51" s="2856"/>
      <c r="AH51" s="2875"/>
      <c r="AI51" s="2766"/>
    </row>
    <row r="52" ht="25.5" customHeight="1">
      <c r="A52" s="2329"/>
      <c r="B52" s="2876"/>
      <c r="C52" s="2877"/>
      <c r="D52" s="2854"/>
      <c r="E52" s="2878"/>
      <c r="F52" s="2879" t="str">
        <f t="array" ref="F52">IFERROR(VLOOKUP(E50,Dex!$B$3:$H454,5,FALSE),"")</f>
        <v/>
      </c>
      <c r="G52" s="2880"/>
      <c r="H52" s="2881"/>
      <c r="I52" s="2866"/>
      <c r="J52" s="2878"/>
      <c r="K52" s="2882" t="str">
        <f t="array" ref="K52">IFERROR(VLOOKUP(J50,Dex!$B$3:$H454,5,FALSE),"")</f>
        <v/>
      </c>
      <c r="L52" s="2883" t="str">
        <f t="array" ref="L52">IFERROR(VLOOKUP(J50,Dex!$B$3:$H454,7,FALSE),"")</f>
        <v/>
      </c>
      <c r="M52" s="2881"/>
      <c r="N52" s="2866"/>
      <c r="O52" s="2878"/>
      <c r="P52" s="2879" t="str">
        <f t="array" ref="P52">IFERROR(VLOOKUP(O50,Dex!$B$3:$H454,5,FALSE),"")</f>
        <v/>
      </c>
      <c r="Q52" s="2880"/>
      <c r="R52" s="2881"/>
      <c r="S52" s="2866"/>
      <c r="T52" s="2878"/>
      <c r="U52" s="2882" t="str">
        <f t="array" ref="U52">IFERROR(VLOOKUP(T50,Dex!$B$3:$H454,5,FALSE),"")</f>
        <v/>
      </c>
      <c r="V52" s="2883" t="str">
        <f t="array" ref="V52">IFERROR(VLOOKUP(T50,Dex!$B$3:$H454,7,FALSE),"")</f>
        <v/>
      </c>
      <c r="W52" s="2881"/>
      <c r="X52" s="2865"/>
      <c r="Y52" s="2854"/>
      <c r="Z52" s="2855"/>
      <c r="AA52" s="2855"/>
      <c r="AB52" s="2856"/>
      <c r="AC52" s="2867"/>
      <c r="AD52" s="2854"/>
      <c r="AE52" s="2855"/>
      <c r="AF52" s="2855"/>
      <c r="AG52" s="2856"/>
      <c r="AH52" s="2858"/>
      <c r="AI52" s="2737"/>
    </row>
    <row r="53" ht="2.25" customHeight="1">
      <c r="A53" s="2329"/>
      <c r="B53" s="2876"/>
      <c r="C53" s="2867"/>
      <c r="D53" s="2854"/>
      <c r="E53" s="2884"/>
      <c r="F53" s="2885"/>
      <c r="G53" s="2885"/>
      <c r="H53" s="2886"/>
      <c r="I53" s="2866"/>
      <c r="J53" s="2884"/>
      <c r="K53" s="2885"/>
      <c r="L53" s="2885"/>
      <c r="M53" s="2886"/>
      <c r="N53" s="2866"/>
      <c r="O53" s="2884"/>
      <c r="P53" s="2885"/>
      <c r="Q53" s="2885"/>
      <c r="R53" s="2886"/>
      <c r="S53" s="2866"/>
      <c r="T53" s="2884"/>
      <c r="U53" s="2885"/>
      <c r="V53" s="2885"/>
      <c r="W53" s="2886"/>
      <c r="X53" s="2865"/>
      <c r="Y53" s="2887"/>
      <c r="Z53" s="2887"/>
      <c r="AA53" s="2887"/>
      <c r="AB53" s="2887"/>
      <c r="AC53" s="2867"/>
      <c r="AD53" s="2887"/>
      <c r="AE53" s="2887"/>
      <c r="AF53" s="2887"/>
      <c r="AG53" s="2887"/>
      <c r="AH53" s="2858"/>
      <c r="AI53" s="2737"/>
    </row>
    <row r="54" ht="20.25" customHeight="1">
      <c r="A54" s="2329"/>
      <c r="B54" s="2876"/>
      <c r="C54" s="2888"/>
      <c r="D54" s="2854"/>
      <c r="E54" s="2889" t="s">
        <v>564</v>
      </c>
      <c r="F54" s="2890"/>
      <c r="G54" s="2890"/>
      <c r="H54" s="2891"/>
      <c r="I54" s="2892"/>
      <c r="J54" s="2889" t="s">
        <v>565</v>
      </c>
      <c r="K54" s="2890"/>
      <c r="L54" s="2890"/>
      <c r="M54" s="2891"/>
      <c r="N54" s="2892"/>
      <c r="O54" s="2889" t="s">
        <v>532</v>
      </c>
      <c r="P54" s="2890"/>
      <c r="Q54" s="2890"/>
      <c r="R54" s="2891"/>
      <c r="S54" s="2892"/>
      <c r="T54" s="2889" t="s">
        <v>532</v>
      </c>
      <c r="U54" s="2890"/>
      <c r="V54" s="2890"/>
      <c r="W54" s="2891"/>
      <c r="X54" s="2865"/>
      <c r="Y54" s="2854"/>
      <c r="Z54" s="2855"/>
      <c r="AA54" s="2855"/>
      <c r="AB54" s="2856"/>
      <c r="AC54" s="2867"/>
      <c r="AD54" s="2854"/>
      <c r="AE54" s="2855"/>
      <c r="AF54" s="2855"/>
      <c r="AG54" s="2856"/>
      <c r="AH54" s="2858"/>
      <c r="AI54" s="2737"/>
    </row>
    <row r="55" ht="20.25" customHeight="1">
      <c r="A55" s="2329"/>
      <c r="B55" s="2876"/>
      <c r="C55" s="2893"/>
      <c r="D55" s="2854"/>
      <c r="E55" s="2894" t="s">
        <v>1171</v>
      </c>
      <c r="F55" s="2855"/>
      <c r="G55" s="2855"/>
      <c r="H55" s="2895"/>
      <c r="I55" s="2892"/>
      <c r="J55" s="2894" t="s">
        <v>1172</v>
      </c>
      <c r="K55" s="2855"/>
      <c r="L55" s="2855"/>
      <c r="M55" s="2895"/>
      <c r="N55" s="2892"/>
      <c r="O55" s="2894" t="s">
        <v>856</v>
      </c>
      <c r="P55" s="2855"/>
      <c r="Q55" s="2855"/>
      <c r="R55" s="2895"/>
      <c r="S55" s="2892"/>
      <c r="T55" s="2894" t="s">
        <v>825</v>
      </c>
      <c r="U55" s="2855"/>
      <c r="V55" s="2855"/>
      <c r="W55" s="2895"/>
      <c r="X55" s="2865"/>
      <c r="Y55" s="2854"/>
      <c r="Z55" s="2855"/>
      <c r="AA55" s="2855"/>
      <c r="AB55" s="2856"/>
      <c r="AC55" s="2867"/>
      <c r="AD55" s="2854"/>
      <c r="AE55" s="2855"/>
      <c r="AF55" s="2855"/>
      <c r="AG55" s="2856"/>
      <c r="AH55" s="2858"/>
      <c r="AI55" s="2737"/>
    </row>
    <row r="56" ht="20.25" customHeight="1">
      <c r="A56" s="2329"/>
      <c r="B56" s="2876"/>
      <c r="C56" s="2867"/>
      <c r="D56" s="2854"/>
      <c r="E56" s="2896" t="s">
        <v>664</v>
      </c>
      <c r="F56" s="2897"/>
      <c r="G56" s="2898"/>
      <c r="H56" s="2899" t="str">
        <f>IMAGE("https://raw.githubusercontent.com/msikma/pokesprite/master/items/hold-item/black-glasses.png",3)</f>
        <v/>
      </c>
      <c r="I56" s="2866"/>
      <c r="J56" s="2896" t="s">
        <v>1173</v>
      </c>
      <c r="K56" s="2897"/>
      <c r="L56" s="2898"/>
      <c r="M56" s="2899" t="str">
        <f>IMAGE("https://raw.githubusercontent.com/msikma/pokesprite/master/items/hold-item/scope-lens.png",3)</f>
        <v/>
      </c>
      <c r="N56" s="2866"/>
      <c r="O56" s="2896" t="s">
        <v>1039</v>
      </c>
      <c r="P56" s="2897"/>
      <c r="Q56" s="2898"/>
      <c r="R56" s="2899" t="str">
        <f>IMAGE("https://raw.githubusercontent.com/msikma/pokesprite/master/items/hold-item/flame-orb.png",3)</f>
        <v/>
      </c>
      <c r="S56" s="2866"/>
      <c r="T56" s="2896" t="s">
        <v>1174</v>
      </c>
      <c r="U56" s="2897"/>
      <c r="V56" s="2898"/>
      <c r="W56" s="2899" t="str">
        <f>IMAGE("https://raw.githubusercontent.com/msikma/pokesprite/master/items/hold-item/expert-belt.png",3)</f>
        <v/>
      </c>
      <c r="X56" s="2865"/>
      <c r="Y56" s="2854"/>
      <c r="Z56" s="2855"/>
      <c r="AA56" s="2855"/>
      <c r="AB56" s="2856"/>
      <c r="AC56" s="2867"/>
      <c r="AD56" s="2854"/>
      <c r="AE56" s="2855"/>
      <c r="AF56" s="2855"/>
      <c r="AG56" s="2856"/>
      <c r="AH56" s="2858"/>
      <c r="AI56" s="2737"/>
    </row>
    <row r="57" ht="20.25" customHeight="1">
      <c r="A57" s="2329"/>
      <c r="B57" s="2876"/>
      <c r="C57" s="2888"/>
      <c r="D57" s="2854"/>
      <c r="E57" s="2889" t="s">
        <v>666</v>
      </c>
      <c r="F57" s="2890"/>
      <c r="G57" s="2900"/>
      <c r="H57" s="2901" t="str">
        <f>IMAGE("https://raw.githubusercontent.com/msikma/pokesprite/master/misc/types/gen8/dark.png",4,20,20)</f>
        <v/>
      </c>
      <c r="I57" s="2866"/>
      <c r="J57" s="2889" t="s">
        <v>510</v>
      </c>
      <c r="K57" s="2890"/>
      <c r="L57" s="2900"/>
      <c r="M57" s="2901" t="str">
        <f>IMAGE("https://raw.githubusercontent.com/msikma/pokesprite/master/misc/types/gen8/grass.png",4,20,20)</f>
        <v/>
      </c>
      <c r="N57" s="2866"/>
      <c r="O57" s="2889" t="s">
        <v>511</v>
      </c>
      <c r="P57" s="2890"/>
      <c r="Q57" s="2900"/>
      <c r="R57" s="2901" t="str">
        <f>IMAGE("https://raw.githubusercontent.com/msikma/pokesprite/master/misc/types/gen8/normal.png",4,20,20)</f>
        <v/>
      </c>
      <c r="S57" s="2866"/>
      <c r="T57" s="2889" t="s">
        <v>1175</v>
      </c>
      <c r="U57" s="2890"/>
      <c r="V57" s="2900"/>
      <c r="W57" s="2901" t="str">
        <f>IMAGE("https://raw.githubusercontent.com/msikma/pokesprite/master/misc/types/gen8/water.png",4,20,20)</f>
        <v/>
      </c>
      <c r="X57" s="2865"/>
      <c r="Y57" s="2854"/>
      <c r="Z57" s="2855"/>
      <c r="AA57" s="2855"/>
      <c r="AB57" s="2856"/>
      <c r="AC57" s="2867"/>
      <c r="AD57" s="2854"/>
      <c r="AE57" s="2855"/>
      <c r="AF57" s="2855"/>
      <c r="AG57" s="2856"/>
      <c r="AH57" s="2858"/>
      <c r="AI57" s="2737"/>
    </row>
    <row r="58" ht="20.25" customHeight="1">
      <c r="A58" s="2329"/>
      <c r="B58" s="2876"/>
      <c r="C58" s="2902"/>
      <c r="D58" s="2854"/>
      <c r="E58" s="2894" t="s">
        <v>981</v>
      </c>
      <c r="F58" s="2855"/>
      <c r="G58" s="2856"/>
      <c r="H58" s="2903" t="str">
        <f>IMAGE("https://raw.githubusercontent.com/msikma/pokesprite/master/misc/types/gen8/water.png",4,20,20)</f>
        <v/>
      </c>
      <c r="I58" s="2866"/>
      <c r="J58" s="2894" t="s">
        <v>1176</v>
      </c>
      <c r="K58" s="2855"/>
      <c r="L58" s="2856"/>
      <c r="M58" s="2903" t="str">
        <f>IMAGE("https://raw.githubusercontent.com/msikma/pokesprite/master/misc/types/gen8/poison.png",4,20,20)</f>
        <v/>
      </c>
      <c r="N58" s="2866"/>
      <c r="O58" s="2894" t="s">
        <v>1177</v>
      </c>
      <c r="P58" s="2855"/>
      <c r="Q58" s="2856"/>
      <c r="R58" s="2903" t="str">
        <f>IMAGE("https://raw.githubusercontent.com/msikma/pokesprite/master/misc/types/gen8/ground.png",4,20,20)</f>
        <v/>
      </c>
      <c r="S58" s="2866"/>
      <c r="T58" s="2894" t="s">
        <v>904</v>
      </c>
      <c r="U58" s="2855"/>
      <c r="V58" s="2856"/>
      <c r="W58" s="2903" t="str">
        <f>IMAGE("https://raw.githubusercontent.com/msikma/pokesprite/master/misc/types/gen8/psychic.png",4,20,20)</f>
        <v/>
      </c>
      <c r="X58" s="2865"/>
      <c r="Y58" s="2854"/>
      <c r="Z58" s="2855"/>
      <c r="AA58" s="2855"/>
      <c r="AB58" s="2856"/>
      <c r="AC58" s="2867"/>
      <c r="AD58" s="2854"/>
      <c r="AE58" s="2855"/>
      <c r="AF58" s="2855"/>
      <c r="AG58" s="2856"/>
      <c r="AH58" s="2858"/>
      <c r="AI58" s="2737"/>
    </row>
    <row r="59" ht="20.25" customHeight="1">
      <c r="A59" s="2329"/>
      <c r="B59" s="2876"/>
      <c r="C59" s="2902"/>
      <c r="D59" s="2854"/>
      <c r="E59" s="2894" t="s">
        <v>812</v>
      </c>
      <c r="F59" s="2855"/>
      <c r="G59" s="2856"/>
      <c r="H59" s="2903" t="str">
        <f>IMAGE("https://raw.githubusercontent.com/msikma/pokesprite/master/misc/types/gen8/dark.png",4,20,20)</f>
        <v/>
      </c>
      <c r="I59" s="2866"/>
      <c r="J59" s="2894" t="s">
        <v>811</v>
      </c>
      <c r="K59" s="2855"/>
      <c r="L59" s="2856"/>
      <c r="M59" s="2903" t="str">
        <f>IMAGE("https://raw.githubusercontent.com/msikma/pokesprite/master/misc/types/gen8/flying.png",4,20,20)</f>
        <v/>
      </c>
      <c r="N59" s="2866"/>
      <c r="O59" s="2894" t="s">
        <v>554</v>
      </c>
      <c r="P59" s="2855"/>
      <c r="Q59" s="2856"/>
      <c r="R59" s="2903" t="str">
        <f>IMAGE("https://raw.githubusercontent.com/msikma/pokesprite/master/misc/types/gen8/dark.png",4,20,20)</f>
        <v/>
      </c>
      <c r="S59" s="2866"/>
      <c r="T59" s="2894" t="s">
        <v>974</v>
      </c>
      <c r="U59" s="2855"/>
      <c r="V59" s="2856"/>
      <c r="W59" s="2903" t="str">
        <f>IMAGE("https://raw.githubusercontent.com/msikma/pokesprite/master/misc/types/gen8/water.png",4,20,20)</f>
        <v/>
      </c>
      <c r="X59" s="2865"/>
      <c r="Y59" s="2854"/>
      <c r="Z59" s="2855"/>
      <c r="AA59" s="2855"/>
      <c r="AB59" s="2856"/>
      <c r="AC59" s="2867"/>
      <c r="AD59" s="2854"/>
      <c r="AE59" s="2855"/>
      <c r="AF59" s="2855"/>
      <c r="AG59" s="2856"/>
      <c r="AH59" s="2858"/>
      <c r="AI59" s="2737"/>
    </row>
    <row r="60" ht="21.0" customHeight="1">
      <c r="A60" s="2329"/>
      <c r="B60" s="2876"/>
      <c r="C60" s="2902"/>
      <c r="D60" s="2854"/>
      <c r="E60" s="2904" t="s">
        <v>1178</v>
      </c>
      <c r="F60" s="2905"/>
      <c r="G60" s="2906"/>
      <c r="H60" s="2907" t="str">
        <f>IMAGE("https://raw.githubusercontent.com/msikma/pokesprite/master/misc/types/gen8/electric.png",4,20,20)</f>
        <v/>
      </c>
      <c r="I60" s="2866"/>
      <c r="J60" s="2904" t="s">
        <v>671</v>
      </c>
      <c r="K60" s="2905"/>
      <c r="L60" s="2906"/>
      <c r="M60" s="2907" t="str">
        <f>IMAGE("https://raw.githubusercontent.com/msikma/pokesprite/master/misc/types/gen8/fire.png",4,20,20)</f>
        <v/>
      </c>
      <c r="N60" s="2866"/>
      <c r="O60" s="2904" t="s">
        <v>612</v>
      </c>
      <c r="P60" s="2905"/>
      <c r="Q60" s="2906"/>
      <c r="R60" s="2907" t="str">
        <f>IMAGE("https://raw.githubusercontent.com/msikma/pokesprite/master/misc/types/gen8/bug.png",4,20,20)</f>
        <v/>
      </c>
      <c r="S60" s="2866"/>
      <c r="T60" s="2904" t="s">
        <v>762</v>
      </c>
      <c r="U60" s="2905"/>
      <c r="V60" s="2906"/>
      <c r="W60" s="2907" t="str">
        <f>IMAGE("https://raw.githubusercontent.com/msikma/pokesprite/master/misc/types/gen8/dark.png",4,20,20)</f>
        <v/>
      </c>
      <c r="X60" s="2909"/>
      <c r="Y60" s="2854"/>
      <c r="Z60" s="2855"/>
      <c r="AA60" s="2855"/>
      <c r="AB60" s="2856"/>
      <c r="AC60" s="2888"/>
      <c r="AD60" s="2854"/>
      <c r="AE60" s="2855"/>
      <c r="AF60" s="2855"/>
      <c r="AG60" s="2856"/>
      <c r="AH60" s="2858"/>
      <c r="AI60" s="2737"/>
    </row>
    <row r="61" ht="3.0" customHeight="1">
      <c r="A61" s="2802"/>
      <c r="B61" s="2910"/>
      <c r="C61" s="2911"/>
      <c r="D61" s="2912"/>
      <c r="E61" s="2913"/>
      <c r="F61" s="2913"/>
      <c r="G61" s="2913"/>
      <c r="H61" s="2913"/>
      <c r="I61" s="2912"/>
      <c r="J61" s="2913"/>
      <c r="K61" s="2913"/>
      <c r="L61" s="2913"/>
      <c r="M61" s="2913"/>
      <c r="N61" s="2912"/>
      <c r="O61" s="2913"/>
      <c r="P61" s="2913"/>
      <c r="Q61" s="2913"/>
      <c r="R61" s="2913"/>
      <c r="S61" s="2912"/>
      <c r="T61" s="2913"/>
      <c r="U61" s="2913"/>
      <c r="V61" s="2913"/>
      <c r="W61" s="2914"/>
      <c r="X61" s="2912"/>
      <c r="Y61" s="2912"/>
      <c r="Z61" s="2915"/>
      <c r="AA61" s="2915"/>
      <c r="AB61" s="2916"/>
      <c r="AC61" s="2916"/>
      <c r="AD61" s="2916"/>
      <c r="AE61" s="2916"/>
      <c r="AF61" s="2916"/>
      <c r="AG61" s="2916"/>
      <c r="AH61" s="2917"/>
      <c r="AI61" s="2810"/>
    </row>
    <row r="62" ht="16.5" customHeight="1">
      <c r="A62" s="2811"/>
      <c r="B62" s="2918"/>
      <c r="C62" s="2911"/>
      <c r="D62" s="2919"/>
      <c r="E62" s="2920" t="s">
        <v>512</v>
      </c>
      <c r="F62" s="606"/>
      <c r="G62" s="606"/>
      <c r="H62" s="607"/>
      <c r="I62" s="2921"/>
      <c r="J62" s="2920" t="s">
        <v>512</v>
      </c>
      <c r="K62" s="606"/>
      <c r="L62" s="606"/>
      <c r="M62" s="607"/>
      <c r="N62" s="2921"/>
      <c r="O62" s="2920" t="s">
        <v>512</v>
      </c>
      <c r="P62" s="606"/>
      <c r="Q62" s="606"/>
      <c r="R62" s="607"/>
      <c r="S62" s="2921"/>
      <c r="T62" s="2920" t="s">
        <v>512</v>
      </c>
      <c r="U62" s="606"/>
      <c r="V62" s="606"/>
      <c r="W62" s="607"/>
      <c r="X62" s="2922"/>
      <c r="Y62" s="2923"/>
      <c r="Z62" s="2924"/>
      <c r="AA62" s="2924"/>
      <c r="AB62" s="2923"/>
      <c r="AC62" s="2923"/>
      <c r="AD62" s="2923"/>
      <c r="AE62" s="2923"/>
      <c r="AF62" s="2923"/>
      <c r="AG62" s="2923"/>
      <c r="AH62" s="2925"/>
      <c r="AI62" s="2407"/>
    </row>
    <row r="63" ht="16.5" customHeight="1">
      <c r="A63" s="2811"/>
      <c r="B63" s="2918"/>
      <c r="C63" s="2911"/>
      <c r="D63" s="2919"/>
      <c r="E63" s="2926" t="s">
        <v>513</v>
      </c>
      <c r="F63" s="2927">
        <f t="array" ref="F63">IFERROR(VLOOKUP(E50,Dex!$B$3:$N454,8,FALSE),"")</f>
        <v>65</v>
      </c>
      <c r="G63" s="2928" t="str">
        <f t="array" ref="G63">IFERROR(VLOOKUP(F63,Dex!$P$22:$Q$276,2,FALSE),"")</f>
        <v/>
      </c>
      <c r="H63" s="2929"/>
      <c r="I63" s="2921"/>
      <c r="J63" s="2926" t="s">
        <v>513</v>
      </c>
      <c r="K63" s="2927">
        <f t="array" ref="K63">IFERROR(VLOOKUP(J50,Dex!$B$3:$N454,8,FALSE),"")</f>
        <v>85</v>
      </c>
      <c r="L63" s="2928" t="str">
        <f t="array" ref="L63">IFERROR(VLOOKUP(K63,Dex!$P$22:$Q$276,2,FALSE),"")</f>
        <v/>
      </c>
      <c r="M63" s="2929"/>
      <c r="N63" s="2921"/>
      <c r="O63" s="2926" t="s">
        <v>513</v>
      </c>
      <c r="P63" s="2927">
        <f t="array" ref="P63">IFERROR(VLOOKUP(O50,Dex!$B$3:$N454,8,FALSE),"")</f>
        <v>60</v>
      </c>
      <c r="Q63" s="2928" t="str">
        <f t="array" ref="Q63">IFERROR(VLOOKUP(P63,Dex!$P$22:$Q$276,2,FALSE),"")</f>
        <v/>
      </c>
      <c r="R63" s="2929"/>
      <c r="S63" s="2921"/>
      <c r="T63" s="2926" t="s">
        <v>513</v>
      </c>
      <c r="U63" s="2927">
        <f t="array" ref="U63">IFERROR(VLOOKUP(T50,Dex!$B$3:$N454,8,FALSE),"")</f>
        <v>95</v>
      </c>
      <c r="V63" s="2928" t="str">
        <f t="array" ref="V63">IFERROR(VLOOKUP(U63,Dex!$P$22:$Q$276,2,FALSE),"")</f>
        <v/>
      </c>
      <c r="W63" s="2929"/>
      <c r="X63" s="2922"/>
      <c r="Y63" s="2923"/>
      <c r="Z63" s="2924"/>
      <c r="AA63" s="2924"/>
      <c r="AB63" s="2923"/>
      <c r="AC63" s="2923"/>
      <c r="AD63" s="2923"/>
      <c r="AE63" s="2923"/>
      <c r="AF63" s="2923"/>
      <c r="AG63" s="2923"/>
      <c r="AH63" s="2925"/>
      <c r="AI63" s="2407"/>
    </row>
    <row r="64" ht="16.5" customHeight="1">
      <c r="A64" s="2811"/>
      <c r="B64" s="2918"/>
      <c r="C64" s="2911"/>
      <c r="D64" s="2919"/>
      <c r="E64" s="2930" t="s">
        <v>514</v>
      </c>
      <c r="F64" s="2931">
        <f t="array" ref="F64">IFERROR(VLOOKUP(E50,Dex!$B$3:$N454,9,FALSE),"")</f>
        <v>60</v>
      </c>
      <c r="G64" s="2932" t="str">
        <f t="array" ref="G64">IFERROR(VLOOKUP(F64,Dex!$P$22:$Q$276,2,FALSE),"")</f>
        <v/>
      </c>
      <c r="H64" s="2933"/>
      <c r="I64" s="2921"/>
      <c r="J64" s="2930" t="s">
        <v>514</v>
      </c>
      <c r="K64" s="2931">
        <f t="array" ref="K64">IFERROR(VLOOKUP(J50,Dex!$B$3:$N454,9,FALSE),"")</f>
        <v>90</v>
      </c>
      <c r="L64" s="2932" t="str">
        <f t="array" ref="L64">IFERROR(VLOOKUP(K64,Dex!$P$22:$Q$276,2,FALSE),"")</f>
        <v/>
      </c>
      <c r="M64" s="2933"/>
      <c r="N64" s="2921"/>
      <c r="O64" s="2930" t="s">
        <v>514</v>
      </c>
      <c r="P64" s="2931">
        <f t="array" ref="P64">IFERROR(VLOOKUP(O50,Dex!$B$3:$N454,9,FALSE),"")</f>
        <v>91</v>
      </c>
      <c r="Q64" s="2932" t="str">
        <f t="array" ref="Q64">IFERROR(VLOOKUP(P64,Dex!$P$22:$Q$276,2,FALSE),"")</f>
        <v/>
      </c>
      <c r="R64" s="2933"/>
      <c r="S64" s="2921"/>
      <c r="T64" s="2930" t="s">
        <v>514</v>
      </c>
      <c r="U64" s="2931">
        <f t="array" ref="U64">IFERROR(VLOOKUP(T50,Dex!$B$3:$N454,9,FALSE),"")</f>
        <v>102</v>
      </c>
      <c r="V64" s="2932" t="str">
        <f t="array" ref="V64">IFERROR(VLOOKUP(U64,Dex!$P$22:$Q$276,2,FALSE),"")</f>
        <v/>
      </c>
      <c r="W64" s="2933"/>
      <c r="X64" s="2922"/>
      <c r="Y64" s="2923"/>
      <c r="Z64" s="2924"/>
      <c r="AA64" s="2924"/>
      <c r="AB64" s="2923"/>
      <c r="AC64" s="2923"/>
      <c r="AD64" s="2923"/>
      <c r="AE64" s="2923"/>
      <c r="AF64" s="2923"/>
      <c r="AG64" s="2923"/>
      <c r="AH64" s="2925"/>
      <c r="AI64" s="2407"/>
    </row>
    <row r="65" ht="16.5" customHeight="1">
      <c r="A65" s="2811"/>
      <c r="B65" s="2918"/>
      <c r="C65" s="2911"/>
      <c r="D65" s="2919"/>
      <c r="E65" s="2930" t="s">
        <v>515</v>
      </c>
      <c r="F65" s="2931">
        <f t="array" ref="F65">IFERROR(VLOOKUP(E50,Dex!$B$3:$N454,10,FALSE),"")</f>
        <v>60</v>
      </c>
      <c r="G65" s="2932" t="str">
        <f t="array" ref="G65">IFERROR(VLOOKUP(F65,Dex!$P$22:$Q$276,2,FALSE),"")</f>
        <v/>
      </c>
      <c r="H65" s="2933"/>
      <c r="I65" s="2921"/>
      <c r="J65" s="2930" t="s">
        <v>515</v>
      </c>
      <c r="K65" s="2931">
        <f t="array" ref="K65">IFERROR(VLOOKUP(J50,Dex!$B$3:$N454,10,FALSE),"")</f>
        <v>80</v>
      </c>
      <c r="L65" s="2932" t="str">
        <f t="array" ref="L65">IFERROR(VLOOKUP(K65,Dex!$P$22:$Q$276,2,FALSE),"")</f>
        <v/>
      </c>
      <c r="M65" s="2933"/>
      <c r="N65" s="2921"/>
      <c r="O65" s="2930" t="s">
        <v>515</v>
      </c>
      <c r="P65" s="2931">
        <f t="array" ref="P65">IFERROR(VLOOKUP(O50,Dex!$B$3:$N454,10,FALSE),"")</f>
        <v>60</v>
      </c>
      <c r="Q65" s="2932" t="str">
        <f t="array" ref="Q65">IFERROR(VLOOKUP(P65,Dex!$P$22:$Q$276,2,FALSE),"")</f>
        <v/>
      </c>
      <c r="R65" s="2933"/>
      <c r="S65" s="2921"/>
      <c r="T65" s="2930" t="s">
        <v>515</v>
      </c>
      <c r="U65" s="2931">
        <f t="array" ref="U65">IFERROR(VLOOKUP(T50,Dex!$B$3:$N454,10,FALSE),"")</f>
        <v>83</v>
      </c>
      <c r="V65" s="2932" t="str">
        <f t="array" ref="V65">IFERROR(VLOOKUP(U65,Dex!$P$22:$Q$276,2,FALSE),"")</f>
        <v/>
      </c>
      <c r="W65" s="2933"/>
      <c r="X65" s="2922"/>
      <c r="Y65" s="2923"/>
      <c r="Z65" s="2924"/>
      <c r="AA65" s="2924"/>
      <c r="AB65" s="2923"/>
      <c r="AC65" s="2923"/>
      <c r="AD65" s="2923"/>
      <c r="AE65" s="2923"/>
      <c r="AF65" s="2923"/>
      <c r="AG65" s="2923"/>
      <c r="AH65" s="2925"/>
      <c r="AI65" s="2407"/>
    </row>
    <row r="66" ht="16.5" customHeight="1">
      <c r="A66" s="2811"/>
      <c r="B66" s="2918"/>
      <c r="C66" s="2911"/>
      <c r="D66" s="2919"/>
      <c r="E66" s="2930" t="s">
        <v>516</v>
      </c>
      <c r="F66" s="2931">
        <f t="array" ref="F66">IFERROR(VLOOKUP(E50,Dex!$B$3:$N454,11,FALSE),"")</f>
        <v>55</v>
      </c>
      <c r="G66" s="2932" t="str">
        <f t="array" ref="G66">IFERROR(VLOOKUP(F66,Dex!$P$22:$Q$276,2,FALSE),"")</f>
        <v/>
      </c>
      <c r="H66" s="2933"/>
      <c r="I66" s="2921"/>
      <c r="J66" s="2930" t="s">
        <v>516</v>
      </c>
      <c r="K66" s="2931">
        <f t="array" ref="K66">IFERROR(VLOOKUP(J50,Dex!$B$3:$N454,11,FALSE),"")</f>
        <v>90</v>
      </c>
      <c r="L66" s="2932" t="str">
        <f t="array" ref="L66">IFERROR(VLOOKUP(K66,Dex!$P$22:$Q$276,2,FALSE),"")</f>
        <v/>
      </c>
      <c r="M66" s="2933"/>
      <c r="N66" s="2921"/>
      <c r="O66" s="2930" t="s">
        <v>516</v>
      </c>
      <c r="P66" s="2931">
        <f t="array" ref="P66">IFERROR(VLOOKUP(O50,Dex!$B$3:$N454,11,FALSE),"")</f>
        <v>50</v>
      </c>
      <c r="Q66" s="2932" t="str">
        <f t="array" ref="Q66">IFERROR(VLOOKUP(P66,Dex!$P$22:$Q$276,2,FALSE),"")</f>
        <v/>
      </c>
      <c r="R66" s="2933"/>
      <c r="S66" s="2921"/>
      <c r="T66" s="2930" t="s">
        <v>516</v>
      </c>
      <c r="U66" s="2931">
        <f t="array" ref="U66">IFERROR(VLOOKUP(T50,Dex!$B$3:$N454,11,FALSE),"")</f>
        <v>78</v>
      </c>
      <c r="V66" s="2932" t="str">
        <f t="array" ref="V66">IFERROR(VLOOKUP(U66,Dex!$P$22:$Q$276,2,FALSE),"")</f>
        <v/>
      </c>
      <c r="W66" s="2933"/>
      <c r="X66" s="2922"/>
      <c r="Y66" s="2923"/>
      <c r="Z66" s="2924"/>
      <c r="AA66" s="2924"/>
      <c r="AB66" s="2923"/>
      <c r="AC66" s="2923"/>
      <c r="AD66" s="2923"/>
      <c r="AE66" s="2923"/>
      <c r="AF66" s="2923"/>
      <c r="AG66" s="2923"/>
      <c r="AH66" s="2925"/>
      <c r="AI66" s="2407"/>
    </row>
    <row r="67" ht="16.5" customHeight="1">
      <c r="A67" s="2811"/>
      <c r="B67" s="2918"/>
      <c r="C67" s="2911"/>
      <c r="D67" s="2919"/>
      <c r="E67" s="2930" t="s">
        <v>517</v>
      </c>
      <c r="F67" s="2931">
        <f t="array" ref="F67">IFERROR(VLOOKUP(E50,Dex!$B$3:$N454,12,FALSE),"")</f>
        <v>65</v>
      </c>
      <c r="G67" s="2932" t="str">
        <f t="array" ref="G67">IFERROR(VLOOKUP(F67,Dex!$P$22:$Q$276,2,FALSE),"")</f>
        <v/>
      </c>
      <c r="H67" s="2933"/>
      <c r="I67" s="2921"/>
      <c r="J67" s="2930" t="s">
        <v>517</v>
      </c>
      <c r="K67" s="2931">
        <f t="array" ref="K67">IFERROR(VLOOKUP(J50,Dex!$B$3:$N454,12,FALSE),"")</f>
        <v>80</v>
      </c>
      <c r="L67" s="2932" t="str">
        <f t="array" ref="L67">IFERROR(VLOOKUP(K67,Dex!$P$22:$Q$276,2,FALSE),"")</f>
        <v/>
      </c>
      <c r="M67" s="2933"/>
      <c r="N67" s="2921"/>
      <c r="O67" s="2930" t="s">
        <v>517</v>
      </c>
      <c r="P67" s="2931">
        <f t="array" ref="P67">IFERROR(VLOOKUP(O50,Dex!$B$3:$N454,12,FALSE),"")</f>
        <v>70</v>
      </c>
      <c r="Q67" s="2932" t="str">
        <f t="array" ref="Q67">IFERROR(VLOOKUP(P67,Dex!$P$22:$Q$276,2,FALSE),"")</f>
        <v/>
      </c>
      <c r="R67" s="2933"/>
      <c r="S67" s="2921"/>
      <c r="T67" s="2930" t="s">
        <v>517</v>
      </c>
      <c r="U67" s="2931">
        <f t="array" ref="U67">IFERROR(VLOOKUP(T50,Dex!$B$3:$N454,12,FALSE),"")</f>
        <v>75</v>
      </c>
      <c r="V67" s="2932" t="str">
        <f t="array" ref="V67">IFERROR(VLOOKUP(U67,Dex!$P$22:$Q$276,2,FALSE),"")</f>
        <v/>
      </c>
      <c r="W67" s="2933"/>
      <c r="X67" s="2922"/>
      <c r="Y67" s="2923"/>
      <c r="Z67" s="2924"/>
      <c r="AA67" s="2924"/>
      <c r="AB67" s="2923"/>
      <c r="AC67" s="2923"/>
      <c r="AD67" s="2923"/>
      <c r="AE67" s="2923"/>
      <c r="AF67" s="2923"/>
      <c r="AG67" s="2923"/>
      <c r="AH67" s="2925"/>
      <c r="AI67" s="2407"/>
    </row>
    <row r="68" ht="15.75" customHeight="1">
      <c r="A68" s="2811"/>
      <c r="B68" s="2918"/>
      <c r="C68" s="1426" t="s">
        <v>745</v>
      </c>
      <c r="D68" s="2919"/>
      <c r="E68" s="2934" t="s">
        <v>518</v>
      </c>
      <c r="F68" s="2935">
        <f t="array" ref="F68">IFERROR(VLOOKUP(E50,Dex!$B$3:$N454,13,FALSE),"")</f>
        <v>115</v>
      </c>
      <c r="G68" s="2936" t="str">
        <f t="array" ref="G68">IFERROR(VLOOKUP(F68,Dex!$P$22:$Q$276,2,FALSE),"")</f>
        <v/>
      </c>
      <c r="H68" s="2937"/>
      <c r="I68" s="2921"/>
      <c r="J68" s="2934" t="s">
        <v>518</v>
      </c>
      <c r="K68" s="2935">
        <f t="array" ref="K68">IFERROR(VLOOKUP(J50,Dex!$B$3:$N454,13,FALSE),"")</f>
        <v>130</v>
      </c>
      <c r="L68" s="2936" t="str">
        <f t="array" ref="L68">IFERROR(VLOOKUP(K68,Dex!$P$22:$Q$276,2,FALSE),"")</f>
        <v/>
      </c>
      <c r="M68" s="2937"/>
      <c r="N68" s="2921"/>
      <c r="O68" s="2934" t="s">
        <v>518</v>
      </c>
      <c r="P68" s="2935">
        <f t="array" ref="P68">IFERROR(VLOOKUP(O50,Dex!$B$3:$N454,13,FALSE),"")</f>
        <v>97</v>
      </c>
      <c r="Q68" s="2936" t="str">
        <f t="array" ref="Q68">IFERROR(VLOOKUP(P68,Dex!$P$22:$Q$276,2,FALSE),"")</f>
        <v/>
      </c>
      <c r="R68" s="2937"/>
      <c r="S68" s="2921"/>
      <c r="T68" s="2934" t="s">
        <v>518</v>
      </c>
      <c r="U68" s="2935">
        <f t="array" ref="U68">IFERROR(VLOOKUP(T50,Dex!$B$3:$N454,13,FALSE),"")</f>
        <v>70</v>
      </c>
      <c r="V68" s="2936" t="str">
        <f t="array" ref="V68">IFERROR(VLOOKUP(U68,Dex!$P$22:$Q$276,2,FALSE),"")</f>
        <v/>
      </c>
      <c r="W68" s="2937"/>
      <c r="X68" s="2922"/>
      <c r="Y68" s="2923"/>
      <c r="Z68" s="2924"/>
      <c r="AA68" s="2924"/>
      <c r="AB68" s="2923"/>
      <c r="AC68" s="2923"/>
      <c r="AD68" s="2923"/>
      <c r="AE68" s="2923"/>
      <c r="AF68" s="2923"/>
      <c r="AG68" s="2923"/>
      <c r="AH68" s="2925"/>
      <c r="AI68" s="2407"/>
    </row>
    <row r="69" ht="16.5" customHeight="1">
      <c r="A69" s="2811"/>
      <c r="B69" s="2918"/>
      <c r="C69" s="1427" t="s">
        <v>836</v>
      </c>
      <c r="D69" s="2919"/>
      <c r="E69" s="2938" t="s">
        <v>519</v>
      </c>
      <c r="F69" s="630"/>
      <c r="G69" s="631"/>
      <c r="H69" s="632">
        <f>ROUNDDOWN((ROUNDDOWN(((((2*F68+31)*26)/100+5)),0))*1.1,0)</f>
        <v>79</v>
      </c>
      <c r="I69" s="2921"/>
      <c r="J69" s="2938" t="s">
        <v>519</v>
      </c>
      <c r="K69" s="630"/>
      <c r="L69" s="631"/>
      <c r="M69" s="632">
        <f>ROUNDDOWN((ROUNDDOWN(((((2*K68+30)*26)/100+5)),0))*1.1,0)</f>
        <v>88</v>
      </c>
      <c r="N69" s="2921"/>
      <c r="O69" s="2938" t="s">
        <v>519</v>
      </c>
      <c r="P69" s="630"/>
      <c r="Q69" s="631"/>
      <c r="R69" s="632">
        <f>ROUNDDOWN((ROUNDDOWN(((((2*P68+31)*27)/100+5)),0))*1.1,0)</f>
        <v>71</v>
      </c>
      <c r="S69" s="2921"/>
      <c r="T69" s="2938" t="s">
        <v>519</v>
      </c>
      <c r="U69" s="630"/>
      <c r="V69" s="631"/>
      <c r="W69" s="632">
        <f>ROUNDDOWN((ROUNDDOWN(((((2*U68+31)*25)/100+5)),0))*1.1,0)</f>
        <v>51</v>
      </c>
      <c r="X69" s="2922"/>
      <c r="Y69" s="2923"/>
      <c r="Z69" s="2924"/>
      <c r="AA69" s="2924"/>
      <c r="AB69" s="2923"/>
      <c r="AC69" s="2923"/>
      <c r="AD69" s="2923"/>
      <c r="AE69" s="2923"/>
      <c r="AF69" s="2923"/>
      <c r="AG69" s="2923"/>
      <c r="AH69" s="2925"/>
      <c r="AI69" s="2407"/>
    </row>
    <row r="70" ht="15.0" customHeight="1">
      <c r="A70" s="2329"/>
      <c r="B70" s="2939"/>
      <c r="C70" s="2940"/>
      <c r="D70" s="2941"/>
      <c r="E70" s="2942"/>
      <c r="F70" s="2942"/>
      <c r="G70" s="2942"/>
      <c r="H70" s="2942"/>
      <c r="I70" s="2941"/>
      <c r="J70" s="2942"/>
      <c r="K70" s="2942"/>
      <c r="L70" s="2942"/>
      <c r="M70" s="2942"/>
      <c r="N70" s="2941"/>
      <c r="O70" s="2942"/>
      <c r="P70" s="2942"/>
      <c r="Q70" s="2942"/>
      <c r="R70" s="2942"/>
      <c r="S70" s="2941"/>
      <c r="T70" s="2942"/>
      <c r="U70" s="2942"/>
      <c r="V70" s="2942"/>
      <c r="W70" s="2942"/>
      <c r="X70" s="2941"/>
      <c r="Y70" s="2941"/>
      <c r="Z70" s="2941"/>
      <c r="AA70" s="2941"/>
      <c r="AB70" s="2941"/>
      <c r="AC70" s="2941"/>
      <c r="AD70" s="2941"/>
      <c r="AE70" s="2941"/>
      <c r="AF70" s="2941"/>
      <c r="AG70" s="2941"/>
      <c r="AH70" s="2943"/>
      <c r="AI70" s="2737"/>
    </row>
    <row r="71" ht="15.0" customHeight="1">
      <c r="A71" s="2329"/>
      <c r="B71" s="2844"/>
      <c r="C71" s="2845"/>
      <c r="D71" s="2846"/>
      <c r="E71" s="2847"/>
      <c r="F71" s="2847"/>
      <c r="G71" s="2847"/>
      <c r="H71" s="2847"/>
      <c r="I71" s="2846"/>
      <c r="J71" s="2847"/>
      <c r="K71" s="2847"/>
      <c r="L71" s="2847"/>
      <c r="M71" s="2847"/>
      <c r="N71" s="2846"/>
      <c r="O71" s="2847"/>
      <c r="P71" s="2847"/>
      <c r="Q71" s="2847"/>
      <c r="R71" s="2847"/>
      <c r="S71" s="2846"/>
      <c r="T71" s="2847"/>
      <c r="U71" s="2847"/>
      <c r="V71" s="2847"/>
      <c r="W71" s="2847"/>
      <c r="X71" s="2846"/>
      <c r="Y71" s="2846"/>
      <c r="Z71" s="2846"/>
      <c r="AA71" s="2846"/>
      <c r="AB71" s="2846"/>
      <c r="AC71" s="2846"/>
      <c r="AD71" s="2846"/>
      <c r="AE71" s="2846"/>
      <c r="AF71" s="2846"/>
      <c r="AG71" s="2846"/>
      <c r="AH71" s="2848"/>
      <c r="AI71" s="2737"/>
    </row>
    <row r="72" ht="16.5" customHeight="1">
      <c r="A72" s="2329"/>
      <c r="B72" s="2945"/>
      <c r="C72" s="2902"/>
      <c r="D72" s="2887"/>
      <c r="E72" s="2946" t="s">
        <v>1179</v>
      </c>
      <c r="F72" s="2897"/>
      <c r="G72" s="2897"/>
      <c r="H72" s="2897"/>
      <c r="I72" s="2897"/>
      <c r="J72" s="2897"/>
      <c r="K72" s="2897"/>
      <c r="L72" s="2897"/>
      <c r="M72" s="2897"/>
      <c r="N72" s="2897"/>
      <c r="O72" s="2897"/>
      <c r="P72" s="2897"/>
      <c r="Q72" s="2897"/>
      <c r="R72" s="2897"/>
      <c r="S72" s="2897"/>
      <c r="T72" s="2897"/>
      <c r="U72" s="2897"/>
      <c r="V72" s="2897"/>
      <c r="W72" s="2897"/>
      <c r="X72" s="2897"/>
      <c r="Y72" s="2897"/>
      <c r="Z72" s="2897"/>
      <c r="AA72" s="2897"/>
      <c r="AB72" s="2897"/>
      <c r="AC72" s="2897"/>
      <c r="AD72" s="2897"/>
      <c r="AE72" s="2897"/>
      <c r="AF72" s="2897"/>
      <c r="AG72" s="2898"/>
      <c r="AH72" s="2848"/>
      <c r="AI72" s="2737"/>
    </row>
    <row r="73" ht="96.75" customHeight="1">
      <c r="A73" s="2329"/>
      <c r="B73" s="2849"/>
      <c r="C73" s="2850" t="str">
        <f>IMAGE("https://i.ibb.co/kJrTDW3/Grunt.png")</f>
        <v/>
      </c>
      <c r="D73" s="2851"/>
      <c r="E73" s="2852" t="str">
        <f t="array" ref="E73">IFERROR(VLOOKUP(E74,Dex!$B$3:$G454,3,FALSE),"")</f>
        <v/>
      </c>
      <c r="F73" s="1945"/>
      <c r="G73" s="1945"/>
      <c r="H73" s="1946"/>
      <c r="I73" s="2944"/>
      <c r="J73" s="2852" t="str">
        <f t="array" ref="J73">IFERROR(VLOOKUP(J74,Dex!$B$3:$G454,3,FALSE),"")</f>
        <v/>
      </c>
      <c r="K73" s="1945"/>
      <c r="L73" s="1945"/>
      <c r="M73" s="1946"/>
      <c r="N73" s="2944"/>
      <c r="O73" s="2852" t="str">
        <f t="array" ref="O73">IFERROR(VLOOKUP(O74,Dex!$B$3:$G454,3,FALSE),"")</f>
        <v/>
      </c>
      <c r="P73" s="1945"/>
      <c r="Q73" s="1945"/>
      <c r="R73" s="1946"/>
      <c r="S73" s="2944"/>
      <c r="T73" s="2852" t="str">
        <f t="array" ref="T73">IFERROR(VLOOKUP(T74,Dex!$B$3:$G454,3,FALSE),"")</f>
        <v/>
      </c>
      <c r="U73" s="1945"/>
      <c r="V73" s="1945"/>
      <c r="W73" s="1946"/>
      <c r="X73" s="2853"/>
      <c r="Y73" s="2854"/>
      <c r="Z73" s="2855"/>
      <c r="AA73" s="2855"/>
      <c r="AB73" s="2856"/>
      <c r="AC73" s="2857"/>
      <c r="AD73" s="2854"/>
      <c r="AE73" s="2855"/>
      <c r="AF73" s="2855"/>
      <c r="AG73" s="2856"/>
      <c r="AH73" s="2858"/>
      <c r="AI73" s="2737"/>
    </row>
    <row r="74" ht="18.75" customHeight="1">
      <c r="A74" s="2354"/>
      <c r="B74" s="2859"/>
      <c r="C74" s="2860" t="s">
        <v>1180</v>
      </c>
      <c r="D74" s="2861"/>
      <c r="E74" s="2862" t="s">
        <v>289</v>
      </c>
      <c r="F74" s="2863"/>
      <c r="G74" s="2863"/>
      <c r="H74" s="2864"/>
      <c r="I74" s="2861"/>
      <c r="J74" s="2862" t="s">
        <v>1181</v>
      </c>
      <c r="K74" s="2863"/>
      <c r="L74" s="2863"/>
      <c r="M74" s="2864"/>
      <c r="N74" s="2861"/>
      <c r="O74" s="2862" t="s">
        <v>1182</v>
      </c>
      <c r="P74" s="2863"/>
      <c r="Q74" s="2863"/>
      <c r="R74" s="2864"/>
      <c r="S74" s="2861"/>
      <c r="T74" s="2862" t="s">
        <v>1183</v>
      </c>
      <c r="U74" s="2863"/>
      <c r="V74" s="2863"/>
      <c r="W74" s="2864"/>
      <c r="X74" s="2865"/>
      <c r="Y74" s="2866"/>
      <c r="Z74" s="2855"/>
      <c r="AA74" s="2855"/>
      <c r="AB74" s="2856"/>
      <c r="AC74" s="2867"/>
      <c r="AD74" s="2866"/>
      <c r="AE74" s="2855"/>
      <c r="AF74" s="2855"/>
      <c r="AG74" s="2856"/>
      <c r="AH74" s="2868"/>
      <c r="AI74" s="2757"/>
    </row>
    <row r="75">
      <c r="A75" s="2758"/>
      <c r="B75" s="2869"/>
      <c r="C75" s="556"/>
      <c r="D75" s="2870"/>
      <c r="E75" s="2871" t="s">
        <v>729</v>
      </c>
      <c r="F75" s="2872"/>
      <c r="G75" s="2872"/>
      <c r="H75" s="2873"/>
      <c r="I75" s="2861"/>
      <c r="J75" s="2871" t="s">
        <v>967</v>
      </c>
      <c r="K75" s="2872"/>
      <c r="L75" s="2872"/>
      <c r="M75" s="2873"/>
      <c r="N75" s="2861"/>
      <c r="O75" s="2871" t="s">
        <v>967</v>
      </c>
      <c r="P75" s="2872"/>
      <c r="Q75" s="2872"/>
      <c r="R75" s="2873"/>
      <c r="S75" s="2861"/>
      <c r="T75" s="2871" t="s">
        <v>967</v>
      </c>
      <c r="U75" s="2872"/>
      <c r="V75" s="2872"/>
      <c r="W75" s="2873"/>
      <c r="X75" s="2865"/>
      <c r="Y75" s="2874"/>
      <c r="Z75" s="2855"/>
      <c r="AA75" s="2855"/>
      <c r="AB75" s="2856"/>
      <c r="AC75" s="2867"/>
      <c r="AD75" s="2874"/>
      <c r="AE75" s="2855"/>
      <c r="AF75" s="2855"/>
      <c r="AG75" s="2856"/>
      <c r="AH75" s="2875"/>
      <c r="AI75" s="2766"/>
    </row>
    <row r="76" ht="25.5" customHeight="1">
      <c r="A76" s="2329"/>
      <c r="B76" s="2876"/>
      <c r="C76" s="2877"/>
      <c r="D76" s="2854"/>
      <c r="E76" s="2878"/>
      <c r="F76" s="2879" t="str">
        <f t="array" ref="F76">IFERROR(VLOOKUP(E74,Dex!$B$3:$H454,5,FALSE),"")</f>
        <v/>
      </c>
      <c r="G76" s="2880"/>
      <c r="H76" s="2881"/>
      <c r="I76" s="2866"/>
      <c r="J76" s="2878"/>
      <c r="K76" s="2882" t="str">
        <f t="array" ref="K76">IFERROR(VLOOKUP(J74,Dex!$B$3:$H454,5,FALSE),"")</f>
        <v/>
      </c>
      <c r="L76" s="2883" t="str">
        <f t="array" ref="L76">IFERROR(VLOOKUP(J74,Dex!$B$3:$H454,7,FALSE),"")</f>
        <v/>
      </c>
      <c r="M76" s="2881"/>
      <c r="N76" s="2866"/>
      <c r="O76" s="2878"/>
      <c r="P76" s="2882" t="str">
        <f t="array" ref="P76">IFERROR(VLOOKUP(O74,Dex!$B$3:$H454,5,FALSE),"")</f>
        <v/>
      </c>
      <c r="Q76" s="2883" t="str">
        <f t="array" ref="Q76">IFERROR(VLOOKUP(O74,Dex!$B$3:$H454,7,FALSE),"")</f>
        <v/>
      </c>
      <c r="R76" s="2881"/>
      <c r="S76" s="2866"/>
      <c r="T76" s="2878"/>
      <c r="U76" s="2879" t="str">
        <f t="array" ref="U76">IFERROR(VLOOKUP(T74,Dex!$B$3:$H454,5,FALSE),"")</f>
        <v/>
      </c>
      <c r="V76" s="2880"/>
      <c r="W76" s="2881"/>
      <c r="X76" s="2865"/>
      <c r="Y76" s="2854"/>
      <c r="Z76" s="2855"/>
      <c r="AA76" s="2855"/>
      <c r="AB76" s="2856"/>
      <c r="AC76" s="2867"/>
      <c r="AD76" s="2854"/>
      <c r="AE76" s="2855"/>
      <c r="AF76" s="2855"/>
      <c r="AG76" s="2856"/>
      <c r="AH76" s="2858"/>
      <c r="AI76" s="2737"/>
    </row>
    <row r="77" ht="2.25" customHeight="1">
      <c r="A77" s="2329"/>
      <c r="B77" s="2876"/>
      <c r="C77" s="2867"/>
      <c r="D77" s="2854"/>
      <c r="E77" s="2884"/>
      <c r="F77" s="2885"/>
      <c r="G77" s="2885"/>
      <c r="H77" s="2886"/>
      <c r="I77" s="2866"/>
      <c r="J77" s="2884"/>
      <c r="K77" s="2885"/>
      <c r="L77" s="2885"/>
      <c r="M77" s="2886"/>
      <c r="N77" s="2866"/>
      <c r="O77" s="2884"/>
      <c r="P77" s="2885"/>
      <c r="Q77" s="2885"/>
      <c r="R77" s="2886"/>
      <c r="S77" s="2866"/>
      <c r="T77" s="2884"/>
      <c r="U77" s="2885"/>
      <c r="V77" s="2885"/>
      <c r="W77" s="2886"/>
      <c r="X77" s="2865"/>
      <c r="Y77" s="2887"/>
      <c r="Z77" s="2887"/>
      <c r="AA77" s="2887"/>
      <c r="AB77" s="2887"/>
      <c r="AC77" s="2867"/>
      <c r="AD77" s="2887"/>
      <c r="AE77" s="2887"/>
      <c r="AF77" s="2887"/>
      <c r="AG77" s="2887"/>
      <c r="AH77" s="2858"/>
      <c r="AI77" s="2737"/>
    </row>
    <row r="78" ht="20.25" customHeight="1">
      <c r="A78" s="2329"/>
      <c r="B78" s="2876"/>
      <c r="C78" s="2888"/>
      <c r="D78" s="2854"/>
      <c r="E78" s="2889" t="s">
        <v>754</v>
      </c>
      <c r="F78" s="2890"/>
      <c r="G78" s="2890"/>
      <c r="H78" s="2891"/>
      <c r="I78" s="2892"/>
      <c r="J78" s="2889" t="s">
        <v>532</v>
      </c>
      <c r="K78" s="2890"/>
      <c r="L78" s="2890"/>
      <c r="M78" s="2891"/>
      <c r="N78" s="2892"/>
      <c r="O78" s="2889" t="s">
        <v>532</v>
      </c>
      <c r="P78" s="2890"/>
      <c r="Q78" s="2890"/>
      <c r="R78" s="2891"/>
      <c r="S78" s="2892"/>
      <c r="T78" s="2889" t="s">
        <v>564</v>
      </c>
      <c r="U78" s="2890"/>
      <c r="V78" s="2890"/>
      <c r="W78" s="2891"/>
      <c r="X78" s="2865"/>
      <c r="Y78" s="2854"/>
      <c r="Z78" s="2855"/>
      <c r="AA78" s="2855"/>
      <c r="AB78" s="2856"/>
      <c r="AC78" s="2867"/>
      <c r="AD78" s="2854"/>
      <c r="AE78" s="2855"/>
      <c r="AF78" s="2855"/>
      <c r="AG78" s="2856"/>
      <c r="AH78" s="2858"/>
      <c r="AI78" s="2737"/>
    </row>
    <row r="79" ht="20.25" customHeight="1">
      <c r="A79" s="2329"/>
      <c r="B79" s="2876"/>
      <c r="C79" s="2893"/>
      <c r="D79" s="2854"/>
      <c r="E79" s="2894" t="s">
        <v>1184</v>
      </c>
      <c r="F79" s="2855"/>
      <c r="G79" s="2855"/>
      <c r="H79" s="2895"/>
      <c r="I79" s="2892"/>
      <c r="J79" s="2894" t="s">
        <v>109</v>
      </c>
      <c r="K79" s="2855"/>
      <c r="L79" s="2855"/>
      <c r="M79" s="2895"/>
      <c r="N79" s="2892"/>
      <c r="O79" s="2894" t="s">
        <v>1185</v>
      </c>
      <c r="P79" s="2855"/>
      <c r="Q79" s="2855"/>
      <c r="R79" s="2895"/>
      <c r="S79" s="2892"/>
      <c r="T79" s="2894" t="s">
        <v>1172</v>
      </c>
      <c r="U79" s="2855"/>
      <c r="V79" s="2855"/>
      <c r="W79" s="2895"/>
      <c r="X79" s="2865"/>
      <c r="Y79" s="2854"/>
      <c r="Z79" s="2855"/>
      <c r="AA79" s="2855"/>
      <c r="AB79" s="2856"/>
      <c r="AC79" s="2867"/>
      <c r="AD79" s="2854"/>
      <c r="AE79" s="2855"/>
      <c r="AF79" s="2855"/>
      <c r="AG79" s="2856"/>
      <c r="AH79" s="2858"/>
      <c r="AI79" s="2737"/>
    </row>
    <row r="80" ht="20.25" customHeight="1">
      <c r="A80" s="2329"/>
      <c r="B80" s="2876"/>
      <c r="C80" s="2867"/>
      <c r="D80" s="2854"/>
      <c r="E80" s="2896" t="s">
        <v>1186</v>
      </c>
      <c r="F80" s="2897"/>
      <c r="G80" s="2898"/>
      <c r="H80" s="2899" t="str">
        <f>IMAGE("https://raw.githubusercontent.com/msikma/pokesprite/master/items/berry/colbur.png",3)</f>
        <v/>
      </c>
      <c r="I80" s="2866"/>
      <c r="J80" s="2896" t="s">
        <v>573</v>
      </c>
      <c r="K80" s="2897"/>
      <c r="L80" s="2898"/>
      <c r="M80" s="2899" t="str">
        <f>IMAGE("https://raw.githubusercontent.com/msikma/pokesprite/master/items/hold-item/focus-sash.png",3)</f>
        <v/>
      </c>
      <c r="N80" s="2866"/>
      <c r="O80" s="2896" t="s">
        <v>1187</v>
      </c>
      <c r="P80" s="2897"/>
      <c r="Q80" s="2898"/>
      <c r="R80" s="2899" t="str">
        <f>IMAGE("https://raw.githubusercontent.com/msikma/pokesprite/master/items/gem/steel.png",3)</f>
        <v/>
      </c>
      <c r="S80" s="2866"/>
      <c r="T80" s="2896" t="s">
        <v>540</v>
      </c>
      <c r="U80" s="2897"/>
      <c r="V80" s="2898"/>
      <c r="W80" s="2899" t="str">
        <f>IMAGE("https://raw.githubusercontent.com/msikma/pokesprite/master/items/hold-item/mystic-water.png",3)</f>
        <v/>
      </c>
      <c r="X80" s="2865"/>
      <c r="Y80" s="2854"/>
      <c r="Z80" s="2855"/>
      <c r="AA80" s="2855"/>
      <c r="AB80" s="2856"/>
      <c r="AC80" s="2867"/>
      <c r="AD80" s="2854"/>
      <c r="AE80" s="2855"/>
      <c r="AF80" s="2855"/>
      <c r="AG80" s="2856"/>
      <c r="AH80" s="2858"/>
      <c r="AI80" s="2737"/>
    </row>
    <row r="81" ht="20.25" customHeight="1">
      <c r="A81" s="2329"/>
      <c r="B81" s="2876"/>
      <c r="C81" s="2888"/>
      <c r="D81" s="2854"/>
      <c r="E81" s="2889" t="s">
        <v>1188</v>
      </c>
      <c r="F81" s="2890"/>
      <c r="G81" s="2900"/>
      <c r="H81" s="2901" t="str">
        <f>IMAGE("https://raw.githubusercontent.com/msikma/pokesprite/master/misc/types/gen8/dark.png",4,20,20)</f>
        <v/>
      </c>
      <c r="I81" s="2866"/>
      <c r="J81" s="2889" t="s">
        <v>588</v>
      </c>
      <c r="K81" s="2890"/>
      <c r="L81" s="2900"/>
      <c r="M81" s="2901" t="str">
        <f>IMAGE("https://raw.githubusercontent.com/msikma/pokesprite/master/misc/types/gen8/rock.png",4,20,20)</f>
        <v/>
      </c>
      <c r="N81" s="2866"/>
      <c r="O81" s="2889" t="s">
        <v>1189</v>
      </c>
      <c r="P81" s="2890"/>
      <c r="Q81" s="2900"/>
      <c r="R81" s="2901" t="str">
        <f>IMAGE("https://raw.githubusercontent.com/msikma/pokesprite/master/misc/types/gen8/steel.png",4,20,20)</f>
        <v/>
      </c>
      <c r="S81" s="2866"/>
      <c r="T81" s="2889" t="s">
        <v>1190</v>
      </c>
      <c r="U81" s="2890"/>
      <c r="V81" s="2900"/>
      <c r="W81" s="2901" t="str">
        <f>IMAGE("https://raw.githubusercontent.com/msikma/pokesprite/master/misc/types/gen8/water.png",4,20,20)</f>
        <v/>
      </c>
      <c r="X81" s="2865"/>
      <c r="Y81" s="2854"/>
      <c r="Z81" s="2855"/>
      <c r="AA81" s="2855"/>
      <c r="AB81" s="2856"/>
      <c r="AC81" s="2867"/>
      <c r="AD81" s="2854"/>
      <c r="AE81" s="2855"/>
      <c r="AF81" s="2855"/>
      <c r="AG81" s="2856"/>
      <c r="AH81" s="2858"/>
      <c r="AI81" s="2737"/>
    </row>
    <row r="82" ht="20.25" customHeight="1">
      <c r="A82" s="2329"/>
      <c r="B82" s="2876"/>
      <c r="C82" s="2902"/>
      <c r="D82" s="2854"/>
      <c r="E82" s="2947" t="s">
        <v>669</v>
      </c>
      <c r="F82" s="2948"/>
      <c r="G82" s="2909"/>
      <c r="H82" s="2949" t="str">
        <f>IMAGE("https://raw.githubusercontent.com/msikma/pokesprite/master/misc/types/gen8/psychic.png",4,20,20)</f>
        <v/>
      </c>
      <c r="I82" s="2866"/>
      <c r="J82" s="2947" t="s">
        <v>744</v>
      </c>
      <c r="K82" s="2948"/>
      <c r="L82" s="2909"/>
      <c r="M82" s="2949" t="str">
        <f>IMAGE("https://raw.githubusercontent.com/msikma/pokesprite/master/misc/types/gen8/flying.png",4,20,20)</f>
        <v/>
      </c>
      <c r="N82" s="2866"/>
      <c r="O82" s="2947" t="s">
        <v>959</v>
      </c>
      <c r="P82" s="2948"/>
      <c r="Q82" s="2909"/>
      <c r="R82" s="2949" t="str">
        <f>IMAGE("https://raw.githubusercontent.com/msikma/pokesprite/master/misc/types/gen8/fairy.png",4,20,20)</f>
        <v/>
      </c>
      <c r="S82" s="2866"/>
      <c r="T82" s="2947" t="s">
        <v>670</v>
      </c>
      <c r="U82" s="2948"/>
      <c r="V82" s="2909"/>
      <c r="W82" s="2949" t="str">
        <f>IMAGE("https://raw.githubusercontent.com/msikma/pokesprite/master/misc/types/gen8/ice.png",4,20,20)</f>
        <v/>
      </c>
      <c r="X82" s="2865"/>
      <c r="Y82" s="2854"/>
      <c r="Z82" s="2855"/>
      <c r="AA82" s="2855"/>
      <c r="AB82" s="2856"/>
      <c r="AC82" s="2867"/>
      <c r="AD82" s="2854"/>
      <c r="AE82" s="2855"/>
      <c r="AF82" s="2855"/>
      <c r="AG82" s="2856"/>
      <c r="AH82" s="2858"/>
      <c r="AI82" s="2737"/>
    </row>
    <row r="83" ht="20.25" customHeight="1">
      <c r="A83" s="2329"/>
      <c r="B83" s="2876"/>
      <c r="C83" s="2902"/>
      <c r="D83" s="2854"/>
      <c r="E83" s="2947" t="s">
        <v>579</v>
      </c>
      <c r="F83" s="2948"/>
      <c r="G83" s="2909"/>
      <c r="H83" s="2949" t="str">
        <f>IMAGE("https://raw.githubusercontent.com/msikma/pokesprite/master/misc/types/gen8/dark.png",4,20,20)</f>
        <v/>
      </c>
      <c r="I83" s="2866"/>
      <c r="J83" s="2947" t="s">
        <v>695</v>
      </c>
      <c r="K83" s="2948"/>
      <c r="L83" s="2909"/>
      <c r="M83" s="2949" t="str">
        <f>IMAGE("https://raw.githubusercontent.com/msikma/pokesprite/master/misc/types/gen8/ground.png",4,20,20)</f>
        <v/>
      </c>
      <c r="N83" s="2866"/>
      <c r="O83" s="2947" t="s">
        <v>579</v>
      </c>
      <c r="P83" s="2948"/>
      <c r="Q83" s="2909"/>
      <c r="R83" s="2949" t="str">
        <f>IMAGE("https://raw.githubusercontent.com/msikma/pokesprite/master/misc/types/gen8/dark.png",4,20,20)</f>
        <v/>
      </c>
      <c r="S83" s="2866"/>
      <c r="T83" s="2947" t="s">
        <v>666</v>
      </c>
      <c r="U83" s="2948"/>
      <c r="V83" s="2909"/>
      <c r="W83" s="2949" t="str">
        <f>IMAGE("https://raw.githubusercontent.com/msikma/pokesprite/master/misc/types/gen8/dark.png",4,20,20)</f>
        <v/>
      </c>
      <c r="X83" s="2865"/>
      <c r="Y83" s="2854"/>
      <c r="Z83" s="2855"/>
      <c r="AA83" s="2855"/>
      <c r="AB83" s="2856"/>
      <c r="AC83" s="2867"/>
      <c r="AD83" s="2854"/>
      <c r="AE83" s="2855"/>
      <c r="AF83" s="2855"/>
      <c r="AG83" s="2856"/>
      <c r="AH83" s="2858"/>
      <c r="AI83" s="2737"/>
    </row>
    <row r="84" ht="21.0" customHeight="1">
      <c r="A84" s="2329"/>
      <c r="B84" s="2876"/>
      <c r="C84" s="2902"/>
      <c r="D84" s="2854"/>
      <c r="E84" s="2950" t="s">
        <v>647</v>
      </c>
      <c r="F84" s="1059"/>
      <c r="G84" s="2951"/>
      <c r="H84" s="2952" t="str">
        <f>IMAGE("https://raw.githubusercontent.com/msikma/pokesprite/master/misc/types/gen8/ghost.png",4,20,20)</f>
        <v/>
      </c>
      <c r="I84" s="2866"/>
      <c r="J84" s="2950" t="s">
        <v>739</v>
      </c>
      <c r="K84" s="1059"/>
      <c r="L84" s="2951"/>
      <c r="M84" s="2952" t="str">
        <f>IMAGE("https://raw.githubusercontent.com/msikma/pokesprite/master/misc/types/gen8/steel.png",4,20,20)</f>
        <v/>
      </c>
      <c r="N84" s="2866"/>
      <c r="O84" s="2950" t="s">
        <v>645</v>
      </c>
      <c r="P84" s="1059"/>
      <c r="Q84" s="2951"/>
      <c r="R84" s="2952" t="str">
        <f>IMAGE("https://raw.githubusercontent.com/msikma/pokesprite/master/misc/types/gen8/ice.png",4,20,20)</f>
        <v/>
      </c>
      <c r="S84" s="2866"/>
      <c r="T84" s="2950" t="s">
        <v>805</v>
      </c>
      <c r="U84" s="1059"/>
      <c r="V84" s="2951"/>
      <c r="W84" s="2952" t="str">
        <f>IMAGE("https://raw.githubusercontent.com/msikma/pokesprite/master/misc/types/gen8/flying.png",4,20,20)</f>
        <v/>
      </c>
      <c r="X84" s="2909"/>
      <c r="Y84" s="2854"/>
      <c r="Z84" s="2855"/>
      <c r="AA84" s="2855"/>
      <c r="AB84" s="2856"/>
      <c r="AC84" s="2888"/>
      <c r="AD84" s="2854"/>
      <c r="AE84" s="2855"/>
      <c r="AF84" s="2855"/>
      <c r="AG84" s="2856"/>
      <c r="AH84" s="2858"/>
      <c r="AI84" s="2737"/>
    </row>
    <row r="85" ht="3.0" customHeight="1">
      <c r="A85" s="2802"/>
      <c r="B85" s="2910"/>
      <c r="C85" s="2911"/>
      <c r="D85" s="2912"/>
      <c r="E85" s="2913"/>
      <c r="F85" s="2913"/>
      <c r="G85" s="2913"/>
      <c r="H85" s="2913"/>
      <c r="I85" s="2912"/>
      <c r="J85" s="2913"/>
      <c r="K85" s="2913"/>
      <c r="L85" s="2913"/>
      <c r="M85" s="2913"/>
      <c r="N85" s="2912"/>
      <c r="O85" s="2913"/>
      <c r="P85" s="2913"/>
      <c r="Q85" s="2913"/>
      <c r="R85" s="2913"/>
      <c r="S85" s="2912"/>
      <c r="T85" s="2913"/>
      <c r="U85" s="2913"/>
      <c r="V85" s="2913"/>
      <c r="W85" s="2914"/>
      <c r="X85" s="2912"/>
      <c r="Y85" s="2912"/>
      <c r="Z85" s="2915"/>
      <c r="AA85" s="2915"/>
      <c r="AB85" s="2916"/>
      <c r="AC85" s="2916"/>
      <c r="AD85" s="2916"/>
      <c r="AE85" s="2916"/>
      <c r="AF85" s="2916"/>
      <c r="AG85" s="2916"/>
      <c r="AH85" s="2917"/>
      <c r="AI85" s="2810"/>
    </row>
    <row r="86" ht="16.5" customHeight="1">
      <c r="A86" s="2811"/>
      <c r="B86" s="2918"/>
      <c r="C86" s="2911"/>
      <c r="D86" s="2919"/>
      <c r="E86" s="2920" t="s">
        <v>512</v>
      </c>
      <c r="F86" s="606"/>
      <c r="G86" s="606"/>
      <c r="H86" s="607"/>
      <c r="I86" s="2921"/>
      <c r="J86" s="2920" t="s">
        <v>512</v>
      </c>
      <c r="K86" s="606"/>
      <c r="L86" s="606"/>
      <c r="M86" s="607"/>
      <c r="N86" s="2921"/>
      <c r="O86" s="2920" t="s">
        <v>512</v>
      </c>
      <c r="P86" s="606"/>
      <c r="Q86" s="606"/>
      <c r="R86" s="607"/>
      <c r="S86" s="2921"/>
      <c r="T86" s="2920" t="s">
        <v>512</v>
      </c>
      <c r="U86" s="606"/>
      <c r="V86" s="606"/>
      <c r="W86" s="607"/>
      <c r="X86" s="2922"/>
      <c r="Y86" s="2923"/>
      <c r="Z86" s="2924"/>
      <c r="AA86" s="2924"/>
      <c r="AB86" s="2923"/>
      <c r="AC86" s="2923"/>
      <c r="AD86" s="2923"/>
      <c r="AE86" s="2923"/>
      <c r="AF86" s="2923"/>
      <c r="AG86" s="2923"/>
      <c r="AH86" s="2925"/>
      <c r="AI86" s="2407"/>
    </row>
    <row r="87" ht="16.5" customHeight="1">
      <c r="A87" s="2811"/>
      <c r="B87" s="2918"/>
      <c r="C87" s="2911"/>
      <c r="D87" s="2919"/>
      <c r="E87" s="2926" t="s">
        <v>513</v>
      </c>
      <c r="F87" s="2927">
        <f t="array" ref="F87">IFERROR(VLOOKUP(E74,Dex!$B$3:$N454,8,FALSE),"")</f>
        <v>85</v>
      </c>
      <c r="G87" s="2928" t="str">
        <f t="array" ref="G87">IFERROR(VLOOKUP(F87,Dex!$P$22:$Q$276,2,FALSE),"")</f>
        <v/>
      </c>
      <c r="H87" s="2929"/>
      <c r="I87" s="2921"/>
      <c r="J87" s="2926" t="s">
        <v>513</v>
      </c>
      <c r="K87" s="2927">
        <f t="array" ref="K87">IFERROR(VLOOKUP(J74,Dex!$B$3:$N454,8,FALSE),"")</f>
        <v>80</v>
      </c>
      <c r="L87" s="2928" t="str">
        <f t="array" ref="L87">IFERROR(VLOOKUP(K87,Dex!$P$22:$Q$276,2,FALSE),"")</f>
        <v/>
      </c>
      <c r="M87" s="2929"/>
      <c r="N87" s="2921"/>
      <c r="O87" s="2926" t="s">
        <v>513</v>
      </c>
      <c r="P87" s="2927">
        <f t="array" ref="P87">IFERROR(VLOOKUP(O74,Dex!$B$3:$N454,8,FALSE),"")</f>
        <v>85</v>
      </c>
      <c r="Q87" s="2928" t="str">
        <f t="array" ref="Q87">IFERROR(VLOOKUP(P87,Dex!$P$22:$Q$276,2,FALSE),"")</f>
        <v/>
      </c>
      <c r="R87" s="2929"/>
      <c r="S87" s="2921"/>
      <c r="T87" s="2926" t="s">
        <v>513</v>
      </c>
      <c r="U87" s="2927">
        <f t="array" ref="U87">IFERROR(VLOOKUP(T74,Dex!$B$3:$N454,8,FALSE),"")</f>
        <v>70</v>
      </c>
      <c r="V87" s="2928" t="str">
        <f t="array" ref="V87">IFERROR(VLOOKUP(U87,Dex!$P$22:$Q$276,2,FALSE),"")</f>
        <v/>
      </c>
      <c r="W87" s="2929"/>
      <c r="X87" s="2922"/>
      <c r="Y87" s="2923"/>
      <c r="Z87" s="2924"/>
      <c r="AA87" s="2924"/>
      <c r="AB87" s="2923"/>
      <c r="AC87" s="2923"/>
      <c r="AD87" s="2923"/>
      <c r="AE87" s="2923"/>
      <c r="AF87" s="2923"/>
      <c r="AG87" s="2923"/>
      <c r="AH87" s="2925"/>
      <c r="AI87" s="2407"/>
    </row>
    <row r="88" ht="16.5" customHeight="1">
      <c r="A88" s="2811"/>
      <c r="B88" s="2918"/>
      <c r="C88" s="2911"/>
      <c r="D88" s="2919"/>
      <c r="E88" s="2930" t="s">
        <v>514</v>
      </c>
      <c r="F88" s="2931">
        <f t="array" ref="F88">IFERROR(VLOOKUP(E74,Dex!$B$3:$N454,9,FALSE),"")</f>
        <v>73</v>
      </c>
      <c r="G88" s="2932" t="str">
        <f t="array" ref="G88">IFERROR(VLOOKUP(F88,Dex!$P$22:$Q$276,2,FALSE),"")</f>
        <v/>
      </c>
      <c r="H88" s="2933"/>
      <c r="I88" s="2921"/>
      <c r="J88" s="2930" t="s">
        <v>514</v>
      </c>
      <c r="K88" s="2931">
        <f t="array" ref="K88">IFERROR(VLOOKUP(J74,Dex!$B$3:$N454,9,FALSE),"")</f>
        <v>105</v>
      </c>
      <c r="L88" s="2932" t="str">
        <f t="array" ref="L88">IFERROR(VLOOKUP(K88,Dex!$P$22:$Q$276,2,FALSE),"")</f>
        <v/>
      </c>
      <c r="M88" s="2933"/>
      <c r="N88" s="2921"/>
      <c r="O88" s="2930" t="s">
        <v>514</v>
      </c>
      <c r="P88" s="2931">
        <f t="array" ref="P88">IFERROR(VLOOKUP(O74,Dex!$B$3:$N454,9,FALSE),"")</f>
        <v>85</v>
      </c>
      <c r="Q88" s="2932" t="str">
        <f t="array" ref="Q88">IFERROR(VLOOKUP(P88,Dex!$P$22:$Q$276,2,FALSE),"")</f>
        <v/>
      </c>
      <c r="R88" s="2933"/>
      <c r="S88" s="2921"/>
      <c r="T88" s="2930" t="s">
        <v>514</v>
      </c>
      <c r="U88" s="2931">
        <f t="array" ref="U88">IFERROR(VLOOKUP(T74,Dex!$B$3:$N454,9,FALSE),"")</f>
        <v>85</v>
      </c>
      <c r="V88" s="2932" t="str">
        <f t="array" ref="V88">IFERROR(VLOOKUP(U88,Dex!$P$22:$Q$276,2,FALSE),"")</f>
        <v/>
      </c>
      <c r="W88" s="2933"/>
      <c r="X88" s="2922"/>
      <c r="Y88" s="2923"/>
      <c r="Z88" s="2924"/>
      <c r="AA88" s="2924"/>
      <c r="AB88" s="2923"/>
      <c r="AC88" s="2923"/>
      <c r="AD88" s="2923"/>
      <c r="AE88" s="2923"/>
      <c r="AF88" s="2923"/>
      <c r="AG88" s="2923"/>
      <c r="AH88" s="2925"/>
      <c r="AI88" s="2407"/>
    </row>
    <row r="89" ht="16.5" customHeight="1">
      <c r="A89" s="2811"/>
      <c r="B89" s="2918"/>
      <c r="C89" s="2911"/>
      <c r="D89" s="2919"/>
      <c r="E89" s="2930" t="s">
        <v>515</v>
      </c>
      <c r="F89" s="2931">
        <f t="array" ref="F89">IFERROR(VLOOKUP(E74,Dex!$B$3:$N454,10,FALSE),"")</f>
        <v>70</v>
      </c>
      <c r="G89" s="2932" t="str">
        <f t="array" ref="G89">IFERROR(VLOOKUP(F89,Dex!$P$22:$Q$276,2,FALSE),"")</f>
        <v/>
      </c>
      <c r="H89" s="2933"/>
      <c r="I89" s="2921"/>
      <c r="J89" s="2930" t="s">
        <v>515</v>
      </c>
      <c r="K89" s="2931">
        <f t="array" ref="K89">IFERROR(VLOOKUP(J74,Dex!$B$3:$N454,10,FALSE),"")</f>
        <v>65</v>
      </c>
      <c r="L89" s="2932" t="str">
        <f t="array" ref="L89">IFERROR(VLOOKUP(K89,Dex!$P$22:$Q$276,2,FALSE),"")</f>
        <v/>
      </c>
      <c r="M89" s="2933"/>
      <c r="N89" s="2921"/>
      <c r="O89" s="2930" t="s">
        <v>515</v>
      </c>
      <c r="P89" s="2931">
        <f t="array" ref="P89">IFERROR(VLOOKUP(O74,Dex!$B$3:$N454,10,FALSE),"")</f>
        <v>87</v>
      </c>
      <c r="Q89" s="2932" t="str">
        <f t="array" ref="Q89">IFERROR(VLOOKUP(P89,Dex!$P$22:$Q$276,2,FALSE),"")</f>
        <v/>
      </c>
      <c r="R89" s="2933"/>
      <c r="S89" s="2921"/>
      <c r="T89" s="2930" t="s">
        <v>515</v>
      </c>
      <c r="U89" s="2931">
        <f t="array" ref="U89">IFERROR(VLOOKUP(T74,Dex!$B$3:$N454,10,FALSE),"")</f>
        <v>65</v>
      </c>
      <c r="V89" s="2932" t="str">
        <f t="array" ref="V89">IFERROR(VLOOKUP(U89,Dex!$P$22:$Q$276,2,FALSE),"")</f>
        <v/>
      </c>
      <c r="W89" s="2933"/>
      <c r="X89" s="2922"/>
      <c r="Y89" s="2923"/>
      <c r="Z89" s="2924"/>
      <c r="AA89" s="2924"/>
      <c r="AB89" s="2923"/>
      <c r="AC89" s="2923"/>
      <c r="AD89" s="2923"/>
      <c r="AE89" s="2923"/>
      <c r="AF89" s="2923"/>
      <c r="AG89" s="2923"/>
      <c r="AH89" s="2925"/>
      <c r="AI89" s="2407"/>
    </row>
    <row r="90" ht="16.5" customHeight="1">
      <c r="A90" s="2811"/>
      <c r="B90" s="2918"/>
      <c r="C90" s="2911"/>
      <c r="D90" s="2919"/>
      <c r="E90" s="2930" t="s">
        <v>516</v>
      </c>
      <c r="F90" s="2931">
        <f t="array" ref="F90">IFERROR(VLOOKUP(E74,Dex!$B$3:$N454,11,FALSE),"")</f>
        <v>73</v>
      </c>
      <c r="G90" s="2932" t="str">
        <f t="array" ref="G90">IFERROR(VLOOKUP(F90,Dex!$P$22:$Q$276,2,FALSE),"")</f>
        <v/>
      </c>
      <c r="H90" s="2933"/>
      <c r="I90" s="2921"/>
      <c r="J90" s="2930" t="s">
        <v>516</v>
      </c>
      <c r="K90" s="2931">
        <f t="array" ref="K90">IFERROR(VLOOKUP(J74,Dex!$B$3:$N454,11,FALSE),"")</f>
        <v>60</v>
      </c>
      <c r="L90" s="2932" t="str">
        <f t="array" ref="L90">IFERROR(VLOOKUP(K90,Dex!$P$22:$Q$276,2,FALSE),"")</f>
        <v/>
      </c>
      <c r="M90" s="2933"/>
      <c r="N90" s="2921"/>
      <c r="O90" s="2930" t="s">
        <v>516</v>
      </c>
      <c r="P90" s="2931">
        <f t="array" ref="P90">IFERROR(VLOOKUP(O74,Dex!$B$3:$N454,11,FALSE),"")</f>
        <v>70</v>
      </c>
      <c r="Q90" s="2932" t="str">
        <f t="array" ref="Q90">IFERROR(VLOOKUP(P90,Dex!$P$22:$Q$276,2,FALSE),"")</f>
        <v/>
      </c>
      <c r="R90" s="2933"/>
      <c r="S90" s="2921"/>
      <c r="T90" s="2930" t="s">
        <v>516</v>
      </c>
      <c r="U90" s="2931">
        <f t="array" ref="U90">IFERROR(VLOOKUP(T74,Dex!$B$3:$N454,11,FALSE),"")</f>
        <v>125</v>
      </c>
      <c r="V90" s="2932" t="str">
        <f t="array" ref="V90">IFERROR(VLOOKUP(U90,Dex!$P$22:$Q$276,2,FALSE),"")</f>
        <v/>
      </c>
      <c r="W90" s="2933"/>
      <c r="X90" s="2922"/>
      <c r="Y90" s="2923"/>
      <c r="Z90" s="2924"/>
      <c r="AA90" s="2924"/>
      <c r="AB90" s="2923"/>
      <c r="AC90" s="2923"/>
      <c r="AD90" s="2923"/>
      <c r="AE90" s="2923"/>
      <c r="AF90" s="2923"/>
      <c r="AG90" s="2923"/>
      <c r="AH90" s="2925"/>
      <c r="AI90" s="2407"/>
    </row>
    <row r="91" ht="16.5" customHeight="1">
      <c r="A91" s="2811"/>
      <c r="B91" s="2918"/>
      <c r="C91" s="2911"/>
      <c r="D91" s="2919"/>
      <c r="E91" s="2930" t="s">
        <v>517</v>
      </c>
      <c r="F91" s="2931">
        <f t="array" ref="F91">IFERROR(VLOOKUP(E74,Dex!$B$3:$N454,12,FALSE),"")</f>
        <v>115</v>
      </c>
      <c r="G91" s="2932" t="str">
        <f t="array" ref="G91">IFERROR(VLOOKUP(F91,Dex!$P$22:$Q$276,2,FALSE),"")</f>
        <v/>
      </c>
      <c r="H91" s="2933"/>
      <c r="I91" s="2921"/>
      <c r="J91" s="2930" t="s">
        <v>517</v>
      </c>
      <c r="K91" s="2931">
        <f t="array" ref="K91">IFERROR(VLOOKUP(J74,Dex!$B$3:$N454,12,FALSE),"")</f>
        <v>75</v>
      </c>
      <c r="L91" s="2932" t="str">
        <f t="array" ref="L91">IFERROR(VLOOKUP(K91,Dex!$P$22:$Q$276,2,FALSE),"")</f>
        <v/>
      </c>
      <c r="M91" s="2933"/>
      <c r="N91" s="2921"/>
      <c r="O91" s="2930" t="s">
        <v>517</v>
      </c>
      <c r="P91" s="2931">
        <f t="array" ref="P91">IFERROR(VLOOKUP(O74,Dex!$B$3:$N454,12,FALSE),"")</f>
        <v>105</v>
      </c>
      <c r="Q91" s="2932" t="str">
        <f t="array" ref="Q91">IFERROR(VLOOKUP(P91,Dex!$P$22:$Q$276,2,FALSE),"")</f>
        <v/>
      </c>
      <c r="R91" s="2933"/>
      <c r="S91" s="2921"/>
      <c r="T91" s="2930" t="s">
        <v>517</v>
      </c>
      <c r="U91" s="2931">
        <f t="array" ref="U91">IFERROR(VLOOKUP(T74,Dex!$B$3:$N454,12,FALSE),"")</f>
        <v>65</v>
      </c>
      <c r="V91" s="2932" t="str">
        <f t="array" ref="V91">IFERROR(VLOOKUP(U91,Dex!$P$22:$Q$276,2,FALSE),"")</f>
        <v/>
      </c>
      <c r="W91" s="2933"/>
      <c r="X91" s="2922"/>
      <c r="Y91" s="2923"/>
      <c r="Z91" s="2924"/>
      <c r="AA91" s="2924"/>
      <c r="AB91" s="2923"/>
      <c r="AC91" s="2923"/>
      <c r="AD91" s="2923"/>
      <c r="AE91" s="2923"/>
      <c r="AF91" s="2923"/>
      <c r="AG91" s="2923"/>
      <c r="AH91" s="2925"/>
      <c r="AI91" s="2407"/>
    </row>
    <row r="92" ht="15.75" customHeight="1">
      <c r="A92" s="2811"/>
      <c r="B92" s="2918"/>
      <c r="C92" s="1426" t="s">
        <v>745</v>
      </c>
      <c r="D92" s="2919"/>
      <c r="E92" s="2934" t="s">
        <v>518</v>
      </c>
      <c r="F92" s="2935">
        <f t="array" ref="F92">IFERROR(VLOOKUP(E74,Dex!$B$3:$N454,13,FALSE),"")</f>
        <v>67</v>
      </c>
      <c r="G92" s="2936" t="str">
        <f t="array" ref="G92">IFERROR(VLOOKUP(F92,Dex!$P$22:$Q$276,2,FALSE),"")</f>
        <v/>
      </c>
      <c r="H92" s="2937"/>
      <c r="I92" s="2921"/>
      <c r="J92" s="2934" t="s">
        <v>518</v>
      </c>
      <c r="K92" s="2935">
        <f t="array" ref="K92">IFERROR(VLOOKUP(J74,Dex!$B$3:$N454,13,FALSE),"")</f>
        <v>130</v>
      </c>
      <c r="L92" s="2936" t="str">
        <f t="array" ref="L92">IFERROR(VLOOKUP(K92,Dex!$P$22:$Q$276,2,FALSE),"")</f>
        <v/>
      </c>
      <c r="M92" s="2937"/>
      <c r="N92" s="2921"/>
      <c r="O92" s="2934" t="s">
        <v>518</v>
      </c>
      <c r="P92" s="2935">
        <f t="array" ref="P92">IFERROR(VLOOKUP(O74,Dex!$B$3:$N454,13,FALSE),"")</f>
        <v>94</v>
      </c>
      <c r="Q92" s="2936" t="str">
        <f t="array" ref="Q92">IFERROR(VLOOKUP(P92,Dex!$P$22:$Q$276,2,FALSE),"")</f>
        <v/>
      </c>
      <c r="R92" s="2937"/>
      <c r="S92" s="2921"/>
      <c r="T92" s="2934" t="s">
        <v>518</v>
      </c>
      <c r="U92" s="2935">
        <f t="array" ref="U92">IFERROR(VLOOKUP(T74,Dex!$B$3:$N454,13,FALSE),"")</f>
        <v>120</v>
      </c>
      <c r="V92" s="2936" t="str">
        <f t="array" ref="V92">IFERROR(VLOOKUP(U92,Dex!$P$22:$Q$276,2,FALSE),"")</f>
        <v/>
      </c>
      <c r="W92" s="2937"/>
      <c r="X92" s="2922"/>
      <c r="Y92" s="2923"/>
      <c r="Z92" s="2924"/>
      <c r="AA92" s="2924"/>
      <c r="AB92" s="2923"/>
      <c r="AC92" s="2923"/>
      <c r="AD92" s="2923"/>
      <c r="AE92" s="2923"/>
      <c r="AF92" s="2923"/>
      <c r="AG92" s="2923"/>
      <c r="AH92" s="2925"/>
      <c r="AI92" s="2407"/>
    </row>
    <row r="93" ht="16.5" customHeight="1">
      <c r="A93" s="2811"/>
      <c r="B93" s="2918"/>
      <c r="C93" s="1427" t="s">
        <v>1191</v>
      </c>
      <c r="D93" s="2919"/>
      <c r="E93" s="2938" t="s">
        <v>519</v>
      </c>
      <c r="F93" s="630"/>
      <c r="G93" s="631"/>
      <c r="H93" s="632">
        <f>ROUNDDOWN((ROUNDDOWN(((((2*F92+31)*47)/100+5)),0))*1,0)</f>
        <v>82</v>
      </c>
      <c r="I93" s="2921"/>
      <c r="J93" s="2938" t="s">
        <v>519</v>
      </c>
      <c r="K93" s="630"/>
      <c r="L93" s="631"/>
      <c r="M93" s="632">
        <f>ROUNDDOWN((ROUNDDOWN(((((2*K92+31)*46)/100+5)),0))*1.1,0)</f>
        <v>151</v>
      </c>
      <c r="N93" s="2921"/>
      <c r="O93" s="2938" t="s">
        <v>519</v>
      </c>
      <c r="P93" s="630"/>
      <c r="Q93" s="631"/>
      <c r="R93" s="632">
        <f>ROUNDDOWN((ROUNDDOWN(((((2*P92+31)*46)/100+5)),0))*1.1,0)</f>
        <v>115</v>
      </c>
      <c r="S93" s="2921"/>
      <c r="T93" s="2938" t="s">
        <v>519</v>
      </c>
      <c r="U93" s="630"/>
      <c r="V93" s="631"/>
      <c r="W93" s="632">
        <f>ROUNDDOWN((ROUNDDOWN(((((2*U92+31)*46)/100+5)),0))*1.1,0)</f>
        <v>141</v>
      </c>
      <c r="X93" s="2922"/>
      <c r="Y93" s="2923"/>
      <c r="Z93" s="2924"/>
      <c r="AA93" s="2924"/>
      <c r="AB93" s="2923"/>
      <c r="AC93" s="2923"/>
      <c r="AD93" s="2923"/>
      <c r="AE93" s="2923"/>
      <c r="AF93" s="2923"/>
      <c r="AG93" s="2923"/>
      <c r="AH93" s="2925"/>
      <c r="AI93" s="2407"/>
    </row>
    <row r="94" ht="15.0" customHeight="1">
      <c r="A94" s="2329"/>
      <c r="B94" s="2939"/>
      <c r="C94" s="2940"/>
      <c r="D94" s="2941"/>
      <c r="E94" s="2942"/>
      <c r="F94" s="2942"/>
      <c r="G94" s="2942"/>
      <c r="H94" s="2942"/>
      <c r="I94" s="2941"/>
      <c r="J94" s="2942"/>
      <c r="K94" s="2942"/>
      <c r="L94" s="2942"/>
      <c r="M94" s="2942"/>
      <c r="N94" s="2941"/>
      <c r="O94" s="2942"/>
      <c r="P94" s="2942"/>
      <c r="Q94" s="2942"/>
      <c r="R94" s="2942"/>
      <c r="S94" s="2941"/>
      <c r="T94" s="2942"/>
      <c r="U94" s="2942"/>
      <c r="V94" s="2942"/>
      <c r="W94" s="2942"/>
      <c r="X94" s="2941"/>
      <c r="Y94" s="2941"/>
      <c r="Z94" s="2941"/>
      <c r="AA94" s="2941"/>
      <c r="AB94" s="2941"/>
      <c r="AC94" s="2941"/>
      <c r="AD94" s="2941"/>
      <c r="AE94" s="2941"/>
      <c r="AF94" s="2941"/>
      <c r="AG94" s="2941"/>
      <c r="AH94" s="2943"/>
      <c r="AI94" s="2737"/>
    </row>
    <row r="95" ht="15.0" customHeight="1">
      <c r="A95" s="2329"/>
      <c r="B95" s="2844"/>
      <c r="C95" s="2845"/>
      <c r="D95" s="2846"/>
      <c r="E95" s="2847"/>
      <c r="F95" s="2847"/>
      <c r="G95" s="2847"/>
      <c r="H95" s="2847"/>
      <c r="I95" s="2846"/>
      <c r="J95" s="2847"/>
      <c r="K95" s="2847"/>
      <c r="L95" s="2847"/>
      <c r="M95" s="2847"/>
      <c r="N95" s="2846"/>
      <c r="O95" s="2847"/>
      <c r="P95" s="2847"/>
      <c r="Q95" s="2847"/>
      <c r="R95" s="2847"/>
      <c r="S95" s="2846"/>
      <c r="T95" s="2847"/>
      <c r="U95" s="2847"/>
      <c r="V95" s="2847"/>
      <c r="W95" s="2847"/>
      <c r="X95" s="2846"/>
      <c r="Y95" s="2846"/>
      <c r="Z95" s="2846"/>
      <c r="AA95" s="2846"/>
      <c r="AB95" s="2846"/>
      <c r="AC95" s="2846"/>
      <c r="AD95" s="2846"/>
      <c r="AE95" s="2846"/>
      <c r="AF95" s="2846"/>
      <c r="AG95" s="2846"/>
      <c r="AH95" s="2848"/>
      <c r="AI95" s="2737"/>
    </row>
    <row r="96" ht="16.5" customHeight="1">
      <c r="A96" s="2329"/>
      <c r="B96" s="2945"/>
      <c r="C96" s="2902"/>
      <c r="D96" s="2887"/>
      <c r="E96" s="2946" t="s">
        <v>1192</v>
      </c>
      <c r="F96" s="2897"/>
      <c r="G96" s="2897"/>
      <c r="H96" s="2897"/>
      <c r="I96" s="2897"/>
      <c r="J96" s="2897"/>
      <c r="K96" s="2897"/>
      <c r="L96" s="2897"/>
      <c r="M96" s="2897"/>
      <c r="N96" s="2897"/>
      <c r="O96" s="2897"/>
      <c r="P96" s="2897"/>
      <c r="Q96" s="2897"/>
      <c r="R96" s="2897"/>
      <c r="S96" s="2897"/>
      <c r="T96" s="2897"/>
      <c r="U96" s="2897"/>
      <c r="V96" s="2897"/>
      <c r="W96" s="2897"/>
      <c r="X96" s="2897"/>
      <c r="Y96" s="2897"/>
      <c r="Z96" s="2897"/>
      <c r="AA96" s="2897"/>
      <c r="AB96" s="2897"/>
      <c r="AC96" s="2897"/>
      <c r="AD96" s="2897"/>
      <c r="AE96" s="2897"/>
      <c r="AF96" s="2897"/>
      <c r="AG96" s="2898"/>
      <c r="AH96" s="2848"/>
      <c r="AI96" s="2737"/>
    </row>
    <row r="97" ht="96.75" customHeight="1">
      <c r="A97" s="2329"/>
      <c r="B97" s="2849"/>
      <c r="C97" s="2850" t="str">
        <f>IMAGE("https://i.ibb.co/kJrTDW3/Grunt.png")</f>
        <v/>
      </c>
      <c r="D97" s="2851"/>
      <c r="E97" s="2852" t="str">
        <f t="array" ref="E97">IFERROR(VLOOKUP(E98,Dex!$B$3:$G454,3,FALSE),"")</f>
        <v/>
      </c>
      <c r="F97" s="1945"/>
      <c r="G97" s="1945"/>
      <c r="H97" s="1946"/>
      <c r="I97" s="2944"/>
      <c r="J97" s="2852" t="str">
        <f t="array" ref="J97">IFERROR(VLOOKUP(J98,Dex!$B$3:$G454,3,FALSE),"")</f>
        <v/>
      </c>
      <c r="K97" s="1945"/>
      <c r="L97" s="1945"/>
      <c r="M97" s="1946"/>
      <c r="N97" s="2944"/>
      <c r="O97" s="2852" t="str">
        <f t="array" ref="O97">IFERROR(VLOOKUP(O98,Dex!$B$3:$G454,3,FALSE),"")</f>
        <v/>
      </c>
      <c r="P97" s="1945"/>
      <c r="Q97" s="1945"/>
      <c r="R97" s="1946"/>
      <c r="S97" s="2944"/>
      <c r="T97" s="2852" t="str">
        <f t="array" ref="T97">IFERROR(VLOOKUP(T98,Dex!$B$3:$G454,3,FALSE),"")</f>
        <v/>
      </c>
      <c r="U97" s="1945"/>
      <c r="V97" s="1945"/>
      <c r="W97" s="1946"/>
      <c r="X97" s="2853"/>
      <c r="Y97" s="2854"/>
      <c r="Z97" s="2855"/>
      <c r="AA97" s="2855"/>
      <c r="AB97" s="2856"/>
      <c r="AC97" s="2857"/>
      <c r="AD97" s="2854"/>
      <c r="AE97" s="2855"/>
      <c r="AF97" s="2855"/>
      <c r="AG97" s="2856"/>
      <c r="AH97" s="2858"/>
      <c r="AI97" s="2737"/>
    </row>
    <row r="98" ht="18.75" customHeight="1">
      <c r="A98" s="2354"/>
      <c r="B98" s="2859"/>
      <c r="C98" s="2860" t="s">
        <v>1193</v>
      </c>
      <c r="D98" s="2861"/>
      <c r="E98" s="2862" t="s">
        <v>1194</v>
      </c>
      <c r="F98" s="2863"/>
      <c r="G98" s="2863"/>
      <c r="H98" s="2864"/>
      <c r="I98" s="2861"/>
      <c r="J98" s="2862" t="s">
        <v>1031</v>
      </c>
      <c r="K98" s="2863"/>
      <c r="L98" s="2863"/>
      <c r="M98" s="2864"/>
      <c r="N98" s="2861"/>
      <c r="O98" s="2862" t="s">
        <v>1195</v>
      </c>
      <c r="P98" s="2863"/>
      <c r="Q98" s="2863"/>
      <c r="R98" s="2864"/>
      <c r="S98" s="2861"/>
      <c r="T98" s="2862" t="s">
        <v>558</v>
      </c>
      <c r="U98" s="2863"/>
      <c r="V98" s="2863"/>
      <c r="W98" s="2864"/>
      <c r="X98" s="2865"/>
      <c r="Y98" s="2866"/>
      <c r="Z98" s="2855"/>
      <c r="AA98" s="2855"/>
      <c r="AB98" s="2856"/>
      <c r="AC98" s="2867"/>
      <c r="AD98" s="2866"/>
      <c r="AE98" s="2855"/>
      <c r="AF98" s="2855"/>
      <c r="AG98" s="2856"/>
      <c r="AH98" s="2868"/>
      <c r="AI98" s="2757"/>
    </row>
    <row r="99">
      <c r="A99" s="2758"/>
      <c r="B99" s="2869"/>
      <c r="C99" s="556"/>
      <c r="D99" s="2870"/>
      <c r="E99" s="2871" t="s">
        <v>729</v>
      </c>
      <c r="F99" s="2872"/>
      <c r="G99" s="2872"/>
      <c r="H99" s="2873"/>
      <c r="I99" s="2861"/>
      <c r="J99" s="2871" t="s">
        <v>729</v>
      </c>
      <c r="K99" s="2872"/>
      <c r="L99" s="2872"/>
      <c r="M99" s="2873"/>
      <c r="N99" s="2861"/>
      <c r="O99" s="2871" t="s">
        <v>729</v>
      </c>
      <c r="P99" s="2872"/>
      <c r="Q99" s="2872"/>
      <c r="R99" s="2873"/>
      <c r="S99" s="2861"/>
      <c r="T99" s="2871" t="s">
        <v>729</v>
      </c>
      <c r="U99" s="2872"/>
      <c r="V99" s="2872"/>
      <c r="W99" s="2873"/>
      <c r="X99" s="2865"/>
      <c r="Y99" s="2874"/>
      <c r="Z99" s="2855"/>
      <c r="AA99" s="2855"/>
      <c r="AB99" s="2856"/>
      <c r="AC99" s="2867"/>
      <c r="AD99" s="2874"/>
      <c r="AE99" s="2855"/>
      <c r="AF99" s="2855"/>
      <c r="AG99" s="2856"/>
      <c r="AH99" s="2875"/>
      <c r="AI99" s="2766"/>
    </row>
    <row r="100" ht="25.5" customHeight="1">
      <c r="A100" s="2329"/>
      <c r="B100" s="2876"/>
      <c r="C100" s="2877"/>
      <c r="D100" s="2854"/>
      <c r="E100" s="2878"/>
      <c r="F100" s="2882" t="str">
        <f t="array" ref="F100">IFERROR(VLOOKUP(E98,Dex!$B$3:$H454,5,FALSE),"")</f>
        <v/>
      </c>
      <c r="G100" s="2883" t="str">
        <f t="array" ref="G100">IFERROR(VLOOKUP(E98,Dex!$B$3:$H454,7,FALSE),"")</f>
        <v/>
      </c>
      <c r="H100" s="2881"/>
      <c r="I100" s="2866"/>
      <c r="J100" s="2878"/>
      <c r="K100" s="2879" t="str">
        <f t="array" ref="K100">IFERROR(VLOOKUP(J98,Dex!$B$3:$H454,5,FALSE),"")</f>
        <v/>
      </c>
      <c r="L100" s="2880"/>
      <c r="M100" s="2881"/>
      <c r="N100" s="2866"/>
      <c r="O100" s="2878"/>
      <c r="P100" s="2882" t="str">
        <f t="array" ref="P100">IFERROR(VLOOKUP(O98,Dex!$B$3:$H454,5,FALSE),"")</f>
        <v/>
      </c>
      <c r="Q100" s="2883" t="str">
        <f t="array" ref="Q100">IFERROR(VLOOKUP(O98,Dex!$B$3:$H454,7,FALSE),"")</f>
        <v/>
      </c>
      <c r="R100" s="2881"/>
      <c r="S100" s="2866"/>
      <c r="T100" s="2878"/>
      <c r="U100" s="2882" t="str">
        <f t="array" ref="U100">IFERROR(VLOOKUP(T98,Dex!$B$3:$H454,5,FALSE),"")</f>
        <v/>
      </c>
      <c r="V100" s="2883" t="str">
        <f t="array" ref="V100">IFERROR(VLOOKUP(T98,Dex!$B$3:$H454,7,FALSE),"")</f>
        <v/>
      </c>
      <c r="W100" s="2881"/>
      <c r="X100" s="2865"/>
      <c r="Y100" s="2854"/>
      <c r="Z100" s="2855"/>
      <c r="AA100" s="2855"/>
      <c r="AB100" s="2856"/>
      <c r="AC100" s="2867"/>
      <c r="AD100" s="2854"/>
      <c r="AE100" s="2855"/>
      <c r="AF100" s="2855"/>
      <c r="AG100" s="2856"/>
      <c r="AH100" s="2858"/>
      <c r="AI100" s="2737"/>
    </row>
    <row r="101" ht="2.25" customHeight="1">
      <c r="A101" s="2329"/>
      <c r="B101" s="2876"/>
      <c r="C101" s="2867"/>
      <c r="D101" s="2854"/>
      <c r="E101" s="2884"/>
      <c r="F101" s="2885"/>
      <c r="G101" s="2885"/>
      <c r="H101" s="2886"/>
      <c r="I101" s="2866"/>
      <c r="J101" s="2884"/>
      <c r="K101" s="2885"/>
      <c r="L101" s="2885"/>
      <c r="M101" s="2886"/>
      <c r="N101" s="2866"/>
      <c r="O101" s="2884"/>
      <c r="P101" s="2885"/>
      <c r="Q101" s="2885"/>
      <c r="R101" s="2886"/>
      <c r="S101" s="2866"/>
      <c r="T101" s="2884"/>
      <c r="U101" s="2885"/>
      <c r="V101" s="2885"/>
      <c r="W101" s="2886"/>
      <c r="X101" s="2865"/>
      <c r="Y101" s="2887"/>
      <c r="Z101" s="2887"/>
      <c r="AA101" s="2887"/>
      <c r="AB101" s="2887"/>
      <c r="AC101" s="2867"/>
      <c r="AD101" s="2887"/>
      <c r="AE101" s="2887"/>
      <c r="AF101" s="2887"/>
      <c r="AG101" s="2887"/>
      <c r="AH101" s="2858"/>
      <c r="AI101" s="2737"/>
    </row>
    <row r="102" ht="20.25" customHeight="1">
      <c r="A102" s="2329"/>
      <c r="B102" s="2876"/>
      <c r="C102" s="2888"/>
      <c r="D102" s="2854"/>
      <c r="E102" s="2889" t="s">
        <v>482</v>
      </c>
      <c r="F102" s="2890"/>
      <c r="G102" s="2890"/>
      <c r="H102" s="2891"/>
      <c r="I102" s="2892"/>
      <c r="J102" s="2889" t="s">
        <v>532</v>
      </c>
      <c r="K102" s="2890"/>
      <c r="L102" s="2890"/>
      <c r="M102" s="2891"/>
      <c r="N102" s="2892"/>
      <c r="O102" s="2889" t="s">
        <v>532</v>
      </c>
      <c r="P102" s="2890"/>
      <c r="Q102" s="2890"/>
      <c r="R102" s="2891"/>
      <c r="S102" s="2892"/>
      <c r="T102" s="2889" t="s">
        <v>564</v>
      </c>
      <c r="U102" s="2890"/>
      <c r="V102" s="2890"/>
      <c r="W102" s="2891"/>
      <c r="X102" s="2865"/>
      <c r="Y102" s="2854"/>
      <c r="Z102" s="2855"/>
      <c r="AA102" s="2855"/>
      <c r="AB102" s="2856"/>
      <c r="AC102" s="2867"/>
      <c r="AD102" s="2854"/>
      <c r="AE102" s="2855"/>
      <c r="AF102" s="2855"/>
      <c r="AG102" s="2856"/>
      <c r="AH102" s="2858"/>
      <c r="AI102" s="2737"/>
    </row>
    <row r="103" ht="20.25" customHeight="1">
      <c r="A103" s="2329"/>
      <c r="B103" s="2876"/>
      <c r="C103" s="2893"/>
      <c r="D103" s="2854"/>
      <c r="E103" s="2894" t="s">
        <v>1196</v>
      </c>
      <c r="F103" s="2855"/>
      <c r="G103" s="2855"/>
      <c r="H103" s="2895"/>
      <c r="I103" s="2892"/>
      <c r="J103" s="2894" t="s">
        <v>1037</v>
      </c>
      <c r="K103" s="2855"/>
      <c r="L103" s="2855"/>
      <c r="M103" s="2895"/>
      <c r="N103" s="2892"/>
      <c r="O103" s="2894" t="s">
        <v>799</v>
      </c>
      <c r="P103" s="2855"/>
      <c r="Q103" s="2855"/>
      <c r="R103" s="2895"/>
      <c r="S103" s="2892"/>
      <c r="T103" s="2894" t="s">
        <v>484</v>
      </c>
      <c r="U103" s="2855"/>
      <c r="V103" s="2855"/>
      <c r="W103" s="2895"/>
      <c r="X103" s="2865"/>
      <c r="Y103" s="2854"/>
      <c r="Z103" s="2855"/>
      <c r="AA103" s="2855"/>
      <c r="AB103" s="2856"/>
      <c r="AC103" s="2867"/>
      <c r="AD103" s="2854"/>
      <c r="AE103" s="2855"/>
      <c r="AF103" s="2855"/>
      <c r="AG103" s="2856"/>
      <c r="AH103" s="2858"/>
      <c r="AI103" s="2737"/>
    </row>
    <row r="104" ht="20.25" customHeight="1">
      <c r="A104" s="2329"/>
      <c r="B104" s="2876"/>
      <c r="C104" s="2867"/>
      <c r="D104" s="2854"/>
      <c r="E104" s="2896" t="s">
        <v>684</v>
      </c>
      <c r="F104" s="2897"/>
      <c r="G104" s="2898"/>
      <c r="H104" s="2899" t="str">
        <f>IMAGE("https://raw.githubusercontent.com/msikma/pokesprite/master/items/berry/shuca.png",3)</f>
        <v/>
      </c>
      <c r="I104" s="2866"/>
      <c r="J104" s="2896" t="s">
        <v>859</v>
      </c>
      <c r="K104" s="2897"/>
      <c r="L104" s="2898"/>
      <c r="M104" s="2899" t="str">
        <f>IMAGE("https://raw.githubusercontent.com/msikma/pokesprite/master/items/gem/normal.png",3)</f>
        <v/>
      </c>
      <c r="N104" s="2866"/>
      <c r="O104" s="2896" t="s">
        <v>1019</v>
      </c>
      <c r="P104" s="2897"/>
      <c r="Q104" s="2898"/>
      <c r="R104" s="2899" t="str">
        <f>IMAGE("https://raw.githubusercontent.com/msikma/pokesprite/master/items/hold-item/miracle-seed.png",3)</f>
        <v/>
      </c>
      <c r="S104" s="2866"/>
      <c r="T104" s="2896" t="s">
        <v>1197</v>
      </c>
      <c r="U104" s="2897"/>
      <c r="V104" s="2898"/>
      <c r="W104" s="2899" t="str">
        <f>IMAGE("https://raw.githubusercontent.com/msikma/pokesprite/master/items/berry/charti.png",3)</f>
        <v/>
      </c>
      <c r="X104" s="2865"/>
      <c r="Y104" s="2854"/>
      <c r="Z104" s="2855"/>
      <c r="AA104" s="2855"/>
      <c r="AB104" s="2856"/>
      <c r="AC104" s="2867"/>
      <c r="AD104" s="2854"/>
      <c r="AE104" s="2855"/>
      <c r="AF104" s="2855"/>
      <c r="AG104" s="2856"/>
      <c r="AH104" s="2858"/>
      <c r="AI104" s="2737"/>
    </row>
    <row r="105" ht="20.25" customHeight="1">
      <c r="A105" s="2329"/>
      <c r="B105" s="2876"/>
      <c r="C105" s="2888"/>
      <c r="D105" s="2854"/>
      <c r="E105" s="2953" t="s">
        <v>614</v>
      </c>
      <c r="F105" s="2890"/>
      <c r="G105" s="2900"/>
      <c r="H105" s="2954" t="str">
        <f>IMAGE("https://raw.githubusercontent.com/msikma/pokesprite/master/misc/types/gen8/poison.png",4,20,20)</f>
        <v/>
      </c>
      <c r="I105" s="2866"/>
      <c r="J105" s="2953" t="s">
        <v>928</v>
      </c>
      <c r="K105" s="2890"/>
      <c r="L105" s="2900"/>
      <c r="M105" s="2954" t="str">
        <f>IMAGE("https://raw.githubusercontent.com/msikma/pokesprite/master/misc/types/gen8/normal.png",4,20,20)</f>
        <v/>
      </c>
      <c r="N105" s="2866"/>
      <c r="O105" s="2953" t="s">
        <v>1041</v>
      </c>
      <c r="P105" s="2890"/>
      <c r="Q105" s="2900"/>
      <c r="R105" s="2954" t="str">
        <f>IMAGE("https://raw.githubusercontent.com/msikma/pokesprite/master/misc/types/gen8/grass.png",4,20,20)</f>
        <v/>
      </c>
      <c r="S105" s="2866"/>
      <c r="T105" s="2953" t="s">
        <v>547</v>
      </c>
      <c r="U105" s="2890"/>
      <c r="V105" s="2900"/>
      <c r="W105" s="2954" t="str">
        <f>IMAGE("https://raw.githubusercontent.com/msikma/pokesprite/master/misc/types/gen8/electric.png",4,20,20)</f>
        <v/>
      </c>
      <c r="X105" s="2865"/>
      <c r="Y105" s="2854"/>
      <c r="Z105" s="2855"/>
      <c r="AA105" s="2855"/>
      <c r="AB105" s="2856"/>
      <c r="AC105" s="2867"/>
      <c r="AD105" s="2854"/>
      <c r="AE105" s="2855"/>
      <c r="AF105" s="2855"/>
      <c r="AG105" s="2856"/>
      <c r="AH105" s="2858"/>
      <c r="AI105" s="2737"/>
    </row>
    <row r="106" ht="20.25" customHeight="1">
      <c r="A106" s="2329"/>
      <c r="B106" s="2876"/>
      <c r="C106" s="2902"/>
      <c r="D106" s="2854"/>
      <c r="E106" s="2955" t="s">
        <v>1198</v>
      </c>
      <c r="F106" s="2948"/>
      <c r="G106" s="2909"/>
      <c r="H106" s="2949" t="str">
        <f>IMAGE("https://raw.githubusercontent.com/msikma/pokesprite/master/misc/types/gen8/fairy.png",4,20,20)</f>
        <v/>
      </c>
      <c r="I106" s="2866"/>
      <c r="J106" s="2955" t="s">
        <v>1020</v>
      </c>
      <c r="K106" s="2948"/>
      <c r="L106" s="2909"/>
      <c r="M106" s="2949" t="str">
        <f>IMAGE("https://raw.githubusercontent.com/msikma/pokesprite/master/misc/types/gen8/fire.png",4,20,20)</f>
        <v/>
      </c>
      <c r="N106" s="2866"/>
      <c r="O106" s="2955" t="s">
        <v>583</v>
      </c>
      <c r="P106" s="2948"/>
      <c r="Q106" s="2909"/>
      <c r="R106" s="2949" t="str">
        <f>IMAGE("https://raw.githubusercontent.com/msikma/pokesprite/master/misc/types/gen8/fighting.png",4,20,20)</f>
        <v/>
      </c>
      <c r="S106" s="2866"/>
      <c r="T106" s="2955" t="s">
        <v>1199</v>
      </c>
      <c r="U106" s="2948"/>
      <c r="V106" s="2909"/>
      <c r="W106" s="2949" t="str">
        <f t="shared" ref="W106:W107" si="2">IMAGE("https://raw.githubusercontent.com/msikma/pokesprite/master/misc/types/gen8/ice.png",4,20,20)</f>
        <v/>
      </c>
      <c r="X106" s="2865"/>
      <c r="Y106" s="2854"/>
      <c r="Z106" s="2855"/>
      <c r="AA106" s="2855"/>
      <c r="AB106" s="2856"/>
      <c r="AC106" s="2867"/>
      <c r="AD106" s="2854"/>
      <c r="AE106" s="2855"/>
      <c r="AF106" s="2855"/>
      <c r="AG106" s="2856"/>
      <c r="AH106" s="2858"/>
      <c r="AI106" s="2737"/>
    </row>
    <row r="107" ht="20.25" customHeight="1">
      <c r="A107" s="2329"/>
      <c r="B107" s="2876"/>
      <c r="C107" s="2902"/>
      <c r="D107" s="2854"/>
      <c r="E107" s="2955" t="s">
        <v>619</v>
      </c>
      <c r="F107" s="2948"/>
      <c r="G107" s="2909"/>
      <c r="H107" s="2949" t="str">
        <f t="shared" ref="H107:H108" si="3">IMAGE("https://raw.githubusercontent.com/msikma/pokesprite/master/misc/types/gen8/fire.png",4,20,20)</f>
        <v/>
      </c>
      <c r="I107" s="2866"/>
      <c r="J107" s="2955" t="s">
        <v>579</v>
      </c>
      <c r="K107" s="2948"/>
      <c r="L107" s="2909"/>
      <c r="M107" s="2949" t="str">
        <f>IMAGE("https://raw.githubusercontent.com/msikma/pokesprite/master/misc/types/gen8/dark.png",4,20,20)</f>
        <v/>
      </c>
      <c r="N107" s="2866"/>
      <c r="O107" s="2955" t="s">
        <v>621</v>
      </c>
      <c r="P107" s="2948"/>
      <c r="Q107" s="2909"/>
      <c r="R107" s="2949" t="str">
        <f>IMAGE("https://raw.githubusercontent.com/msikma/pokesprite/master/misc/types/gen8/rock.png",4,20,20)</f>
        <v/>
      </c>
      <c r="S107" s="2866"/>
      <c r="T107" s="2955" t="s">
        <v>586</v>
      </c>
      <c r="U107" s="2948"/>
      <c r="V107" s="2909"/>
      <c r="W107" s="2949" t="str">
        <f t="shared" si="2"/>
        <v/>
      </c>
      <c r="X107" s="2865"/>
      <c r="Y107" s="2854"/>
      <c r="Z107" s="2855"/>
      <c r="AA107" s="2855"/>
      <c r="AB107" s="2856"/>
      <c r="AC107" s="2867"/>
      <c r="AD107" s="2854"/>
      <c r="AE107" s="2855"/>
      <c r="AF107" s="2855"/>
      <c r="AG107" s="2856"/>
      <c r="AH107" s="2858"/>
      <c r="AI107" s="2737"/>
    </row>
    <row r="108" ht="21.0" customHeight="1">
      <c r="A108" s="2329"/>
      <c r="B108" s="2876"/>
      <c r="C108" s="2902"/>
      <c r="D108" s="2854"/>
      <c r="E108" s="2950" t="s">
        <v>878</v>
      </c>
      <c r="F108" s="1059"/>
      <c r="G108" s="2951"/>
      <c r="H108" s="2952" t="str">
        <f t="shared" si="3"/>
        <v/>
      </c>
      <c r="I108" s="2866"/>
      <c r="J108" s="2950" t="s">
        <v>589</v>
      </c>
      <c r="K108" s="1059"/>
      <c r="L108" s="2951"/>
      <c r="M108" s="2952" t="str">
        <f>IMAGE("https://raw.githubusercontent.com/msikma/pokesprite/master/misc/types/gen8/ice.png",4,20,20)</f>
        <v/>
      </c>
      <c r="N108" s="2866"/>
      <c r="O108" s="2950" t="s">
        <v>579</v>
      </c>
      <c r="P108" s="1059"/>
      <c r="Q108" s="2951"/>
      <c r="R108" s="2952" t="str">
        <f>IMAGE("https://raw.githubusercontent.com/msikma/pokesprite/master/misc/types/gen8/dark.png",4,20,20)</f>
        <v/>
      </c>
      <c r="S108" s="2866"/>
      <c r="T108" s="2950" t="s">
        <v>671</v>
      </c>
      <c r="U108" s="1059"/>
      <c r="V108" s="2951"/>
      <c r="W108" s="2952" t="str">
        <f>IMAGE("https://raw.githubusercontent.com/msikma/pokesprite/master/misc/types/gen8/fire.png",4,20,20)</f>
        <v/>
      </c>
      <c r="X108" s="2909"/>
      <c r="Y108" s="2854"/>
      <c r="Z108" s="2855"/>
      <c r="AA108" s="2855"/>
      <c r="AB108" s="2856"/>
      <c r="AC108" s="2888"/>
      <c r="AD108" s="2854"/>
      <c r="AE108" s="2855"/>
      <c r="AF108" s="2855"/>
      <c r="AG108" s="2856"/>
      <c r="AH108" s="2858"/>
      <c r="AI108" s="2737"/>
    </row>
    <row r="109" ht="3.0" customHeight="1">
      <c r="A109" s="2802"/>
      <c r="B109" s="2910"/>
      <c r="C109" s="2911"/>
      <c r="D109" s="2912"/>
      <c r="E109" s="2913"/>
      <c r="F109" s="2913"/>
      <c r="G109" s="2913"/>
      <c r="H109" s="2913"/>
      <c r="I109" s="2912"/>
      <c r="J109" s="2913"/>
      <c r="K109" s="2913"/>
      <c r="L109" s="2913"/>
      <c r="M109" s="2913"/>
      <c r="N109" s="2912"/>
      <c r="O109" s="2913"/>
      <c r="P109" s="2913"/>
      <c r="Q109" s="2913"/>
      <c r="R109" s="2913"/>
      <c r="S109" s="2912"/>
      <c r="T109" s="2913"/>
      <c r="U109" s="2913"/>
      <c r="V109" s="2913"/>
      <c r="W109" s="2914"/>
      <c r="X109" s="2912"/>
      <c r="Y109" s="2912"/>
      <c r="Z109" s="2915"/>
      <c r="AA109" s="2915"/>
      <c r="AB109" s="2916"/>
      <c r="AC109" s="2916"/>
      <c r="AD109" s="2916"/>
      <c r="AE109" s="2916"/>
      <c r="AF109" s="2916"/>
      <c r="AG109" s="2916"/>
      <c r="AH109" s="2917"/>
      <c r="AI109" s="2810"/>
    </row>
    <row r="110" ht="16.5" customHeight="1">
      <c r="A110" s="2811"/>
      <c r="B110" s="2918"/>
      <c r="C110" s="2911"/>
      <c r="D110" s="2919"/>
      <c r="E110" s="2920" t="s">
        <v>512</v>
      </c>
      <c r="F110" s="606"/>
      <c r="G110" s="606"/>
      <c r="H110" s="607"/>
      <c r="I110" s="2921"/>
      <c r="J110" s="2920" t="s">
        <v>512</v>
      </c>
      <c r="K110" s="606"/>
      <c r="L110" s="606"/>
      <c r="M110" s="607"/>
      <c r="N110" s="2921"/>
      <c r="O110" s="2920" t="s">
        <v>512</v>
      </c>
      <c r="P110" s="606"/>
      <c r="Q110" s="606"/>
      <c r="R110" s="607"/>
      <c r="S110" s="2921"/>
      <c r="T110" s="2920" t="s">
        <v>512</v>
      </c>
      <c r="U110" s="606"/>
      <c r="V110" s="606"/>
      <c r="W110" s="607"/>
      <c r="X110" s="2922"/>
      <c r="Y110" s="2923"/>
      <c r="Z110" s="2924"/>
      <c r="AA110" s="2924"/>
      <c r="AB110" s="2923"/>
      <c r="AC110" s="2923"/>
      <c r="AD110" s="2923"/>
      <c r="AE110" s="2923"/>
      <c r="AF110" s="2923"/>
      <c r="AG110" s="2923"/>
      <c r="AH110" s="2925"/>
      <c r="AI110" s="2407"/>
    </row>
    <row r="111" ht="16.5" customHeight="1">
      <c r="A111" s="2811"/>
      <c r="B111" s="2918"/>
      <c r="C111" s="2911"/>
      <c r="D111" s="2919"/>
      <c r="E111" s="2926" t="s">
        <v>513</v>
      </c>
      <c r="F111" s="2927">
        <f t="array" ref="F111">IFERROR(VLOOKUP(E98,Dex!$B$3:$N454,8,FALSE),"")</f>
        <v>65</v>
      </c>
      <c r="G111" s="2928" t="str">
        <f t="array" ref="G111">IFERROR(VLOOKUP(F111,Dex!$P$22:$Q$276,2,FALSE),"")</f>
        <v/>
      </c>
      <c r="H111" s="2929"/>
      <c r="I111" s="2921"/>
      <c r="J111" s="2926" t="s">
        <v>513</v>
      </c>
      <c r="K111" s="2927">
        <f t="array" ref="K111">IFERROR(VLOOKUP(J98,Dex!$B$3:$N454,8,FALSE),"")</f>
        <v>150</v>
      </c>
      <c r="L111" s="2928" t="str">
        <f t="array" ref="L111">IFERROR(VLOOKUP(K111,Dex!$P$22:$Q$276,2,FALSE),"")</f>
        <v/>
      </c>
      <c r="M111" s="2929"/>
      <c r="N111" s="2921"/>
      <c r="O111" s="2926" t="s">
        <v>513</v>
      </c>
      <c r="P111" s="2927">
        <f t="array" ref="P111">IFERROR(VLOOKUP(O98,Dex!$B$3:$N454,8,FALSE),"")</f>
        <v>70</v>
      </c>
      <c r="Q111" s="2928" t="str">
        <f t="array" ref="Q111">IFERROR(VLOOKUP(P111,Dex!$P$22:$Q$276,2,FALSE),"")</f>
        <v/>
      </c>
      <c r="R111" s="2929"/>
      <c r="S111" s="2921"/>
      <c r="T111" s="2926" t="s">
        <v>513</v>
      </c>
      <c r="U111" s="2927">
        <f t="array" ref="U111">IFERROR(VLOOKUP(T98,Dex!$B$3:$N454,8,FALSE),"")</f>
        <v>50</v>
      </c>
      <c r="V111" s="2928" t="str">
        <f t="array" ref="V111">IFERROR(VLOOKUP(U111,Dex!$P$22:$Q$276,2,FALSE),"")</f>
        <v/>
      </c>
      <c r="W111" s="2929"/>
      <c r="X111" s="2922"/>
      <c r="Y111" s="2923"/>
      <c r="Z111" s="2924"/>
      <c r="AA111" s="2924"/>
      <c r="AB111" s="2923"/>
      <c r="AC111" s="2923"/>
      <c r="AD111" s="2923"/>
      <c r="AE111" s="2923"/>
      <c r="AF111" s="2923"/>
      <c r="AG111" s="2923"/>
      <c r="AH111" s="2925"/>
      <c r="AI111" s="2407"/>
    </row>
    <row r="112" ht="16.5" customHeight="1">
      <c r="A112" s="2811"/>
      <c r="B112" s="2918"/>
      <c r="C112" s="2911"/>
      <c r="D112" s="2919"/>
      <c r="E112" s="2930" t="s">
        <v>514</v>
      </c>
      <c r="F112" s="2931">
        <f t="array" ref="F112">IFERROR(VLOOKUP(E98,Dex!$B$3:$N454,9,FALSE),"")</f>
        <v>90</v>
      </c>
      <c r="G112" s="2932" t="str">
        <f t="array" ref="G112">IFERROR(VLOOKUP(F112,Dex!$P$22:$Q$276,2,FALSE),"")</f>
        <v/>
      </c>
      <c r="H112" s="2933"/>
      <c r="I112" s="2921"/>
      <c r="J112" s="2930" t="s">
        <v>514</v>
      </c>
      <c r="K112" s="2931">
        <f t="array" ref="K112">IFERROR(VLOOKUP(J98,Dex!$B$3:$N454,9,FALSE),"")</f>
        <v>160</v>
      </c>
      <c r="L112" s="2932" t="str">
        <f t="array" ref="L112">IFERROR(VLOOKUP(K112,Dex!$P$22:$Q$276,2,FALSE),"")</f>
        <v/>
      </c>
      <c r="M112" s="2933"/>
      <c r="N112" s="2921"/>
      <c r="O112" s="2930" t="s">
        <v>514</v>
      </c>
      <c r="P112" s="2931">
        <f t="array" ref="P112">IFERROR(VLOOKUP(O98,Dex!$B$3:$N454,9,FALSE),"")</f>
        <v>105</v>
      </c>
      <c r="Q112" s="2932" t="str">
        <f t="array" ref="Q112">IFERROR(VLOOKUP(P112,Dex!$P$22:$Q$276,2,FALSE),"")</f>
        <v/>
      </c>
      <c r="R112" s="2933"/>
      <c r="S112" s="2921"/>
      <c r="T112" s="2930" t="s">
        <v>514</v>
      </c>
      <c r="U112" s="2931">
        <f t="array" ref="U112">IFERROR(VLOOKUP(T98,Dex!$B$3:$N454,9,FALSE),"")</f>
        <v>65</v>
      </c>
      <c r="V112" s="2932" t="str">
        <f t="array" ref="V112">IFERROR(VLOOKUP(U112,Dex!$P$22:$Q$276,2,FALSE),"")</f>
        <v/>
      </c>
      <c r="W112" s="2933"/>
      <c r="X112" s="2922"/>
      <c r="Y112" s="2923"/>
      <c r="Z112" s="2924"/>
      <c r="AA112" s="2924"/>
      <c r="AB112" s="2923"/>
      <c r="AC112" s="2923"/>
      <c r="AD112" s="2923"/>
      <c r="AE112" s="2923"/>
      <c r="AF112" s="2923"/>
      <c r="AG112" s="2923"/>
      <c r="AH112" s="2925"/>
      <c r="AI112" s="2407"/>
    </row>
    <row r="113" ht="16.5" customHeight="1">
      <c r="A113" s="2811"/>
      <c r="B113" s="2918"/>
      <c r="C113" s="2911"/>
      <c r="D113" s="2919"/>
      <c r="E113" s="2930" t="s">
        <v>515</v>
      </c>
      <c r="F113" s="2931">
        <f t="array" ref="F113">IFERROR(VLOOKUP(E98,Dex!$B$3:$N454,10,FALSE),"")</f>
        <v>120</v>
      </c>
      <c r="G113" s="2932" t="str">
        <f t="array" ref="G113">IFERROR(VLOOKUP(F113,Dex!$P$22:$Q$276,2,FALSE),"")</f>
        <v/>
      </c>
      <c r="H113" s="2933"/>
      <c r="I113" s="2921"/>
      <c r="J113" s="2930" t="s">
        <v>515</v>
      </c>
      <c r="K113" s="2931">
        <f t="array" ref="K113">IFERROR(VLOOKUP(J98,Dex!$B$3:$N454,10,FALSE),"")</f>
        <v>100</v>
      </c>
      <c r="L113" s="2932" t="str">
        <f t="array" ref="L113">IFERROR(VLOOKUP(K113,Dex!$P$22:$Q$276,2,FALSE),"")</f>
        <v/>
      </c>
      <c r="M113" s="2933"/>
      <c r="N113" s="2921"/>
      <c r="O113" s="2930" t="s">
        <v>515</v>
      </c>
      <c r="P113" s="2931">
        <f t="array" ref="P113">IFERROR(VLOOKUP(O98,Dex!$B$3:$N454,10,FALSE),"")</f>
        <v>75</v>
      </c>
      <c r="Q113" s="2932" t="str">
        <f t="array" ref="Q113">IFERROR(VLOOKUP(P113,Dex!$P$22:$Q$276,2,FALSE),"")</f>
        <v/>
      </c>
      <c r="R113" s="2933"/>
      <c r="S113" s="2921"/>
      <c r="T113" s="2930" t="s">
        <v>515</v>
      </c>
      <c r="U113" s="2931">
        <f t="array" ref="U113">IFERROR(VLOOKUP(T98,Dex!$B$3:$N454,10,FALSE),"")</f>
        <v>107</v>
      </c>
      <c r="V113" s="2932" t="str">
        <f t="array" ref="V113">IFERROR(VLOOKUP(U113,Dex!$P$22:$Q$276,2,FALSE),"")</f>
        <v/>
      </c>
      <c r="W113" s="2933"/>
      <c r="X113" s="2922"/>
      <c r="Y113" s="2923"/>
      <c r="Z113" s="2924"/>
      <c r="AA113" s="2924"/>
      <c r="AB113" s="2923"/>
      <c r="AC113" s="2923"/>
      <c r="AD113" s="2923"/>
      <c r="AE113" s="2923"/>
      <c r="AF113" s="2923"/>
      <c r="AG113" s="2923"/>
      <c r="AH113" s="2925"/>
      <c r="AI113" s="2407"/>
    </row>
    <row r="114" ht="16.5" customHeight="1">
      <c r="A114" s="2811"/>
      <c r="B114" s="2918"/>
      <c r="C114" s="2911"/>
      <c r="D114" s="2919"/>
      <c r="E114" s="2930" t="s">
        <v>516</v>
      </c>
      <c r="F114" s="2931">
        <f t="array" ref="F114">IFERROR(VLOOKUP(E98,Dex!$B$3:$N454,11,FALSE),"")</f>
        <v>85</v>
      </c>
      <c r="G114" s="2932" t="str">
        <f t="array" ref="G114">IFERROR(VLOOKUP(F114,Dex!$P$22:$Q$276,2,FALSE),"")</f>
        <v/>
      </c>
      <c r="H114" s="2933"/>
      <c r="I114" s="2921"/>
      <c r="J114" s="2930" t="s">
        <v>516</v>
      </c>
      <c r="K114" s="2931">
        <f t="array" ref="K114">IFERROR(VLOOKUP(J98,Dex!$B$3:$N454,11,FALSE),"")</f>
        <v>95</v>
      </c>
      <c r="L114" s="2932" t="str">
        <f t="array" ref="L114">IFERROR(VLOOKUP(K114,Dex!$P$22:$Q$276,2,FALSE),"")</f>
        <v/>
      </c>
      <c r="M114" s="2933"/>
      <c r="N114" s="2921"/>
      <c r="O114" s="2930" t="s">
        <v>516</v>
      </c>
      <c r="P114" s="2931">
        <f t="array" ref="P114">IFERROR(VLOOKUP(O98,Dex!$B$3:$N454,11,FALSE),"")</f>
        <v>50</v>
      </c>
      <c r="Q114" s="2932" t="str">
        <f t="array" ref="Q114">IFERROR(VLOOKUP(P114,Dex!$P$22:$Q$276,2,FALSE),"")</f>
        <v/>
      </c>
      <c r="R114" s="2933"/>
      <c r="S114" s="2921"/>
      <c r="T114" s="2930" t="s">
        <v>516</v>
      </c>
      <c r="U114" s="2931">
        <f t="array" ref="U114">IFERROR(VLOOKUP(T98,Dex!$B$3:$N454,11,FALSE),"")</f>
        <v>105</v>
      </c>
      <c r="V114" s="2932" t="str">
        <f t="array" ref="V114">IFERROR(VLOOKUP(U114,Dex!$P$22:$Q$276,2,FALSE),"")</f>
        <v/>
      </c>
      <c r="W114" s="2933"/>
      <c r="X114" s="2922"/>
      <c r="Y114" s="2923"/>
      <c r="Z114" s="2924"/>
      <c r="AA114" s="2924"/>
      <c r="AB114" s="2923"/>
      <c r="AC114" s="2923"/>
      <c r="AD114" s="2923"/>
      <c r="AE114" s="2923"/>
      <c r="AF114" s="2923"/>
      <c r="AG114" s="2923"/>
      <c r="AH114" s="2925"/>
      <c r="AI114" s="2407"/>
    </row>
    <row r="115" ht="16.5" customHeight="1">
      <c r="A115" s="2811"/>
      <c r="B115" s="2918"/>
      <c r="C115" s="2911"/>
      <c r="D115" s="2919"/>
      <c r="E115" s="2930" t="s">
        <v>517</v>
      </c>
      <c r="F115" s="2931">
        <f t="array" ref="F115">IFERROR(VLOOKUP(E98,Dex!$B$3:$N454,12,FALSE),"")</f>
        <v>70</v>
      </c>
      <c r="G115" s="2932" t="str">
        <f t="array" ref="G115">IFERROR(VLOOKUP(F115,Dex!$P$22:$Q$276,2,FALSE),"")</f>
        <v/>
      </c>
      <c r="H115" s="2933"/>
      <c r="I115" s="2921"/>
      <c r="J115" s="2930" t="s">
        <v>517</v>
      </c>
      <c r="K115" s="2931">
        <f t="array" ref="K115">IFERROR(VLOOKUP(J98,Dex!$B$3:$N454,12,FALSE),"")</f>
        <v>65</v>
      </c>
      <c r="L115" s="2932" t="str">
        <f t="array" ref="L115">IFERROR(VLOOKUP(K115,Dex!$P$22:$Q$276,2,FALSE),"")</f>
        <v/>
      </c>
      <c r="M115" s="2933"/>
      <c r="N115" s="2921"/>
      <c r="O115" s="2930" t="s">
        <v>517</v>
      </c>
      <c r="P115" s="2931">
        <f t="array" ref="P115">IFERROR(VLOOKUP(O98,Dex!$B$3:$N454,12,FALSE),"")</f>
        <v>75</v>
      </c>
      <c r="Q115" s="2932" t="str">
        <f t="array" ref="Q115">IFERROR(VLOOKUP(P115,Dex!$P$22:$Q$276,2,FALSE),"")</f>
        <v/>
      </c>
      <c r="R115" s="2933"/>
      <c r="S115" s="2921"/>
      <c r="T115" s="2930" t="s">
        <v>517</v>
      </c>
      <c r="U115" s="2931">
        <f t="array" ref="U115">IFERROR(VLOOKUP(T98,Dex!$B$3:$N454,12,FALSE),"")</f>
        <v>107</v>
      </c>
      <c r="V115" s="2932" t="str">
        <f t="array" ref="V115">IFERROR(VLOOKUP(U115,Dex!$P$22:$Q$276,2,FALSE),"")</f>
        <v/>
      </c>
      <c r="W115" s="2933"/>
      <c r="X115" s="2922"/>
      <c r="Y115" s="2923"/>
      <c r="Z115" s="2924"/>
      <c r="AA115" s="2924"/>
      <c r="AB115" s="2923"/>
      <c r="AC115" s="2923"/>
      <c r="AD115" s="2923"/>
      <c r="AE115" s="2923"/>
      <c r="AF115" s="2923"/>
      <c r="AG115" s="2923"/>
      <c r="AH115" s="2925"/>
      <c r="AI115" s="2407"/>
    </row>
    <row r="116" ht="15.75" customHeight="1">
      <c r="A116" s="2811"/>
      <c r="B116" s="2918"/>
      <c r="C116" s="1426" t="s">
        <v>745</v>
      </c>
      <c r="D116" s="2919"/>
      <c r="E116" s="2934" t="s">
        <v>518</v>
      </c>
      <c r="F116" s="2935">
        <f t="array" ref="F116">IFERROR(VLOOKUP(E98,Dex!$B$3:$N454,13,FALSE),"")</f>
        <v>60</v>
      </c>
      <c r="G116" s="2936" t="str">
        <f t="array" ref="G116">IFERROR(VLOOKUP(F116,Dex!$P$22:$Q$276,2,FALSE),"")</f>
        <v/>
      </c>
      <c r="H116" s="2937"/>
      <c r="I116" s="2921"/>
      <c r="J116" s="2934" t="s">
        <v>518</v>
      </c>
      <c r="K116" s="2935">
        <f t="array" ref="K116">IFERROR(VLOOKUP(J98,Dex!$B$3:$N454,13,FALSE),"")</f>
        <v>100</v>
      </c>
      <c r="L116" s="2936" t="str">
        <f t="array" ref="L116">IFERROR(VLOOKUP(K116,Dex!$P$22:$Q$276,2,FALSE),"")</f>
        <v/>
      </c>
      <c r="M116" s="2937"/>
      <c r="N116" s="2921"/>
      <c r="O116" s="2934" t="s">
        <v>518</v>
      </c>
      <c r="P116" s="2935">
        <f t="array" ref="P116">IFERROR(VLOOKUP(O98,Dex!$B$3:$N454,13,FALSE),"")</f>
        <v>105</v>
      </c>
      <c r="Q116" s="2936" t="str">
        <f t="array" ref="Q116">IFERROR(VLOOKUP(P116,Dex!$P$22:$Q$276,2,FALSE),"")</f>
        <v/>
      </c>
      <c r="R116" s="2937"/>
      <c r="S116" s="2921"/>
      <c r="T116" s="2934" t="s">
        <v>518</v>
      </c>
      <c r="U116" s="2935">
        <f t="array" ref="U116">IFERROR(VLOOKUP(T98,Dex!$B$3:$N454,13,FALSE),"")</f>
        <v>86</v>
      </c>
      <c r="V116" s="2936" t="str">
        <f t="array" ref="V116">IFERROR(VLOOKUP(U116,Dex!$P$22:$Q$276,2,FALSE),"")</f>
        <v/>
      </c>
      <c r="W116" s="2937"/>
      <c r="X116" s="2922"/>
      <c r="Y116" s="2923"/>
      <c r="Z116" s="2924"/>
      <c r="AA116" s="2924"/>
      <c r="AB116" s="2923"/>
      <c r="AC116" s="2923"/>
      <c r="AD116" s="2923"/>
      <c r="AE116" s="2923"/>
      <c r="AF116" s="2923"/>
      <c r="AG116" s="2923"/>
      <c r="AH116" s="2925"/>
      <c r="AI116" s="2407"/>
    </row>
    <row r="117" ht="16.5" customHeight="1">
      <c r="A117" s="2811"/>
      <c r="B117" s="2918"/>
      <c r="C117" s="1427" t="s">
        <v>1191</v>
      </c>
      <c r="D117" s="2919"/>
      <c r="E117" s="2938" t="s">
        <v>519</v>
      </c>
      <c r="F117" s="630"/>
      <c r="G117" s="631"/>
      <c r="H117" s="632">
        <f>ROUNDDOWN((ROUNDDOWN(((((2*F116+31)*47)/100+5)),0))*1,0)</f>
        <v>75</v>
      </c>
      <c r="I117" s="2921"/>
      <c r="J117" s="2938" t="s">
        <v>519</v>
      </c>
      <c r="K117" s="630"/>
      <c r="L117" s="631"/>
      <c r="M117" s="632">
        <f>ROUNDDOWN((ROUNDDOWN(((((2*K116+31)*47)/100+5)),0))*1.1,0)</f>
        <v>124</v>
      </c>
      <c r="N117" s="2921"/>
      <c r="O117" s="2938" t="s">
        <v>519</v>
      </c>
      <c r="P117" s="630"/>
      <c r="Q117" s="631"/>
      <c r="R117" s="632">
        <f>ROUNDDOWN((ROUNDDOWN(((((2*P116+31)*47)/100+5)),0))*1.1,0)</f>
        <v>129</v>
      </c>
      <c r="S117" s="2921"/>
      <c r="T117" s="2938" t="s">
        <v>519</v>
      </c>
      <c r="U117" s="630"/>
      <c r="V117" s="631"/>
      <c r="W117" s="632">
        <f>ROUNDDOWN((ROUNDDOWN(((((2*U116+30)*47)/100+5)),0))*1.1,0)</f>
        <v>108</v>
      </c>
      <c r="X117" s="2922"/>
      <c r="Y117" s="2923"/>
      <c r="Z117" s="2924"/>
      <c r="AA117" s="2924"/>
      <c r="AB117" s="2923"/>
      <c r="AC117" s="2923"/>
      <c r="AD117" s="2923"/>
      <c r="AE117" s="2923"/>
      <c r="AF117" s="2923"/>
      <c r="AG117" s="2923"/>
      <c r="AH117" s="2925"/>
      <c r="AI117" s="2407"/>
    </row>
    <row r="118" ht="15.0" customHeight="1">
      <c r="A118" s="2329"/>
      <c r="B118" s="2939"/>
      <c r="C118" s="2940"/>
      <c r="D118" s="2941"/>
      <c r="E118" s="2942"/>
      <c r="F118" s="2942"/>
      <c r="G118" s="2942"/>
      <c r="H118" s="2942"/>
      <c r="I118" s="2941"/>
      <c r="J118" s="2942"/>
      <c r="K118" s="2942"/>
      <c r="L118" s="2942"/>
      <c r="M118" s="2942"/>
      <c r="N118" s="2941"/>
      <c r="O118" s="2942"/>
      <c r="P118" s="2942"/>
      <c r="Q118" s="2942"/>
      <c r="R118" s="2942"/>
      <c r="S118" s="2941"/>
      <c r="T118" s="2942"/>
      <c r="U118" s="2942"/>
      <c r="V118" s="2942"/>
      <c r="W118" s="2942"/>
      <c r="X118" s="2941"/>
      <c r="Y118" s="2941"/>
      <c r="Z118" s="2941"/>
      <c r="AA118" s="2941"/>
      <c r="AB118" s="2941"/>
      <c r="AC118" s="2941"/>
      <c r="AD118" s="2941"/>
      <c r="AE118" s="2941"/>
      <c r="AF118" s="2941"/>
      <c r="AG118" s="2941"/>
      <c r="AH118" s="2943"/>
      <c r="AI118" s="2737"/>
    </row>
    <row r="119" ht="15.0" customHeight="1">
      <c r="A119" s="2329"/>
      <c r="B119" s="2844"/>
      <c r="C119" s="2845"/>
      <c r="D119" s="2846"/>
      <c r="E119" s="2847"/>
      <c r="F119" s="2847"/>
      <c r="G119" s="2847"/>
      <c r="H119" s="2847"/>
      <c r="I119" s="2846"/>
      <c r="J119" s="2847"/>
      <c r="K119" s="2847"/>
      <c r="L119" s="2847"/>
      <c r="M119" s="2847"/>
      <c r="N119" s="2846"/>
      <c r="O119" s="2847"/>
      <c r="P119" s="2847"/>
      <c r="Q119" s="2847"/>
      <c r="R119" s="2847"/>
      <c r="S119" s="2846"/>
      <c r="T119" s="2847"/>
      <c r="U119" s="2847"/>
      <c r="V119" s="2847"/>
      <c r="W119" s="2847"/>
      <c r="X119" s="2846"/>
      <c r="Y119" s="2846"/>
      <c r="Z119" s="2846"/>
      <c r="AA119" s="2846"/>
      <c r="AB119" s="2846"/>
      <c r="AC119" s="2846"/>
      <c r="AD119" s="2846"/>
      <c r="AE119" s="2846"/>
      <c r="AF119" s="2846"/>
      <c r="AG119" s="2846"/>
      <c r="AH119" s="2848"/>
      <c r="AI119" s="2737"/>
    </row>
    <row r="120" ht="16.5" customHeight="1">
      <c r="A120" s="2329"/>
      <c r="B120" s="2945"/>
      <c r="C120" s="2902"/>
      <c r="D120" s="2887"/>
      <c r="E120" s="2946" t="s">
        <v>1200</v>
      </c>
      <c r="F120" s="2897"/>
      <c r="G120" s="2897"/>
      <c r="H120" s="2897"/>
      <c r="I120" s="2897"/>
      <c r="J120" s="2897"/>
      <c r="K120" s="2897"/>
      <c r="L120" s="2897"/>
      <c r="M120" s="2897"/>
      <c r="N120" s="2897"/>
      <c r="O120" s="2897"/>
      <c r="P120" s="2897"/>
      <c r="Q120" s="2897"/>
      <c r="R120" s="2897"/>
      <c r="S120" s="2897"/>
      <c r="T120" s="2897"/>
      <c r="U120" s="2897"/>
      <c r="V120" s="2897"/>
      <c r="W120" s="2897"/>
      <c r="X120" s="2897"/>
      <c r="Y120" s="2897"/>
      <c r="Z120" s="2897"/>
      <c r="AA120" s="2897"/>
      <c r="AB120" s="2897"/>
      <c r="AC120" s="2897"/>
      <c r="AD120" s="2897"/>
      <c r="AE120" s="2897"/>
      <c r="AF120" s="2897"/>
      <c r="AG120" s="2898"/>
      <c r="AH120" s="2848"/>
      <c r="AI120" s="2737"/>
    </row>
    <row r="121" ht="96.75" customHeight="1">
      <c r="A121" s="2329"/>
      <c r="B121" s="2849"/>
      <c r="C121" s="2850" t="str">
        <f>IMAGE("https://i.ibb.co/kJrTDW3/Grunt.png")</f>
        <v/>
      </c>
      <c r="D121" s="2851"/>
      <c r="E121" s="2852" t="str">
        <f t="array" ref="E121">IFERROR(VLOOKUP(E122,Dex!$B$3:$G454,3,FALSE),"")</f>
        <v/>
      </c>
      <c r="F121" s="1945"/>
      <c r="G121" s="1945"/>
      <c r="H121" s="1946"/>
      <c r="I121" s="2944"/>
      <c r="J121" s="2852" t="str">
        <f t="array" ref="J121">IFERROR(VLOOKUP(J122,Dex!$B$3:$G454,3,FALSE),"")</f>
        <v/>
      </c>
      <c r="K121" s="1945"/>
      <c r="L121" s="1945"/>
      <c r="M121" s="1946"/>
      <c r="N121" s="2944"/>
      <c r="O121" s="2852" t="str">
        <f t="array" ref="O121">IFERROR(VLOOKUP(O122,Dex!$B$3:$G454,3,FALSE),"")</f>
        <v/>
      </c>
      <c r="P121" s="1945"/>
      <c r="Q121" s="1945"/>
      <c r="R121" s="1946"/>
      <c r="S121" s="2944"/>
      <c r="T121" s="2852" t="str">
        <f t="array" ref="T121">IFERROR(VLOOKUP(T122,Dex!$B$3:$G454,3,FALSE),"")</f>
        <v/>
      </c>
      <c r="U121" s="1945"/>
      <c r="V121" s="1945"/>
      <c r="W121" s="1946"/>
      <c r="X121" s="2853"/>
      <c r="Y121" s="2854"/>
      <c r="Z121" s="2855"/>
      <c r="AA121" s="2855"/>
      <c r="AB121" s="2856"/>
      <c r="AC121" s="2857"/>
      <c r="AD121" s="2854"/>
      <c r="AE121" s="2855"/>
      <c r="AF121" s="2855"/>
      <c r="AG121" s="2856"/>
      <c r="AH121" s="2858"/>
      <c r="AI121" s="2737"/>
    </row>
    <row r="122" ht="18.75" customHeight="1">
      <c r="A122" s="2354"/>
      <c r="B122" s="2859"/>
      <c r="C122" s="2860" t="s">
        <v>1201</v>
      </c>
      <c r="D122" s="2861"/>
      <c r="E122" s="2862" t="s">
        <v>1202</v>
      </c>
      <c r="F122" s="2863"/>
      <c r="G122" s="2863"/>
      <c r="H122" s="2864"/>
      <c r="I122" s="2861"/>
      <c r="J122" s="2862" t="s">
        <v>1203</v>
      </c>
      <c r="K122" s="2863"/>
      <c r="L122" s="2863"/>
      <c r="M122" s="2864"/>
      <c r="N122" s="2861"/>
      <c r="O122" s="2862" t="s">
        <v>1204</v>
      </c>
      <c r="P122" s="2863"/>
      <c r="Q122" s="2863"/>
      <c r="R122" s="2864"/>
      <c r="S122" s="2861"/>
      <c r="T122" s="2862" t="s">
        <v>1205</v>
      </c>
      <c r="U122" s="2863"/>
      <c r="V122" s="2863"/>
      <c r="W122" s="2864"/>
      <c r="X122" s="2865"/>
      <c r="Y122" s="2866"/>
      <c r="Z122" s="2855"/>
      <c r="AA122" s="2855"/>
      <c r="AB122" s="2856"/>
      <c r="AC122" s="2867"/>
      <c r="AD122" s="2866"/>
      <c r="AE122" s="2855"/>
      <c r="AF122" s="2855"/>
      <c r="AG122" s="2856"/>
      <c r="AH122" s="2868"/>
      <c r="AI122" s="2757"/>
    </row>
    <row r="123">
      <c r="A123" s="2758"/>
      <c r="B123" s="2869"/>
      <c r="C123" s="556"/>
      <c r="D123" s="2870"/>
      <c r="E123" s="2871" t="s">
        <v>729</v>
      </c>
      <c r="F123" s="2872"/>
      <c r="G123" s="2872"/>
      <c r="H123" s="2873"/>
      <c r="I123" s="2861"/>
      <c r="J123" s="2871" t="s">
        <v>729</v>
      </c>
      <c r="K123" s="2872"/>
      <c r="L123" s="2872"/>
      <c r="M123" s="2873"/>
      <c r="N123" s="2861"/>
      <c r="O123" s="2871" t="s">
        <v>729</v>
      </c>
      <c r="P123" s="2872"/>
      <c r="Q123" s="2872"/>
      <c r="R123" s="2873"/>
      <c r="S123" s="2861"/>
      <c r="T123" s="2871" t="s">
        <v>729</v>
      </c>
      <c r="U123" s="2872"/>
      <c r="V123" s="2872"/>
      <c r="W123" s="2873"/>
      <c r="X123" s="2865"/>
      <c r="Y123" s="2874"/>
      <c r="Z123" s="2855"/>
      <c r="AA123" s="2855"/>
      <c r="AB123" s="2856"/>
      <c r="AC123" s="2867"/>
      <c r="AD123" s="2874"/>
      <c r="AE123" s="2855"/>
      <c r="AF123" s="2855"/>
      <c r="AG123" s="2856"/>
      <c r="AH123" s="2875"/>
      <c r="AI123" s="2766"/>
    </row>
    <row r="124" ht="25.5" customHeight="1">
      <c r="A124" s="2329"/>
      <c r="B124" s="2876"/>
      <c r="C124" s="2877"/>
      <c r="D124" s="2854"/>
      <c r="E124" s="2878"/>
      <c r="F124" s="2882" t="str">
        <f t="array" ref="F124">IFERROR(VLOOKUP(E122,Dex!$B$3:$H454,5,FALSE),"")</f>
        <v/>
      </c>
      <c r="G124" s="2883" t="str">
        <f t="array" ref="G124">IFERROR(VLOOKUP(E122,Dex!$B$3:$H454,7,FALSE),"")</f>
        <v/>
      </c>
      <c r="H124" s="2881"/>
      <c r="I124" s="2866"/>
      <c r="J124" s="2878"/>
      <c r="K124" s="2882" t="str">
        <f t="array" ref="K124">IFERROR(VLOOKUP(J122,Dex!$B$3:$H454,5,FALSE),"")</f>
        <v/>
      </c>
      <c r="L124" s="2883" t="str">
        <f t="array" ref="L124">IFERROR(VLOOKUP(J122,Dex!$B$3:$H454,7,FALSE),"")</f>
        <v/>
      </c>
      <c r="M124" s="2881"/>
      <c r="N124" s="2866"/>
      <c r="O124" s="2878"/>
      <c r="P124" s="2882" t="str">
        <f t="array" ref="P124">IFERROR(VLOOKUP(O122,Dex!$B$3:$H454,5,FALSE),"")</f>
        <v/>
      </c>
      <c r="Q124" s="2883" t="str">
        <f t="array" ref="Q124">IFERROR(VLOOKUP(O122,Dex!$B$3:$H454,7,FALSE),"")</f>
        <v/>
      </c>
      <c r="R124" s="2881"/>
      <c r="S124" s="2866"/>
      <c r="T124" s="2878"/>
      <c r="U124" s="2882" t="str">
        <f t="array" ref="U124">IFERROR(VLOOKUP(T122,Dex!$B$3:$H454,5,FALSE),"")</f>
        <v/>
      </c>
      <c r="V124" s="2883" t="str">
        <f t="array" ref="V124">IFERROR(VLOOKUP(T122,Dex!$B$3:$H454,7,FALSE),"")</f>
        <v/>
      </c>
      <c r="W124" s="2881"/>
      <c r="X124" s="2865"/>
      <c r="Y124" s="2854"/>
      <c r="Z124" s="2855"/>
      <c r="AA124" s="2855"/>
      <c r="AB124" s="2856"/>
      <c r="AC124" s="2867"/>
      <c r="AD124" s="2854"/>
      <c r="AE124" s="2855"/>
      <c r="AF124" s="2855"/>
      <c r="AG124" s="2856"/>
      <c r="AH124" s="2858"/>
      <c r="AI124" s="2737"/>
    </row>
    <row r="125" ht="2.25" customHeight="1">
      <c r="A125" s="2329"/>
      <c r="B125" s="2876"/>
      <c r="C125" s="2867"/>
      <c r="D125" s="2854"/>
      <c r="E125" s="2884"/>
      <c r="F125" s="2885"/>
      <c r="G125" s="2885"/>
      <c r="H125" s="2886"/>
      <c r="I125" s="2866"/>
      <c r="J125" s="2884"/>
      <c r="K125" s="2885"/>
      <c r="L125" s="2885"/>
      <c r="M125" s="2886"/>
      <c r="N125" s="2866"/>
      <c r="O125" s="2884"/>
      <c r="P125" s="2885"/>
      <c r="Q125" s="2885"/>
      <c r="R125" s="2886"/>
      <c r="S125" s="2866"/>
      <c r="T125" s="2884"/>
      <c r="U125" s="2885"/>
      <c r="V125" s="2885"/>
      <c r="W125" s="2886"/>
      <c r="X125" s="2865"/>
      <c r="Y125" s="2887"/>
      <c r="Z125" s="2887"/>
      <c r="AA125" s="2887"/>
      <c r="AB125" s="2887"/>
      <c r="AC125" s="2867"/>
      <c r="AD125" s="2887"/>
      <c r="AE125" s="2887"/>
      <c r="AF125" s="2887"/>
      <c r="AG125" s="2887"/>
      <c r="AH125" s="2858"/>
      <c r="AI125" s="2737"/>
    </row>
    <row r="126" ht="20.25" customHeight="1">
      <c r="A126" s="2329"/>
      <c r="B126" s="2876"/>
      <c r="C126" s="2888"/>
      <c r="D126" s="2854"/>
      <c r="E126" s="2889" t="s">
        <v>564</v>
      </c>
      <c r="F126" s="2890"/>
      <c r="G126" s="2890"/>
      <c r="H126" s="2891"/>
      <c r="I126" s="2892"/>
      <c r="J126" s="2889" t="s">
        <v>532</v>
      </c>
      <c r="K126" s="2890"/>
      <c r="L126" s="2890"/>
      <c r="M126" s="2891"/>
      <c r="N126" s="2892"/>
      <c r="O126" s="2889" t="s">
        <v>532</v>
      </c>
      <c r="P126" s="2890"/>
      <c r="Q126" s="2890"/>
      <c r="R126" s="2891"/>
      <c r="S126" s="2892"/>
      <c r="T126" s="2889" t="s">
        <v>564</v>
      </c>
      <c r="U126" s="2890"/>
      <c r="V126" s="2890"/>
      <c r="W126" s="2891"/>
      <c r="X126" s="2865"/>
      <c r="Y126" s="2854"/>
      <c r="Z126" s="2855"/>
      <c r="AA126" s="2855"/>
      <c r="AB126" s="2856"/>
      <c r="AC126" s="2867"/>
      <c r="AD126" s="2854"/>
      <c r="AE126" s="2855"/>
      <c r="AF126" s="2855"/>
      <c r="AG126" s="2856"/>
      <c r="AH126" s="2858"/>
      <c r="AI126" s="2737"/>
    </row>
    <row r="127" ht="20.25" customHeight="1">
      <c r="A127" s="2329"/>
      <c r="B127" s="2876"/>
      <c r="C127" s="2893"/>
      <c r="D127" s="2854"/>
      <c r="E127" s="2894" t="s">
        <v>1206</v>
      </c>
      <c r="F127" s="2855"/>
      <c r="G127" s="2855"/>
      <c r="H127" s="2895"/>
      <c r="I127" s="2892"/>
      <c r="J127" s="2894" t="s">
        <v>1207</v>
      </c>
      <c r="K127" s="2855"/>
      <c r="L127" s="2855"/>
      <c r="M127" s="2895"/>
      <c r="N127" s="2892"/>
      <c r="O127" s="2894" t="s">
        <v>1208</v>
      </c>
      <c r="P127" s="2855"/>
      <c r="Q127" s="2855"/>
      <c r="R127" s="2895"/>
      <c r="S127" s="2892"/>
      <c r="T127" s="2894" t="s">
        <v>484</v>
      </c>
      <c r="U127" s="2855"/>
      <c r="V127" s="2855"/>
      <c r="W127" s="2895"/>
      <c r="X127" s="2865"/>
      <c r="Y127" s="2854"/>
      <c r="Z127" s="2855"/>
      <c r="AA127" s="2855"/>
      <c r="AB127" s="2856"/>
      <c r="AC127" s="2867"/>
      <c r="AD127" s="2854"/>
      <c r="AE127" s="2855"/>
      <c r="AF127" s="2855"/>
      <c r="AG127" s="2856"/>
      <c r="AH127" s="2858"/>
      <c r="AI127" s="2737"/>
    </row>
    <row r="128" ht="20.25" customHeight="1">
      <c r="A128" s="2329"/>
      <c r="B128" s="2876"/>
      <c r="C128" s="2867"/>
      <c r="D128" s="2854"/>
      <c r="E128" s="2896" t="s">
        <v>1209</v>
      </c>
      <c r="F128" s="2897"/>
      <c r="G128" s="2898"/>
      <c r="H128" s="2899" t="str">
        <f>IMAGE("https://raw.githubusercontent.com/msikma/pokesprite/master/items/hold-item/wide-lens.png",3)</f>
        <v/>
      </c>
      <c r="I128" s="2866"/>
      <c r="J128" s="2896" t="s">
        <v>573</v>
      </c>
      <c r="K128" s="2897"/>
      <c r="L128" s="2898"/>
      <c r="M128" s="2899" t="str">
        <f>IMAGE("https://raw.githubusercontent.com/msikma/pokesprite/master/items/hold-item/focus-sash.png",3)</f>
        <v/>
      </c>
      <c r="N128" s="2866"/>
      <c r="O128" s="2896" t="s">
        <v>685</v>
      </c>
      <c r="P128" s="2897"/>
      <c r="Q128" s="2898"/>
      <c r="R128" s="2899" t="str">
        <f>IMAGE("https://raw.githubusercontent.com/msikma/pokesprite/master/items/gem/fighting.png",3)</f>
        <v/>
      </c>
      <c r="S128" s="2866"/>
      <c r="T128" s="2896" t="s">
        <v>1197</v>
      </c>
      <c r="U128" s="2897"/>
      <c r="V128" s="2898"/>
      <c r="W128" s="2899" t="str">
        <f>IMAGE("https://raw.githubusercontent.com/msikma/pokesprite/master/items/berry/charti.png",3)</f>
        <v/>
      </c>
      <c r="X128" s="2865"/>
      <c r="Y128" s="2854"/>
      <c r="Z128" s="2855"/>
      <c r="AA128" s="2855"/>
      <c r="AB128" s="2856"/>
      <c r="AC128" s="2867"/>
      <c r="AD128" s="2854"/>
      <c r="AE128" s="2855"/>
      <c r="AF128" s="2855"/>
      <c r="AG128" s="2856"/>
      <c r="AH128" s="2858"/>
      <c r="AI128" s="2737"/>
    </row>
    <row r="129" ht="20.25" customHeight="1">
      <c r="A129" s="2329"/>
      <c r="B129" s="2876"/>
      <c r="C129" s="2888"/>
      <c r="D129" s="2854"/>
      <c r="E129" s="2889" t="s">
        <v>293</v>
      </c>
      <c r="F129" s="2890"/>
      <c r="G129" s="2900"/>
      <c r="H129" s="2901" t="str">
        <f t="shared" ref="H129:H130" si="4">IMAGE("https://raw.githubusercontent.com/msikma/pokesprite/master/misc/types/gen8/flying.png",4,20,20)</f>
        <v/>
      </c>
      <c r="I129" s="2866"/>
      <c r="J129" s="2889" t="s">
        <v>1210</v>
      </c>
      <c r="K129" s="2890"/>
      <c r="L129" s="2900"/>
      <c r="M129" s="2901" t="str">
        <f>IMAGE("https://raw.githubusercontent.com/msikma/pokesprite/master/misc/types/gen8/dark.png",4,20,20)</f>
        <v/>
      </c>
      <c r="N129" s="2866"/>
      <c r="O129" s="2889" t="s">
        <v>545</v>
      </c>
      <c r="P129" s="2890"/>
      <c r="Q129" s="2900"/>
      <c r="R129" s="2901" t="str">
        <f>IMAGE("https://raw.githubusercontent.com/msikma/pokesprite/master/misc/types/gen8/poison.png",4,20,20)</f>
        <v/>
      </c>
      <c r="S129" s="2866"/>
      <c r="T129" s="2889" t="s">
        <v>547</v>
      </c>
      <c r="U129" s="2890"/>
      <c r="V129" s="2900"/>
      <c r="W129" s="2901" t="str">
        <f>IMAGE("https://raw.githubusercontent.com/msikma/pokesprite/master/misc/types/gen8/electric.png",4,20,20)</f>
        <v/>
      </c>
      <c r="X129" s="2865"/>
      <c r="Y129" s="2854"/>
      <c r="Z129" s="2855"/>
      <c r="AA129" s="2855"/>
      <c r="AB129" s="2856"/>
      <c r="AC129" s="2867"/>
      <c r="AD129" s="2854"/>
      <c r="AE129" s="2855"/>
      <c r="AF129" s="2855"/>
      <c r="AG129" s="2856"/>
      <c r="AH129" s="2858"/>
      <c r="AI129" s="2737"/>
    </row>
    <row r="130" ht="20.25" customHeight="1">
      <c r="A130" s="2329"/>
      <c r="B130" s="2876"/>
      <c r="C130" s="2902"/>
      <c r="D130" s="2854"/>
      <c r="E130" s="2894" t="s">
        <v>546</v>
      </c>
      <c r="F130" s="2855"/>
      <c r="G130" s="2856"/>
      <c r="H130" s="2956" t="str">
        <f t="shared" si="4"/>
        <v/>
      </c>
      <c r="I130" s="2866"/>
      <c r="J130" s="2894" t="s">
        <v>1041</v>
      </c>
      <c r="K130" s="2855"/>
      <c r="L130" s="2856"/>
      <c r="M130" s="2956" t="str">
        <f>IMAGE("https://raw.githubusercontent.com/msikma/pokesprite/master/misc/types/gen8/grass.png",4,20,20)</f>
        <v/>
      </c>
      <c r="N130" s="2866"/>
      <c r="O130" s="2894" t="s">
        <v>548</v>
      </c>
      <c r="P130" s="2855"/>
      <c r="Q130" s="2856"/>
      <c r="R130" s="2956" t="str">
        <f t="shared" ref="R130:R131" si="5">IMAGE("https://raw.githubusercontent.com/msikma/pokesprite/master/misc/types/gen8/fighting.png",4,20,20)</f>
        <v/>
      </c>
      <c r="S130" s="2866"/>
      <c r="T130" s="2894" t="s">
        <v>649</v>
      </c>
      <c r="U130" s="2855"/>
      <c r="V130" s="2856"/>
      <c r="W130" s="2956" t="str">
        <f>IMAGE("https://raw.githubusercontent.com/msikma/pokesprite/master/misc/types/gen8/water.png",4,20,20)</f>
        <v/>
      </c>
      <c r="X130" s="2865"/>
      <c r="Y130" s="2854"/>
      <c r="Z130" s="2855"/>
      <c r="AA130" s="2855"/>
      <c r="AB130" s="2856"/>
      <c r="AC130" s="2867"/>
      <c r="AD130" s="2854"/>
      <c r="AE130" s="2855"/>
      <c r="AF130" s="2855"/>
      <c r="AG130" s="2856"/>
      <c r="AH130" s="2858"/>
      <c r="AI130" s="2737"/>
    </row>
    <row r="131" ht="20.25" customHeight="1">
      <c r="A131" s="2329"/>
      <c r="B131" s="2876"/>
      <c r="C131" s="2902"/>
      <c r="D131" s="2854"/>
      <c r="E131" s="2894" t="s">
        <v>1211</v>
      </c>
      <c r="F131" s="2855"/>
      <c r="G131" s="2856"/>
      <c r="H131" s="2957" t="str">
        <f t="shared" ref="H131:H132" si="6">IMAGE("https://raw.githubusercontent.com/msikma/pokesprite/master/misc/types/gen8/fire.png",4,20,20)</f>
        <v/>
      </c>
      <c r="I131" s="2866"/>
      <c r="J131" s="2894" t="s">
        <v>879</v>
      </c>
      <c r="K131" s="2855"/>
      <c r="L131" s="2856"/>
      <c r="M131" s="2957" t="str">
        <f>IMAGE("https://raw.githubusercontent.com/msikma/pokesprite/master/misc/types/gen8/fighting.png",4,20,20)</f>
        <v/>
      </c>
      <c r="N131" s="2866"/>
      <c r="O131" s="2894" t="s">
        <v>584</v>
      </c>
      <c r="P131" s="2855"/>
      <c r="Q131" s="2856"/>
      <c r="R131" s="2957" t="str">
        <f t="shared" si="5"/>
        <v/>
      </c>
      <c r="S131" s="2866"/>
      <c r="T131" s="2894" t="s">
        <v>647</v>
      </c>
      <c r="U131" s="2855"/>
      <c r="V131" s="2856"/>
      <c r="W131" s="2957" t="str">
        <f>IMAGE("https://raw.githubusercontent.com/msikma/pokesprite/master/misc/types/gen8/ghost.png",4,20,20)</f>
        <v/>
      </c>
      <c r="X131" s="2865"/>
      <c r="Y131" s="2854"/>
      <c r="Z131" s="2855"/>
      <c r="AA131" s="2855"/>
      <c r="AB131" s="2856"/>
      <c r="AC131" s="2867"/>
      <c r="AD131" s="2854"/>
      <c r="AE131" s="2855"/>
      <c r="AF131" s="2855"/>
      <c r="AG131" s="2856"/>
      <c r="AH131" s="2858"/>
      <c r="AI131" s="2737"/>
    </row>
    <row r="132" ht="21.0" customHeight="1">
      <c r="A132" s="2329"/>
      <c r="B132" s="2876"/>
      <c r="C132" s="2902"/>
      <c r="D132" s="2854"/>
      <c r="E132" s="2904" t="s">
        <v>878</v>
      </c>
      <c r="F132" s="2905"/>
      <c r="G132" s="2906"/>
      <c r="H132" s="2907" t="str">
        <f t="shared" si="6"/>
        <v/>
      </c>
      <c r="I132" s="2866"/>
      <c r="J132" s="2904" t="s">
        <v>830</v>
      </c>
      <c r="K132" s="2905"/>
      <c r="L132" s="2906"/>
      <c r="M132" s="2907" t="str">
        <f>IMAGE("https://raw.githubusercontent.com/msikma/pokesprite/master/misc/types/gen8/bug.png",4,20,20)</f>
        <v/>
      </c>
      <c r="N132" s="2866"/>
      <c r="O132" s="2904" t="s">
        <v>579</v>
      </c>
      <c r="P132" s="2905"/>
      <c r="Q132" s="2906"/>
      <c r="R132" s="2907" t="str">
        <f>IMAGE("https://raw.githubusercontent.com/msikma/pokesprite/master/misc/types/gen8/dark.png",4,20,20)</f>
        <v/>
      </c>
      <c r="S132" s="2866"/>
      <c r="T132" s="2904" t="s">
        <v>587</v>
      </c>
      <c r="U132" s="2905"/>
      <c r="V132" s="2906"/>
      <c r="W132" s="2907" t="str">
        <f>IMAGE("https://raw.githubusercontent.com/msikma/pokesprite/master/misc/types/gen8/ice.png",4,20,20)</f>
        <v/>
      </c>
      <c r="X132" s="2909"/>
      <c r="Y132" s="2854"/>
      <c r="Z132" s="2855"/>
      <c r="AA132" s="2855"/>
      <c r="AB132" s="2856"/>
      <c r="AC132" s="2888"/>
      <c r="AD132" s="2854"/>
      <c r="AE132" s="2855"/>
      <c r="AF132" s="2855"/>
      <c r="AG132" s="2856"/>
      <c r="AH132" s="2858"/>
      <c r="AI132" s="2737"/>
    </row>
    <row r="133" ht="3.0" customHeight="1">
      <c r="A133" s="2802"/>
      <c r="B133" s="2910"/>
      <c r="C133" s="2911"/>
      <c r="D133" s="2912"/>
      <c r="E133" s="2913"/>
      <c r="F133" s="2913"/>
      <c r="G133" s="2913"/>
      <c r="H133" s="2913"/>
      <c r="I133" s="2912"/>
      <c r="J133" s="2913"/>
      <c r="K133" s="2913"/>
      <c r="L133" s="2913"/>
      <c r="M133" s="2913"/>
      <c r="N133" s="2912"/>
      <c r="O133" s="2913"/>
      <c r="P133" s="2913"/>
      <c r="Q133" s="2913"/>
      <c r="R133" s="2913"/>
      <c r="S133" s="2912"/>
      <c r="T133" s="2913"/>
      <c r="U133" s="2913"/>
      <c r="V133" s="2913"/>
      <c r="W133" s="2914"/>
      <c r="X133" s="2912"/>
      <c r="Y133" s="2912"/>
      <c r="Z133" s="2915"/>
      <c r="AA133" s="2915"/>
      <c r="AB133" s="2916"/>
      <c r="AC133" s="2916"/>
      <c r="AD133" s="2916"/>
      <c r="AE133" s="2916"/>
      <c r="AF133" s="2916"/>
      <c r="AG133" s="2916"/>
      <c r="AH133" s="2917"/>
      <c r="AI133" s="2810"/>
    </row>
    <row r="134" ht="16.5" customHeight="1">
      <c r="A134" s="2811"/>
      <c r="B134" s="2918"/>
      <c r="C134" s="2911"/>
      <c r="D134" s="2919"/>
      <c r="E134" s="2920" t="s">
        <v>512</v>
      </c>
      <c r="F134" s="606"/>
      <c r="G134" s="606"/>
      <c r="H134" s="607"/>
      <c r="I134" s="2921"/>
      <c r="J134" s="2920" t="s">
        <v>512</v>
      </c>
      <c r="K134" s="606"/>
      <c r="L134" s="606"/>
      <c r="M134" s="607"/>
      <c r="N134" s="2921"/>
      <c r="O134" s="2920" t="s">
        <v>512</v>
      </c>
      <c r="P134" s="606"/>
      <c r="Q134" s="606"/>
      <c r="R134" s="607"/>
      <c r="S134" s="2921"/>
      <c r="T134" s="2920" t="s">
        <v>512</v>
      </c>
      <c r="U134" s="606"/>
      <c r="V134" s="606"/>
      <c r="W134" s="607"/>
      <c r="X134" s="2922"/>
      <c r="Y134" s="2923"/>
      <c r="Z134" s="2924"/>
      <c r="AA134" s="2924"/>
      <c r="AB134" s="2923"/>
      <c r="AC134" s="2923"/>
      <c r="AD134" s="2923"/>
      <c r="AE134" s="2923"/>
      <c r="AF134" s="2923"/>
      <c r="AG134" s="2923"/>
      <c r="AH134" s="2925"/>
      <c r="AI134" s="2407"/>
    </row>
    <row r="135" ht="16.5" customHeight="1">
      <c r="A135" s="2811"/>
      <c r="B135" s="2918"/>
      <c r="C135" s="2911"/>
      <c r="D135" s="2919"/>
      <c r="E135" s="2926" t="s">
        <v>513</v>
      </c>
      <c r="F135" s="2927">
        <f t="array" ref="F135">IFERROR(VLOOKUP(E122,Dex!$B$3:$N454,8,FALSE),"")</f>
        <v>78</v>
      </c>
      <c r="G135" s="2928" t="str">
        <f t="array" ref="G135">IFERROR(VLOOKUP(F135,Dex!$P$22:$Q$276,2,FALSE),"")</f>
        <v/>
      </c>
      <c r="H135" s="2929"/>
      <c r="I135" s="2921"/>
      <c r="J135" s="2926" t="s">
        <v>513</v>
      </c>
      <c r="K135" s="2927">
        <f t="array" ref="K135">IFERROR(VLOOKUP(J122,Dex!$B$3:$N454,8,FALSE),"")</f>
        <v>90</v>
      </c>
      <c r="L135" s="2928" t="str">
        <f t="array" ref="L135">IFERROR(VLOOKUP(K135,Dex!$P$22:$Q$276,2,FALSE),"")</f>
        <v/>
      </c>
      <c r="M135" s="2929"/>
      <c r="N135" s="2921"/>
      <c r="O135" s="2926" t="s">
        <v>513</v>
      </c>
      <c r="P135" s="2927">
        <f t="array" ref="P135">IFERROR(VLOOKUP(O122,Dex!$B$3:$N454,8,FALSE),"")</f>
        <v>88</v>
      </c>
      <c r="Q135" s="2928" t="str">
        <f t="array" ref="Q135">IFERROR(VLOOKUP(P135,Dex!$P$22:$Q$276,2,FALSE),"")</f>
        <v/>
      </c>
      <c r="R135" s="2929"/>
      <c r="S135" s="2921"/>
      <c r="T135" s="2926" t="s">
        <v>513</v>
      </c>
      <c r="U135" s="2927">
        <f t="array" ref="U135">IFERROR(VLOOKUP(T122,Dex!$B$3:$N454,8,FALSE),"")</f>
        <v>50</v>
      </c>
      <c r="V135" s="2928" t="str">
        <f t="array" ref="V135">IFERROR(VLOOKUP(U135,Dex!$P$22:$Q$276,2,FALSE),"")</f>
        <v/>
      </c>
      <c r="W135" s="2929"/>
      <c r="X135" s="2922"/>
      <c r="Y135" s="2923"/>
      <c r="Z135" s="2924"/>
      <c r="AA135" s="2924"/>
      <c r="AB135" s="2923"/>
      <c r="AC135" s="2923"/>
      <c r="AD135" s="2923"/>
      <c r="AE135" s="2923"/>
      <c r="AF135" s="2923"/>
      <c r="AG135" s="2923"/>
      <c r="AH135" s="2925"/>
      <c r="AI135" s="2407"/>
    </row>
    <row r="136" ht="16.5" customHeight="1">
      <c r="A136" s="2811"/>
      <c r="B136" s="2918"/>
      <c r="C136" s="2911"/>
      <c r="D136" s="2919"/>
      <c r="E136" s="2930" t="s">
        <v>514</v>
      </c>
      <c r="F136" s="2931">
        <f t="array" ref="F136">IFERROR(VLOOKUP(E122,Dex!$B$3:$N454,9,FALSE),"")</f>
        <v>91</v>
      </c>
      <c r="G136" s="2932" t="str">
        <f t="array" ref="G136">IFERROR(VLOOKUP(F136,Dex!$P$22:$Q$276,2,FALSE),"")</f>
        <v/>
      </c>
      <c r="H136" s="2933"/>
      <c r="I136" s="2921"/>
      <c r="J136" s="2930" t="s">
        <v>514</v>
      </c>
      <c r="K136" s="2931">
        <f t="array" ref="K136">IFERROR(VLOOKUP(J122,Dex!$B$3:$N454,9,FALSE),"")</f>
        <v>120</v>
      </c>
      <c r="L136" s="2932" t="str">
        <f t="array" ref="L136">IFERROR(VLOOKUP(K136,Dex!$P$22:$Q$276,2,FALSE),"")</f>
        <v/>
      </c>
      <c r="M136" s="2933"/>
      <c r="N136" s="2921"/>
      <c r="O136" s="2930" t="s">
        <v>514</v>
      </c>
      <c r="P136" s="2931">
        <f t="array" ref="P136">IFERROR(VLOOKUP(O122,Dex!$B$3:$N454,9,FALSE),"")</f>
        <v>128</v>
      </c>
      <c r="Q136" s="2932" t="str">
        <f t="array" ref="Q136">IFERROR(VLOOKUP(P136,Dex!$P$22:$Q$276,2,FALSE),"")</f>
        <v/>
      </c>
      <c r="R136" s="2933"/>
      <c r="S136" s="2921"/>
      <c r="T136" s="2930" t="s">
        <v>514</v>
      </c>
      <c r="U136" s="2931">
        <f t="array" ref="U136">IFERROR(VLOOKUP(T122,Dex!$B$3:$N454,9,FALSE),"")</f>
        <v>65</v>
      </c>
      <c r="V136" s="2932" t="str">
        <f t="array" ref="V136">IFERROR(VLOOKUP(U136,Dex!$P$22:$Q$276,2,FALSE),"")</f>
        <v/>
      </c>
      <c r="W136" s="2933"/>
      <c r="X136" s="2922"/>
      <c r="Y136" s="2923"/>
      <c r="Z136" s="2924"/>
      <c r="AA136" s="2924"/>
      <c r="AB136" s="2923"/>
      <c r="AC136" s="2923"/>
      <c r="AD136" s="2923"/>
      <c r="AE136" s="2923"/>
      <c r="AF136" s="2923"/>
      <c r="AG136" s="2923"/>
      <c r="AH136" s="2925"/>
      <c r="AI136" s="2407"/>
    </row>
    <row r="137" ht="16.5" customHeight="1">
      <c r="A137" s="2811"/>
      <c r="B137" s="2918"/>
      <c r="C137" s="2911"/>
      <c r="D137" s="2919"/>
      <c r="E137" s="2930" t="s">
        <v>515</v>
      </c>
      <c r="F137" s="2931">
        <f t="array" ref="F137">IFERROR(VLOOKUP(E122,Dex!$B$3:$N454,10,FALSE),"")</f>
        <v>71</v>
      </c>
      <c r="G137" s="2932" t="str">
        <f t="array" ref="G137">IFERROR(VLOOKUP(F137,Dex!$P$22:$Q$276,2,FALSE),"")</f>
        <v/>
      </c>
      <c r="H137" s="2933"/>
      <c r="I137" s="2921"/>
      <c r="J137" s="2930" t="s">
        <v>515</v>
      </c>
      <c r="K137" s="2931">
        <f t="array" ref="K137">IFERROR(VLOOKUP(J122,Dex!$B$3:$N454,10,FALSE),"")</f>
        <v>60</v>
      </c>
      <c r="L137" s="2932" t="str">
        <f t="array" ref="L137">IFERROR(VLOOKUP(K137,Dex!$P$22:$Q$276,2,FALSE),"")</f>
        <v/>
      </c>
      <c r="M137" s="2933"/>
      <c r="N137" s="2921"/>
      <c r="O137" s="2930" t="s">
        <v>515</v>
      </c>
      <c r="P137" s="2931">
        <f t="array" ref="P137">IFERROR(VLOOKUP(O122,Dex!$B$3:$N454,10,FALSE),"")</f>
        <v>115</v>
      </c>
      <c r="Q137" s="2932" t="str">
        <f t="array" ref="Q137">IFERROR(VLOOKUP(P137,Dex!$P$22:$Q$276,2,FALSE),"")</f>
        <v/>
      </c>
      <c r="R137" s="2933"/>
      <c r="S137" s="2921"/>
      <c r="T137" s="2930" t="s">
        <v>515</v>
      </c>
      <c r="U137" s="2931">
        <f t="array" ref="U137">IFERROR(VLOOKUP(T122,Dex!$B$3:$N454,10,FALSE),"")</f>
        <v>107</v>
      </c>
      <c r="V137" s="2932" t="str">
        <f t="array" ref="V137">IFERROR(VLOOKUP(U137,Dex!$P$22:$Q$276,2,FALSE),"")</f>
        <v/>
      </c>
      <c r="W137" s="2933"/>
      <c r="X137" s="2922"/>
      <c r="Y137" s="2923"/>
      <c r="Z137" s="2924"/>
      <c r="AA137" s="2924"/>
      <c r="AB137" s="2923"/>
      <c r="AC137" s="2923"/>
      <c r="AD137" s="2923"/>
      <c r="AE137" s="2923"/>
      <c r="AF137" s="2923"/>
      <c r="AG137" s="2923"/>
      <c r="AH137" s="2925"/>
      <c r="AI137" s="2407"/>
    </row>
    <row r="138" ht="16.5" customHeight="1">
      <c r="A138" s="2811"/>
      <c r="B138" s="2918"/>
      <c r="C138" s="2911"/>
      <c r="D138" s="2919"/>
      <c r="E138" s="2930" t="s">
        <v>516</v>
      </c>
      <c r="F138" s="2931">
        <f t="array" ref="F138">IFERROR(VLOOKUP(E122,Dex!$B$3:$N454,11,FALSE),"")</f>
        <v>74</v>
      </c>
      <c r="G138" s="2932" t="str">
        <f t="array" ref="G138">IFERROR(VLOOKUP(F138,Dex!$P$22:$Q$276,2,FALSE),"")</f>
        <v/>
      </c>
      <c r="H138" s="2933"/>
      <c r="I138" s="2921"/>
      <c r="J138" s="2930" t="s">
        <v>516</v>
      </c>
      <c r="K138" s="2931">
        <f t="array" ref="K138">IFERROR(VLOOKUP(J122,Dex!$B$3:$N454,11,FALSE),"")</f>
        <v>110</v>
      </c>
      <c r="L138" s="2932" t="str">
        <f t="array" ref="L138">IFERROR(VLOOKUP(K138,Dex!$P$22:$Q$276,2,FALSE),"")</f>
        <v/>
      </c>
      <c r="M138" s="2933"/>
      <c r="N138" s="2921"/>
      <c r="O138" s="2930" t="s">
        <v>516</v>
      </c>
      <c r="P138" s="2931">
        <f t="array" ref="P138">IFERROR(VLOOKUP(O122,Dex!$B$3:$N454,11,FALSE),"")</f>
        <v>58</v>
      </c>
      <c r="Q138" s="2932" t="str">
        <f t="array" ref="Q138">IFERROR(VLOOKUP(P138,Dex!$P$22:$Q$276,2,FALSE),"")</f>
        <v/>
      </c>
      <c r="R138" s="2933"/>
      <c r="S138" s="2921"/>
      <c r="T138" s="2930" t="s">
        <v>516</v>
      </c>
      <c r="U138" s="2931">
        <f t="array" ref="U138">IFERROR(VLOOKUP(T122,Dex!$B$3:$N454,11,FALSE),"")</f>
        <v>105</v>
      </c>
      <c r="V138" s="2932" t="str">
        <f t="array" ref="V138">IFERROR(VLOOKUP(U138,Dex!$P$22:$Q$276,2,FALSE),"")</f>
        <v/>
      </c>
      <c r="W138" s="2933"/>
      <c r="X138" s="2922"/>
      <c r="Y138" s="2923"/>
      <c r="Z138" s="2924"/>
      <c r="AA138" s="2924"/>
      <c r="AB138" s="2923"/>
      <c r="AC138" s="2923"/>
      <c r="AD138" s="2923"/>
      <c r="AE138" s="2923"/>
      <c r="AF138" s="2923"/>
      <c r="AG138" s="2923"/>
      <c r="AH138" s="2925"/>
      <c r="AI138" s="2407"/>
    </row>
    <row r="139" ht="16.5" customHeight="1">
      <c r="A139" s="2811"/>
      <c r="B139" s="2918"/>
      <c r="C139" s="2911"/>
      <c r="D139" s="2919"/>
      <c r="E139" s="2930" t="s">
        <v>517</v>
      </c>
      <c r="F139" s="2931">
        <f t="array" ref="F139">IFERROR(VLOOKUP(E122,Dex!$B$3:$N454,12,FALSE),"")</f>
        <v>69</v>
      </c>
      <c r="G139" s="2932" t="str">
        <f t="array" ref="G139">IFERROR(VLOOKUP(F139,Dex!$P$22:$Q$276,2,FALSE),"")</f>
        <v/>
      </c>
      <c r="H139" s="2933"/>
      <c r="I139" s="2921"/>
      <c r="J139" s="2930" t="s">
        <v>517</v>
      </c>
      <c r="K139" s="2931">
        <f t="array" ref="K139">IFERROR(VLOOKUP(J122,Dex!$B$3:$N454,12,FALSE),"")</f>
        <v>60</v>
      </c>
      <c r="L139" s="2932" t="str">
        <f t="array" ref="L139">IFERROR(VLOOKUP(K139,Dex!$P$22:$Q$276,2,FALSE),"")</f>
        <v/>
      </c>
      <c r="M139" s="2933"/>
      <c r="N139" s="2921"/>
      <c r="O139" s="2930" t="s">
        <v>517</v>
      </c>
      <c r="P139" s="2931">
        <f t="array" ref="P139">IFERROR(VLOOKUP(O122,Dex!$B$3:$N454,12,FALSE),"")</f>
        <v>86</v>
      </c>
      <c r="Q139" s="2932" t="str">
        <f t="array" ref="Q139">IFERROR(VLOOKUP(P139,Dex!$P$22:$Q$276,2,FALSE),"")</f>
        <v/>
      </c>
      <c r="R139" s="2933"/>
      <c r="S139" s="2921"/>
      <c r="T139" s="2930" t="s">
        <v>517</v>
      </c>
      <c r="U139" s="2931">
        <f t="array" ref="U139">IFERROR(VLOOKUP(T122,Dex!$B$3:$N454,12,FALSE),"")</f>
        <v>107</v>
      </c>
      <c r="V139" s="2932" t="str">
        <f t="array" ref="V139">IFERROR(VLOOKUP(U139,Dex!$P$22:$Q$276,2,FALSE),"")</f>
        <v/>
      </c>
      <c r="W139" s="2933"/>
      <c r="X139" s="2922"/>
      <c r="Y139" s="2923"/>
      <c r="Z139" s="2924"/>
      <c r="AA139" s="2924"/>
      <c r="AB139" s="2923"/>
      <c r="AC139" s="2923"/>
      <c r="AD139" s="2923"/>
      <c r="AE139" s="2923"/>
      <c r="AF139" s="2923"/>
      <c r="AG139" s="2923"/>
      <c r="AH139" s="2925"/>
      <c r="AI139" s="2407"/>
    </row>
    <row r="140" ht="15.75" customHeight="1">
      <c r="A140" s="2811"/>
      <c r="B140" s="2918"/>
      <c r="C140" s="1426" t="s">
        <v>745</v>
      </c>
      <c r="D140" s="2919"/>
      <c r="E140" s="2934" t="s">
        <v>518</v>
      </c>
      <c r="F140" s="2935">
        <f t="array" ref="F140">IFERROR(VLOOKUP(E122,Dex!$B$3:$N454,13,FALSE),"")</f>
        <v>126</v>
      </c>
      <c r="G140" s="2936" t="str">
        <f t="array" ref="G140">IFERROR(VLOOKUP(F140,Dex!$P$22:$Q$276,2,FALSE),"")</f>
        <v/>
      </c>
      <c r="H140" s="2937"/>
      <c r="I140" s="2921"/>
      <c r="J140" s="2934" t="s">
        <v>518</v>
      </c>
      <c r="K140" s="2935">
        <f t="array" ref="K140">IFERROR(VLOOKUP(J122,Dex!$B$3:$N454,13,FALSE),"")</f>
        <v>80</v>
      </c>
      <c r="L140" s="2936" t="str">
        <f t="array" ref="L140">IFERROR(VLOOKUP(K140,Dex!$P$22:$Q$276,2,FALSE),"")</f>
        <v/>
      </c>
      <c r="M140" s="2937"/>
      <c r="N140" s="2921"/>
      <c r="O140" s="2934" t="s">
        <v>518</v>
      </c>
      <c r="P140" s="2935">
        <f t="array" ref="P140">IFERROR(VLOOKUP(O122,Dex!$B$3:$N454,13,FALSE),"")</f>
        <v>80</v>
      </c>
      <c r="Q140" s="2936" t="str">
        <f t="array" ref="Q140">IFERROR(VLOOKUP(P140,Dex!$P$22:$Q$276,2,FALSE),"")</f>
        <v/>
      </c>
      <c r="R140" s="2937"/>
      <c r="S140" s="2921"/>
      <c r="T140" s="2934" t="s">
        <v>518</v>
      </c>
      <c r="U140" s="2935">
        <f t="array" ref="U140">IFERROR(VLOOKUP(T122,Dex!$B$3:$N454,13,FALSE),"")</f>
        <v>86</v>
      </c>
      <c r="V140" s="2936" t="str">
        <f t="array" ref="V140">IFERROR(VLOOKUP(U140,Dex!$P$22:$Q$276,2,FALSE),"")</f>
        <v/>
      </c>
      <c r="W140" s="2937"/>
      <c r="X140" s="2922"/>
      <c r="Y140" s="2923"/>
      <c r="Z140" s="2924"/>
      <c r="AA140" s="2924"/>
      <c r="AB140" s="2923"/>
      <c r="AC140" s="2923"/>
      <c r="AD140" s="2923"/>
      <c r="AE140" s="2923"/>
      <c r="AF140" s="2923"/>
      <c r="AG140" s="2923"/>
      <c r="AH140" s="2925"/>
      <c r="AI140" s="2407"/>
    </row>
    <row r="141" ht="16.5" customHeight="1">
      <c r="A141" s="2811"/>
      <c r="B141" s="2918"/>
      <c r="C141" s="1427" t="s">
        <v>1191</v>
      </c>
      <c r="D141" s="2919"/>
      <c r="E141" s="2938" t="s">
        <v>519</v>
      </c>
      <c r="F141" s="630"/>
      <c r="G141" s="631"/>
      <c r="H141" s="632">
        <f>ROUNDDOWN((ROUNDDOWN(((((2*F140+31)*47)/100+5)),0))*1.1,0)</f>
        <v>151</v>
      </c>
      <c r="I141" s="2921"/>
      <c r="J141" s="2938" t="s">
        <v>519</v>
      </c>
      <c r="K141" s="630"/>
      <c r="L141" s="631"/>
      <c r="M141" s="632">
        <f>ROUNDDOWN((ROUNDDOWN(((((2*K140+31)*47)/100+5)),0))*1.1,0)</f>
        <v>103</v>
      </c>
      <c r="N141" s="2921"/>
      <c r="O141" s="2938" t="s">
        <v>519</v>
      </c>
      <c r="P141" s="630"/>
      <c r="Q141" s="631"/>
      <c r="R141" s="632">
        <f>ROUNDDOWN((ROUNDDOWN(((((2*P140+31)*47)/100+5)),0))*1.1,0)</f>
        <v>103</v>
      </c>
      <c r="S141" s="2921"/>
      <c r="T141" s="2938" t="s">
        <v>519</v>
      </c>
      <c r="U141" s="630"/>
      <c r="V141" s="631"/>
      <c r="W141" s="632">
        <f>ROUNDDOWN((ROUNDDOWN(((((2*U140+31)*47)/100+5)),0))*1.1,0)</f>
        <v>110</v>
      </c>
      <c r="X141" s="2922"/>
      <c r="Y141" s="2923"/>
      <c r="Z141" s="2924"/>
      <c r="AA141" s="2924"/>
      <c r="AB141" s="2923"/>
      <c r="AC141" s="2923"/>
      <c r="AD141" s="2923"/>
      <c r="AE141" s="2923"/>
      <c r="AF141" s="2923"/>
      <c r="AG141" s="2923"/>
      <c r="AH141" s="2925"/>
      <c r="AI141" s="2407"/>
    </row>
    <row r="142" ht="16.5" customHeight="1">
      <c r="A142" s="2811"/>
      <c r="B142" s="2958"/>
      <c r="C142" s="2911"/>
      <c r="D142" s="2959"/>
      <c r="E142" s="2938" t="s">
        <v>672</v>
      </c>
      <c r="F142" s="630"/>
      <c r="G142" s="631"/>
      <c r="H142" s="632">
        <f>H141*2</f>
        <v>302</v>
      </c>
      <c r="I142" s="2960"/>
      <c r="J142" s="2938" t="s">
        <v>672</v>
      </c>
      <c r="K142" s="630"/>
      <c r="L142" s="631"/>
      <c r="M142" s="632">
        <f>M141*2</f>
        <v>206</v>
      </c>
      <c r="N142" s="2960"/>
      <c r="O142" s="2938" t="s">
        <v>672</v>
      </c>
      <c r="P142" s="630"/>
      <c r="Q142" s="631"/>
      <c r="R142" s="632">
        <f>R141*2</f>
        <v>206</v>
      </c>
      <c r="S142" s="2960"/>
      <c r="T142" s="2938" t="s">
        <v>672</v>
      </c>
      <c r="U142" s="630"/>
      <c r="V142" s="631"/>
      <c r="W142" s="632">
        <f>W141*2</f>
        <v>220</v>
      </c>
      <c r="X142" s="2961"/>
      <c r="Y142" s="2962"/>
      <c r="Z142" s="2963"/>
      <c r="AA142" s="2963"/>
      <c r="AB142" s="2962"/>
      <c r="AC142" s="2962"/>
      <c r="AD142" s="2962"/>
      <c r="AE142" s="2962"/>
      <c r="AF142" s="2962"/>
      <c r="AG142" s="2962"/>
      <c r="AH142" s="2964"/>
      <c r="AI142" s="2407"/>
    </row>
    <row r="143" ht="15.0" customHeight="1">
      <c r="A143" s="2329"/>
      <c r="B143" s="2939"/>
      <c r="C143" s="2940"/>
      <c r="D143" s="2941"/>
      <c r="E143" s="2942"/>
      <c r="F143" s="2942"/>
      <c r="G143" s="2942"/>
      <c r="H143" s="2942"/>
      <c r="I143" s="2941"/>
      <c r="J143" s="2942"/>
      <c r="K143" s="2942"/>
      <c r="L143" s="2942"/>
      <c r="M143" s="2942"/>
      <c r="N143" s="2941"/>
      <c r="O143" s="2942"/>
      <c r="P143" s="2942"/>
      <c r="Q143" s="2942"/>
      <c r="R143" s="2942"/>
      <c r="S143" s="2941"/>
      <c r="T143" s="2942"/>
      <c r="U143" s="2942"/>
      <c r="V143" s="2942"/>
      <c r="W143" s="2942"/>
      <c r="X143" s="2941"/>
      <c r="Y143" s="2941"/>
      <c r="Z143" s="2941"/>
      <c r="AA143" s="2941"/>
      <c r="AB143" s="2941"/>
      <c r="AC143" s="2941"/>
      <c r="AD143" s="2941"/>
      <c r="AE143" s="2941"/>
      <c r="AF143" s="2941"/>
      <c r="AG143" s="2941"/>
      <c r="AH143" s="2943"/>
      <c r="AI143" s="2737"/>
    </row>
    <row r="144" ht="15.0" customHeight="1">
      <c r="A144" s="2329"/>
      <c r="B144" s="2965"/>
      <c r="C144" s="2966"/>
      <c r="D144" s="2967"/>
      <c r="E144" s="2968"/>
      <c r="F144" s="2968"/>
      <c r="G144" s="2968"/>
      <c r="H144" s="2968"/>
      <c r="I144" s="2967"/>
      <c r="J144" s="2968"/>
      <c r="K144" s="2968"/>
      <c r="L144" s="2968"/>
      <c r="M144" s="2968"/>
      <c r="N144" s="2967"/>
      <c r="O144" s="2968"/>
      <c r="P144" s="2968"/>
      <c r="Q144" s="2968"/>
      <c r="R144" s="2968"/>
      <c r="S144" s="2967"/>
      <c r="T144" s="2968"/>
      <c r="U144" s="2968"/>
      <c r="V144" s="2968"/>
      <c r="W144" s="2968"/>
      <c r="X144" s="2967"/>
      <c r="Y144" s="2968"/>
      <c r="Z144" s="2968"/>
      <c r="AA144" s="2968"/>
      <c r="AB144" s="2968"/>
      <c r="AC144" s="2967"/>
      <c r="AD144" s="2968"/>
      <c r="AE144" s="2968"/>
      <c r="AF144" s="2968"/>
      <c r="AG144" s="2968"/>
      <c r="AH144" s="2969"/>
      <c r="AI144" s="2737"/>
    </row>
    <row r="145" ht="96.75" customHeight="1">
      <c r="A145" s="2329"/>
      <c r="B145" s="2970"/>
      <c r="C145" s="2971" t="str">
        <f>IMAGE("https://i.ibb.co/dcBy1qG/Giovanni.png")</f>
        <v/>
      </c>
      <c r="D145" s="2972"/>
      <c r="E145" s="2973" t="str">
        <f t="array" ref="E145">IFERROR(VLOOKUP(E146,Dex!$B$3:$G454,3,FALSE),"")</f>
        <v/>
      </c>
      <c r="F145" s="1945"/>
      <c r="G145" s="1945"/>
      <c r="H145" s="1946"/>
      <c r="I145" s="2974"/>
      <c r="J145" s="2973" t="str">
        <f t="array" ref="J145">IFERROR(VLOOKUP(J146,Dex!$B$3:$G454,3,FALSE),"")</f>
        <v/>
      </c>
      <c r="K145" s="1945"/>
      <c r="L145" s="1945"/>
      <c r="M145" s="1946"/>
      <c r="N145" s="2974"/>
      <c r="O145" s="2973" t="str">
        <f t="array" ref="O145">IFERROR(VLOOKUP(O146,Dex!$B$3:$G454,3,FALSE),"")</f>
        <v/>
      </c>
      <c r="P145" s="1945"/>
      <c r="Q145" s="1945"/>
      <c r="R145" s="1946"/>
      <c r="S145" s="2974"/>
      <c r="T145" s="2973" t="str">
        <f t="array" ref="T145">IFERROR(VLOOKUP(T146,Dex!$B$3:$G454,3,FALSE),"")</f>
        <v/>
      </c>
      <c r="U145" s="1945"/>
      <c r="V145" s="1945"/>
      <c r="W145" s="1946"/>
      <c r="X145" s="2974"/>
      <c r="Y145" s="2973" t="str">
        <f t="array" ref="Y145">IFERROR(VLOOKUP(Y146,Dex!$B$3:$G454,3,FALSE),"")</f>
        <v/>
      </c>
      <c r="Z145" s="1945"/>
      <c r="AA145" s="1945"/>
      <c r="AB145" s="1946"/>
      <c r="AC145" s="2974"/>
      <c r="AD145" s="2973" t="str">
        <f t="array" ref="AD145">IFERROR(VLOOKUP(AD146,Dex!$B$3:$G454,3,FALSE),"")</f>
        <v/>
      </c>
      <c r="AE145" s="1945"/>
      <c r="AF145" s="1945"/>
      <c r="AG145" s="1946"/>
      <c r="AH145" s="2975"/>
      <c r="AI145" s="2737"/>
    </row>
    <row r="146" ht="18.75" customHeight="1">
      <c r="A146" s="2354"/>
      <c r="B146" s="2976"/>
      <c r="C146" s="2977" t="s">
        <v>1212</v>
      </c>
      <c r="D146" s="2978"/>
      <c r="E146" s="2979" t="s">
        <v>1213</v>
      </c>
      <c r="F146" s="2980"/>
      <c r="G146" s="2980"/>
      <c r="H146" s="2981"/>
      <c r="I146" s="2978"/>
      <c r="J146" s="2979" t="s">
        <v>656</v>
      </c>
      <c r="K146" s="2980"/>
      <c r="L146" s="2980"/>
      <c r="M146" s="2981"/>
      <c r="N146" s="2978"/>
      <c r="O146" s="2979" t="s">
        <v>1214</v>
      </c>
      <c r="P146" s="2980"/>
      <c r="Q146" s="2980"/>
      <c r="R146" s="2981"/>
      <c r="S146" s="2978"/>
      <c r="T146" s="2979" t="s">
        <v>1215</v>
      </c>
      <c r="U146" s="2980"/>
      <c r="V146" s="2980"/>
      <c r="W146" s="2981"/>
      <c r="X146" s="2978"/>
      <c r="Y146" s="2979" t="s">
        <v>1216</v>
      </c>
      <c r="Z146" s="2980"/>
      <c r="AA146" s="2980"/>
      <c r="AB146" s="2981"/>
      <c r="AC146" s="2978"/>
      <c r="AD146" s="2979" t="s">
        <v>1217</v>
      </c>
      <c r="AE146" s="2980"/>
      <c r="AF146" s="2980"/>
      <c r="AG146" s="2981"/>
      <c r="AH146" s="2982"/>
      <c r="AI146" s="2757"/>
    </row>
    <row r="147">
      <c r="A147" s="2983"/>
      <c r="B147" s="2984"/>
      <c r="C147" s="556"/>
      <c r="D147" s="2985"/>
      <c r="E147" s="2986">
        <v>47.0</v>
      </c>
      <c r="F147" s="2987"/>
      <c r="G147" s="2987"/>
      <c r="H147" s="2988"/>
      <c r="I147" s="2989"/>
      <c r="J147" s="2986">
        <v>47.0</v>
      </c>
      <c r="K147" s="2987"/>
      <c r="L147" s="2987"/>
      <c r="M147" s="2988"/>
      <c r="N147" s="2989"/>
      <c r="O147" s="2986">
        <v>47.0</v>
      </c>
      <c r="P147" s="2987"/>
      <c r="Q147" s="2987"/>
      <c r="R147" s="2988"/>
      <c r="S147" s="2989"/>
      <c r="T147" s="2986">
        <v>47.0</v>
      </c>
      <c r="U147" s="2987"/>
      <c r="V147" s="2987"/>
      <c r="W147" s="2988"/>
      <c r="X147" s="2989"/>
      <c r="Y147" s="2986">
        <v>47.0</v>
      </c>
      <c r="Z147" s="2987"/>
      <c r="AA147" s="2987"/>
      <c r="AB147" s="2988"/>
      <c r="AC147" s="2989"/>
      <c r="AD147" s="2986">
        <v>47.0</v>
      </c>
      <c r="AE147" s="2987"/>
      <c r="AF147" s="2987"/>
      <c r="AG147" s="2988"/>
      <c r="AH147" s="2990"/>
      <c r="AI147" s="2991"/>
    </row>
    <row r="148" ht="25.5" customHeight="1">
      <c r="A148" s="2329"/>
      <c r="B148" s="2992"/>
      <c r="C148" s="2993"/>
      <c r="D148" s="2994"/>
      <c r="E148" s="2995"/>
      <c r="F148" s="2996" t="str">
        <f t="array" ref="F148">IFERROR(VLOOKUP(E146,Dex!$B$3:$H454,5,FALSE),"")</f>
        <v/>
      </c>
      <c r="G148" s="2997" t="str">
        <f t="array" ref="G148">IFERROR(VLOOKUP(E146,Dex!$B$3:$H454,7,FALSE),"")</f>
        <v/>
      </c>
      <c r="H148" s="2998"/>
      <c r="I148" s="2999"/>
      <c r="J148" s="2995"/>
      <c r="K148" s="2996" t="str">
        <f t="array" ref="K148">IFERROR(VLOOKUP(J146,Dex!$B$3:$H454,5,FALSE),"")</f>
        <v/>
      </c>
      <c r="L148" s="2997" t="str">
        <f t="array" ref="L148">IFERROR(VLOOKUP(J146,Dex!$B$3:$H454,7,FALSE),"")</f>
        <v/>
      </c>
      <c r="M148" s="2998"/>
      <c r="N148" s="2999"/>
      <c r="O148" s="2995"/>
      <c r="P148" s="2996" t="str">
        <f t="array" ref="P148">IFERROR(VLOOKUP(O146,Dex!$B$3:$H454,5,FALSE),"")</f>
        <v/>
      </c>
      <c r="Q148" s="2997" t="str">
        <f t="array" ref="Q148">IFERROR(VLOOKUP(O146,Dex!$B$3:$H454,7,FALSE),"")</f>
        <v/>
      </c>
      <c r="R148" s="2998"/>
      <c r="S148" s="2999"/>
      <c r="T148" s="2995"/>
      <c r="U148" s="3000" t="str">
        <f t="array" ref="U148">IFERROR(VLOOKUP(T146,Dex!$B$3:$H454,5,FALSE),"")</f>
        <v/>
      </c>
      <c r="V148" s="3001"/>
      <c r="W148" s="2998"/>
      <c r="X148" s="2999"/>
      <c r="Y148" s="2995"/>
      <c r="Z148" s="2996" t="str">
        <f t="array" ref="Z148">IFERROR(VLOOKUP(Y146,Dex!$B$3:$H454,5,FALSE),"")</f>
        <v/>
      </c>
      <c r="AA148" s="2997" t="str">
        <f t="array" ref="AA148">IFERROR(VLOOKUP(Y146,Dex!$B$3:$H454,7,FALSE),"")</f>
        <v/>
      </c>
      <c r="AB148" s="2998"/>
      <c r="AC148" s="2999"/>
      <c r="AD148" s="2995"/>
      <c r="AE148" s="3000" t="str">
        <f t="array" ref="AE148">IFERROR(VLOOKUP(AD146,Dex!$B$3:$H454,5,FALSE),"")</f>
        <v/>
      </c>
      <c r="AF148" s="3001"/>
      <c r="AG148" s="2998"/>
      <c r="AH148" s="2975"/>
      <c r="AI148" s="2737"/>
    </row>
    <row r="149" ht="2.25" customHeight="1">
      <c r="A149" s="2329"/>
      <c r="B149" s="2992"/>
      <c r="C149" s="3002"/>
      <c r="D149" s="2994"/>
      <c r="E149" s="3003"/>
      <c r="F149" s="3004"/>
      <c r="G149" s="3004"/>
      <c r="H149" s="3005"/>
      <c r="I149" s="2999"/>
      <c r="J149" s="3003"/>
      <c r="K149" s="3004"/>
      <c r="L149" s="3004"/>
      <c r="M149" s="3005"/>
      <c r="N149" s="2999"/>
      <c r="O149" s="3003"/>
      <c r="P149" s="3004"/>
      <c r="Q149" s="3004"/>
      <c r="R149" s="3005"/>
      <c r="S149" s="2999"/>
      <c r="T149" s="3003"/>
      <c r="U149" s="3004"/>
      <c r="V149" s="3004"/>
      <c r="W149" s="3005"/>
      <c r="X149" s="2999"/>
      <c r="Y149" s="3003"/>
      <c r="Z149" s="3004"/>
      <c r="AA149" s="3004"/>
      <c r="AB149" s="3005"/>
      <c r="AC149" s="2999"/>
      <c r="AD149" s="3003"/>
      <c r="AE149" s="3004"/>
      <c r="AF149" s="3004"/>
      <c r="AG149" s="3005"/>
      <c r="AH149" s="2975"/>
      <c r="AI149" s="2737"/>
    </row>
    <row r="150" ht="20.25" customHeight="1">
      <c r="A150" s="2329"/>
      <c r="B150" s="2992"/>
      <c r="C150" s="3006"/>
      <c r="D150" s="2994"/>
      <c r="E150" s="3007" t="s">
        <v>532</v>
      </c>
      <c r="F150" s="3008"/>
      <c r="G150" s="3008"/>
      <c r="H150" s="3009"/>
      <c r="I150" s="3010"/>
      <c r="J150" s="3007" t="s">
        <v>564</v>
      </c>
      <c r="K150" s="3008"/>
      <c r="L150" s="3008"/>
      <c r="M150" s="3009"/>
      <c r="N150" s="3010"/>
      <c r="O150" s="3007" t="s">
        <v>532</v>
      </c>
      <c r="P150" s="3008"/>
      <c r="Q150" s="3008"/>
      <c r="R150" s="3009"/>
      <c r="S150" s="3010"/>
      <c r="T150" s="3007" t="s">
        <v>707</v>
      </c>
      <c r="U150" s="3008"/>
      <c r="V150" s="3008"/>
      <c r="W150" s="3009"/>
      <c r="X150" s="3010"/>
      <c r="Y150" s="3007" t="s">
        <v>532</v>
      </c>
      <c r="Z150" s="3008"/>
      <c r="AA150" s="3008"/>
      <c r="AB150" s="3009"/>
      <c r="AC150" s="3010"/>
      <c r="AD150" s="3007" t="s">
        <v>532</v>
      </c>
      <c r="AE150" s="3008"/>
      <c r="AF150" s="3008"/>
      <c r="AG150" s="3009"/>
      <c r="AH150" s="2975"/>
      <c r="AI150" s="2737"/>
    </row>
    <row r="151">
      <c r="A151" s="2329"/>
      <c r="B151" s="2992"/>
      <c r="C151" s="3011"/>
      <c r="D151" s="2994"/>
      <c r="E151" s="3012" t="s">
        <v>1018</v>
      </c>
      <c r="F151" s="3013"/>
      <c r="G151" s="3013"/>
      <c r="H151" s="3014"/>
      <c r="I151" s="3010"/>
      <c r="J151" s="3012" t="s">
        <v>56</v>
      </c>
      <c r="K151" s="3013"/>
      <c r="L151" s="3013"/>
      <c r="M151" s="3014"/>
      <c r="N151" s="3010"/>
      <c r="O151" s="3012" t="s">
        <v>1132</v>
      </c>
      <c r="P151" s="3013"/>
      <c r="Q151" s="3013"/>
      <c r="R151" s="3014"/>
      <c r="S151" s="3010"/>
      <c r="T151" s="3012" t="s">
        <v>1218</v>
      </c>
      <c r="U151" s="3013"/>
      <c r="V151" s="3013"/>
      <c r="W151" s="3014"/>
      <c r="X151" s="3010"/>
      <c r="Y151" s="3012" t="s">
        <v>60</v>
      </c>
      <c r="Z151" s="3013"/>
      <c r="AA151" s="3013"/>
      <c r="AB151" s="3014"/>
      <c r="AC151" s="3010"/>
      <c r="AD151" s="3012" t="s">
        <v>1219</v>
      </c>
      <c r="AE151" s="3013"/>
      <c r="AF151" s="3013"/>
      <c r="AG151" s="3014"/>
      <c r="AH151" s="2975"/>
      <c r="AI151" s="2737"/>
    </row>
    <row r="152" ht="20.25" customHeight="1">
      <c r="A152" s="2329"/>
      <c r="B152" s="2992"/>
      <c r="C152" s="3002"/>
      <c r="D152" s="2994"/>
      <c r="E152" s="3015" t="s">
        <v>573</v>
      </c>
      <c r="F152" s="3016"/>
      <c r="G152" s="3017"/>
      <c r="H152" s="3018" t="str">
        <f>IMAGE("https://raw.githubusercontent.com/msikma/pokesprite/master/items/hold-item/focus-sash.png",3)</f>
        <v/>
      </c>
      <c r="I152" s="2999"/>
      <c r="J152" s="3015" t="s">
        <v>541</v>
      </c>
      <c r="K152" s="3016"/>
      <c r="L152" s="3017"/>
      <c r="M152" s="3018" t="str">
        <f>IMAGE("https://raw.githubusercontent.com/msikma/pokesprite/master/items/hold-item/life-orb.png",3)</f>
        <v/>
      </c>
      <c r="N152" s="2999"/>
      <c r="O152" s="3015" t="s">
        <v>920</v>
      </c>
      <c r="P152" s="3016"/>
      <c r="Q152" s="3017"/>
      <c r="R152" s="3018" t="str">
        <f>IMAGE("https://raw.githubusercontent.com/msikma/pokesprite/master/items/hold-item/white-herb.png",3)</f>
        <v/>
      </c>
      <c r="S152" s="2999"/>
      <c r="T152" s="3015" t="s">
        <v>537</v>
      </c>
      <c r="U152" s="3016"/>
      <c r="V152" s="3017"/>
      <c r="W152" s="3018" t="str">
        <f>IMAGE("https://raw.githubusercontent.com/msikma/pokesprite/master/items/berry/sitrus.png",3)</f>
        <v/>
      </c>
      <c r="X152" s="2999"/>
      <c r="Y152" s="3015" t="s">
        <v>687</v>
      </c>
      <c r="Z152" s="3016"/>
      <c r="AA152" s="3017"/>
      <c r="AB152" s="3018" t="str">
        <f>IMAGE("https://raw.githubusercontent.com/msikma/pokesprite/master/items/z-crystals/flyinium-z--held.png",3)</f>
        <v/>
      </c>
      <c r="AC152" s="2999"/>
      <c r="AD152" s="3015" t="s">
        <v>1220</v>
      </c>
      <c r="AE152" s="3016"/>
      <c r="AF152" s="3017"/>
      <c r="AG152" s="3018" t="str">
        <f>IMAGE("https://raw.githubusercontent.com/msikma/pokesprite/master/items/mega-stone/kangaskhanite.png",3)</f>
        <v/>
      </c>
      <c r="AH152" s="2975"/>
      <c r="AI152" s="2737"/>
    </row>
    <row r="153" ht="20.25" customHeight="1">
      <c r="A153" s="2329"/>
      <c r="B153" s="2992"/>
      <c r="C153" s="3006"/>
      <c r="D153" s="2994"/>
      <c r="E153" s="3007" t="s">
        <v>1221</v>
      </c>
      <c r="F153" s="3008"/>
      <c r="G153" s="3019"/>
      <c r="H153" s="3020" t="str">
        <f>IMAGE("https://raw.githubusercontent.com/msikma/pokesprite/master/misc/types/gen8/fire.png",4,20,20)</f>
        <v/>
      </c>
      <c r="I153" s="2999"/>
      <c r="J153" s="3007" t="s">
        <v>644</v>
      </c>
      <c r="K153" s="3008"/>
      <c r="L153" s="3019"/>
      <c r="M153" s="3020" t="str">
        <f>IMAGE("https://raw.githubusercontent.com/msikma/pokesprite/master/misc/types/gen8/ground.png",4,20,20)</f>
        <v/>
      </c>
      <c r="N153" s="2999"/>
      <c r="O153" s="3007" t="s">
        <v>273</v>
      </c>
      <c r="P153" s="3008"/>
      <c r="Q153" s="3019"/>
      <c r="R153" s="3020" t="str">
        <f>IMAGE("https://raw.githubusercontent.com/msikma/pokesprite/master/misc/types/gen8/normal.png",4,20,20)</f>
        <v/>
      </c>
      <c r="S153" s="2999"/>
      <c r="T153" s="3007" t="s">
        <v>961</v>
      </c>
      <c r="U153" s="3008"/>
      <c r="V153" s="3019"/>
      <c r="W153" s="3020" t="str">
        <f>IMAGE("https://raw.githubusercontent.com/msikma/pokesprite/master/misc/types/gen8/steel.png",4,20,20)</f>
        <v/>
      </c>
      <c r="X153" s="2999"/>
      <c r="Y153" s="3007" t="s">
        <v>219</v>
      </c>
      <c r="Z153" s="3008"/>
      <c r="AA153" s="3019"/>
      <c r="AB153" s="3020" t="str">
        <f>IMAGE("https://raw.githubusercontent.com/msikma/pokesprite/master/misc/types/gen8/dragon.png",4,20,20)</f>
        <v/>
      </c>
      <c r="AC153" s="2999"/>
      <c r="AD153" s="3007" t="s">
        <v>495</v>
      </c>
      <c r="AE153" s="3008"/>
      <c r="AF153" s="3019"/>
      <c r="AG153" s="3020" t="str">
        <f>IMAGE("https://raw.githubusercontent.com/msikma/pokesprite/master/misc/types/gen8/fighting.png",4,20,20)</f>
        <v/>
      </c>
      <c r="AH153" s="2975"/>
      <c r="AI153" s="2737"/>
    </row>
    <row r="154" ht="20.25" customHeight="1">
      <c r="A154" s="2329"/>
      <c r="B154" s="2992"/>
      <c r="C154" s="3021"/>
      <c r="D154" s="2994"/>
      <c r="E154" s="3012" t="s">
        <v>583</v>
      </c>
      <c r="F154" s="3013"/>
      <c r="G154" s="3022"/>
      <c r="H154" s="3023" t="str">
        <f>IMAGE("https://raw.githubusercontent.com/msikma/pokesprite/master/misc/types/gen8/fighting.png",4,20,20)</f>
        <v/>
      </c>
      <c r="I154" s="2999"/>
      <c r="J154" s="3012" t="s">
        <v>773</v>
      </c>
      <c r="K154" s="3013"/>
      <c r="L154" s="3022"/>
      <c r="M154" s="3023" t="str">
        <f>IMAGE("https://raw.githubusercontent.com/msikma/pokesprite/master/misc/types/gen8/poison.png",4,20,20)</f>
        <v/>
      </c>
      <c r="N154" s="2999"/>
      <c r="O154" s="3012" t="s">
        <v>549</v>
      </c>
      <c r="P154" s="3013"/>
      <c r="Q154" s="3022"/>
      <c r="R154" s="3023" t="str">
        <f>IMAGE("https://raw.githubusercontent.com/msikma/pokesprite/master/misc/types/gen8/ground.png",4,20,20)</f>
        <v/>
      </c>
      <c r="S154" s="2999"/>
      <c r="T154" s="3012" t="s">
        <v>720</v>
      </c>
      <c r="U154" s="3013"/>
      <c r="V154" s="3022"/>
      <c r="W154" s="3023" t="str">
        <f>IMAGE("https://raw.githubusercontent.com/msikma/pokesprite/master/misc/types/gen8/fighting.png",4,20,20)</f>
        <v/>
      </c>
      <c r="X154" s="2999"/>
      <c r="Y154" s="3012" t="s">
        <v>760</v>
      </c>
      <c r="Z154" s="3013"/>
      <c r="AA154" s="3022"/>
      <c r="AB154" s="3023" t="str">
        <f>IMAGE("https://raw.githubusercontent.com/msikma/pokesprite/master/misc/types/gen8/water.png",4,20,20)</f>
        <v/>
      </c>
      <c r="AC154" s="2999"/>
      <c r="AD154" s="3012" t="s">
        <v>1040</v>
      </c>
      <c r="AE154" s="3013"/>
      <c r="AF154" s="3022"/>
      <c r="AG154" s="3023" t="str">
        <f>IMAGE("https://raw.githubusercontent.com/msikma/pokesprite/master/misc/types/gen8/normal.png",4,20,20)</f>
        <v/>
      </c>
      <c r="AH154" s="2975"/>
      <c r="AI154" s="2737"/>
    </row>
    <row r="155" ht="20.25" customHeight="1">
      <c r="A155" s="2329"/>
      <c r="B155" s="2992"/>
      <c r="C155" s="3021"/>
      <c r="D155" s="2994"/>
      <c r="E155" s="3012" t="s">
        <v>504</v>
      </c>
      <c r="F155" s="3013"/>
      <c r="G155" s="3022"/>
      <c r="H155" s="3023" t="str">
        <f>IMAGE("https://raw.githubusercontent.com/msikma/pokesprite/master/misc/types/gen8/electric.png",4,20,20)</f>
        <v/>
      </c>
      <c r="I155" s="2999"/>
      <c r="J155" s="3012" t="s">
        <v>1211</v>
      </c>
      <c r="K155" s="3013"/>
      <c r="L155" s="3022"/>
      <c r="M155" s="3023" t="str">
        <f>IMAGE("https://raw.githubusercontent.com/msikma/pokesprite/master/misc/types/gen8/fire.png",4,20,20)</f>
        <v/>
      </c>
      <c r="N155" s="2999"/>
      <c r="O155" s="3012" t="s">
        <v>1222</v>
      </c>
      <c r="P155" s="3013"/>
      <c r="Q155" s="3022"/>
      <c r="R155" s="3023" t="str">
        <f>IMAGE("https://raw.githubusercontent.com/msikma/pokesprite/master/misc/types/gen8/grass.png",4,20,20)</f>
        <v/>
      </c>
      <c r="S155" s="2999"/>
      <c r="T155" s="3012" t="s">
        <v>197</v>
      </c>
      <c r="U155" s="3013"/>
      <c r="V155" s="3022"/>
      <c r="W155" s="3023" t="str">
        <f>IMAGE("https://raw.githubusercontent.com/msikma/pokesprite/master/misc/types/gen8/normal.png",4,20,20)</f>
        <v/>
      </c>
      <c r="X155" s="2999"/>
      <c r="Y155" s="3012" t="s">
        <v>549</v>
      </c>
      <c r="Z155" s="3013"/>
      <c r="AA155" s="3022"/>
      <c r="AB155" s="3023" t="str">
        <f>IMAGE("https://raw.githubusercontent.com/msikma/pokesprite/master/misc/types/gen8/ground.png",4,20,20)</f>
        <v/>
      </c>
      <c r="AC155" s="2999"/>
      <c r="AD155" s="3012" t="s">
        <v>762</v>
      </c>
      <c r="AE155" s="3013"/>
      <c r="AF155" s="3022"/>
      <c r="AG155" s="3023" t="str">
        <f>IMAGE("https://raw.githubusercontent.com/msikma/pokesprite/master/misc/types/gen8/dark.png",4,20,20)</f>
        <v/>
      </c>
      <c r="AH155" s="2975"/>
      <c r="AI155" s="2737"/>
    </row>
    <row r="156" ht="21.0" customHeight="1">
      <c r="A156" s="2329"/>
      <c r="B156" s="2992"/>
      <c r="C156" s="3021"/>
      <c r="D156" s="2994"/>
      <c r="E156" s="3024" t="s">
        <v>191</v>
      </c>
      <c r="F156" s="3025"/>
      <c r="G156" s="3026"/>
      <c r="H156" s="3027" t="str">
        <f>IMAGE("https://raw.githubusercontent.com/msikma/pokesprite/master/misc/types/gen8/rock.png",4,20,20)</f>
        <v/>
      </c>
      <c r="I156" s="2999"/>
      <c r="J156" s="3024" t="s">
        <v>547</v>
      </c>
      <c r="K156" s="3025"/>
      <c r="L156" s="3026"/>
      <c r="M156" s="3027" t="str">
        <f>IMAGE("https://raw.githubusercontent.com/msikma/pokesprite/master/misc/types/gen8/electric.png",4,20,20)</f>
        <v/>
      </c>
      <c r="N156" s="2999"/>
      <c r="O156" s="3024" t="s">
        <v>1137</v>
      </c>
      <c r="P156" s="3025"/>
      <c r="Q156" s="3026"/>
      <c r="R156" s="3027" t="str">
        <f>IMAGE("https://raw.githubusercontent.com/msikma/pokesprite/master/misc/types/gen8/rock.png",4,20,20)</f>
        <v/>
      </c>
      <c r="S156" s="2999"/>
      <c r="T156" s="3024" t="s">
        <v>549</v>
      </c>
      <c r="U156" s="3025"/>
      <c r="V156" s="3026"/>
      <c r="W156" s="3027" t="str">
        <f>IMAGE("https://raw.githubusercontent.com/msikma/pokesprite/master/misc/types/gen8/ground.png",4,20,20)</f>
        <v/>
      </c>
      <c r="X156" s="2999"/>
      <c r="Y156" s="3024" t="s">
        <v>1223</v>
      </c>
      <c r="Z156" s="3025"/>
      <c r="AA156" s="3026"/>
      <c r="AB156" s="3027" t="str">
        <f>IMAGE("https://raw.githubusercontent.com/msikma/pokesprite/master/misc/types/gen8/flying.png",4,20,20)</f>
        <v/>
      </c>
      <c r="AC156" s="2999"/>
      <c r="AD156" s="3024" t="s">
        <v>498</v>
      </c>
      <c r="AE156" s="3025"/>
      <c r="AF156" s="3026"/>
      <c r="AG156" s="3027" t="str">
        <f>IMAGE("https://raw.githubusercontent.com/msikma/pokesprite/master/misc/types/gen8/rock.png",4,20,20)</f>
        <v/>
      </c>
      <c r="AH156" s="2975"/>
      <c r="AI156" s="2737"/>
    </row>
    <row r="157" ht="3.0" customHeight="1">
      <c r="A157" s="2802"/>
      <c r="B157" s="3028"/>
      <c r="C157" s="3029"/>
      <c r="D157" s="3030"/>
      <c r="E157" s="3031"/>
      <c r="F157" s="3031"/>
      <c r="G157" s="3031"/>
      <c r="H157" s="3031"/>
      <c r="I157" s="3030"/>
      <c r="J157" s="3031"/>
      <c r="K157" s="3031"/>
      <c r="L157" s="3031"/>
      <c r="M157" s="3031"/>
      <c r="N157" s="3030"/>
      <c r="O157" s="3031"/>
      <c r="P157" s="3031"/>
      <c r="Q157" s="3031"/>
      <c r="R157" s="3031"/>
      <c r="S157" s="3030"/>
      <c r="T157" s="3031"/>
      <c r="U157" s="3031"/>
      <c r="V157" s="3031"/>
      <c r="W157" s="3032"/>
      <c r="X157" s="3030"/>
      <c r="Y157" s="3033"/>
      <c r="Z157" s="3034"/>
      <c r="AA157" s="3034"/>
      <c r="AB157" s="3035"/>
      <c r="AC157" s="3030"/>
      <c r="AD157" s="3036"/>
      <c r="AE157" s="3036"/>
      <c r="AF157" s="3036"/>
      <c r="AG157" s="3035"/>
      <c r="AH157" s="3037"/>
      <c r="AI157" s="2810"/>
    </row>
    <row r="158" ht="16.5" customHeight="1">
      <c r="A158" s="2811"/>
      <c r="B158" s="3038"/>
      <c r="C158" s="3029"/>
      <c r="D158" s="3039"/>
      <c r="E158" s="3040" t="s">
        <v>512</v>
      </c>
      <c r="F158" s="606"/>
      <c r="G158" s="606"/>
      <c r="H158" s="607"/>
      <c r="I158" s="3041"/>
      <c r="J158" s="3040" t="s">
        <v>512</v>
      </c>
      <c r="K158" s="606"/>
      <c r="L158" s="606"/>
      <c r="M158" s="607"/>
      <c r="N158" s="3041"/>
      <c r="O158" s="3040" t="s">
        <v>512</v>
      </c>
      <c r="P158" s="606"/>
      <c r="Q158" s="606"/>
      <c r="R158" s="607"/>
      <c r="S158" s="3041"/>
      <c r="T158" s="3040" t="s">
        <v>512</v>
      </c>
      <c r="U158" s="606"/>
      <c r="V158" s="606"/>
      <c r="W158" s="607"/>
      <c r="X158" s="3041"/>
      <c r="Y158" s="3040" t="s">
        <v>512</v>
      </c>
      <c r="Z158" s="606"/>
      <c r="AA158" s="606"/>
      <c r="AB158" s="607"/>
      <c r="AC158" s="3041"/>
      <c r="AD158" s="3040" t="s">
        <v>512</v>
      </c>
      <c r="AE158" s="606"/>
      <c r="AF158" s="606"/>
      <c r="AG158" s="607"/>
      <c r="AH158" s="3042"/>
      <c r="AI158" s="2407"/>
    </row>
    <row r="159" ht="16.5" customHeight="1">
      <c r="A159" s="2811"/>
      <c r="B159" s="3038"/>
      <c r="C159" s="3029"/>
      <c r="D159" s="3039"/>
      <c r="E159" s="3043" t="s">
        <v>513</v>
      </c>
      <c r="F159" s="3044">
        <f t="array" ref="F159">IFERROR(VLOOKUP(E146,Dex!$B$3:$N454,8,FALSE),"")</f>
        <v>76</v>
      </c>
      <c r="G159" s="3045" t="str">
        <f t="array" ref="G159">IFERROR(VLOOKUP(F159,Dex!$P$22:$Q$276,2,FALSE),"")</f>
        <v/>
      </c>
      <c r="H159" s="3046"/>
      <c r="I159" s="3041"/>
      <c r="J159" s="3043" t="s">
        <v>513</v>
      </c>
      <c r="K159" s="3044">
        <f t="array" ref="K159">IFERROR(VLOOKUP(J146,Dex!$B$3:$N454,8,FALSE),"")</f>
        <v>81</v>
      </c>
      <c r="L159" s="3045" t="str">
        <f t="array" ref="L159">IFERROR(VLOOKUP(K159,Dex!$P$22:$Q$276,2,FALSE),"")</f>
        <v/>
      </c>
      <c r="M159" s="3046"/>
      <c r="N159" s="3041"/>
      <c r="O159" s="3043" t="s">
        <v>513</v>
      </c>
      <c r="P159" s="3044">
        <f t="array" ref="P159">IFERROR(VLOOKUP(O146,Dex!$B$3:$N454,8,FALSE),"")</f>
        <v>95</v>
      </c>
      <c r="Q159" s="3045" t="str">
        <f t="array" ref="Q159">IFERROR(VLOOKUP(P159,Dex!$P$22:$Q$276,2,FALSE),"")</f>
        <v/>
      </c>
      <c r="R159" s="3046"/>
      <c r="S159" s="3041"/>
      <c r="T159" s="3043" t="s">
        <v>513</v>
      </c>
      <c r="U159" s="3044">
        <f t="array" ref="U159">IFERROR(VLOOKUP(T146,Dex!$B$3:$N454,8,FALSE),"")</f>
        <v>70</v>
      </c>
      <c r="V159" s="3045" t="str">
        <f t="array" ref="V159">IFERROR(VLOOKUP(U159,Dex!$P$22:$Q$276,2,FALSE),"")</f>
        <v/>
      </c>
      <c r="W159" s="3046"/>
      <c r="X159" s="3041"/>
      <c r="Y159" s="3043" t="s">
        <v>513</v>
      </c>
      <c r="Z159" s="3044">
        <f t="array" ref="Z159">IFERROR(VLOOKUP(Y146,Dex!$B$3:$N454,8,FALSE),"")</f>
        <v>95</v>
      </c>
      <c r="AA159" s="3045" t="str">
        <f t="array" ref="AA159">IFERROR(VLOOKUP(Z159,Dex!$P$22:$Q$276,2,FALSE),"")</f>
        <v/>
      </c>
      <c r="AB159" s="3046"/>
      <c r="AC159" s="3041"/>
      <c r="AD159" s="3043" t="s">
        <v>513</v>
      </c>
      <c r="AE159" s="3044">
        <f t="array" ref="AE159">IFERROR(VLOOKUP(AD146,Dex!$B$3:$N454,8,FALSE),"")</f>
        <v>105</v>
      </c>
      <c r="AF159" s="3045" t="str">
        <f t="array" ref="AF159">IFERROR(VLOOKUP(AE159,Dex!$P$22:$Q$276,2,FALSE),"")</f>
        <v/>
      </c>
      <c r="AG159" s="3046"/>
      <c r="AH159" s="3042"/>
      <c r="AI159" s="2407"/>
    </row>
    <row r="160" ht="16.5" customHeight="1">
      <c r="A160" s="2811"/>
      <c r="B160" s="3038"/>
      <c r="C160" s="3029"/>
      <c r="D160" s="3039"/>
      <c r="E160" s="3047" t="s">
        <v>514</v>
      </c>
      <c r="F160" s="3048">
        <f t="array" ref="F160">IFERROR(VLOOKUP(E146,Dex!$B$3:$N454,9,FALSE),"")</f>
        <v>110</v>
      </c>
      <c r="G160" s="3049" t="str">
        <f t="array" ref="G160">IFERROR(VLOOKUP(F160,Dex!$P$22:$Q$276,2,FALSE),"")</f>
        <v/>
      </c>
      <c r="H160" s="3050"/>
      <c r="I160" s="3041"/>
      <c r="J160" s="3047" t="s">
        <v>514</v>
      </c>
      <c r="K160" s="3048">
        <f t="array" ref="K160">IFERROR(VLOOKUP(J146,Dex!$B$3:$N454,9,FALSE),"")</f>
        <v>102</v>
      </c>
      <c r="L160" s="3049" t="str">
        <f t="array" ref="L160">IFERROR(VLOOKUP(K160,Dex!$P$22:$Q$276,2,FALSE),"")</f>
        <v/>
      </c>
      <c r="M160" s="3050"/>
      <c r="N160" s="3041"/>
      <c r="O160" s="3047" t="s">
        <v>514</v>
      </c>
      <c r="P160" s="3048">
        <f t="array" ref="P160">IFERROR(VLOOKUP(O146,Dex!$B$3:$N454,9,FALSE),"")</f>
        <v>109</v>
      </c>
      <c r="Q160" s="3049" t="str">
        <f t="array" ref="Q160">IFERROR(VLOOKUP(P160,Dex!$P$22:$Q$276,2,FALSE),"")</f>
        <v/>
      </c>
      <c r="R160" s="3050"/>
      <c r="S160" s="3041"/>
      <c r="T160" s="3047" t="s">
        <v>514</v>
      </c>
      <c r="U160" s="3048">
        <f t="array" ref="U160">IFERROR(VLOOKUP(T146,Dex!$B$3:$N454,9,FALSE),"")</f>
        <v>85</v>
      </c>
      <c r="V160" s="3049" t="str">
        <f t="array" ref="V160">IFERROR(VLOOKUP(U160,Dex!$P$22:$Q$276,2,FALSE),"")</f>
        <v/>
      </c>
      <c r="W160" s="3050"/>
      <c r="X160" s="3041"/>
      <c r="Y160" s="3047" t="s">
        <v>514</v>
      </c>
      <c r="Z160" s="3048">
        <f t="array" ref="Z160">IFERROR(VLOOKUP(Y146,Dex!$B$3:$N454,9,FALSE),"")</f>
        <v>125</v>
      </c>
      <c r="AA160" s="3049" t="str">
        <f t="array" ref="AA160">IFERROR(VLOOKUP(Z160,Dex!$P$22:$Q$276,2,FALSE),"")</f>
        <v/>
      </c>
      <c r="AB160" s="3050"/>
      <c r="AC160" s="3041"/>
      <c r="AD160" s="3047" t="s">
        <v>514</v>
      </c>
      <c r="AE160" s="3048">
        <f t="array" ref="AE160">IFERROR(VLOOKUP(AD146,Dex!$B$3:$N454,9,FALSE),"")</f>
        <v>125</v>
      </c>
      <c r="AF160" s="3049" t="str">
        <f t="array" ref="AF160">IFERROR(VLOOKUP(AE160,Dex!$P$22:$Q$276,2,FALSE),"")</f>
        <v/>
      </c>
      <c r="AG160" s="3050"/>
      <c r="AH160" s="3042"/>
      <c r="AI160" s="2407"/>
    </row>
    <row r="161" ht="16.5" customHeight="1">
      <c r="A161" s="2811"/>
      <c r="B161" s="3038"/>
      <c r="C161" s="3029"/>
      <c r="D161" s="3039"/>
      <c r="E161" s="3047" t="s">
        <v>515</v>
      </c>
      <c r="F161" s="3048">
        <f t="array" ref="F161">IFERROR(VLOOKUP(E146,Dex!$B$3:$N454,10,FALSE),"")</f>
        <v>71</v>
      </c>
      <c r="G161" s="3049" t="str">
        <f t="array" ref="G161">IFERROR(VLOOKUP(F161,Dex!$P$22:$Q$276,2,FALSE),"")</f>
        <v/>
      </c>
      <c r="H161" s="3050"/>
      <c r="I161" s="3041"/>
      <c r="J161" s="3047" t="s">
        <v>515</v>
      </c>
      <c r="K161" s="3048">
        <f t="array" ref="K161">IFERROR(VLOOKUP(J146,Dex!$B$3:$N454,10,FALSE),"")</f>
        <v>77</v>
      </c>
      <c r="L161" s="3049" t="str">
        <f t="array" ref="L161">IFERROR(VLOOKUP(K161,Dex!$P$22:$Q$276,2,FALSE),"")</f>
        <v/>
      </c>
      <c r="M161" s="3050"/>
      <c r="N161" s="3041"/>
      <c r="O161" s="3047" t="s">
        <v>515</v>
      </c>
      <c r="P161" s="3048">
        <f t="array" ref="P161">IFERROR(VLOOKUP(O146,Dex!$B$3:$N454,10,FALSE),"")</f>
        <v>105</v>
      </c>
      <c r="Q161" s="3049" t="str">
        <f t="array" ref="Q161">IFERROR(VLOOKUP(P161,Dex!$P$22:$Q$276,2,FALSE),"")</f>
        <v/>
      </c>
      <c r="R161" s="3050"/>
      <c r="S161" s="3041"/>
      <c r="T161" s="3047" t="s">
        <v>515</v>
      </c>
      <c r="U161" s="3048">
        <f t="array" ref="U161">IFERROR(VLOOKUP(T146,Dex!$B$3:$N454,10,FALSE),"")</f>
        <v>145</v>
      </c>
      <c r="V161" s="3049" t="str">
        <f t="array" ref="V161">IFERROR(VLOOKUP(U161,Dex!$P$22:$Q$276,2,FALSE),"")</f>
        <v/>
      </c>
      <c r="W161" s="3050"/>
      <c r="X161" s="3041"/>
      <c r="Y161" s="3047" t="s">
        <v>515</v>
      </c>
      <c r="Z161" s="3048">
        <f t="array" ref="Z161">IFERROR(VLOOKUP(Y146,Dex!$B$3:$N454,10,FALSE),"")</f>
        <v>79</v>
      </c>
      <c r="AA161" s="3049" t="str">
        <f t="array" ref="AA161">IFERROR(VLOOKUP(Z161,Dex!$P$22:$Q$276,2,FALSE),"")</f>
        <v/>
      </c>
      <c r="AB161" s="3050"/>
      <c r="AC161" s="3041"/>
      <c r="AD161" s="3047" t="s">
        <v>515</v>
      </c>
      <c r="AE161" s="3048">
        <f t="array" ref="AE161">IFERROR(VLOOKUP(AD146,Dex!$B$3:$N454,10,FALSE),"")</f>
        <v>100</v>
      </c>
      <c r="AF161" s="3049" t="str">
        <f t="array" ref="AF161">IFERROR(VLOOKUP(AE161,Dex!$P$22:$Q$276,2,FALSE),"")</f>
        <v/>
      </c>
      <c r="AG161" s="3050"/>
      <c r="AH161" s="3042"/>
      <c r="AI161" s="2407"/>
    </row>
    <row r="162" ht="16.5" customHeight="1">
      <c r="A162" s="2811"/>
      <c r="B162" s="3038"/>
      <c r="C162" s="3029"/>
      <c r="D162" s="3039"/>
      <c r="E162" s="3047" t="s">
        <v>516</v>
      </c>
      <c r="F162" s="3048">
        <f t="array" ref="F162">IFERROR(VLOOKUP(E146,Dex!$B$3:$N454,11,FALSE),"")</f>
        <v>110</v>
      </c>
      <c r="G162" s="3049" t="str">
        <f t="array" ref="G162">IFERROR(VLOOKUP(F162,Dex!$P$22:$Q$276,2,FALSE),"")</f>
        <v/>
      </c>
      <c r="H162" s="3050"/>
      <c r="I162" s="3041"/>
      <c r="J162" s="3047" t="s">
        <v>516</v>
      </c>
      <c r="K162" s="3048">
        <f t="array" ref="K162">IFERROR(VLOOKUP(J146,Dex!$B$3:$N454,11,FALSE),"")</f>
        <v>85</v>
      </c>
      <c r="L162" s="3049" t="str">
        <f t="array" ref="L162">IFERROR(VLOOKUP(K162,Dex!$P$22:$Q$276,2,FALSE),"")</f>
        <v/>
      </c>
      <c r="M162" s="3050"/>
      <c r="N162" s="3041"/>
      <c r="O162" s="3047" t="s">
        <v>516</v>
      </c>
      <c r="P162" s="3048">
        <f t="array" ref="P162">IFERROR(VLOOKUP(O146,Dex!$B$3:$N454,11,FALSE),"")</f>
        <v>75</v>
      </c>
      <c r="Q162" s="3049" t="str">
        <f t="array" ref="Q162">IFERROR(VLOOKUP(P162,Dex!$P$22:$Q$276,2,FALSE),"")</f>
        <v/>
      </c>
      <c r="R162" s="3050"/>
      <c r="S162" s="3041"/>
      <c r="T162" s="3047" t="s">
        <v>516</v>
      </c>
      <c r="U162" s="3048">
        <f t="array" ref="U162">IFERROR(VLOOKUP(T146,Dex!$B$3:$N454,11,FALSE),"")</f>
        <v>60</v>
      </c>
      <c r="V162" s="3049" t="str">
        <f t="array" ref="V162">IFERROR(VLOOKUP(U162,Dex!$P$22:$Q$276,2,FALSE),"")</f>
        <v/>
      </c>
      <c r="W162" s="3050"/>
      <c r="X162" s="3041"/>
      <c r="Y162" s="3047" t="s">
        <v>516</v>
      </c>
      <c r="Z162" s="3048">
        <f t="array" ref="Z162">IFERROR(VLOOKUP(Y146,Dex!$B$3:$N454,11,FALSE),"")</f>
        <v>60</v>
      </c>
      <c r="AA162" s="3049" t="str">
        <f t="array" ref="AA162">IFERROR(VLOOKUP(Z162,Dex!$P$22:$Q$276,2,FALSE),"")</f>
        <v/>
      </c>
      <c r="AB162" s="3050"/>
      <c r="AC162" s="3041"/>
      <c r="AD162" s="3047" t="s">
        <v>516</v>
      </c>
      <c r="AE162" s="3048">
        <f t="array" ref="AE162">IFERROR(VLOOKUP(AD146,Dex!$B$3:$N454,11,FALSE),"")</f>
        <v>60</v>
      </c>
      <c r="AF162" s="3049" t="str">
        <f t="array" ref="AF162">IFERROR(VLOOKUP(AE162,Dex!$P$22:$Q$276,2,FALSE),"")</f>
        <v/>
      </c>
      <c r="AG162" s="3050"/>
      <c r="AH162" s="3042"/>
      <c r="AI162" s="2407"/>
    </row>
    <row r="163" ht="16.5" customHeight="1">
      <c r="A163" s="2811"/>
      <c r="B163" s="3038"/>
      <c r="C163" s="3029"/>
      <c r="D163" s="3039"/>
      <c r="E163" s="3047" t="s">
        <v>517</v>
      </c>
      <c r="F163" s="3048">
        <f t="array" ref="F163">IFERROR(VLOOKUP(E146,Dex!$B$3:$N454,12,FALSE),"")</f>
        <v>71</v>
      </c>
      <c r="G163" s="3049" t="str">
        <f t="array" ref="G163">IFERROR(VLOOKUP(F163,Dex!$P$22:$Q$276,2,FALSE),"")</f>
        <v/>
      </c>
      <c r="H163" s="3050"/>
      <c r="I163" s="3041"/>
      <c r="J163" s="3047" t="s">
        <v>517</v>
      </c>
      <c r="K163" s="3048">
        <f t="array" ref="K163">IFERROR(VLOOKUP(J146,Dex!$B$3:$N454,12,FALSE),"")</f>
        <v>75</v>
      </c>
      <c r="L163" s="3049" t="str">
        <f t="array" ref="L163">IFERROR(VLOOKUP(K163,Dex!$P$22:$Q$276,2,FALSE),"")</f>
        <v/>
      </c>
      <c r="M163" s="3050"/>
      <c r="N163" s="3041"/>
      <c r="O163" s="3047" t="s">
        <v>517</v>
      </c>
      <c r="P163" s="3048">
        <f t="array" ref="P163">IFERROR(VLOOKUP(O146,Dex!$B$3:$N454,12,FALSE),"")</f>
        <v>85</v>
      </c>
      <c r="Q163" s="3049" t="str">
        <f t="array" ref="Q163">IFERROR(VLOOKUP(P163,Dex!$P$22:$Q$276,2,FALSE),"")</f>
        <v/>
      </c>
      <c r="R163" s="3050"/>
      <c r="S163" s="3041"/>
      <c r="T163" s="3047" t="s">
        <v>517</v>
      </c>
      <c r="U163" s="3048">
        <f t="array" ref="U163">IFERROR(VLOOKUP(T146,Dex!$B$3:$N454,12,FALSE),"")</f>
        <v>55</v>
      </c>
      <c r="V163" s="3049" t="str">
        <f t="array" ref="V163">IFERROR(VLOOKUP(U163,Dex!$P$22:$Q$276,2,FALSE),"")</f>
        <v/>
      </c>
      <c r="W163" s="3050"/>
      <c r="X163" s="3041"/>
      <c r="Y163" s="3047" t="s">
        <v>517</v>
      </c>
      <c r="Z163" s="3048">
        <f t="array" ref="Z163">IFERROR(VLOOKUP(Y146,Dex!$B$3:$N454,12,FALSE),"")</f>
        <v>100</v>
      </c>
      <c r="AA163" s="3049" t="str">
        <f t="array" ref="AA163">IFERROR(VLOOKUP(Z163,Dex!$P$22:$Q$276,2,FALSE),"")</f>
        <v/>
      </c>
      <c r="AB163" s="3050"/>
      <c r="AC163" s="3041"/>
      <c r="AD163" s="3047" t="s">
        <v>517</v>
      </c>
      <c r="AE163" s="3048">
        <f t="array" ref="AE163">IFERROR(VLOOKUP(AD146,Dex!$B$3:$N454,12,FALSE),"")</f>
        <v>100</v>
      </c>
      <c r="AF163" s="3049" t="str">
        <f t="array" ref="AF163">IFERROR(VLOOKUP(AE163,Dex!$P$22:$Q$276,2,FALSE),"")</f>
        <v/>
      </c>
      <c r="AG163" s="3050"/>
      <c r="AH163" s="3042"/>
      <c r="AI163" s="2407"/>
    </row>
    <row r="164" ht="15.75" customHeight="1">
      <c r="A164" s="2811"/>
      <c r="B164" s="3038"/>
      <c r="C164" s="1426" t="s">
        <v>745</v>
      </c>
      <c r="D164" s="3039"/>
      <c r="E164" s="3051" t="s">
        <v>518</v>
      </c>
      <c r="F164" s="3052">
        <f t="array" ref="F164">IFERROR(VLOOKUP(E146,Dex!$B$3:$N454,13,FALSE),"")</f>
        <v>113</v>
      </c>
      <c r="G164" s="3053" t="str">
        <f t="array" ref="G164">IFERROR(VLOOKUP(F164,Dex!$P$22:$Q$276,2,FALSE),"")</f>
        <v/>
      </c>
      <c r="H164" s="3054"/>
      <c r="I164" s="3041"/>
      <c r="J164" s="3051" t="s">
        <v>518</v>
      </c>
      <c r="K164" s="3052">
        <f t="array" ref="K164">IFERROR(VLOOKUP(J146,Dex!$B$3:$N454,13,FALSE),"")</f>
        <v>85</v>
      </c>
      <c r="L164" s="3053" t="str">
        <f t="array" ref="L164">IFERROR(VLOOKUP(K164,Dex!$P$22:$Q$276,2,FALSE),"")</f>
        <v/>
      </c>
      <c r="M164" s="3054"/>
      <c r="N164" s="3041"/>
      <c r="O164" s="3051" t="s">
        <v>518</v>
      </c>
      <c r="P164" s="3052">
        <f t="array" ref="P164">IFERROR(VLOOKUP(O146,Dex!$B$3:$N454,13,FALSE),"")</f>
        <v>56</v>
      </c>
      <c r="Q164" s="3053" t="str">
        <f t="array" ref="Q164">IFERROR(VLOOKUP(P164,Dex!$P$22:$Q$276,2,FALSE),"")</f>
        <v/>
      </c>
      <c r="R164" s="3054"/>
      <c r="S164" s="3041"/>
      <c r="T164" s="3051" t="s">
        <v>518</v>
      </c>
      <c r="U164" s="3052">
        <f t="array" ref="U164">IFERROR(VLOOKUP(T146,Dex!$B$3:$N454,13,FALSE),"")</f>
        <v>65</v>
      </c>
      <c r="V164" s="3053" t="str">
        <f t="array" ref="V164">IFERROR(VLOOKUP(U164,Dex!$P$22:$Q$276,2,FALSE),"")</f>
        <v/>
      </c>
      <c r="W164" s="3054"/>
      <c r="X164" s="3041"/>
      <c r="Y164" s="3051" t="s">
        <v>518</v>
      </c>
      <c r="Z164" s="3052">
        <f t="array" ref="Z164">IFERROR(VLOOKUP(Y146,Dex!$B$3:$N454,13,FALSE),"")</f>
        <v>81</v>
      </c>
      <c r="AA164" s="3053" t="str">
        <f t="array" ref="AA164">IFERROR(VLOOKUP(Z164,Dex!$P$22:$Q$276,2,FALSE),"")</f>
        <v/>
      </c>
      <c r="AB164" s="3054"/>
      <c r="AC164" s="3041"/>
      <c r="AD164" s="3051" t="s">
        <v>518</v>
      </c>
      <c r="AE164" s="3052">
        <f t="array" ref="AE164">IFERROR(VLOOKUP(AD146,Dex!$B$3:$N454,13,FALSE),"")</f>
        <v>100</v>
      </c>
      <c r="AF164" s="3053" t="str">
        <f t="array" ref="AF164">IFERROR(VLOOKUP(AE164,Dex!$P$22:$Q$276,2,FALSE),"")</f>
        <v/>
      </c>
      <c r="AG164" s="3054"/>
      <c r="AH164" s="3042"/>
      <c r="AI164" s="2407"/>
    </row>
    <row r="165" ht="16.5" customHeight="1">
      <c r="A165" s="2811"/>
      <c r="B165" s="3038"/>
      <c r="C165" s="1427" t="s">
        <v>1191</v>
      </c>
      <c r="D165" s="3039"/>
      <c r="E165" s="3055" t="s">
        <v>519</v>
      </c>
      <c r="F165" s="630"/>
      <c r="G165" s="631"/>
      <c r="H165" s="632">
        <f>ROUNDDOWN((ROUNDDOWN(((((2*F164+31)*47)/100+5)),0))*1.1,0)</f>
        <v>137</v>
      </c>
      <c r="I165" s="3041"/>
      <c r="J165" s="3055" t="s">
        <v>519</v>
      </c>
      <c r="K165" s="630"/>
      <c r="L165" s="631"/>
      <c r="M165" s="632">
        <f>ROUNDDOWN((ROUNDDOWN(((((2*K164+31)*47)/100+5)),0))*1.1,0)</f>
        <v>108</v>
      </c>
      <c r="N165" s="3041"/>
      <c r="O165" s="3055" t="s">
        <v>519</v>
      </c>
      <c r="P165" s="630"/>
      <c r="Q165" s="631"/>
      <c r="R165" s="632">
        <f>ROUNDDOWN((ROUNDDOWN(((((2*P164+31)*47)/100+5)),0))*1.1,0)</f>
        <v>79</v>
      </c>
      <c r="S165" s="3041"/>
      <c r="T165" s="3055" t="s">
        <v>519</v>
      </c>
      <c r="U165" s="630"/>
      <c r="V165" s="631"/>
      <c r="W165" s="632">
        <f>ROUNDDOWN((ROUNDDOWN(((((2*U164+31)*47)/100+5)),0))*1,0)</f>
        <v>80</v>
      </c>
      <c r="X165" s="3041"/>
      <c r="Y165" s="3055" t="s">
        <v>519</v>
      </c>
      <c r="Z165" s="630"/>
      <c r="AA165" s="631"/>
      <c r="AB165" s="632">
        <f>ROUNDDOWN((ROUNDDOWN(((((2*Z164+31)*47)/100+5)),0))*1.1,0)</f>
        <v>104</v>
      </c>
      <c r="AC165" s="3041"/>
      <c r="AD165" s="3055" t="s">
        <v>519</v>
      </c>
      <c r="AE165" s="630"/>
      <c r="AF165" s="631"/>
      <c r="AG165" s="632">
        <f>ROUNDDOWN((ROUNDDOWN(((((2*AE164+31)*47)/100+5)),0))*1.1,0)</f>
        <v>124</v>
      </c>
      <c r="AH165" s="3042"/>
      <c r="AI165" s="2407"/>
    </row>
    <row r="166" ht="15.0" customHeight="1">
      <c r="A166" s="2329"/>
      <c r="B166" s="3056"/>
      <c r="C166" s="3057"/>
      <c r="D166" s="3058"/>
      <c r="E166" s="3059"/>
      <c r="F166" s="3059"/>
      <c r="G166" s="3059"/>
      <c r="H166" s="3059"/>
      <c r="I166" s="3058"/>
      <c r="J166" s="3059"/>
      <c r="K166" s="3059"/>
      <c r="L166" s="3059"/>
      <c r="M166" s="3059"/>
      <c r="N166" s="3058"/>
      <c r="O166" s="3059"/>
      <c r="P166" s="3059"/>
      <c r="Q166" s="3059"/>
      <c r="R166" s="3059"/>
      <c r="S166" s="3058"/>
      <c r="T166" s="3059"/>
      <c r="U166" s="3059"/>
      <c r="V166" s="3059"/>
      <c r="W166" s="3059"/>
      <c r="X166" s="3058"/>
      <c r="Y166" s="3059"/>
      <c r="Z166" s="3059"/>
      <c r="AA166" s="3059"/>
      <c r="AB166" s="3059"/>
      <c r="AC166" s="3058"/>
      <c r="AD166" s="3059"/>
      <c r="AE166" s="3059"/>
      <c r="AF166" s="3059"/>
      <c r="AG166" s="3059"/>
      <c r="AH166" s="3060"/>
      <c r="AI166" s="2737"/>
    </row>
    <row r="167" ht="15.0" customHeight="1">
      <c r="A167" s="2329"/>
      <c r="B167" s="2844"/>
      <c r="C167" s="2845"/>
      <c r="D167" s="2846"/>
      <c r="E167" s="2847"/>
      <c r="F167" s="2847"/>
      <c r="G167" s="2847"/>
      <c r="H167" s="2847"/>
      <c r="I167" s="2846"/>
      <c r="J167" s="2847"/>
      <c r="K167" s="2847"/>
      <c r="L167" s="2847"/>
      <c r="M167" s="2847"/>
      <c r="N167" s="2846"/>
      <c r="O167" s="2847"/>
      <c r="P167" s="2847"/>
      <c r="Q167" s="2847"/>
      <c r="R167" s="2847"/>
      <c r="S167" s="2846"/>
      <c r="T167" s="2847"/>
      <c r="U167" s="2847"/>
      <c r="V167" s="2847"/>
      <c r="W167" s="2847"/>
      <c r="X167" s="2846"/>
      <c r="Y167" s="2847"/>
      <c r="Z167" s="2847"/>
      <c r="AA167" s="2847"/>
      <c r="AB167" s="2847"/>
      <c r="AC167" s="2846"/>
      <c r="AD167" s="2846"/>
      <c r="AE167" s="2846"/>
      <c r="AF167" s="2846"/>
      <c r="AG167" s="2846"/>
      <c r="AH167" s="2848"/>
      <c r="AI167" s="2737"/>
    </row>
    <row r="168" ht="96.75" customHeight="1">
      <c r="A168" s="2329"/>
      <c r="B168" s="2849"/>
      <c r="C168" s="2850" t="str">
        <f>IMAGE("https://i.ibb.co/kJrTDW3/Grunt.png")</f>
        <v/>
      </c>
      <c r="D168" s="2851"/>
      <c r="E168" s="3061" t="str">
        <f t="array" ref="E168">IFERROR(VLOOKUP(E169,Dex!$B$3:$G454,3,FALSE),"")</f>
        <v/>
      </c>
      <c r="F168" s="1945"/>
      <c r="G168" s="1945"/>
      <c r="H168" s="1946"/>
      <c r="I168" s="2944"/>
      <c r="J168" s="3061" t="str">
        <f t="array" ref="J168">IFERROR(VLOOKUP(J169,Dex!$B$3:$G454,3,FALSE),"")</f>
        <v/>
      </c>
      <c r="K168" s="1945"/>
      <c r="L168" s="1945"/>
      <c r="M168" s="1946"/>
      <c r="N168" s="2944"/>
      <c r="O168" s="3061" t="str">
        <f t="array" ref="O168">IFERROR(VLOOKUP(O169,Dex!$B$3:$G454,3,FALSE),"")</f>
        <v/>
      </c>
      <c r="P168" s="1945"/>
      <c r="Q168" s="1945"/>
      <c r="R168" s="1946"/>
      <c r="S168" s="2944"/>
      <c r="T168" s="3061" t="str">
        <f t="array" ref="T168">IFERROR(VLOOKUP(T169,Dex!$B$3:$G454,3,FALSE),"")</f>
        <v/>
      </c>
      <c r="U168" s="1945"/>
      <c r="V168" s="1945"/>
      <c r="W168" s="1946"/>
      <c r="X168" s="3062"/>
      <c r="Y168" s="3061" t="str">
        <f t="array" ref="Y168">IFERROR(VLOOKUP(Y169,Dex!$B$3:$G454,3,FALSE),"")</f>
        <v/>
      </c>
      <c r="Z168" s="1945"/>
      <c r="AA168" s="1945"/>
      <c r="AB168" s="1946"/>
      <c r="AC168" s="2853"/>
      <c r="AD168" s="2854"/>
      <c r="AE168" s="2855"/>
      <c r="AF168" s="2855"/>
      <c r="AG168" s="2856"/>
      <c r="AH168" s="2858"/>
      <c r="AI168" s="2737"/>
    </row>
    <row r="169" ht="18.75" customHeight="1">
      <c r="A169" s="2354"/>
      <c r="B169" s="2859"/>
      <c r="C169" s="2860" t="s">
        <v>1224</v>
      </c>
      <c r="D169" s="2861"/>
      <c r="E169" s="2862" t="s">
        <v>1225</v>
      </c>
      <c r="F169" s="2863"/>
      <c r="G169" s="2863"/>
      <c r="H169" s="2864"/>
      <c r="I169" s="2861"/>
      <c r="J169" s="2862" t="s">
        <v>1226</v>
      </c>
      <c r="K169" s="2863"/>
      <c r="L169" s="2863"/>
      <c r="M169" s="2864"/>
      <c r="N169" s="2861"/>
      <c r="O169" s="2862" t="s">
        <v>1227</v>
      </c>
      <c r="P169" s="2863"/>
      <c r="Q169" s="2863"/>
      <c r="R169" s="2864"/>
      <c r="S169" s="2861"/>
      <c r="T169" s="2862" t="s">
        <v>1228</v>
      </c>
      <c r="U169" s="2863"/>
      <c r="V169" s="2863"/>
      <c r="W169" s="2864"/>
      <c r="Y169" s="2862" t="s">
        <v>936</v>
      </c>
      <c r="Z169" s="2863"/>
      <c r="AA169" s="2863"/>
      <c r="AB169" s="2864"/>
      <c r="AC169" s="2865"/>
      <c r="AD169" s="2866"/>
      <c r="AE169" s="2855"/>
      <c r="AF169" s="2855"/>
      <c r="AG169" s="2856"/>
      <c r="AH169" s="2868"/>
      <c r="AI169" s="2757"/>
    </row>
    <row r="170">
      <c r="A170" s="2758"/>
      <c r="B170" s="2869"/>
      <c r="C170" s="556"/>
      <c r="D170" s="2870"/>
      <c r="E170" s="2871" t="s">
        <v>967</v>
      </c>
      <c r="F170" s="2872"/>
      <c r="G170" s="2872"/>
      <c r="H170" s="2873"/>
      <c r="I170" s="2861"/>
      <c r="J170" s="2871" t="s">
        <v>729</v>
      </c>
      <c r="K170" s="2872"/>
      <c r="L170" s="2872"/>
      <c r="M170" s="2873"/>
      <c r="N170" s="2861"/>
      <c r="O170" s="2871" t="s">
        <v>967</v>
      </c>
      <c r="P170" s="2872"/>
      <c r="Q170" s="2872"/>
      <c r="R170" s="2873"/>
      <c r="S170" s="2861"/>
      <c r="T170" s="2871" t="s">
        <v>729</v>
      </c>
      <c r="U170" s="2872"/>
      <c r="V170" s="2872"/>
      <c r="W170" s="2873"/>
      <c r="Y170" s="2871" t="s">
        <v>729</v>
      </c>
      <c r="Z170" s="2872"/>
      <c r="AA170" s="2872"/>
      <c r="AB170" s="2873"/>
      <c r="AC170" s="2865"/>
      <c r="AD170" s="2874"/>
      <c r="AE170" s="2855"/>
      <c r="AF170" s="2855"/>
      <c r="AG170" s="2856"/>
      <c r="AH170" s="2875"/>
      <c r="AI170" s="2766"/>
    </row>
    <row r="171" ht="25.5" customHeight="1">
      <c r="A171" s="2329"/>
      <c r="B171" s="2876"/>
      <c r="C171" s="2877"/>
      <c r="D171" s="2854"/>
      <c r="E171" s="2878"/>
      <c r="F171" s="2882" t="str">
        <f t="array" ref="F171">IFERROR(VLOOKUP(E169,Dex!$B$3:$H454,5,FALSE),"")</f>
        <v/>
      </c>
      <c r="G171" s="2883" t="str">
        <f t="array" ref="G171">IFERROR(VLOOKUP(E169,Dex!$B$3:$H454,7,FALSE),"")</f>
        <v/>
      </c>
      <c r="H171" s="2881"/>
      <c r="I171" s="2866"/>
      <c r="J171" s="2878"/>
      <c r="K171" s="2882" t="str">
        <f t="array" ref="K171">IFERROR(VLOOKUP(J169,Dex!$B$3:$H454,5,FALSE),"")</f>
        <v/>
      </c>
      <c r="L171" s="2883" t="str">
        <f t="array" ref="L171">IFERROR(VLOOKUP(J169,Dex!$B$3:$H454,7,FALSE),"")</f>
        <v/>
      </c>
      <c r="M171" s="2881"/>
      <c r="N171" s="2866"/>
      <c r="O171" s="2878"/>
      <c r="P171" s="2882" t="str">
        <f t="array" ref="P171">IFERROR(VLOOKUP(O169,Dex!$B$3:$H454,5,FALSE),"")</f>
        <v/>
      </c>
      <c r="Q171" s="2883" t="str">
        <f t="array" ref="Q171">IFERROR(VLOOKUP(O169,Dex!$B$3:$H454,7,FALSE),"")</f>
        <v/>
      </c>
      <c r="R171" s="2881"/>
      <c r="S171" s="2866"/>
      <c r="T171" s="2878"/>
      <c r="U171" s="2882" t="str">
        <f t="array" ref="U171">IFERROR(VLOOKUP(T169,Dex!$B$3:$H454,5,FALSE),"")</f>
        <v/>
      </c>
      <c r="V171" s="2883" t="str">
        <f t="array" ref="V171">IFERROR(VLOOKUP(T169,Dex!$B$3:$H454,7,FALSE),"")</f>
        <v/>
      </c>
      <c r="W171" s="2881"/>
      <c r="Y171" s="2878"/>
      <c r="Z171" s="2882" t="str">
        <f t="array" ref="Z171">IFERROR(VLOOKUP(Y169,Dex!$B$3:$H454,5,FALSE),"")</f>
        <v/>
      </c>
      <c r="AA171" s="2883" t="str">
        <f t="array" ref="AA171">IFERROR(VLOOKUP(Y169,Dex!$B$3:$H454,7,FALSE),"")</f>
        <v/>
      </c>
      <c r="AB171" s="2881"/>
      <c r="AC171" s="2865"/>
      <c r="AD171" s="2854"/>
      <c r="AE171" s="2855"/>
      <c r="AF171" s="2855"/>
      <c r="AG171" s="2856"/>
      <c r="AH171" s="2858"/>
      <c r="AI171" s="2737"/>
    </row>
    <row r="172" ht="2.25" customHeight="1">
      <c r="A172" s="2329"/>
      <c r="B172" s="2876"/>
      <c r="C172" s="2867"/>
      <c r="D172" s="2854"/>
      <c r="E172" s="2884"/>
      <c r="F172" s="2885"/>
      <c r="G172" s="2885"/>
      <c r="H172" s="2886"/>
      <c r="I172" s="2866"/>
      <c r="J172" s="2884"/>
      <c r="K172" s="2885"/>
      <c r="L172" s="2885"/>
      <c r="M172" s="2886"/>
      <c r="N172" s="2866"/>
      <c r="O172" s="2884"/>
      <c r="P172" s="2885"/>
      <c r="Q172" s="2885"/>
      <c r="R172" s="2886"/>
      <c r="S172" s="2866"/>
      <c r="T172" s="2884"/>
      <c r="U172" s="2885"/>
      <c r="V172" s="2885"/>
      <c r="W172" s="2886"/>
      <c r="Y172" s="2884"/>
      <c r="Z172" s="2885"/>
      <c r="AA172" s="2885"/>
      <c r="AB172" s="2886"/>
      <c r="AC172" s="2865"/>
      <c r="AD172" s="2887"/>
      <c r="AE172" s="2887"/>
      <c r="AF172" s="2887"/>
      <c r="AG172" s="2887"/>
      <c r="AH172" s="2858"/>
      <c r="AI172" s="2737"/>
    </row>
    <row r="173" ht="20.25" customHeight="1">
      <c r="A173" s="2329"/>
      <c r="B173" s="2876"/>
      <c r="C173" s="2888"/>
      <c r="D173" s="2854"/>
      <c r="E173" s="2889" t="s">
        <v>531</v>
      </c>
      <c r="F173" s="2890"/>
      <c r="G173" s="2890"/>
      <c r="H173" s="2891"/>
      <c r="I173" s="2892"/>
      <c r="J173" s="2889" t="s">
        <v>566</v>
      </c>
      <c r="K173" s="2890"/>
      <c r="L173" s="2890"/>
      <c r="M173" s="2891"/>
      <c r="N173" s="2892"/>
      <c r="O173" s="2889" t="s">
        <v>564</v>
      </c>
      <c r="P173" s="2890"/>
      <c r="Q173" s="2890"/>
      <c r="R173" s="2891"/>
      <c r="S173" s="2892"/>
      <c r="T173" s="2889" t="s">
        <v>531</v>
      </c>
      <c r="U173" s="2890"/>
      <c r="V173" s="2890"/>
      <c r="W173" s="2891"/>
      <c r="Y173" s="2889" t="s">
        <v>532</v>
      </c>
      <c r="Z173" s="2890"/>
      <c r="AA173" s="2890"/>
      <c r="AB173" s="2891"/>
      <c r="AC173" s="2865"/>
      <c r="AD173" s="2854"/>
      <c r="AE173" s="2855"/>
      <c r="AF173" s="2855"/>
      <c r="AG173" s="2856"/>
      <c r="AH173" s="2858"/>
      <c r="AI173" s="2737"/>
    </row>
    <row r="174" ht="20.25" customHeight="1">
      <c r="A174" s="2329"/>
      <c r="B174" s="2876"/>
      <c r="C174" s="2893"/>
      <c r="D174" s="2854"/>
      <c r="E174" s="2894" t="s">
        <v>83</v>
      </c>
      <c r="F174" s="2855"/>
      <c r="G174" s="2855"/>
      <c r="H174" s="2895"/>
      <c r="I174" s="2892"/>
      <c r="J174" s="2894" t="s">
        <v>533</v>
      </c>
      <c r="K174" s="2855"/>
      <c r="L174" s="2855"/>
      <c r="M174" s="2895"/>
      <c r="N174" s="2892"/>
      <c r="O174" s="2894" t="s">
        <v>857</v>
      </c>
      <c r="P174" s="2855"/>
      <c r="Q174" s="2855"/>
      <c r="R174" s="2895"/>
      <c r="S174" s="2892"/>
      <c r="T174" s="2894" t="s">
        <v>1229</v>
      </c>
      <c r="U174" s="2855"/>
      <c r="V174" s="2855"/>
      <c r="W174" s="2895"/>
      <c r="Y174" s="2894" t="s">
        <v>534</v>
      </c>
      <c r="Z174" s="2855"/>
      <c r="AA174" s="2855"/>
      <c r="AB174" s="2895"/>
      <c r="AC174" s="2865"/>
      <c r="AD174" s="2854"/>
      <c r="AE174" s="2855"/>
      <c r="AF174" s="2855"/>
      <c r="AG174" s="2856"/>
      <c r="AH174" s="2858"/>
      <c r="AI174" s="2737"/>
    </row>
    <row r="175" ht="20.25" customHeight="1">
      <c r="A175" s="2329"/>
      <c r="B175" s="2876"/>
      <c r="C175" s="2867"/>
      <c r="D175" s="2854"/>
      <c r="E175" s="2896" t="s">
        <v>538</v>
      </c>
      <c r="F175" s="2897"/>
      <c r="G175" s="2898"/>
      <c r="H175" s="2899" t="str">
        <f>IMAGE("https://raw.githubusercontent.com/msikma/pokesprite/master/items/berry/wacan.png",3)</f>
        <v/>
      </c>
      <c r="I175" s="2866"/>
      <c r="J175" s="2896" t="s">
        <v>541</v>
      </c>
      <c r="K175" s="2897"/>
      <c r="L175" s="2898"/>
      <c r="M175" s="2899" t="str">
        <f>IMAGE("https://raw.githubusercontent.com/msikma/pokesprite/master/items/hold-item/life-orb.png",3)</f>
        <v/>
      </c>
      <c r="N175" s="2866"/>
      <c r="O175" s="2896" t="s">
        <v>1230</v>
      </c>
      <c r="P175" s="2897"/>
      <c r="Q175" s="2898"/>
      <c r="R175" s="2899" t="str">
        <f>IMAGE("https://raw.githubusercontent.com/msikma/pokesprite/master/items/hold-item/choice-specs.png",3)</f>
        <v/>
      </c>
      <c r="S175" s="2866"/>
      <c r="T175" s="2896" t="s">
        <v>1209</v>
      </c>
      <c r="U175" s="2897"/>
      <c r="V175" s="2898"/>
      <c r="W175" s="2899" t="str">
        <f>IMAGE("https://raw.githubusercontent.com/msikma/pokesprite/master/items/hold-item/wide-lens.png",3)</f>
        <v/>
      </c>
      <c r="Y175" s="2896" t="s">
        <v>686</v>
      </c>
      <c r="Z175" s="2897"/>
      <c r="AA175" s="2898"/>
      <c r="AB175" s="2899" t="str">
        <f>IMAGE("https://raw.githubusercontent.com/msikma/pokesprite/master/items/gem/water.png",3)</f>
        <v/>
      </c>
      <c r="AC175" s="2865"/>
      <c r="AD175" s="2854"/>
      <c r="AE175" s="2855"/>
      <c r="AF175" s="2855"/>
      <c r="AG175" s="2856"/>
      <c r="AH175" s="2858"/>
      <c r="AI175" s="2737"/>
    </row>
    <row r="176" ht="20.25" customHeight="1">
      <c r="A176" s="2329"/>
      <c r="B176" s="2876"/>
      <c r="C176" s="2888"/>
      <c r="D176" s="2854"/>
      <c r="E176" s="2889" t="s">
        <v>699</v>
      </c>
      <c r="F176" s="2890"/>
      <c r="G176" s="2900"/>
      <c r="H176" s="2901" t="str">
        <f>IMAGE("https://raw.githubusercontent.com/msikma/pokesprite/master/misc/types/gen8/water.png",4,20,20)</f>
        <v/>
      </c>
      <c r="I176" s="2866"/>
      <c r="J176" s="2889" t="s">
        <v>760</v>
      </c>
      <c r="K176" s="2890"/>
      <c r="L176" s="2900"/>
      <c r="M176" s="2901" t="str">
        <f>IMAGE("https://raw.githubusercontent.com/msikma/pokesprite/master/misc/types/gen8/water.png",4,20,20)</f>
        <v/>
      </c>
      <c r="N176" s="2866"/>
      <c r="O176" s="2889" t="s">
        <v>641</v>
      </c>
      <c r="P176" s="2890"/>
      <c r="Q176" s="2900"/>
      <c r="R176" s="2901" t="str">
        <f>IMAGE("https://raw.githubusercontent.com/msikma/pokesprite/master/misc/types/gen8/fairy.png",4,20,20)</f>
        <v/>
      </c>
      <c r="S176" s="2866"/>
      <c r="T176" s="2889" t="s">
        <v>586</v>
      </c>
      <c r="U176" s="2890"/>
      <c r="V176" s="2900"/>
      <c r="W176" s="2901" t="str">
        <f>IMAGE("https://raw.githubusercontent.com/msikma/pokesprite/master/misc/types/gen8/ice.png",4,20,20)</f>
        <v/>
      </c>
      <c r="Y176" s="2889" t="s">
        <v>586</v>
      </c>
      <c r="Z176" s="2890"/>
      <c r="AA176" s="2900"/>
      <c r="AB176" s="2901" t="str">
        <f>IMAGE("https://raw.githubusercontent.com/msikma/pokesprite/master/misc/types/gen8/ice.png",4,20,20)</f>
        <v/>
      </c>
      <c r="AC176" s="2865"/>
      <c r="AD176" s="2854"/>
      <c r="AE176" s="2855"/>
      <c r="AF176" s="2855"/>
      <c r="AG176" s="2856"/>
      <c r="AH176" s="2858"/>
      <c r="AI176" s="2737"/>
    </row>
    <row r="177" ht="20.25" customHeight="1">
      <c r="A177" s="2329"/>
      <c r="B177" s="2876"/>
      <c r="C177" s="2902"/>
      <c r="D177" s="2854"/>
      <c r="E177" s="2894" t="s">
        <v>546</v>
      </c>
      <c r="F177" s="2855"/>
      <c r="G177" s="2856"/>
      <c r="H177" s="2956" t="str">
        <f>IMAGE("https://raw.githubusercontent.com/msikma/pokesprite/master/misc/types/gen8/flying.png",4,20,20)</f>
        <v/>
      </c>
      <c r="I177" s="2866"/>
      <c r="J177" s="2894" t="s">
        <v>1231</v>
      </c>
      <c r="K177" s="2855"/>
      <c r="L177" s="2856"/>
      <c r="M177" s="2956" t="str">
        <f>IMAGE("https://raw.githubusercontent.com/msikma/pokesprite/master/misc/types/gen8/poison.png",4,20,20)</f>
        <v/>
      </c>
      <c r="N177" s="2866"/>
      <c r="O177" s="2894" t="s">
        <v>582</v>
      </c>
      <c r="P177" s="2855"/>
      <c r="Q177" s="2856"/>
      <c r="R177" s="2956" t="str">
        <f t="shared" ref="R177:R178" si="7">IMAGE("https://raw.githubusercontent.com/msikma/pokesprite/master/misc/types/gen8/ice.png",4,20,20)</f>
        <v/>
      </c>
      <c r="S177" s="2866"/>
      <c r="T177" s="2894" t="s">
        <v>844</v>
      </c>
      <c r="U177" s="2855"/>
      <c r="V177" s="2856"/>
      <c r="W177" s="2956" t="str">
        <f>IMAGE("https://raw.githubusercontent.com/msikma/pokesprite/master/misc/types/gen8/electric.png",4,20,20)</f>
        <v/>
      </c>
      <c r="Y177" s="2894" t="s">
        <v>939</v>
      </c>
      <c r="Z177" s="2855"/>
      <c r="AA177" s="2856"/>
      <c r="AB177" s="2956" t="str">
        <f>IMAGE("https://raw.githubusercontent.com/msikma/pokesprite/master/misc/types/gen8/psychic.png",4,20,20)</f>
        <v/>
      </c>
      <c r="AC177" s="2865"/>
      <c r="AD177" s="2854"/>
      <c r="AE177" s="2855"/>
      <c r="AF177" s="2855"/>
      <c r="AG177" s="2856"/>
      <c r="AH177" s="2858"/>
      <c r="AI177" s="2737"/>
    </row>
    <row r="178" ht="20.25" customHeight="1">
      <c r="A178" s="2329"/>
      <c r="B178" s="2876"/>
      <c r="C178" s="2902"/>
      <c r="D178" s="2854"/>
      <c r="E178" s="2894" t="s">
        <v>612</v>
      </c>
      <c r="F178" s="2855"/>
      <c r="G178" s="2856"/>
      <c r="H178" s="2957" t="str">
        <f>IMAGE("https://raw.githubusercontent.com/msikma/pokesprite/master/misc/types/gen8/bug.png",4,20,20)</f>
        <v/>
      </c>
      <c r="I178" s="2866"/>
      <c r="J178" s="2894" t="s">
        <v>1232</v>
      </c>
      <c r="K178" s="2855"/>
      <c r="L178" s="2856"/>
      <c r="M178" s="2957" t="str">
        <f>IMAGE("https://raw.githubusercontent.com/msikma/pokesprite/master/misc/types/gen8/dark.png",4,20,20)</f>
        <v/>
      </c>
      <c r="N178" s="2866"/>
      <c r="O178" s="2894" t="s">
        <v>586</v>
      </c>
      <c r="P178" s="2855"/>
      <c r="Q178" s="2856"/>
      <c r="R178" s="2957" t="str">
        <f t="shared" si="7"/>
        <v/>
      </c>
      <c r="S178" s="2866"/>
      <c r="T178" s="2894" t="s">
        <v>669</v>
      </c>
      <c r="U178" s="2855"/>
      <c r="V178" s="2856"/>
      <c r="W178" s="2957" t="str">
        <f t="shared" ref="W178:W179" si="8">IMAGE("https://raw.githubusercontent.com/msikma/pokesprite/master/misc/types/gen8/psychic.png",4,20,20)</f>
        <v/>
      </c>
      <c r="Y178" s="2894" t="s">
        <v>925</v>
      </c>
      <c r="Z178" s="2855"/>
      <c r="AA178" s="2856"/>
      <c r="AB178" s="2957" t="str">
        <f>IMAGE("https://raw.githubusercontent.com/msikma/pokesprite/master/misc/types/gen8/ice.png",4,20,20)</f>
        <v/>
      </c>
      <c r="AC178" s="2865"/>
      <c r="AD178" s="2854"/>
      <c r="AE178" s="2855"/>
      <c r="AF178" s="2855"/>
      <c r="AG178" s="2856"/>
      <c r="AH178" s="2858"/>
      <c r="AI178" s="2737"/>
    </row>
    <row r="179" ht="21.0" customHeight="1">
      <c r="A179" s="2329"/>
      <c r="B179" s="2876"/>
      <c r="C179" s="2902"/>
      <c r="D179" s="2854"/>
      <c r="E179" s="2904" t="s">
        <v>293</v>
      </c>
      <c r="F179" s="2905"/>
      <c r="G179" s="2906"/>
      <c r="H179" s="2907" t="str">
        <f>IMAGE("https://raw.githubusercontent.com/msikma/pokesprite/master/misc/types/gen8/flying.png",4,20,20)</f>
        <v/>
      </c>
      <c r="I179" s="2866"/>
      <c r="J179" s="2904" t="s">
        <v>148</v>
      </c>
      <c r="K179" s="2905"/>
      <c r="L179" s="2906"/>
      <c r="M179" s="2907" t="str">
        <f>IMAGE("https://raw.githubusercontent.com/msikma/pokesprite/master/misc/types/gen8/ghost.png",4,20,20)</f>
        <v/>
      </c>
      <c r="N179" s="2866"/>
      <c r="O179" s="2904" t="s">
        <v>699</v>
      </c>
      <c r="P179" s="2905"/>
      <c r="Q179" s="2906"/>
      <c r="R179" s="2907" t="str">
        <f>IMAGE("https://raw.githubusercontent.com/msikma/pokesprite/master/misc/types/gen8/water.png",4,20,20)</f>
        <v/>
      </c>
      <c r="S179" s="2866"/>
      <c r="T179" s="2904" t="s">
        <v>1153</v>
      </c>
      <c r="U179" s="2905"/>
      <c r="V179" s="2906"/>
      <c r="W179" s="2907" t="str">
        <f t="shared" si="8"/>
        <v/>
      </c>
      <c r="X179" s="2948"/>
      <c r="Y179" s="2904" t="s">
        <v>938</v>
      </c>
      <c r="Z179" s="2905"/>
      <c r="AA179" s="2906"/>
      <c r="AB179" s="2907" t="str">
        <f>IMAGE("https://raw.githubusercontent.com/msikma/pokesprite/master/misc/types/gen8/water.png",4,20,20)</f>
        <v/>
      </c>
      <c r="AC179" s="2909"/>
      <c r="AD179" s="2854"/>
      <c r="AE179" s="2855"/>
      <c r="AF179" s="2855"/>
      <c r="AG179" s="2856"/>
      <c r="AH179" s="2858"/>
      <c r="AI179" s="2737"/>
    </row>
    <row r="180" ht="3.0" customHeight="1">
      <c r="A180" s="2802"/>
      <c r="B180" s="2910"/>
      <c r="C180" s="2911"/>
      <c r="D180" s="2912"/>
      <c r="E180" s="2913"/>
      <c r="F180" s="2913"/>
      <c r="G180" s="2913"/>
      <c r="H180" s="2913"/>
      <c r="I180" s="2912"/>
      <c r="J180" s="2913"/>
      <c r="K180" s="2913"/>
      <c r="L180" s="2913"/>
      <c r="M180" s="2913"/>
      <c r="N180" s="2912"/>
      <c r="O180" s="2913"/>
      <c r="P180" s="2913"/>
      <c r="Q180" s="2913"/>
      <c r="R180" s="2913"/>
      <c r="S180" s="2912"/>
      <c r="T180" s="2913"/>
      <c r="U180" s="2913"/>
      <c r="V180" s="2913"/>
      <c r="W180" s="2914"/>
      <c r="X180" s="2912"/>
      <c r="Y180" s="2913"/>
      <c r="Z180" s="2913"/>
      <c r="AA180" s="2913"/>
      <c r="AB180" s="2914"/>
      <c r="AC180" s="2916"/>
      <c r="AD180" s="2916"/>
      <c r="AE180" s="2916"/>
      <c r="AF180" s="2916"/>
      <c r="AG180" s="2916"/>
      <c r="AH180" s="2917"/>
      <c r="AI180" s="2810"/>
    </row>
    <row r="181" ht="16.5" customHeight="1">
      <c r="A181" s="2811"/>
      <c r="B181" s="2918"/>
      <c r="C181" s="2911"/>
      <c r="D181" s="2919"/>
      <c r="E181" s="2920" t="s">
        <v>512</v>
      </c>
      <c r="F181" s="606"/>
      <c r="G181" s="606"/>
      <c r="H181" s="607"/>
      <c r="I181" s="2921"/>
      <c r="J181" s="2920" t="s">
        <v>512</v>
      </c>
      <c r="K181" s="606"/>
      <c r="L181" s="606"/>
      <c r="M181" s="607"/>
      <c r="N181" s="2921"/>
      <c r="O181" s="2920" t="s">
        <v>512</v>
      </c>
      <c r="P181" s="606"/>
      <c r="Q181" s="606"/>
      <c r="R181" s="607"/>
      <c r="S181" s="2921"/>
      <c r="T181" s="2920" t="s">
        <v>512</v>
      </c>
      <c r="U181" s="606"/>
      <c r="V181" s="606"/>
      <c r="W181" s="607"/>
      <c r="X181" s="2922"/>
      <c r="Y181" s="2920" t="s">
        <v>512</v>
      </c>
      <c r="Z181" s="606"/>
      <c r="AA181" s="606"/>
      <c r="AB181" s="607"/>
      <c r="AC181" s="2923"/>
      <c r="AD181" s="2923"/>
      <c r="AE181" s="2923"/>
      <c r="AF181" s="2923"/>
      <c r="AG181" s="2923"/>
      <c r="AH181" s="2925"/>
      <c r="AI181" s="2407"/>
    </row>
    <row r="182" ht="16.5" customHeight="1">
      <c r="A182" s="2811"/>
      <c r="B182" s="2918"/>
      <c r="C182" s="2911"/>
      <c r="D182" s="2919"/>
      <c r="E182" s="2926" t="s">
        <v>513</v>
      </c>
      <c r="F182" s="2927">
        <f t="array" ref="F182">IFERROR(VLOOKUP(E169,Dex!$B$3:$N454,8,FALSE),"")</f>
        <v>60</v>
      </c>
      <c r="G182" s="2928" t="str">
        <f t="array" ref="G182">IFERROR(VLOOKUP(F182,Dex!$P$22:$Q$276,2,FALSE),"")</f>
        <v/>
      </c>
      <c r="H182" s="2929"/>
      <c r="I182" s="2921"/>
      <c r="J182" s="2926" t="s">
        <v>513</v>
      </c>
      <c r="K182" s="2927">
        <f t="array" ref="K182">IFERROR(VLOOKUP(J169,Dex!$B$3:$N454,8,FALSE),"")</f>
        <v>95</v>
      </c>
      <c r="L182" s="2928" t="str">
        <f t="array" ref="L182">IFERROR(VLOOKUP(K182,Dex!$P$22:$Q$276,2,FALSE),"")</f>
        <v/>
      </c>
      <c r="M182" s="2929"/>
      <c r="N182" s="2921"/>
      <c r="O182" s="2926" t="s">
        <v>513</v>
      </c>
      <c r="P182" s="2927">
        <f t="array" ref="P182">IFERROR(VLOOKUP(O169,Dex!$B$3:$N454,8,FALSE),"")</f>
        <v>73</v>
      </c>
      <c r="Q182" s="2928" t="str">
        <f t="array" ref="Q182">IFERROR(VLOOKUP(P182,Dex!$P$22:$Q$276,2,FALSE),"")</f>
        <v/>
      </c>
      <c r="R182" s="2929"/>
      <c r="S182" s="2921"/>
      <c r="T182" s="2926" t="s">
        <v>513</v>
      </c>
      <c r="U182" s="2927">
        <f t="array" ref="U182">IFERROR(VLOOKUP(T169,Dex!$B$3:$N454,8,FALSE),"")</f>
        <v>80</v>
      </c>
      <c r="V182" s="2928" t="str">
        <f t="array" ref="V182">IFERROR(VLOOKUP(U182,Dex!$P$22:$Q$276,2,FALSE),"")</f>
        <v/>
      </c>
      <c r="W182" s="2929"/>
      <c r="X182" s="2922"/>
      <c r="Y182" s="2926" t="s">
        <v>513</v>
      </c>
      <c r="Z182" s="2927">
        <f t="array" ref="Z182">IFERROR(VLOOKUP(Y169,Dex!$B$3:$N454,8,FALSE),"")</f>
        <v>90</v>
      </c>
      <c r="AA182" s="2928" t="str">
        <f t="array" ref="AA182">IFERROR(VLOOKUP(Z182,Dex!$P$22:$Q$276,2,FALSE),"")</f>
        <v/>
      </c>
      <c r="AB182" s="2929"/>
      <c r="AC182" s="2923"/>
      <c r="AD182" s="2923"/>
      <c r="AE182" s="2923"/>
      <c r="AF182" s="2923"/>
      <c r="AG182" s="2923"/>
      <c r="AH182" s="2925"/>
      <c r="AI182" s="2407"/>
    </row>
    <row r="183" ht="16.5" customHeight="1">
      <c r="A183" s="2811"/>
      <c r="B183" s="2918"/>
      <c r="C183" s="2911"/>
      <c r="D183" s="2919"/>
      <c r="E183" s="2930" t="s">
        <v>514</v>
      </c>
      <c r="F183" s="2931">
        <f t="array" ref="F183">IFERROR(VLOOKUP(E169,Dex!$B$3:$N454,9,FALSE),"")</f>
        <v>50</v>
      </c>
      <c r="G183" s="2932" t="str">
        <f t="array" ref="G183">IFERROR(VLOOKUP(F183,Dex!$P$22:$Q$276,2,FALSE),"")</f>
        <v/>
      </c>
      <c r="H183" s="2933"/>
      <c r="I183" s="2921"/>
      <c r="J183" s="2930" t="s">
        <v>514</v>
      </c>
      <c r="K183" s="2931">
        <f t="array" ref="K183">IFERROR(VLOOKUP(J169,Dex!$B$3:$N454,9,FALSE),"")</f>
        <v>115</v>
      </c>
      <c r="L183" s="2932" t="str">
        <f t="array" ref="L183">IFERROR(VLOOKUP(K183,Dex!$P$22:$Q$276,2,FALSE),"")</f>
        <v/>
      </c>
      <c r="M183" s="2933"/>
      <c r="N183" s="2921"/>
      <c r="O183" s="2930" t="s">
        <v>514</v>
      </c>
      <c r="P183" s="2931">
        <f t="array" ref="P183">IFERROR(VLOOKUP(O169,Dex!$B$3:$N454,9,FALSE),"")</f>
        <v>67</v>
      </c>
      <c r="Q183" s="2932" t="str">
        <f t="array" ref="Q183">IFERROR(VLOOKUP(P183,Dex!$P$22:$Q$276,2,FALSE),"")</f>
        <v/>
      </c>
      <c r="R183" s="2933"/>
      <c r="S183" s="2921"/>
      <c r="T183" s="2930" t="s">
        <v>514</v>
      </c>
      <c r="U183" s="2931">
        <f t="array" ref="U183">IFERROR(VLOOKUP(T169,Dex!$B$3:$N454,9,FALSE),"")</f>
        <v>65</v>
      </c>
      <c r="V183" s="2932" t="str">
        <f t="array" ref="V183">IFERROR(VLOOKUP(U183,Dex!$P$22:$Q$276,2,FALSE),"")</f>
        <v/>
      </c>
      <c r="W183" s="2933"/>
      <c r="X183" s="2922"/>
      <c r="Y183" s="2930" t="s">
        <v>514</v>
      </c>
      <c r="Z183" s="2931">
        <f t="array" ref="Z183">IFERROR(VLOOKUP(Y169,Dex!$B$3:$N454,9,FALSE),"")</f>
        <v>90</v>
      </c>
      <c r="AA183" s="2932" t="str">
        <f t="array" ref="AA183">IFERROR(VLOOKUP(Z183,Dex!$P$22:$Q$276,2,FALSE),"")</f>
        <v/>
      </c>
      <c r="AB183" s="2933"/>
      <c r="AC183" s="2923"/>
      <c r="AD183" s="2923"/>
      <c r="AE183" s="2923"/>
      <c r="AF183" s="2923"/>
      <c r="AG183" s="2923"/>
      <c r="AH183" s="2925"/>
      <c r="AI183" s="2407"/>
    </row>
    <row r="184" ht="16.5" customHeight="1">
      <c r="A184" s="2811"/>
      <c r="B184" s="2918"/>
      <c r="C184" s="2911"/>
      <c r="D184" s="2919"/>
      <c r="E184" s="2930" t="s">
        <v>515</v>
      </c>
      <c r="F184" s="2931">
        <f t="array" ref="F184">IFERROR(VLOOKUP(E169,Dex!$B$3:$N454,10,FALSE),"")</f>
        <v>100</v>
      </c>
      <c r="G184" s="2932" t="str">
        <f t="array" ref="G184">IFERROR(VLOOKUP(F184,Dex!$P$22:$Q$276,2,FALSE),"")</f>
        <v/>
      </c>
      <c r="H184" s="2933"/>
      <c r="I184" s="2921"/>
      <c r="J184" s="2930" t="s">
        <v>515</v>
      </c>
      <c r="K184" s="2931">
        <f t="array" ref="K184">IFERROR(VLOOKUP(J169,Dex!$B$3:$N454,10,FALSE),"")</f>
        <v>100</v>
      </c>
      <c r="L184" s="2932" t="str">
        <f t="array" ref="L184">IFERROR(VLOOKUP(K184,Dex!$P$22:$Q$276,2,FALSE),"")</f>
        <v/>
      </c>
      <c r="M184" s="2933"/>
      <c r="N184" s="2921"/>
      <c r="O184" s="2930" t="s">
        <v>515</v>
      </c>
      <c r="P184" s="2931">
        <f t="array" ref="P184">IFERROR(VLOOKUP(O169,Dex!$B$3:$N454,10,FALSE),"")</f>
        <v>75</v>
      </c>
      <c r="Q184" s="2932" t="str">
        <f t="array" ref="Q184">IFERROR(VLOOKUP(P184,Dex!$P$22:$Q$276,2,FALSE),"")</f>
        <v/>
      </c>
      <c r="R184" s="2933"/>
      <c r="S184" s="2921"/>
      <c r="T184" s="2930" t="s">
        <v>515</v>
      </c>
      <c r="U184" s="2931">
        <f t="array" ref="U184">IFERROR(VLOOKUP(T169,Dex!$B$3:$N454,10,FALSE),"")</f>
        <v>75</v>
      </c>
      <c r="V184" s="2932" t="str">
        <f t="array" ref="V184">IFERROR(VLOOKUP(U184,Dex!$P$22:$Q$276,2,FALSE),"")</f>
        <v/>
      </c>
      <c r="W184" s="2933"/>
      <c r="X184" s="2922"/>
      <c r="Y184" s="2930" t="s">
        <v>515</v>
      </c>
      <c r="Z184" s="2931">
        <f t="array" ref="Z184">IFERROR(VLOOKUP(Y169,Dex!$B$3:$N454,10,FALSE),"")</f>
        <v>100</v>
      </c>
      <c r="AA184" s="2932" t="str">
        <f t="array" ref="AA184">IFERROR(VLOOKUP(Z184,Dex!$P$22:$Q$276,2,FALSE),"")</f>
        <v/>
      </c>
      <c r="AB184" s="2933"/>
      <c r="AC184" s="2923"/>
      <c r="AD184" s="2923"/>
      <c r="AE184" s="2923"/>
      <c r="AF184" s="2923"/>
      <c r="AG184" s="2923"/>
      <c r="AH184" s="2925"/>
      <c r="AI184" s="2407"/>
    </row>
    <row r="185" ht="16.5" customHeight="1">
      <c r="A185" s="2811"/>
      <c r="B185" s="2918"/>
      <c r="C185" s="2911"/>
      <c r="D185" s="2919"/>
      <c r="E185" s="2930" t="s">
        <v>516</v>
      </c>
      <c r="F185" s="2931">
        <f t="array" ref="F185">IFERROR(VLOOKUP(E169,Dex!$B$3:$N454,11,FALSE),"")</f>
        <v>95</v>
      </c>
      <c r="G185" s="2932" t="str">
        <f t="array" ref="G185">IFERROR(VLOOKUP(F185,Dex!$P$22:$Q$276,2,FALSE),"")</f>
        <v/>
      </c>
      <c r="H185" s="2933"/>
      <c r="I185" s="2921"/>
      <c r="J185" s="2930" t="s">
        <v>516</v>
      </c>
      <c r="K185" s="2931">
        <f t="array" ref="K185">IFERROR(VLOOKUP(J169,Dex!$B$3:$N454,11,FALSE),"")</f>
        <v>55</v>
      </c>
      <c r="L185" s="2932" t="str">
        <f t="array" ref="L185">IFERROR(VLOOKUP(K185,Dex!$P$22:$Q$276,2,FALSE),"")</f>
        <v/>
      </c>
      <c r="M185" s="2933"/>
      <c r="N185" s="2921"/>
      <c r="O185" s="2930" t="s">
        <v>516</v>
      </c>
      <c r="P185" s="2931">
        <f t="array" ref="P185">IFERROR(VLOOKUP(O169,Dex!$B$3:$N454,11,FALSE),"")</f>
        <v>81</v>
      </c>
      <c r="Q185" s="2932" t="str">
        <f t="array" ref="Q185">IFERROR(VLOOKUP(P185,Dex!$P$22:$Q$276,2,FALSE),"")</f>
        <v/>
      </c>
      <c r="R185" s="2933"/>
      <c r="S185" s="2921"/>
      <c r="T185" s="2930" t="s">
        <v>516</v>
      </c>
      <c r="U185" s="2931">
        <f t="array" ref="U185">IFERROR(VLOOKUP(T169,Dex!$B$3:$N454,11,FALSE),"")</f>
        <v>110</v>
      </c>
      <c r="V185" s="2932" t="str">
        <f t="array" ref="V185">IFERROR(VLOOKUP(U185,Dex!$P$22:$Q$276,2,FALSE),"")</f>
        <v/>
      </c>
      <c r="W185" s="2933"/>
      <c r="X185" s="2922"/>
      <c r="Y185" s="2930" t="s">
        <v>516</v>
      </c>
      <c r="Z185" s="2931">
        <f t="array" ref="Z185">IFERROR(VLOOKUP(Y169,Dex!$B$3:$N454,11,FALSE),"")</f>
        <v>55</v>
      </c>
      <c r="AA185" s="2932" t="str">
        <f t="array" ref="AA185">IFERROR(VLOOKUP(Z185,Dex!$P$22:$Q$276,2,FALSE),"")</f>
        <v/>
      </c>
      <c r="AB185" s="2933"/>
      <c r="AC185" s="2923"/>
      <c r="AD185" s="2923"/>
      <c r="AE185" s="2923"/>
      <c r="AF185" s="2923"/>
      <c r="AG185" s="2923"/>
      <c r="AH185" s="2925"/>
      <c r="AI185" s="2407"/>
    </row>
    <row r="186" ht="16.5" customHeight="1">
      <c r="A186" s="2811"/>
      <c r="B186" s="2918"/>
      <c r="C186" s="2911"/>
      <c r="D186" s="2919"/>
      <c r="E186" s="2930" t="s">
        <v>517</v>
      </c>
      <c r="F186" s="2931">
        <f t="array" ref="F186">IFERROR(VLOOKUP(E169,Dex!$B$3:$N454,12,FALSE),"")</f>
        <v>70</v>
      </c>
      <c r="G186" s="2932" t="str">
        <f t="array" ref="G186">IFERROR(VLOOKUP(F186,Dex!$P$22:$Q$276,2,FALSE),"")</f>
        <v/>
      </c>
      <c r="H186" s="2933"/>
      <c r="I186" s="2921"/>
      <c r="J186" s="2930" t="s">
        <v>517</v>
      </c>
      <c r="K186" s="2931">
        <f t="array" ref="K186">IFERROR(VLOOKUP(J169,Dex!$B$3:$N454,12,FALSE),"")</f>
        <v>80</v>
      </c>
      <c r="L186" s="2932" t="str">
        <f t="array" ref="L186">IFERROR(VLOOKUP(K186,Dex!$P$22:$Q$276,2,FALSE),"")</f>
        <v/>
      </c>
      <c r="M186" s="2933"/>
      <c r="N186" s="2921"/>
      <c r="O186" s="2930" t="s">
        <v>517</v>
      </c>
      <c r="P186" s="2931">
        <f t="array" ref="P186">IFERROR(VLOOKUP(O169,Dex!$B$3:$N454,12,FALSE),"")</f>
        <v>100</v>
      </c>
      <c r="Q186" s="2932" t="str">
        <f t="array" ref="Q186">IFERROR(VLOOKUP(P186,Dex!$P$22:$Q$276,2,FALSE),"")</f>
        <v/>
      </c>
      <c r="R186" s="2933"/>
      <c r="S186" s="2921"/>
      <c r="T186" s="2930" t="s">
        <v>517</v>
      </c>
      <c r="U186" s="2931">
        <f t="array" ref="U186">IFERROR(VLOOKUP(T169,Dex!$B$3:$N454,12,FALSE),"")</f>
        <v>90</v>
      </c>
      <c r="V186" s="2932" t="str">
        <f t="array" ref="V186">IFERROR(VLOOKUP(U186,Dex!$P$22:$Q$276,2,FALSE),"")</f>
        <v/>
      </c>
      <c r="W186" s="2933"/>
      <c r="X186" s="2922"/>
      <c r="Y186" s="2930" t="s">
        <v>517</v>
      </c>
      <c r="Z186" s="2931">
        <f t="array" ref="Z186">IFERROR(VLOOKUP(Y169,Dex!$B$3:$N454,12,FALSE),"")</f>
        <v>90</v>
      </c>
      <c r="AA186" s="2932" t="str">
        <f t="array" ref="AA186">IFERROR(VLOOKUP(Z186,Dex!$P$22:$Q$276,2,FALSE),"")</f>
        <v/>
      </c>
      <c r="AB186" s="2933"/>
      <c r="AC186" s="2923"/>
      <c r="AD186" s="2923"/>
      <c r="AE186" s="2923"/>
      <c r="AF186" s="2923"/>
      <c r="AG186" s="2923"/>
      <c r="AH186" s="2925"/>
      <c r="AI186" s="2407"/>
    </row>
    <row r="187" ht="15.75" customHeight="1">
      <c r="A187" s="2811"/>
      <c r="B187" s="2918"/>
      <c r="C187" s="1426" t="s">
        <v>745</v>
      </c>
      <c r="D187" s="2919"/>
      <c r="E187" s="2934" t="s">
        <v>518</v>
      </c>
      <c r="F187" s="2935">
        <f t="array" ref="F187">IFERROR(VLOOKUP(E169,Dex!$B$3:$N454,13,FALSE),"")</f>
        <v>65</v>
      </c>
      <c r="G187" s="2936" t="str">
        <f t="array" ref="G187">IFERROR(VLOOKUP(F187,Dex!$P$22:$Q$276,2,FALSE),"")</f>
        <v/>
      </c>
      <c r="H187" s="2937"/>
      <c r="I187" s="2921"/>
      <c r="J187" s="2934" t="s">
        <v>518</v>
      </c>
      <c r="K187" s="2935">
        <f t="array" ref="K187">IFERROR(VLOOKUP(J169,Dex!$B$3:$N454,13,FALSE),"")</f>
        <v>85</v>
      </c>
      <c r="L187" s="2936" t="str">
        <f t="array" ref="L187">IFERROR(VLOOKUP(K187,Dex!$P$22:$Q$276,2,FALSE),"")</f>
        <v/>
      </c>
      <c r="M187" s="2937"/>
      <c r="N187" s="2921"/>
      <c r="O187" s="2934" t="s">
        <v>518</v>
      </c>
      <c r="P187" s="2935">
        <f t="array" ref="P187">IFERROR(VLOOKUP(O169,Dex!$B$3:$N454,13,FALSE),"")</f>
        <v>109</v>
      </c>
      <c r="Q187" s="2936" t="str">
        <f t="array" ref="Q187">IFERROR(VLOOKUP(P187,Dex!$P$22:$Q$276,2,FALSE),"")</f>
        <v/>
      </c>
      <c r="R187" s="2937"/>
      <c r="S187" s="2921"/>
      <c r="T187" s="2934" t="s">
        <v>518</v>
      </c>
      <c r="U187" s="2935">
        <f t="array" ref="U187">IFERROR(VLOOKUP(T169,Dex!$B$3:$N454,13,FALSE),"")</f>
        <v>100</v>
      </c>
      <c r="V187" s="2936" t="str">
        <f t="array" ref="V187">IFERROR(VLOOKUP(U187,Dex!$P$22:$Q$276,2,FALSE),"")</f>
        <v/>
      </c>
      <c r="W187" s="2937"/>
      <c r="X187" s="2922"/>
      <c r="Y187" s="2934" t="s">
        <v>518</v>
      </c>
      <c r="Z187" s="2935">
        <f t="array" ref="Z187">IFERROR(VLOOKUP(Y169,Dex!$B$3:$N454,13,FALSE),"")</f>
        <v>80</v>
      </c>
      <c r="AA187" s="2936" t="str">
        <f t="array" ref="AA187">IFERROR(VLOOKUP(Z187,Dex!$P$22:$Q$276,2,FALSE),"")</f>
        <v/>
      </c>
      <c r="AB187" s="2937"/>
      <c r="AC187" s="2923"/>
      <c r="AD187" s="2923"/>
      <c r="AE187" s="2923"/>
      <c r="AF187" s="2923"/>
      <c r="AG187" s="2923"/>
      <c r="AH187" s="2925"/>
      <c r="AI187" s="2407"/>
    </row>
    <row r="188" ht="16.5" customHeight="1">
      <c r="A188" s="2811"/>
      <c r="B188" s="2918"/>
      <c r="C188" s="1427" t="s">
        <v>1055</v>
      </c>
      <c r="D188" s="2919"/>
      <c r="E188" s="2938" t="s">
        <v>519</v>
      </c>
      <c r="F188" s="630"/>
      <c r="G188" s="631"/>
      <c r="H188" s="632">
        <f>ROUNDDOWN((ROUNDDOWN(((((2*F187+31)*55)/100+5)),0))*1,0)</f>
        <v>93</v>
      </c>
      <c r="I188" s="2921"/>
      <c r="J188" s="3063" t="s">
        <v>519</v>
      </c>
      <c r="K188" s="635"/>
      <c r="L188" s="636"/>
      <c r="M188" s="632">
        <f>ROUNDDOWN((ROUNDDOWN(((((2*K187+31)*56)/100+5)),0))*1,0)</f>
        <v>117</v>
      </c>
      <c r="N188" s="2921"/>
      <c r="O188" s="2938" t="s">
        <v>519</v>
      </c>
      <c r="P188" s="630"/>
      <c r="Q188" s="631"/>
      <c r="R188" s="632">
        <f>ROUNDDOWN((ROUNDDOWN(((((2*P187+31)*55)/100+5)),0))*1.1,0)</f>
        <v>155</v>
      </c>
      <c r="S188" s="2921"/>
      <c r="T188" s="2938" t="s">
        <v>519</v>
      </c>
      <c r="U188" s="630"/>
      <c r="V188" s="631"/>
      <c r="W188" s="632">
        <f>ROUNDDOWN((ROUNDDOWN(((((2*U187+31)*56)/100+5)),0))*1,0)</f>
        <v>134</v>
      </c>
      <c r="X188" s="2922"/>
      <c r="Y188" s="2938" t="s">
        <v>519</v>
      </c>
      <c r="Z188" s="630"/>
      <c r="AA188" s="631"/>
      <c r="AB188" s="632">
        <f>ROUNDDOWN((ROUNDDOWN(((((2*Z187+31)*56)/100+5)),0))*1.1,0)</f>
        <v>122</v>
      </c>
      <c r="AC188" s="2923"/>
      <c r="AD188" s="2923"/>
      <c r="AE188" s="2923"/>
      <c r="AF188" s="2923"/>
      <c r="AG188" s="2923"/>
      <c r="AH188" s="2925"/>
      <c r="AI188" s="2407"/>
    </row>
    <row r="189" ht="16.5" customHeight="1">
      <c r="A189" s="2811"/>
      <c r="B189" s="2958"/>
      <c r="C189" s="2962"/>
      <c r="D189" s="2959"/>
      <c r="E189" s="2938" t="s">
        <v>672</v>
      </c>
      <c r="F189" s="630"/>
      <c r="G189" s="631"/>
      <c r="H189" s="3064">
        <f>H188*2</f>
        <v>186</v>
      </c>
      <c r="I189" s="2960"/>
      <c r="J189" s="3065" t="s">
        <v>555</v>
      </c>
      <c r="K189" s="643"/>
      <c r="L189" s="644"/>
      <c r="M189" s="3064">
        <f t="shared" ref="M189:M190" si="9">M188*2</f>
        <v>234</v>
      </c>
      <c r="N189" s="2960"/>
      <c r="O189" s="2938" t="s">
        <v>672</v>
      </c>
      <c r="P189" s="630"/>
      <c r="Q189" s="631"/>
      <c r="R189" s="3064">
        <f>R188*2</f>
        <v>310</v>
      </c>
      <c r="S189" s="2960"/>
      <c r="T189" s="2938" t="s">
        <v>672</v>
      </c>
      <c r="U189" s="630"/>
      <c r="V189" s="631"/>
      <c r="W189" s="3064">
        <f>W188*2</f>
        <v>268</v>
      </c>
      <c r="X189" s="2961"/>
      <c r="Y189" s="2938" t="s">
        <v>672</v>
      </c>
      <c r="Z189" s="630"/>
      <c r="AA189" s="631"/>
      <c r="AB189" s="3064">
        <f>AB188*2</f>
        <v>244</v>
      </c>
      <c r="AC189" s="2962"/>
      <c r="AD189" s="2962"/>
      <c r="AE189" s="2962"/>
      <c r="AF189" s="2962"/>
      <c r="AG189" s="2962"/>
      <c r="AH189" s="2964"/>
      <c r="AI189" s="2407"/>
    </row>
    <row r="190" ht="16.5" customHeight="1">
      <c r="A190" s="2811"/>
      <c r="B190" s="2958"/>
      <c r="C190" s="2962"/>
      <c r="D190" s="2959"/>
      <c r="E190" s="2962"/>
      <c r="F190" s="2962"/>
      <c r="G190" s="2962"/>
      <c r="H190" s="2962"/>
      <c r="I190" s="2960"/>
      <c r="J190" s="2938" t="s">
        <v>672</v>
      </c>
      <c r="K190" s="630"/>
      <c r="L190" s="631"/>
      <c r="M190" s="3064">
        <f t="shared" si="9"/>
        <v>468</v>
      </c>
      <c r="N190" s="2960"/>
      <c r="O190" s="2962"/>
      <c r="P190" s="2962"/>
      <c r="Q190" s="2962"/>
      <c r="R190" s="2962"/>
      <c r="S190" s="2960"/>
      <c r="T190" s="2962"/>
      <c r="U190" s="2962"/>
      <c r="V190" s="2962"/>
      <c r="W190" s="2962"/>
      <c r="X190" s="2961"/>
      <c r="Y190" s="2962"/>
      <c r="Z190" s="2962"/>
      <c r="AA190" s="2962"/>
      <c r="AB190" s="2962"/>
      <c r="AC190" s="2962"/>
      <c r="AD190" s="2962"/>
      <c r="AE190" s="2962"/>
      <c r="AF190" s="2962"/>
      <c r="AG190" s="2962"/>
      <c r="AH190" s="2964"/>
      <c r="AI190" s="2407"/>
    </row>
    <row r="191" ht="15.0" customHeight="1">
      <c r="A191" s="2329"/>
      <c r="B191" s="2939"/>
      <c r="C191" s="2940"/>
      <c r="D191" s="2941"/>
      <c r="E191" s="2940"/>
      <c r="F191" s="2940"/>
      <c r="G191" s="2940"/>
      <c r="H191" s="2940"/>
      <c r="I191" s="2941"/>
      <c r="J191" s="2940"/>
      <c r="K191" s="2940"/>
      <c r="L191" s="2940"/>
      <c r="M191" s="2940"/>
      <c r="N191" s="2941"/>
      <c r="O191" s="2940"/>
      <c r="P191" s="2940"/>
      <c r="Q191" s="2940"/>
      <c r="R191" s="2940"/>
      <c r="S191" s="2941"/>
      <c r="T191" s="2940"/>
      <c r="U191" s="2940"/>
      <c r="V191" s="2940"/>
      <c r="W191" s="2940"/>
      <c r="X191" s="2941"/>
      <c r="Y191" s="2940"/>
      <c r="Z191" s="2940"/>
      <c r="AA191" s="2940"/>
      <c r="AB191" s="2940"/>
      <c r="AC191" s="2941"/>
      <c r="AD191" s="2941"/>
      <c r="AE191" s="2941"/>
      <c r="AF191" s="2941"/>
      <c r="AG191" s="2941"/>
      <c r="AH191" s="2943"/>
      <c r="AI191" s="2737"/>
    </row>
    <row r="192" ht="15.0" customHeight="1">
      <c r="A192" s="2329"/>
      <c r="B192" s="2844"/>
      <c r="C192" s="2845"/>
      <c r="D192" s="2846"/>
      <c r="E192" s="2847"/>
      <c r="F192" s="2847"/>
      <c r="G192" s="2847"/>
      <c r="H192" s="2847"/>
      <c r="I192" s="2846"/>
      <c r="J192" s="2847"/>
      <c r="K192" s="2847"/>
      <c r="L192" s="2847"/>
      <c r="M192" s="2847"/>
      <c r="N192" s="2846"/>
      <c r="O192" s="2847"/>
      <c r="P192" s="2847"/>
      <c r="Q192" s="2847"/>
      <c r="R192" s="2847"/>
      <c r="S192" s="2846"/>
      <c r="T192" s="2847"/>
      <c r="U192" s="2847"/>
      <c r="V192" s="2847"/>
      <c r="W192" s="2847"/>
      <c r="X192" s="2846"/>
      <c r="Y192" s="2847"/>
      <c r="Z192" s="2847"/>
      <c r="AA192" s="2847"/>
      <c r="AB192" s="2847"/>
      <c r="AC192" s="2846"/>
      <c r="AD192" s="2846"/>
      <c r="AE192" s="2846"/>
      <c r="AF192" s="2846"/>
      <c r="AG192" s="2846"/>
      <c r="AH192" s="2848"/>
      <c r="AI192" s="2737"/>
    </row>
    <row r="193" ht="96.75" customHeight="1">
      <c r="A193" s="2329"/>
      <c r="B193" s="2849"/>
      <c r="C193" s="2850" t="str">
        <f>IMAGE("https://i.ibb.co/kJrTDW3/Grunt.png")</f>
        <v/>
      </c>
      <c r="D193" s="2851"/>
      <c r="E193" s="3061" t="str">
        <f t="array" ref="E193">IFERROR(VLOOKUP(E194,Dex!$B$3:$G454,3,FALSE),"")</f>
        <v/>
      </c>
      <c r="F193" s="1945"/>
      <c r="G193" s="1945"/>
      <c r="H193" s="1946"/>
      <c r="I193" s="2944"/>
      <c r="J193" s="3061" t="str">
        <f t="array" ref="J193">IFERROR(VLOOKUP(J194,Dex!$B$3:$G454,3,FALSE),"")</f>
        <v/>
      </c>
      <c r="K193" s="1945"/>
      <c r="L193" s="1945"/>
      <c r="M193" s="1946"/>
      <c r="N193" s="2944"/>
      <c r="O193" s="3061" t="str">
        <f t="array" ref="O193">IFERROR(VLOOKUP(O194,Dex!$B$3:$G454,3,FALSE),"")</f>
        <v/>
      </c>
      <c r="P193" s="1945"/>
      <c r="Q193" s="1945"/>
      <c r="R193" s="1946"/>
      <c r="S193" s="2944"/>
      <c r="T193" s="3061" t="str">
        <f t="array" ref="T193">IFERROR(VLOOKUP(T194,Dex!$B$3:$G454,3,FALSE),"")</f>
        <v/>
      </c>
      <c r="U193" s="1945"/>
      <c r="V193" s="1945"/>
      <c r="W193" s="1946"/>
      <c r="X193" s="3062"/>
      <c r="Y193" s="3061" t="str">
        <f t="array" ref="Y193">IFERROR(VLOOKUP(Y194,Dex!$B$3:$G454,3,FALSE),"")</f>
        <v/>
      </c>
      <c r="Z193" s="1945"/>
      <c r="AA193" s="1945"/>
      <c r="AB193" s="1946"/>
      <c r="AC193" s="2853"/>
      <c r="AD193" s="2854"/>
      <c r="AE193" s="2855"/>
      <c r="AF193" s="2855"/>
      <c r="AG193" s="2856"/>
      <c r="AH193" s="2858"/>
      <c r="AI193" s="2737"/>
    </row>
    <row r="194" ht="18.75" customHeight="1">
      <c r="A194" s="2354"/>
      <c r="B194" s="2859"/>
      <c r="C194" s="2860" t="s">
        <v>1233</v>
      </c>
      <c r="D194" s="2861"/>
      <c r="E194" s="2862" t="s">
        <v>1234</v>
      </c>
      <c r="F194" s="2863"/>
      <c r="G194" s="2863"/>
      <c r="H194" s="2864"/>
      <c r="I194" s="2861"/>
      <c r="J194" s="2862" t="s">
        <v>1235</v>
      </c>
      <c r="K194" s="2863"/>
      <c r="L194" s="2863"/>
      <c r="M194" s="2864"/>
      <c r="N194" s="2861"/>
      <c r="O194" s="2862" t="s">
        <v>1236</v>
      </c>
      <c r="P194" s="2863"/>
      <c r="Q194" s="2863"/>
      <c r="R194" s="2864"/>
      <c r="S194" s="2861"/>
      <c r="T194" s="2862" t="s">
        <v>1237</v>
      </c>
      <c r="U194" s="2863"/>
      <c r="V194" s="2863"/>
      <c r="W194" s="2864"/>
      <c r="Y194" s="2862" t="s">
        <v>1238</v>
      </c>
      <c r="Z194" s="2863"/>
      <c r="AA194" s="2863"/>
      <c r="AB194" s="2864"/>
      <c r="AC194" s="2865"/>
      <c r="AD194" s="2866"/>
      <c r="AE194" s="2855"/>
      <c r="AF194" s="2855"/>
      <c r="AG194" s="2856"/>
      <c r="AH194" s="2868"/>
      <c r="AI194" s="2757"/>
    </row>
    <row r="195">
      <c r="A195" s="2758"/>
      <c r="B195" s="2869"/>
      <c r="C195" s="556"/>
      <c r="D195" s="2870"/>
      <c r="E195" s="2871" t="s">
        <v>967</v>
      </c>
      <c r="F195" s="2872"/>
      <c r="G195" s="2872"/>
      <c r="H195" s="2873"/>
      <c r="I195" s="2861"/>
      <c r="J195" s="2871" t="s">
        <v>729</v>
      </c>
      <c r="K195" s="2872"/>
      <c r="L195" s="2872"/>
      <c r="M195" s="2873"/>
      <c r="N195" s="2861"/>
      <c r="O195" s="2871" t="s">
        <v>729</v>
      </c>
      <c r="P195" s="2872"/>
      <c r="Q195" s="2872"/>
      <c r="R195" s="2873"/>
      <c r="S195" s="2861"/>
      <c r="T195" s="2871" t="s">
        <v>729</v>
      </c>
      <c r="U195" s="2872"/>
      <c r="V195" s="2872"/>
      <c r="W195" s="2873"/>
      <c r="Y195" s="2871" t="s">
        <v>729</v>
      </c>
      <c r="Z195" s="2872"/>
      <c r="AA195" s="2872"/>
      <c r="AB195" s="2873"/>
      <c r="AC195" s="2865"/>
      <c r="AD195" s="2874"/>
      <c r="AE195" s="2855"/>
      <c r="AF195" s="2855"/>
      <c r="AG195" s="2856"/>
      <c r="AH195" s="2875"/>
      <c r="AI195" s="2766"/>
    </row>
    <row r="196" ht="25.5" customHeight="1">
      <c r="A196" s="2329"/>
      <c r="B196" s="2876"/>
      <c r="C196" s="2877"/>
      <c r="D196" s="2854"/>
      <c r="E196" s="2878"/>
      <c r="F196" s="2882" t="str">
        <f t="array" ref="F196">IFERROR(VLOOKUP(E194,Dex!$B$3:$H454,5,FALSE),"")</f>
        <v/>
      </c>
      <c r="G196" s="2883" t="str">
        <f t="array" ref="G196">IFERROR(VLOOKUP(E194,Dex!$B$3:$H454,7,FALSE),"")</f>
        <v/>
      </c>
      <c r="H196" s="2881"/>
      <c r="I196" s="2866"/>
      <c r="J196" s="2878"/>
      <c r="K196" s="2882" t="str">
        <f t="array" ref="K196">IFERROR(VLOOKUP(J194,Dex!$B$3:$H454,5,FALSE),"")</f>
        <v/>
      </c>
      <c r="L196" s="2883" t="str">
        <f t="array" ref="L196">IFERROR(VLOOKUP(J194,Dex!$B$3:$H454,7,FALSE),"")</f>
        <v/>
      </c>
      <c r="M196" s="2881"/>
      <c r="N196" s="2866"/>
      <c r="O196" s="2878"/>
      <c r="P196" s="2882" t="str">
        <f t="array" ref="P196">IFERROR(VLOOKUP(O194,Dex!$B$3:$H454,5,FALSE),"")</f>
        <v/>
      </c>
      <c r="Q196" s="2883" t="str">
        <f t="array" ref="Q196">IFERROR(VLOOKUP(O194,Dex!$B$3:$H454,7,FALSE),"")</f>
        <v/>
      </c>
      <c r="R196" s="2881"/>
      <c r="S196" s="2866"/>
      <c r="T196" s="2878"/>
      <c r="U196" s="2882" t="str">
        <f t="array" ref="U196">IFERROR(VLOOKUP(T194,Dex!$B$3:$H454,5,FALSE),"")</f>
        <v/>
      </c>
      <c r="V196" s="2883" t="str">
        <f t="array" ref="V196">IFERROR(VLOOKUP(T194,Dex!$B$3:$H454,7,FALSE),"")</f>
        <v/>
      </c>
      <c r="W196" s="2881"/>
      <c r="Y196" s="2878"/>
      <c r="Z196" s="2882" t="str">
        <f t="array" ref="Z196">IFERROR(VLOOKUP(Y194,Dex!$B$3:$H454,5,FALSE),"")</f>
        <v/>
      </c>
      <c r="AA196" s="2883" t="str">
        <f t="array" ref="AA196">IFERROR(VLOOKUP(Y194,Dex!$B$3:$H454,7,FALSE),"")</f>
        <v/>
      </c>
      <c r="AB196" s="2881"/>
      <c r="AC196" s="2865"/>
      <c r="AD196" s="2854"/>
      <c r="AE196" s="2855"/>
      <c r="AF196" s="2855"/>
      <c r="AG196" s="2856"/>
      <c r="AH196" s="2858"/>
      <c r="AI196" s="2737"/>
    </row>
    <row r="197" ht="2.25" customHeight="1">
      <c r="A197" s="2329"/>
      <c r="B197" s="2876"/>
      <c r="C197" s="2867"/>
      <c r="D197" s="2854"/>
      <c r="E197" s="2884"/>
      <c r="F197" s="2885"/>
      <c r="G197" s="2885"/>
      <c r="H197" s="2886"/>
      <c r="I197" s="2866"/>
      <c r="J197" s="2884"/>
      <c r="K197" s="2885"/>
      <c r="L197" s="2885"/>
      <c r="M197" s="2886"/>
      <c r="N197" s="2866"/>
      <c r="O197" s="2884"/>
      <c r="P197" s="2885"/>
      <c r="Q197" s="2885"/>
      <c r="R197" s="2886"/>
      <c r="S197" s="2866"/>
      <c r="T197" s="2884"/>
      <c r="U197" s="2885"/>
      <c r="V197" s="2885"/>
      <c r="W197" s="2886"/>
      <c r="Y197" s="2884"/>
      <c r="Z197" s="2885"/>
      <c r="AA197" s="2885"/>
      <c r="AB197" s="2886"/>
      <c r="AC197" s="2865"/>
      <c r="AD197" s="2887"/>
      <c r="AE197" s="2887"/>
      <c r="AF197" s="2887"/>
      <c r="AG197" s="2887"/>
      <c r="AH197" s="2858"/>
      <c r="AI197" s="2737"/>
    </row>
    <row r="198" ht="20.25" customHeight="1">
      <c r="A198" s="2329"/>
      <c r="B198" s="2876"/>
      <c r="C198" s="2888"/>
      <c r="D198" s="2854"/>
      <c r="E198" s="2889" t="s">
        <v>480</v>
      </c>
      <c r="F198" s="2890"/>
      <c r="G198" s="2890"/>
      <c r="H198" s="2891"/>
      <c r="I198" s="2892"/>
      <c r="J198" s="2889" t="s">
        <v>532</v>
      </c>
      <c r="K198" s="2890"/>
      <c r="L198" s="2890"/>
      <c r="M198" s="2891"/>
      <c r="N198" s="2892"/>
      <c r="O198" s="2889" t="s">
        <v>532</v>
      </c>
      <c r="P198" s="2890"/>
      <c r="Q198" s="2890"/>
      <c r="R198" s="2891"/>
      <c r="S198" s="2892"/>
      <c r="T198" s="2889" t="s">
        <v>531</v>
      </c>
      <c r="U198" s="2890"/>
      <c r="V198" s="2890"/>
      <c r="W198" s="2891"/>
      <c r="Y198" s="2889" t="s">
        <v>565</v>
      </c>
      <c r="Z198" s="2890"/>
      <c r="AA198" s="2890"/>
      <c r="AB198" s="2891"/>
      <c r="AC198" s="2865"/>
      <c r="AD198" s="2854"/>
      <c r="AE198" s="2855"/>
      <c r="AF198" s="2855"/>
      <c r="AG198" s="2856"/>
      <c r="AH198" s="2858"/>
      <c r="AI198" s="2737"/>
    </row>
    <row r="199" ht="20.25" customHeight="1">
      <c r="A199" s="2329"/>
      <c r="B199" s="2876"/>
      <c r="C199" s="2893"/>
      <c r="D199" s="2854"/>
      <c r="E199" s="2894" t="s">
        <v>1239</v>
      </c>
      <c r="F199" s="2855"/>
      <c r="G199" s="2855"/>
      <c r="H199" s="2895"/>
      <c r="I199" s="2892"/>
      <c r="J199" s="2894" t="s">
        <v>856</v>
      </c>
      <c r="K199" s="2855"/>
      <c r="L199" s="2855"/>
      <c r="M199" s="2895"/>
      <c r="N199" s="2892"/>
      <c r="O199" s="2894" t="s">
        <v>91</v>
      </c>
      <c r="P199" s="2855"/>
      <c r="Q199" s="2855"/>
      <c r="R199" s="2895"/>
      <c r="S199" s="2892"/>
      <c r="T199" s="2894" t="s">
        <v>84</v>
      </c>
      <c r="U199" s="2855"/>
      <c r="V199" s="2855"/>
      <c r="W199" s="2895"/>
      <c r="Y199" s="2894" t="s">
        <v>1240</v>
      </c>
      <c r="Z199" s="2855"/>
      <c r="AA199" s="2855"/>
      <c r="AB199" s="2895"/>
      <c r="AC199" s="2865"/>
      <c r="AD199" s="2854"/>
      <c r="AE199" s="2855"/>
      <c r="AF199" s="2855"/>
      <c r="AG199" s="2856"/>
      <c r="AH199" s="2858"/>
      <c r="AI199" s="2737"/>
    </row>
    <row r="200" ht="20.25" customHeight="1">
      <c r="A200" s="2329"/>
      <c r="B200" s="2876"/>
      <c r="C200" s="2867"/>
      <c r="D200" s="2854"/>
      <c r="E200" s="2896" t="s">
        <v>573</v>
      </c>
      <c r="F200" s="2897"/>
      <c r="G200" s="2898"/>
      <c r="H200" s="2899" t="str">
        <f>IMAGE("https://raw.githubusercontent.com/msikma/pokesprite/master/items/hold-item/focus-sash.png",3)</f>
        <v/>
      </c>
      <c r="I200" s="2866"/>
      <c r="J200" s="2896" t="s">
        <v>1039</v>
      </c>
      <c r="K200" s="2897"/>
      <c r="L200" s="2898"/>
      <c r="M200" s="2899" t="str">
        <f>IMAGE("https://raw.githubusercontent.com/msikma/pokesprite/master/items/hold-item/flame-orb.png",3)</f>
        <v/>
      </c>
      <c r="N200" s="2866"/>
      <c r="O200" s="2896" t="s">
        <v>685</v>
      </c>
      <c r="P200" s="2897"/>
      <c r="Q200" s="2898"/>
      <c r="R200" s="2899" t="str">
        <f>IMAGE("https://raw.githubusercontent.com/msikma/pokesprite/master/items/gem/fighting.png",3)</f>
        <v/>
      </c>
      <c r="S200" s="2866"/>
      <c r="T200" s="2896" t="s">
        <v>539</v>
      </c>
      <c r="U200" s="2897"/>
      <c r="V200" s="2898"/>
      <c r="W200" s="2899" t="str">
        <f>IMAGE("https://raw.githubusercontent.com/msikma/pokesprite/master/items/hold-item/black-sludge.png",3)</f>
        <v/>
      </c>
      <c r="Y200" s="2896" t="s">
        <v>1173</v>
      </c>
      <c r="Z200" s="2897"/>
      <c r="AA200" s="2898"/>
      <c r="AB200" s="2899" t="str">
        <f>IMAGE("https://raw.githubusercontent.com/msikma/pokesprite/master/items/hold-item/scope-lens.png",3)</f>
        <v/>
      </c>
      <c r="AC200" s="2865"/>
      <c r="AD200" s="2854"/>
      <c r="AE200" s="2855"/>
      <c r="AF200" s="2855"/>
      <c r="AG200" s="2856"/>
      <c r="AH200" s="2858"/>
      <c r="AI200" s="2737"/>
    </row>
    <row r="201" ht="20.25" customHeight="1">
      <c r="A201" s="2329"/>
      <c r="B201" s="2876"/>
      <c r="C201" s="2888"/>
      <c r="D201" s="2854"/>
      <c r="E201" s="2889" t="s">
        <v>182</v>
      </c>
      <c r="F201" s="2890"/>
      <c r="G201" s="2900"/>
      <c r="H201" s="2901" t="str">
        <f>IMAGE("https://raw.githubusercontent.com/msikma/pokesprite/master/misc/types/gen8/ground.png",4,20,20)</f>
        <v/>
      </c>
      <c r="I201" s="2866"/>
      <c r="J201" s="2889" t="s">
        <v>579</v>
      </c>
      <c r="K201" s="2890"/>
      <c r="L201" s="2900"/>
      <c r="M201" s="2901" t="str">
        <f>IMAGE("https://raw.githubusercontent.com/msikma/pokesprite/master/misc/types/gen8/dark.png",4,20,20)</f>
        <v/>
      </c>
      <c r="N201" s="2866"/>
      <c r="O201" s="2889" t="s">
        <v>168</v>
      </c>
      <c r="P201" s="2890"/>
      <c r="Q201" s="2900"/>
      <c r="R201" s="2901" t="str">
        <f>IMAGE("https://raw.githubusercontent.com/msikma/pokesprite/master/misc/types/gen8/fighting.png",4,20,20)</f>
        <v/>
      </c>
      <c r="S201" s="2866"/>
      <c r="T201" s="2889" t="s">
        <v>585</v>
      </c>
      <c r="U201" s="2890"/>
      <c r="V201" s="2900"/>
      <c r="W201" s="2901" t="str">
        <f>IMAGE("https://raw.githubusercontent.com/msikma/pokesprite/master/misc/types/gen8/dragon.png",4,20,20)</f>
        <v/>
      </c>
      <c r="Y201" s="2889" t="s">
        <v>1241</v>
      </c>
      <c r="Z201" s="2890"/>
      <c r="AA201" s="2900"/>
      <c r="AB201" s="2901" t="str">
        <f>IMAGE("https://raw.githubusercontent.com/msikma/pokesprite/master/misc/types/gen8/flying.png",4,20,20)</f>
        <v/>
      </c>
      <c r="AC201" s="2865"/>
      <c r="AD201" s="2854"/>
      <c r="AE201" s="2855"/>
      <c r="AF201" s="2855"/>
      <c r="AG201" s="2856"/>
      <c r="AH201" s="2858"/>
      <c r="AI201" s="2737"/>
    </row>
    <row r="202" ht="20.25" customHeight="1">
      <c r="A202" s="2329"/>
      <c r="B202" s="2876"/>
      <c r="C202" s="2902"/>
      <c r="D202" s="2854"/>
      <c r="E202" s="2894" t="s">
        <v>611</v>
      </c>
      <c r="F202" s="2855"/>
      <c r="G202" s="2856"/>
      <c r="H202" s="2956" t="str">
        <f>IMAGE("https://raw.githubusercontent.com/msikma/pokesprite/master/misc/types/gen8/electric.png",4,20,20)</f>
        <v/>
      </c>
      <c r="I202" s="2866"/>
      <c r="J202" s="2894" t="s">
        <v>511</v>
      </c>
      <c r="K202" s="2855"/>
      <c r="L202" s="2856"/>
      <c r="M202" s="2956" t="str">
        <f>IMAGE("https://raw.githubusercontent.com/msikma/pokesprite/master/misc/types/gen8/normal.png",4,20,20)</f>
        <v/>
      </c>
      <c r="N202" s="2866"/>
      <c r="O202" s="2894" t="s">
        <v>693</v>
      </c>
      <c r="P202" s="2855"/>
      <c r="Q202" s="2856"/>
      <c r="R202" s="2956" t="str">
        <f>IMAGE("https://raw.githubusercontent.com/msikma/pokesprite/master/misc/types/gen8/flying.png",4,20,20)</f>
        <v/>
      </c>
      <c r="S202" s="2866"/>
      <c r="T202" s="2894" t="s">
        <v>773</v>
      </c>
      <c r="U202" s="2855"/>
      <c r="V202" s="2856"/>
      <c r="W202" s="2956" t="str">
        <f>IMAGE("https://raw.githubusercontent.com/msikma/pokesprite/master/misc/types/gen8/poison.png",4,20,20)</f>
        <v/>
      </c>
      <c r="Y202" s="2894" t="s">
        <v>835</v>
      </c>
      <c r="Z202" s="2855"/>
      <c r="AA202" s="2856"/>
      <c r="AB202" s="2956" t="str">
        <f>IMAGE("https://raw.githubusercontent.com/msikma/pokesprite/master/misc/types/gen8/dark.png",4,20,20)</f>
        <v/>
      </c>
      <c r="AC202" s="2865"/>
      <c r="AD202" s="2854"/>
      <c r="AE202" s="2855"/>
      <c r="AF202" s="2855"/>
      <c r="AG202" s="2856"/>
      <c r="AH202" s="2858"/>
      <c r="AI202" s="2737"/>
    </row>
    <row r="203" ht="20.25" customHeight="1">
      <c r="A203" s="2329"/>
      <c r="B203" s="2876"/>
      <c r="C203" s="2902"/>
      <c r="D203" s="2854"/>
      <c r="E203" s="2894" t="s">
        <v>1242</v>
      </c>
      <c r="F203" s="2855"/>
      <c r="G203" s="2856"/>
      <c r="H203" s="2957" t="str">
        <f>IMAGE("https://raw.githubusercontent.com/msikma/pokesprite/master/misc/types/gen8/dark.png",4,20,20)</f>
        <v/>
      </c>
      <c r="I203" s="2866"/>
      <c r="J203" s="2894" t="s">
        <v>812</v>
      </c>
      <c r="K203" s="2855"/>
      <c r="L203" s="2856"/>
      <c r="M203" s="2957" t="str">
        <f>IMAGE("https://raw.githubusercontent.com/msikma/pokesprite/master/misc/types/gen8/dark.png",4,20,20)</f>
        <v/>
      </c>
      <c r="N203" s="2866"/>
      <c r="O203" s="2894" t="s">
        <v>583</v>
      </c>
      <c r="P203" s="2855"/>
      <c r="Q203" s="2856"/>
      <c r="R203" s="2957" t="str">
        <f>IMAGE("https://raw.githubusercontent.com/msikma/pokesprite/master/misc/types/gen8/fighting.png",4,20,20)</f>
        <v/>
      </c>
      <c r="S203" s="2866"/>
      <c r="T203" s="2894" t="s">
        <v>542</v>
      </c>
      <c r="U203" s="2855"/>
      <c r="V203" s="2856"/>
      <c r="W203" s="2957" t="str">
        <f t="shared" ref="W203:W204" si="10">IMAGE("https://raw.githubusercontent.com/msikma/pokesprite/master/misc/types/gen8/water.png",4,20,20)</f>
        <v/>
      </c>
      <c r="Y203" s="2894" t="s">
        <v>1243</v>
      </c>
      <c r="Z203" s="2855"/>
      <c r="AA203" s="2856"/>
      <c r="AB203" s="2957" t="str">
        <f>IMAGE("https://raw.githubusercontent.com/msikma/pokesprite/master/misc/types/gen8/fire.png",4,20,20)</f>
        <v/>
      </c>
      <c r="AC203" s="2865"/>
      <c r="AD203" s="2854"/>
      <c r="AE203" s="2855"/>
      <c r="AF203" s="2855"/>
      <c r="AG203" s="2856"/>
      <c r="AH203" s="2858"/>
      <c r="AI203" s="2737"/>
    </row>
    <row r="204" ht="21.0" customHeight="1">
      <c r="A204" s="2329"/>
      <c r="B204" s="2876"/>
      <c r="C204" s="2902"/>
      <c r="D204" s="2854"/>
      <c r="E204" s="2904" t="s">
        <v>959</v>
      </c>
      <c r="F204" s="2905"/>
      <c r="G204" s="2906"/>
      <c r="H204" s="2907" t="str">
        <f>IMAGE("https://raw.githubusercontent.com/msikma/pokesprite/master/misc/types/gen8/fairy.png",4,20,20)</f>
        <v/>
      </c>
      <c r="I204" s="2866"/>
      <c r="J204" s="2904" t="s">
        <v>583</v>
      </c>
      <c r="K204" s="2905"/>
      <c r="L204" s="2906"/>
      <c r="M204" s="2907" t="str">
        <f>IMAGE("https://raw.githubusercontent.com/msikma/pokesprite/master/misc/types/gen8/fighting.png",4,20,20)</f>
        <v/>
      </c>
      <c r="N204" s="2866"/>
      <c r="O204" s="2904" t="s">
        <v>551</v>
      </c>
      <c r="P204" s="2905"/>
      <c r="Q204" s="2906"/>
      <c r="R204" s="2907" t="str">
        <f>IMAGE("https://raw.githubusercontent.com/msikma/pokesprite/master/misc/types/gen8/flying.png",4,20,20)</f>
        <v/>
      </c>
      <c r="S204" s="2866"/>
      <c r="T204" s="2904" t="s">
        <v>544</v>
      </c>
      <c r="U204" s="2905"/>
      <c r="V204" s="2906"/>
      <c r="W204" s="2907" t="str">
        <f t="shared" si="10"/>
        <v/>
      </c>
      <c r="X204" s="2948"/>
      <c r="Y204" s="2904" t="s">
        <v>554</v>
      </c>
      <c r="Z204" s="2905"/>
      <c r="AA204" s="2906"/>
      <c r="AB204" s="2907" t="str">
        <f>IMAGE("https://raw.githubusercontent.com/msikma/pokesprite/master/misc/types/gen8/dark.png",4,20,20)</f>
        <v/>
      </c>
      <c r="AC204" s="2909"/>
      <c r="AD204" s="2854"/>
      <c r="AE204" s="2855"/>
      <c r="AF204" s="2855"/>
      <c r="AG204" s="2856"/>
      <c r="AH204" s="2858"/>
      <c r="AI204" s="2737"/>
    </row>
    <row r="205" ht="3.0" customHeight="1">
      <c r="A205" s="2802"/>
      <c r="B205" s="2910"/>
      <c r="C205" s="2911"/>
      <c r="D205" s="2912"/>
      <c r="E205" s="2913"/>
      <c r="F205" s="2913"/>
      <c r="G205" s="2913"/>
      <c r="H205" s="2913"/>
      <c r="I205" s="2912"/>
      <c r="J205" s="2913"/>
      <c r="K205" s="2913"/>
      <c r="L205" s="2913"/>
      <c r="M205" s="2913"/>
      <c r="N205" s="2912"/>
      <c r="O205" s="2913"/>
      <c r="P205" s="2913"/>
      <c r="Q205" s="2913"/>
      <c r="R205" s="2913"/>
      <c r="S205" s="2912"/>
      <c r="T205" s="2913"/>
      <c r="U205" s="2913"/>
      <c r="V205" s="2913"/>
      <c r="W205" s="2914"/>
      <c r="X205" s="2912"/>
      <c r="Y205" s="2913"/>
      <c r="Z205" s="2913"/>
      <c r="AA205" s="2913"/>
      <c r="AB205" s="2914"/>
      <c r="AC205" s="2916"/>
      <c r="AD205" s="2916"/>
      <c r="AE205" s="2916"/>
      <c r="AF205" s="2916"/>
      <c r="AG205" s="2916"/>
      <c r="AH205" s="2917"/>
      <c r="AI205" s="2810"/>
    </row>
    <row r="206" ht="16.5" customHeight="1">
      <c r="A206" s="2811"/>
      <c r="B206" s="2918"/>
      <c r="C206" s="2911"/>
      <c r="D206" s="2919"/>
      <c r="E206" s="2920" t="s">
        <v>512</v>
      </c>
      <c r="F206" s="606"/>
      <c r="G206" s="606"/>
      <c r="H206" s="607"/>
      <c r="I206" s="2921"/>
      <c r="J206" s="2920" t="s">
        <v>512</v>
      </c>
      <c r="K206" s="606"/>
      <c r="L206" s="606"/>
      <c r="M206" s="607"/>
      <c r="N206" s="2921"/>
      <c r="O206" s="2920" t="s">
        <v>512</v>
      </c>
      <c r="P206" s="606"/>
      <c r="Q206" s="606"/>
      <c r="R206" s="607"/>
      <c r="S206" s="2921"/>
      <c r="T206" s="2920" t="s">
        <v>512</v>
      </c>
      <c r="U206" s="606"/>
      <c r="V206" s="606"/>
      <c r="W206" s="607"/>
      <c r="X206" s="2922"/>
      <c r="Y206" s="2920" t="s">
        <v>512</v>
      </c>
      <c r="Z206" s="606"/>
      <c r="AA206" s="606"/>
      <c r="AB206" s="607"/>
      <c r="AC206" s="2923"/>
      <c r="AD206" s="2923"/>
      <c r="AE206" s="2923"/>
      <c r="AF206" s="2923"/>
      <c r="AG206" s="2923"/>
      <c r="AH206" s="2925"/>
      <c r="AI206" s="2407"/>
    </row>
    <row r="207" ht="16.5" customHeight="1">
      <c r="A207" s="2811"/>
      <c r="B207" s="2918"/>
      <c r="C207" s="2911"/>
      <c r="D207" s="2919"/>
      <c r="E207" s="2926" t="s">
        <v>513</v>
      </c>
      <c r="F207" s="2927">
        <f t="array" ref="F207">IFERROR(VLOOKUP(E194,Dex!$B$3:$N454,8,FALSE),"")</f>
        <v>57</v>
      </c>
      <c r="G207" s="2928" t="str">
        <f t="array" ref="G207">IFERROR(VLOOKUP(F207,Dex!$P$22:$Q$276,2,FALSE),"")</f>
        <v/>
      </c>
      <c r="H207" s="2929"/>
      <c r="I207" s="2921"/>
      <c r="J207" s="2926" t="s">
        <v>513</v>
      </c>
      <c r="K207" s="2927">
        <f t="array" ref="K207">IFERROR(VLOOKUP(J194,Dex!$B$3:$N454,8,FALSE),"")</f>
        <v>93</v>
      </c>
      <c r="L207" s="2928" t="str">
        <f t="array" ref="L207">IFERROR(VLOOKUP(K207,Dex!$P$22:$Q$276,2,FALSE),"")</f>
        <v/>
      </c>
      <c r="M207" s="2929"/>
      <c r="N207" s="2921"/>
      <c r="O207" s="2926" t="s">
        <v>513</v>
      </c>
      <c r="P207" s="2927">
        <f t="array" ref="P207">IFERROR(VLOOKUP(O194,Dex!$B$3:$N454,8,FALSE),"")</f>
        <v>100</v>
      </c>
      <c r="Q207" s="2928" t="str">
        <f t="array" ref="Q207">IFERROR(VLOOKUP(P207,Dex!$P$22:$Q$276,2,FALSE),"")</f>
        <v/>
      </c>
      <c r="R207" s="2929"/>
      <c r="S207" s="2921"/>
      <c r="T207" s="2926" t="s">
        <v>513</v>
      </c>
      <c r="U207" s="2927">
        <f t="array" ref="U207">IFERROR(VLOOKUP(T194,Dex!$B$3:$N454,8,FALSE),"")</f>
        <v>65</v>
      </c>
      <c r="V207" s="2928" t="str">
        <f t="array" ref="V207">IFERROR(VLOOKUP(U207,Dex!$P$22:$Q$276,2,FALSE),"")</f>
        <v/>
      </c>
      <c r="W207" s="2929"/>
      <c r="X207" s="2922"/>
      <c r="Y207" s="2926" t="s">
        <v>513</v>
      </c>
      <c r="Z207" s="2927">
        <f t="array" ref="Z207">IFERROR(VLOOKUP(Y194,Dex!$B$3:$N454,8,FALSE),"")</f>
        <v>100</v>
      </c>
      <c r="AA207" s="2928" t="str">
        <f t="array" ref="AA207">IFERROR(VLOOKUP(Z207,Dex!$P$22:$Q$276,2,FALSE),"")</f>
        <v/>
      </c>
      <c r="AB207" s="2929"/>
      <c r="AC207" s="2923"/>
      <c r="AD207" s="2923"/>
      <c r="AE207" s="2923"/>
      <c r="AF207" s="2923"/>
      <c r="AG207" s="2923"/>
      <c r="AH207" s="2925"/>
      <c r="AI207" s="2407"/>
    </row>
    <row r="208" ht="16.5" customHeight="1">
      <c r="A208" s="2811"/>
      <c r="B208" s="2918"/>
      <c r="C208" s="2911"/>
      <c r="D208" s="2919"/>
      <c r="E208" s="2930" t="s">
        <v>514</v>
      </c>
      <c r="F208" s="2931">
        <f t="array" ref="F208">IFERROR(VLOOKUP(E194,Dex!$B$3:$N454,9,FALSE),"")</f>
        <v>80</v>
      </c>
      <c r="G208" s="2932" t="str">
        <f t="array" ref="G208">IFERROR(VLOOKUP(F208,Dex!$P$22:$Q$276,2,FALSE),"")</f>
        <v/>
      </c>
      <c r="H208" s="2933"/>
      <c r="I208" s="2921"/>
      <c r="J208" s="2930" t="s">
        <v>514</v>
      </c>
      <c r="K208" s="2931">
        <f t="array" ref="K208">IFERROR(VLOOKUP(J194,Dex!$B$3:$N454,9,FALSE),"")</f>
        <v>90</v>
      </c>
      <c r="L208" s="2932" t="str">
        <f t="array" ref="L208">IFERROR(VLOOKUP(K208,Dex!$P$22:$Q$276,2,FALSE),"")</f>
        <v/>
      </c>
      <c r="M208" s="2933"/>
      <c r="N208" s="2921"/>
      <c r="O208" s="2930" t="s">
        <v>514</v>
      </c>
      <c r="P208" s="2931">
        <f t="array" ref="P208">IFERROR(VLOOKUP(O194,Dex!$B$3:$N454,9,FALSE),"")</f>
        <v>123</v>
      </c>
      <c r="Q208" s="2932" t="str">
        <f t="array" ref="Q208">IFERROR(VLOOKUP(P208,Dex!$P$22:$Q$276,2,FALSE),"")</f>
        <v/>
      </c>
      <c r="R208" s="2933"/>
      <c r="S208" s="2921"/>
      <c r="T208" s="2930" t="s">
        <v>514</v>
      </c>
      <c r="U208" s="2931">
        <f t="array" ref="U208">IFERROR(VLOOKUP(T194,Dex!$B$3:$N454,9,FALSE),"")</f>
        <v>75</v>
      </c>
      <c r="V208" s="2932" t="str">
        <f t="array" ref="V208">IFERROR(VLOOKUP(U208,Dex!$P$22:$Q$276,2,FALSE),"")</f>
        <v/>
      </c>
      <c r="W208" s="2933"/>
      <c r="X208" s="2922"/>
      <c r="Y208" s="2930" t="s">
        <v>514</v>
      </c>
      <c r="Z208" s="2931">
        <f t="array" ref="Z208">IFERROR(VLOOKUP(Y194,Dex!$B$3:$N454,9,FALSE),"")</f>
        <v>125</v>
      </c>
      <c r="AA208" s="2932" t="str">
        <f t="array" ref="AA208">IFERROR(VLOOKUP(Z208,Dex!$P$22:$Q$276,2,FALSE),"")</f>
        <v/>
      </c>
      <c r="AB208" s="2933"/>
      <c r="AC208" s="2923"/>
      <c r="AD208" s="2923"/>
      <c r="AE208" s="2923"/>
      <c r="AF208" s="2923"/>
      <c r="AG208" s="2923"/>
      <c r="AH208" s="2925"/>
      <c r="AI208" s="2407"/>
    </row>
    <row r="209" ht="16.5" customHeight="1">
      <c r="A209" s="2811"/>
      <c r="B209" s="2918"/>
      <c r="C209" s="2911"/>
      <c r="D209" s="2919"/>
      <c r="E209" s="2930" t="s">
        <v>515</v>
      </c>
      <c r="F209" s="2931">
        <f t="array" ref="F209">IFERROR(VLOOKUP(E194,Dex!$B$3:$N454,10,FALSE),"")</f>
        <v>91</v>
      </c>
      <c r="G209" s="2932" t="str">
        <f t="array" ref="G209">IFERROR(VLOOKUP(F209,Dex!$P$22:$Q$276,2,FALSE),"")</f>
        <v/>
      </c>
      <c r="H209" s="2933"/>
      <c r="I209" s="2921"/>
      <c r="J209" s="2930" t="s">
        <v>515</v>
      </c>
      <c r="K209" s="2931">
        <f t="array" ref="K209">IFERROR(VLOOKUP(J194,Dex!$B$3:$N454,10,FALSE),"")</f>
        <v>101</v>
      </c>
      <c r="L209" s="2932" t="str">
        <f t="array" ref="L209">IFERROR(VLOOKUP(K209,Dex!$P$22:$Q$276,2,FALSE),"")</f>
        <v/>
      </c>
      <c r="M209" s="2933"/>
      <c r="N209" s="2921"/>
      <c r="O209" s="2930" t="s">
        <v>515</v>
      </c>
      <c r="P209" s="2931">
        <f t="array" ref="P209">IFERROR(VLOOKUP(O194,Dex!$B$3:$N454,10,FALSE),"")</f>
        <v>75</v>
      </c>
      <c r="Q209" s="2932" t="str">
        <f t="array" ref="Q209">IFERROR(VLOOKUP(P209,Dex!$P$22:$Q$276,2,FALSE),"")</f>
        <v/>
      </c>
      <c r="R209" s="2933"/>
      <c r="S209" s="2921"/>
      <c r="T209" s="2930" t="s">
        <v>515</v>
      </c>
      <c r="U209" s="2931">
        <f t="array" ref="U209">IFERROR(VLOOKUP(T194,Dex!$B$3:$N454,10,FALSE),"")</f>
        <v>90</v>
      </c>
      <c r="V209" s="2932" t="str">
        <f t="array" ref="V209">IFERROR(VLOOKUP(U209,Dex!$P$22:$Q$276,2,FALSE),"")</f>
        <v/>
      </c>
      <c r="W209" s="2933"/>
      <c r="X209" s="2922"/>
      <c r="Y209" s="2930" t="s">
        <v>515</v>
      </c>
      <c r="Z209" s="2931">
        <f t="array" ref="Z209">IFERROR(VLOOKUP(Y194,Dex!$B$3:$N454,10,FALSE),"")</f>
        <v>52</v>
      </c>
      <c r="AA209" s="2932" t="str">
        <f t="array" ref="AA209">IFERROR(VLOOKUP(Z209,Dex!$P$22:$Q$276,2,FALSE),"")</f>
        <v/>
      </c>
      <c r="AB209" s="2933"/>
      <c r="AC209" s="2923"/>
      <c r="AD209" s="2923"/>
      <c r="AE209" s="2923"/>
      <c r="AF209" s="2923"/>
      <c r="AG209" s="2923"/>
      <c r="AH209" s="2925"/>
      <c r="AI209" s="2407"/>
    </row>
    <row r="210" ht="16.5" customHeight="1">
      <c r="A210" s="2811"/>
      <c r="B210" s="2918"/>
      <c r="C210" s="2911"/>
      <c r="D210" s="2919"/>
      <c r="E210" s="2930" t="s">
        <v>516</v>
      </c>
      <c r="F210" s="2931">
        <f t="array" ref="F210">IFERROR(VLOOKUP(E194,Dex!$B$3:$N454,11,FALSE),"")</f>
        <v>80</v>
      </c>
      <c r="G210" s="2932" t="str">
        <f t="array" ref="G210">IFERROR(VLOOKUP(F210,Dex!$P$22:$Q$276,2,FALSE),"")</f>
        <v/>
      </c>
      <c r="H210" s="2933"/>
      <c r="I210" s="2921"/>
      <c r="J210" s="2930" t="s">
        <v>516</v>
      </c>
      <c r="K210" s="2931">
        <f t="array" ref="K210">IFERROR(VLOOKUP(J194,Dex!$B$3:$N454,11,FALSE),"")</f>
        <v>60</v>
      </c>
      <c r="L210" s="2932" t="str">
        <f t="array" ref="L210">IFERROR(VLOOKUP(K210,Dex!$P$22:$Q$276,2,FALSE),"")</f>
        <v/>
      </c>
      <c r="M210" s="2933"/>
      <c r="N210" s="2921"/>
      <c r="O210" s="2930" t="s">
        <v>516</v>
      </c>
      <c r="P210" s="2931">
        <f t="array" ref="P210">IFERROR(VLOOKUP(O194,Dex!$B$3:$N454,11,FALSE),"")</f>
        <v>57</v>
      </c>
      <c r="Q210" s="2932" t="str">
        <f t="array" ref="Q210">IFERROR(VLOOKUP(P210,Dex!$P$22:$Q$276,2,FALSE),"")</f>
        <v/>
      </c>
      <c r="R210" s="2933"/>
      <c r="S210" s="2921"/>
      <c r="T210" s="2930" t="s">
        <v>516</v>
      </c>
      <c r="U210" s="2931">
        <f t="array" ref="U210">IFERROR(VLOOKUP(T194,Dex!$B$3:$N454,11,FALSE),"")</f>
        <v>97</v>
      </c>
      <c r="V210" s="2932" t="str">
        <f t="array" ref="V210">IFERROR(VLOOKUP(U210,Dex!$P$22:$Q$276,2,FALSE),"")</f>
        <v/>
      </c>
      <c r="W210" s="2933"/>
      <c r="X210" s="2922"/>
      <c r="Y210" s="2930" t="s">
        <v>516</v>
      </c>
      <c r="Z210" s="2931">
        <f t="array" ref="Z210">IFERROR(VLOOKUP(Y194,Dex!$B$3:$N454,11,FALSE),"")</f>
        <v>105</v>
      </c>
      <c r="AA210" s="2932" t="str">
        <f t="array" ref="AA210">IFERROR(VLOOKUP(Z210,Dex!$P$22:$Q$276,2,FALSE),"")</f>
        <v/>
      </c>
      <c r="AB210" s="2933"/>
      <c r="AC210" s="2923"/>
      <c r="AD210" s="2923"/>
      <c r="AE210" s="2923"/>
      <c r="AF210" s="2923"/>
      <c r="AG210" s="2923"/>
      <c r="AH210" s="2925"/>
      <c r="AI210" s="2407"/>
    </row>
    <row r="211" ht="16.5" customHeight="1">
      <c r="A211" s="2811"/>
      <c r="B211" s="2918"/>
      <c r="C211" s="2911"/>
      <c r="D211" s="2919"/>
      <c r="E211" s="2930" t="s">
        <v>517</v>
      </c>
      <c r="F211" s="2931">
        <f t="array" ref="F211">IFERROR(VLOOKUP(E194,Dex!$B$3:$N454,12,FALSE),"")</f>
        <v>87</v>
      </c>
      <c r="G211" s="2932" t="str">
        <f t="array" ref="G211">IFERROR(VLOOKUP(F211,Dex!$P$22:$Q$276,2,FALSE),"")</f>
        <v/>
      </c>
      <c r="H211" s="2933"/>
      <c r="I211" s="2921"/>
      <c r="J211" s="2930" t="s">
        <v>517</v>
      </c>
      <c r="K211" s="2931">
        <f t="array" ref="K211">IFERROR(VLOOKUP(J194,Dex!$B$3:$N454,12,FALSE),"")</f>
        <v>81</v>
      </c>
      <c r="L211" s="2932" t="str">
        <f t="array" ref="L211">IFERROR(VLOOKUP(K211,Dex!$P$22:$Q$276,2,FALSE),"")</f>
        <v/>
      </c>
      <c r="M211" s="2933"/>
      <c r="N211" s="2921"/>
      <c r="O211" s="2930" t="s">
        <v>517</v>
      </c>
      <c r="P211" s="2931">
        <f t="array" ref="P211">IFERROR(VLOOKUP(O194,Dex!$B$3:$N454,12,FALSE),"")</f>
        <v>75</v>
      </c>
      <c r="Q211" s="2932" t="str">
        <f t="array" ref="Q211">IFERROR(VLOOKUP(P211,Dex!$P$22:$Q$276,2,FALSE),"")</f>
        <v/>
      </c>
      <c r="R211" s="2933"/>
      <c r="S211" s="2921"/>
      <c r="T211" s="2930" t="s">
        <v>517</v>
      </c>
      <c r="U211" s="2931">
        <f t="array" ref="U211">IFERROR(VLOOKUP(T194,Dex!$B$3:$N454,12,FALSE),"")</f>
        <v>123</v>
      </c>
      <c r="V211" s="2932" t="str">
        <f t="array" ref="V211">IFERROR(VLOOKUP(U211,Dex!$P$22:$Q$276,2,FALSE),"")</f>
        <v/>
      </c>
      <c r="W211" s="2933"/>
      <c r="X211" s="2922"/>
      <c r="Y211" s="2930" t="s">
        <v>517</v>
      </c>
      <c r="Z211" s="2931">
        <f t="array" ref="Z211">IFERROR(VLOOKUP(Y194,Dex!$B$3:$N454,12,FALSE),"")</f>
        <v>52</v>
      </c>
      <c r="AA211" s="2932" t="str">
        <f t="array" ref="AA211">IFERROR(VLOOKUP(Z211,Dex!$P$22:$Q$276,2,FALSE),"")</f>
        <v/>
      </c>
      <c r="AB211" s="2933"/>
      <c r="AC211" s="2923"/>
      <c r="AD211" s="2923"/>
      <c r="AE211" s="2923"/>
      <c r="AF211" s="2923"/>
      <c r="AG211" s="2923"/>
      <c r="AH211" s="2925"/>
      <c r="AI211" s="2407"/>
    </row>
    <row r="212" ht="15.75" customHeight="1">
      <c r="A212" s="2811"/>
      <c r="B212" s="2918"/>
      <c r="C212" s="1426" t="s">
        <v>745</v>
      </c>
      <c r="D212" s="2919"/>
      <c r="E212" s="2934" t="s">
        <v>518</v>
      </c>
      <c r="F212" s="2935">
        <f t="array" ref="F212">IFERROR(VLOOKUP(E194,Dex!$B$3:$N454,13,FALSE),"")</f>
        <v>75</v>
      </c>
      <c r="G212" s="2936" t="str">
        <f t="array" ref="G212">IFERROR(VLOOKUP(F212,Dex!$P$22:$Q$276,2,FALSE),"")</f>
        <v/>
      </c>
      <c r="H212" s="2937"/>
      <c r="I212" s="2921"/>
      <c r="J212" s="2934" t="s">
        <v>518</v>
      </c>
      <c r="K212" s="2935">
        <f t="array" ref="K212">IFERROR(VLOOKUP(J194,Dex!$B$3:$N454,13,FALSE),"")</f>
        <v>95</v>
      </c>
      <c r="L212" s="2936" t="str">
        <f t="array" ref="L212">IFERROR(VLOOKUP(K212,Dex!$P$22:$Q$276,2,FALSE),"")</f>
        <v/>
      </c>
      <c r="M212" s="2937"/>
      <c r="N212" s="2921"/>
      <c r="O212" s="2934" t="s">
        <v>518</v>
      </c>
      <c r="P212" s="2935">
        <f t="array" ref="P212">IFERROR(VLOOKUP(O194,Dex!$B$3:$N454,13,FALSE),"")</f>
        <v>80</v>
      </c>
      <c r="Q212" s="2936" t="str">
        <f t="array" ref="Q212">IFERROR(VLOOKUP(P212,Dex!$P$22:$Q$276,2,FALSE),"")</f>
        <v/>
      </c>
      <c r="R212" s="2937"/>
      <c r="S212" s="2921"/>
      <c r="T212" s="2934" t="s">
        <v>518</v>
      </c>
      <c r="U212" s="2935">
        <f t="array" ref="U212">IFERROR(VLOOKUP(T194,Dex!$B$3:$N454,13,FALSE),"")</f>
        <v>44</v>
      </c>
      <c r="V212" s="2936" t="str">
        <f t="array" ref="V212">IFERROR(VLOOKUP(U212,Dex!$P$22:$Q$276,2,FALSE),"")</f>
        <v/>
      </c>
      <c r="W212" s="2937"/>
      <c r="X212" s="2922"/>
      <c r="Y212" s="2934" t="s">
        <v>518</v>
      </c>
      <c r="Z212" s="2935">
        <f t="array" ref="Z212">IFERROR(VLOOKUP(Y194,Dex!$B$3:$N454,13,FALSE),"")</f>
        <v>96</v>
      </c>
      <c r="AA212" s="2936" t="str">
        <f t="array" ref="AA212">IFERROR(VLOOKUP(Z212,Dex!$P$22:$Q$276,2,FALSE),"")</f>
        <v/>
      </c>
      <c r="AB212" s="2937"/>
      <c r="AC212" s="2923"/>
      <c r="AD212" s="2923"/>
      <c r="AE212" s="2923"/>
      <c r="AF212" s="2923"/>
      <c r="AG212" s="2923"/>
      <c r="AH212" s="2925"/>
      <c r="AI212" s="2407"/>
    </row>
    <row r="213" ht="16.5" customHeight="1">
      <c r="A213" s="2811"/>
      <c r="B213" s="2918"/>
      <c r="C213" s="1427" t="s">
        <v>1055</v>
      </c>
      <c r="D213" s="2919"/>
      <c r="E213" s="2938" t="s">
        <v>519</v>
      </c>
      <c r="F213" s="630"/>
      <c r="G213" s="631"/>
      <c r="H213" s="632">
        <f>ROUNDDOWN((ROUNDDOWN(((((2*F212+31)*55)/100+5)),0))*1,0)</f>
        <v>104</v>
      </c>
      <c r="I213" s="2921"/>
      <c r="J213" s="2938" t="s">
        <v>519</v>
      </c>
      <c r="K213" s="630"/>
      <c r="L213" s="631"/>
      <c r="M213" s="632">
        <f>ROUNDDOWN((ROUNDDOWN(((((2*K212+31)*56)/100+5)),0))*1.1,0)</f>
        <v>140</v>
      </c>
      <c r="N213" s="2921"/>
      <c r="O213" s="2938" t="s">
        <v>519</v>
      </c>
      <c r="P213" s="630"/>
      <c r="Q213" s="631"/>
      <c r="R213" s="632">
        <f>ROUNDDOWN((ROUNDDOWN(((((2*P212+31)*56)/100+5)),0))*1.1,0)</f>
        <v>122</v>
      </c>
      <c r="S213" s="2921"/>
      <c r="T213" s="2938" t="s">
        <v>519</v>
      </c>
      <c r="U213" s="630"/>
      <c r="V213" s="631"/>
      <c r="W213" s="632">
        <f>ROUNDDOWN((ROUNDDOWN(((((2*U212+31)*56)/100+5)),0))*1,0)</f>
        <v>71</v>
      </c>
      <c r="X213" s="2922"/>
      <c r="Y213" s="2938" t="s">
        <v>519</v>
      </c>
      <c r="Z213" s="630"/>
      <c r="AA213" s="631"/>
      <c r="AB213" s="632">
        <f>ROUNDDOWN((ROUNDDOWN(((((2*Z212+31)*56)/100+5)),0))*1.1,0)</f>
        <v>141</v>
      </c>
      <c r="AC213" s="2923"/>
      <c r="AD213" s="2923"/>
      <c r="AE213" s="2923"/>
      <c r="AF213" s="2923"/>
      <c r="AG213" s="2923"/>
      <c r="AH213" s="2925"/>
      <c r="AI213" s="2407"/>
    </row>
    <row r="214" ht="15.0" customHeight="1">
      <c r="A214" s="2329"/>
      <c r="B214" s="2939"/>
      <c r="C214" s="2940"/>
      <c r="D214" s="2941"/>
      <c r="E214" s="2940"/>
      <c r="F214" s="2940"/>
      <c r="G214" s="2940"/>
      <c r="H214" s="2940"/>
      <c r="I214" s="2941"/>
      <c r="J214" s="3066"/>
      <c r="K214" s="3066"/>
      <c r="L214" s="3066"/>
      <c r="M214" s="2940"/>
      <c r="N214" s="2941"/>
      <c r="O214" s="2940"/>
      <c r="P214" s="2940"/>
      <c r="Q214" s="2940"/>
      <c r="R214" s="2940"/>
      <c r="S214" s="2941"/>
      <c r="T214" s="2940"/>
      <c r="U214" s="2940"/>
      <c r="V214" s="2940"/>
      <c r="W214" s="2940"/>
      <c r="X214" s="2941"/>
      <c r="Y214" s="2940"/>
      <c r="Z214" s="2940"/>
      <c r="AA214" s="2940"/>
      <c r="AB214" s="2940"/>
      <c r="AC214" s="2941"/>
      <c r="AD214" s="2941"/>
      <c r="AE214" s="2941"/>
      <c r="AF214" s="2941"/>
      <c r="AG214" s="2941"/>
      <c r="AH214" s="2943"/>
      <c r="AI214" s="2737"/>
    </row>
    <row r="215" ht="15.0" customHeight="1">
      <c r="A215" s="2329"/>
      <c r="B215" s="2844"/>
      <c r="C215" s="2845"/>
      <c r="D215" s="2846"/>
      <c r="E215" s="2847"/>
      <c r="F215" s="2847"/>
      <c r="G215" s="2847"/>
      <c r="H215" s="2847"/>
      <c r="I215" s="2846"/>
      <c r="J215" s="2847"/>
      <c r="K215" s="2847"/>
      <c r="L215" s="2847"/>
      <c r="M215" s="2847"/>
      <c r="N215" s="2846"/>
      <c r="O215" s="2847"/>
      <c r="P215" s="2847"/>
      <c r="Q215" s="2847"/>
      <c r="R215" s="2847"/>
      <c r="S215" s="2846"/>
      <c r="T215" s="2847"/>
      <c r="U215" s="2847"/>
      <c r="V215" s="2847"/>
      <c r="W215" s="2847"/>
      <c r="X215" s="2846"/>
      <c r="Y215" s="2847"/>
      <c r="Z215" s="2847"/>
      <c r="AA215" s="2847"/>
      <c r="AB215" s="2847"/>
      <c r="AC215" s="2846"/>
      <c r="AD215" s="2846"/>
      <c r="AE215" s="2846"/>
      <c r="AF215" s="2846"/>
      <c r="AG215" s="2846"/>
      <c r="AH215" s="2848"/>
      <c r="AI215" s="2737"/>
    </row>
    <row r="216" ht="96.75" customHeight="1">
      <c r="A216" s="2329"/>
      <c r="B216" s="2849"/>
      <c r="C216" s="2850" t="str">
        <f>IMAGE("https://i.ibb.co/kJrTDW3/Grunt.png")</f>
        <v/>
      </c>
      <c r="D216" s="2851"/>
      <c r="E216" s="3061" t="str">
        <f t="array" ref="E216">IFERROR(VLOOKUP(E217,Dex!$B$3:$G454,3,FALSE),"")</f>
        <v/>
      </c>
      <c r="F216" s="1945"/>
      <c r="G216" s="1945"/>
      <c r="H216" s="1946"/>
      <c r="I216" s="2944"/>
      <c r="J216" s="3061" t="str">
        <f t="array" ref="J216">IFERROR(VLOOKUP(J217,Dex!$B$3:$G454,3,FALSE),"")</f>
        <v/>
      </c>
      <c r="K216" s="1945"/>
      <c r="L216" s="1945"/>
      <c r="M216" s="1946"/>
      <c r="N216" s="2944"/>
      <c r="O216" s="3061" t="str">
        <f t="array" ref="O216">IFERROR(VLOOKUP(O217,Dex!$B$3:$G454,3,FALSE),"")</f>
        <v/>
      </c>
      <c r="P216" s="1945"/>
      <c r="Q216" s="1945"/>
      <c r="R216" s="1946"/>
      <c r="S216" s="2944"/>
      <c r="T216" s="3061" t="str">
        <f t="array" ref="T216">IFERROR(VLOOKUP(T217,Dex!$B$3:$G454,3,FALSE),"")</f>
        <v/>
      </c>
      <c r="U216" s="1945"/>
      <c r="V216" s="1945"/>
      <c r="W216" s="1946"/>
      <c r="X216" s="3062"/>
      <c r="Y216" s="3061" t="str">
        <f t="array" ref="Y216">IFERROR(VLOOKUP(Y217,Dex!$B$3:$G454,3,FALSE),"")</f>
        <v/>
      </c>
      <c r="Z216" s="1945"/>
      <c r="AA216" s="1945"/>
      <c r="AB216" s="1946"/>
      <c r="AC216" s="2853"/>
      <c r="AD216" s="2854"/>
      <c r="AE216" s="2855"/>
      <c r="AF216" s="2855"/>
      <c r="AG216" s="2856"/>
      <c r="AH216" s="2858"/>
      <c r="AI216" s="2737"/>
    </row>
    <row r="217" ht="18.75" customHeight="1">
      <c r="A217" s="2354"/>
      <c r="B217" s="2859"/>
      <c r="C217" s="2860" t="s">
        <v>1244</v>
      </c>
      <c r="D217" s="2861"/>
      <c r="E217" s="2862" t="s">
        <v>264</v>
      </c>
      <c r="F217" s="2863"/>
      <c r="G217" s="2863"/>
      <c r="H217" s="2864"/>
      <c r="I217" s="2861"/>
      <c r="J217" s="2862" t="s">
        <v>1122</v>
      </c>
      <c r="K217" s="2863"/>
      <c r="L217" s="2863"/>
      <c r="M217" s="2864"/>
      <c r="N217" s="2861"/>
      <c r="O217" s="2862" t="s">
        <v>950</v>
      </c>
      <c r="P217" s="2863"/>
      <c r="Q217" s="2863"/>
      <c r="R217" s="2864"/>
      <c r="S217" s="2861"/>
      <c r="T217" s="2862" t="s">
        <v>1245</v>
      </c>
      <c r="U217" s="2863"/>
      <c r="V217" s="2863"/>
      <c r="W217" s="2864"/>
      <c r="Y217" s="2862" t="s">
        <v>1120</v>
      </c>
      <c r="Z217" s="2863"/>
      <c r="AA217" s="2863"/>
      <c r="AB217" s="2864"/>
      <c r="AC217" s="2865"/>
      <c r="AD217" s="2866"/>
      <c r="AE217" s="2855"/>
      <c r="AF217" s="2855"/>
      <c r="AG217" s="2856"/>
      <c r="AH217" s="2868"/>
      <c r="AI217" s="2757"/>
    </row>
    <row r="218">
      <c r="A218" s="2758"/>
      <c r="B218" s="2869"/>
      <c r="C218" s="556"/>
      <c r="D218" s="2870"/>
      <c r="E218" s="2871" t="s">
        <v>967</v>
      </c>
      <c r="F218" s="2872"/>
      <c r="G218" s="2872"/>
      <c r="H218" s="2873"/>
      <c r="I218" s="2861"/>
      <c r="J218" s="2871" t="s">
        <v>729</v>
      </c>
      <c r="K218" s="2872"/>
      <c r="L218" s="2872"/>
      <c r="M218" s="2873"/>
      <c r="N218" s="2861"/>
      <c r="O218" s="2871" t="s">
        <v>729</v>
      </c>
      <c r="P218" s="2872"/>
      <c r="Q218" s="2872"/>
      <c r="R218" s="2873"/>
      <c r="S218" s="2861"/>
      <c r="T218" s="2871" t="s">
        <v>729</v>
      </c>
      <c r="U218" s="2872"/>
      <c r="V218" s="2872"/>
      <c r="W218" s="2873"/>
      <c r="Y218" s="2871" t="s">
        <v>729</v>
      </c>
      <c r="Z218" s="2872"/>
      <c r="AA218" s="2872"/>
      <c r="AB218" s="2873"/>
      <c r="AC218" s="2865"/>
      <c r="AD218" s="2874"/>
      <c r="AE218" s="2855"/>
      <c r="AF218" s="2855"/>
      <c r="AG218" s="2856"/>
      <c r="AH218" s="2875"/>
      <c r="AI218" s="2766"/>
    </row>
    <row r="219" ht="25.5" customHeight="1">
      <c r="A219" s="2329"/>
      <c r="B219" s="2876"/>
      <c r="C219" s="2877"/>
      <c r="D219" s="2854"/>
      <c r="E219" s="2878"/>
      <c r="F219" s="2879" t="str">
        <f t="array" ref="F219">IFERROR(VLOOKUP(E217,Dex!$B$3:$H454,5,FALSE),"")</f>
        <v/>
      </c>
      <c r="G219" s="2880"/>
      <c r="H219" s="2881"/>
      <c r="I219" s="2866"/>
      <c r="J219" s="2878"/>
      <c r="K219" s="2882" t="str">
        <f t="array" ref="K219">IFERROR(VLOOKUP(J217,Dex!$B$3:$H454,5,FALSE),"")</f>
        <v/>
      </c>
      <c r="L219" s="2883" t="str">
        <f t="array" ref="L219">IFERROR(VLOOKUP(J217,Dex!$B$3:$H454,7,FALSE),"")</f>
        <v/>
      </c>
      <c r="M219" s="2881"/>
      <c r="N219" s="2866"/>
      <c r="O219" s="2878"/>
      <c r="P219" s="2882" t="str">
        <f t="array" ref="P219">IFERROR(VLOOKUP(O217,Dex!$B$3:$H454,5,FALSE),"")</f>
        <v/>
      </c>
      <c r="Q219" s="2883" t="str">
        <f t="array" ref="Q219">IFERROR(VLOOKUP(O217,Dex!$B$3:$H454,7,FALSE),"")</f>
        <v/>
      </c>
      <c r="R219" s="2881"/>
      <c r="S219" s="2866"/>
      <c r="T219" s="2878"/>
      <c r="U219" s="2882" t="str">
        <f t="array" ref="U219">IFERROR(VLOOKUP(T217,Dex!$B$3:$H454,5,FALSE),"")</f>
        <v/>
      </c>
      <c r="V219" s="2883" t="str">
        <f t="array" ref="V219">IFERROR(VLOOKUP(T217,Dex!$B$3:$H454,7,FALSE),"")</f>
        <v/>
      </c>
      <c r="W219" s="2881"/>
      <c r="Y219" s="2878"/>
      <c r="Z219" s="2882" t="str">
        <f t="array" ref="Z219">IFERROR(VLOOKUP(Y217,Dex!$B$3:$H454,5,FALSE),"")</f>
        <v/>
      </c>
      <c r="AA219" s="2883" t="str">
        <f t="array" ref="AA219">IFERROR(VLOOKUP(Y217,Dex!$B$3:$H454,7,FALSE),"")</f>
        <v/>
      </c>
      <c r="AB219" s="2881"/>
      <c r="AC219" s="2865"/>
      <c r="AD219" s="2854"/>
      <c r="AE219" s="2855"/>
      <c r="AF219" s="2855"/>
      <c r="AG219" s="2856"/>
      <c r="AH219" s="2858"/>
      <c r="AI219" s="2737"/>
    </row>
    <row r="220" ht="2.25" customHeight="1">
      <c r="A220" s="2329"/>
      <c r="B220" s="2876"/>
      <c r="C220" s="2867"/>
      <c r="D220" s="2854"/>
      <c r="E220" s="2884"/>
      <c r="F220" s="2885"/>
      <c r="G220" s="2885"/>
      <c r="H220" s="2886"/>
      <c r="I220" s="2866"/>
      <c r="J220" s="2884"/>
      <c r="K220" s="2885"/>
      <c r="L220" s="2885"/>
      <c r="M220" s="2886"/>
      <c r="N220" s="2866"/>
      <c r="O220" s="2884"/>
      <c r="P220" s="2885"/>
      <c r="Q220" s="2885"/>
      <c r="R220" s="2886"/>
      <c r="S220" s="2866"/>
      <c r="T220" s="2884"/>
      <c r="U220" s="2885"/>
      <c r="V220" s="2885"/>
      <c r="W220" s="2886"/>
      <c r="Y220" s="2884"/>
      <c r="Z220" s="2885"/>
      <c r="AA220" s="2885"/>
      <c r="AB220" s="2886"/>
      <c r="AC220" s="2865"/>
      <c r="AD220" s="2887"/>
      <c r="AE220" s="2887"/>
      <c r="AF220" s="2887"/>
      <c r="AG220" s="2887"/>
      <c r="AH220" s="2858"/>
      <c r="AI220" s="2737"/>
    </row>
    <row r="221" ht="20.25" customHeight="1">
      <c r="A221" s="2329"/>
      <c r="B221" s="2876"/>
      <c r="C221" s="2888"/>
      <c r="D221" s="2854"/>
      <c r="E221" s="2889" t="s">
        <v>564</v>
      </c>
      <c r="F221" s="2890"/>
      <c r="G221" s="2890"/>
      <c r="H221" s="2891"/>
      <c r="I221" s="2892"/>
      <c r="J221" s="2889" t="s">
        <v>564</v>
      </c>
      <c r="K221" s="2890"/>
      <c r="L221" s="2890"/>
      <c r="M221" s="2891"/>
      <c r="N221" s="2892"/>
      <c r="O221" s="2889" t="s">
        <v>564</v>
      </c>
      <c r="P221" s="2890"/>
      <c r="Q221" s="2890"/>
      <c r="R221" s="2891"/>
      <c r="S221" s="2892"/>
      <c r="T221" s="2889" t="s">
        <v>532</v>
      </c>
      <c r="U221" s="2890"/>
      <c r="V221" s="2890"/>
      <c r="W221" s="2891"/>
      <c r="Y221" s="2889" t="s">
        <v>564</v>
      </c>
      <c r="Z221" s="2890"/>
      <c r="AA221" s="2890"/>
      <c r="AB221" s="2891"/>
      <c r="AC221" s="2865"/>
      <c r="AD221" s="2854"/>
      <c r="AE221" s="2855"/>
      <c r="AF221" s="2855"/>
      <c r="AG221" s="2856"/>
      <c r="AH221" s="2858"/>
      <c r="AI221" s="2737"/>
    </row>
    <row r="222" ht="20.25" customHeight="1">
      <c r="A222" s="2329"/>
      <c r="B222" s="2876"/>
      <c r="C222" s="2893"/>
      <c r="D222" s="2854"/>
      <c r="E222" s="2894" t="s">
        <v>569</v>
      </c>
      <c r="F222" s="2855"/>
      <c r="G222" s="2855"/>
      <c r="H222" s="2895"/>
      <c r="I222" s="2892"/>
      <c r="J222" s="2894" t="s">
        <v>484</v>
      </c>
      <c r="K222" s="2855"/>
      <c r="L222" s="2855"/>
      <c r="M222" s="2895"/>
      <c r="N222" s="2892"/>
      <c r="O222" s="2894" t="s">
        <v>1246</v>
      </c>
      <c r="P222" s="2855"/>
      <c r="Q222" s="2855"/>
      <c r="R222" s="2895"/>
      <c r="S222" s="2892"/>
      <c r="T222" s="2894" t="s">
        <v>570</v>
      </c>
      <c r="U222" s="2855"/>
      <c r="V222" s="2855"/>
      <c r="W222" s="2895"/>
      <c r="Y222" s="2894" t="s">
        <v>1124</v>
      </c>
      <c r="Z222" s="2855"/>
      <c r="AA222" s="2855"/>
      <c r="AB222" s="2895"/>
      <c r="AC222" s="2865"/>
      <c r="AD222" s="2854"/>
      <c r="AE222" s="2855"/>
      <c r="AF222" s="2855"/>
      <c r="AG222" s="2856"/>
      <c r="AH222" s="2858"/>
      <c r="AI222" s="2737"/>
    </row>
    <row r="223" ht="20.25" customHeight="1">
      <c r="A223" s="2329"/>
      <c r="B223" s="2876"/>
      <c r="C223" s="2867"/>
      <c r="D223" s="2854"/>
      <c r="E223" s="2896" t="s">
        <v>573</v>
      </c>
      <c r="F223" s="2897"/>
      <c r="G223" s="2898"/>
      <c r="H223" s="2899" t="str">
        <f>IMAGE("https://raw.githubusercontent.com/msikma/pokesprite/master/items/hold-item/focus-sash.png",3)</f>
        <v/>
      </c>
      <c r="I223" s="2866"/>
      <c r="J223" s="2896" t="s">
        <v>541</v>
      </c>
      <c r="K223" s="2897"/>
      <c r="L223" s="2898"/>
      <c r="M223" s="2899" t="str">
        <f>IMAGE("https://raw.githubusercontent.com/msikma/pokesprite/master/items/hold-item/life-orb.png",3)</f>
        <v/>
      </c>
      <c r="N223" s="2866"/>
      <c r="O223" s="2896" t="s">
        <v>573</v>
      </c>
      <c r="P223" s="2897"/>
      <c r="Q223" s="2898"/>
      <c r="R223" s="2899" t="str">
        <f>IMAGE("https://raw.githubusercontent.com/msikma/pokesprite/master/items/hold-item/focus-sash.png",3)</f>
        <v/>
      </c>
      <c r="S223" s="2866"/>
      <c r="T223" s="2896" t="s">
        <v>713</v>
      </c>
      <c r="U223" s="2897"/>
      <c r="V223" s="2898"/>
      <c r="W223" s="2899" t="str">
        <f>IMAGE("https://raw.githubusercontent.com/msikma/pokesprite/master/items/hold-item/assault-vest.png",3)</f>
        <v/>
      </c>
      <c r="Y223" s="2896" t="s">
        <v>733</v>
      </c>
      <c r="Z223" s="2897"/>
      <c r="AA223" s="2898"/>
      <c r="AB223" s="2899" t="str">
        <f>IMAGE("https://raw.githubusercontent.com/msikma/pokesprite/master/items/hold-item/leftovers.png",3)</f>
        <v/>
      </c>
      <c r="AC223" s="2865"/>
      <c r="AD223" s="2854"/>
      <c r="AE223" s="2855"/>
      <c r="AF223" s="2855"/>
      <c r="AG223" s="2856"/>
      <c r="AH223" s="2858"/>
      <c r="AI223" s="2737"/>
    </row>
    <row r="224" ht="20.25" customHeight="1">
      <c r="A224" s="2329"/>
      <c r="B224" s="2876"/>
      <c r="C224" s="2888"/>
      <c r="D224" s="2854"/>
      <c r="E224" s="2889" t="s">
        <v>776</v>
      </c>
      <c r="F224" s="2890"/>
      <c r="G224" s="2900"/>
      <c r="H224" s="2901" t="str">
        <f t="shared" ref="H224:H225" si="11">IMAGE("https://raw.githubusercontent.com/msikma/pokesprite/master/misc/types/gen8/fairy.png",4,20,20)</f>
        <v/>
      </c>
      <c r="I224" s="2866"/>
      <c r="J224" s="2889" t="s">
        <v>666</v>
      </c>
      <c r="K224" s="2890"/>
      <c r="L224" s="2900"/>
      <c r="M224" s="2901" t="str">
        <f>IMAGE("https://raw.githubusercontent.com/msikma/pokesprite/master/misc/types/gen8/dark.png",4,20,20)</f>
        <v/>
      </c>
      <c r="N224" s="2866"/>
      <c r="O224" s="2889" t="s">
        <v>581</v>
      </c>
      <c r="P224" s="2890"/>
      <c r="Q224" s="2900"/>
      <c r="R224" s="2901" t="str">
        <f>IMAGE("https://raw.githubusercontent.com/msikma/pokesprite/master/misc/types/gen8/electric.png",4,20,20)</f>
        <v/>
      </c>
      <c r="S224" s="2866"/>
      <c r="T224" s="2889" t="s">
        <v>549</v>
      </c>
      <c r="U224" s="2890"/>
      <c r="V224" s="2900"/>
      <c r="W224" s="2901" t="str">
        <f>IMAGE("https://raw.githubusercontent.com/msikma/pokesprite/master/misc/types/gen8/ground.png",4,20,20)</f>
        <v/>
      </c>
      <c r="Y224" s="2889" t="s">
        <v>170</v>
      </c>
      <c r="Z224" s="2890"/>
      <c r="AA224" s="2900"/>
      <c r="AB224" s="2901" t="str">
        <f>IMAGE("https://raw.githubusercontent.com/msikma/pokesprite/master/misc/types/gen8/psychic.png",4,20,20)</f>
        <v/>
      </c>
      <c r="AC224" s="2865"/>
      <c r="AD224" s="2854"/>
      <c r="AE224" s="2855"/>
      <c r="AF224" s="2855"/>
      <c r="AG224" s="2856"/>
      <c r="AH224" s="2858"/>
      <c r="AI224" s="2737"/>
    </row>
    <row r="225" ht="20.25" customHeight="1">
      <c r="A225" s="2329"/>
      <c r="B225" s="2876"/>
      <c r="C225" s="2902"/>
      <c r="D225" s="2854"/>
      <c r="E225" s="2894" t="s">
        <v>1247</v>
      </c>
      <c r="F225" s="2855"/>
      <c r="G225" s="2856"/>
      <c r="H225" s="2956" t="str">
        <f t="shared" si="11"/>
        <v/>
      </c>
      <c r="I225" s="2866"/>
      <c r="J225" s="2894" t="s">
        <v>1248</v>
      </c>
      <c r="K225" s="2855"/>
      <c r="L225" s="2856"/>
      <c r="M225" s="2956" t="str">
        <f>IMAGE("https://raw.githubusercontent.com/msikma/pokesprite/master/misc/types/gen8/dragon.png",4,20,20)</f>
        <v/>
      </c>
      <c r="N225" s="2866"/>
      <c r="O225" s="2894" t="s">
        <v>646</v>
      </c>
      <c r="P225" s="2855"/>
      <c r="Q225" s="2856"/>
      <c r="R225" s="2956" t="str">
        <f>IMAGE("https://raw.githubusercontent.com/msikma/pokesprite/master/misc/types/gen8/steel.png",4,20,20)</f>
        <v/>
      </c>
      <c r="S225" s="2866"/>
      <c r="T225" s="2894" t="s">
        <v>874</v>
      </c>
      <c r="U225" s="2855"/>
      <c r="V225" s="2856"/>
      <c r="W225" s="2956" t="str">
        <f>IMAGE("https://raw.githubusercontent.com/msikma/pokesprite/master/misc/types/gen8/ghost.png",4,20,20)</f>
        <v/>
      </c>
      <c r="Y225" s="2894" t="s">
        <v>786</v>
      </c>
      <c r="Z225" s="2855"/>
      <c r="AA225" s="2856"/>
      <c r="AB225" s="2956" t="str">
        <f>IMAGE("https://raw.githubusercontent.com/msikma/pokesprite/master/misc/types/gen8/fairy.png",4,20,20)</f>
        <v/>
      </c>
      <c r="AC225" s="2865"/>
      <c r="AD225" s="2854"/>
      <c r="AE225" s="2855"/>
      <c r="AF225" s="2855"/>
      <c r="AG225" s="2856"/>
      <c r="AH225" s="2858"/>
      <c r="AI225" s="2737"/>
    </row>
    <row r="226" ht="20.25" customHeight="1">
      <c r="A226" s="2329"/>
      <c r="B226" s="2876"/>
      <c r="C226" s="2902"/>
      <c r="D226" s="2854"/>
      <c r="E226" s="2894" t="s">
        <v>1211</v>
      </c>
      <c r="F226" s="2855"/>
      <c r="G226" s="2856"/>
      <c r="H226" s="2957" t="str">
        <f>IMAGE("https://raw.githubusercontent.com/msikma/pokesprite/master/misc/types/gen8/fire.png",4,20,20)</f>
        <v/>
      </c>
      <c r="I226" s="2866"/>
      <c r="J226" s="2894" t="s">
        <v>1211</v>
      </c>
      <c r="K226" s="2855"/>
      <c r="L226" s="2856"/>
      <c r="M226" s="2957" t="str">
        <f>IMAGE("https://raw.githubusercontent.com/msikma/pokesprite/master/misc/types/gen8/fire.png",4,20,20)</f>
        <v/>
      </c>
      <c r="N226" s="2866"/>
      <c r="O226" s="2894" t="s">
        <v>547</v>
      </c>
      <c r="P226" s="2855"/>
      <c r="Q226" s="2856"/>
      <c r="R226" s="2957" t="str">
        <f>IMAGE("https://raw.githubusercontent.com/msikma/pokesprite/master/misc/types/gen8/electric.png",4,20,20)</f>
        <v/>
      </c>
      <c r="S226" s="2866"/>
      <c r="T226" s="2894" t="s">
        <v>1088</v>
      </c>
      <c r="U226" s="2855"/>
      <c r="V226" s="2856"/>
      <c r="W226" s="2957" t="str">
        <f>IMAGE("https://raw.githubusercontent.com/msikma/pokesprite/master/misc/types/gen8/fire.png",4,20,20)</f>
        <v/>
      </c>
      <c r="Y226" s="2894" t="s">
        <v>743</v>
      </c>
      <c r="Z226" s="2855"/>
      <c r="AA226" s="2856"/>
      <c r="AB226" s="2957" t="str">
        <f>IMAGE("https://raw.githubusercontent.com/msikma/pokesprite/master/misc/types/gen8/water.png",4,20,20)</f>
        <v/>
      </c>
      <c r="AC226" s="2865"/>
      <c r="AD226" s="2854"/>
      <c r="AE226" s="2855"/>
      <c r="AF226" s="2855"/>
      <c r="AG226" s="2856"/>
      <c r="AH226" s="2858"/>
      <c r="AI226" s="2737"/>
    </row>
    <row r="227" ht="21.0" customHeight="1">
      <c r="A227" s="2329"/>
      <c r="B227" s="2876"/>
      <c r="C227" s="2902"/>
      <c r="D227" s="2854"/>
      <c r="E227" s="2904" t="s">
        <v>547</v>
      </c>
      <c r="F227" s="2905"/>
      <c r="G227" s="2906"/>
      <c r="H227" s="2907" t="str">
        <f>IMAGE("https://raw.githubusercontent.com/msikma/pokesprite/master/misc/types/gen8/electric.png",4,20,20)</f>
        <v/>
      </c>
      <c r="I227" s="2866"/>
      <c r="J227" s="2904" t="s">
        <v>612</v>
      </c>
      <c r="K227" s="2905"/>
      <c r="L227" s="2906"/>
      <c r="M227" s="2907" t="str">
        <f>IMAGE("https://raw.githubusercontent.com/msikma/pokesprite/master/misc/types/gen8/bug.png",4,20,20)</f>
        <v/>
      </c>
      <c r="N227" s="2866"/>
      <c r="O227" s="2904" t="s">
        <v>671</v>
      </c>
      <c r="P227" s="2905"/>
      <c r="Q227" s="2906"/>
      <c r="R227" s="2907" t="str">
        <f>IMAGE("https://raw.githubusercontent.com/msikma/pokesprite/master/misc/types/gen8/fire.png",4,20,20)</f>
        <v/>
      </c>
      <c r="S227" s="2866"/>
      <c r="T227" s="2904" t="s">
        <v>589</v>
      </c>
      <c r="U227" s="2905"/>
      <c r="V227" s="2906"/>
      <c r="W227" s="2907" t="str">
        <f>IMAGE("https://raw.githubusercontent.com/msikma/pokesprite/master/misc/types/gen8/ice.png",4,20,20)</f>
        <v/>
      </c>
      <c r="X227" s="2948"/>
      <c r="Y227" s="2904" t="s">
        <v>669</v>
      </c>
      <c r="Z227" s="2905"/>
      <c r="AA227" s="2906"/>
      <c r="AB227" s="2907" t="str">
        <f>IMAGE("https://raw.githubusercontent.com/msikma/pokesprite/master/misc/types/gen8/psychic.png",4,20,20)</f>
        <v/>
      </c>
      <c r="AC227" s="2909"/>
      <c r="AD227" s="2854"/>
      <c r="AE227" s="2855"/>
      <c r="AF227" s="2855"/>
      <c r="AG227" s="2856"/>
      <c r="AH227" s="2858"/>
      <c r="AI227" s="2737"/>
    </row>
    <row r="228" ht="3.0" customHeight="1">
      <c r="A228" s="2802"/>
      <c r="B228" s="2910"/>
      <c r="C228" s="2911"/>
      <c r="D228" s="2912"/>
      <c r="E228" s="2913"/>
      <c r="F228" s="2913"/>
      <c r="G228" s="2913"/>
      <c r="H228" s="2913"/>
      <c r="I228" s="2912"/>
      <c r="J228" s="2913"/>
      <c r="K228" s="2913"/>
      <c r="L228" s="2913"/>
      <c r="M228" s="2913"/>
      <c r="N228" s="2912"/>
      <c r="O228" s="2913"/>
      <c r="P228" s="2913"/>
      <c r="Q228" s="2913"/>
      <c r="R228" s="2913"/>
      <c r="S228" s="2912"/>
      <c r="T228" s="2913"/>
      <c r="U228" s="2913"/>
      <c r="V228" s="2913"/>
      <c r="W228" s="2914"/>
      <c r="X228" s="2912"/>
      <c r="Y228" s="2913"/>
      <c r="Z228" s="2913"/>
      <c r="AA228" s="2913"/>
      <c r="AB228" s="2914"/>
      <c r="AC228" s="2916"/>
      <c r="AD228" s="2916"/>
      <c r="AE228" s="2916"/>
      <c r="AF228" s="2916"/>
      <c r="AG228" s="2916"/>
      <c r="AH228" s="2917"/>
      <c r="AI228" s="2810"/>
    </row>
    <row r="229" ht="16.5" customHeight="1">
      <c r="A229" s="2811"/>
      <c r="B229" s="2918"/>
      <c r="C229" s="2911"/>
      <c r="D229" s="2919"/>
      <c r="E229" s="2920" t="s">
        <v>512</v>
      </c>
      <c r="F229" s="606"/>
      <c r="G229" s="606"/>
      <c r="H229" s="607"/>
      <c r="I229" s="2921"/>
      <c r="J229" s="2920" t="s">
        <v>512</v>
      </c>
      <c r="K229" s="606"/>
      <c r="L229" s="606"/>
      <c r="M229" s="607"/>
      <c r="N229" s="2921"/>
      <c r="O229" s="2920" t="s">
        <v>512</v>
      </c>
      <c r="P229" s="606"/>
      <c r="Q229" s="606"/>
      <c r="R229" s="607"/>
      <c r="S229" s="2921"/>
      <c r="T229" s="2920" t="s">
        <v>512</v>
      </c>
      <c r="U229" s="606"/>
      <c r="V229" s="606"/>
      <c r="W229" s="607"/>
      <c r="X229" s="2922"/>
      <c r="Y229" s="2920" t="s">
        <v>512</v>
      </c>
      <c r="Z229" s="606"/>
      <c r="AA229" s="606"/>
      <c r="AB229" s="607"/>
      <c r="AC229" s="2923"/>
      <c r="AD229" s="2923"/>
      <c r="AE229" s="2923"/>
      <c r="AF229" s="2923"/>
      <c r="AG229" s="2923"/>
      <c r="AH229" s="2925"/>
      <c r="AI229" s="2407"/>
    </row>
    <row r="230" ht="16.5" customHeight="1">
      <c r="A230" s="2811"/>
      <c r="B230" s="2918"/>
      <c r="C230" s="2911"/>
      <c r="D230" s="2919"/>
      <c r="E230" s="2926" t="s">
        <v>513</v>
      </c>
      <c r="F230" s="2927">
        <f t="array" ref="F230">IFERROR(VLOOKUP(E217,Dex!$B$3:$N454,8,FALSE),"")</f>
        <v>82</v>
      </c>
      <c r="G230" s="2928" t="str">
        <f t="array" ref="G230">IFERROR(VLOOKUP(F230,Dex!$P$22:$Q$276,2,FALSE),"")</f>
        <v/>
      </c>
      <c r="H230" s="2929"/>
      <c r="I230" s="2921"/>
      <c r="J230" s="2926" t="s">
        <v>513</v>
      </c>
      <c r="K230" s="2927">
        <f t="array" ref="K230">IFERROR(VLOOKUP(J217,Dex!$B$3:$N454,8,FALSE),"")</f>
        <v>92</v>
      </c>
      <c r="L230" s="2928" t="str">
        <f t="array" ref="L230">IFERROR(VLOOKUP(K230,Dex!$P$22:$Q$276,2,FALSE),"")</f>
        <v/>
      </c>
      <c r="M230" s="2929"/>
      <c r="N230" s="2921"/>
      <c r="O230" s="2926" t="s">
        <v>513</v>
      </c>
      <c r="P230" s="2927">
        <f t="array" ref="P230">IFERROR(VLOOKUP(O217,Dex!$B$3:$N454,8,FALSE),"")</f>
        <v>70</v>
      </c>
      <c r="Q230" s="2928" t="str">
        <f t="array" ref="Q230">IFERROR(VLOOKUP(P230,Dex!$P$22:$Q$276,2,FALSE),"")</f>
        <v/>
      </c>
      <c r="R230" s="2929"/>
      <c r="S230" s="2921"/>
      <c r="T230" s="2926" t="s">
        <v>513</v>
      </c>
      <c r="U230" s="2927">
        <f t="array" ref="U230">IFERROR(VLOOKUP(T217,Dex!$B$3:$N454,8,FALSE),"")</f>
        <v>100</v>
      </c>
      <c r="V230" s="2928" t="str">
        <f t="array" ref="V230">IFERROR(VLOOKUP(U230,Dex!$P$22:$Q$276,2,FALSE),"")</f>
        <v/>
      </c>
      <c r="W230" s="2929"/>
      <c r="X230" s="2922"/>
      <c r="Y230" s="2926" t="s">
        <v>513</v>
      </c>
      <c r="Z230" s="2927">
        <f t="array" ref="Z230">IFERROR(VLOOKUP(Y217,Dex!$B$3:$N454,8,FALSE),"")</f>
        <v>80</v>
      </c>
      <c r="AA230" s="2928" t="str">
        <f t="array" ref="AA230">IFERROR(VLOOKUP(Z230,Dex!$P$22:$Q$276,2,FALSE),"")</f>
        <v/>
      </c>
      <c r="AB230" s="2929"/>
      <c r="AC230" s="2923"/>
      <c r="AD230" s="2923"/>
      <c r="AE230" s="2923"/>
      <c r="AF230" s="2923"/>
      <c r="AG230" s="2923"/>
      <c r="AH230" s="2925"/>
      <c r="AI230" s="2407"/>
    </row>
    <row r="231" ht="16.5" customHeight="1">
      <c r="A231" s="2811"/>
      <c r="B231" s="2918"/>
      <c r="C231" s="2911"/>
      <c r="D231" s="2919"/>
      <c r="E231" s="2930" t="s">
        <v>514</v>
      </c>
      <c r="F231" s="2931">
        <f t="array" ref="F231">IFERROR(VLOOKUP(E217,Dex!$B$3:$N454,9,FALSE),"")</f>
        <v>90</v>
      </c>
      <c r="G231" s="2932" t="str">
        <f t="array" ref="G231">IFERROR(VLOOKUP(F231,Dex!$P$22:$Q$276,2,FALSE),"")</f>
        <v/>
      </c>
      <c r="H231" s="2933"/>
      <c r="I231" s="2921"/>
      <c r="J231" s="2930" t="s">
        <v>514</v>
      </c>
      <c r="K231" s="2931">
        <f t="array" ref="K231">IFERROR(VLOOKUP(J217,Dex!$B$3:$N454,9,FALSE),"")</f>
        <v>105</v>
      </c>
      <c r="L231" s="2932" t="str">
        <f t="array" ref="L231">IFERROR(VLOOKUP(K231,Dex!$P$22:$Q$276,2,FALSE),"")</f>
        <v/>
      </c>
      <c r="M231" s="2933"/>
      <c r="N231" s="2921"/>
      <c r="O231" s="2930" t="s">
        <v>514</v>
      </c>
      <c r="P231" s="2931">
        <f t="array" ref="P231">IFERROR(VLOOKUP(O217,Dex!$B$3:$N454,9,FALSE),"")</f>
        <v>70</v>
      </c>
      <c r="Q231" s="2932" t="str">
        <f t="array" ref="Q231">IFERROR(VLOOKUP(P231,Dex!$P$22:$Q$276,2,FALSE),"")</f>
        <v/>
      </c>
      <c r="R231" s="2933"/>
      <c r="S231" s="2921"/>
      <c r="T231" s="2930" t="s">
        <v>514</v>
      </c>
      <c r="U231" s="2931">
        <f t="array" ref="U231">IFERROR(VLOOKUP(T217,Dex!$B$3:$N454,9,FALSE),"")</f>
        <v>124</v>
      </c>
      <c r="V231" s="2932" t="str">
        <f t="array" ref="V231">IFERROR(VLOOKUP(U231,Dex!$P$22:$Q$276,2,FALSE),"")</f>
        <v/>
      </c>
      <c r="W231" s="2933"/>
      <c r="X231" s="2922"/>
      <c r="Y231" s="2930" t="s">
        <v>514</v>
      </c>
      <c r="Z231" s="2931">
        <f t="array" ref="Z231">IFERROR(VLOOKUP(Y217,Dex!$B$3:$N454,9,FALSE),"")</f>
        <v>74</v>
      </c>
      <c r="AA231" s="2932" t="str">
        <f t="array" ref="AA231">IFERROR(VLOOKUP(Z231,Dex!$P$22:$Q$276,2,FALSE),"")</f>
        <v/>
      </c>
      <c r="AB231" s="2933"/>
      <c r="AC231" s="2923"/>
      <c r="AD231" s="2923"/>
      <c r="AE231" s="2923"/>
      <c r="AF231" s="2923"/>
      <c r="AG231" s="2923"/>
      <c r="AH231" s="2925"/>
      <c r="AI231" s="2407"/>
    </row>
    <row r="232" ht="16.5" customHeight="1">
      <c r="A232" s="2811"/>
      <c r="B232" s="2918"/>
      <c r="C232" s="2911"/>
      <c r="D232" s="2919"/>
      <c r="E232" s="2930" t="s">
        <v>515</v>
      </c>
      <c r="F232" s="2931">
        <f t="array" ref="F232">IFERROR(VLOOKUP(E217,Dex!$B$3:$N454,10,FALSE),"")</f>
        <v>86</v>
      </c>
      <c r="G232" s="2932" t="str">
        <f t="array" ref="G232">IFERROR(VLOOKUP(F232,Dex!$P$22:$Q$276,2,FALSE),"")</f>
        <v/>
      </c>
      <c r="H232" s="2933"/>
      <c r="I232" s="2921"/>
      <c r="J232" s="2930" t="s">
        <v>515</v>
      </c>
      <c r="K232" s="2931">
        <f t="array" ref="K232">IFERROR(VLOOKUP(J217,Dex!$B$3:$N454,10,FALSE),"")</f>
        <v>90</v>
      </c>
      <c r="L232" s="2932" t="str">
        <f t="array" ref="L232">IFERROR(VLOOKUP(K232,Dex!$P$22:$Q$276,2,FALSE),"")</f>
        <v/>
      </c>
      <c r="M232" s="2933"/>
      <c r="N232" s="2921"/>
      <c r="O232" s="2930" t="s">
        <v>515</v>
      </c>
      <c r="P232" s="2931">
        <f t="array" ref="P232">IFERROR(VLOOKUP(O217,Dex!$B$3:$N454,10,FALSE),"")</f>
        <v>115</v>
      </c>
      <c r="Q232" s="2932" t="str">
        <f t="array" ref="Q232">IFERROR(VLOOKUP(P232,Dex!$P$22:$Q$276,2,FALSE),"")</f>
        <v/>
      </c>
      <c r="R232" s="2933"/>
      <c r="S232" s="2921"/>
      <c r="T232" s="2930" t="s">
        <v>515</v>
      </c>
      <c r="U232" s="2931">
        <f t="array" ref="U232">IFERROR(VLOOKUP(T217,Dex!$B$3:$N454,10,FALSE),"")</f>
        <v>90</v>
      </c>
      <c r="V232" s="2932" t="str">
        <f t="array" ref="V232">IFERROR(VLOOKUP(U232,Dex!$P$22:$Q$276,2,FALSE),"")</f>
        <v/>
      </c>
      <c r="W232" s="2933"/>
      <c r="X232" s="2922"/>
      <c r="Y232" s="2930" t="s">
        <v>515</v>
      </c>
      <c r="Z232" s="2931">
        <f t="array" ref="Z232">IFERROR(VLOOKUP(Y217,Dex!$B$3:$N454,10,FALSE),"")</f>
        <v>74</v>
      </c>
      <c r="AA232" s="2932" t="str">
        <f t="array" ref="AA232">IFERROR(VLOOKUP(Z232,Dex!$P$22:$Q$276,2,FALSE),"")</f>
        <v/>
      </c>
      <c r="AB232" s="2933"/>
      <c r="AC232" s="2923"/>
      <c r="AD232" s="2923"/>
      <c r="AE232" s="2923"/>
      <c r="AF232" s="2923"/>
      <c r="AG232" s="2923"/>
      <c r="AH232" s="2925"/>
      <c r="AI232" s="2407"/>
    </row>
    <row r="233" ht="16.5" customHeight="1">
      <c r="A233" s="2811"/>
      <c r="B233" s="2918"/>
      <c r="C233" s="2911"/>
      <c r="D233" s="2919"/>
      <c r="E233" s="2930" t="s">
        <v>516</v>
      </c>
      <c r="F233" s="2931">
        <f t="array" ref="F233">IFERROR(VLOOKUP(E217,Dex!$B$3:$N454,11,FALSE),"")</f>
        <v>75</v>
      </c>
      <c r="G233" s="2932" t="str">
        <f t="array" ref="G233">IFERROR(VLOOKUP(F233,Dex!$P$22:$Q$276,2,FALSE),"")</f>
        <v/>
      </c>
      <c r="H233" s="2933"/>
      <c r="I233" s="2921"/>
      <c r="J233" s="2930" t="s">
        <v>516</v>
      </c>
      <c r="K233" s="2931">
        <f t="array" ref="K233">IFERROR(VLOOKUP(J217,Dex!$B$3:$N454,11,FALSE),"")</f>
        <v>125</v>
      </c>
      <c r="L233" s="2932" t="str">
        <f t="array" ref="L233">IFERROR(VLOOKUP(K233,Dex!$P$22:$Q$276,2,FALSE),"")</f>
        <v/>
      </c>
      <c r="M233" s="2933"/>
      <c r="N233" s="2921"/>
      <c r="O233" s="2930" t="s">
        <v>516</v>
      </c>
      <c r="P233" s="2931">
        <f t="array" ref="P233">IFERROR(VLOOKUP(O217,Dex!$B$3:$N454,11,FALSE),"")</f>
        <v>130</v>
      </c>
      <c r="Q233" s="2932" t="str">
        <f t="array" ref="Q233">IFERROR(VLOOKUP(P233,Dex!$P$22:$Q$276,2,FALSE),"")</f>
        <v/>
      </c>
      <c r="R233" s="2933"/>
      <c r="S233" s="2921"/>
      <c r="T233" s="2930" t="s">
        <v>516</v>
      </c>
      <c r="U233" s="2931">
        <f t="array" ref="U233">IFERROR(VLOOKUP(T217,Dex!$B$3:$N454,11,FALSE),"")</f>
        <v>55</v>
      </c>
      <c r="V233" s="2932" t="str">
        <f t="array" ref="V233">IFERROR(VLOOKUP(U233,Dex!$P$22:$Q$276,2,FALSE),"")</f>
        <v/>
      </c>
      <c r="W233" s="2933"/>
      <c r="X233" s="2922"/>
      <c r="Y233" s="2930" t="s">
        <v>516</v>
      </c>
      <c r="Z233" s="2931">
        <f t="array" ref="Z233">IFERROR(VLOOKUP(Y217,Dex!$B$3:$N454,11,FALSE),"")</f>
        <v>126</v>
      </c>
      <c r="AA233" s="2932" t="str">
        <f t="array" ref="AA233">IFERROR(VLOOKUP(Z233,Dex!$P$22:$Q$276,2,FALSE),"")</f>
        <v/>
      </c>
      <c r="AB233" s="2933"/>
      <c r="AC233" s="2923"/>
      <c r="AD233" s="2923"/>
      <c r="AE233" s="2923"/>
      <c r="AF233" s="2923"/>
      <c r="AG233" s="2923"/>
      <c r="AH233" s="2925"/>
      <c r="AI233" s="2407"/>
    </row>
    <row r="234" ht="16.5" customHeight="1">
      <c r="A234" s="2811"/>
      <c r="B234" s="2918"/>
      <c r="C234" s="2911"/>
      <c r="D234" s="2919"/>
      <c r="E234" s="2930" t="s">
        <v>517</v>
      </c>
      <c r="F234" s="2931">
        <f t="array" ref="F234">IFERROR(VLOOKUP(E217,Dex!$B$3:$N454,12,FALSE),"")</f>
        <v>75</v>
      </c>
      <c r="G234" s="2932" t="str">
        <f t="array" ref="G234">IFERROR(VLOOKUP(F234,Dex!$P$22:$Q$276,2,FALSE),"")</f>
        <v/>
      </c>
      <c r="H234" s="2933"/>
      <c r="I234" s="2921"/>
      <c r="J234" s="2930" t="s">
        <v>517</v>
      </c>
      <c r="K234" s="2931">
        <f t="array" ref="K234">IFERROR(VLOOKUP(J217,Dex!$B$3:$N454,12,FALSE),"")</f>
        <v>90</v>
      </c>
      <c r="L234" s="2932" t="str">
        <f t="array" ref="L234">IFERROR(VLOOKUP(K234,Dex!$P$22:$Q$276,2,FALSE),"")</f>
        <v/>
      </c>
      <c r="M234" s="2933"/>
      <c r="N234" s="2921"/>
      <c r="O234" s="2930" t="s">
        <v>517</v>
      </c>
      <c r="P234" s="2931">
        <f t="array" ref="P234">IFERROR(VLOOKUP(O217,Dex!$B$3:$N454,12,FALSE),"")</f>
        <v>90</v>
      </c>
      <c r="Q234" s="2932" t="str">
        <f t="array" ref="Q234">IFERROR(VLOOKUP(P234,Dex!$P$22:$Q$276,2,FALSE),"")</f>
        <v/>
      </c>
      <c r="R234" s="2933"/>
      <c r="S234" s="2921"/>
      <c r="T234" s="2930" t="s">
        <v>517</v>
      </c>
      <c r="U234" s="2931">
        <f t="array" ref="U234">IFERROR(VLOOKUP(T217,Dex!$B$3:$N454,12,FALSE),"")</f>
        <v>90</v>
      </c>
      <c r="V234" s="2932" t="str">
        <f t="array" ref="V234">IFERROR(VLOOKUP(U234,Dex!$P$22:$Q$276,2,FALSE),"")</f>
        <v/>
      </c>
      <c r="W234" s="2933"/>
      <c r="X234" s="2922"/>
      <c r="Y234" s="2930" t="s">
        <v>517</v>
      </c>
      <c r="Z234" s="2931">
        <f t="array" ref="Z234">IFERROR(VLOOKUP(Y217,Dex!$B$3:$N454,12,FALSE),"")</f>
        <v>116</v>
      </c>
      <c r="AA234" s="2932" t="str">
        <f t="array" ref="AA234">IFERROR(VLOOKUP(Z234,Dex!$P$22:$Q$276,2,FALSE),"")</f>
        <v/>
      </c>
      <c r="AB234" s="2933"/>
      <c r="AC234" s="2923"/>
      <c r="AD234" s="2923"/>
      <c r="AE234" s="2923"/>
      <c r="AF234" s="2923"/>
      <c r="AG234" s="2923"/>
      <c r="AH234" s="2925"/>
      <c r="AI234" s="2407"/>
    </row>
    <row r="235" ht="15.75" customHeight="1">
      <c r="A235" s="2811"/>
      <c r="B235" s="2918"/>
      <c r="C235" s="1426" t="s">
        <v>745</v>
      </c>
      <c r="D235" s="2919"/>
      <c r="E235" s="2934" t="s">
        <v>518</v>
      </c>
      <c r="F235" s="2935">
        <f t="array" ref="F235">IFERROR(VLOOKUP(E217,Dex!$B$3:$N454,13,FALSE),"")</f>
        <v>72</v>
      </c>
      <c r="G235" s="2936" t="str">
        <f t="array" ref="G235">IFERROR(VLOOKUP(F235,Dex!$P$22:$Q$276,2,FALSE),"")</f>
        <v/>
      </c>
      <c r="H235" s="2937"/>
      <c r="I235" s="2921"/>
      <c r="J235" s="2934" t="s">
        <v>518</v>
      </c>
      <c r="K235" s="2935">
        <f t="array" ref="K235">IFERROR(VLOOKUP(J217,Dex!$B$3:$N454,13,FALSE),"")</f>
        <v>98</v>
      </c>
      <c r="L235" s="2936" t="str">
        <f t="array" ref="L235">IFERROR(VLOOKUP(K235,Dex!$P$22:$Q$276,2,FALSE),"")</f>
        <v/>
      </c>
      <c r="M235" s="2937"/>
      <c r="N235" s="2921"/>
      <c r="O235" s="2934" t="s">
        <v>518</v>
      </c>
      <c r="P235" s="2935">
        <f t="array" ref="P235">IFERROR(VLOOKUP(O217,Dex!$B$3:$N454,13,FALSE),"")</f>
        <v>60</v>
      </c>
      <c r="Q235" s="2936" t="str">
        <f t="array" ref="Q235">IFERROR(VLOOKUP(P235,Dex!$P$22:$Q$276,2,FALSE),"")</f>
        <v/>
      </c>
      <c r="R235" s="2937"/>
      <c r="S235" s="2921"/>
      <c r="T235" s="2934" t="s">
        <v>518</v>
      </c>
      <c r="U235" s="2935">
        <f t="array" ref="U235">IFERROR(VLOOKUP(T217,Dex!$B$3:$N454,13,FALSE),"")</f>
        <v>55</v>
      </c>
      <c r="V235" s="2936" t="str">
        <f t="array" ref="V235">IFERROR(VLOOKUP(U235,Dex!$P$22:$Q$276,2,FALSE),"")</f>
        <v/>
      </c>
      <c r="W235" s="2937"/>
      <c r="X235" s="2922"/>
      <c r="Y235" s="2934" t="s">
        <v>518</v>
      </c>
      <c r="Z235" s="2935">
        <f t="array" ref="Z235">IFERROR(VLOOKUP(Y217,Dex!$B$3:$N454,13,FALSE),"")</f>
        <v>60</v>
      </c>
      <c r="AA235" s="2936" t="str">
        <f t="array" ref="AA235">IFERROR(VLOOKUP(Z235,Dex!$P$22:$Q$276,2,FALSE),"")</f>
        <v/>
      </c>
      <c r="AB235" s="2937"/>
      <c r="AC235" s="2923"/>
      <c r="AD235" s="2923"/>
      <c r="AE235" s="2923"/>
      <c r="AF235" s="2923"/>
      <c r="AG235" s="2923"/>
      <c r="AH235" s="2925"/>
      <c r="AI235" s="2407"/>
    </row>
    <row r="236" ht="16.5" customHeight="1">
      <c r="A236" s="2811"/>
      <c r="B236" s="2918"/>
      <c r="C236" s="1427" t="s">
        <v>1055</v>
      </c>
      <c r="D236" s="2919"/>
      <c r="E236" s="3063" t="s">
        <v>519</v>
      </c>
      <c r="F236" s="635"/>
      <c r="G236" s="636"/>
      <c r="H236" s="632">
        <f>ROUNDDOWN((ROUNDDOWN(((((2*F235+31)*55)/100+5)),0))*1.1,0)</f>
        <v>111</v>
      </c>
      <c r="I236" s="2921"/>
      <c r="J236" s="2938" t="s">
        <v>519</v>
      </c>
      <c r="K236" s="630"/>
      <c r="L236" s="631"/>
      <c r="M236" s="632">
        <f>ROUNDDOWN((ROUNDDOWN(((((2*K235+31)*56)/100+5)),0))*1.1,0)</f>
        <v>145</v>
      </c>
      <c r="N236" s="2921"/>
      <c r="O236" s="2938" t="s">
        <v>519</v>
      </c>
      <c r="P236" s="630"/>
      <c r="Q236" s="631"/>
      <c r="R236" s="632">
        <f>ROUNDDOWN((ROUNDDOWN(((((2*P235+31)*56)/100+5)),0))*1.1,0)</f>
        <v>97</v>
      </c>
      <c r="S236" s="2921"/>
      <c r="T236" s="2938" t="s">
        <v>519</v>
      </c>
      <c r="U236" s="630"/>
      <c r="V236" s="631"/>
      <c r="W236" s="632">
        <f>ROUNDDOWN((ROUNDDOWN(((((2*U235+31)*56)/100+5)),0))*1.1,0)</f>
        <v>91</v>
      </c>
      <c r="X236" s="2922"/>
      <c r="Y236" s="2938" t="s">
        <v>519</v>
      </c>
      <c r="Z236" s="630"/>
      <c r="AA236" s="631"/>
      <c r="AB236" s="632">
        <f>ROUNDDOWN((ROUNDDOWN(((((2*Z235+31)*56)/100+5)),0))*1.1,0)</f>
        <v>97</v>
      </c>
      <c r="AC236" s="2923"/>
      <c r="AD236" s="2923"/>
      <c r="AE236" s="2923"/>
      <c r="AF236" s="2923"/>
      <c r="AG236" s="2923"/>
      <c r="AH236" s="2925"/>
      <c r="AI236" s="2407"/>
    </row>
    <row r="237" ht="16.5" customHeight="1">
      <c r="A237" s="2811"/>
      <c r="B237" s="2958"/>
      <c r="C237" s="2962"/>
      <c r="D237" s="2959"/>
      <c r="E237" s="3065" t="s">
        <v>594</v>
      </c>
      <c r="F237" s="643"/>
      <c r="G237" s="644"/>
      <c r="H237" s="3064">
        <f>H236*2</f>
        <v>222</v>
      </c>
      <c r="I237" s="2960"/>
      <c r="J237" s="2962"/>
      <c r="K237" s="2962"/>
      <c r="L237" s="2962"/>
      <c r="M237" s="2962"/>
      <c r="N237" s="2960"/>
      <c r="O237" s="2962"/>
      <c r="P237" s="2962"/>
      <c r="Q237" s="2962"/>
      <c r="R237" s="2962"/>
      <c r="S237" s="2960"/>
      <c r="T237" s="2962"/>
      <c r="U237" s="2962"/>
      <c r="V237" s="2962"/>
      <c r="W237" s="2962"/>
      <c r="X237" s="2961"/>
      <c r="Y237" s="2962"/>
      <c r="Z237" s="2962"/>
      <c r="AA237" s="2962"/>
      <c r="AB237" s="2962"/>
      <c r="AC237" s="2962"/>
      <c r="AD237" s="2962"/>
      <c r="AE237" s="2962"/>
      <c r="AF237" s="2962"/>
      <c r="AG237" s="2962"/>
      <c r="AH237" s="2964"/>
      <c r="AI237" s="2407"/>
    </row>
    <row r="238" ht="15.0" customHeight="1">
      <c r="A238" s="2329"/>
      <c r="B238" s="2939"/>
      <c r="C238" s="2940"/>
      <c r="D238" s="2941"/>
      <c r="E238" s="2940"/>
      <c r="F238" s="2940"/>
      <c r="G238" s="2940"/>
      <c r="H238" s="2940"/>
      <c r="I238" s="2941"/>
      <c r="J238" s="2940"/>
      <c r="K238" s="2940"/>
      <c r="L238" s="2940"/>
      <c r="M238" s="2940"/>
      <c r="N238" s="2941"/>
      <c r="O238" s="2940"/>
      <c r="P238" s="2940"/>
      <c r="Q238" s="2940"/>
      <c r="R238" s="2940"/>
      <c r="S238" s="2941"/>
      <c r="T238" s="2940"/>
      <c r="U238" s="2940"/>
      <c r="V238" s="2940"/>
      <c r="W238" s="2940"/>
      <c r="X238" s="2941"/>
      <c r="Y238" s="2940"/>
      <c r="Z238" s="2940"/>
      <c r="AA238" s="2940"/>
      <c r="AB238" s="2940"/>
      <c r="AC238" s="2941"/>
      <c r="AD238" s="2941"/>
      <c r="AE238" s="2941"/>
      <c r="AF238" s="2941"/>
      <c r="AG238" s="2941"/>
      <c r="AH238" s="2943"/>
      <c r="AI238" s="2737"/>
    </row>
    <row r="239" ht="15.0" customHeight="1">
      <c r="A239" s="2329"/>
      <c r="B239" s="3067"/>
      <c r="C239" s="3068"/>
      <c r="D239" s="3069"/>
      <c r="E239" s="3069"/>
      <c r="F239" s="3069"/>
      <c r="G239" s="3069"/>
      <c r="H239" s="3069"/>
      <c r="I239" s="3069"/>
      <c r="J239" s="3069"/>
      <c r="K239" s="3069"/>
      <c r="L239" s="3069"/>
      <c r="M239" s="3069"/>
      <c r="N239" s="3069"/>
      <c r="O239" s="3069"/>
      <c r="P239" s="3069"/>
      <c r="Q239" s="3069"/>
      <c r="R239" s="3069"/>
      <c r="S239" s="3069"/>
      <c r="T239" s="3069"/>
      <c r="U239" s="3069"/>
      <c r="V239" s="3069"/>
      <c r="W239" s="3069"/>
      <c r="X239" s="3069"/>
      <c r="Y239" s="3069"/>
      <c r="Z239" s="3069"/>
      <c r="AA239" s="3069"/>
      <c r="AB239" s="3069"/>
      <c r="AC239" s="3069"/>
      <c r="AD239" s="3069"/>
      <c r="AE239" s="3069"/>
      <c r="AF239" s="3069"/>
      <c r="AG239" s="3069"/>
      <c r="AH239" s="3070"/>
      <c r="AI239" s="2737"/>
    </row>
    <row r="240">
      <c r="A240" s="2329"/>
      <c r="B240" s="3071"/>
      <c r="C240" s="3072"/>
      <c r="D240" s="3073"/>
      <c r="E240" s="3074" t="s">
        <v>1249</v>
      </c>
      <c r="F240" s="3075"/>
      <c r="G240" s="3075"/>
      <c r="H240" s="3075"/>
      <c r="I240" s="3075"/>
      <c r="J240" s="3075"/>
      <c r="K240" s="3075"/>
      <c r="L240" s="3075"/>
      <c r="M240" s="3075"/>
      <c r="N240" s="3075"/>
      <c r="O240" s="3075"/>
      <c r="P240" s="3075"/>
      <c r="Q240" s="3075"/>
      <c r="R240" s="3076"/>
      <c r="S240" s="3077"/>
      <c r="T240" s="3078"/>
      <c r="U240" s="3078"/>
      <c r="V240" s="3078"/>
      <c r="W240" s="3078"/>
      <c r="X240" s="3077"/>
      <c r="Y240" s="3078"/>
      <c r="Z240" s="3078"/>
      <c r="AA240" s="3078"/>
      <c r="AB240" s="3078"/>
      <c r="AC240" s="3077"/>
      <c r="AD240" s="3078"/>
      <c r="AE240" s="3078"/>
      <c r="AF240" s="3078"/>
      <c r="AG240" s="3078"/>
      <c r="AH240" s="3079"/>
      <c r="AI240" s="2737"/>
    </row>
    <row r="241" ht="96.75" customHeight="1">
      <c r="A241" s="2329"/>
      <c r="B241" s="3080"/>
      <c r="C241" s="3081" t="str">
        <f>IMAGE("https://i.ibb.co/Ryc6bMZ/Archer-Ariana.png",2)</f>
        <v/>
      </c>
      <c r="D241" s="3082"/>
      <c r="E241" s="3083" t="str">
        <f t="array" ref="E241">IFERROR(VLOOKUP(E242,Dex!$B$3:$G454,3,FALSE),"")</f>
        <v/>
      </c>
      <c r="F241" s="1945"/>
      <c r="G241" s="1945"/>
      <c r="H241" s="1946"/>
      <c r="I241" s="3084"/>
      <c r="J241" s="3083" t="str">
        <f t="array" ref="J241">IFERROR(VLOOKUP(J242,Dex!$B$3:$G454,3,FALSE),"")</f>
        <v/>
      </c>
      <c r="K241" s="1945"/>
      <c r="L241" s="1945"/>
      <c r="M241" s="1946"/>
      <c r="N241" s="3084"/>
      <c r="O241" s="3083" t="str">
        <f t="array" ref="O241">IFERROR(VLOOKUP(O242,Dex!$B$3:$G454,3,FALSE),"")</f>
        <v/>
      </c>
      <c r="P241" s="1945"/>
      <c r="Q241" s="1945"/>
      <c r="R241" s="1946"/>
      <c r="S241" s="3084"/>
      <c r="T241" s="3085" t="str">
        <f t="array" ref="T241">IFERROR(VLOOKUP(T242,Dex!$B$3:$G454,3,FALSE),"")</f>
        <v/>
      </c>
      <c r="U241" s="1945"/>
      <c r="V241" s="1945"/>
      <c r="W241" s="1946"/>
      <c r="X241" s="3084"/>
      <c r="Y241" s="3085" t="str">
        <f t="array" ref="Y241">IFERROR(VLOOKUP(Y242,Dex!$B$3:$G454,3,FALSE),"")</f>
        <v/>
      </c>
      <c r="Z241" s="1945"/>
      <c r="AA241" s="1945"/>
      <c r="AB241" s="1946"/>
      <c r="AC241" s="3084"/>
      <c r="AD241" s="3085" t="str">
        <f t="array" ref="AD241">IFERROR(VLOOKUP(AD242,Dex!$B$3:$G454,3,FALSE),"")</f>
        <v/>
      </c>
      <c r="AE241" s="1945"/>
      <c r="AF241" s="1945"/>
      <c r="AG241" s="1946"/>
      <c r="AH241" s="3086"/>
      <c r="AI241" s="2737"/>
    </row>
    <row r="242" ht="18.75" customHeight="1">
      <c r="A242" s="2354"/>
      <c r="B242" s="3087"/>
      <c r="C242" s="3088" t="s">
        <v>1250</v>
      </c>
      <c r="D242" s="3089"/>
      <c r="E242" s="3090" t="s">
        <v>1251</v>
      </c>
      <c r="F242" s="3091"/>
      <c r="G242" s="3091"/>
      <c r="H242" s="3092"/>
      <c r="J242" s="3090" t="s">
        <v>1120</v>
      </c>
      <c r="K242" s="3091"/>
      <c r="L242" s="3091"/>
      <c r="M242" s="3092"/>
      <c r="O242" s="3090" t="s">
        <v>1252</v>
      </c>
      <c r="P242" s="3091"/>
      <c r="Q242" s="3091"/>
      <c r="R242" s="3092"/>
      <c r="T242" s="2751" t="s">
        <v>1253</v>
      </c>
      <c r="U242" s="2752"/>
      <c r="V242" s="2752"/>
      <c r="W242" s="2753"/>
      <c r="Y242" s="2751" t="s">
        <v>1254</v>
      </c>
      <c r="Z242" s="2752"/>
      <c r="AA242" s="2752"/>
      <c r="AB242" s="2753"/>
      <c r="AD242" s="2751" t="s">
        <v>1255</v>
      </c>
      <c r="AE242" s="2752"/>
      <c r="AF242" s="2752"/>
      <c r="AG242" s="2753"/>
      <c r="AH242" s="3093"/>
      <c r="AI242" s="2757"/>
    </row>
    <row r="243">
      <c r="A243" s="2983"/>
      <c r="B243" s="3094"/>
      <c r="C243" s="3095"/>
      <c r="D243" s="3096"/>
      <c r="E243" s="3097">
        <v>55.0</v>
      </c>
      <c r="F243" s="3098"/>
      <c r="G243" s="3098"/>
      <c r="H243" s="3099"/>
      <c r="J243" s="3097">
        <v>55.0</v>
      </c>
      <c r="K243" s="3098"/>
      <c r="L243" s="3098"/>
      <c r="M243" s="3099"/>
      <c r="O243" s="3097">
        <v>56.0</v>
      </c>
      <c r="P243" s="3098"/>
      <c r="Q243" s="3098"/>
      <c r="R243" s="3099"/>
      <c r="T243" s="3100">
        <v>55.0</v>
      </c>
      <c r="U243" s="2762"/>
      <c r="V243" s="2762"/>
      <c r="W243" s="2763"/>
      <c r="Y243" s="3100">
        <v>55.0</v>
      </c>
      <c r="Z243" s="2762"/>
      <c r="AA243" s="2762"/>
      <c r="AB243" s="2763"/>
      <c r="AD243" s="3100">
        <v>56.0</v>
      </c>
      <c r="AE243" s="2762"/>
      <c r="AF243" s="2762"/>
      <c r="AG243" s="2763"/>
      <c r="AH243" s="3101"/>
      <c r="AI243" s="2991"/>
    </row>
    <row r="244" ht="25.5" customHeight="1">
      <c r="A244" s="2329"/>
      <c r="B244" s="3102"/>
      <c r="C244" s="3095"/>
      <c r="D244" s="3103"/>
      <c r="E244" s="3104"/>
      <c r="F244" s="3105" t="str">
        <f t="array" ref="F244">IFERROR(VLOOKUP(E242,Dex!$B$3:$H454,5,FALSE),"")</f>
        <v/>
      </c>
      <c r="G244" s="3106" t="str">
        <f t="array" ref="G244">IFERROR(VLOOKUP(E242,Dex!$B$3:$H454,7,FALSE),"")</f>
        <v/>
      </c>
      <c r="H244" s="3107"/>
      <c r="J244" s="3104"/>
      <c r="K244" s="3105" t="str">
        <f t="array" ref="K244">IFERROR(VLOOKUP(J242,Dex!$B$3:$H454,5,FALSE),"")</f>
        <v/>
      </c>
      <c r="L244" s="3106" t="str">
        <f t="array" ref="L244">IFERROR(VLOOKUP(J242,Dex!$B$3:$H454,7,FALSE),"")</f>
        <v/>
      </c>
      <c r="M244" s="3107"/>
      <c r="O244" s="3104"/>
      <c r="P244" s="3105" t="str">
        <f t="array" ref="P244">IFERROR(VLOOKUP(O242,Dex!$B$3:$H454,5,FALSE),"")</f>
        <v/>
      </c>
      <c r="Q244" s="3106" t="str">
        <f t="array" ref="Q244">IFERROR(VLOOKUP(O242,Dex!$B$3:$H454,7,FALSE),"")</f>
        <v/>
      </c>
      <c r="R244" s="3107"/>
      <c r="T244" s="2769"/>
      <c r="U244" s="2770" t="str">
        <f t="array" ref="U244">IFERROR(VLOOKUP(T242,Dex!$B$3:$H454,5,FALSE),"")</f>
        <v/>
      </c>
      <c r="V244" s="2771" t="str">
        <f t="array" ref="V244">IFERROR(VLOOKUP(T242,Dex!$B$3:$H454,7,FALSE),"")</f>
        <v/>
      </c>
      <c r="W244" s="2772"/>
      <c r="Y244" s="2769"/>
      <c r="Z244" s="2770" t="str">
        <f t="array" ref="Z244">IFERROR(VLOOKUP(Y242,Dex!$B$3:$H454,5,FALSE),"")</f>
        <v/>
      </c>
      <c r="AA244" s="2771" t="str">
        <f t="array" ref="AA244">IFERROR(VLOOKUP(Y242,Dex!$B$3:$H454,7,FALSE),"")</f>
        <v/>
      </c>
      <c r="AB244" s="2772"/>
      <c r="AD244" s="2769"/>
      <c r="AE244" s="2770" t="str">
        <f t="array" ref="AE244">IFERROR(VLOOKUP(AD242,Dex!$B$3:$H454,5,FALSE),"")</f>
        <v/>
      </c>
      <c r="AF244" s="2771" t="str">
        <f t="array" ref="AF244">IFERROR(VLOOKUP(AD242,Dex!$B$3:$H454,7,FALSE),"")</f>
        <v/>
      </c>
      <c r="AG244" s="2772"/>
      <c r="AH244" s="3108"/>
      <c r="AI244" s="2737"/>
    </row>
    <row r="245" ht="2.25" customHeight="1">
      <c r="A245" s="2329"/>
      <c r="B245" s="3102"/>
      <c r="C245" s="3095"/>
      <c r="D245" s="3103"/>
      <c r="E245" s="3109"/>
      <c r="F245" s="3110"/>
      <c r="G245" s="3110"/>
      <c r="H245" s="3111"/>
      <c r="J245" s="3109"/>
      <c r="K245" s="3110"/>
      <c r="L245" s="3110"/>
      <c r="M245" s="3111"/>
      <c r="O245" s="3109"/>
      <c r="P245" s="3110"/>
      <c r="Q245" s="3110"/>
      <c r="R245" s="3111"/>
      <c r="T245" s="2776"/>
      <c r="U245" s="2777"/>
      <c r="V245" s="2777"/>
      <c r="W245" s="2778"/>
      <c r="Y245" s="2776"/>
      <c r="Z245" s="2777"/>
      <c r="AA245" s="2777"/>
      <c r="AB245" s="2778"/>
      <c r="AD245" s="2776"/>
      <c r="AE245" s="2777"/>
      <c r="AF245" s="2777"/>
      <c r="AG245" s="2778"/>
      <c r="AH245" s="3108"/>
      <c r="AI245" s="2737"/>
    </row>
    <row r="246" ht="20.25" customHeight="1">
      <c r="A246" s="2329"/>
      <c r="B246" s="3102"/>
      <c r="C246" s="3112"/>
      <c r="D246" s="3113"/>
      <c r="E246" s="3114" t="s">
        <v>480</v>
      </c>
      <c r="F246" s="3115"/>
      <c r="G246" s="3115"/>
      <c r="H246" s="3116"/>
      <c r="J246" s="3114" t="s">
        <v>531</v>
      </c>
      <c r="K246" s="3115"/>
      <c r="L246" s="3115"/>
      <c r="M246" s="3116"/>
      <c r="O246" s="3114" t="s">
        <v>566</v>
      </c>
      <c r="P246" s="3115"/>
      <c r="Q246" s="3115"/>
      <c r="R246" s="3116"/>
      <c r="T246" s="2781" t="s">
        <v>564</v>
      </c>
      <c r="U246" s="2782"/>
      <c r="V246" s="2782"/>
      <c r="W246" s="2783"/>
      <c r="Y246" s="2781" t="s">
        <v>564</v>
      </c>
      <c r="Z246" s="2782"/>
      <c r="AA246" s="2782"/>
      <c r="AB246" s="2783"/>
      <c r="AD246" s="2781" t="s">
        <v>565</v>
      </c>
      <c r="AE246" s="2782"/>
      <c r="AF246" s="2782"/>
      <c r="AG246" s="2783"/>
      <c r="AH246" s="3086"/>
      <c r="AI246" s="2737"/>
    </row>
    <row r="247">
      <c r="A247" s="2329"/>
      <c r="B247" s="3102"/>
      <c r="C247" s="3117"/>
      <c r="D247" s="3113"/>
      <c r="E247" s="3118" t="s">
        <v>60</v>
      </c>
      <c r="F247" s="3119"/>
      <c r="G247" s="3119"/>
      <c r="H247" s="3120"/>
      <c r="J247" s="3118" t="s">
        <v>1124</v>
      </c>
      <c r="K247" s="3119"/>
      <c r="L247" s="3119"/>
      <c r="M247" s="3120"/>
      <c r="O247" s="3118" t="s">
        <v>1256</v>
      </c>
      <c r="P247" s="3119"/>
      <c r="Q247" s="3119"/>
      <c r="R247" s="3120"/>
      <c r="T247" s="2786" t="s">
        <v>97</v>
      </c>
      <c r="U247" s="2745"/>
      <c r="V247" s="2745"/>
      <c r="W247" s="2787"/>
      <c r="Y247" s="2786" t="s">
        <v>1257</v>
      </c>
      <c r="Z247" s="2745"/>
      <c r="AA247" s="2745"/>
      <c r="AB247" s="2787"/>
      <c r="AD247" s="2786" t="s">
        <v>1258</v>
      </c>
      <c r="AE247" s="2745"/>
      <c r="AF247" s="2745"/>
      <c r="AG247" s="2787"/>
      <c r="AH247" s="3086"/>
      <c r="AI247" s="2737"/>
    </row>
    <row r="248" ht="20.25" customHeight="1">
      <c r="A248" s="2329"/>
      <c r="B248" s="3102"/>
      <c r="C248" s="3117"/>
      <c r="D248" s="3113"/>
      <c r="E248" s="3121" t="s">
        <v>537</v>
      </c>
      <c r="F248" s="3122"/>
      <c r="G248" s="3123"/>
      <c r="H248" s="3124" t="str">
        <f>IMAGE("https://raw.githubusercontent.com/msikma/pokesprite/master/items/berry/sitrus.png",3)</f>
        <v/>
      </c>
      <c r="J248" s="3121" t="s">
        <v>1259</v>
      </c>
      <c r="K248" s="3122"/>
      <c r="L248" s="3123"/>
      <c r="M248" s="3124" t="str">
        <f>IMAGE("https://raw.githubusercontent.com/msikma/pokesprite/master/items/hold-item/throat-spray.png",3)</f>
        <v/>
      </c>
      <c r="O248" s="3121" t="s">
        <v>1260</v>
      </c>
      <c r="P248" s="3122"/>
      <c r="Q248" s="3123"/>
      <c r="R248" s="3124" t="str">
        <f>IMAGE("https://raw.githubusercontent.com/msikma/pokesprite/master/items/mega-stone/mawilite.png",3)</f>
        <v/>
      </c>
      <c r="T248" s="2788" t="s">
        <v>1186</v>
      </c>
      <c r="U248" s="2789"/>
      <c r="V248" s="2790"/>
      <c r="W248" s="2791" t="str">
        <f>IMAGE("https://raw.githubusercontent.com/msikma/pokesprite/master/items/berry/colbur.png",3)</f>
        <v/>
      </c>
      <c r="Y248" s="2788" t="s">
        <v>1261</v>
      </c>
      <c r="Z248" s="2789"/>
      <c r="AA248" s="2790"/>
      <c r="AB248" s="2791" t="str">
        <f>IMAGE("https://raw.githubusercontent.com/msikma/pokesprite/master/items/z-crystals/ghostium-z--held.png",3)</f>
        <v/>
      </c>
      <c r="AD248" s="2788" t="s">
        <v>1262</v>
      </c>
      <c r="AE248" s="2789"/>
      <c r="AF248" s="2790"/>
      <c r="AG248" s="2791" t="str">
        <f>IMAGE("https://raw.githubusercontent.com/msikma/pokesprite/master/items/mega-stone/houndoominite.png",3)</f>
        <v/>
      </c>
      <c r="AH248" s="3108"/>
      <c r="AI248" s="2737"/>
    </row>
    <row r="249" ht="20.25" customHeight="1">
      <c r="A249" s="2329"/>
      <c r="B249" s="3102"/>
      <c r="C249" s="3125"/>
      <c r="D249" s="3113"/>
      <c r="E249" s="3114" t="s">
        <v>777</v>
      </c>
      <c r="F249" s="3115"/>
      <c r="G249" s="3126"/>
      <c r="H249" s="3127" t="str">
        <f>IMAGE("https://raw.githubusercontent.com/msikma/pokesprite/master/misc/types/gen8/normal.png",4,20,20)</f>
        <v/>
      </c>
      <c r="J249" s="3114" t="s">
        <v>743</v>
      </c>
      <c r="K249" s="3115"/>
      <c r="L249" s="3126"/>
      <c r="M249" s="3127" t="str">
        <f t="shared" ref="M249:M250" si="12">IMAGE("https://raw.githubusercontent.com/msikma/pokesprite/master/misc/types/gen8/water.png",4,20,20)</f>
        <v/>
      </c>
      <c r="O249" s="3114" t="s">
        <v>959</v>
      </c>
      <c r="P249" s="3115"/>
      <c r="Q249" s="3126"/>
      <c r="R249" s="3127" t="str">
        <f>IMAGE("https://raw.githubusercontent.com/msikma/pokesprite/master/misc/types/gen8/fairy.png",4,20,20)</f>
        <v/>
      </c>
      <c r="T249" s="2781" t="s">
        <v>669</v>
      </c>
      <c r="U249" s="2782"/>
      <c r="V249" s="2792"/>
      <c r="W249" s="2793" t="str">
        <f>IMAGE("https://raw.githubusercontent.com/msikma/pokesprite/master/misc/types/gen8/psychic.png",4,20,20)</f>
        <v/>
      </c>
      <c r="Y249" s="2781" t="s">
        <v>647</v>
      </c>
      <c r="Z249" s="2782"/>
      <c r="AA249" s="2792"/>
      <c r="AB249" s="2793" t="str">
        <f>IMAGE("https://raw.githubusercontent.com/msikma/pokesprite/master/misc/types/gen8/ghost.png",4,20,20)</f>
        <v/>
      </c>
      <c r="AD249" s="2781" t="s">
        <v>1146</v>
      </c>
      <c r="AE249" s="2782"/>
      <c r="AF249" s="2792"/>
      <c r="AG249" s="2793" t="str">
        <f t="shared" ref="AG249:AG250" si="13">IMAGE("https://raw.githubusercontent.com/msikma/pokesprite/master/misc/types/gen8/dark.png",4,20,20)</f>
        <v/>
      </c>
      <c r="AH249" s="3086"/>
      <c r="AI249" s="2737"/>
    </row>
    <row r="250" ht="20.25" customHeight="1">
      <c r="A250" s="2329"/>
      <c r="B250" s="3102"/>
      <c r="C250" s="3128"/>
      <c r="D250" s="3113"/>
      <c r="E250" s="3118" t="s">
        <v>579</v>
      </c>
      <c r="F250" s="3119"/>
      <c r="G250" s="3129"/>
      <c r="H250" s="3130" t="str">
        <f>IMAGE("https://raw.githubusercontent.com/msikma/pokesprite/master/misc/types/gen8/dark.png",4,20,20)</f>
        <v/>
      </c>
      <c r="J250" s="3118" t="s">
        <v>544</v>
      </c>
      <c r="K250" s="3119"/>
      <c r="L250" s="3129"/>
      <c r="M250" s="3130" t="str">
        <f t="shared" si="12"/>
        <v/>
      </c>
      <c r="O250" s="3118" t="s">
        <v>554</v>
      </c>
      <c r="P250" s="3119"/>
      <c r="Q250" s="3129"/>
      <c r="R250" s="3130" t="str">
        <f>IMAGE("https://raw.githubusercontent.com/msikma/pokesprite/master/misc/types/gen8/dark.png",4,20,20)</f>
        <v/>
      </c>
      <c r="T250" s="2786" t="s">
        <v>590</v>
      </c>
      <c r="U250" s="2745"/>
      <c r="V250" s="2746"/>
      <c r="W250" s="2795" t="str">
        <f>IMAGE("https://raw.githubusercontent.com/msikma/pokesprite/master/misc/types/gen8/fighting.png",4,20,20)</f>
        <v/>
      </c>
      <c r="Y250" s="2786" t="s">
        <v>1263</v>
      </c>
      <c r="Z250" s="2745"/>
      <c r="AA250" s="2746"/>
      <c r="AB250" s="2795" t="str">
        <f>IMAGE("https://raw.githubusercontent.com/msikma/pokesprite/master/misc/types/gen8/steel.png",4,20,20)</f>
        <v/>
      </c>
      <c r="AD250" s="2786" t="s">
        <v>1264</v>
      </c>
      <c r="AE250" s="2745"/>
      <c r="AF250" s="2746"/>
      <c r="AG250" s="2795" t="str">
        <f t="shared" si="13"/>
        <v/>
      </c>
      <c r="AH250" s="3086"/>
      <c r="AI250" s="2737"/>
    </row>
    <row r="251" ht="20.25" customHeight="1">
      <c r="A251" s="2329"/>
      <c r="B251" s="3071"/>
      <c r="C251" s="3131"/>
      <c r="D251" s="3132"/>
      <c r="E251" s="3118" t="s">
        <v>878</v>
      </c>
      <c r="F251" s="3119"/>
      <c r="G251" s="3129"/>
      <c r="H251" s="3130" t="str">
        <f t="shared" ref="H251:H252" si="14">IMAGE("https://raw.githubusercontent.com/msikma/pokesprite/master/misc/types/gen8/fire.png",4,20,20)</f>
        <v/>
      </c>
      <c r="J251" s="3118" t="s">
        <v>669</v>
      </c>
      <c r="K251" s="3119"/>
      <c r="L251" s="3129"/>
      <c r="M251" s="3130" t="str">
        <f>IMAGE("https://raw.githubusercontent.com/msikma/pokesprite/master/misc/types/gen8/psychic.png",4,20,20)</f>
        <v/>
      </c>
      <c r="O251" s="3118" t="s">
        <v>739</v>
      </c>
      <c r="P251" s="3119"/>
      <c r="Q251" s="3129"/>
      <c r="R251" s="3130" t="str">
        <f>IMAGE("https://raw.githubusercontent.com/msikma/pokesprite/master/misc/types/gen8/steel.png",4,20,20)</f>
        <v/>
      </c>
      <c r="T251" s="2786" t="s">
        <v>551</v>
      </c>
      <c r="U251" s="2745"/>
      <c r="V251" s="2746"/>
      <c r="W251" s="2795" t="str">
        <f t="shared" ref="W251:W252" si="15">IMAGE("https://raw.githubusercontent.com/msikma/pokesprite/master/misc/types/gen8/flying.png",4,20,20)</f>
        <v/>
      </c>
      <c r="Y251" s="2786" t="s">
        <v>590</v>
      </c>
      <c r="Z251" s="2745"/>
      <c r="AA251" s="2746"/>
      <c r="AB251" s="2795" t="str">
        <f>IMAGE("https://raw.githubusercontent.com/msikma/pokesprite/master/misc/types/gen8/fighting.png",4,20,20)</f>
        <v/>
      </c>
      <c r="AD251" s="2786" t="s">
        <v>1243</v>
      </c>
      <c r="AE251" s="2745"/>
      <c r="AF251" s="2746"/>
      <c r="AG251" s="2795" t="str">
        <f>IMAGE("https://raw.githubusercontent.com/msikma/pokesprite/master/misc/types/gen8/fire.png",4,20,20)</f>
        <v/>
      </c>
      <c r="AH251" s="3086"/>
      <c r="AI251" s="2737"/>
    </row>
    <row r="252" ht="21.0" customHeight="1">
      <c r="A252" s="2329"/>
      <c r="B252" s="3071"/>
      <c r="C252" s="3072"/>
      <c r="D252" s="3132"/>
      <c r="E252" s="3133" t="s">
        <v>694</v>
      </c>
      <c r="F252" s="3134"/>
      <c r="G252" s="3135"/>
      <c r="H252" s="3136" t="str">
        <f t="shared" si="14"/>
        <v/>
      </c>
      <c r="I252" s="3137"/>
      <c r="J252" s="3133" t="s">
        <v>775</v>
      </c>
      <c r="K252" s="3134"/>
      <c r="L252" s="3135"/>
      <c r="M252" s="3136" t="str">
        <f>IMAGE("https://raw.githubusercontent.com/msikma/pokesprite/master/misc/types/gen8/grass.png",4,20,20)</f>
        <v/>
      </c>
      <c r="N252" s="3137"/>
      <c r="O252" s="3133" t="s">
        <v>504</v>
      </c>
      <c r="P252" s="3134"/>
      <c r="Q252" s="3135"/>
      <c r="R252" s="3136" t="str">
        <f>IMAGE("https://raw.githubusercontent.com/msikma/pokesprite/master/misc/types/gen8/electric.png",4,20,20)</f>
        <v/>
      </c>
      <c r="S252" s="3137"/>
      <c r="T252" s="2796" t="s">
        <v>805</v>
      </c>
      <c r="U252" s="2797"/>
      <c r="V252" s="2798"/>
      <c r="W252" s="2799" t="str">
        <f t="shared" si="15"/>
        <v/>
      </c>
      <c r="X252" s="3137"/>
      <c r="Y252" s="2796" t="s">
        <v>501</v>
      </c>
      <c r="Z252" s="2797"/>
      <c r="AA252" s="2798"/>
      <c r="AB252" s="2799" t="str">
        <f>IMAGE("https://raw.githubusercontent.com/msikma/pokesprite/master/misc/types/gen8/normal.png",4,20,20)</f>
        <v/>
      </c>
      <c r="AC252" s="3137"/>
      <c r="AD252" s="2796" t="s">
        <v>1265</v>
      </c>
      <c r="AE252" s="2797"/>
      <c r="AF252" s="2798"/>
      <c r="AG252" s="2799" t="str">
        <f>IMAGE("https://raw.githubusercontent.com/msikma/pokesprite/master/misc/types/gen8/ground.png",4,20,20)</f>
        <v/>
      </c>
      <c r="AH252" s="3086"/>
      <c r="AI252" s="2737"/>
    </row>
    <row r="253" ht="3.0" customHeight="1">
      <c r="A253" s="2802"/>
      <c r="B253" s="3138"/>
      <c r="C253" s="3131"/>
      <c r="D253" s="3139"/>
      <c r="E253" s="3140"/>
      <c r="F253" s="3140"/>
      <c r="G253" s="3140"/>
      <c r="H253" s="3140"/>
      <c r="I253" s="3139"/>
      <c r="J253" s="3140"/>
      <c r="K253" s="3140"/>
      <c r="L253" s="3140"/>
      <c r="M253" s="3140"/>
      <c r="N253" s="3139"/>
      <c r="O253" s="3140"/>
      <c r="P253" s="3140"/>
      <c r="Q253" s="3140"/>
      <c r="R253" s="3140"/>
      <c r="S253" s="3139"/>
      <c r="T253" s="3140"/>
      <c r="U253" s="3140"/>
      <c r="V253" s="3140"/>
      <c r="W253" s="3141"/>
      <c r="X253" s="3139"/>
      <c r="Y253" s="3142"/>
      <c r="Z253" s="3143"/>
      <c r="AA253" s="3143"/>
      <c r="AB253" s="3144"/>
      <c r="AC253" s="3145"/>
      <c r="AD253" s="3146"/>
      <c r="AE253" s="3146"/>
      <c r="AF253" s="3146"/>
      <c r="AG253" s="3144"/>
      <c r="AH253" s="3147"/>
      <c r="AI253" s="2810"/>
    </row>
    <row r="254" ht="16.5" customHeight="1">
      <c r="A254" s="2811"/>
      <c r="B254" s="3148"/>
      <c r="C254" s="3131"/>
      <c r="D254" s="3149"/>
      <c r="E254" s="3150" t="s">
        <v>512</v>
      </c>
      <c r="F254" s="606"/>
      <c r="G254" s="606"/>
      <c r="H254" s="607"/>
      <c r="I254" s="3151"/>
      <c r="J254" s="3150" t="s">
        <v>512</v>
      </c>
      <c r="K254" s="606"/>
      <c r="L254" s="606"/>
      <c r="M254" s="607"/>
      <c r="N254" s="3151"/>
      <c r="O254" s="3150" t="s">
        <v>512</v>
      </c>
      <c r="P254" s="606"/>
      <c r="Q254" s="606"/>
      <c r="R254" s="607"/>
      <c r="S254" s="3151"/>
      <c r="T254" s="2814" t="s">
        <v>512</v>
      </c>
      <c r="U254" s="606"/>
      <c r="V254" s="606"/>
      <c r="W254" s="607"/>
      <c r="X254" s="3152"/>
      <c r="Y254" s="2814" t="s">
        <v>512</v>
      </c>
      <c r="Z254" s="606"/>
      <c r="AA254" s="606"/>
      <c r="AB254" s="607"/>
      <c r="AC254" s="3153"/>
      <c r="AD254" s="2814" t="s">
        <v>512</v>
      </c>
      <c r="AE254" s="606"/>
      <c r="AF254" s="606"/>
      <c r="AG254" s="607"/>
      <c r="AH254" s="3154"/>
      <c r="AI254" s="2407"/>
    </row>
    <row r="255" ht="16.5" customHeight="1">
      <c r="A255" s="2811"/>
      <c r="B255" s="3148"/>
      <c r="C255" s="3131"/>
      <c r="D255" s="3149"/>
      <c r="E255" s="3155" t="s">
        <v>513</v>
      </c>
      <c r="F255" s="3156">
        <f t="array" ref="F255">IFERROR(VLOOKUP(E242,Dex!$B$3:$N454,8,FALSE),"")</f>
        <v>95</v>
      </c>
      <c r="G255" s="3157" t="str">
        <f t="array" ref="G255">IFERROR(VLOOKUP(F255,Dex!$P$22:$Q$276,2,FALSE),"")</f>
        <v/>
      </c>
      <c r="H255" s="3158"/>
      <c r="I255" s="3151"/>
      <c r="J255" s="3155" t="s">
        <v>513</v>
      </c>
      <c r="K255" s="3156">
        <f t="array" ref="K255">IFERROR(VLOOKUP(J242,Dex!$B$3:$N454,8,FALSE),"")</f>
        <v>80</v>
      </c>
      <c r="L255" s="3157" t="str">
        <f t="array" ref="L255">IFERROR(VLOOKUP(K255,Dex!$P$22:$Q$276,2,FALSE),"")</f>
        <v/>
      </c>
      <c r="M255" s="3158"/>
      <c r="N255" s="3151"/>
      <c r="O255" s="3155" t="s">
        <v>513</v>
      </c>
      <c r="P255" s="3156">
        <f t="array" ref="P255">IFERROR(VLOOKUP(O242,Dex!$B$3:$N454,8,FALSE),"")</f>
        <v>50</v>
      </c>
      <c r="Q255" s="3157" t="str">
        <f t="array" ref="Q255">IFERROR(VLOOKUP(P255,Dex!$P$22:$Q$276,2,FALSE),"")</f>
        <v/>
      </c>
      <c r="R255" s="3158"/>
      <c r="S255" s="3151"/>
      <c r="T255" s="2822" t="s">
        <v>513</v>
      </c>
      <c r="U255" s="2823">
        <f t="array" ref="U255">IFERROR(VLOOKUP(T242,Dex!$B$3:$N454,8,FALSE),"")</f>
        <v>90</v>
      </c>
      <c r="V255" s="2824" t="str">
        <f t="array" ref="V255">IFERROR(VLOOKUP(U255,Dex!$P$22:$Q$276,2,FALSE),"")</f>
        <v/>
      </c>
      <c r="W255" s="2825"/>
      <c r="X255" s="3159"/>
      <c r="Y255" s="2822" t="s">
        <v>513</v>
      </c>
      <c r="Z255" s="2823">
        <f t="array" ref="Z255">IFERROR(VLOOKUP(Y242,Dex!$B$3:$N454,8,FALSE),"")</f>
        <v>87</v>
      </c>
      <c r="AA255" s="2824" t="str">
        <f t="array" ref="AA255">IFERROR(VLOOKUP(Z255,Dex!$P$22:$Q$276,2,FALSE),"")</f>
        <v/>
      </c>
      <c r="AB255" s="2825"/>
      <c r="AC255" s="3160"/>
      <c r="AD255" s="2822" t="s">
        <v>513</v>
      </c>
      <c r="AE255" s="2823">
        <f t="array" ref="AE255">IFERROR(VLOOKUP(AD242,Dex!$B$3:$N454,8,FALSE),"")</f>
        <v>75</v>
      </c>
      <c r="AF255" s="2824" t="str">
        <f t="array" ref="AF255">IFERROR(VLOOKUP(AE255,Dex!$P$22:$Q$276,2,FALSE),"")</f>
        <v/>
      </c>
      <c r="AG255" s="2825"/>
      <c r="AH255" s="3154"/>
      <c r="AI255" s="2407"/>
    </row>
    <row r="256" ht="16.5" customHeight="1">
      <c r="A256" s="2811"/>
      <c r="B256" s="3148"/>
      <c r="C256" s="3131"/>
      <c r="D256" s="3149"/>
      <c r="E256" s="3161" t="s">
        <v>514</v>
      </c>
      <c r="F256" s="3162">
        <f t="array" ref="F256">IFERROR(VLOOKUP(E242,Dex!$B$3:$N454,9,FALSE),"")</f>
        <v>115</v>
      </c>
      <c r="G256" s="3163" t="str">
        <f t="array" ref="G256">IFERROR(VLOOKUP(F256,Dex!$P$22:$Q$276,2,FALSE),"")</f>
        <v/>
      </c>
      <c r="H256" s="3164"/>
      <c r="I256" s="3151"/>
      <c r="J256" s="3161" t="s">
        <v>514</v>
      </c>
      <c r="K256" s="3162">
        <f t="array" ref="K256">IFERROR(VLOOKUP(J242,Dex!$B$3:$N454,9,FALSE),"")</f>
        <v>74</v>
      </c>
      <c r="L256" s="3163" t="str">
        <f t="array" ref="L256">IFERROR(VLOOKUP(K256,Dex!$P$22:$Q$276,2,FALSE),"")</f>
        <v/>
      </c>
      <c r="M256" s="3164"/>
      <c r="N256" s="3151"/>
      <c r="O256" s="3161" t="s">
        <v>514</v>
      </c>
      <c r="P256" s="3162">
        <f t="array" ref="P256">IFERROR(VLOOKUP(O242,Dex!$B$3:$N454,9,FALSE),"")</f>
        <v>105</v>
      </c>
      <c r="Q256" s="3163" t="str">
        <f t="array" ref="Q256">IFERROR(VLOOKUP(P256,Dex!$P$22:$Q$276,2,FALSE),"")</f>
        <v/>
      </c>
      <c r="R256" s="3164"/>
      <c r="S256" s="3151"/>
      <c r="T256" s="2827" t="s">
        <v>514</v>
      </c>
      <c r="U256" s="2828">
        <f t="array" ref="U256">IFERROR(VLOOKUP(T242,Dex!$B$3:$N454,9,FALSE),"")</f>
        <v>70</v>
      </c>
      <c r="V256" s="2829" t="str">
        <f t="array" ref="V256">IFERROR(VLOOKUP(U256,Dex!$P$22:$Q$276,2,FALSE),"")</f>
        <v/>
      </c>
      <c r="W256" s="2830"/>
      <c r="X256" s="3159"/>
      <c r="Y256" s="2827" t="s">
        <v>514</v>
      </c>
      <c r="Z256" s="2828">
        <f t="array" ref="Z256">IFERROR(VLOOKUP(Y242,Dex!$B$3:$N454,9,FALSE),"")</f>
        <v>60</v>
      </c>
      <c r="AA256" s="2829" t="str">
        <f t="array" ref="AA256">IFERROR(VLOOKUP(Z256,Dex!$P$22:$Q$276,2,FALSE),"")</f>
        <v/>
      </c>
      <c r="AB256" s="2830"/>
      <c r="AC256" s="3160"/>
      <c r="AD256" s="2827" t="s">
        <v>514</v>
      </c>
      <c r="AE256" s="2828">
        <f t="array" ref="AE256">IFERROR(VLOOKUP(AD242,Dex!$B$3:$N454,9,FALSE),"")</f>
        <v>110</v>
      </c>
      <c r="AF256" s="2829" t="str">
        <f t="array" ref="AF256">IFERROR(VLOOKUP(AE256,Dex!$P$22:$Q$276,2,FALSE),"")</f>
        <v/>
      </c>
      <c r="AG256" s="2830"/>
      <c r="AH256" s="3154"/>
      <c r="AI256" s="2407"/>
    </row>
    <row r="257" ht="16.5" customHeight="1">
      <c r="A257" s="2811"/>
      <c r="B257" s="3148"/>
      <c r="C257" s="3131"/>
      <c r="D257" s="3149"/>
      <c r="E257" s="3161" t="s">
        <v>515</v>
      </c>
      <c r="F257" s="3162">
        <f t="array" ref="F257">IFERROR(VLOOKUP(E242,Dex!$B$3:$N454,10,FALSE),"")</f>
        <v>90</v>
      </c>
      <c r="G257" s="3163" t="str">
        <f t="array" ref="G257">IFERROR(VLOOKUP(F257,Dex!$P$22:$Q$276,2,FALSE),"")</f>
        <v/>
      </c>
      <c r="H257" s="3164"/>
      <c r="I257" s="3151"/>
      <c r="J257" s="3161" t="s">
        <v>515</v>
      </c>
      <c r="K257" s="3162">
        <f t="array" ref="K257">IFERROR(VLOOKUP(J242,Dex!$B$3:$N454,10,FALSE),"")</f>
        <v>74</v>
      </c>
      <c r="L257" s="3163" t="str">
        <f t="array" ref="L257">IFERROR(VLOOKUP(K257,Dex!$P$22:$Q$276,2,FALSE),"")</f>
        <v/>
      </c>
      <c r="M257" s="3164"/>
      <c r="N257" s="3151"/>
      <c r="O257" s="3161" t="s">
        <v>515</v>
      </c>
      <c r="P257" s="3162">
        <f t="array" ref="P257">IFERROR(VLOOKUP(O242,Dex!$B$3:$N454,10,FALSE),"")</f>
        <v>125</v>
      </c>
      <c r="Q257" s="3163" t="str">
        <f t="array" ref="Q257">IFERROR(VLOOKUP(P257,Dex!$P$22:$Q$276,2,FALSE),"")</f>
        <v/>
      </c>
      <c r="R257" s="3164"/>
      <c r="S257" s="3151"/>
      <c r="T257" s="2827" t="s">
        <v>515</v>
      </c>
      <c r="U257" s="2828">
        <f t="array" ref="U257">IFERROR(VLOOKUP(T242,Dex!$B$3:$N454,10,FALSE),"")</f>
        <v>95</v>
      </c>
      <c r="V257" s="2829" t="str">
        <f t="array" ref="V257">IFERROR(VLOOKUP(U257,Dex!$P$22:$Q$276,2,FALSE),"")</f>
        <v/>
      </c>
      <c r="W257" s="2830"/>
      <c r="X257" s="3159"/>
      <c r="Y257" s="2827" t="s">
        <v>515</v>
      </c>
      <c r="Z257" s="2828">
        <f t="array" ref="Z257">IFERROR(VLOOKUP(Y242,Dex!$B$3:$N454,10,FALSE),"")</f>
        <v>95</v>
      </c>
      <c r="AA257" s="2829" t="str">
        <f t="array" ref="AA257">IFERROR(VLOOKUP(Z257,Dex!$P$22:$Q$276,2,FALSE),"")</f>
        <v/>
      </c>
      <c r="AB257" s="2830"/>
      <c r="AC257" s="3160"/>
      <c r="AD257" s="2827" t="s">
        <v>515</v>
      </c>
      <c r="AE257" s="2828">
        <f t="array" ref="AE257">IFERROR(VLOOKUP(AD242,Dex!$B$3:$N454,10,FALSE),"")</f>
        <v>90</v>
      </c>
      <c r="AF257" s="2829" t="str">
        <f t="array" ref="AF257">IFERROR(VLOOKUP(AE257,Dex!$P$22:$Q$276,2,FALSE),"")</f>
        <v/>
      </c>
      <c r="AG257" s="2830"/>
      <c r="AH257" s="3154"/>
      <c r="AI257" s="2407"/>
    </row>
    <row r="258" ht="16.5" customHeight="1">
      <c r="A258" s="2811"/>
      <c r="B258" s="3148"/>
      <c r="C258" s="3131"/>
      <c r="D258" s="3149"/>
      <c r="E258" s="3161" t="s">
        <v>516</v>
      </c>
      <c r="F258" s="3162">
        <f t="array" ref="F258">IFERROR(VLOOKUP(E242,Dex!$B$3:$N454,11,FALSE),"")</f>
        <v>80</v>
      </c>
      <c r="G258" s="3163" t="str">
        <f t="array" ref="G258">IFERROR(VLOOKUP(F258,Dex!$P$22:$Q$276,2,FALSE),"")</f>
        <v/>
      </c>
      <c r="H258" s="3164"/>
      <c r="I258" s="3151"/>
      <c r="J258" s="3161" t="s">
        <v>516</v>
      </c>
      <c r="K258" s="3162">
        <f t="array" ref="K258">IFERROR(VLOOKUP(J242,Dex!$B$3:$N454,11,FALSE),"")</f>
        <v>126</v>
      </c>
      <c r="L258" s="3163" t="str">
        <f t="array" ref="L258">IFERROR(VLOOKUP(K258,Dex!$P$22:$Q$276,2,FALSE),"")</f>
        <v/>
      </c>
      <c r="M258" s="3164"/>
      <c r="N258" s="3151"/>
      <c r="O258" s="3161" t="s">
        <v>516</v>
      </c>
      <c r="P258" s="3162">
        <f t="array" ref="P258">IFERROR(VLOOKUP(O242,Dex!$B$3:$N454,11,FALSE),"")</f>
        <v>55</v>
      </c>
      <c r="Q258" s="3163" t="str">
        <f t="array" ref="Q258">IFERROR(VLOOKUP(P258,Dex!$P$22:$Q$276,2,FALSE),"")</f>
        <v/>
      </c>
      <c r="R258" s="3164"/>
      <c r="S258" s="3151"/>
      <c r="T258" s="2827" t="s">
        <v>516</v>
      </c>
      <c r="U258" s="2828">
        <f t="array" ref="U258">IFERROR(VLOOKUP(T242,Dex!$B$3:$N454,11,FALSE),"")</f>
        <v>125</v>
      </c>
      <c r="V258" s="2829" t="str">
        <f t="array" ref="V258">IFERROR(VLOOKUP(U258,Dex!$P$22:$Q$276,2,FALSE),"")</f>
        <v/>
      </c>
      <c r="W258" s="2830"/>
      <c r="X258" s="3159"/>
      <c r="Y258" s="2827" t="s">
        <v>516</v>
      </c>
      <c r="Z258" s="2828">
        <f t="array" ref="Z258">IFERROR(VLOOKUP(Y242,Dex!$B$3:$N454,11,FALSE),"")</f>
        <v>133</v>
      </c>
      <c r="AA258" s="2829" t="str">
        <f t="array" ref="AA258">IFERROR(VLOOKUP(Z258,Dex!$P$22:$Q$276,2,FALSE),"")</f>
        <v/>
      </c>
      <c r="AB258" s="2830"/>
      <c r="AC258" s="3160"/>
      <c r="AD258" s="2827" t="s">
        <v>516</v>
      </c>
      <c r="AE258" s="2828">
        <f t="array" ref="AE258">IFERROR(VLOOKUP(AD242,Dex!$B$3:$N454,11,FALSE),"")</f>
        <v>140</v>
      </c>
      <c r="AF258" s="2829" t="str">
        <f t="array" ref="AF258">IFERROR(VLOOKUP(AE258,Dex!$P$22:$Q$276,2,FALSE),"")</f>
        <v/>
      </c>
      <c r="AG258" s="2830"/>
      <c r="AH258" s="3154"/>
      <c r="AI258" s="2407"/>
    </row>
    <row r="259" ht="16.5" customHeight="1">
      <c r="A259" s="2811"/>
      <c r="B259" s="3148"/>
      <c r="C259" s="3131"/>
      <c r="D259" s="3149"/>
      <c r="E259" s="3161" t="s">
        <v>517</v>
      </c>
      <c r="F259" s="3162">
        <f t="array" ref="F259">IFERROR(VLOOKUP(E242,Dex!$B$3:$N454,12,FALSE),"")</f>
        <v>90</v>
      </c>
      <c r="G259" s="3163" t="str">
        <f t="array" ref="G259">IFERROR(VLOOKUP(F259,Dex!$P$22:$Q$276,2,FALSE),"")</f>
        <v/>
      </c>
      <c r="H259" s="3164"/>
      <c r="I259" s="3151"/>
      <c r="J259" s="3161" t="s">
        <v>517</v>
      </c>
      <c r="K259" s="3162">
        <f t="array" ref="K259">IFERROR(VLOOKUP(J242,Dex!$B$3:$N454,12,FALSE),"")</f>
        <v>116</v>
      </c>
      <c r="L259" s="3163" t="str">
        <f t="array" ref="L259">IFERROR(VLOOKUP(K259,Dex!$P$22:$Q$276,2,FALSE),"")</f>
        <v/>
      </c>
      <c r="M259" s="3164"/>
      <c r="N259" s="3151"/>
      <c r="O259" s="3161" t="s">
        <v>517</v>
      </c>
      <c r="P259" s="3162">
        <f t="array" ref="P259">IFERROR(VLOOKUP(O242,Dex!$B$3:$N454,12,FALSE),"")</f>
        <v>95</v>
      </c>
      <c r="Q259" s="3163" t="str">
        <f t="array" ref="Q259">IFERROR(VLOOKUP(P259,Dex!$P$22:$Q$276,2,FALSE),"")</f>
        <v/>
      </c>
      <c r="R259" s="3164"/>
      <c r="S259" s="3151"/>
      <c r="T259" s="2827" t="s">
        <v>517</v>
      </c>
      <c r="U259" s="2828">
        <f t="array" ref="U259">IFERROR(VLOOKUP(T242,Dex!$B$3:$N454,12,FALSE),"")</f>
        <v>100</v>
      </c>
      <c r="V259" s="2829" t="str">
        <f t="array" ref="V259">IFERROR(VLOOKUP(U259,Dex!$P$22:$Q$276,2,FALSE),"")</f>
        <v/>
      </c>
      <c r="W259" s="2830"/>
      <c r="X259" s="3159"/>
      <c r="Y259" s="2827" t="s">
        <v>517</v>
      </c>
      <c r="Z259" s="2828">
        <f t="array" ref="Z259">IFERROR(VLOOKUP(Y242,Dex!$B$3:$N454,12,FALSE),"")</f>
        <v>91</v>
      </c>
      <c r="AA259" s="2829" t="str">
        <f t="array" ref="AA259">IFERROR(VLOOKUP(Z259,Dex!$P$22:$Q$276,2,FALSE),"")</f>
        <v/>
      </c>
      <c r="AB259" s="2830"/>
      <c r="AC259" s="3160"/>
      <c r="AD259" s="2827" t="s">
        <v>517</v>
      </c>
      <c r="AE259" s="2828">
        <f t="array" ref="AE259">IFERROR(VLOOKUP(AD242,Dex!$B$3:$N454,12,FALSE),"")</f>
        <v>90</v>
      </c>
      <c r="AF259" s="2829" t="str">
        <f t="array" ref="AF259">IFERROR(VLOOKUP(AE259,Dex!$P$22:$Q$276,2,FALSE),"")</f>
        <v/>
      </c>
      <c r="AG259" s="2830"/>
      <c r="AH259" s="3154"/>
      <c r="AI259" s="2407"/>
    </row>
    <row r="260" ht="15.75" customHeight="1">
      <c r="A260" s="2811"/>
      <c r="B260" s="3148"/>
      <c r="C260" s="3131"/>
      <c r="D260" s="3149"/>
      <c r="E260" s="3165" t="s">
        <v>518</v>
      </c>
      <c r="F260" s="3166">
        <f t="array" ref="F260">IFERROR(VLOOKUP(E242,Dex!$B$3:$N454,13,FALSE),"")</f>
        <v>60</v>
      </c>
      <c r="G260" s="3167" t="str">
        <f t="array" ref="G260">IFERROR(VLOOKUP(F260,Dex!$P$22:$Q$276,2,FALSE),"")</f>
        <v/>
      </c>
      <c r="H260" s="3168"/>
      <c r="I260" s="3151"/>
      <c r="J260" s="3165" t="s">
        <v>518</v>
      </c>
      <c r="K260" s="3166">
        <f t="array" ref="K260">IFERROR(VLOOKUP(J242,Dex!$B$3:$N454,13,FALSE),"")</f>
        <v>60</v>
      </c>
      <c r="L260" s="3167" t="str">
        <f t="array" ref="L260">IFERROR(VLOOKUP(K260,Dex!$P$22:$Q$276,2,FALSE),"")</f>
        <v/>
      </c>
      <c r="M260" s="3168"/>
      <c r="N260" s="3151"/>
      <c r="O260" s="3165" t="s">
        <v>518</v>
      </c>
      <c r="P260" s="3166">
        <f t="array" ref="P260">IFERROR(VLOOKUP(O242,Dex!$B$3:$N454,13,FALSE),"")</f>
        <v>50</v>
      </c>
      <c r="Q260" s="3167" t="str">
        <f t="array" ref="Q260">IFERROR(VLOOKUP(P260,Dex!$P$22:$Q$276,2,FALSE),"")</f>
        <v/>
      </c>
      <c r="R260" s="3168"/>
      <c r="S260" s="3151"/>
      <c r="T260" s="2831" t="s">
        <v>518</v>
      </c>
      <c r="U260" s="2832">
        <f t="array" ref="U260">IFERROR(VLOOKUP(T242,Dex!$B$3:$N454,13,FALSE),"")</f>
        <v>100</v>
      </c>
      <c r="V260" s="2833" t="str">
        <f t="array" ref="V260">IFERROR(VLOOKUP(U260,Dex!$P$22:$Q$276,2,FALSE),"")</f>
        <v/>
      </c>
      <c r="W260" s="2834"/>
      <c r="X260" s="3159"/>
      <c r="Y260" s="2831" t="s">
        <v>518</v>
      </c>
      <c r="Z260" s="2832">
        <f t="array" ref="Z260">IFERROR(VLOOKUP(Y242,Dex!$B$3:$N454,13,FALSE),"")</f>
        <v>84</v>
      </c>
      <c r="AA260" s="2833" t="str">
        <f t="array" ref="AA260">IFERROR(VLOOKUP(Z260,Dex!$P$22:$Q$276,2,FALSE),"")</f>
        <v/>
      </c>
      <c r="AB260" s="2834"/>
      <c r="AC260" s="3160"/>
      <c r="AD260" s="2831" t="s">
        <v>518</v>
      </c>
      <c r="AE260" s="2832">
        <f t="array" ref="AE260">IFERROR(VLOOKUP(AD242,Dex!$B$3:$N454,13,FALSE),"")</f>
        <v>115</v>
      </c>
      <c r="AF260" s="2833" t="str">
        <f t="array" ref="AF260">IFERROR(VLOOKUP(AE260,Dex!$P$22:$Q$276,2,FALSE),"")</f>
        <v/>
      </c>
      <c r="AG260" s="2834"/>
      <c r="AH260" s="3154"/>
      <c r="AI260" s="2407"/>
    </row>
    <row r="261" ht="16.5" customHeight="1">
      <c r="A261" s="2811"/>
      <c r="B261" s="3148"/>
      <c r="C261" s="3131"/>
      <c r="D261" s="3149"/>
      <c r="E261" s="3169" t="s">
        <v>519</v>
      </c>
      <c r="F261" s="630"/>
      <c r="G261" s="631"/>
      <c r="H261" s="632">
        <f>ROUNDDOWN((ROUNDDOWN(((((2*F260+31)*55)/100+5)),0))*1,0)</f>
        <v>88</v>
      </c>
      <c r="I261" s="3151"/>
      <c r="J261" s="3169" t="s">
        <v>519</v>
      </c>
      <c r="K261" s="630"/>
      <c r="L261" s="631"/>
      <c r="M261" s="632">
        <f>ROUNDDOWN((ROUNDDOWN(((((2*K260+31)*55)/100+5)),0))*1,0)</f>
        <v>88</v>
      </c>
      <c r="N261" s="3151"/>
      <c r="O261" s="3169" t="s">
        <v>519</v>
      </c>
      <c r="P261" s="630"/>
      <c r="Q261" s="631"/>
      <c r="R261" s="632">
        <f>ROUNDDOWN((ROUNDDOWN(((((2*P260+31)*56)/100+5)),0))*1,0)</f>
        <v>78</v>
      </c>
      <c r="S261" s="3151"/>
      <c r="T261" s="2835" t="s">
        <v>519</v>
      </c>
      <c r="U261" s="630"/>
      <c r="V261" s="631"/>
      <c r="W261" s="632">
        <f>ROUNDDOWN((ROUNDDOWN(((((2*U260+31)*55)/100+5)),0))*1.1,0)</f>
        <v>145</v>
      </c>
      <c r="X261" s="3152"/>
      <c r="Y261" s="2835" t="s">
        <v>519</v>
      </c>
      <c r="Z261" s="630"/>
      <c r="AA261" s="631"/>
      <c r="AB261" s="632">
        <f>ROUNDDOWN((ROUNDDOWN(((((2*Z260+31)*55)/100+5)),0))*1.1,0)</f>
        <v>125</v>
      </c>
      <c r="AC261" s="3153"/>
      <c r="AD261" s="2835" t="s">
        <v>519</v>
      </c>
      <c r="AE261" s="630"/>
      <c r="AF261" s="631"/>
      <c r="AG261" s="632">
        <f>ROUNDDOWN((ROUNDDOWN(((((2*AE260+31)*56)/100+5)),0))*1.1,0)</f>
        <v>166</v>
      </c>
      <c r="AH261" s="3154"/>
      <c r="AI261" s="2407"/>
    </row>
    <row r="262" ht="3.75" customHeight="1">
      <c r="A262" s="2329"/>
      <c r="B262" s="3071"/>
      <c r="C262" s="3170"/>
      <c r="D262" s="3073"/>
      <c r="E262" s="3171"/>
      <c r="F262" s="3171"/>
      <c r="G262" s="3171"/>
      <c r="H262" s="3171"/>
      <c r="I262" s="3073"/>
      <c r="J262" s="3171"/>
      <c r="K262" s="3171"/>
      <c r="L262" s="3171"/>
      <c r="M262" s="3171"/>
      <c r="N262" s="3073"/>
      <c r="O262" s="3171"/>
      <c r="P262" s="3171"/>
      <c r="Q262" s="3171"/>
      <c r="R262" s="3171"/>
      <c r="S262" s="3073"/>
      <c r="T262" s="3172"/>
      <c r="U262" s="3172"/>
      <c r="V262" s="3172"/>
      <c r="W262" s="3172"/>
      <c r="X262" s="3073"/>
      <c r="Y262" s="3172"/>
      <c r="Z262" s="3172"/>
      <c r="AA262" s="3172"/>
      <c r="AB262" s="3172"/>
      <c r="AC262" s="3073"/>
      <c r="AD262" s="3172"/>
      <c r="AE262" s="3172"/>
      <c r="AF262" s="3172"/>
      <c r="AG262" s="3172"/>
      <c r="AH262" s="3079"/>
      <c r="AI262" s="2737"/>
    </row>
    <row r="263" ht="96.75" customHeight="1">
      <c r="A263" s="2329"/>
      <c r="B263" s="3102"/>
      <c r="C263" s="2452" t="str">
        <f>IMAGE("https://i.ibb.co/rpm30sn/Brendan.png")</f>
        <v/>
      </c>
      <c r="D263" s="3173"/>
      <c r="E263" s="2454" t="str">
        <f t="array" ref="E263">IFERROR(VLOOKUP(E264,Dex!$B$3:$G454,3,FALSE),"")</f>
        <v/>
      </c>
      <c r="F263" s="1945"/>
      <c r="G263" s="1945"/>
      <c r="H263" s="1946"/>
      <c r="I263" s="3174"/>
      <c r="J263" s="2454" t="str">
        <f t="array" ref="J263">IFERROR(VLOOKUP(J264,Dex!$B$3:$G454,3,FALSE),"")</f>
        <v/>
      </c>
      <c r="K263" s="1945"/>
      <c r="L263" s="1945"/>
      <c r="M263" s="1946"/>
      <c r="N263" s="3174"/>
      <c r="O263" s="2454" t="str">
        <f t="array" ref="O263">IFERROR(VLOOKUP(O264,Dex!$B$3:$G454,3,FALSE),"")</f>
        <v/>
      </c>
      <c r="P263" s="1945"/>
      <c r="Q263" s="1945"/>
      <c r="R263" s="1946"/>
      <c r="S263" s="3175"/>
      <c r="T263" s="3132"/>
      <c r="U263" s="3176"/>
      <c r="V263" s="3176"/>
      <c r="W263" s="3177"/>
      <c r="X263" s="3178"/>
      <c r="Y263" s="3132"/>
      <c r="Z263" s="3176"/>
      <c r="AA263" s="3176"/>
      <c r="AB263" s="3177"/>
      <c r="AC263" s="3178"/>
      <c r="AD263" s="3132"/>
      <c r="AE263" s="3176"/>
      <c r="AF263" s="3176"/>
      <c r="AG263" s="3177"/>
      <c r="AH263" s="3079"/>
      <c r="AI263" s="2737"/>
    </row>
    <row r="264" ht="18.75" customHeight="1">
      <c r="A264" s="2354"/>
      <c r="B264" s="3087"/>
      <c r="C264" s="2464" t="s">
        <v>1266</v>
      </c>
      <c r="D264" s="3089"/>
      <c r="E264" s="2466" t="s">
        <v>269</v>
      </c>
      <c r="F264" s="2467"/>
      <c r="G264" s="2467"/>
      <c r="H264" s="2468"/>
      <c r="I264" s="3089"/>
      <c r="J264" s="2466" t="s">
        <v>1267</v>
      </c>
      <c r="K264" s="2467"/>
      <c r="L264" s="2467"/>
      <c r="M264" s="2468"/>
      <c r="N264" s="3089"/>
      <c r="O264" s="2466" t="s">
        <v>599</v>
      </c>
      <c r="P264" s="2467"/>
      <c r="Q264" s="2467"/>
      <c r="R264" s="2468"/>
      <c r="S264" s="3179"/>
      <c r="T264" s="3180"/>
      <c r="U264" s="3176"/>
      <c r="V264" s="3176"/>
      <c r="W264" s="3177"/>
      <c r="X264" s="3181"/>
      <c r="Y264" s="3180"/>
      <c r="Z264" s="3176"/>
      <c r="AA264" s="3176"/>
      <c r="AB264" s="3177"/>
      <c r="AC264" s="3181"/>
      <c r="AD264" s="3180"/>
      <c r="AE264" s="3176"/>
      <c r="AF264" s="3176"/>
      <c r="AG264" s="3177"/>
      <c r="AH264" s="3182"/>
      <c r="AI264" s="2757"/>
    </row>
    <row r="265">
      <c r="A265" s="3183"/>
      <c r="B265" s="3184"/>
      <c r="C265" s="556"/>
      <c r="D265" s="3185"/>
      <c r="E265" s="3186">
        <v>55.0</v>
      </c>
      <c r="F265" s="2477"/>
      <c r="G265" s="2477"/>
      <c r="H265" s="2478"/>
      <c r="I265" s="3187"/>
      <c r="J265" s="3186">
        <v>55.0</v>
      </c>
      <c r="K265" s="2477"/>
      <c r="L265" s="2477"/>
      <c r="M265" s="2478"/>
      <c r="N265" s="3187"/>
      <c r="O265" s="3186">
        <v>55.0</v>
      </c>
      <c r="P265" s="2477"/>
      <c r="Q265" s="2477"/>
      <c r="R265" s="2478"/>
      <c r="S265" s="3188"/>
      <c r="T265" s="3132"/>
      <c r="U265" s="3176"/>
      <c r="V265" s="3176"/>
      <c r="W265" s="3177"/>
      <c r="X265" s="3181"/>
      <c r="Y265" s="3132"/>
      <c r="Z265" s="3176"/>
      <c r="AA265" s="3176"/>
      <c r="AB265" s="3177"/>
      <c r="AC265" s="3181"/>
      <c r="AD265" s="3132"/>
      <c r="AE265" s="3176"/>
      <c r="AF265" s="3176"/>
      <c r="AG265" s="3177"/>
      <c r="AH265" s="3189"/>
      <c r="AI265" s="3190"/>
    </row>
    <row r="266" ht="25.5" customHeight="1">
      <c r="A266" s="2329"/>
      <c r="B266" s="3071"/>
      <c r="C266" s="3191"/>
      <c r="D266" s="3132"/>
      <c r="E266" s="2484"/>
      <c r="F266" s="2485" t="str">
        <f t="array" ref="F266">IFERROR(VLOOKUP(E264,Dex!$B$3:$H454,5,FALSE),"")</f>
        <v/>
      </c>
      <c r="G266" s="2486" t="str">
        <f t="array" ref="G266">IFERROR(VLOOKUP(E264,Dex!$B$3:$H454,7,FALSE),"")</f>
        <v/>
      </c>
      <c r="H266" s="2487"/>
      <c r="I266" s="3180"/>
      <c r="J266" s="2484"/>
      <c r="K266" s="2488" t="str">
        <f t="array" ref="K266">IFERROR(VLOOKUP(J264,Dex!$B$3:$H454,5,FALSE),"")</f>
        <v/>
      </c>
      <c r="L266" s="2489"/>
      <c r="M266" s="2487"/>
      <c r="N266" s="3180"/>
      <c r="O266" s="2484"/>
      <c r="P266" s="2485" t="str">
        <f t="array" ref="P266">IFERROR(VLOOKUP(O264,Dex!$B$3:$H454,5,FALSE),"")</f>
        <v/>
      </c>
      <c r="Q266" s="2486" t="str">
        <f t="array" ref="Q266">IFERROR(VLOOKUP(O264,Dex!$B$3:$H454,7,FALSE),"")</f>
        <v/>
      </c>
      <c r="R266" s="2487"/>
      <c r="S266" s="3192"/>
      <c r="T266" s="3132"/>
      <c r="U266" s="3176"/>
      <c r="V266" s="3176"/>
      <c r="W266" s="3177"/>
      <c r="X266" s="3181"/>
      <c r="Y266" s="3132"/>
      <c r="Z266" s="3176"/>
      <c r="AA266" s="3176"/>
      <c r="AB266" s="3177"/>
      <c r="AC266" s="3181"/>
      <c r="AD266" s="3132"/>
      <c r="AE266" s="3176"/>
      <c r="AF266" s="3176"/>
      <c r="AG266" s="3177"/>
      <c r="AH266" s="3079"/>
      <c r="AI266" s="2737"/>
    </row>
    <row r="267" ht="2.25" customHeight="1">
      <c r="A267" s="2329"/>
      <c r="B267" s="3071"/>
      <c r="C267" s="3181"/>
      <c r="D267" s="3132"/>
      <c r="E267" s="2490"/>
      <c r="F267" s="2491"/>
      <c r="G267" s="2491"/>
      <c r="H267" s="2492"/>
      <c r="I267" s="3180"/>
      <c r="J267" s="2490"/>
      <c r="K267" s="2491"/>
      <c r="L267" s="2491"/>
      <c r="M267" s="2492"/>
      <c r="N267" s="3180"/>
      <c r="O267" s="2490"/>
      <c r="P267" s="2491"/>
      <c r="Q267" s="2491"/>
      <c r="R267" s="2492"/>
      <c r="S267" s="3192"/>
      <c r="T267" s="3073"/>
      <c r="U267" s="3073"/>
      <c r="V267" s="3073"/>
      <c r="W267" s="3073"/>
      <c r="X267" s="3181"/>
      <c r="Y267" s="3073"/>
      <c r="Z267" s="3073"/>
      <c r="AA267" s="3073"/>
      <c r="AB267" s="3073"/>
      <c r="AC267" s="3181"/>
      <c r="AD267" s="3073"/>
      <c r="AE267" s="3073"/>
      <c r="AF267" s="3073"/>
      <c r="AG267" s="3073"/>
      <c r="AH267" s="3079"/>
      <c r="AI267" s="2737"/>
    </row>
    <row r="268" ht="20.25" customHeight="1">
      <c r="A268" s="2329"/>
      <c r="B268" s="3071"/>
      <c r="C268" s="3128"/>
      <c r="D268" s="3132"/>
      <c r="E268" s="2495" t="s">
        <v>531</v>
      </c>
      <c r="F268" s="2496"/>
      <c r="G268" s="2496"/>
      <c r="H268" s="2497"/>
      <c r="I268" s="3193"/>
      <c r="J268" s="2495" t="s">
        <v>564</v>
      </c>
      <c r="K268" s="2496"/>
      <c r="L268" s="2496"/>
      <c r="M268" s="2497"/>
      <c r="N268" s="3193"/>
      <c r="O268" s="2495" t="s">
        <v>564</v>
      </c>
      <c r="P268" s="2496"/>
      <c r="Q268" s="2496"/>
      <c r="R268" s="2497"/>
      <c r="S268" s="3194"/>
      <c r="T268" s="3132"/>
      <c r="U268" s="3176"/>
      <c r="V268" s="3176"/>
      <c r="W268" s="3177"/>
      <c r="X268" s="3181"/>
      <c r="Y268" s="3132"/>
      <c r="Z268" s="3176"/>
      <c r="AA268" s="3176"/>
      <c r="AB268" s="3177"/>
      <c r="AC268" s="3181"/>
      <c r="AD268" s="3132"/>
      <c r="AE268" s="3176"/>
      <c r="AF268" s="3176"/>
      <c r="AG268" s="3177"/>
      <c r="AH268" s="3079"/>
      <c r="AI268" s="2737"/>
    </row>
    <row r="269">
      <c r="A269" s="2329"/>
      <c r="B269" s="3071"/>
      <c r="C269" s="3195"/>
      <c r="D269" s="3132"/>
      <c r="E269" s="2500" t="s">
        <v>60</v>
      </c>
      <c r="F269" s="2459"/>
      <c r="G269" s="2459"/>
      <c r="H269" s="2501"/>
      <c r="I269" s="3193"/>
      <c r="J269" s="2500" t="s">
        <v>605</v>
      </c>
      <c r="K269" s="2459"/>
      <c r="L269" s="2459"/>
      <c r="M269" s="2501"/>
      <c r="N269" s="3193"/>
      <c r="O269" s="2500" t="s">
        <v>1268</v>
      </c>
      <c r="P269" s="2459"/>
      <c r="Q269" s="2459"/>
      <c r="R269" s="2501"/>
      <c r="S269" s="3194"/>
      <c r="T269" s="3132"/>
      <c r="U269" s="3176"/>
      <c r="V269" s="3176"/>
      <c r="W269" s="3177"/>
      <c r="X269" s="3181"/>
      <c r="Y269" s="3132"/>
      <c r="Z269" s="3176"/>
      <c r="AA269" s="3176"/>
      <c r="AB269" s="3177"/>
      <c r="AC269" s="3181"/>
      <c r="AD269" s="3132"/>
      <c r="AE269" s="3176"/>
      <c r="AF269" s="3176"/>
      <c r="AG269" s="3177"/>
      <c r="AH269" s="3079"/>
      <c r="AI269" s="2737"/>
    </row>
    <row r="270" ht="20.25" customHeight="1">
      <c r="A270" s="2329"/>
      <c r="B270" s="3071"/>
      <c r="C270" s="3181"/>
      <c r="D270" s="3132"/>
      <c r="E270" s="2502" t="s">
        <v>492</v>
      </c>
      <c r="F270" s="2503"/>
      <c r="G270" s="2504"/>
      <c r="H270" s="2592" t="str">
        <f>IMAGE("https://raw.githubusercontent.com/msikma/pokesprite/master/items/berry/iapapa.png",3)</f>
        <v/>
      </c>
      <c r="I270" s="3180"/>
      <c r="J270" s="2502" t="s">
        <v>1160</v>
      </c>
      <c r="K270" s="2503"/>
      <c r="L270" s="2504"/>
      <c r="M270" s="2592" t="str">
        <f>IMAGE("https://raw.githubusercontent.com/msikma/pokesprite/master/items/hold-item/silk-scarf.png",3)</f>
        <v/>
      </c>
      <c r="N270" s="3180"/>
      <c r="O270" s="2502" t="s">
        <v>608</v>
      </c>
      <c r="P270" s="2503"/>
      <c r="Q270" s="2504"/>
      <c r="R270" s="2592" t="str">
        <f>IMAGE("https://raw.githubusercontent.com/msikma/pokesprite/master/items/mega-stone/sceptilite.png",3)</f>
        <v/>
      </c>
      <c r="S270" s="3192"/>
      <c r="T270" s="3132"/>
      <c r="U270" s="3176"/>
      <c r="V270" s="3176"/>
      <c r="W270" s="3177"/>
      <c r="X270" s="3181"/>
      <c r="Y270" s="3132"/>
      <c r="Z270" s="3176"/>
      <c r="AA270" s="3176"/>
      <c r="AB270" s="3177"/>
      <c r="AC270" s="3181"/>
      <c r="AD270" s="3132"/>
      <c r="AE270" s="3176"/>
      <c r="AF270" s="3176"/>
      <c r="AG270" s="3177"/>
      <c r="AH270" s="3079"/>
      <c r="AI270" s="2737"/>
    </row>
    <row r="271" ht="20.25" customHeight="1">
      <c r="A271" s="2329"/>
      <c r="B271" s="3071"/>
      <c r="C271" s="3128"/>
      <c r="D271" s="3132"/>
      <c r="E271" s="2495" t="s">
        <v>846</v>
      </c>
      <c r="F271" s="2496"/>
      <c r="G271" s="3196"/>
      <c r="H271" s="3197" t="str">
        <f>IMAGE("https://raw.githubusercontent.com/msikma/pokesprite/master/misc/types/gen8/bug.png",4,20,20)</f>
        <v/>
      </c>
      <c r="I271" s="3180"/>
      <c r="J271" s="2495" t="s">
        <v>1269</v>
      </c>
      <c r="K271" s="2496"/>
      <c r="L271" s="3196"/>
      <c r="M271" s="3197" t="str">
        <f>IMAGE("https://raw.githubusercontent.com/msikma/pokesprite/master/misc/types/gen8/fire.png",4,20,20)</f>
        <v/>
      </c>
      <c r="N271" s="3180"/>
      <c r="O271" s="2495" t="s">
        <v>510</v>
      </c>
      <c r="P271" s="2496"/>
      <c r="Q271" s="3196"/>
      <c r="R271" s="3197" t="str">
        <f>IMAGE("https://raw.githubusercontent.com/msikma/pokesprite/master/misc/types/gen8/grass.png",4,20,20)</f>
        <v/>
      </c>
      <c r="S271" s="3192"/>
      <c r="T271" s="3132"/>
      <c r="U271" s="3176"/>
      <c r="V271" s="3176"/>
      <c r="W271" s="3177"/>
      <c r="X271" s="3181"/>
      <c r="Y271" s="3132"/>
      <c r="Z271" s="3176"/>
      <c r="AA271" s="3176"/>
      <c r="AB271" s="3177"/>
      <c r="AC271" s="3181"/>
      <c r="AD271" s="3132"/>
      <c r="AE271" s="3176"/>
      <c r="AF271" s="3176"/>
      <c r="AG271" s="3177"/>
      <c r="AH271" s="3079"/>
      <c r="AI271" s="2737"/>
    </row>
    <row r="272" ht="20.25" customHeight="1">
      <c r="A272" s="2329"/>
      <c r="B272" s="3071"/>
      <c r="C272" s="3072"/>
      <c r="D272" s="3132"/>
      <c r="E272" s="2500" t="s">
        <v>544</v>
      </c>
      <c r="F272" s="2459"/>
      <c r="G272" s="2460"/>
      <c r="H272" s="3198" t="str">
        <f>IMAGE("https://raw.githubusercontent.com/msikma/pokesprite/master/misc/types/gen8/water.png",4,20,20)</f>
        <v/>
      </c>
      <c r="I272" s="3180"/>
      <c r="J272" s="2500" t="s">
        <v>592</v>
      </c>
      <c r="K272" s="2459"/>
      <c r="L272" s="2460"/>
      <c r="M272" s="3198" t="str">
        <f>IMAGE("https://raw.githubusercontent.com/msikma/pokesprite/master/misc/types/gen8/water.png",4,20,20)</f>
        <v/>
      </c>
      <c r="N272" s="3180"/>
      <c r="O272" s="2500" t="s">
        <v>1270</v>
      </c>
      <c r="P272" s="2459"/>
      <c r="Q272" s="2460"/>
      <c r="R272" s="3198" t="str">
        <f>IMAGE("https://raw.githubusercontent.com/msikma/pokesprite/master/misc/types/gen8/dragon.png",4,20,20)</f>
        <v/>
      </c>
      <c r="S272" s="3192"/>
      <c r="T272" s="3132"/>
      <c r="U272" s="3176"/>
      <c r="V272" s="3176"/>
      <c r="W272" s="3177"/>
      <c r="X272" s="3181"/>
      <c r="Y272" s="3132"/>
      <c r="Z272" s="3176"/>
      <c r="AA272" s="3176"/>
      <c r="AB272" s="3177"/>
      <c r="AC272" s="3181"/>
      <c r="AD272" s="3132"/>
      <c r="AE272" s="3176"/>
      <c r="AF272" s="3176"/>
      <c r="AG272" s="3177"/>
      <c r="AH272" s="3079"/>
      <c r="AI272" s="2737"/>
    </row>
    <row r="273" ht="20.25" customHeight="1">
      <c r="A273" s="2329"/>
      <c r="B273" s="3071"/>
      <c r="C273" s="3072"/>
      <c r="D273" s="3132"/>
      <c r="E273" s="2500" t="s">
        <v>543</v>
      </c>
      <c r="F273" s="2459"/>
      <c r="G273" s="2460"/>
      <c r="H273" s="3198" t="str">
        <f t="shared" ref="H273:H274" si="16">IMAGE("https://raw.githubusercontent.com/msikma/pokesprite/master/misc/types/gen8/grass.png",4,20,20)</f>
        <v/>
      </c>
      <c r="I273" s="3180"/>
      <c r="J273" s="2500" t="s">
        <v>590</v>
      </c>
      <c r="K273" s="2459"/>
      <c r="L273" s="2460"/>
      <c r="M273" s="3198" t="str">
        <f>IMAGE("https://raw.githubusercontent.com/msikma/pokesprite/master/misc/types/gen8/fighting.png",4,20,20)</f>
        <v/>
      </c>
      <c r="N273" s="3180"/>
      <c r="O273" s="2500" t="s">
        <v>590</v>
      </c>
      <c r="P273" s="2459"/>
      <c r="Q273" s="2460"/>
      <c r="R273" s="3198" t="str">
        <f>IMAGE("https://raw.githubusercontent.com/msikma/pokesprite/master/misc/types/gen8/fighting.png",4,20,20)</f>
        <v/>
      </c>
      <c r="S273" s="3192"/>
      <c r="T273" s="3132"/>
      <c r="U273" s="3176"/>
      <c r="V273" s="3176"/>
      <c r="W273" s="3177"/>
      <c r="X273" s="3181"/>
      <c r="Y273" s="3132"/>
      <c r="Z273" s="3176"/>
      <c r="AA273" s="3176"/>
      <c r="AB273" s="3177"/>
      <c r="AC273" s="3181"/>
      <c r="AD273" s="3132"/>
      <c r="AE273" s="3176"/>
      <c r="AF273" s="3176"/>
      <c r="AG273" s="3177"/>
      <c r="AH273" s="3079"/>
      <c r="AI273" s="2737"/>
    </row>
    <row r="274" ht="21.0" customHeight="1">
      <c r="A274" s="2329"/>
      <c r="B274" s="3071"/>
      <c r="C274" s="3072"/>
      <c r="D274" s="3132"/>
      <c r="E274" s="2509" t="s">
        <v>1271</v>
      </c>
      <c r="F274" s="2510"/>
      <c r="G274" s="3199"/>
      <c r="H274" s="3200" t="str">
        <f t="shared" si="16"/>
        <v/>
      </c>
      <c r="I274" s="3180"/>
      <c r="J274" s="2509" t="s">
        <v>743</v>
      </c>
      <c r="K274" s="2510"/>
      <c r="L274" s="3199"/>
      <c r="M274" s="3200" t="str">
        <f>IMAGE("https://raw.githubusercontent.com/msikma/pokesprite/master/misc/types/gen8/normal.png",4,20,20)</f>
        <v/>
      </c>
      <c r="N274" s="3180"/>
      <c r="O274" s="2509" t="s">
        <v>671</v>
      </c>
      <c r="P274" s="2510"/>
      <c r="Q274" s="3199"/>
      <c r="R274" s="3200" t="str">
        <f>IMAGE("https://raw.githubusercontent.com/msikma/pokesprite/master/misc/types/gen8/fire.png",4,20,20)</f>
        <v/>
      </c>
      <c r="S274" s="3192"/>
      <c r="T274" s="3132"/>
      <c r="U274" s="3176"/>
      <c r="V274" s="3176"/>
      <c r="W274" s="3177"/>
      <c r="X274" s="3128"/>
      <c r="Y274" s="3132"/>
      <c r="Z274" s="3176"/>
      <c r="AA274" s="3176"/>
      <c r="AB274" s="3177"/>
      <c r="AC274" s="3128"/>
      <c r="AD274" s="3132"/>
      <c r="AE274" s="3176"/>
      <c r="AF274" s="3176"/>
      <c r="AG274" s="3177"/>
      <c r="AH274" s="3079"/>
      <c r="AI274" s="2737"/>
    </row>
    <row r="275" ht="3.0" customHeight="1">
      <c r="A275" s="2802"/>
      <c r="B275" s="3138"/>
      <c r="C275" s="3131"/>
      <c r="D275" s="3139"/>
      <c r="E275" s="3142"/>
      <c r="F275" s="3142"/>
      <c r="G275" s="3142"/>
      <c r="H275" s="3201"/>
      <c r="I275" s="3139"/>
      <c r="J275" s="3142"/>
      <c r="K275" s="3142"/>
      <c r="L275" s="3142"/>
      <c r="M275" s="3142"/>
      <c r="N275" s="3139"/>
      <c r="O275" s="3142"/>
      <c r="P275" s="3142"/>
      <c r="Q275" s="3142"/>
      <c r="R275" s="3201"/>
      <c r="S275" s="3139"/>
      <c r="T275" s="3139"/>
      <c r="U275" s="3202"/>
      <c r="V275" s="3202"/>
      <c r="W275" s="3145"/>
      <c r="X275" s="3139"/>
      <c r="Y275" s="3139"/>
      <c r="Z275" s="3202"/>
      <c r="AA275" s="3202"/>
      <c r="AB275" s="3145"/>
      <c r="AC275" s="3145"/>
      <c r="AD275" s="3139"/>
      <c r="AE275" s="3202"/>
      <c r="AF275" s="3202"/>
      <c r="AG275" s="3145"/>
      <c r="AH275" s="3147"/>
      <c r="AI275" s="2810"/>
    </row>
    <row r="276" ht="15.75" customHeight="1">
      <c r="A276" s="2811"/>
      <c r="B276" s="3148"/>
      <c r="C276" s="3131"/>
      <c r="D276" s="3149"/>
      <c r="E276" s="3203" t="s">
        <v>512</v>
      </c>
      <c r="F276" s="606"/>
      <c r="G276" s="606"/>
      <c r="H276" s="607"/>
      <c r="I276" s="3204"/>
      <c r="J276" s="3203" t="s">
        <v>512</v>
      </c>
      <c r="K276" s="606"/>
      <c r="L276" s="606"/>
      <c r="M276" s="607"/>
      <c r="N276" s="3204"/>
      <c r="O276" s="3203" t="s">
        <v>512</v>
      </c>
      <c r="P276" s="606"/>
      <c r="Q276" s="606"/>
      <c r="R276" s="607"/>
      <c r="S276" s="3205"/>
      <c r="T276" s="3206"/>
      <c r="U276" s="3206"/>
      <c r="V276" s="3206"/>
      <c r="W276" s="3207"/>
      <c r="X276" s="3207"/>
      <c r="Y276" s="3206"/>
      <c r="Z276" s="3206"/>
      <c r="AA276" s="3206"/>
      <c r="AB276" s="3207"/>
      <c r="AC276" s="3207"/>
      <c r="AD276" s="3206"/>
      <c r="AE276" s="3206"/>
      <c r="AF276" s="3206"/>
      <c r="AG276" s="3207"/>
      <c r="AH276" s="3208"/>
      <c r="AI276" s="2407"/>
    </row>
    <row r="277" ht="16.5" customHeight="1">
      <c r="A277" s="2811"/>
      <c r="B277" s="3148"/>
      <c r="C277" s="3131"/>
      <c r="D277" s="3149"/>
      <c r="E277" s="2530" t="s">
        <v>513</v>
      </c>
      <c r="F277" s="2531">
        <f t="array" ref="F277">IFERROR(VLOOKUP(E264,Dex!$B$3:$N454,8,FALSE),"")</f>
        <v>80</v>
      </c>
      <c r="G277" s="2532" t="str">
        <f t="array" ref="G277">IFERROR(VLOOKUP(F277,Dex!$P$22:$Q$276,2,FALSE),"")</f>
        <v/>
      </c>
      <c r="H277" s="2533"/>
      <c r="I277" s="3204"/>
      <c r="J277" s="2530" t="s">
        <v>513</v>
      </c>
      <c r="K277" s="2531">
        <f t="array" ref="K277">IFERROR(VLOOKUP(J264,Dex!$B$3:$N454,8,FALSE),"")</f>
        <v>104</v>
      </c>
      <c r="L277" s="2532" t="str">
        <f t="array" ref="L277">IFERROR(VLOOKUP(K277,Dex!$P$22:$Q$276,2,FALSE),"")</f>
        <v/>
      </c>
      <c r="M277" s="2533"/>
      <c r="N277" s="3204"/>
      <c r="O277" s="2530" t="s">
        <v>513</v>
      </c>
      <c r="P277" s="2531">
        <f t="array" ref="P277">IFERROR(VLOOKUP(O264,Dex!$B$3:$N454,8,FALSE),"")</f>
        <v>70</v>
      </c>
      <c r="Q277" s="2532" t="str">
        <f t="array" ref="Q277">IFERROR(VLOOKUP(P277,Dex!$P$22:$Q$276,2,FALSE),"")</f>
        <v/>
      </c>
      <c r="R277" s="2533"/>
      <c r="S277" s="3209"/>
      <c r="T277" s="3206"/>
      <c r="U277" s="3206"/>
      <c r="V277" s="3206"/>
      <c r="W277" s="3207"/>
      <c r="X277" s="3210"/>
      <c r="Y277" s="3206"/>
      <c r="Z277" s="3206"/>
      <c r="AA277" s="3206"/>
      <c r="AB277" s="3207"/>
      <c r="AC277" s="3210"/>
      <c r="AD277" s="3206"/>
      <c r="AE277" s="3206"/>
      <c r="AF277" s="3206"/>
      <c r="AG277" s="3207"/>
      <c r="AH277" s="3211"/>
      <c r="AI277" s="2407"/>
    </row>
    <row r="278" ht="16.5" customHeight="1">
      <c r="A278" s="2811"/>
      <c r="B278" s="3148"/>
      <c r="C278" s="3131"/>
      <c r="D278" s="3149"/>
      <c r="E278" s="2537" t="s">
        <v>514</v>
      </c>
      <c r="F278" s="2538">
        <f t="array" ref="F278">IFERROR(VLOOKUP(E264,Dex!$B$3:$N454,9,FALSE),"")</f>
        <v>60</v>
      </c>
      <c r="G278" s="2539" t="str">
        <f t="array" ref="G278">IFERROR(VLOOKUP(F278,Dex!$P$22:$Q$276,2,FALSE),"")</f>
        <v/>
      </c>
      <c r="H278" s="2540"/>
      <c r="I278" s="3204"/>
      <c r="J278" s="2537" t="s">
        <v>514</v>
      </c>
      <c r="K278" s="2538">
        <f t="array" ref="K278">IFERROR(VLOOKUP(J264,Dex!$B$3:$N454,9,FALSE),"")</f>
        <v>81</v>
      </c>
      <c r="L278" s="2539" t="str">
        <f t="array" ref="L278">IFERROR(VLOOKUP(K278,Dex!$P$22:$Q$276,2,FALSE),"")</f>
        <v/>
      </c>
      <c r="M278" s="2540"/>
      <c r="N278" s="3204"/>
      <c r="O278" s="2537" t="s">
        <v>514</v>
      </c>
      <c r="P278" s="2538">
        <f t="array" ref="P278">IFERROR(VLOOKUP(O264,Dex!$B$3:$N454,9,FALSE),"")</f>
        <v>135</v>
      </c>
      <c r="Q278" s="2539" t="str">
        <f t="array" ref="Q278">IFERROR(VLOOKUP(P278,Dex!$P$22:$Q$276,2,FALSE),"")</f>
        <v/>
      </c>
      <c r="R278" s="2540"/>
      <c r="S278" s="3209"/>
      <c r="T278" s="3206"/>
      <c r="U278" s="3206"/>
      <c r="V278" s="3206"/>
      <c r="W278" s="3207"/>
      <c r="X278" s="3210"/>
      <c r="Y278" s="3206"/>
      <c r="Z278" s="3206"/>
      <c r="AA278" s="3206"/>
      <c r="AB278" s="3207"/>
      <c r="AC278" s="3210"/>
      <c r="AD278" s="3206"/>
      <c r="AE278" s="3206"/>
      <c r="AF278" s="3206"/>
      <c r="AG278" s="3207"/>
      <c r="AH278" s="3211"/>
      <c r="AI278" s="2407"/>
    </row>
    <row r="279" ht="16.5" customHeight="1">
      <c r="A279" s="2811"/>
      <c r="B279" s="3148"/>
      <c r="C279" s="3131"/>
      <c r="D279" s="3149"/>
      <c r="E279" s="2537" t="s">
        <v>515</v>
      </c>
      <c r="F279" s="2538">
        <f t="array" ref="F279">IFERROR(VLOOKUP(E264,Dex!$B$3:$N454,10,FALSE),"")</f>
        <v>62</v>
      </c>
      <c r="G279" s="2539" t="str">
        <f t="array" ref="G279">IFERROR(VLOOKUP(F279,Dex!$P$22:$Q$276,2,FALSE),"")</f>
        <v/>
      </c>
      <c r="H279" s="2540"/>
      <c r="I279" s="3204"/>
      <c r="J279" s="2537" t="s">
        <v>515</v>
      </c>
      <c r="K279" s="2538">
        <f t="array" ref="K279">IFERROR(VLOOKUP(J264,Dex!$B$3:$N454,10,FALSE),"")</f>
        <v>63</v>
      </c>
      <c r="L279" s="2539" t="str">
        <f t="array" ref="L279">IFERROR(VLOOKUP(K279,Dex!$P$22:$Q$276,2,FALSE),"")</f>
        <v/>
      </c>
      <c r="M279" s="2540"/>
      <c r="N279" s="3204"/>
      <c r="O279" s="2537" t="s">
        <v>515</v>
      </c>
      <c r="P279" s="2538">
        <f t="array" ref="P279">IFERROR(VLOOKUP(O264,Dex!$B$3:$N454,10,FALSE),"")</f>
        <v>75</v>
      </c>
      <c r="Q279" s="2539" t="str">
        <f t="array" ref="Q279">IFERROR(VLOOKUP(P279,Dex!$P$22:$Q$276,2,FALSE),"")</f>
        <v/>
      </c>
      <c r="R279" s="2540"/>
      <c r="S279" s="3209"/>
      <c r="T279" s="3206"/>
      <c r="U279" s="3206"/>
      <c r="V279" s="3206"/>
      <c r="W279" s="3207"/>
      <c r="X279" s="3210"/>
      <c r="Y279" s="3206"/>
      <c r="Z279" s="3206"/>
      <c r="AA279" s="3206"/>
      <c r="AB279" s="3207"/>
      <c r="AC279" s="3210"/>
      <c r="AD279" s="3206"/>
      <c r="AE279" s="3206"/>
      <c r="AF279" s="3206"/>
      <c r="AG279" s="3207"/>
      <c r="AH279" s="3211"/>
      <c r="AI279" s="2407"/>
    </row>
    <row r="280" ht="16.5" customHeight="1">
      <c r="A280" s="2811"/>
      <c r="B280" s="3148"/>
      <c r="C280" s="3131"/>
      <c r="D280" s="3149"/>
      <c r="E280" s="2537" t="s">
        <v>516</v>
      </c>
      <c r="F280" s="2538">
        <f t="array" ref="F280">IFERROR(VLOOKUP(E264,Dex!$B$3:$N454,11,FALSE),"")</f>
        <v>100</v>
      </c>
      <c r="G280" s="2539" t="str">
        <f t="array" ref="G280">IFERROR(VLOOKUP(F280,Dex!$P$22:$Q$276,2,FALSE),"")</f>
        <v/>
      </c>
      <c r="H280" s="2540"/>
      <c r="I280" s="3204"/>
      <c r="J280" s="2537" t="s">
        <v>516</v>
      </c>
      <c r="K280" s="2538">
        <f t="array" ref="K280">IFERROR(VLOOKUP(J264,Dex!$B$3:$N454,11,FALSE),"")</f>
        <v>91</v>
      </c>
      <c r="L280" s="2539" t="str">
        <f t="array" ref="L280">IFERROR(VLOOKUP(K280,Dex!$P$22:$Q$276,2,FALSE),"")</f>
        <v/>
      </c>
      <c r="M280" s="2540"/>
      <c r="N280" s="3204"/>
      <c r="O280" s="2537" t="s">
        <v>516</v>
      </c>
      <c r="P280" s="2538">
        <f t="array" ref="P280">IFERROR(VLOOKUP(O264,Dex!$B$3:$N454,11,FALSE),"")</f>
        <v>110</v>
      </c>
      <c r="Q280" s="2539" t="str">
        <f t="array" ref="Q280">IFERROR(VLOOKUP(P280,Dex!$P$22:$Q$276,2,FALSE),"")</f>
        <v/>
      </c>
      <c r="R280" s="2540"/>
      <c r="S280" s="3209"/>
      <c r="T280" s="3206"/>
      <c r="U280" s="3206"/>
      <c r="V280" s="3206"/>
      <c r="W280" s="3207"/>
      <c r="X280" s="3210"/>
      <c r="Y280" s="3206"/>
      <c r="Z280" s="3206"/>
      <c r="AA280" s="3206"/>
      <c r="AB280" s="3207"/>
      <c r="AC280" s="3210"/>
      <c r="AD280" s="3206"/>
      <c r="AE280" s="3206"/>
      <c r="AF280" s="3206"/>
      <c r="AG280" s="3207"/>
      <c r="AH280" s="3211"/>
      <c r="AI280" s="2407"/>
    </row>
    <row r="281" ht="16.5" customHeight="1">
      <c r="A281" s="2811"/>
      <c r="B281" s="3148"/>
      <c r="C281" s="3131"/>
      <c r="D281" s="3149"/>
      <c r="E281" s="2537" t="s">
        <v>517</v>
      </c>
      <c r="F281" s="2538">
        <f t="array" ref="F281">IFERROR(VLOOKUP(E264,Dex!$B$3:$N454,12,FALSE),"")</f>
        <v>82</v>
      </c>
      <c r="G281" s="2539" t="str">
        <f t="array" ref="G281">IFERROR(VLOOKUP(F281,Dex!$P$22:$Q$276,2,FALSE),"")</f>
        <v/>
      </c>
      <c r="H281" s="2540"/>
      <c r="I281" s="3204"/>
      <c r="J281" s="2537" t="s">
        <v>517</v>
      </c>
      <c r="K281" s="2538">
        <f t="array" ref="K281">IFERROR(VLOOKUP(J264,Dex!$B$3:$N454,12,FALSE),"")</f>
        <v>73</v>
      </c>
      <c r="L281" s="2539" t="str">
        <f t="array" ref="L281">IFERROR(VLOOKUP(K281,Dex!$P$22:$Q$276,2,FALSE),"")</f>
        <v/>
      </c>
      <c r="M281" s="2540"/>
      <c r="N281" s="3204"/>
      <c r="O281" s="2537" t="s">
        <v>517</v>
      </c>
      <c r="P281" s="2538">
        <f t="array" ref="P281">IFERROR(VLOOKUP(O264,Dex!$B$3:$N454,12,FALSE),"")</f>
        <v>85</v>
      </c>
      <c r="Q281" s="2539" t="str">
        <f t="array" ref="Q281">IFERROR(VLOOKUP(P281,Dex!$P$22:$Q$276,2,FALSE),"")</f>
        <v/>
      </c>
      <c r="R281" s="2540"/>
      <c r="S281" s="3209"/>
      <c r="T281" s="3206"/>
      <c r="U281" s="3206"/>
      <c r="V281" s="3206"/>
      <c r="W281" s="3207"/>
      <c r="X281" s="3210"/>
      <c r="Y281" s="3206"/>
      <c r="Z281" s="3206"/>
      <c r="AA281" s="3206"/>
      <c r="AB281" s="3207"/>
      <c r="AC281" s="3210"/>
      <c r="AD281" s="3206"/>
      <c r="AE281" s="3206"/>
      <c r="AF281" s="3206"/>
      <c r="AG281" s="3207"/>
      <c r="AH281" s="3211"/>
      <c r="AI281" s="2407"/>
    </row>
    <row r="282" ht="15.75" customHeight="1">
      <c r="A282" s="2811"/>
      <c r="B282" s="3148"/>
      <c r="C282" s="3131"/>
      <c r="D282" s="3149"/>
      <c r="E282" s="2541" t="s">
        <v>518</v>
      </c>
      <c r="F282" s="2542">
        <f t="array" ref="F282">IFERROR(VLOOKUP(E264,Dex!$B$3:$N454,13,FALSE),"")</f>
        <v>80</v>
      </c>
      <c r="G282" s="2543" t="str">
        <f t="array" ref="G282">IFERROR(VLOOKUP(F282,Dex!$P$22:$Q$276,2,FALSE),"")</f>
        <v/>
      </c>
      <c r="H282" s="2544"/>
      <c r="I282" s="3204"/>
      <c r="J282" s="2541" t="s">
        <v>518</v>
      </c>
      <c r="K282" s="2542">
        <f t="array" ref="K282">IFERROR(VLOOKUP(J264,Dex!$B$3:$N454,13,FALSE),"")</f>
        <v>73</v>
      </c>
      <c r="L282" s="2543" t="str">
        <f t="array" ref="L282">IFERROR(VLOOKUP(K282,Dex!$P$22:$Q$276,2,FALSE),"")</f>
        <v/>
      </c>
      <c r="M282" s="2544"/>
      <c r="N282" s="3204"/>
      <c r="O282" s="2541" t="s">
        <v>518</v>
      </c>
      <c r="P282" s="2542">
        <f t="array" ref="P282">IFERROR(VLOOKUP(O264,Dex!$B$3:$N454,13,FALSE),"")</f>
        <v>145</v>
      </c>
      <c r="Q282" s="2543" t="str">
        <f t="array" ref="Q282">IFERROR(VLOOKUP(P282,Dex!$P$22:$Q$276,2,FALSE),"")</f>
        <v/>
      </c>
      <c r="R282" s="2544"/>
      <c r="S282" s="3209"/>
      <c r="T282" s="3206"/>
      <c r="U282" s="3206"/>
      <c r="V282" s="3206"/>
      <c r="W282" s="3207"/>
      <c r="X282" s="3210"/>
      <c r="Y282" s="3206"/>
      <c r="Z282" s="3206"/>
      <c r="AA282" s="3206"/>
      <c r="AB282" s="3207"/>
      <c r="AC282" s="3210"/>
      <c r="AD282" s="3206"/>
      <c r="AE282" s="3206"/>
      <c r="AF282" s="3206"/>
      <c r="AG282" s="3207"/>
      <c r="AH282" s="3211"/>
      <c r="AI282" s="2407"/>
    </row>
    <row r="283" ht="15.75" customHeight="1">
      <c r="A283" s="2811"/>
      <c r="B283" s="3148"/>
      <c r="C283" s="3131"/>
      <c r="D283" s="3149"/>
      <c r="E283" s="2545" t="s">
        <v>519</v>
      </c>
      <c r="F283" s="630"/>
      <c r="G283" s="631"/>
      <c r="H283" s="632">
        <f>ROUNDDOWN((ROUNDDOWN(((((2*F282+31)*55)/100+5)),0))*1,0)</f>
        <v>110</v>
      </c>
      <c r="I283" s="3204"/>
      <c r="J283" s="2545" t="s">
        <v>519</v>
      </c>
      <c r="K283" s="630"/>
      <c r="L283" s="631"/>
      <c r="M283" s="632">
        <f>ROUNDDOWN((ROUNDDOWN(((((2*K282+31)*55)/100+5)),0))*1.1,0)</f>
        <v>112</v>
      </c>
      <c r="N283" s="3204"/>
      <c r="O283" s="2545" t="s">
        <v>519</v>
      </c>
      <c r="P283" s="630"/>
      <c r="Q283" s="631"/>
      <c r="R283" s="632">
        <f>ROUNDDOWN((ROUNDDOWN(((((2*P282+30)*55)/100+5)),0))*1.1,0)</f>
        <v>199</v>
      </c>
      <c r="S283" s="3205"/>
      <c r="T283" s="3206"/>
      <c r="U283" s="3206"/>
      <c r="V283" s="3206"/>
      <c r="W283" s="3207"/>
      <c r="X283" s="3207"/>
      <c r="Y283" s="3206"/>
      <c r="Z283" s="3206"/>
      <c r="AA283" s="3206"/>
      <c r="AB283" s="3206"/>
      <c r="AC283" s="3207"/>
      <c r="AD283" s="3206"/>
      <c r="AE283" s="3206"/>
      <c r="AF283" s="3206"/>
      <c r="AG283" s="3207"/>
      <c r="AH283" s="3208"/>
      <c r="AI283" s="2407"/>
    </row>
    <row r="284" ht="15.0" customHeight="1">
      <c r="A284" s="2329"/>
      <c r="B284" s="3212"/>
      <c r="C284" s="3213"/>
      <c r="D284" s="3214"/>
      <c r="E284" s="3215"/>
      <c r="F284" s="3215"/>
      <c r="G284" s="3215"/>
      <c r="H284" s="3216"/>
      <c r="I284" s="3214"/>
      <c r="J284" s="3215"/>
      <c r="K284" s="3215"/>
      <c r="L284" s="3215"/>
      <c r="M284" s="3215"/>
      <c r="N284" s="3214"/>
      <c r="O284" s="3215"/>
      <c r="P284" s="3215"/>
      <c r="Q284" s="3215"/>
      <c r="R284" s="3216"/>
      <c r="S284" s="3214"/>
      <c r="T284" s="3214"/>
      <c r="U284" s="3214"/>
      <c r="V284" s="3214"/>
      <c r="W284" s="3214"/>
      <c r="X284" s="3214"/>
      <c r="Y284" s="3214"/>
      <c r="Z284" s="3214"/>
      <c r="AA284" s="3214"/>
      <c r="AB284" s="3214"/>
      <c r="AC284" s="3214"/>
      <c r="AD284" s="3214"/>
      <c r="AE284" s="3214"/>
      <c r="AF284" s="3214"/>
      <c r="AG284" s="3214"/>
      <c r="AH284" s="3217"/>
      <c r="AI284" s="2737"/>
    </row>
    <row r="285" ht="15.0" customHeight="1">
      <c r="A285" s="2329"/>
      <c r="B285" s="3218"/>
      <c r="C285" s="3219"/>
      <c r="D285" s="3220"/>
      <c r="E285" s="3221"/>
      <c r="F285" s="3221"/>
      <c r="G285" s="3221"/>
      <c r="H285" s="3221"/>
      <c r="I285" s="3220"/>
      <c r="J285" s="3221"/>
      <c r="K285" s="3221"/>
      <c r="L285" s="3221"/>
      <c r="M285" s="3221"/>
      <c r="N285" s="3220"/>
      <c r="O285" s="3221"/>
      <c r="P285" s="3221"/>
      <c r="Q285" s="3221"/>
      <c r="R285" s="3221"/>
      <c r="S285" s="3220"/>
      <c r="T285" s="3221"/>
      <c r="U285" s="3221"/>
      <c r="V285" s="3221"/>
      <c r="W285" s="3221"/>
      <c r="X285" s="3220"/>
      <c r="Y285" s="3221"/>
      <c r="Z285" s="3221"/>
      <c r="AA285" s="3221"/>
      <c r="AB285" s="3221"/>
      <c r="AC285" s="3220"/>
      <c r="AD285" s="3221"/>
      <c r="AE285" s="3221"/>
      <c r="AF285" s="3221"/>
      <c r="AG285" s="3221"/>
      <c r="AH285" s="3222"/>
      <c r="AI285" s="2737"/>
    </row>
    <row r="286">
      <c r="A286" s="2329"/>
      <c r="B286" s="3038"/>
      <c r="C286" s="3029"/>
      <c r="D286" s="3029"/>
      <c r="E286" s="3223" t="s">
        <v>1272</v>
      </c>
      <c r="F286" s="3013"/>
      <c r="G286" s="3013"/>
      <c r="H286" s="3013"/>
      <c r="I286" s="3013"/>
      <c r="J286" s="3013"/>
      <c r="K286" s="3013"/>
      <c r="L286" s="3013"/>
      <c r="M286" s="3013"/>
      <c r="N286" s="3013"/>
      <c r="O286" s="3013"/>
      <c r="P286" s="3013"/>
      <c r="Q286" s="3013"/>
      <c r="R286" s="3013"/>
      <c r="S286" s="3013"/>
      <c r="T286" s="3013"/>
      <c r="U286" s="3013"/>
      <c r="V286" s="3013"/>
      <c r="W286" s="3013"/>
      <c r="X286" s="3013"/>
      <c r="Y286" s="3013"/>
      <c r="Z286" s="3013"/>
      <c r="AA286" s="3013"/>
      <c r="AB286" s="3013"/>
      <c r="AC286" s="3013"/>
      <c r="AD286" s="3013"/>
      <c r="AE286" s="3013"/>
      <c r="AF286" s="3013"/>
      <c r="AG286" s="3022"/>
      <c r="AH286" s="3224"/>
      <c r="AI286" s="2737"/>
    </row>
    <row r="287" ht="96.75" customHeight="1">
      <c r="A287" s="2329"/>
      <c r="B287" s="2970"/>
      <c r="C287" s="2971" t="str">
        <f>IMAGE("https://i.ibb.co/dcBy1qG/Giovanni.png")</f>
        <v/>
      </c>
      <c r="D287" s="2972"/>
      <c r="E287" s="2973" t="str">
        <f t="array" ref="E287">IFERROR(VLOOKUP(E288,Dex!$B$3:$G454,3,FALSE),"")</f>
        <v/>
      </c>
      <c r="F287" s="1945"/>
      <c r="G287" s="1945"/>
      <c r="H287" s="1946"/>
      <c r="I287" s="2974"/>
      <c r="J287" s="2973" t="str">
        <f t="array" ref="J287">IFERROR(VLOOKUP(J288,Dex!$B$3:$G454,3,FALSE),"")</f>
        <v/>
      </c>
      <c r="K287" s="1945"/>
      <c r="L287" s="1945"/>
      <c r="M287" s="1946"/>
      <c r="N287" s="2974"/>
      <c r="O287" s="2973" t="str">
        <f t="array" ref="O287">IFERROR(VLOOKUP(O288,Dex!$B$3:$G454,3,FALSE),"")</f>
        <v/>
      </c>
      <c r="P287" s="1945"/>
      <c r="Q287" s="1945"/>
      <c r="R287" s="1946"/>
      <c r="S287" s="2974"/>
      <c r="T287" s="2973" t="str">
        <f t="array" ref="T287">IFERROR(VLOOKUP(T288,Dex!$B$3:$G454,3,FALSE),"")</f>
        <v/>
      </c>
      <c r="U287" s="1945"/>
      <c r="V287" s="1945"/>
      <c r="W287" s="1946"/>
      <c r="X287" s="2974"/>
      <c r="Y287" s="2973" t="str">
        <f t="array" ref="Y287">IFERROR(VLOOKUP(Y288,Dex!$B$3:$G454,3,FALSE),"")</f>
        <v/>
      </c>
      <c r="Z287" s="1945"/>
      <c r="AA287" s="1945"/>
      <c r="AB287" s="1946"/>
      <c r="AC287" s="2974"/>
      <c r="AD287" s="2973" t="str">
        <f t="array" ref="AD287">IFERROR(VLOOKUP(AD288,Dex!$B$3:$G454,3,FALSE),"")</f>
        <v/>
      </c>
      <c r="AE287" s="1945"/>
      <c r="AF287" s="1945"/>
      <c r="AG287" s="1946"/>
      <c r="AH287" s="2975"/>
      <c r="AI287" s="2737"/>
    </row>
    <row r="288" ht="18.75" customHeight="1">
      <c r="A288" s="2354"/>
      <c r="B288" s="2976"/>
      <c r="C288" s="2977" t="s">
        <v>1273</v>
      </c>
      <c r="D288" s="2978"/>
      <c r="E288" s="2979" t="s">
        <v>1274</v>
      </c>
      <c r="F288" s="2980"/>
      <c r="G288" s="2980"/>
      <c r="H288" s="2981"/>
      <c r="I288" s="2978"/>
      <c r="J288" s="2979" t="s">
        <v>1275</v>
      </c>
      <c r="K288" s="2980"/>
      <c r="L288" s="2980"/>
      <c r="M288" s="2981"/>
      <c r="N288" s="2978"/>
      <c r="O288" s="2979" t="s">
        <v>1216</v>
      </c>
      <c r="P288" s="2980"/>
      <c r="Q288" s="2980"/>
      <c r="R288" s="2981"/>
      <c r="S288" s="2978"/>
      <c r="T288" s="2979" t="s">
        <v>1276</v>
      </c>
      <c r="U288" s="2980"/>
      <c r="V288" s="2980"/>
      <c r="W288" s="2981"/>
      <c r="X288" s="2978"/>
      <c r="Y288" s="2979" t="s">
        <v>1277</v>
      </c>
      <c r="Z288" s="2980"/>
      <c r="AA288" s="2980"/>
      <c r="AB288" s="2981"/>
      <c r="AC288" s="2978"/>
      <c r="AD288" s="2979" t="s">
        <v>1278</v>
      </c>
      <c r="AE288" s="2980"/>
      <c r="AF288" s="2980"/>
      <c r="AG288" s="2981"/>
      <c r="AH288" s="2982"/>
      <c r="AI288" s="2757"/>
    </row>
    <row r="289">
      <c r="A289" s="2983"/>
      <c r="B289" s="2984"/>
      <c r="C289" s="556"/>
      <c r="D289" s="2985"/>
      <c r="E289" s="2986">
        <v>57.0</v>
      </c>
      <c r="F289" s="2987"/>
      <c r="G289" s="2987"/>
      <c r="H289" s="2988"/>
      <c r="I289" s="2989"/>
      <c r="J289" s="2986">
        <v>57.0</v>
      </c>
      <c r="K289" s="2987"/>
      <c r="L289" s="2987"/>
      <c r="M289" s="2988"/>
      <c r="N289" s="2989"/>
      <c r="O289" s="2986">
        <v>57.0</v>
      </c>
      <c r="P289" s="2987"/>
      <c r="Q289" s="2987"/>
      <c r="R289" s="2988"/>
      <c r="S289" s="2989"/>
      <c r="T289" s="2986">
        <v>57.0</v>
      </c>
      <c r="U289" s="2987"/>
      <c r="V289" s="2987"/>
      <c r="W289" s="2988"/>
      <c r="X289" s="2989"/>
      <c r="Y289" s="2986">
        <v>57.0</v>
      </c>
      <c r="Z289" s="2987"/>
      <c r="AA289" s="2987"/>
      <c r="AB289" s="2988"/>
      <c r="AC289" s="2989"/>
      <c r="AD289" s="2986">
        <v>57.0</v>
      </c>
      <c r="AE289" s="2987"/>
      <c r="AF289" s="2987"/>
      <c r="AG289" s="2988"/>
      <c r="AH289" s="2990"/>
      <c r="AI289" s="2991"/>
    </row>
    <row r="290" ht="25.5" customHeight="1">
      <c r="A290" s="2329"/>
      <c r="B290" s="2992"/>
      <c r="C290" s="2993"/>
      <c r="D290" s="2994"/>
      <c r="E290" s="2995"/>
      <c r="F290" s="2996" t="str">
        <f t="array" ref="F290">IFERROR(VLOOKUP(E288,Dex!$B$3:$H454,5,FALSE),"")</f>
        <v/>
      </c>
      <c r="G290" s="2997" t="str">
        <f t="array" ref="G290">IFERROR(VLOOKUP(E288,Dex!$B$3:$H454,7,FALSE),"")</f>
        <v/>
      </c>
      <c r="H290" s="2998"/>
      <c r="I290" s="3225"/>
      <c r="J290" s="2995"/>
      <c r="K290" s="2996" t="str">
        <f t="array" ref="K290">IFERROR(VLOOKUP(J288,Dex!$B$3:$H454,5,FALSE),"")</f>
        <v/>
      </c>
      <c r="L290" s="2997" t="str">
        <f t="array" ref="L290">IFERROR(VLOOKUP(J288,Dex!$B$3:$H454,7,FALSE),"")</f>
        <v/>
      </c>
      <c r="M290" s="2998"/>
      <c r="N290" s="3225"/>
      <c r="O290" s="2995"/>
      <c r="P290" s="2996" t="str">
        <f t="array" ref="P290">IFERROR(VLOOKUP(O288,Dex!$B$3:$H454,5,FALSE),"")</f>
        <v/>
      </c>
      <c r="Q290" s="2997" t="str">
        <f t="array" ref="Q290">IFERROR(VLOOKUP(O288,Dex!$B$3:$H454,7,FALSE),"")</f>
        <v/>
      </c>
      <c r="R290" s="2998"/>
      <c r="S290" s="3225"/>
      <c r="T290" s="2995"/>
      <c r="U290" s="3000" t="str">
        <f t="array" ref="U290">IFERROR(VLOOKUP(T288,Dex!$B$3:$H454,5,FALSE),"")</f>
        <v/>
      </c>
      <c r="V290" s="3001"/>
      <c r="W290" s="2998"/>
      <c r="X290" s="3225"/>
      <c r="Y290" s="2995"/>
      <c r="Z290" s="2996" t="str">
        <f t="array" ref="Z290">IFERROR(VLOOKUP(Y288,Dex!$B$3:$H454,5,FALSE),"")</f>
        <v/>
      </c>
      <c r="AA290" s="2997" t="str">
        <f t="array" ref="AA290">IFERROR(VLOOKUP(Y288,Dex!$B$3:$H454,7,FALSE),"")</f>
        <v/>
      </c>
      <c r="AB290" s="2998"/>
      <c r="AC290" s="3225"/>
      <c r="AD290" s="2995"/>
      <c r="AE290" s="2996" t="str">
        <f t="array" ref="AE290">IFERROR(VLOOKUP(AD288,Dex!$B$3:$H454,5,FALSE),"")</f>
        <v/>
      </c>
      <c r="AF290" s="2997" t="str">
        <f t="array" ref="AF290">IFERROR(VLOOKUP(AD288,Dex!$B$3:$H454,7,FALSE),"")</f>
        <v/>
      </c>
      <c r="AG290" s="2998"/>
      <c r="AH290" s="2975"/>
      <c r="AI290" s="2737"/>
    </row>
    <row r="291" ht="2.25" customHeight="1">
      <c r="A291" s="2329"/>
      <c r="B291" s="2992"/>
      <c r="C291" s="3002"/>
      <c r="D291" s="2994"/>
      <c r="E291" s="3003"/>
      <c r="F291" s="3004"/>
      <c r="G291" s="3004"/>
      <c r="H291" s="3005"/>
      <c r="I291" s="3225"/>
      <c r="J291" s="3003"/>
      <c r="K291" s="3004"/>
      <c r="L291" s="3004"/>
      <c r="M291" s="3005"/>
      <c r="N291" s="3225"/>
      <c r="O291" s="3003"/>
      <c r="P291" s="3004"/>
      <c r="Q291" s="3004"/>
      <c r="R291" s="3005"/>
      <c r="S291" s="3225"/>
      <c r="T291" s="3003"/>
      <c r="U291" s="3004"/>
      <c r="V291" s="3004"/>
      <c r="W291" s="3005"/>
      <c r="X291" s="3225"/>
      <c r="Y291" s="3003"/>
      <c r="Z291" s="3004"/>
      <c r="AA291" s="3004"/>
      <c r="AB291" s="3005"/>
      <c r="AC291" s="3225"/>
      <c r="AD291" s="3003"/>
      <c r="AE291" s="3004"/>
      <c r="AF291" s="3004"/>
      <c r="AG291" s="3005"/>
      <c r="AH291" s="2975"/>
      <c r="AI291" s="2737"/>
    </row>
    <row r="292" ht="20.25" customHeight="1">
      <c r="A292" s="2329"/>
      <c r="B292" s="2992"/>
      <c r="C292" s="3006"/>
      <c r="D292" s="2994"/>
      <c r="E292" s="3007" t="s">
        <v>532</v>
      </c>
      <c r="F292" s="3008"/>
      <c r="G292" s="3008"/>
      <c r="H292" s="3009"/>
      <c r="I292" s="3010"/>
      <c r="J292" s="3007" t="s">
        <v>566</v>
      </c>
      <c r="K292" s="3008"/>
      <c r="L292" s="3008"/>
      <c r="M292" s="3009"/>
      <c r="N292" s="3010"/>
      <c r="O292" s="3007" t="s">
        <v>532</v>
      </c>
      <c r="P292" s="3008"/>
      <c r="Q292" s="3008"/>
      <c r="R292" s="3009"/>
      <c r="S292" s="3010"/>
      <c r="T292" s="3007" t="s">
        <v>480</v>
      </c>
      <c r="U292" s="3008"/>
      <c r="V292" s="3008"/>
      <c r="W292" s="3009"/>
      <c r="X292" s="3010"/>
      <c r="Y292" s="3007" t="s">
        <v>532</v>
      </c>
      <c r="Z292" s="3008"/>
      <c r="AA292" s="3008"/>
      <c r="AB292" s="3009"/>
      <c r="AC292" s="3010"/>
      <c r="AD292" s="3007" t="s">
        <v>532</v>
      </c>
      <c r="AE292" s="3008"/>
      <c r="AF292" s="3008"/>
      <c r="AG292" s="3009"/>
      <c r="AH292" s="2975"/>
      <c r="AI292" s="2737"/>
    </row>
    <row r="293">
      <c r="A293" s="2329"/>
      <c r="B293" s="2992"/>
      <c r="C293" s="3011"/>
      <c r="D293" s="2994"/>
      <c r="E293" s="3012" t="s">
        <v>1081</v>
      </c>
      <c r="F293" s="3013"/>
      <c r="G293" s="3013"/>
      <c r="H293" s="3014"/>
      <c r="I293" s="3010"/>
      <c r="J293" s="3012" t="s">
        <v>483</v>
      </c>
      <c r="K293" s="3013"/>
      <c r="L293" s="3013"/>
      <c r="M293" s="3014"/>
      <c r="N293" s="3010"/>
      <c r="O293" s="3012" t="s">
        <v>108</v>
      </c>
      <c r="P293" s="3013"/>
      <c r="Q293" s="3013"/>
      <c r="R293" s="3014"/>
      <c r="S293" s="3010"/>
      <c r="T293" s="3012" t="s">
        <v>1279</v>
      </c>
      <c r="U293" s="3013"/>
      <c r="V293" s="3013"/>
      <c r="W293" s="3014"/>
      <c r="X293" s="3010"/>
      <c r="Y293" s="3012" t="s">
        <v>483</v>
      </c>
      <c r="Z293" s="3013"/>
      <c r="AA293" s="3013"/>
      <c r="AB293" s="3014"/>
      <c r="AC293" s="3010"/>
      <c r="AD293" s="3012" t="s">
        <v>1280</v>
      </c>
      <c r="AE293" s="3013"/>
      <c r="AF293" s="3013"/>
      <c r="AG293" s="3014"/>
      <c r="AH293" s="2975"/>
      <c r="AI293" s="2737"/>
    </row>
    <row r="294" ht="20.25" customHeight="1">
      <c r="A294" s="2329"/>
      <c r="B294" s="2992"/>
      <c r="C294" s="3002"/>
      <c r="D294" s="2994"/>
      <c r="E294" s="3015" t="s">
        <v>573</v>
      </c>
      <c r="F294" s="3016"/>
      <c r="G294" s="3017"/>
      <c r="H294" s="3018" t="str">
        <f>IMAGE("https://raw.githubusercontent.com/msikma/pokesprite/master/items/hold-item/focus-sash.png",3)</f>
        <v/>
      </c>
      <c r="I294" s="3225"/>
      <c r="J294" s="3015" t="s">
        <v>686</v>
      </c>
      <c r="K294" s="3016"/>
      <c r="L294" s="3017"/>
      <c r="M294" s="3018" t="str">
        <f>IMAGE("https://raw.githubusercontent.com/msikma/pokesprite/master/items/gem/water.png",3)</f>
        <v/>
      </c>
      <c r="N294" s="3225"/>
      <c r="O294" s="3015" t="s">
        <v>687</v>
      </c>
      <c r="P294" s="3016"/>
      <c r="Q294" s="3017"/>
      <c r="R294" s="3018" t="str">
        <f>IMAGE("https://raw.githubusercontent.com/msikma/pokesprite/master/items/z-crystals/flyinium-z--held.png",3)</f>
        <v/>
      </c>
      <c r="S294" s="3225"/>
      <c r="T294" s="3015" t="s">
        <v>733</v>
      </c>
      <c r="U294" s="3016"/>
      <c r="V294" s="3017"/>
      <c r="W294" s="3018" t="str">
        <f>IMAGE("https://raw.githubusercontent.com/msikma/pokesprite/master/items/hold-item/leftovers.png",3)</f>
        <v/>
      </c>
      <c r="X294" s="3225"/>
      <c r="Y294" s="3015" t="s">
        <v>573</v>
      </c>
      <c r="Z294" s="3016"/>
      <c r="AA294" s="3017"/>
      <c r="AB294" s="3018" t="str">
        <f>IMAGE("https://raw.githubusercontent.com/msikma/pokesprite/master/items/hold-item/focus-sash.png",3)</f>
        <v/>
      </c>
      <c r="AC294" s="3225"/>
      <c r="AD294" s="3015" t="s">
        <v>1281</v>
      </c>
      <c r="AE294" s="3016"/>
      <c r="AF294" s="3017"/>
      <c r="AG294" s="3018" t="str">
        <f>IMAGE("https://raw.githubusercontent.com/msikma/pokesprite/master/items/mega-stone/garchompite.png",3)</f>
        <v/>
      </c>
      <c r="AH294" s="2975"/>
      <c r="AI294" s="2737"/>
    </row>
    <row r="295" ht="20.25" customHeight="1">
      <c r="A295" s="2329"/>
      <c r="B295" s="2992"/>
      <c r="C295" s="3006"/>
      <c r="D295" s="2994"/>
      <c r="E295" s="3007" t="s">
        <v>621</v>
      </c>
      <c r="F295" s="3008"/>
      <c r="G295" s="3019"/>
      <c r="H295" s="3020" t="str">
        <f>IMAGE("https://raw.githubusercontent.com/msikma/pokesprite/master/misc/types/gen8/rock.png",4,20,20)</f>
        <v/>
      </c>
      <c r="I295" s="3225"/>
      <c r="J295" s="3007" t="s">
        <v>938</v>
      </c>
      <c r="K295" s="3008"/>
      <c r="L295" s="3019"/>
      <c r="M295" s="3020" t="str">
        <f>IMAGE("https://raw.githubusercontent.com/msikma/pokesprite/master/misc/types/gen8/water.png",4,20,20)</f>
        <v/>
      </c>
      <c r="N295" s="3225"/>
      <c r="O295" s="3007" t="s">
        <v>219</v>
      </c>
      <c r="P295" s="3008"/>
      <c r="Q295" s="3019"/>
      <c r="R295" s="3020" t="str">
        <f>IMAGE("https://raw.githubusercontent.com/msikma/pokesprite/master/misc/types/gen8/dragon.png",4,20,20)</f>
        <v/>
      </c>
      <c r="S295" s="3225"/>
      <c r="T295" s="3007" t="s">
        <v>252</v>
      </c>
      <c r="U295" s="3008"/>
      <c r="V295" s="3019"/>
      <c r="W295" s="3020" t="str">
        <f>IMAGE("https://raw.githubusercontent.com/msikma/pokesprite/master/misc/types/gen8/steel.png",4,20,20)</f>
        <v/>
      </c>
      <c r="X295" s="3225"/>
      <c r="Y295" s="3007" t="s">
        <v>287</v>
      </c>
      <c r="Z295" s="3008"/>
      <c r="AA295" s="3019"/>
      <c r="AB295" s="3020" t="str">
        <f>IMAGE("https://raw.githubusercontent.com/msikma/pokesprite/master/misc/types/gen8/normal.png",4,20,20)</f>
        <v/>
      </c>
      <c r="AC295" s="3225"/>
      <c r="AD295" s="3007" t="s">
        <v>287</v>
      </c>
      <c r="AE295" s="3008"/>
      <c r="AF295" s="3019"/>
      <c r="AG295" s="3020" t="str">
        <f>IMAGE("https://raw.githubusercontent.com/msikma/pokesprite/master/misc/types/gen8/normal.png",4,20,20)</f>
        <v/>
      </c>
      <c r="AH295" s="2975"/>
      <c r="AI295" s="2737"/>
    </row>
    <row r="296" ht="20.25" customHeight="1">
      <c r="A296" s="2329"/>
      <c r="B296" s="2992"/>
      <c r="C296" s="3021"/>
      <c r="D296" s="2994"/>
      <c r="E296" s="3012" t="s">
        <v>1282</v>
      </c>
      <c r="F296" s="3013"/>
      <c r="G296" s="3022"/>
      <c r="H296" s="3023" t="str">
        <f>IMAGE("https://raw.githubusercontent.com/msikma/pokesprite/master/misc/types/gen8/ice.png",4,20,20)</f>
        <v/>
      </c>
      <c r="I296" s="3225"/>
      <c r="J296" s="3012" t="s">
        <v>939</v>
      </c>
      <c r="K296" s="3013"/>
      <c r="L296" s="3022"/>
      <c r="M296" s="3023" t="str">
        <f>IMAGE("https://raw.githubusercontent.com/msikma/pokesprite/master/misc/types/gen8/psychic.png",4,20,20)</f>
        <v/>
      </c>
      <c r="N296" s="3225"/>
      <c r="O296" s="3012" t="s">
        <v>760</v>
      </c>
      <c r="P296" s="3013"/>
      <c r="Q296" s="3022"/>
      <c r="R296" s="3023" t="str">
        <f>IMAGE("https://raw.githubusercontent.com/msikma/pokesprite/master/misc/types/gen8/water.png",4,20,20)</f>
        <v/>
      </c>
      <c r="S296" s="3225"/>
      <c r="T296" s="3012" t="s">
        <v>720</v>
      </c>
      <c r="U296" s="3013"/>
      <c r="V296" s="3022"/>
      <c r="W296" s="3023" t="str">
        <f>IMAGE("https://raw.githubusercontent.com/msikma/pokesprite/master/misc/types/gen8/fighting.png",4,20,20)</f>
        <v/>
      </c>
      <c r="X296" s="3225"/>
      <c r="Y296" s="3012" t="s">
        <v>549</v>
      </c>
      <c r="Z296" s="3013"/>
      <c r="AA296" s="3022"/>
      <c r="AB296" s="3023" t="str">
        <f>IMAGE("https://raw.githubusercontent.com/msikma/pokesprite/master/misc/types/gen8/ground.png",4,20,20)</f>
        <v/>
      </c>
      <c r="AC296" s="3225"/>
      <c r="AD296" s="3012" t="s">
        <v>549</v>
      </c>
      <c r="AE296" s="3013"/>
      <c r="AF296" s="3022"/>
      <c r="AG296" s="3023" t="str">
        <f>IMAGE("https://raw.githubusercontent.com/msikma/pokesprite/master/misc/types/gen8/ground.png",4,20,20)</f>
        <v/>
      </c>
      <c r="AH296" s="2975"/>
      <c r="AI296" s="2737"/>
    </row>
    <row r="297" ht="20.25" customHeight="1">
      <c r="A297" s="2329"/>
      <c r="B297" s="2992"/>
      <c r="C297" s="3021"/>
      <c r="D297" s="2994"/>
      <c r="E297" s="3012" t="s">
        <v>695</v>
      </c>
      <c r="F297" s="3013"/>
      <c r="G297" s="3022"/>
      <c r="H297" s="3023" t="str">
        <f>IMAGE("https://raw.githubusercontent.com/msikma/pokesprite/master/misc/types/gen8/ground.png",4,20,20)</f>
        <v/>
      </c>
      <c r="I297" s="3225"/>
      <c r="J297" s="3012" t="s">
        <v>762</v>
      </c>
      <c r="K297" s="3013"/>
      <c r="L297" s="3022"/>
      <c r="M297" s="3023" t="str">
        <f>IMAGE("https://raw.githubusercontent.com/msikma/pokesprite/master/misc/types/gen8/dark.png",4,20,20)</f>
        <v/>
      </c>
      <c r="N297" s="3225"/>
      <c r="O297" s="3012" t="s">
        <v>549</v>
      </c>
      <c r="P297" s="3013"/>
      <c r="Q297" s="3022"/>
      <c r="R297" s="3023" t="str">
        <f>IMAGE("https://raw.githubusercontent.com/msikma/pokesprite/master/misc/types/gen8/ground.png",4,20,20)</f>
        <v/>
      </c>
      <c r="S297" s="3225"/>
      <c r="T297" s="3012" t="s">
        <v>1283</v>
      </c>
      <c r="U297" s="3013"/>
      <c r="V297" s="3022"/>
      <c r="W297" s="3023" t="str">
        <f>IMAGE("https://raw.githubusercontent.com/msikma/pokesprite/master/misc/types/gen8/rock.png",4,20,20)</f>
        <v/>
      </c>
      <c r="X297" s="3225"/>
      <c r="Y297" s="3012" t="s">
        <v>739</v>
      </c>
      <c r="Z297" s="3013"/>
      <c r="AA297" s="3022"/>
      <c r="AB297" s="3023" t="str">
        <f>IMAGE("https://raw.githubusercontent.com/msikma/pokesprite/master/misc/types/gen8/steel.png",4,20,20)</f>
        <v/>
      </c>
      <c r="AC297" s="3225"/>
      <c r="AD297" s="3012" t="s">
        <v>154</v>
      </c>
      <c r="AE297" s="3013"/>
      <c r="AF297" s="3022"/>
      <c r="AG297" s="3023" t="str">
        <f>IMAGE("https://raw.githubusercontent.com/msikma/pokesprite/master/misc/types/gen8/dragon.png",4,20,20)</f>
        <v/>
      </c>
      <c r="AH297" s="2975"/>
      <c r="AI297" s="2737"/>
    </row>
    <row r="298" ht="21.0" customHeight="1">
      <c r="A298" s="2329"/>
      <c r="B298" s="2992"/>
      <c r="C298" s="3021"/>
      <c r="D298" s="2994"/>
      <c r="E298" s="3024" t="s">
        <v>925</v>
      </c>
      <c r="F298" s="3025"/>
      <c r="G298" s="3026"/>
      <c r="H298" s="3027" t="str">
        <f>IMAGE("https://raw.githubusercontent.com/msikma/pokesprite/master/misc/types/gen8/ice.png",4,20,20)</f>
        <v/>
      </c>
      <c r="I298" s="3225"/>
      <c r="J298" s="3024" t="s">
        <v>696</v>
      </c>
      <c r="K298" s="3025"/>
      <c r="L298" s="3026"/>
      <c r="M298" s="3027" t="str">
        <f>IMAGE("https://raw.githubusercontent.com/msikma/pokesprite/master/misc/types/gen8/dragon.png",4,20,20)</f>
        <v/>
      </c>
      <c r="N298" s="3225"/>
      <c r="O298" s="3024" t="s">
        <v>1223</v>
      </c>
      <c r="P298" s="3025"/>
      <c r="Q298" s="3026"/>
      <c r="R298" s="3027" t="str">
        <f>IMAGE("https://raw.githubusercontent.com/msikma/pokesprite/master/misc/types/gen8/flying.png",4,20,20)</f>
        <v/>
      </c>
      <c r="S298" s="3225"/>
      <c r="T298" s="3024" t="s">
        <v>501</v>
      </c>
      <c r="U298" s="3025"/>
      <c r="V298" s="3026"/>
      <c r="W298" s="3027" t="str">
        <f>IMAGE("https://raw.githubusercontent.com/msikma/pokesprite/master/misc/types/gen8/normal.png",4,20,20)</f>
        <v/>
      </c>
      <c r="X298" s="3225"/>
      <c r="Y298" s="3024" t="s">
        <v>588</v>
      </c>
      <c r="Z298" s="3025"/>
      <c r="AA298" s="3026"/>
      <c r="AB298" s="3027" t="str">
        <f>IMAGE("https://raw.githubusercontent.com/msikma/pokesprite/master/misc/types/gen8/rock.png",4,20,20)</f>
        <v/>
      </c>
      <c r="AC298" s="3225"/>
      <c r="AD298" s="3024" t="s">
        <v>621</v>
      </c>
      <c r="AE298" s="3025"/>
      <c r="AF298" s="3026"/>
      <c r="AG298" s="3027" t="str">
        <f>IMAGE("https://raw.githubusercontent.com/msikma/pokesprite/master/misc/types/gen8/rock.png",4,20,20)</f>
        <v/>
      </c>
      <c r="AH298" s="2975"/>
      <c r="AI298" s="2737"/>
    </row>
    <row r="299" ht="3.0" customHeight="1">
      <c r="A299" s="2802"/>
      <c r="B299" s="3028"/>
      <c r="C299" s="3029"/>
      <c r="D299" s="3030"/>
      <c r="E299" s="3031"/>
      <c r="F299" s="3031"/>
      <c r="G299" s="3031"/>
      <c r="H299" s="3031"/>
      <c r="I299" s="3030"/>
      <c r="J299" s="3031"/>
      <c r="K299" s="3031"/>
      <c r="L299" s="3031"/>
      <c r="M299" s="3031"/>
      <c r="N299" s="3030"/>
      <c r="O299" s="3031"/>
      <c r="P299" s="3031"/>
      <c r="Q299" s="3031"/>
      <c r="R299" s="3031"/>
      <c r="S299" s="3030"/>
      <c r="T299" s="3031"/>
      <c r="U299" s="3031"/>
      <c r="V299" s="3031"/>
      <c r="W299" s="3032"/>
      <c r="X299" s="3030"/>
      <c r="Y299" s="3033"/>
      <c r="Z299" s="3034"/>
      <c r="AA299" s="3034"/>
      <c r="AB299" s="3035"/>
      <c r="AC299" s="3030"/>
      <c r="AD299" s="3036"/>
      <c r="AE299" s="3036"/>
      <c r="AF299" s="3036"/>
      <c r="AG299" s="3035"/>
      <c r="AH299" s="3037"/>
      <c r="AI299" s="2810"/>
    </row>
    <row r="300" ht="16.5" customHeight="1">
      <c r="A300" s="2811"/>
      <c r="B300" s="3038"/>
      <c r="C300" s="3029"/>
      <c r="D300" s="3039"/>
      <c r="E300" s="3040" t="s">
        <v>512</v>
      </c>
      <c r="F300" s="606"/>
      <c r="G300" s="606"/>
      <c r="H300" s="607"/>
      <c r="I300" s="3226"/>
      <c r="J300" s="3040" t="s">
        <v>512</v>
      </c>
      <c r="K300" s="606"/>
      <c r="L300" s="606"/>
      <c r="M300" s="607"/>
      <c r="N300" s="3226"/>
      <c r="O300" s="3040" t="s">
        <v>512</v>
      </c>
      <c r="P300" s="606"/>
      <c r="Q300" s="606"/>
      <c r="R300" s="607"/>
      <c r="S300" s="3226"/>
      <c r="T300" s="3040" t="s">
        <v>512</v>
      </c>
      <c r="U300" s="606"/>
      <c r="V300" s="606"/>
      <c r="W300" s="607"/>
      <c r="X300" s="3226"/>
      <c r="Y300" s="3040" t="s">
        <v>512</v>
      </c>
      <c r="Z300" s="606"/>
      <c r="AA300" s="606"/>
      <c r="AB300" s="607"/>
      <c r="AC300" s="3226"/>
      <c r="AD300" s="3040" t="s">
        <v>512</v>
      </c>
      <c r="AE300" s="606"/>
      <c r="AF300" s="606"/>
      <c r="AG300" s="607"/>
      <c r="AH300" s="3042"/>
      <c r="AI300" s="2407"/>
    </row>
    <row r="301" ht="16.5" customHeight="1">
      <c r="A301" s="2811"/>
      <c r="B301" s="3038"/>
      <c r="C301" s="3029"/>
      <c r="D301" s="3039"/>
      <c r="E301" s="3043" t="s">
        <v>513</v>
      </c>
      <c r="F301" s="3044">
        <f t="array" ref="F301">IFERROR(VLOOKUP(E288,Dex!$B$3:$N454,8,FALSE),"")</f>
        <v>110</v>
      </c>
      <c r="G301" s="3045" t="str">
        <f t="array" ref="G301">IFERROR(VLOOKUP(F301,Dex!$P$22:$Q$276,2,FALSE),"")</f>
        <v/>
      </c>
      <c r="H301" s="3046"/>
      <c r="I301" s="3226"/>
      <c r="J301" s="3043" t="s">
        <v>513</v>
      </c>
      <c r="K301" s="3044">
        <f t="array" ref="K301">IFERROR(VLOOKUP(J288,Dex!$B$3:$N454,8,FALSE),"")</f>
        <v>90</v>
      </c>
      <c r="L301" s="3045" t="str">
        <f t="array" ref="L301">IFERROR(VLOOKUP(K301,Dex!$P$22:$Q$276,2,FALSE),"")</f>
        <v/>
      </c>
      <c r="M301" s="3046"/>
      <c r="N301" s="3226"/>
      <c r="O301" s="3043" t="s">
        <v>513</v>
      </c>
      <c r="P301" s="3044">
        <f t="array" ref="P301">IFERROR(VLOOKUP(O288,Dex!$B$3:$N454,8,FALSE),"")</f>
        <v>95</v>
      </c>
      <c r="Q301" s="3045" t="str">
        <f t="array" ref="Q301">IFERROR(VLOOKUP(P301,Dex!$P$22:$Q$276,2,FALSE),"")</f>
        <v/>
      </c>
      <c r="R301" s="3046"/>
      <c r="S301" s="3226"/>
      <c r="T301" s="3043" t="s">
        <v>513</v>
      </c>
      <c r="U301" s="3044">
        <f t="array" ref="U301">IFERROR(VLOOKUP(T288,Dex!$B$3:$N454,8,FALSE),"")</f>
        <v>100</v>
      </c>
      <c r="V301" s="3045" t="str">
        <f t="array" ref="V301">IFERROR(VLOOKUP(U301,Dex!$P$22:$Q$276,2,FALSE),"")</f>
        <v/>
      </c>
      <c r="W301" s="3046"/>
      <c r="X301" s="3226"/>
      <c r="Y301" s="3043" t="s">
        <v>513</v>
      </c>
      <c r="Z301" s="3044">
        <f t="array" ref="Z301">IFERROR(VLOOKUP(Y288,Dex!$B$3:$N454,8,FALSE),"")</f>
        <v>110</v>
      </c>
      <c r="AA301" s="3045" t="str">
        <f t="array" ref="AA301">IFERROR(VLOOKUP(Z301,Dex!$P$22:$Q$276,2,FALSE),"")</f>
        <v/>
      </c>
      <c r="AB301" s="3046"/>
      <c r="AC301" s="3226"/>
      <c r="AD301" s="3043" t="s">
        <v>513</v>
      </c>
      <c r="AE301" s="3044">
        <f t="array" ref="AE301">IFERROR(VLOOKUP(AD288,Dex!$B$3:$N454,8,FALSE),"")</f>
        <v>108</v>
      </c>
      <c r="AF301" s="3045" t="str">
        <f t="array" ref="AF301">IFERROR(VLOOKUP(AE301,Dex!$P$22:$Q$276,2,FALSE),"")</f>
        <v/>
      </c>
      <c r="AG301" s="3046"/>
      <c r="AH301" s="3042"/>
      <c r="AI301" s="2407"/>
    </row>
    <row r="302" ht="16.5" customHeight="1">
      <c r="A302" s="2811"/>
      <c r="B302" s="3038"/>
      <c r="C302" s="3029"/>
      <c r="D302" s="3039"/>
      <c r="E302" s="3047" t="s">
        <v>514</v>
      </c>
      <c r="F302" s="3048">
        <f t="array" ref="F302">IFERROR(VLOOKUP(E288,Dex!$B$3:$N454,9,FALSE),"")</f>
        <v>130</v>
      </c>
      <c r="G302" s="3049" t="str">
        <f t="array" ref="G302">IFERROR(VLOOKUP(F302,Dex!$P$22:$Q$276,2,FALSE),"")</f>
        <v/>
      </c>
      <c r="H302" s="3050"/>
      <c r="I302" s="3226"/>
      <c r="J302" s="3047" t="s">
        <v>514</v>
      </c>
      <c r="K302" s="3048">
        <f t="array" ref="K302">IFERROR(VLOOKUP(J288,Dex!$B$3:$N454,9,FALSE),"")</f>
        <v>90</v>
      </c>
      <c r="L302" s="3049" t="str">
        <f t="array" ref="L302">IFERROR(VLOOKUP(K302,Dex!$P$22:$Q$276,2,FALSE),"")</f>
        <v/>
      </c>
      <c r="M302" s="3050"/>
      <c r="N302" s="3226"/>
      <c r="O302" s="3047" t="s">
        <v>514</v>
      </c>
      <c r="P302" s="3048">
        <f t="array" ref="P302">IFERROR(VLOOKUP(O288,Dex!$B$3:$N454,9,FALSE),"")</f>
        <v>125</v>
      </c>
      <c r="Q302" s="3049" t="str">
        <f t="array" ref="Q302">IFERROR(VLOOKUP(P302,Dex!$P$22:$Q$276,2,FALSE),"")</f>
        <v/>
      </c>
      <c r="R302" s="3050"/>
      <c r="S302" s="3226"/>
      <c r="T302" s="3047" t="s">
        <v>514</v>
      </c>
      <c r="U302" s="3048">
        <f t="array" ref="U302">IFERROR(VLOOKUP(T288,Dex!$B$3:$N454,9,FALSE),"")</f>
        <v>100</v>
      </c>
      <c r="V302" s="3049" t="str">
        <f t="array" ref="V302">IFERROR(VLOOKUP(U302,Dex!$P$22:$Q$276,2,FALSE),"")</f>
        <v/>
      </c>
      <c r="W302" s="3050"/>
      <c r="X302" s="3226"/>
      <c r="Y302" s="3047" t="s">
        <v>514</v>
      </c>
      <c r="Z302" s="3048">
        <f t="array" ref="Z302">IFERROR(VLOOKUP(Y288,Dex!$B$3:$N454,9,FALSE),"")</f>
        <v>135</v>
      </c>
      <c r="AA302" s="3049" t="str">
        <f t="array" ref="AA302">IFERROR(VLOOKUP(Z302,Dex!$P$22:$Q$276,2,FALSE),"")</f>
        <v/>
      </c>
      <c r="AB302" s="3050"/>
      <c r="AC302" s="3226"/>
      <c r="AD302" s="3047" t="s">
        <v>514</v>
      </c>
      <c r="AE302" s="3048">
        <f t="array" ref="AE302">IFERROR(VLOOKUP(AD288,Dex!$B$3:$N454,9,FALSE),"")</f>
        <v>170</v>
      </c>
      <c r="AF302" s="3049" t="str">
        <f t="array" ref="AF302">IFERROR(VLOOKUP(AE302,Dex!$P$22:$Q$276,2,FALSE),"")</f>
        <v/>
      </c>
      <c r="AG302" s="3050"/>
      <c r="AH302" s="3042"/>
      <c r="AI302" s="2407"/>
    </row>
    <row r="303" ht="16.5" customHeight="1">
      <c r="A303" s="2811"/>
      <c r="B303" s="3038"/>
      <c r="C303" s="3029"/>
      <c r="D303" s="3039"/>
      <c r="E303" s="3047" t="s">
        <v>515</v>
      </c>
      <c r="F303" s="3048">
        <f t="array" ref="F303">IFERROR(VLOOKUP(E288,Dex!$B$3:$N454,10,FALSE),"")</f>
        <v>80</v>
      </c>
      <c r="G303" s="3049" t="str">
        <f t="array" ref="G303">IFERROR(VLOOKUP(F303,Dex!$P$22:$Q$276,2,FALSE),"")</f>
        <v/>
      </c>
      <c r="H303" s="3050"/>
      <c r="I303" s="3226"/>
      <c r="J303" s="3047" t="s">
        <v>515</v>
      </c>
      <c r="K303" s="3048">
        <f t="array" ref="K303">IFERROR(VLOOKUP(J288,Dex!$B$3:$N454,10,FALSE),"")</f>
        <v>100</v>
      </c>
      <c r="L303" s="3049" t="str">
        <f t="array" ref="L303">IFERROR(VLOOKUP(K303,Dex!$P$22:$Q$276,2,FALSE),"")</f>
        <v/>
      </c>
      <c r="M303" s="3050"/>
      <c r="N303" s="3226"/>
      <c r="O303" s="3047" t="s">
        <v>515</v>
      </c>
      <c r="P303" s="3048">
        <f t="array" ref="P303">IFERROR(VLOOKUP(O288,Dex!$B$3:$N454,10,FALSE),"")</f>
        <v>79</v>
      </c>
      <c r="Q303" s="3049" t="str">
        <f t="array" ref="Q303">IFERROR(VLOOKUP(P303,Dex!$P$22:$Q$276,2,FALSE),"")</f>
        <v/>
      </c>
      <c r="R303" s="3050"/>
      <c r="S303" s="3226"/>
      <c r="T303" s="3047" t="s">
        <v>515</v>
      </c>
      <c r="U303" s="3048">
        <f t="array" ref="U303">IFERROR(VLOOKUP(T288,Dex!$B$3:$N454,10,FALSE),"")</f>
        <v>130</v>
      </c>
      <c r="V303" s="3049" t="str">
        <f t="array" ref="V303">IFERROR(VLOOKUP(U303,Dex!$P$22:$Q$276,2,FALSE),"")</f>
        <v/>
      </c>
      <c r="W303" s="3050"/>
      <c r="X303" s="3226"/>
      <c r="Y303" s="3047" t="s">
        <v>515</v>
      </c>
      <c r="Z303" s="3048">
        <f t="array" ref="Z303">IFERROR(VLOOKUP(Y288,Dex!$B$3:$N454,10,FALSE),"")</f>
        <v>60</v>
      </c>
      <c r="AA303" s="3049" t="str">
        <f t="array" ref="AA303">IFERROR(VLOOKUP(Z303,Dex!$P$22:$Q$276,2,FALSE),"")</f>
        <v/>
      </c>
      <c r="AB303" s="3050"/>
      <c r="AC303" s="3226"/>
      <c r="AD303" s="3047" t="s">
        <v>515</v>
      </c>
      <c r="AE303" s="3048">
        <f t="array" ref="AE303">IFERROR(VLOOKUP(AD288,Dex!$B$3:$N454,10,FALSE),"")</f>
        <v>105</v>
      </c>
      <c r="AF303" s="3049" t="str">
        <f t="array" ref="AF303">IFERROR(VLOOKUP(AE303,Dex!$P$22:$Q$276,2,FALSE),"")</f>
        <v/>
      </c>
      <c r="AG303" s="3050"/>
      <c r="AH303" s="3042"/>
      <c r="AI303" s="2407"/>
    </row>
    <row r="304" ht="16.5" customHeight="1">
      <c r="A304" s="2811"/>
      <c r="B304" s="3038"/>
      <c r="C304" s="3029"/>
      <c r="D304" s="3039"/>
      <c r="E304" s="3047" t="s">
        <v>516</v>
      </c>
      <c r="F304" s="3048">
        <f t="array" ref="F304">IFERROR(VLOOKUP(E288,Dex!$B$3:$N454,11,FALSE),"")</f>
        <v>70</v>
      </c>
      <c r="G304" s="3049" t="str">
        <f t="array" ref="G304">IFERROR(VLOOKUP(F304,Dex!$P$22:$Q$276,2,FALSE),"")</f>
        <v/>
      </c>
      <c r="H304" s="3050"/>
      <c r="I304" s="3226"/>
      <c r="J304" s="3047" t="s">
        <v>516</v>
      </c>
      <c r="K304" s="3048">
        <f t="array" ref="K304">IFERROR(VLOOKUP(J288,Dex!$B$3:$N454,11,FALSE),"")</f>
        <v>70</v>
      </c>
      <c r="L304" s="3049" t="str">
        <f t="array" ref="L304">IFERROR(VLOOKUP(K304,Dex!$P$22:$Q$276,2,FALSE),"")</f>
        <v/>
      </c>
      <c r="M304" s="3050"/>
      <c r="N304" s="3226"/>
      <c r="O304" s="3047" t="s">
        <v>516</v>
      </c>
      <c r="P304" s="3048">
        <f t="array" ref="P304">IFERROR(VLOOKUP(O288,Dex!$B$3:$N454,11,FALSE),"")</f>
        <v>60</v>
      </c>
      <c r="Q304" s="3049" t="str">
        <f t="array" ref="Q304">IFERROR(VLOOKUP(P304,Dex!$P$22:$Q$276,2,FALSE),"")</f>
        <v/>
      </c>
      <c r="R304" s="3050"/>
      <c r="S304" s="3226"/>
      <c r="T304" s="3047" t="s">
        <v>516</v>
      </c>
      <c r="U304" s="3048">
        <f t="array" ref="U304">IFERROR(VLOOKUP(T288,Dex!$B$3:$N454,11,FALSE),"")</f>
        <v>45</v>
      </c>
      <c r="V304" s="3049" t="str">
        <f t="array" ref="V304">IFERROR(VLOOKUP(U304,Dex!$P$22:$Q$276,2,FALSE),"")</f>
        <v/>
      </c>
      <c r="W304" s="3050"/>
      <c r="X304" s="3226"/>
      <c r="Y304" s="3047" t="s">
        <v>516</v>
      </c>
      <c r="Z304" s="3048">
        <f t="array" ref="Z304">IFERROR(VLOOKUP(Y288,Dex!$B$3:$N454,11,FALSE),"")</f>
        <v>50</v>
      </c>
      <c r="AA304" s="3049" t="str">
        <f t="array" ref="AA304">IFERROR(VLOOKUP(Z304,Dex!$P$22:$Q$276,2,FALSE),"")</f>
        <v/>
      </c>
      <c r="AB304" s="3050"/>
      <c r="AC304" s="3226"/>
      <c r="AD304" s="3047" t="s">
        <v>516</v>
      </c>
      <c r="AE304" s="3048">
        <f t="array" ref="AE304">IFERROR(VLOOKUP(AD288,Dex!$B$3:$N454,11,FALSE),"")</f>
        <v>120</v>
      </c>
      <c r="AF304" s="3049" t="str">
        <f t="array" ref="AF304">IFERROR(VLOOKUP(AE304,Dex!$P$22:$Q$276,2,FALSE),"")</f>
        <v/>
      </c>
      <c r="AG304" s="3050"/>
      <c r="AH304" s="3042"/>
      <c r="AI304" s="2407"/>
    </row>
    <row r="305" ht="16.5" customHeight="1">
      <c r="A305" s="2811"/>
      <c r="B305" s="3038"/>
      <c r="C305" s="3029"/>
      <c r="D305" s="3039"/>
      <c r="E305" s="3047" t="s">
        <v>517</v>
      </c>
      <c r="F305" s="3048">
        <f t="array" ref="F305">IFERROR(VLOOKUP(E288,Dex!$B$3:$N454,12,FALSE),"")</f>
        <v>60</v>
      </c>
      <c r="G305" s="3049" t="str">
        <f t="array" ref="G305">IFERROR(VLOOKUP(F305,Dex!$P$22:$Q$276,2,FALSE),"")</f>
        <v/>
      </c>
      <c r="H305" s="3050"/>
      <c r="I305" s="3226"/>
      <c r="J305" s="3047" t="s">
        <v>517</v>
      </c>
      <c r="K305" s="3048">
        <f t="array" ref="K305">IFERROR(VLOOKUP(J288,Dex!$B$3:$N454,12,FALSE),"")</f>
        <v>80</v>
      </c>
      <c r="L305" s="3049" t="str">
        <f t="array" ref="L305">IFERROR(VLOOKUP(K305,Dex!$P$22:$Q$276,2,FALSE),"")</f>
        <v/>
      </c>
      <c r="M305" s="3050"/>
      <c r="N305" s="3226"/>
      <c r="O305" s="3047" t="s">
        <v>517</v>
      </c>
      <c r="P305" s="3048">
        <f t="array" ref="P305">IFERROR(VLOOKUP(O288,Dex!$B$3:$N454,12,FALSE),"")</f>
        <v>100</v>
      </c>
      <c r="Q305" s="3049" t="str">
        <f t="array" ref="Q305">IFERROR(VLOOKUP(P305,Dex!$P$22:$Q$276,2,FALSE),"")</f>
        <v/>
      </c>
      <c r="R305" s="3050"/>
      <c r="S305" s="3226"/>
      <c r="T305" s="3047" t="s">
        <v>517</v>
      </c>
      <c r="U305" s="3048">
        <f t="array" ref="U305">IFERROR(VLOOKUP(T288,Dex!$B$3:$N454,12,FALSE),"")</f>
        <v>90</v>
      </c>
      <c r="V305" s="3049" t="str">
        <f t="array" ref="V305">IFERROR(VLOOKUP(U305,Dex!$P$22:$Q$276,2,FALSE),"")</f>
        <v/>
      </c>
      <c r="W305" s="3050"/>
      <c r="X305" s="3226"/>
      <c r="Y305" s="3047" t="s">
        <v>517</v>
      </c>
      <c r="Z305" s="3048">
        <f t="array" ref="Z305">IFERROR(VLOOKUP(Y288,Dex!$B$3:$N454,12,FALSE),"")</f>
        <v>65</v>
      </c>
      <c r="AA305" s="3049" t="str">
        <f t="array" ref="AA305">IFERROR(VLOOKUP(Z305,Dex!$P$22:$Q$276,2,FALSE),"")</f>
        <v/>
      </c>
      <c r="AB305" s="3050"/>
      <c r="AC305" s="3226"/>
      <c r="AD305" s="3047" t="s">
        <v>517</v>
      </c>
      <c r="AE305" s="3048">
        <f t="array" ref="AE305">IFERROR(VLOOKUP(AD288,Dex!$B$3:$N454,12,FALSE),"")</f>
        <v>95</v>
      </c>
      <c r="AF305" s="3049" t="str">
        <f t="array" ref="AF305">IFERROR(VLOOKUP(AE305,Dex!$P$22:$Q$276,2,FALSE),"")</f>
        <v/>
      </c>
      <c r="AG305" s="3050"/>
      <c r="AH305" s="3042"/>
      <c r="AI305" s="2407"/>
    </row>
    <row r="306" ht="15.75" customHeight="1">
      <c r="A306" s="2811"/>
      <c r="B306" s="3038"/>
      <c r="C306" s="3029"/>
      <c r="D306" s="3039"/>
      <c r="E306" s="3051" t="s">
        <v>518</v>
      </c>
      <c r="F306" s="3052">
        <f t="array" ref="F306">IFERROR(VLOOKUP(E288,Dex!$B$3:$N454,13,FALSE),"")</f>
        <v>80</v>
      </c>
      <c r="G306" s="3053" t="str">
        <f t="array" ref="G306">IFERROR(VLOOKUP(F306,Dex!$P$22:$Q$276,2,FALSE),"")</f>
        <v/>
      </c>
      <c r="H306" s="3054"/>
      <c r="I306" s="3226"/>
      <c r="J306" s="3051" t="s">
        <v>518</v>
      </c>
      <c r="K306" s="3052">
        <f t="array" ref="K306">IFERROR(VLOOKUP(J288,Dex!$B$3:$N454,13,FALSE),"")</f>
        <v>75</v>
      </c>
      <c r="L306" s="3053" t="str">
        <f t="array" ref="L306">IFERROR(VLOOKUP(K306,Dex!$P$22:$Q$276,2,FALSE),"")</f>
        <v/>
      </c>
      <c r="M306" s="3054"/>
      <c r="N306" s="3226"/>
      <c r="O306" s="3051" t="s">
        <v>518</v>
      </c>
      <c r="P306" s="3052">
        <f t="array" ref="P306">IFERROR(VLOOKUP(O288,Dex!$B$3:$N454,13,FALSE),"")</f>
        <v>81</v>
      </c>
      <c r="Q306" s="3053" t="str">
        <f t="array" ref="Q306">IFERROR(VLOOKUP(P306,Dex!$P$22:$Q$276,2,FALSE),"")</f>
        <v/>
      </c>
      <c r="R306" s="3054"/>
      <c r="S306" s="3226"/>
      <c r="T306" s="3051" t="s">
        <v>518</v>
      </c>
      <c r="U306" s="3052">
        <f t="array" ref="U306">IFERROR(VLOOKUP(T288,Dex!$B$3:$N454,13,FALSE),"")</f>
        <v>35</v>
      </c>
      <c r="V306" s="3053" t="str">
        <f t="array" ref="V306">IFERROR(VLOOKUP(U306,Dex!$P$22:$Q$276,2,FALSE),"")</f>
        <v/>
      </c>
      <c r="W306" s="3054"/>
      <c r="X306" s="3226"/>
      <c r="Y306" s="3051" t="s">
        <v>518</v>
      </c>
      <c r="Z306" s="3052">
        <f t="array" ref="Z306">IFERROR(VLOOKUP(Y288,Dex!$B$3:$N454,13,FALSE),"")</f>
        <v>88</v>
      </c>
      <c r="AA306" s="3053" t="str">
        <f t="array" ref="AA306">IFERROR(VLOOKUP(Z306,Dex!$P$22:$Q$276,2,FALSE),"")</f>
        <v/>
      </c>
      <c r="AB306" s="3054"/>
      <c r="AC306" s="3226"/>
      <c r="AD306" s="3051" t="s">
        <v>518</v>
      </c>
      <c r="AE306" s="3052">
        <f t="array" ref="AE306">IFERROR(VLOOKUP(AD288,Dex!$B$3:$N454,13,FALSE),"")</f>
        <v>102</v>
      </c>
      <c r="AF306" s="3053" t="str">
        <f t="array" ref="AF306">IFERROR(VLOOKUP(AE306,Dex!$P$22:$Q$276,2,FALSE),"")</f>
        <v/>
      </c>
      <c r="AG306" s="3054"/>
      <c r="AH306" s="3042"/>
      <c r="AI306" s="2407"/>
    </row>
    <row r="307" ht="16.5" customHeight="1">
      <c r="A307" s="2811"/>
      <c r="B307" s="3038"/>
      <c r="C307" s="3029"/>
      <c r="D307" s="3039"/>
      <c r="E307" s="3055" t="s">
        <v>519</v>
      </c>
      <c r="F307" s="630"/>
      <c r="G307" s="631"/>
      <c r="H307" s="632">
        <f>ROUNDDOWN((ROUNDDOWN(((((2*F306+31)*57)/100+5)),0))*1.1,0)</f>
        <v>124</v>
      </c>
      <c r="I307" s="3226"/>
      <c r="J307" s="3227" t="s">
        <v>519</v>
      </c>
      <c r="K307" s="635"/>
      <c r="L307" s="636"/>
      <c r="M307" s="632">
        <f>ROUNDDOWN((ROUNDDOWN(((((2*K306+31)*57)/100+5)),0))*1,0)</f>
        <v>108</v>
      </c>
      <c r="N307" s="3226"/>
      <c r="O307" s="3055" t="s">
        <v>519</v>
      </c>
      <c r="P307" s="630"/>
      <c r="Q307" s="631"/>
      <c r="R307" s="632">
        <f>ROUNDDOWN((ROUNDDOWN(((((2*P306+31)*57)/100+5)),0))*1.1,0)</f>
        <v>126</v>
      </c>
      <c r="S307" s="3226"/>
      <c r="T307" s="3055" t="s">
        <v>519</v>
      </c>
      <c r="U307" s="630"/>
      <c r="V307" s="631"/>
      <c r="W307" s="632">
        <f>ROUNDDOWN((ROUNDDOWN(((((2*U306+31)*57)/100+5)),0))*1,0)</f>
        <v>62</v>
      </c>
      <c r="X307" s="3226"/>
      <c r="Y307" s="3227" t="s">
        <v>519</v>
      </c>
      <c r="Z307" s="635"/>
      <c r="AA307" s="636"/>
      <c r="AB307" s="632">
        <f>ROUNDDOWN((ROUNDDOWN(((((2*Z306+31)*57)/100+5)),0))*1.1,0)</f>
        <v>134</v>
      </c>
      <c r="AC307" s="3226"/>
      <c r="AD307" s="3055" t="s">
        <v>519</v>
      </c>
      <c r="AE307" s="630"/>
      <c r="AF307" s="631"/>
      <c r="AG307" s="632">
        <f>ROUNDDOWN((ROUNDDOWN(((((2*AE306+31)*57)/100+5)),0))*1.1,0)</f>
        <v>151</v>
      </c>
      <c r="AH307" s="3042"/>
      <c r="AI307" s="2407"/>
    </row>
    <row r="308" ht="16.5" customHeight="1">
      <c r="A308" s="2811"/>
      <c r="B308" s="3038"/>
      <c r="C308" s="3029"/>
      <c r="D308" s="3228"/>
      <c r="E308" s="3229"/>
      <c r="F308" s="3229"/>
      <c r="G308" s="3229"/>
      <c r="H308" s="3230"/>
      <c r="I308" s="3041"/>
      <c r="J308" s="3231" t="s">
        <v>520</v>
      </c>
      <c r="K308" s="643"/>
      <c r="L308" s="644"/>
      <c r="M308" s="3064">
        <f>M307*2</f>
        <v>216</v>
      </c>
      <c r="N308" s="3041"/>
      <c r="O308" s="3229"/>
      <c r="P308" s="3229"/>
      <c r="Q308" s="3229"/>
      <c r="R308" s="3230"/>
      <c r="S308" s="3232"/>
      <c r="T308" s="3229"/>
      <c r="U308" s="3229"/>
      <c r="V308" s="3229"/>
      <c r="W308" s="3230"/>
      <c r="X308" s="3232"/>
      <c r="Y308" s="3231" t="s">
        <v>520</v>
      </c>
      <c r="Z308" s="643"/>
      <c r="AA308" s="644"/>
      <c r="AB308" s="3064">
        <f>AB307*2</f>
        <v>268</v>
      </c>
      <c r="AC308" s="3232"/>
      <c r="AD308" s="3229"/>
      <c r="AE308" s="3229"/>
      <c r="AF308" s="3229"/>
      <c r="AG308" s="3230"/>
      <c r="AH308" s="3233"/>
      <c r="AI308" s="2407"/>
    </row>
    <row r="309" ht="15.0" customHeight="1">
      <c r="A309" s="2329"/>
      <c r="B309" s="3056"/>
      <c r="C309" s="3057"/>
      <c r="D309" s="3058"/>
      <c r="E309" s="3058"/>
      <c r="F309" s="3058"/>
      <c r="G309" s="3058"/>
      <c r="H309" s="3058"/>
      <c r="I309" s="3058"/>
      <c r="J309" s="3058"/>
      <c r="K309" s="3058"/>
      <c r="L309" s="3058"/>
      <c r="M309" s="3058"/>
      <c r="N309" s="3058"/>
      <c r="O309" s="3058"/>
      <c r="P309" s="3058"/>
      <c r="Q309" s="3058"/>
      <c r="R309" s="3058"/>
      <c r="S309" s="3058"/>
      <c r="T309" s="3058"/>
      <c r="U309" s="3058"/>
      <c r="V309" s="3058"/>
      <c r="W309" s="3058"/>
      <c r="X309" s="3058"/>
      <c r="Y309" s="3058"/>
      <c r="Z309" s="3058"/>
      <c r="AA309" s="3058"/>
      <c r="AB309" s="3058"/>
      <c r="AC309" s="3058"/>
      <c r="AD309" s="3058"/>
      <c r="AE309" s="3058"/>
      <c r="AF309" s="3058"/>
      <c r="AG309" s="3058"/>
      <c r="AH309" s="3060"/>
      <c r="AI309" s="2737"/>
    </row>
    <row r="310" ht="15.0" customHeight="1">
      <c r="A310" s="2329"/>
      <c r="B310" s="2844"/>
      <c r="C310" s="2845"/>
      <c r="D310" s="2846"/>
      <c r="E310" s="2847"/>
      <c r="F310" s="2847"/>
      <c r="G310" s="2847"/>
      <c r="H310" s="2847"/>
      <c r="I310" s="2846"/>
      <c r="J310" s="2847"/>
      <c r="K310" s="2847"/>
      <c r="L310" s="2847"/>
      <c r="M310" s="2847"/>
      <c r="N310" s="2846"/>
      <c r="O310" s="2847"/>
      <c r="P310" s="2847"/>
      <c r="Q310" s="2847"/>
      <c r="R310" s="2847"/>
      <c r="S310" s="2846"/>
      <c r="T310" s="2847"/>
      <c r="U310" s="2847"/>
      <c r="V310" s="2847"/>
      <c r="W310" s="2847"/>
      <c r="X310" s="2846"/>
      <c r="Y310" s="2847"/>
      <c r="Z310" s="2847"/>
      <c r="AA310" s="2847"/>
      <c r="AB310" s="2847"/>
      <c r="AC310" s="2846"/>
      <c r="AD310" s="2847"/>
      <c r="AE310" s="2847"/>
      <c r="AF310" s="2847"/>
      <c r="AG310" s="2847"/>
      <c r="AH310" s="2848"/>
      <c r="AI310" s="2737"/>
    </row>
    <row r="311" ht="96.75" customHeight="1">
      <c r="A311" s="2329"/>
      <c r="B311" s="2849"/>
      <c r="C311" s="2850" t="str">
        <f>IMAGE("https://i.ibb.co/kJrTDW3/Grunt.png")</f>
        <v/>
      </c>
      <c r="D311" s="2851"/>
      <c r="E311" s="3061" t="str">
        <f t="array" ref="E311">IFERROR(VLOOKUP(E312,Dex!$B$3:$G454,3,FALSE),"")</f>
        <v/>
      </c>
      <c r="F311" s="1945"/>
      <c r="G311" s="1945"/>
      <c r="H311" s="1946"/>
      <c r="I311" s="2944"/>
      <c r="J311" s="3061" t="str">
        <f t="array" ref="J311">IFERROR(VLOOKUP(J312,Dex!$B$3:$G454,3,FALSE),"")</f>
        <v/>
      </c>
      <c r="K311" s="1945"/>
      <c r="L311" s="1945"/>
      <c r="M311" s="1946"/>
      <c r="N311" s="2944"/>
      <c r="O311" s="3061" t="str">
        <f t="array" ref="O311">IFERROR(VLOOKUP(O312,Dex!$B$3:$G454,3,FALSE),"")</f>
        <v/>
      </c>
      <c r="P311" s="1945"/>
      <c r="Q311" s="1945"/>
      <c r="R311" s="1946"/>
      <c r="S311" s="2944"/>
      <c r="T311" s="3061" t="str">
        <f t="array" ref="T311">IFERROR(VLOOKUP(T312,Dex!$B$3:$G454,3,FALSE),"")</f>
        <v/>
      </c>
      <c r="U311" s="1945"/>
      <c r="V311" s="1945"/>
      <c r="W311" s="1946"/>
      <c r="X311" s="3062"/>
      <c r="Y311" s="3061" t="str">
        <f t="array" ref="Y311">IFERROR(VLOOKUP(Y312,Dex!$B$3:$G454,3,FALSE),"")</f>
        <v/>
      </c>
      <c r="Z311" s="1945"/>
      <c r="AA311" s="1945"/>
      <c r="AB311" s="1946"/>
      <c r="AC311" s="3062"/>
      <c r="AD311" s="3061" t="str">
        <f t="array" ref="AD311">IFERROR(VLOOKUP(AD312,Dex!$B$3:$G454,3,FALSE),"")</f>
        <v/>
      </c>
      <c r="AE311" s="1945"/>
      <c r="AF311" s="1945"/>
      <c r="AG311" s="1946"/>
      <c r="AH311" s="3234"/>
      <c r="AI311" s="2737"/>
    </row>
    <row r="312" ht="18.75" customHeight="1">
      <c r="A312" s="2354"/>
      <c r="B312" s="2859"/>
      <c r="C312" s="2860" t="s">
        <v>1284</v>
      </c>
      <c r="D312" s="2861"/>
      <c r="E312" s="2862" t="s">
        <v>1285</v>
      </c>
      <c r="F312" s="2863"/>
      <c r="G312" s="2863"/>
      <c r="H312" s="2864"/>
      <c r="I312" s="2861"/>
      <c r="J312" s="2862" t="s">
        <v>1286</v>
      </c>
      <c r="K312" s="2863"/>
      <c r="L312" s="2863"/>
      <c r="M312" s="2864"/>
      <c r="N312" s="2861"/>
      <c r="O312" s="2862" t="s">
        <v>1287</v>
      </c>
      <c r="P312" s="2863"/>
      <c r="Q312" s="2863"/>
      <c r="R312" s="2864"/>
      <c r="S312" s="2861"/>
      <c r="T312" s="2862" t="s">
        <v>1288</v>
      </c>
      <c r="U312" s="2863"/>
      <c r="V312" s="2863"/>
      <c r="W312" s="2864"/>
      <c r="Y312" s="2862" t="s">
        <v>1078</v>
      </c>
      <c r="Z312" s="2863"/>
      <c r="AA312" s="2863"/>
      <c r="AB312" s="2864"/>
      <c r="AD312" s="2862" t="s">
        <v>1289</v>
      </c>
      <c r="AE312" s="2863"/>
      <c r="AF312" s="2863"/>
      <c r="AG312" s="2864"/>
      <c r="AH312" s="3235"/>
      <c r="AI312" s="2757"/>
    </row>
    <row r="313">
      <c r="A313" s="2758"/>
      <c r="B313" s="2869"/>
      <c r="C313" s="556"/>
      <c r="D313" s="2870"/>
      <c r="E313" s="2871" t="s">
        <v>796</v>
      </c>
      <c r="F313" s="2872"/>
      <c r="G313" s="2872"/>
      <c r="H313" s="2873"/>
      <c r="I313" s="2861"/>
      <c r="J313" s="2871" t="s">
        <v>729</v>
      </c>
      <c r="K313" s="2872"/>
      <c r="L313" s="2872"/>
      <c r="M313" s="2873"/>
      <c r="N313" s="2861"/>
      <c r="O313" s="2871" t="s">
        <v>729</v>
      </c>
      <c r="P313" s="2872"/>
      <c r="Q313" s="2872"/>
      <c r="R313" s="2873"/>
      <c r="S313" s="2861"/>
      <c r="T313" s="2871" t="s">
        <v>729</v>
      </c>
      <c r="U313" s="2872"/>
      <c r="V313" s="2872"/>
      <c r="W313" s="2873"/>
      <c r="Y313" s="2871" t="s">
        <v>729</v>
      </c>
      <c r="Z313" s="2872"/>
      <c r="AA313" s="2872"/>
      <c r="AB313" s="2873"/>
      <c r="AD313" s="2871" t="s">
        <v>729</v>
      </c>
      <c r="AE313" s="2872"/>
      <c r="AF313" s="2872"/>
      <c r="AG313" s="2873"/>
      <c r="AH313" s="3236"/>
      <c r="AI313" s="2766"/>
    </row>
    <row r="314" ht="25.5" customHeight="1">
      <c r="A314" s="2329"/>
      <c r="B314" s="2876"/>
      <c r="C314" s="2877"/>
      <c r="D314" s="2854"/>
      <c r="E314" s="2878"/>
      <c r="F314" s="2882" t="str">
        <f t="array" ref="F314">IFERROR(VLOOKUP(E312,Dex!$B$3:$H454,5,FALSE),"")</f>
        <v/>
      </c>
      <c r="G314" s="2883" t="str">
        <f t="array" ref="G314">IFERROR(VLOOKUP(E312,Dex!$B$3:$H454,7,FALSE),"")</f>
        <v/>
      </c>
      <c r="H314" s="2881"/>
      <c r="I314" s="2866"/>
      <c r="J314" s="2878"/>
      <c r="K314" s="2882" t="str">
        <f t="array" ref="K314">IFERROR(VLOOKUP(J312,Dex!$B$3:$H454,5,FALSE),"")</f>
        <v/>
      </c>
      <c r="L314" s="2883" t="str">
        <f t="array" ref="L314">IFERROR(VLOOKUP(J312,Dex!$B$3:$H454,7,FALSE),"")</f>
        <v/>
      </c>
      <c r="M314" s="2881"/>
      <c r="N314" s="2866"/>
      <c r="O314" s="2878"/>
      <c r="P314" s="2879" t="str">
        <f t="array" ref="P314">IFERROR(VLOOKUP(O312,Dex!$B$3:$H454,5,FALSE),"")</f>
        <v/>
      </c>
      <c r="Q314" s="2880"/>
      <c r="R314" s="2881"/>
      <c r="S314" s="2866"/>
      <c r="T314" s="2878"/>
      <c r="U314" s="2879" t="str">
        <f t="array" ref="U314">IFERROR(VLOOKUP(T312,Dex!$B$3:$H454,5,FALSE),"")</f>
        <v/>
      </c>
      <c r="V314" s="2880"/>
      <c r="W314" s="2881"/>
      <c r="Y314" s="2878"/>
      <c r="Z314" s="2882" t="str">
        <f t="array" ref="Z314">IFERROR(VLOOKUP(Y312,Dex!$B$3:$H454,5,FALSE),"")</f>
        <v/>
      </c>
      <c r="AA314" s="2883" t="str">
        <f t="array" ref="AA314">IFERROR(VLOOKUP(Y312,Dex!$B$3:$H454,7,FALSE),"")</f>
        <v/>
      </c>
      <c r="AB314" s="2881"/>
      <c r="AD314" s="2878"/>
      <c r="AE314" s="2879" t="str">
        <f t="array" ref="AE314">IFERROR(VLOOKUP(AD312,Dex!$B$3:$H454,5,FALSE),"")</f>
        <v/>
      </c>
      <c r="AF314" s="2880"/>
      <c r="AG314" s="2881"/>
      <c r="AH314" s="2858"/>
      <c r="AI314" s="2737"/>
    </row>
    <row r="315" ht="2.25" customHeight="1">
      <c r="A315" s="2329"/>
      <c r="B315" s="2876"/>
      <c r="C315" s="2867"/>
      <c r="D315" s="2854"/>
      <c r="E315" s="2884"/>
      <c r="F315" s="2885"/>
      <c r="G315" s="2885"/>
      <c r="H315" s="2886"/>
      <c r="I315" s="2866"/>
      <c r="J315" s="2884"/>
      <c r="K315" s="2885"/>
      <c r="L315" s="2885"/>
      <c r="M315" s="2886"/>
      <c r="N315" s="2866"/>
      <c r="O315" s="2884"/>
      <c r="P315" s="2885"/>
      <c r="Q315" s="2885"/>
      <c r="R315" s="2886"/>
      <c r="S315" s="2866"/>
      <c r="T315" s="2884"/>
      <c r="U315" s="2885"/>
      <c r="V315" s="2885"/>
      <c r="W315" s="2886"/>
      <c r="Y315" s="2884"/>
      <c r="Z315" s="2885"/>
      <c r="AA315" s="2885"/>
      <c r="AB315" s="2886"/>
      <c r="AD315" s="2884"/>
      <c r="AE315" s="2885"/>
      <c r="AF315" s="2885"/>
      <c r="AG315" s="2886"/>
      <c r="AH315" s="2858"/>
      <c r="AI315" s="2737"/>
    </row>
    <row r="316" ht="20.25" customHeight="1">
      <c r="A316" s="2329"/>
      <c r="B316" s="2876"/>
      <c r="C316" s="2888"/>
      <c r="D316" s="2854"/>
      <c r="E316" s="2889" t="s">
        <v>564</v>
      </c>
      <c r="F316" s="2890"/>
      <c r="G316" s="2890"/>
      <c r="H316" s="2891"/>
      <c r="I316" s="2892"/>
      <c r="J316" s="2889" t="s">
        <v>480</v>
      </c>
      <c r="K316" s="2890"/>
      <c r="L316" s="2890"/>
      <c r="M316" s="2891"/>
      <c r="N316" s="2892"/>
      <c r="O316" s="2889" t="s">
        <v>482</v>
      </c>
      <c r="P316" s="2890"/>
      <c r="Q316" s="2890"/>
      <c r="R316" s="2891"/>
      <c r="S316" s="2892"/>
      <c r="T316" s="2889" t="s">
        <v>529</v>
      </c>
      <c r="U316" s="2890"/>
      <c r="V316" s="2890"/>
      <c r="W316" s="2891"/>
      <c r="Y316" s="2889" t="s">
        <v>482</v>
      </c>
      <c r="Z316" s="2890"/>
      <c r="AA316" s="2890"/>
      <c r="AB316" s="2891"/>
      <c r="AD316" s="2889" t="s">
        <v>566</v>
      </c>
      <c r="AE316" s="2890"/>
      <c r="AF316" s="2890"/>
      <c r="AG316" s="2891"/>
      <c r="AH316" s="3234"/>
      <c r="AI316" s="2737"/>
    </row>
    <row r="317">
      <c r="A317" s="2329"/>
      <c r="B317" s="2876"/>
      <c r="C317" s="2893"/>
      <c r="D317" s="2854"/>
      <c r="E317" s="2894" t="s">
        <v>110</v>
      </c>
      <c r="F317" s="2855"/>
      <c r="G317" s="2855"/>
      <c r="H317" s="2895"/>
      <c r="I317" s="2892"/>
      <c r="J317" s="2894" t="s">
        <v>889</v>
      </c>
      <c r="K317" s="2855"/>
      <c r="L317" s="2855"/>
      <c r="M317" s="2895"/>
      <c r="N317" s="2892"/>
      <c r="O317" s="2894" t="s">
        <v>86</v>
      </c>
      <c r="P317" s="2855"/>
      <c r="Q317" s="2855"/>
      <c r="R317" s="2895"/>
      <c r="S317" s="2892"/>
      <c r="T317" s="2894" t="s">
        <v>115</v>
      </c>
      <c r="U317" s="2855"/>
      <c r="V317" s="2855"/>
      <c r="W317" s="2895"/>
      <c r="Y317" s="2894" t="s">
        <v>115</v>
      </c>
      <c r="Z317" s="2855"/>
      <c r="AA317" s="2855"/>
      <c r="AB317" s="2895"/>
      <c r="AD317" s="2894" t="s">
        <v>1290</v>
      </c>
      <c r="AE317" s="2855"/>
      <c r="AF317" s="2855"/>
      <c r="AG317" s="2895"/>
      <c r="AH317" s="3234"/>
      <c r="AI317" s="2737"/>
    </row>
    <row r="318" ht="20.25" customHeight="1">
      <c r="A318" s="2329"/>
      <c r="B318" s="2876"/>
      <c r="C318" s="2867"/>
      <c r="D318" s="2854"/>
      <c r="E318" s="2896" t="s">
        <v>573</v>
      </c>
      <c r="F318" s="2897"/>
      <c r="G318" s="2898"/>
      <c r="H318" s="2899" t="str">
        <f>IMAGE("https://raw.githubusercontent.com/msikma/pokesprite/master/items/hold-item/focus-sash.png",3)</f>
        <v/>
      </c>
      <c r="I318" s="2866"/>
      <c r="J318" s="2896" t="s">
        <v>733</v>
      </c>
      <c r="K318" s="2897"/>
      <c r="L318" s="2898"/>
      <c r="M318" s="2899" t="str">
        <f>IMAGE("https://raw.githubusercontent.com/msikma/pokesprite/master/items/hold-item/leftovers.png",3)</f>
        <v/>
      </c>
      <c r="N318" s="2866"/>
      <c r="O318" s="2896" t="s">
        <v>733</v>
      </c>
      <c r="P318" s="2897"/>
      <c r="Q318" s="2898"/>
      <c r="R318" s="2899" t="str">
        <f>IMAGE("https://raw.githubusercontent.com/msikma/pokesprite/master/items/hold-item/leftovers.png",3)</f>
        <v/>
      </c>
      <c r="S318" s="2866"/>
      <c r="T318" s="2896" t="s">
        <v>713</v>
      </c>
      <c r="U318" s="2897"/>
      <c r="V318" s="2898"/>
      <c r="W318" s="2899" t="str">
        <f>IMAGE("https://raw.githubusercontent.com/msikma/pokesprite/master/items/hold-item/assault-vest.png",3)</f>
        <v/>
      </c>
      <c r="Y318" s="2896" t="s">
        <v>733</v>
      </c>
      <c r="Z318" s="2897"/>
      <c r="AA318" s="2898"/>
      <c r="AB318" s="2899" t="str">
        <f>IMAGE("https://raw.githubusercontent.com/msikma/pokesprite/master/items/hold-item/leftovers.png",3)</f>
        <v/>
      </c>
      <c r="AD318" s="2896" t="s">
        <v>1291</v>
      </c>
      <c r="AE318" s="2897"/>
      <c r="AF318" s="2898"/>
      <c r="AG318" s="2899" t="str">
        <f>IMAGE("https://raw.githubusercontent.com/msikma/pokesprite/master/items/mega-stone/sablenite.png",3)</f>
        <v/>
      </c>
      <c r="AH318" s="2858"/>
      <c r="AI318" s="2737"/>
    </row>
    <row r="319" ht="20.25" customHeight="1">
      <c r="A319" s="2329"/>
      <c r="B319" s="2876"/>
      <c r="C319" s="2888"/>
      <c r="D319" s="2854"/>
      <c r="E319" s="2889" t="s">
        <v>191</v>
      </c>
      <c r="F319" s="2890"/>
      <c r="G319" s="2900"/>
      <c r="H319" s="2901" t="str">
        <f>IMAGE("https://raw.githubusercontent.com/msikma/pokesprite/master/misc/types/gen8/rock.png",4,20,20)</f>
        <v/>
      </c>
      <c r="I319" s="2866"/>
      <c r="J319" s="2889" t="s">
        <v>1242</v>
      </c>
      <c r="K319" s="2890"/>
      <c r="L319" s="2900"/>
      <c r="M319" s="2901" t="str">
        <f>IMAGE("https://raw.githubusercontent.com/msikma/pokesprite/master/misc/types/gen8/dark.png",4,20,20)</f>
        <v/>
      </c>
      <c r="N319" s="2866"/>
      <c r="O319" s="2889" t="s">
        <v>1292</v>
      </c>
      <c r="P319" s="2890"/>
      <c r="Q319" s="2900"/>
      <c r="R319" s="2901" t="str">
        <f>IMAGE("https://raw.githubusercontent.com/msikma/pokesprite/master/misc/types/gen8/fighting.png",4,20,20)</f>
        <v/>
      </c>
      <c r="S319" s="2866"/>
      <c r="T319" s="2889" t="s">
        <v>543</v>
      </c>
      <c r="U319" s="2890"/>
      <c r="V319" s="2900"/>
      <c r="W319" s="2901" t="str">
        <f>IMAGE("https://raw.githubusercontent.com/msikma/pokesprite/master/misc/types/gen8/grass.png",4,20,20)</f>
        <v/>
      </c>
      <c r="Y319" s="2889" t="s">
        <v>544</v>
      </c>
      <c r="Z319" s="2890"/>
      <c r="AA319" s="2900"/>
      <c r="AB319" s="2901" t="str">
        <f>IMAGE("https://raw.githubusercontent.com/msikma/pokesprite/master/misc/types/gen8/water.png",4,20,20)</f>
        <v/>
      </c>
      <c r="AD319" s="2889" t="s">
        <v>545</v>
      </c>
      <c r="AE319" s="2890"/>
      <c r="AF319" s="2900"/>
      <c r="AG319" s="2901" t="str">
        <f>IMAGE("https://raw.githubusercontent.com/msikma/pokesprite/master/misc/types/gen8/poison.png",4,20,20)</f>
        <v/>
      </c>
      <c r="AH319" s="2858"/>
      <c r="AI319" s="2737"/>
    </row>
    <row r="320" ht="20.25" customHeight="1">
      <c r="A320" s="2329"/>
      <c r="B320" s="2876"/>
      <c r="C320" s="2902"/>
      <c r="D320" s="2854"/>
      <c r="E320" s="2894" t="s">
        <v>182</v>
      </c>
      <c r="F320" s="2855"/>
      <c r="G320" s="2856"/>
      <c r="H320" s="2956" t="str">
        <f t="shared" ref="H320:H321" si="17">IMAGE("https://raw.githubusercontent.com/msikma/pokesprite/master/misc/types/gen8/ground.png",4,20,20)</f>
        <v/>
      </c>
      <c r="I320" s="2866"/>
      <c r="J320" s="2894" t="s">
        <v>551</v>
      </c>
      <c r="K320" s="2855"/>
      <c r="L320" s="2856"/>
      <c r="M320" s="2956" t="str">
        <f>IMAGE("https://raw.githubusercontent.com/msikma/pokesprite/master/misc/types/gen8/flying.png",4,20,20)</f>
        <v/>
      </c>
      <c r="N320" s="2866"/>
      <c r="O320" s="2894" t="s">
        <v>1293</v>
      </c>
      <c r="P320" s="2855"/>
      <c r="Q320" s="2856"/>
      <c r="R320" s="2956" t="str">
        <f>IMAGE("https://raw.githubusercontent.com/msikma/pokesprite/master/misc/types/gen8/normal.png",4,20,20)</f>
        <v/>
      </c>
      <c r="S320" s="2866"/>
      <c r="T320" s="2894" t="s">
        <v>579</v>
      </c>
      <c r="U320" s="2855"/>
      <c r="V320" s="2856"/>
      <c r="W320" s="2956" t="str">
        <f>IMAGE("https://raw.githubusercontent.com/msikma/pokesprite/master/misc/types/gen8/dark.png",4,20,20)</f>
        <v/>
      </c>
      <c r="Y320" s="2894" t="s">
        <v>670</v>
      </c>
      <c r="Z320" s="2855"/>
      <c r="AA320" s="2856"/>
      <c r="AB320" s="2956" t="str">
        <f>IMAGE("https://raw.githubusercontent.com/msikma/pokesprite/master/misc/types/gen8/ice.png",4,20,20)</f>
        <v/>
      </c>
      <c r="AD320" s="2894" t="s">
        <v>548</v>
      </c>
      <c r="AE320" s="2855"/>
      <c r="AF320" s="2856"/>
      <c r="AG320" s="2956" t="str">
        <f>IMAGE("https://raw.githubusercontent.com/msikma/pokesprite/master/misc/types/gen8/fighting.png",4,20,20)</f>
        <v/>
      </c>
      <c r="AH320" s="2858"/>
      <c r="AI320" s="2737"/>
    </row>
    <row r="321" ht="20.25" customHeight="1">
      <c r="A321" s="2329"/>
      <c r="B321" s="2876"/>
      <c r="C321" s="2902"/>
      <c r="D321" s="2854"/>
      <c r="E321" s="2894" t="s">
        <v>644</v>
      </c>
      <c r="F321" s="2855"/>
      <c r="G321" s="2856"/>
      <c r="H321" s="2957" t="str">
        <f t="shared" si="17"/>
        <v/>
      </c>
      <c r="I321" s="2866"/>
      <c r="J321" s="2894" t="s">
        <v>503</v>
      </c>
      <c r="K321" s="2855"/>
      <c r="L321" s="2856"/>
      <c r="M321" s="2957" t="str">
        <f>IMAGE("https://raw.githubusercontent.com/msikma/pokesprite/master/misc/types/gen8/poison.png",4,20,20)</f>
        <v/>
      </c>
      <c r="N321" s="2866"/>
      <c r="O321" s="2894" t="s">
        <v>623</v>
      </c>
      <c r="P321" s="2855"/>
      <c r="Q321" s="2856"/>
      <c r="R321" s="2957" t="str">
        <f>IMAGE("https://raw.githubusercontent.com/msikma/pokesprite/master/misc/types/gen8/psychic.png",4,20,20)</f>
        <v/>
      </c>
      <c r="S321" s="2866"/>
      <c r="T321" s="2894" t="s">
        <v>549</v>
      </c>
      <c r="U321" s="2855"/>
      <c r="V321" s="2856"/>
      <c r="W321" s="2957" t="str">
        <f>IMAGE("https://raw.githubusercontent.com/msikma/pokesprite/master/misc/types/gen8/ground.png",4,20,20)</f>
        <v/>
      </c>
      <c r="Y321" s="2894" t="s">
        <v>1294</v>
      </c>
      <c r="Z321" s="2855"/>
      <c r="AA321" s="2856"/>
      <c r="AB321" s="2957" t="str">
        <f t="shared" ref="AB321:AB322" si="18">IMAGE("https://raw.githubusercontent.com/msikma/pokesprite/master/misc/types/gen8/psychic.png",4,20,20)</f>
        <v/>
      </c>
      <c r="AD321" s="2894" t="s">
        <v>1020</v>
      </c>
      <c r="AE321" s="2855"/>
      <c r="AF321" s="2856"/>
      <c r="AG321" s="2957" t="str">
        <f>IMAGE("https://raw.githubusercontent.com/msikma/pokesprite/master/misc/types/gen8/fire.png",4,20,20)</f>
        <v/>
      </c>
      <c r="AH321" s="2858"/>
      <c r="AI321" s="2737"/>
    </row>
    <row r="322" ht="21.0" customHeight="1">
      <c r="A322" s="2329"/>
      <c r="B322" s="2876"/>
      <c r="C322" s="2902"/>
      <c r="D322" s="2854"/>
      <c r="E322" s="2904" t="s">
        <v>773</v>
      </c>
      <c r="F322" s="2905"/>
      <c r="G322" s="2906"/>
      <c r="H322" s="2907" t="str">
        <f>IMAGE("https://raw.githubusercontent.com/msikma/pokesprite/master/misc/types/gen8/poison.png",4,20,20)</f>
        <v/>
      </c>
      <c r="I322" s="2866"/>
      <c r="J322" s="2904" t="s">
        <v>612</v>
      </c>
      <c r="K322" s="2905"/>
      <c r="L322" s="2906"/>
      <c r="M322" s="2907" t="str">
        <f>IMAGE("https://raw.githubusercontent.com/msikma/pokesprite/master/misc/types/gen8/bug.png",4,20,20)</f>
        <v/>
      </c>
      <c r="N322" s="2866"/>
      <c r="O322" s="2904" t="s">
        <v>503</v>
      </c>
      <c r="P322" s="2905"/>
      <c r="Q322" s="2906"/>
      <c r="R322" s="2907" t="str">
        <f>IMAGE("https://raw.githubusercontent.com/msikma/pokesprite/master/misc/types/gen8/poison.png",4,20,20)</f>
        <v/>
      </c>
      <c r="S322" s="2866"/>
      <c r="T322" s="2904" t="s">
        <v>671</v>
      </c>
      <c r="U322" s="2905"/>
      <c r="V322" s="2906"/>
      <c r="W322" s="2907" t="str">
        <f>IMAGE("https://raw.githubusercontent.com/msikma/pokesprite/master/misc/types/gen8/fire.png",4,20,20)</f>
        <v/>
      </c>
      <c r="X322" s="2948"/>
      <c r="Y322" s="2904" t="s">
        <v>623</v>
      </c>
      <c r="Z322" s="2905"/>
      <c r="AA322" s="2906"/>
      <c r="AB322" s="2907" t="str">
        <f t="shared" si="18"/>
        <v/>
      </c>
      <c r="AC322" s="2948"/>
      <c r="AD322" s="2904" t="s">
        <v>549</v>
      </c>
      <c r="AE322" s="2905"/>
      <c r="AF322" s="2906"/>
      <c r="AG322" s="2907" t="str">
        <f>IMAGE("https://raw.githubusercontent.com/msikma/pokesprite/master/misc/types/gen8/ground.png",4,20,20)</f>
        <v/>
      </c>
      <c r="AH322" s="2858"/>
      <c r="AI322" s="2737"/>
    </row>
    <row r="323" ht="3.0" customHeight="1">
      <c r="A323" s="2802"/>
      <c r="B323" s="2910"/>
      <c r="C323" s="2911"/>
      <c r="D323" s="2912"/>
      <c r="E323" s="2913"/>
      <c r="F323" s="2913"/>
      <c r="G323" s="2913"/>
      <c r="H323" s="2913"/>
      <c r="I323" s="2912"/>
      <c r="J323" s="2913"/>
      <c r="K323" s="2913"/>
      <c r="L323" s="2913"/>
      <c r="M323" s="2913"/>
      <c r="N323" s="2912"/>
      <c r="O323" s="2913"/>
      <c r="P323" s="2913"/>
      <c r="Q323" s="2913"/>
      <c r="R323" s="2913"/>
      <c r="S323" s="2912"/>
      <c r="T323" s="2913"/>
      <c r="U323" s="2913"/>
      <c r="V323" s="2913"/>
      <c r="W323" s="2914"/>
      <c r="X323" s="2912"/>
      <c r="Y323" s="2913"/>
      <c r="Z323" s="2913"/>
      <c r="AA323" s="2913"/>
      <c r="AB323" s="2914"/>
      <c r="AC323" s="2916"/>
      <c r="AD323" s="2913"/>
      <c r="AE323" s="2913"/>
      <c r="AF323" s="2913"/>
      <c r="AG323" s="2914"/>
      <c r="AH323" s="2917"/>
      <c r="AI323" s="2810"/>
    </row>
    <row r="324" ht="16.5" customHeight="1">
      <c r="A324" s="2811"/>
      <c r="B324" s="2918"/>
      <c r="C324" s="2911"/>
      <c r="D324" s="2919"/>
      <c r="E324" s="2920" t="s">
        <v>512</v>
      </c>
      <c r="F324" s="606"/>
      <c r="G324" s="606"/>
      <c r="H324" s="607"/>
      <c r="I324" s="2921"/>
      <c r="J324" s="2920" t="s">
        <v>512</v>
      </c>
      <c r="K324" s="606"/>
      <c r="L324" s="606"/>
      <c r="M324" s="607"/>
      <c r="N324" s="2921"/>
      <c r="O324" s="2920" t="s">
        <v>512</v>
      </c>
      <c r="P324" s="606"/>
      <c r="Q324" s="606"/>
      <c r="R324" s="607"/>
      <c r="S324" s="2921"/>
      <c r="T324" s="2920" t="s">
        <v>512</v>
      </c>
      <c r="U324" s="606"/>
      <c r="V324" s="606"/>
      <c r="W324" s="607"/>
      <c r="X324" s="2922"/>
      <c r="Y324" s="2920" t="s">
        <v>512</v>
      </c>
      <c r="Z324" s="606"/>
      <c r="AA324" s="606"/>
      <c r="AB324" s="607"/>
      <c r="AC324" s="2923"/>
      <c r="AD324" s="2920" t="s">
        <v>512</v>
      </c>
      <c r="AE324" s="606"/>
      <c r="AF324" s="606"/>
      <c r="AG324" s="607"/>
      <c r="AH324" s="2925"/>
      <c r="AI324" s="2407"/>
    </row>
    <row r="325" ht="16.5" customHeight="1">
      <c r="A325" s="2811"/>
      <c r="B325" s="2918"/>
      <c r="C325" s="2911"/>
      <c r="D325" s="2919"/>
      <c r="E325" s="2926" t="s">
        <v>513</v>
      </c>
      <c r="F325" s="2927">
        <f t="array" ref="F325">IFERROR(VLOOKUP(E312,Dex!$B$3:$N454,8,FALSE),"")</f>
        <v>83</v>
      </c>
      <c r="G325" s="2928" t="str">
        <f t="array" ref="G325">IFERROR(VLOOKUP(F325,Dex!$P$22:$Q$276,2,FALSE),"")</f>
        <v/>
      </c>
      <c r="H325" s="2929"/>
      <c r="I325" s="2921"/>
      <c r="J325" s="2926" t="s">
        <v>513</v>
      </c>
      <c r="K325" s="2927">
        <f t="array" ref="K325">IFERROR(VLOOKUP(J312,Dex!$B$3:$N454,8,FALSE),"")</f>
        <v>110</v>
      </c>
      <c r="L325" s="2928" t="str">
        <f t="array" ref="L325">IFERROR(VLOOKUP(K325,Dex!$P$22:$Q$276,2,FALSE),"")</f>
        <v/>
      </c>
      <c r="M325" s="2929"/>
      <c r="N325" s="2921"/>
      <c r="O325" s="2926" t="s">
        <v>513</v>
      </c>
      <c r="P325" s="2927">
        <f t="array" ref="P325">IFERROR(VLOOKUP(O312,Dex!$B$3:$N454,8,FALSE),"")</f>
        <v>255</v>
      </c>
      <c r="Q325" s="2928" t="str">
        <f t="array" ref="Q325">IFERROR(VLOOKUP(P325,Dex!$P$22:$Q$276,2,FALSE),"")</f>
        <v/>
      </c>
      <c r="R325" s="2929"/>
      <c r="S325" s="2921"/>
      <c r="T325" s="2926" t="s">
        <v>513</v>
      </c>
      <c r="U325" s="2927">
        <f t="array" ref="U325">IFERROR(VLOOKUP(T312,Dex!$B$3:$N454,8,FALSE),"")</f>
        <v>100</v>
      </c>
      <c r="V325" s="2928" t="str">
        <f t="array" ref="V325">IFERROR(VLOOKUP(U325,Dex!$P$22:$Q$276,2,FALSE),"")</f>
        <v/>
      </c>
      <c r="W325" s="2929"/>
      <c r="X325" s="2922"/>
      <c r="Y325" s="2926" t="s">
        <v>513</v>
      </c>
      <c r="Z325" s="2927">
        <f t="array" ref="Z325">IFERROR(VLOOKUP(Y312,Dex!$B$3:$N454,8,FALSE),"")</f>
        <v>95</v>
      </c>
      <c r="AA325" s="2928" t="str">
        <f t="array" ref="AA325">IFERROR(VLOOKUP(Z325,Dex!$P$22:$Q$276,2,FALSE),"")</f>
        <v/>
      </c>
      <c r="AB325" s="2929"/>
      <c r="AC325" s="2923"/>
      <c r="AD325" s="2926" t="s">
        <v>513</v>
      </c>
      <c r="AE325" s="2927">
        <f t="array" ref="AE325">IFERROR(VLOOKUP(AD312,Dex!$B$3:$N454,8,FALSE),"")</f>
        <v>80</v>
      </c>
      <c r="AF325" s="2928" t="str">
        <f t="array" ref="AF325">IFERROR(VLOOKUP(AE325,Dex!$P$22:$Q$276,2,FALSE),"")</f>
        <v/>
      </c>
      <c r="AG325" s="2929"/>
      <c r="AH325" s="2925"/>
      <c r="AI325" s="2407"/>
    </row>
    <row r="326" ht="16.5" customHeight="1">
      <c r="A326" s="2811"/>
      <c r="B326" s="2918"/>
      <c r="C326" s="2911"/>
      <c r="D326" s="2919"/>
      <c r="E326" s="2930" t="s">
        <v>514</v>
      </c>
      <c r="F326" s="2931">
        <f t="array" ref="F326">IFERROR(VLOOKUP(E312,Dex!$B$3:$N454,9,FALSE),"")</f>
        <v>55</v>
      </c>
      <c r="G326" s="2932" t="str">
        <f t="array" ref="G326">IFERROR(VLOOKUP(F326,Dex!$P$22:$Q$276,2,FALSE),"")</f>
        <v/>
      </c>
      <c r="H326" s="2933"/>
      <c r="I326" s="2921"/>
      <c r="J326" s="2930" t="s">
        <v>514</v>
      </c>
      <c r="K326" s="2931">
        <f t="array" ref="K326">IFERROR(VLOOKUP(J312,Dex!$B$3:$N454,9,FALSE),"")</f>
        <v>65</v>
      </c>
      <c r="L326" s="2932" t="str">
        <f t="array" ref="L326">IFERROR(VLOOKUP(K326,Dex!$P$22:$Q$276,2,FALSE),"")</f>
        <v/>
      </c>
      <c r="M326" s="2933"/>
      <c r="N326" s="2921"/>
      <c r="O326" s="2930" t="s">
        <v>514</v>
      </c>
      <c r="P326" s="2931">
        <f t="array" ref="P326">IFERROR(VLOOKUP(O312,Dex!$B$3:$N454,9,FALSE),"")</f>
        <v>10</v>
      </c>
      <c r="Q326" s="2932" t="str">
        <f t="array" ref="Q326">IFERROR(VLOOKUP(P326,Dex!$P$22:$Q$276,2,FALSE),"")</f>
        <v/>
      </c>
      <c r="R326" s="2933"/>
      <c r="S326" s="2921"/>
      <c r="T326" s="2930" t="s">
        <v>514</v>
      </c>
      <c r="U326" s="2931">
        <f t="array" ref="U326">IFERROR(VLOOKUP(T312,Dex!$B$3:$N454,9,FALSE),"")</f>
        <v>100</v>
      </c>
      <c r="V326" s="2932" t="str">
        <f t="array" ref="V326">IFERROR(VLOOKUP(U326,Dex!$P$22:$Q$276,2,FALSE),"")</f>
        <v/>
      </c>
      <c r="W326" s="2933"/>
      <c r="X326" s="2922"/>
      <c r="Y326" s="2930" t="s">
        <v>514</v>
      </c>
      <c r="Z326" s="2931">
        <f t="array" ref="Z326">IFERROR(VLOOKUP(Y312,Dex!$B$3:$N454,9,FALSE),"")</f>
        <v>75</v>
      </c>
      <c r="AA326" s="2932" t="str">
        <f t="array" ref="AA326">IFERROR(VLOOKUP(Z326,Dex!$P$22:$Q$276,2,FALSE),"")</f>
        <v/>
      </c>
      <c r="AB326" s="2933"/>
      <c r="AC326" s="2923"/>
      <c r="AD326" s="2930" t="s">
        <v>514</v>
      </c>
      <c r="AE326" s="2931">
        <f t="array" ref="AE326">IFERROR(VLOOKUP(AD312,Dex!$B$3:$N454,9,FALSE),"")</f>
        <v>135</v>
      </c>
      <c r="AF326" s="2932" t="str">
        <f t="array" ref="AF326">IFERROR(VLOOKUP(AE326,Dex!$P$22:$Q$276,2,FALSE),"")</f>
        <v/>
      </c>
      <c r="AG326" s="2933"/>
      <c r="AH326" s="2925"/>
      <c r="AI326" s="2407"/>
    </row>
    <row r="327" ht="16.5" customHeight="1">
      <c r="A327" s="2811"/>
      <c r="B327" s="2918"/>
      <c r="C327" s="2911"/>
      <c r="D327" s="2919"/>
      <c r="E327" s="2930" t="s">
        <v>515</v>
      </c>
      <c r="F327" s="2931">
        <f t="array" ref="F327">IFERROR(VLOOKUP(E312,Dex!$B$3:$N454,10,FALSE),"")</f>
        <v>90</v>
      </c>
      <c r="G327" s="2932" t="str">
        <f t="array" ref="G327">IFERROR(VLOOKUP(F327,Dex!$P$22:$Q$276,2,FALSE),"")</f>
        <v/>
      </c>
      <c r="H327" s="2933"/>
      <c r="I327" s="2921"/>
      <c r="J327" s="2930" t="s">
        <v>515</v>
      </c>
      <c r="K327" s="2931">
        <f t="array" ref="K327">IFERROR(VLOOKUP(J312,Dex!$B$3:$N454,10,FALSE),"")</f>
        <v>105</v>
      </c>
      <c r="L327" s="2932" t="str">
        <f t="array" ref="L327">IFERROR(VLOOKUP(K327,Dex!$P$22:$Q$276,2,FALSE),"")</f>
        <v/>
      </c>
      <c r="M327" s="2933"/>
      <c r="N327" s="2921"/>
      <c r="O327" s="2930" t="s">
        <v>515</v>
      </c>
      <c r="P327" s="2931">
        <f t="array" ref="P327">IFERROR(VLOOKUP(O312,Dex!$B$3:$N454,10,FALSE),"")</f>
        <v>10</v>
      </c>
      <c r="Q327" s="2932" t="str">
        <f t="array" ref="Q327">IFERROR(VLOOKUP(P327,Dex!$P$22:$Q$276,2,FALSE),"")</f>
        <v/>
      </c>
      <c r="R327" s="2933"/>
      <c r="S327" s="2921"/>
      <c r="T327" s="2930" t="s">
        <v>515</v>
      </c>
      <c r="U327" s="2931">
        <f t="array" ref="U327">IFERROR(VLOOKUP(T312,Dex!$B$3:$N454,10,FALSE),"")</f>
        <v>125</v>
      </c>
      <c r="V327" s="2932" t="str">
        <f t="array" ref="V327">IFERROR(VLOOKUP(U327,Dex!$P$22:$Q$276,2,FALSE),"")</f>
        <v/>
      </c>
      <c r="W327" s="2933"/>
      <c r="X327" s="2922"/>
      <c r="Y327" s="2930" t="s">
        <v>515</v>
      </c>
      <c r="Z327" s="2931">
        <f t="array" ref="Z327">IFERROR(VLOOKUP(Y312,Dex!$B$3:$N454,10,FALSE),"")</f>
        <v>110</v>
      </c>
      <c r="AA327" s="2932" t="str">
        <f t="array" ref="AA327">IFERROR(VLOOKUP(Z327,Dex!$P$22:$Q$276,2,FALSE),"")</f>
        <v/>
      </c>
      <c r="AB327" s="2933"/>
      <c r="AC327" s="2923"/>
      <c r="AD327" s="2930" t="s">
        <v>515</v>
      </c>
      <c r="AE327" s="2931">
        <f t="array" ref="AE327">IFERROR(VLOOKUP(AD312,Dex!$B$3:$N454,10,FALSE),"")</f>
        <v>105</v>
      </c>
      <c r="AF327" s="2932" t="str">
        <f t="array" ref="AF327">IFERROR(VLOOKUP(AE327,Dex!$P$22:$Q$276,2,FALSE),"")</f>
        <v/>
      </c>
      <c r="AG327" s="2933"/>
      <c r="AH327" s="2925"/>
      <c r="AI327" s="2407"/>
    </row>
    <row r="328" ht="16.5" customHeight="1">
      <c r="A328" s="2811"/>
      <c r="B328" s="2918"/>
      <c r="C328" s="2911"/>
      <c r="D328" s="2919"/>
      <c r="E328" s="2930" t="s">
        <v>516</v>
      </c>
      <c r="F328" s="2931">
        <f t="array" ref="F328">IFERROR(VLOOKUP(E312,Dex!$B$3:$N454,11,FALSE),"")</f>
        <v>130</v>
      </c>
      <c r="G328" s="2932" t="str">
        <f t="array" ref="G328">IFERROR(VLOOKUP(F328,Dex!$P$22:$Q$276,2,FALSE),"")</f>
        <v/>
      </c>
      <c r="H328" s="2933"/>
      <c r="I328" s="2921"/>
      <c r="J328" s="2930" t="s">
        <v>516</v>
      </c>
      <c r="K328" s="2931">
        <f t="array" ref="K328">IFERROR(VLOOKUP(J312,Dex!$B$3:$N454,11,FALSE),"")</f>
        <v>55</v>
      </c>
      <c r="L328" s="2932" t="str">
        <f t="array" ref="L328">IFERROR(VLOOKUP(K328,Dex!$P$22:$Q$276,2,FALSE),"")</f>
        <v/>
      </c>
      <c r="M328" s="2933"/>
      <c r="N328" s="2921"/>
      <c r="O328" s="2930" t="s">
        <v>516</v>
      </c>
      <c r="P328" s="2931">
        <f t="array" ref="P328">IFERROR(VLOOKUP(O312,Dex!$B$3:$N454,11,FALSE),"")</f>
        <v>75</v>
      </c>
      <c r="Q328" s="2932" t="str">
        <f t="array" ref="Q328">IFERROR(VLOOKUP(P328,Dex!$P$22:$Q$276,2,FALSE),"")</f>
        <v/>
      </c>
      <c r="R328" s="2933"/>
      <c r="S328" s="2921"/>
      <c r="T328" s="2930" t="s">
        <v>516</v>
      </c>
      <c r="U328" s="2931">
        <f t="array" ref="U328">IFERROR(VLOOKUP(T312,Dex!$B$3:$N454,11,FALSE),"")</f>
        <v>110</v>
      </c>
      <c r="V328" s="2932" t="str">
        <f t="array" ref="V328">IFERROR(VLOOKUP(U328,Dex!$P$22:$Q$276,2,FALSE),"")</f>
        <v/>
      </c>
      <c r="W328" s="2933"/>
      <c r="X328" s="2922"/>
      <c r="Y328" s="2930" t="s">
        <v>516</v>
      </c>
      <c r="Z328" s="2931">
        <f t="array" ref="Z328">IFERROR(VLOOKUP(Y312,Dex!$B$3:$N454,11,FALSE),"")</f>
        <v>100</v>
      </c>
      <c r="AA328" s="2932" t="str">
        <f t="array" ref="AA328">IFERROR(VLOOKUP(Z328,Dex!$P$22:$Q$276,2,FALSE),"")</f>
        <v/>
      </c>
      <c r="AB328" s="2933"/>
      <c r="AC328" s="2923"/>
      <c r="AD328" s="2930" t="s">
        <v>516</v>
      </c>
      <c r="AE328" s="2931">
        <f t="array" ref="AE328">IFERROR(VLOOKUP(AD312,Dex!$B$3:$N454,11,FALSE),"")</f>
        <v>105</v>
      </c>
      <c r="AF328" s="2932" t="str">
        <f t="array" ref="AF328">IFERROR(VLOOKUP(AE328,Dex!$P$22:$Q$276,2,FALSE),"")</f>
        <v/>
      </c>
      <c r="AG328" s="2933"/>
      <c r="AH328" s="2925"/>
      <c r="AI328" s="2407"/>
    </row>
    <row r="329" ht="16.5" customHeight="1">
      <c r="A329" s="2811"/>
      <c r="B329" s="2918"/>
      <c r="C329" s="2911"/>
      <c r="D329" s="2919"/>
      <c r="E329" s="2930" t="s">
        <v>517</v>
      </c>
      <c r="F329" s="2931">
        <f t="array" ref="F329">IFERROR(VLOOKUP(E312,Dex!$B$3:$N454,12,FALSE),"")</f>
        <v>81</v>
      </c>
      <c r="G329" s="2932" t="str">
        <f t="array" ref="G329">IFERROR(VLOOKUP(F329,Dex!$P$22:$Q$276,2,FALSE),"")</f>
        <v/>
      </c>
      <c r="H329" s="2933"/>
      <c r="I329" s="2921"/>
      <c r="J329" s="2930" t="s">
        <v>517</v>
      </c>
      <c r="K329" s="2931">
        <f t="array" ref="K329">IFERROR(VLOOKUP(J312,Dex!$B$3:$N454,12,FALSE),"")</f>
        <v>95</v>
      </c>
      <c r="L329" s="2932" t="str">
        <f t="array" ref="L329">IFERROR(VLOOKUP(K329,Dex!$P$22:$Q$276,2,FALSE),"")</f>
        <v/>
      </c>
      <c r="M329" s="2933"/>
      <c r="N329" s="2921"/>
      <c r="O329" s="2930" t="s">
        <v>517</v>
      </c>
      <c r="P329" s="2931">
        <f t="array" ref="P329">IFERROR(VLOOKUP(O312,Dex!$B$3:$N454,12,FALSE),"")</f>
        <v>135</v>
      </c>
      <c r="Q329" s="2932" t="str">
        <f t="array" ref="Q329">IFERROR(VLOOKUP(P329,Dex!$P$22:$Q$276,2,FALSE),"")</f>
        <v/>
      </c>
      <c r="R329" s="2933"/>
      <c r="S329" s="2921"/>
      <c r="T329" s="2930" t="s">
        <v>517</v>
      </c>
      <c r="U329" s="2931">
        <f t="array" ref="U329">IFERROR(VLOOKUP(T312,Dex!$B$3:$N454,12,FALSE),"")</f>
        <v>50</v>
      </c>
      <c r="V329" s="2932" t="str">
        <f t="array" ref="V329">IFERROR(VLOOKUP(U329,Dex!$P$22:$Q$276,2,FALSE),"")</f>
        <v/>
      </c>
      <c r="W329" s="2933"/>
      <c r="X329" s="2922"/>
      <c r="Y329" s="2930" t="s">
        <v>517</v>
      </c>
      <c r="Z329" s="2931">
        <f t="array" ref="Z329">IFERROR(VLOOKUP(Y312,Dex!$B$3:$N454,12,FALSE),"")</f>
        <v>80</v>
      </c>
      <c r="AA329" s="2932" t="str">
        <f t="array" ref="AA329">IFERROR(VLOOKUP(Z329,Dex!$P$22:$Q$276,2,FALSE),"")</f>
        <v/>
      </c>
      <c r="AB329" s="2933"/>
      <c r="AC329" s="2923"/>
      <c r="AD329" s="2930" t="s">
        <v>517</v>
      </c>
      <c r="AE329" s="2931">
        <f t="array" ref="AE329">IFERROR(VLOOKUP(AD312,Dex!$B$3:$N454,12,FALSE),"")</f>
        <v>105</v>
      </c>
      <c r="AF329" s="2932" t="str">
        <f t="array" ref="AF329">IFERROR(VLOOKUP(AE329,Dex!$P$22:$Q$276,2,FALSE),"")</f>
        <v/>
      </c>
      <c r="AG329" s="2933"/>
      <c r="AH329" s="2925"/>
      <c r="AI329" s="2407"/>
    </row>
    <row r="330" ht="15.75" customHeight="1">
      <c r="A330" s="2811"/>
      <c r="B330" s="2918"/>
      <c r="C330" s="1426" t="s">
        <v>745</v>
      </c>
      <c r="D330" s="2919"/>
      <c r="E330" s="2934" t="s">
        <v>518</v>
      </c>
      <c r="F330" s="2935">
        <f t="array" ref="F330">IFERROR(VLOOKUP(E312,Dex!$B$3:$N454,13,FALSE),"")</f>
        <v>86</v>
      </c>
      <c r="G330" s="2936" t="str">
        <f t="array" ref="G330">IFERROR(VLOOKUP(F330,Dex!$P$22:$Q$276,2,FALSE),"")</f>
        <v/>
      </c>
      <c r="H330" s="2937"/>
      <c r="I330" s="2921"/>
      <c r="J330" s="2934" t="s">
        <v>518</v>
      </c>
      <c r="K330" s="2935">
        <f t="array" ref="K330">IFERROR(VLOOKUP(J312,Dex!$B$3:$N454,13,FALSE),"")</f>
        <v>80</v>
      </c>
      <c r="L330" s="2936" t="str">
        <f t="array" ref="L330">IFERROR(VLOOKUP(K330,Dex!$P$22:$Q$276,2,FALSE),"")</f>
        <v/>
      </c>
      <c r="M330" s="2937"/>
      <c r="N330" s="2921"/>
      <c r="O330" s="2934" t="s">
        <v>518</v>
      </c>
      <c r="P330" s="2935">
        <f t="array" ref="P330">IFERROR(VLOOKUP(O312,Dex!$B$3:$N454,13,FALSE),"")</f>
        <v>55</v>
      </c>
      <c r="Q330" s="2936" t="str">
        <f t="array" ref="Q330">IFERROR(VLOOKUP(P330,Dex!$P$22:$Q$276,2,FALSE),"")</f>
        <v/>
      </c>
      <c r="R330" s="2937"/>
      <c r="S330" s="2921"/>
      <c r="T330" s="2934" t="s">
        <v>518</v>
      </c>
      <c r="U330" s="2935">
        <f t="array" ref="U330">IFERROR(VLOOKUP(T312,Dex!$B$3:$N454,13,FALSE),"")</f>
        <v>50</v>
      </c>
      <c r="V330" s="2936" t="str">
        <f t="array" ref="V330">IFERROR(VLOOKUP(U330,Dex!$P$22:$Q$276,2,FALSE),"")</f>
        <v/>
      </c>
      <c r="W330" s="2937"/>
      <c r="X330" s="2922"/>
      <c r="Y330" s="2934" t="s">
        <v>518</v>
      </c>
      <c r="Z330" s="2935">
        <f t="array" ref="Z330">IFERROR(VLOOKUP(Y312,Dex!$B$3:$N454,13,FALSE),"")</f>
        <v>30</v>
      </c>
      <c r="AA330" s="2936" t="str">
        <f t="array" ref="AA330">IFERROR(VLOOKUP(Z330,Dex!$P$22:$Q$276,2,FALSE),"")</f>
        <v/>
      </c>
      <c r="AB330" s="2937"/>
      <c r="AC330" s="2923"/>
      <c r="AD330" s="2934" t="s">
        <v>518</v>
      </c>
      <c r="AE330" s="2935">
        <f t="array" ref="AE330">IFERROR(VLOOKUP(AD312,Dex!$B$3:$N454,13,FALSE),"")</f>
        <v>75</v>
      </c>
      <c r="AF330" s="2936" t="str">
        <f t="array" ref="AF330">IFERROR(VLOOKUP(AE330,Dex!$P$22:$Q$276,2,FALSE),"")</f>
        <v/>
      </c>
      <c r="AG330" s="2937"/>
      <c r="AH330" s="2925"/>
      <c r="AI330" s="2407"/>
    </row>
    <row r="331" ht="16.5" customHeight="1">
      <c r="A331" s="2811"/>
      <c r="B331" s="2918"/>
      <c r="C331" s="1427" t="s">
        <v>1295</v>
      </c>
      <c r="D331" s="2919"/>
      <c r="E331" s="2938" t="s">
        <v>519</v>
      </c>
      <c r="F331" s="630"/>
      <c r="G331" s="631"/>
      <c r="H331" s="632">
        <f>ROUNDDOWN((ROUNDDOWN(((((2*F330+31)*77)/100+5)),0))*1.1,0)</f>
        <v>177</v>
      </c>
      <c r="I331" s="2921"/>
      <c r="J331" s="2938" t="s">
        <v>519</v>
      </c>
      <c r="K331" s="630"/>
      <c r="L331" s="631"/>
      <c r="M331" s="632">
        <f>ROUNDDOWN((ROUNDDOWN(((((2*K330+31)*79)/100+5)),0))*1,0)</f>
        <v>155</v>
      </c>
      <c r="N331" s="2921"/>
      <c r="O331" s="2938" t="s">
        <v>519</v>
      </c>
      <c r="P331" s="630"/>
      <c r="Q331" s="631"/>
      <c r="R331" s="632">
        <f>ROUNDDOWN((ROUNDDOWN(((((2*P330+31)*79)/100+5)),0))*1,0)</f>
        <v>116</v>
      </c>
      <c r="S331" s="2921"/>
      <c r="T331" s="2938" t="s">
        <v>519</v>
      </c>
      <c r="U331" s="630"/>
      <c r="V331" s="631"/>
      <c r="W331" s="632">
        <f>ROUNDDOWN((ROUNDDOWN(((((2*U330+30)*79)/100+5)),0))*0.9,0)</f>
        <v>96</v>
      </c>
      <c r="X331" s="2922"/>
      <c r="Y331" s="2938" t="s">
        <v>519</v>
      </c>
      <c r="Z331" s="630"/>
      <c r="AA331" s="631"/>
      <c r="AB331" s="632">
        <f>ROUNDDOWN((ROUNDDOWN(((((2*Z330+31)*79)/100+5)),0))*1,0)</f>
        <v>76</v>
      </c>
      <c r="AC331" s="2923"/>
      <c r="AD331" s="2938" t="s">
        <v>519</v>
      </c>
      <c r="AE331" s="630"/>
      <c r="AF331" s="631"/>
      <c r="AG331" s="632">
        <f>ROUNDDOWN((ROUNDDOWN(((((2*AE330+31)*79)/100+5)),0))*1,0)</f>
        <v>147</v>
      </c>
      <c r="AH331" s="2925"/>
      <c r="AI331" s="2407"/>
    </row>
    <row r="332" ht="15.0" customHeight="1">
      <c r="A332" s="2329"/>
      <c r="B332" s="2939"/>
      <c r="C332" s="2940"/>
      <c r="D332" s="2941"/>
      <c r="E332" s="3066"/>
      <c r="F332" s="3066"/>
      <c r="G332" s="3066"/>
      <c r="H332" s="2940"/>
      <c r="I332" s="2941"/>
      <c r="J332" s="2940"/>
      <c r="K332" s="2940"/>
      <c r="L332" s="2940"/>
      <c r="M332" s="2940"/>
      <c r="N332" s="2941"/>
      <c r="O332" s="2940"/>
      <c r="P332" s="2940"/>
      <c r="Q332" s="2940"/>
      <c r="R332" s="2940"/>
      <c r="S332" s="2941"/>
      <c r="T332" s="2940"/>
      <c r="U332" s="2940"/>
      <c r="V332" s="2940"/>
      <c r="W332" s="2940"/>
      <c r="X332" s="2941"/>
      <c r="Y332" s="2940"/>
      <c r="Z332" s="2940"/>
      <c r="AA332" s="2940"/>
      <c r="AB332" s="2940"/>
      <c r="AC332" s="2941"/>
      <c r="AD332" s="2941"/>
      <c r="AE332" s="2941"/>
      <c r="AF332" s="2941"/>
      <c r="AG332" s="2941"/>
      <c r="AH332" s="2943"/>
      <c r="AI332" s="2737"/>
    </row>
    <row r="333" ht="15.0" customHeight="1">
      <c r="A333" s="2329"/>
      <c r="B333" s="2844"/>
      <c r="C333" s="2845"/>
      <c r="D333" s="2846"/>
      <c r="E333" s="2847"/>
      <c r="F333" s="2847"/>
      <c r="G333" s="2847"/>
      <c r="H333" s="2847"/>
      <c r="I333" s="2846"/>
      <c r="J333" s="2847"/>
      <c r="K333" s="2847"/>
      <c r="L333" s="2847"/>
      <c r="M333" s="2847"/>
      <c r="N333" s="2846"/>
      <c r="O333" s="2847"/>
      <c r="P333" s="2847"/>
      <c r="Q333" s="2847"/>
      <c r="R333" s="2847"/>
      <c r="S333" s="2846"/>
      <c r="T333" s="2847"/>
      <c r="U333" s="2847"/>
      <c r="V333" s="2847"/>
      <c r="W333" s="2847"/>
      <c r="X333" s="2846"/>
      <c r="Y333" s="2847"/>
      <c r="Z333" s="2847"/>
      <c r="AA333" s="2847"/>
      <c r="AB333" s="2847"/>
      <c r="AC333" s="2846"/>
      <c r="AD333" s="2847"/>
      <c r="AE333" s="2847"/>
      <c r="AF333" s="2847"/>
      <c r="AG333" s="2847"/>
      <c r="AH333" s="2848"/>
      <c r="AI333" s="2737"/>
    </row>
    <row r="334" ht="16.5" customHeight="1">
      <c r="A334" s="2329"/>
      <c r="B334" s="2945"/>
      <c r="C334" s="2902"/>
      <c r="D334" s="2887"/>
      <c r="E334" s="2946" t="s">
        <v>1296</v>
      </c>
      <c r="F334" s="2897"/>
      <c r="G334" s="2897"/>
      <c r="H334" s="2897"/>
      <c r="I334" s="2897"/>
      <c r="J334" s="2897"/>
      <c r="K334" s="2897"/>
      <c r="L334" s="2897"/>
      <c r="M334" s="2897"/>
      <c r="N334" s="2897"/>
      <c r="O334" s="2897"/>
      <c r="P334" s="2897"/>
      <c r="Q334" s="2897"/>
      <c r="R334" s="2897"/>
      <c r="S334" s="2897"/>
      <c r="T334" s="2897"/>
      <c r="U334" s="2897"/>
      <c r="V334" s="2897"/>
      <c r="W334" s="2897"/>
      <c r="X334" s="2897"/>
      <c r="Y334" s="2897"/>
      <c r="Z334" s="2897"/>
      <c r="AA334" s="2897"/>
      <c r="AB334" s="2897"/>
      <c r="AC334" s="2897"/>
      <c r="AD334" s="2897"/>
      <c r="AE334" s="2897"/>
      <c r="AF334" s="2897"/>
      <c r="AG334" s="2898"/>
      <c r="AH334" s="2848"/>
      <c r="AI334" s="2737"/>
    </row>
    <row r="335" ht="96.75" customHeight="1">
      <c r="A335" s="2329"/>
      <c r="B335" s="2849"/>
      <c r="C335" s="2850" t="str">
        <f>IMAGE("https://i.ibb.co/kJrTDW3/Grunt.png")</f>
        <v/>
      </c>
      <c r="D335" s="2851"/>
      <c r="E335" s="3061" t="str">
        <f t="array" ref="E335">IFERROR(VLOOKUP(E336,Dex!$B$3:$G454,3,FALSE),"")</f>
        <v/>
      </c>
      <c r="F335" s="1945"/>
      <c r="G335" s="1945"/>
      <c r="H335" s="1946"/>
      <c r="I335" s="2944"/>
      <c r="J335" s="3061" t="str">
        <f t="array" ref="J335">IFERROR(VLOOKUP(J336,Dex!$B$3:$G454,3,FALSE),"")</f>
        <v/>
      </c>
      <c r="K335" s="1945"/>
      <c r="L335" s="1945"/>
      <c r="M335" s="1946"/>
      <c r="N335" s="2944"/>
      <c r="O335" s="3061" t="str">
        <f t="array" ref="O335">IFERROR(VLOOKUP(O336,Dex!$B$3:$G454,3,FALSE),"")</f>
        <v/>
      </c>
      <c r="P335" s="1945"/>
      <c r="Q335" s="1945"/>
      <c r="R335" s="1946"/>
      <c r="S335" s="2944"/>
      <c r="T335" s="3061" t="str">
        <f t="array" ref="T335">IFERROR(VLOOKUP(T336,Dex!$B$3:$G454,3,FALSE),"")</f>
        <v/>
      </c>
      <c r="U335" s="1945"/>
      <c r="V335" s="1945"/>
      <c r="W335" s="1946"/>
      <c r="X335" s="3062"/>
      <c r="Y335" s="3061" t="str">
        <f t="array" ref="Y335">IFERROR(VLOOKUP(Y336,Dex!$B$3:$G454,3,FALSE),"")</f>
        <v/>
      </c>
      <c r="Z335" s="1945"/>
      <c r="AA335" s="1945"/>
      <c r="AB335" s="1946"/>
      <c r="AC335" s="3062"/>
      <c r="AD335" s="3061" t="str">
        <f t="array" ref="AD335">IFERROR(VLOOKUP(AD336,Dex!$B$3:$G454,3,FALSE),"")</f>
        <v/>
      </c>
      <c r="AE335" s="1945"/>
      <c r="AF335" s="1945"/>
      <c r="AG335" s="1946"/>
      <c r="AH335" s="3234"/>
      <c r="AI335" s="2737"/>
    </row>
    <row r="336" ht="18.75" customHeight="1">
      <c r="A336" s="2354"/>
      <c r="B336" s="2859"/>
      <c r="C336" s="2860" t="s">
        <v>1297</v>
      </c>
      <c r="D336" s="2861"/>
      <c r="E336" s="2862" t="s">
        <v>1298</v>
      </c>
      <c r="F336" s="2863"/>
      <c r="G336" s="2863"/>
      <c r="H336" s="2864"/>
      <c r="I336" s="2861"/>
      <c r="J336" s="2862" t="s">
        <v>1299</v>
      </c>
      <c r="K336" s="2863"/>
      <c r="L336" s="2863"/>
      <c r="M336" s="2864"/>
      <c r="N336" s="2861"/>
      <c r="O336" s="2862" t="s">
        <v>1119</v>
      </c>
      <c r="P336" s="2863"/>
      <c r="Q336" s="2863"/>
      <c r="R336" s="2864"/>
      <c r="S336" s="2861"/>
      <c r="T336" s="2862" t="s">
        <v>886</v>
      </c>
      <c r="U336" s="2863"/>
      <c r="V336" s="2863"/>
      <c r="W336" s="2864"/>
      <c r="Y336" s="2862" t="s">
        <v>1300</v>
      </c>
      <c r="Z336" s="2863"/>
      <c r="AA336" s="2863"/>
      <c r="AB336" s="2864"/>
      <c r="AD336" s="2862" t="s">
        <v>1301</v>
      </c>
      <c r="AE336" s="2863"/>
      <c r="AF336" s="2863"/>
      <c r="AG336" s="2864"/>
      <c r="AH336" s="3235"/>
      <c r="AI336" s="2757"/>
    </row>
    <row r="337">
      <c r="A337" s="2758"/>
      <c r="B337" s="2869"/>
      <c r="C337" s="556"/>
      <c r="D337" s="2870"/>
      <c r="E337" s="2871" t="s">
        <v>729</v>
      </c>
      <c r="F337" s="2872"/>
      <c r="G337" s="2872"/>
      <c r="H337" s="2873"/>
      <c r="I337" s="2861"/>
      <c r="J337" s="2871" t="s">
        <v>729</v>
      </c>
      <c r="K337" s="2872"/>
      <c r="L337" s="2872"/>
      <c r="M337" s="2873"/>
      <c r="N337" s="2861"/>
      <c r="O337" s="2871" t="s">
        <v>729</v>
      </c>
      <c r="P337" s="2872"/>
      <c r="Q337" s="2872"/>
      <c r="R337" s="2873"/>
      <c r="S337" s="2861"/>
      <c r="T337" s="2871" t="s">
        <v>729</v>
      </c>
      <c r="U337" s="2872"/>
      <c r="V337" s="2872"/>
      <c r="W337" s="2873"/>
      <c r="Y337" s="2871" t="s">
        <v>729</v>
      </c>
      <c r="Z337" s="2872"/>
      <c r="AA337" s="2872"/>
      <c r="AB337" s="2873"/>
      <c r="AD337" s="2871" t="s">
        <v>729</v>
      </c>
      <c r="AE337" s="2872"/>
      <c r="AF337" s="2872"/>
      <c r="AG337" s="2873"/>
      <c r="AH337" s="3236"/>
      <c r="AI337" s="2766"/>
    </row>
    <row r="338" ht="25.5" customHeight="1">
      <c r="A338" s="2329"/>
      <c r="B338" s="2876"/>
      <c r="C338" s="2877"/>
      <c r="D338" s="2854"/>
      <c r="E338" s="2878"/>
      <c r="F338" s="2882" t="str">
        <f t="array" ref="F338">IFERROR(VLOOKUP(E336,Dex!$B$3:$H454,5,FALSE),"")</f>
        <v/>
      </c>
      <c r="G338" s="2883" t="str">
        <f t="array" ref="G338">IFERROR(VLOOKUP(E336,Dex!$B$3:$H454,7,FALSE),"")</f>
        <v/>
      </c>
      <c r="H338" s="2881"/>
      <c r="I338" s="2866"/>
      <c r="J338" s="2878"/>
      <c r="K338" s="2879" t="str">
        <f t="array" ref="K338">IFERROR(VLOOKUP(J336,Dex!$B$3:$H454,5,FALSE),"")</f>
        <v/>
      </c>
      <c r="L338" s="2880"/>
      <c r="M338" s="2881"/>
      <c r="N338" s="2866"/>
      <c r="O338" s="2878"/>
      <c r="P338" s="2882" t="str">
        <f t="array" ref="P338">IFERROR(VLOOKUP(O336,Dex!$B$3:$H454,5,FALSE),"")</f>
        <v/>
      </c>
      <c r="Q338" s="2883" t="str">
        <f t="array" ref="Q338">IFERROR(VLOOKUP(O336,Dex!$B$3:$H454,7,FALSE),"")</f>
        <v/>
      </c>
      <c r="R338" s="2881"/>
      <c r="S338" s="2866"/>
      <c r="T338" s="2878"/>
      <c r="U338" s="2882" t="str">
        <f t="array" ref="U338">IFERROR(VLOOKUP(T336,Dex!$B$3:$H454,5,FALSE),"")</f>
        <v/>
      </c>
      <c r="V338" s="2883" t="str">
        <f t="array" ref="V338">IFERROR(VLOOKUP(T336,Dex!$B$3:$H454,7,FALSE),"")</f>
        <v/>
      </c>
      <c r="W338" s="2881"/>
      <c r="Y338" s="2878"/>
      <c r="Z338" s="2879" t="str">
        <f t="array" ref="Z338">IFERROR(VLOOKUP(Y336,Dex!$B$3:$H454,5,FALSE),"")</f>
        <v/>
      </c>
      <c r="AA338" s="2880"/>
      <c r="AB338" s="2881"/>
      <c r="AD338" s="2878"/>
      <c r="AE338" s="2882" t="str">
        <f t="array" ref="AE338">IFERROR(VLOOKUP(AD336,Dex!$B$3:$H454,5,FALSE),"")</f>
        <v/>
      </c>
      <c r="AF338" s="2883" t="str">
        <f t="array" ref="AF338">IFERROR(VLOOKUP(AD336,Dex!$B$3:$H454,7,FALSE),"")</f>
        <v/>
      </c>
      <c r="AG338" s="2881"/>
      <c r="AH338" s="2858"/>
      <c r="AI338" s="2737"/>
    </row>
    <row r="339" ht="2.25" customHeight="1">
      <c r="A339" s="2329"/>
      <c r="B339" s="2876"/>
      <c r="C339" s="2867"/>
      <c r="D339" s="2854"/>
      <c r="E339" s="2884"/>
      <c r="F339" s="2885"/>
      <c r="G339" s="2885"/>
      <c r="H339" s="2886"/>
      <c r="I339" s="2866"/>
      <c r="J339" s="2884"/>
      <c r="K339" s="2885"/>
      <c r="L339" s="2885"/>
      <c r="M339" s="2886"/>
      <c r="N339" s="2866"/>
      <c r="O339" s="2884"/>
      <c r="P339" s="2885"/>
      <c r="Q339" s="2885"/>
      <c r="R339" s="2886"/>
      <c r="S339" s="2866"/>
      <c r="T339" s="2884"/>
      <c r="U339" s="2885"/>
      <c r="V339" s="2885"/>
      <c r="W339" s="2886"/>
      <c r="Y339" s="2884"/>
      <c r="Z339" s="2885"/>
      <c r="AA339" s="2885"/>
      <c r="AB339" s="2886"/>
      <c r="AD339" s="2884"/>
      <c r="AE339" s="2885"/>
      <c r="AF339" s="2885"/>
      <c r="AG339" s="2886"/>
      <c r="AH339" s="2858"/>
      <c r="AI339" s="2737"/>
    </row>
    <row r="340" ht="20.25" customHeight="1">
      <c r="A340" s="2329"/>
      <c r="B340" s="2876"/>
      <c r="C340" s="2888"/>
      <c r="D340" s="2854"/>
      <c r="E340" s="2889" t="s">
        <v>480</v>
      </c>
      <c r="F340" s="2890"/>
      <c r="G340" s="2890"/>
      <c r="H340" s="2891"/>
      <c r="I340" s="2892"/>
      <c r="J340" s="2889" t="s">
        <v>566</v>
      </c>
      <c r="K340" s="2890"/>
      <c r="L340" s="2890"/>
      <c r="M340" s="2891"/>
      <c r="N340" s="2892"/>
      <c r="O340" s="2889" t="s">
        <v>532</v>
      </c>
      <c r="P340" s="2890"/>
      <c r="Q340" s="2890"/>
      <c r="R340" s="2891"/>
      <c r="S340" s="2892"/>
      <c r="T340" s="2889" t="s">
        <v>532</v>
      </c>
      <c r="U340" s="2890"/>
      <c r="V340" s="2890"/>
      <c r="W340" s="2891"/>
      <c r="Y340" s="2889" t="s">
        <v>531</v>
      </c>
      <c r="Z340" s="2890"/>
      <c r="AA340" s="2890"/>
      <c r="AB340" s="2891"/>
      <c r="AD340" s="2889" t="s">
        <v>532</v>
      </c>
      <c r="AE340" s="2890"/>
      <c r="AF340" s="2890"/>
      <c r="AG340" s="2891"/>
      <c r="AH340" s="3234"/>
      <c r="AI340" s="2737"/>
    </row>
    <row r="341">
      <c r="A341" s="2329"/>
      <c r="B341" s="2876"/>
      <c r="C341" s="2893"/>
      <c r="D341" s="2854"/>
      <c r="E341" s="2894" t="s">
        <v>1239</v>
      </c>
      <c r="F341" s="2855"/>
      <c r="G341" s="2855"/>
      <c r="H341" s="2895"/>
      <c r="I341" s="2892"/>
      <c r="J341" s="2894" t="s">
        <v>856</v>
      </c>
      <c r="K341" s="2855"/>
      <c r="L341" s="2855"/>
      <c r="M341" s="2895"/>
      <c r="N341" s="2892"/>
      <c r="O341" s="2894" t="s">
        <v>1123</v>
      </c>
      <c r="P341" s="2855"/>
      <c r="Q341" s="2855"/>
      <c r="R341" s="2895"/>
      <c r="S341" s="2892"/>
      <c r="T341" s="2894" t="s">
        <v>91</v>
      </c>
      <c r="U341" s="2855"/>
      <c r="V341" s="2855"/>
      <c r="W341" s="2895"/>
      <c r="Y341" s="2894" t="s">
        <v>67</v>
      </c>
      <c r="Z341" s="2855"/>
      <c r="AA341" s="2855"/>
      <c r="AB341" s="2895"/>
      <c r="AD341" s="2894" t="s">
        <v>1302</v>
      </c>
      <c r="AE341" s="2855"/>
      <c r="AF341" s="2855"/>
      <c r="AG341" s="2895"/>
      <c r="AH341" s="3234"/>
      <c r="AI341" s="2737"/>
    </row>
    <row r="342" ht="20.25" customHeight="1">
      <c r="A342" s="2329"/>
      <c r="B342" s="2876"/>
      <c r="C342" s="2867"/>
      <c r="D342" s="2854"/>
      <c r="E342" s="2896" t="s">
        <v>1303</v>
      </c>
      <c r="F342" s="2897"/>
      <c r="G342" s="2898"/>
      <c r="H342" s="2899" t="str">
        <f>IMAGE("https://raw.githubusercontent.com/msikma/pokesprite/master/items/hold-item/light-clay.png",3)</f>
        <v/>
      </c>
      <c r="I342" s="2866"/>
      <c r="J342" s="2896" t="s">
        <v>489</v>
      </c>
      <c r="K342" s="2897"/>
      <c r="L342" s="2898"/>
      <c r="M342" s="2899" t="str">
        <f>IMAGE("https://raw.githubusercontent.com/msikma/pokesprite/master/items/hold-item/eviolite.png",3)</f>
        <v/>
      </c>
      <c r="N342" s="2866"/>
      <c r="O342" s="2896" t="s">
        <v>541</v>
      </c>
      <c r="P342" s="2897"/>
      <c r="Q342" s="2898"/>
      <c r="R342" s="2899" t="str">
        <f>IMAGE("https://raw.githubusercontent.com/msikma/pokesprite/master/items/hold-item/life-orb.png",3)</f>
        <v/>
      </c>
      <c r="S342" s="2866"/>
      <c r="T342" s="2896" t="s">
        <v>733</v>
      </c>
      <c r="U342" s="2897"/>
      <c r="V342" s="2898"/>
      <c r="W342" s="2899" t="str">
        <f>IMAGE("https://raw.githubusercontent.com/msikma/pokesprite/master/items/hold-item/leftovers.png",3)</f>
        <v/>
      </c>
      <c r="Y342" s="2896" t="s">
        <v>573</v>
      </c>
      <c r="Z342" s="2897"/>
      <c r="AA342" s="2898"/>
      <c r="AB342" s="2899" t="str">
        <f>IMAGE("https://raw.githubusercontent.com/msikma/pokesprite/master/items/hold-item/focus-sash.png",3)</f>
        <v/>
      </c>
      <c r="AD342" s="2896" t="s">
        <v>1304</v>
      </c>
      <c r="AE342" s="2897"/>
      <c r="AF342" s="2898"/>
      <c r="AG342" s="2899" t="str">
        <f>IMAGE("https://raw.githubusercontent.com/msikma/pokesprite/master/items/mega-stone/sharpedonite.png",3)</f>
        <v/>
      </c>
      <c r="AH342" s="2858"/>
      <c r="AI342" s="2737"/>
    </row>
    <row r="343" ht="20.25" customHeight="1">
      <c r="A343" s="2329"/>
      <c r="B343" s="2876"/>
      <c r="C343" s="2888"/>
      <c r="D343" s="2854"/>
      <c r="E343" s="2889" t="s">
        <v>1305</v>
      </c>
      <c r="F343" s="2890"/>
      <c r="G343" s="2900"/>
      <c r="H343" s="2901" t="str">
        <f t="shared" ref="H343:H344" si="19">IMAGE("https://raw.githubusercontent.com/msikma/pokesprite/master/misc/types/gen8/psychic.png",4,20,20)</f>
        <v/>
      </c>
      <c r="I343" s="2866"/>
      <c r="J343" s="2889" t="s">
        <v>762</v>
      </c>
      <c r="K343" s="2890"/>
      <c r="L343" s="2900"/>
      <c r="M343" s="2901" t="str">
        <f>IMAGE("https://raw.githubusercontent.com/msikma/pokesprite/master/misc/types/gen8/dark.png",4,20,20)</f>
        <v/>
      </c>
      <c r="N343" s="2866"/>
      <c r="O343" s="2889" t="s">
        <v>287</v>
      </c>
      <c r="P343" s="2890"/>
      <c r="Q343" s="2900"/>
      <c r="R343" s="2901" t="str">
        <f>IMAGE("https://raw.githubusercontent.com/msikma/pokesprite/master/misc/types/gen8/normal.png",4,20,20)</f>
        <v/>
      </c>
      <c r="S343" s="2866"/>
      <c r="T343" s="2889" t="s">
        <v>168</v>
      </c>
      <c r="U343" s="2890"/>
      <c r="V343" s="2900"/>
      <c r="W343" s="2901" t="str">
        <f t="shared" ref="W343:W344" si="20">IMAGE("https://raw.githubusercontent.com/msikma/pokesprite/master/misc/types/gen8/fighting.png",4,20,20)</f>
        <v/>
      </c>
      <c r="Y343" s="2889" t="s">
        <v>184</v>
      </c>
      <c r="Z343" s="2890"/>
      <c r="AA343" s="2900"/>
      <c r="AB343" s="2901" t="str">
        <f>IMAGE("https://raw.githubusercontent.com/msikma/pokesprite/master/misc/types/gen8/normal.png",4,20,20)</f>
        <v/>
      </c>
      <c r="AD343" s="2889" t="s">
        <v>1306</v>
      </c>
      <c r="AE343" s="2890"/>
      <c r="AF343" s="2900"/>
      <c r="AG343" s="2901" t="str">
        <f>IMAGE("https://raw.githubusercontent.com/msikma/pokesprite/master/misc/types/gen8/water.png",4,20,20)</f>
        <v/>
      </c>
      <c r="AH343" s="2858"/>
      <c r="AI343" s="2737"/>
    </row>
    <row r="344" ht="20.25" customHeight="1">
      <c r="A344" s="2329"/>
      <c r="B344" s="2876"/>
      <c r="C344" s="2902"/>
      <c r="D344" s="2854"/>
      <c r="E344" s="2894" t="s">
        <v>1307</v>
      </c>
      <c r="F344" s="2855"/>
      <c r="G344" s="2856"/>
      <c r="H344" s="2956" t="str">
        <f t="shared" si="19"/>
        <v/>
      </c>
      <c r="I344" s="2866"/>
      <c r="J344" s="2894" t="s">
        <v>511</v>
      </c>
      <c r="K344" s="2855"/>
      <c r="L344" s="2856"/>
      <c r="M344" s="2956" t="str">
        <f>IMAGE("https://raw.githubusercontent.com/msikma/pokesprite/master/misc/types/gen8/normal.png",4,20,20)</f>
        <v/>
      </c>
      <c r="N344" s="2866"/>
      <c r="O344" s="2894" t="s">
        <v>554</v>
      </c>
      <c r="P344" s="2855"/>
      <c r="Q344" s="2856"/>
      <c r="R344" s="2956" t="str">
        <f t="shared" ref="R344:R345" si="21">IMAGE("https://raw.githubusercontent.com/msikma/pokesprite/master/misc/types/gen8/dark.png",4,20,20)</f>
        <v/>
      </c>
      <c r="S344" s="2866"/>
      <c r="T344" s="2894" t="s">
        <v>548</v>
      </c>
      <c r="U344" s="2855"/>
      <c r="V344" s="2856"/>
      <c r="W344" s="2956" t="str">
        <f t="shared" si="20"/>
        <v/>
      </c>
      <c r="Y344" s="2894" t="s">
        <v>669</v>
      </c>
      <c r="Z344" s="2855"/>
      <c r="AA344" s="2856"/>
      <c r="AB344" s="2956" t="str">
        <f t="shared" ref="AB344:AB345" si="22">IMAGE("https://raw.githubusercontent.com/msikma/pokesprite/master/misc/types/gen8/psychic.png",4,20,20)</f>
        <v/>
      </c>
      <c r="AD344" s="2894" t="s">
        <v>762</v>
      </c>
      <c r="AE344" s="2855"/>
      <c r="AF344" s="2856"/>
      <c r="AG344" s="2956" t="str">
        <f>IMAGE("https://raw.githubusercontent.com/msikma/pokesprite/master/misc/types/gen8/dark.png",4,20,20)</f>
        <v/>
      </c>
      <c r="AH344" s="2858"/>
      <c r="AI344" s="2737"/>
    </row>
    <row r="345" ht="20.25" customHeight="1">
      <c r="A345" s="2329"/>
      <c r="B345" s="2876"/>
      <c r="C345" s="2902"/>
      <c r="D345" s="2854"/>
      <c r="E345" s="2894" t="s">
        <v>1308</v>
      </c>
      <c r="F345" s="2855"/>
      <c r="G345" s="2856"/>
      <c r="H345" s="2957" t="str">
        <f>IMAGE("https://raw.githubusercontent.com/msikma/pokesprite/master/misc/types/gen8/fairy.png",4,20,20)</f>
        <v/>
      </c>
      <c r="I345" s="2866"/>
      <c r="J345" s="2894" t="s">
        <v>583</v>
      </c>
      <c r="K345" s="2855"/>
      <c r="L345" s="2856"/>
      <c r="M345" s="2957" t="str">
        <f>IMAGE("https://raw.githubusercontent.com/msikma/pokesprite/master/misc/types/gen8/fighting.png",4,20,20)</f>
        <v/>
      </c>
      <c r="N345" s="2866"/>
      <c r="O345" s="2894" t="s">
        <v>579</v>
      </c>
      <c r="P345" s="2855"/>
      <c r="Q345" s="2856"/>
      <c r="R345" s="2957" t="str">
        <f t="shared" si="21"/>
        <v/>
      </c>
      <c r="S345" s="2866"/>
      <c r="T345" s="2894" t="s">
        <v>903</v>
      </c>
      <c r="U345" s="2855"/>
      <c r="V345" s="2856"/>
      <c r="W345" s="2957" t="str">
        <f>IMAGE("https://raw.githubusercontent.com/msikma/pokesprite/master/misc/types/gen8/ghost.png",4,20,20)</f>
        <v/>
      </c>
      <c r="Y345" s="2894" t="s">
        <v>170</v>
      </c>
      <c r="Z345" s="2855"/>
      <c r="AA345" s="2856"/>
      <c r="AB345" s="2957" t="str">
        <f t="shared" si="22"/>
        <v/>
      </c>
      <c r="AD345" s="2894" t="s">
        <v>583</v>
      </c>
      <c r="AE345" s="2855"/>
      <c r="AF345" s="2856"/>
      <c r="AG345" s="2957" t="str">
        <f>IMAGE("https://raw.githubusercontent.com/msikma/pokesprite/master/misc/types/gen8/fighting.png",4,20,20)</f>
        <v/>
      </c>
      <c r="AH345" s="2858"/>
      <c r="AI345" s="2737"/>
    </row>
    <row r="346" ht="21.0" customHeight="1">
      <c r="A346" s="2329"/>
      <c r="B346" s="2876"/>
      <c r="C346" s="2902"/>
      <c r="D346" s="2854"/>
      <c r="E346" s="2904" t="s">
        <v>1087</v>
      </c>
      <c r="F346" s="2905"/>
      <c r="G346" s="2906"/>
      <c r="H346" s="2907" t="str">
        <f>IMAGE("https://raw.githubusercontent.com/msikma/pokesprite/master/misc/types/gen8/dark.png",4,20,20)</f>
        <v/>
      </c>
      <c r="I346" s="2866"/>
      <c r="J346" s="2904" t="s">
        <v>959</v>
      </c>
      <c r="K346" s="2905"/>
      <c r="L346" s="2906"/>
      <c r="M346" s="2907" t="str">
        <f>IMAGE("https://raw.githubusercontent.com/msikma/pokesprite/master/misc/types/gen8/fairy.png",4,20,20)</f>
        <v/>
      </c>
      <c r="N346" s="2866"/>
      <c r="O346" s="2904" t="s">
        <v>739</v>
      </c>
      <c r="P346" s="2905"/>
      <c r="Q346" s="2906"/>
      <c r="R346" s="2907" t="str">
        <f>IMAGE("https://raw.githubusercontent.com/msikma/pokesprite/master/misc/types/gen8/steel.png",4,20,20)</f>
        <v/>
      </c>
      <c r="S346" s="2866"/>
      <c r="T346" s="2904" t="s">
        <v>589</v>
      </c>
      <c r="U346" s="2905"/>
      <c r="V346" s="2906"/>
      <c r="W346" s="2907" t="str">
        <f>IMAGE("https://raw.githubusercontent.com/msikma/pokesprite/master/misc/types/gen8/ice.png",4,20,20)</f>
        <v/>
      </c>
      <c r="X346" s="2948"/>
      <c r="Y346" s="2904" t="s">
        <v>776</v>
      </c>
      <c r="Z346" s="2905"/>
      <c r="AA346" s="2906"/>
      <c r="AB346" s="2907" t="str">
        <f>IMAGE("https://raw.githubusercontent.com/msikma/pokesprite/master/misc/types/gen8/fairy.png",4,20,20)</f>
        <v/>
      </c>
      <c r="AC346" s="2948"/>
      <c r="AD346" s="2904" t="s">
        <v>974</v>
      </c>
      <c r="AE346" s="2905"/>
      <c r="AF346" s="2906"/>
      <c r="AG346" s="2907" t="str">
        <f>IMAGE("https://raw.githubusercontent.com/msikma/pokesprite/master/misc/types/gen8/water.png",4,20,20)</f>
        <v/>
      </c>
      <c r="AH346" s="2858"/>
      <c r="AI346" s="2737"/>
    </row>
    <row r="347" ht="3.0" customHeight="1">
      <c r="A347" s="2802"/>
      <c r="B347" s="2910"/>
      <c r="C347" s="2911"/>
      <c r="D347" s="2912"/>
      <c r="E347" s="2913"/>
      <c r="F347" s="2913"/>
      <c r="G347" s="2913"/>
      <c r="H347" s="2913"/>
      <c r="I347" s="2912"/>
      <c r="J347" s="2913"/>
      <c r="K347" s="2913"/>
      <c r="L347" s="2913"/>
      <c r="M347" s="2913"/>
      <c r="N347" s="2912"/>
      <c r="O347" s="2913"/>
      <c r="P347" s="2913"/>
      <c r="Q347" s="2913"/>
      <c r="R347" s="2913"/>
      <c r="S347" s="2912"/>
      <c r="T347" s="2913"/>
      <c r="U347" s="2913"/>
      <c r="V347" s="2913"/>
      <c r="W347" s="2914"/>
      <c r="X347" s="2912"/>
      <c r="Y347" s="2913"/>
      <c r="Z347" s="2913"/>
      <c r="AA347" s="2913"/>
      <c r="AB347" s="2914"/>
      <c r="AC347" s="2916"/>
      <c r="AD347" s="2913"/>
      <c r="AE347" s="2913"/>
      <c r="AF347" s="2913"/>
      <c r="AG347" s="2914"/>
      <c r="AH347" s="2917"/>
      <c r="AI347" s="2810"/>
    </row>
    <row r="348" ht="16.5" customHeight="1">
      <c r="A348" s="2811"/>
      <c r="B348" s="2918"/>
      <c r="C348" s="2911"/>
      <c r="D348" s="2919"/>
      <c r="E348" s="2920" t="s">
        <v>512</v>
      </c>
      <c r="F348" s="606"/>
      <c r="G348" s="606"/>
      <c r="H348" s="607"/>
      <c r="I348" s="2921"/>
      <c r="J348" s="2920" t="s">
        <v>512</v>
      </c>
      <c r="K348" s="606"/>
      <c r="L348" s="606"/>
      <c r="M348" s="607"/>
      <c r="N348" s="2921"/>
      <c r="O348" s="2920" t="s">
        <v>512</v>
      </c>
      <c r="P348" s="606"/>
      <c r="Q348" s="606"/>
      <c r="R348" s="607"/>
      <c r="S348" s="2921"/>
      <c r="T348" s="2920" t="s">
        <v>512</v>
      </c>
      <c r="U348" s="606"/>
      <c r="V348" s="606"/>
      <c r="W348" s="607"/>
      <c r="X348" s="2922"/>
      <c r="Y348" s="2920" t="s">
        <v>512</v>
      </c>
      <c r="Z348" s="606"/>
      <c r="AA348" s="606"/>
      <c r="AB348" s="607"/>
      <c r="AC348" s="2923"/>
      <c r="AD348" s="2920" t="s">
        <v>512</v>
      </c>
      <c r="AE348" s="606"/>
      <c r="AF348" s="606"/>
      <c r="AG348" s="607"/>
      <c r="AH348" s="2925"/>
      <c r="AI348" s="2407"/>
    </row>
    <row r="349" ht="16.5" customHeight="1">
      <c r="A349" s="2811"/>
      <c r="B349" s="2918"/>
      <c r="C349" s="2911"/>
      <c r="D349" s="2919"/>
      <c r="E349" s="2926" t="s">
        <v>513</v>
      </c>
      <c r="F349" s="2927">
        <f t="array" ref="F349">IFERROR(VLOOKUP(E336,Dex!$B$3:$N454,8,FALSE),"")</f>
        <v>95</v>
      </c>
      <c r="G349" s="2928" t="str">
        <f t="array" ref="G349">IFERROR(VLOOKUP(F349,Dex!$P$22:$Q$276,2,FALSE),"")</f>
        <v/>
      </c>
      <c r="H349" s="2929"/>
      <c r="I349" s="2921"/>
      <c r="J349" s="2926" t="s">
        <v>513</v>
      </c>
      <c r="K349" s="2927">
        <f t="array" ref="K349">IFERROR(VLOOKUP(J336,Dex!$B$3:$N454,8,FALSE),"")</f>
        <v>90</v>
      </c>
      <c r="L349" s="2928" t="str">
        <f t="array" ref="L349">IFERROR(VLOOKUP(K349,Dex!$P$22:$Q$276,2,FALSE),"")</f>
        <v/>
      </c>
      <c r="M349" s="2929"/>
      <c r="N349" s="2921"/>
      <c r="O349" s="2926" t="s">
        <v>513</v>
      </c>
      <c r="P349" s="2927">
        <f t="array" ref="P349">IFERROR(VLOOKUP(O336,Dex!$B$3:$N454,8,FALSE),"")</f>
        <v>100</v>
      </c>
      <c r="Q349" s="2928" t="str">
        <f t="array" ref="Q349">IFERROR(VLOOKUP(P349,Dex!$P$22:$Q$276,2,FALSE),"")</f>
        <v/>
      </c>
      <c r="R349" s="2929"/>
      <c r="S349" s="2921"/>
      <c r="T349" s="2926" t="s">
        <v>513</v>
      </c>
      <c r="U349" s="2927">
        <f t="array" ref="U349">IFERROR(VLOOKUP(T336,Dex!$B$3:$N454,8,FALSE),"")</f>
        <v>110</v>
      </c>
      <c r="V349" s="2928" t="str">
        <f t="array" ref="V349">IFERROR(VLOOKUP(U349,Dex!$P$22:$Q$276,2,FALSE),"")</f>
        <v/>
      </c>
      <c r="W349" s="2929"/>
      <c r="X349" s="2922"/>
      <c r="Y349" s="2926" t="s">
        <v>513</v>
      </c>
      <c r="Z349" s="2927">
        <f t="array" ref="Z349">IFERROR(VLOOKUP(Y336,Dex!$B$3:$N454,8,FALSE),"")</f>
        <v>95</v>
      </c>
      <c r="AA349" s="2928" t="str">
        <f t="array" ref="AA349">IFERROR(VLOOKUP(Z349,Dex!$P$22:$Q$276,2,FALSE),"")</f>
        <v/>
      </c>
      <c r="AB349" s="2929"/>
      <c r="AC349" s="2923"/>
      <c r="AD349" s="2926" t="s">
        <v>513</v>
      </c>
      <c r="AE349" s="2927">
        <f t="array" ref="AE349">IFERROR(VLOOKUP(AD336,Dex!$B$3:$N454,8,FALSE),"")</f>
        <v>70</v>
      </c>
      <c r="AF349" s="2928" t="str">
        <f t="array" ref="AF349">IFERROR(VLOOKUP(AE349,Dex!$P$22:$Q$276,2,FALSE),"")</f>
        <v/>
      </c>
      <c r="AG349" s="2929"/>
      <c r="AH349" s="2925"/>
      <c r="AI349" s="2407"/>
    </row>
    <row r="350" ht="16.5" customHeight="1">
      <c r="A350" s="2811"/>
      <c r="B350" s="2918"/>
      <c r="C350" s="2911"/>
      <c r="D350" s="2919"/>
      <c r="E350" s="2930" t="s">
        <v>514</v>
      </c>
      <c r="F350" s="2931">
        <f t="array" ref="F350">IFERROR(VLOOKUP(E336,Dex!$B$3:$N454,9,FALSE),"")</f>
        <v>120</v>
      </c>
      <c r="G350" s="2932" t="str">
        <f t="array" ref="G350">IFERROR(VLOOKUP(F350,Dex!$P$22:$Q$276,2,FALSE),"")</f>
        <v/>
      </c>
      <c r="H350" s="2933"/>
      <c r="I350" s="2921"/>
      <c r="J350" s="2930" t="s">
        <v>514</v>
      </c>
      <c r="K350" s="2931">
        <f t="array" ref="K350">IFERROR(VLOOKUP(J336,Dex!$B$3:$N454,9,FALSE),"")</f>
        <v>130</v>
      </c>
      <c r="L350" s="2932" t="str">
        <f t="array" ref="L350">IFERROR(VLOOKUP(K350,Dex!$P$22:$Q$276,2,FALSE),"")</f>
        <v/>
      </c>
      <c r="M350" s="2933"/>
      <c r="N350" s="2921"/>
      <c r="O350" s="2930" t="s">
        <v>514</v>
      </c>
      <c r="P350" s="2931">
        <f t="array" ref="P350">IFERROR(VLOOKUP(O336,Dex!$B$3:$N454,9,FALSE),"")</f>
        <v>135</v>
      </c>
      <c r="Q350" s="2932" t="str">
        <f t="array" ref="Q350">IFERROR(VLOOKUP(P350,Dex!$P$22:$Q$276,2,FALSE),"")</f>
        <v/>
      </c>
      <c r="R350" s="2933"/>
      <c r="S350" s="2921"/>
      <c r="T350" s="2930" t="s">
        <v>514</v>
      </c>
      <c r="U350" s="2931">
        <f t="array" ref="U350">IFERROR(VLOOKUP(T336,Dex!$B$3:$N454,9,FALSE),"")</f>
        <v>115</v>
      </c>
      <c r="V350" s="2932" t="str">
        <f t="array" ref="V350">IFERROR(VLOOKUP(U350,Dex!$P$22:$Q$276,2,FALSE),"")</f>
        <v/>
      </c>
      <c r="W350" s="2933"/>
      <c r="X350" s="2922"/>
      <c r="Y350" s="2930" t="s">
        <v>514</v>
      </c>
      <c r="Z350" s="2931">
        <f t="array" ref="Z350">IFERROR(VLOOKUP(Y336,Dex!$B$3:$N454,9,FALSE),"")</f>
        <v>60</v>
      </c>
      <c r="AA350" s="2932" t="str">
        <f t="array" ref="AA350">IFERROR(VLOOKUP(Z350,Dex!$P$22:$Q$276,2,FALSE),"")</f>
        <v/>
      </c>
      <c r="AB350" s="2933"/>
      <c r="AC350" s="2923"/>
      <c r="AD350" s="2930" t="s">
        <v>514</v>
      </c>
      <c r="AE350" s="2931">
        <f t="array" ref="AE350">IFERROR(VLOOKUP(AD336,Dex!$B$3:$N454,9,FALSE),"")</f>
        <v>140</v>
      </c>
      <c r="AF350" s="2932" t="str">
        <f t="array" ref="AF350">IFERROR(VLOOKUP(AE350,Dex!$P$22:$Q$276,2,FALSE),"")</f>
        <v/>
      </c>
      <c r="AG350" s="2933"/>
      <c r="AH350" s="2925"/>
      <c r="AI350" s="2407"/>
    </row>
    <row r="351" ht="16.5" customHeight="1">
      <c r="A351" s="2811"/>
      <c r="B351" s="2918"/>
      <c r="C351" s="2911"/>
      <c r="D351" s="2919"/>
      <c r="E351" s="2930" t="s">
        <v>515</v>
      </c>
      <c r="F351" s="2931">
        <f t="array" ref="F351">IFERROR(VLOOKUP(E336,Dex!$B$3:$N454,10,FALSE),"")</f>
        <v>65</v>
      </c>
      <c r="G351" s="2932" t="str">
        <f t="array" ref="G351">IFERROR(VLOOKUP(F351,Dex!$P$22:$Q$276,2,FALSE),"")</f>
        <v/>
      </c>
      <c r="H351" s="2933"/>
      <c r="I351" s="2921"/>
      <c r="J351" s="2930" t="s">
        <v>515</v>
      </c>
      <c r="K351" s="2931">
        <f t="array" ref="K351">IFERROR(VLOOKUP(J336,Dex!$B$3:$N454,10,FALSE),"")</f>
        <v>75</v>
      </c>
      <c r="L351" s="2932" t="str">
        <f t="array" ref="L351">IFERROR(VLOOKUP(K351,Dex!$P$22:$Q$276,2,FALSE),"")</f>
        <v/>
      </c>
      <c r="M351" s="2933"/>
      <c r="N351" s="2921"/>
      <c r="O351" s="2930" t="s">
        <v>515</v>
      </c>
      <c r="P351" s="2931">
        <f t="array" ref="P351">IFERROR(VLOOKUP(O336,Dex!$B$3:$N454,10,FALSE),"")</f>
        <v>120</v>
      </c>
      <c r="Q351" s="2932" t="str">
        <f t="array" ref="Q351">IFERROR(VLOOKUP(P351,Dex!$P$22:$Q$276,2,FALSE),"")</f>
        <v/>
      </c>
      <c r="R351" s="2933"/>
      <c r="S351" s="2921"/>
      <c r="T351" s="2930" t="s">
        <v>515</v>
      </c>
      <c r="U351" s="2931">
        <f t="array" ref="U351">IFERROR(VLOOKUP(T336,Dex!$B$3:$N454,10,FALSE),"")</f>
        <v>80</v>
      </c>
      <c r="V351" s="2932" t="str">
        <f t="array" ref="V351">IFERROR(VLOOKUP(U351,Dex!$P$22:$Q$276,2,FALSE),"")</f>
        <v/>
      </c>
      <c r="W351" s="2933"/>
      <c r="X351" s="2922"/>
      <c r="Y351" s="2930" t="s">
        <v>515</v>
      </c>
      <c r="Z351" s="2931">
        <f t="array" ref="Z351">IFERROR(VLOOKUP(Y336,Dex!$B$3:$N454,10,FALSE),"")</f>
        <v>60</v>
      </c>
      <c r="AA351" s="2932" t="str">
        <f t="array" ref="AA351">IFERROR(VLOOKUP(Z351,Dex!$P$22:$Q$276,2,FALSE),"")</f>
        <v/>
      </c>
      <c r="AB351" s="2933"/>
      <c r="AC351" s="2923"/>
      <c r="AD351" s="2930" t="s">
        <v>515</v>
      </c>
      <c r="AE351" s="2931">
        <f t="array" ref="AE351">IFERROR(VLOOKUP(AD336,Dex!$B$3:$N454,10,FALSE),"")</f>
        <v>70</v>
      </c>
      <c r="AF351" s="2932" t="str">
        <f t="array" ref="AF351">IFERROR(VLOOKUP(AE351,Dex!$P$22:$Q$276,2,FALSE),"")</f>
        <v/>
      </c>
      <c r="AG351" s="2933"/>
      <c r="AH351" s="2925"/>
      <c r="AI351" s="2407"/>
    </row>
    <row r="352" ht="16.5" customHeight="1">
      <c r="A352" s="2811"/>
      <c r="B352" s="2918"/>
      <c r="C352" s="2911"/>
      <c r="D352" s="2919"/>
      <c r="E352" s="2930" t="s">
        <v>516</v>
      </c>
      <c r="F352" s="2931">
        <f t="array" ref="F352">IFERROR(VLOOKUP(E336,Dex!$B$3:$N454,11,FALSE),"")</f>
        <v>95</v>
      </c>
      <c r="G352" s="2932" t="str">
        <f t="array" ref="G352">IFERROR(VLOOKUP(F352,Dex!$P$22:$Q$276,2,FALSE),"")</f>
        <v/>
      </c>
      <c r="H352" s="2933"/>
      <c r="I352" s="2921"/>
      <c r="J352" s="2930" t="s">
        <v>516</v>
      </c>
      <c r="K352" s="2931">
        <f t="array" ref="K352">IFERROR(VLOOKUP(J336,Dex!$B$3:$N454,11,FALSE),"")</f>
        <v>75</v>
      </c>
      <c r="L352" s="2932" t="str">
        <f t="array" ref="L352">IFERROR(VLOOKUP(K352,Dex!$P$22:$Q$276,2,FALSE),"")</f>
        <v/>
      </c>
      <c r="M352" s="2933"/>
      <c r="N352" s="2921"/>
      <c r="O352" s="2930" t="s">
        <v>516</v>
      </c>
      <c r="P352" s="2931">
        <f t="array" ref="P352">IFERROR(VLOOKUP(O336,Dex!$B$3:$N454,11,FALSE),"")</f>
        <v>60</v>
      </c>
      <c r="Q352" s="2932" t="str">
        <f t="array" ref="Q352">IFERROR(VLOOKUP(P352,Dex!$P$22:$Q$276,2,FALSE),"")</f>
        <v/>
      </c>
      <c r="R352" s="2933"/>
      <c r="S352" s="2921"/>
      <c r="T352" s="2930" t="s">
        <v>516</v>
      </c>
      <c r="U352" s="2931">
        <f t="array" ref="U352">IFERROR(VLOOKUP(T336,Dex!$B$3:$N454,11,FALSE),"")</f>
        <v>50</v>
      </c>
      <c r="V352" s="2932" t="str">
        <f t="array" ref="V352">IFERROR(VLOOKUP(U352,Dex!$P$22:$Q$276,2,FALSE),"")</f>
        <v/>
      </c>
      <c r="W352" s="2933"/>
      <c r="X352" s="2922"/>
      <c r="Y352" s="2930" t="s">
        <v>516</v>
      </c>
      <c r="Z352" s="2931">
        <f t="array" ref="Z352">IFERROR(VLOOKUP(Y336,Dex!$B$3:$N454,11,FALSE),"")</f>
        <v>101</v>
      </c>
      <c r="AA352" s="2932" t="str">
        <f t="array" ref="AA352">IFERROR(VLOOKUP(Z352,Dex!$P$22:$Q$276,2,FALSE),"")</f>
        <v/>
      </c>
      <c r="AB352" s="2933"/>
      <c r="AC352" s="2923"/>
      <c r="AD352" s="2930" t="s">
        <v>516</v>
      </c>
      <c r="AE352" s="2931">
        <f t="array" ref="AE352">IFERROR(VLOOKUP(AD336,Dex!$B$3:$N454,11,FALSE),"")</f>
        <v>110</v>
      </c>
      <c r="AF352" s="2932" t="str">
        <f t="array" ref="AF352">IFERROR(VLOOKUP(AE352,Dex!$P$22:$Q$276,2,FALSE),"")</f>
        <v/>
      </c>
      <c r="AG352" s="2933"/>
      <c r="AH352" s="2925"/>
      <c r="AI352" s="2407"/>
    </row>
    <row r="353" ht="16.5" customHeight="1">
      <c r="A353" s="2811"/>
      <c r="B353" s="2918"/>
      <c r="C353" s="2911"/>
      <c r="D353" s="2919"/>
      <c r="E353" s="2930" t="s">
        <v>517</v>
      </c>
      <c r="F353" s="2931">
        <f t="array" ref="F353">IFERROR(VLOOKUP(E336,Dex!$B$3:$N454,12,FALSE),"")</f>
        <v>75</v>
      </c>
      <c r="G353" s="2932" t="str">
        <f t="array" ref="G353">IFERROR(VLOOKUP(F353,Dex!$P$22:$Q$276,2,FALSE),"")</f>
        <v/>
      </c>
      <c r="H353" s="2933"/>
      <c r="I353" s="2921"/>
      <c r="J353" s="2930" t="s">
        <v>517</v>
      </c>
      <c r="K353" s="2931">
        <f t="array" ref="K353">IFERROR(VLOOKUP(J336,Dex!$B$3:$N454,12,FALSE),"")</f>
        <v>75</v>
      </c>
      <c r="L353" s="2932" t="str">
        <f t="array" ref="L353">IFERROR(VLOOKUP(K353,Dex!$P$22:$Q$276,2,FALSE),"")</f>
        <v/>
      </c>
      <c r="M353" s="2933"/>
      <c r="N353" s="2921"/>
      <c r="O353" s="2930" t="s">
        <v>517</v>
      </c>
      <c r="P353" s="2931">
        <f t="array" ref="P353">IFERROR(VLOOKUP(O336,Dex!$B$3:$N454,12,FALSE),"")</f>
        <v>85</v>
      </c>
      <c r="Q353" s="2932" t="str">
        <f t="array" ref="Q353">IFERROR(VLOOKUP(P353,Dex!$P$22:$Q$276,2,FALSE),"")</f>
        <v/>
      </c>
      <c r="R353" s="2933"/>
      <c r="S353" s="2921"/>
      <c r="T353" s="2930" t="s">
        <v>517</v>
      </c>
      <c r="U353" s="2931">
        <f t="array" ref="U353">IFERROR(VLOOKUP(T336,Dex!$B$3:$N454,12,FALSE),"")</f>
        <v>90</v>
      </c>
      <c r="V353" s="2932" t="str">
        <f t="array" ref="V353">IFERROR(VLOOKUP(U353,Dex!$P$22:$Q$276,2,FALSE),"")</f>
        <v/>
      </c>
      <c r="W353" s="2933"/>
      <c r="X353" s="2922"/>
      <c r="Y353" s="2930" t="s">
        <v>517</v>
      </c>
      <c r="Z353" s="2931">
        <f t="array" ref="Z353">IFERROR(VLOOKUP(Y336,Dex!$B$3:$N454,12,FALSE),"")</f>
        <v>60</v>
      </c>
      <c r="AA353" s="2932" t="str">
        <f t="array" ref="AA353">IFERROR(VLOOKUP(Z353,Dex!$P$22:$Q$276,2,FALSE),"")</f>
        <v/>
      </c>
      <c r="AB353" s="2933"/>
      <c r="AC353" s="2923"/>
      <c r="AD353" s="2930" t="s">
        <v>517</v>
      </c>
      <c r="AE353" s="2931">
        <f t="array" ref="AE353">IFERROR(VLOOKUP(AD336,Dex!$B$3:$N454,12,FALSE),"")</f>
        <v>65</v>
      </c>
      <c r="AF353" s="2932" t="str">
        <f t="array" ref="AF353">IFERROR(VLOOKUP(AE353,Dex!$P$22:$Q$276,2,FALSE),"")</f>
        <v/>
      </c>
      <c r="AG353" s="2933"/>
      <c r="AH353" s="2925"/>
      <c r="AI353" s="2407"/>
    </row>
    <row r="354" ht="15.75" customHeight="1">
      <c r="A354" s="2811"/>
      <c r="B354" s="2918"/>
      <c r="C354" s="1426" t="s">
        <v>745</v>
      </c>
      <c r="D354" s="2919"/>
      <c r="E354" s="2934" t="s">
        <v>518</v>
      </c>
      <c r="F354" s="2935">
        <f t="array" ref="F354">IFERROR(VLOOKUP(E336,Dex!$B$3:$N454,13,FALSE),"")</f>
        <v>60</v>
      </c>
      <c r="G354" s="2936" t="str">
        <f t="array" ref="G354">IFERROR(VLOOKUP(F354,Dex!$P$22:$Q$276,2,FALSE),"")</f>
        <v/>
      </c>
      <c r="H354" s="2937"/>
      <c r="I354" s="2921"/>
      <c r="J354" s="2934" t="s">
        <v>518</v>
      </c>
      <c r="K354" s="2935">
        <f t="array" ref="K354">IFERROR(VLOOKUP(J336,Dex!$B$3:$N454,13,FALSE),"")</f>
        <v>55</v>
      </c>
      <c r="L354" s="2936" t="str">
        <f t="array" ref="L354">IFERROR(VLOOKUP(K354,Dex!$P$22:$Q$276,2,FALSE),"")</f>
        <v/>
      </c>
      <c r="M354" s="2937"/>
      <c r="N354" s="2921"/>
      <c r="O354" s="2934" t="s">
        <v>518</v>
      </c>
      <c r="P354" s="2935">
        <f t="array" ref="P354">IFERROR(VLOOKUP(O336,Dex!$B$3:$N454,13,FALSE),"")</f>
        <v>50</v>
      </c>
      <c r="Q354" s="2936" t="str">
        <f t="array" ref="Q354">IFERROR(VLOOKUP(P354,Dex!$P$22:$Q$276,2,FALSE),"")</f>
        <v/>
      </c>
      <c r="R354" s="2937"/>
      <c r="S354" s="2921"/>
      <c r="T354" s="2934" t="s">
        <v>518</v>
      </c>
      <c r="U354" s="2935">
        <f t="array" ref="U354">IFERROR(VLOOKUP(T336,Dex!$B$3:$N454,13,FALSE),"")</f>
        <v>90</v>
      </c>
      <c r="V354" s="2936" t="str">
        <f t="array" ref="V354">IFERROR(VLOOKUP(U354,Dex!$P$22:$Q$276,2,FALSE),"")</f>
        <v/>
      </c>
      <c r="W354" s="2937"/>
      <c r="X354" s="2922"/>
      <c r="Y354" s="2934" t="s">
        <v>518</v>
      </c>
      <c r="Z354" s="2935">
        <f t="array" ref="Z354">IFERROR(VLOOKUP(Y336,Dex!$B$3:$N454,13,FALSE),"")</f>
        <v>105</v>
      </c>
      <c r="AA354" s="2936" t="str">
        <f t="array" ref="AA354">IFERROR(VLOOKUP(Z354,Dex!$P$22:$Q$276,2,FALSE),"")</f>
        <v/>
      </c>
      <c r="AB354" s="2937"/>
      <c r="AC354" s="2923"/>
      <c r="AD354" s="2934" t="s">
        <v>518</v>
      </c>
      <c r="AE354" s="2935">
        <f t="array" ref="AE354">IFERROR(VLOOKUP(AD336,Dex!$B$3:$N454,13,FALSE),"")</f>
        <v>105</v>
      </c>
      <c r="AF354" s="2936" t="str">
        <f t="array" ref="AF354">IFERROR(VLOOKUP(AE354,Dex!$P$22:$Q$276,2,FALSE),"")</f>
        <v/>
      </c>
      <c r="AG354" s="2937"/>
      <c r="AH354" s="2925"/>
      <c r="AI354" s="2407"/>
    </row>
    <row r="355" ht="16.5" customHeight="1">
      <c r="A355" s="2811"/>
      <c r="B355" s="2918"/>
      <c r="C355" s="1427" t="s">
        <v>1295</v>
      </c>
      <c r="D355" s="2919"/>
      <c r="E355" s="2938" t="s">
        <v>519</v>
      </c>
      <c r="F355" s="630"/>
      <c r="G355" s="631"/>
      <c r="H355" s="632">
        <f>ROUNDDOWN((ROUNDDOWN(((((2*F354+31)*79)/100+5)),0))*1,0)</f>
        <v>124</v>
      </c>
      <c r="I355" s="2921"/>
      <c r="J355" s="2938" t="s">
        <v>519</v>
      </c>
      <c r="K355" s="630"/>
      <c r="L355" s="631"/>
      <c r="M355" s="632">
        <f>ROUNDDOWN((ROUNDDOWN(((((2*K354+31)*79)/100+5)),0))*1,0)</f>
        <v>116</v>
      </c>
      <c r="N355" s="2921"/>
      <c r="O355" s="2938" t="s">
        <v>519</v>
      </c>
      <c r="P355" s="630"/>
      <c r="Q355" s="631"/>
      <c r="R355" s="632">
        <f>ROUNDDOWN((ROUNDDOWN(((((2*P354+31)*79)/100+5)),0))*1.1,0)</f>
        <v>118</v>
      </c>
      <c r="S355" s="2921"/>
      <c r="T355" s="2938" t="s">
        <v>519</v>
      </c>
      <c r="U355" s="630"/>
      <c r="V355" s="631"/>
      <c r="W355" s="632">
        <f>ROUNDDOWN((ROUNDDOWN(((((2*U354+31)*79)/100+5)),0))*1.1,0)</f>
        <v>188</v>
      </c>
      <c r="X355" s="3237"/>
      <c r="Y355" s="3063" t="s">
        <v>519</v>
      </c>
      <c r="Z355" s="635"/>
      <c r="AA355" s="636"/>
      <c r="AB355" s="632">
        <f>ROUNDDOWN((ROUNDDOWN(((((2*Z354+31)*79)/100+5)),0))*1,0)</f>
        <v>195</v>
      </c>
      <c r="AC355" s="3238"/>
      <c r="AD355" s="3063" t="s">
        <v>519</v>
      </c>
      <c r="AE355" s="635"/>
      <c r="AF355" s="636"/>
      <c r="AG355" s="632">
        <f>ROUNDDOWN((ROUNDDOWN(((((2*AE354+31)*79)/100+5)),0))*1.1,0)</f>
        <v>214</v>
      </c>
      <c r="AH355" s="2925"/>
      <c r="AI355" s="2407"/>
    </row>
    <row r="356" ht="16.5" customHeight="1">
      <c r="A356" s="2811"/>
      <c r="B356" s="2958"/>
      <c r="C356" s="2962"/>
      <c r="D356" s="2959"/>
      <c r="E356" s="2962"/>
      <c r="F356" s="2962"/>
      <c r="G356" s="2962"/>
      <c r="H356" s="2962"/>
      <c r="I356" s="2960"/>
      <c r="J356" s="2962"/>
      <c r="K356" s="2962"/>
      <c r="L356" s="2962"/>
      <c r="M356" s="2962"/>
      <c r="N356" s="2960"/>
      <c r="O356" s="2962"/>
      <c r="P356" s="2962"/>
      <c r="Q356" s="2962"/>
      <c r="R356" s="2962"/>
      <c r="S356" s="2960"/>
      <c r="T356" s="2962"/>
      <c r="U356" s="2962"/>
      <c r="V356" s="2962"/>
      <c r="W356" s="2962"/>
      <c r="X356" s="2961"/>
      <c r="Y356" s="3065" t="s">
        <v>814</v>
      </c>
      <c r="Z356" s="643"/>
      <c r="AA356" s="644"/>
      <c r="AB356" s="645">
        <f>ROUNDDOWN(AB355*1.5,0)</f>
        <v>292</v>
      </c>
      <c r="AC356" s="2962"/>
      <c r="AD356" s="3065" t="s">
        <v>814</v>
      </c>
      <c r="AE356" s="643"/>
      <c r="AF356" s="644"/>
      <c r="AG356" s="645">
        <f>ROUNDDOWN(AG355*1.5,0)</f>
        <v>321</v>
      </c>
      <c r="AH356" s="2964"/>
      <c r="AI356" s="2407"/>
    </row>
    <row r="357" ht="15.0" customHeight="1">
      <c r="A357" s="2329"/>
      <c r="B357" s="2939"/>
      <c r="C357" s="2940"/>
      <c r="D357" s="2941"/>
      <c r="E357" s="2940"/>
      <c r="F357" s="2940"/>
      <c r="G357" s="2940"/>
      <c r="H357" s="2940"/>
      <c r="I357" s="2941"/>
      <c r="J357" s="2940"/>
      <c r="K357" s="2940"/>
      <c r="L357" s="2940"/>
      <c r="M357" s="2940"/>
      <c r="N357" s="2941"/>
      <c r="O357" s="2940"/>
      <c r="P357" s="2940"/>
      <c r="Q357" s="2940"/>
      <c r="R357" s="2940"/>
      <c r="S357" s="2941"/>
      <c r="T357" s="2940"/>
      <c r="U357" s="2940"/>
      <c r="V357" s="2940"/>
      <c r="W357" s="2940"/>
      <c r="X357" s="2941"/>
      <c r="Y357" s="2940"/>
      <c r="Z357" s="2940"/>
      <c r="AA357" s="2940"/>
      <c r="AB357" s="2940"/>
      <c r="AC357" s="2941"/>
      <c r="AD357" s="2941"/>
      <c r="AE357" s="2941"/>
      <c r="AF357" s="2941"/>
      <c r="AG357" s="2941"/>
      <c r="AH357" s="2943"/>
      <c r="AI357" s="2737"/>
    </row>
    <row r="358" ht="15.0" customHeight="1">
      <c r="A358" s="2329"/>
      <c r="B358" s="2732"/>
      <c r="C358" s="2733"/>
      <c r="D358" s="2734"/>
      <c r="E358" s="2735"/>
      <c r="F358" s="2735"/>
      <c r="G358" s="2735"/>
      <c r="H358" s="2735"/>
      <c r="I358" s="2734"/>
      <c r="J358" s="2735"/>
      <c r="K358" s="2735"/>
      <c r="L358" s="2735"/>
      <c r="M358" s="2735"/>
      <c r="N358" s="2734"/>
      <c r="O358" s="2735"/>
      <c r="P358" s="2735"/>
      <c r="Q358" s="2735"/>
      <c r="R358" s="2735"/>
      <c r="S358" s="2734"/>
      <c r="T358" s="2735"/>
      <c r="U358" s="2735"/>
      <c r="V358" s="2735"/>
      <c r="W358" s="2735"/>
      <c r="X358" s="2734"/>
      <c r="Y358" s="2735"/>
      <c r="Z358" s="2735"/>
      <c r="AA358" s="2735"/>
      <c r="AB358" s="2735"/>
      <c r="AC358" s="2734"/>
      <c r="AD358" s="2734"/>
      <c r="AE358" s="2734"/>
      <c r="AF358" s="2734"/>
      <c r="AG358" s="2734"/>
      <c r="AH358" s="2736"/>
      <c r="AI358" s="2737"/>
    </row>
    <row r="359" ht="96.75" customHeight="1">
      <c r="A359" s="2329"/>
      <c r="B359" s="2738"/>
      <c r="C359" s="2739" t="str">
        <f>IMAGE("https://i.ibb.co/xhnkr2Z/Archer.png")</f>
        <v/>
      </c>
      <c r="D359" s="2740"/>
      <c r="E359" s="3085" t="str">
        <f t="array" ref="E359">IFERROR(VLOOKUP(E360,Dex!$B$3:$G454,3,FALSE),"")</f>
        <v/>
      </c>
      <c r="F359" s="1945"/>
      <c r="G359" s="1945"/>
      <c r="H359" s="1946"/>
      <c r="I359" s="3239"/>
      <c r="J359" s="3085" t="str">
        <f t="array" ref="J359">IFERROR(VLOOKUP(J360,Dex!$B$3:$G454,3,FALSE),"")</f>
        <v/>
      </c>
      <c r="K359" s="1945"/>
      <c r="L359" s="1945"/>
      <c r="M359" s="1946"/>
      <c r="N359" s="3239"/>
      <c r="O359" s="3085" t="str">
        <f t="array" ref="O359">IFERROR(VLOOKUP(O360,Dex!$B$3:$G454,3,FALSE),"")</f>
        <v/>
      </c>
      <c r="P359" s="1945"/>
      <c r="Q359" s="1945"/>
      <c r="R359" s="1946"/>
      <c r="S359" s="3240"/>
      <c r="T359" s="3085" t="str">
        <f t="array" ref="T359">IFERROR(VLOOKUP(T360,Dex!$B$3:$G454,3,FALSE),"")</f>
        <v/>
      </c>
      <c r="U359" s="1945"/>
      <c r="V359" s="1945"/>
      <c r="W359" s="1946"/>
      <c r="X359" s="2742"/>
      <c r="Y359" s="3085" t="str">
        <f t="array" ref="Y359">IFERROR(VLOOKUP(Y360,Dex!$B$3:$G454,3,FALSE),"")</f>
        <v/>
      </c>
      <c r="Z359" s="1945"/>
      <c r="AA359" s="1945"/>
      <c r="AB359" s="1946"/>
      <c r="AC359" s="2743"/>
      <c r="AD359" s="2744"/>
      <c r="AE359" s="2745"/>
      <c r="AF359" s="2745"/>
      <c r="AG359" s="2746"/>
      <c r="AH359" s="2747"/>
      <c r="AI359" s="2737"/>
    </row>
    <row r="360" ht="18.75" customHeight="1">
      <c r="A360" s="2354"/>
      <c r="B360" s="2748"/>
      <c r="C360" s="2749" t="s">
        <v>1309</v>
      </c>
      <c r="D360" s="2750"/>
      <c r="E360" s="2751" t="s">
        <v>282</v>
      </c>
      <c r="F360" s="2752"/>
      <c r="G360" s="2752"/>
      <c r="H360" s="2753"/>
      <c r="I360" s="2750"/>
      <c r="J360" s="2751" t="s">
        <v>1310</v>
      </c>
      <c r="K360" s="2752"/>
      <c r="L360" s="2752"/>
      <c r="M360" s="2753"/>
      <c r="N360" s="2750"/>
      <c r="O360" s="2751" t="s">
        <v>1311</v>
      </c>
      <c r="P360" s="2752"/>
      <c r="Q360" s="2752"/>
      <c r="R360" s="2753"/>
      <c r="T360" s="2751" t="s">
        <v>1255</v>
      </c>
      <c r="U360" s="2752"/>
      <c r="V360" s="2752"/>
      <c r="W360" s="2753"/>
      <c r="Y360" s="2751" t="s">
        <v>1109</v>
      </c>
      <c r="Z360" s="2752"/>
      <c r="AA360" s="2752"/>
      <c r="AB360" s="2753"/>
      <c r="AC360" s="2754"/>
      <c r="AD360" s="2755"/>
      <c r="AE360" s="2745"/>
      <c r="AF360" s="2745"/>
      <c r="AG360" s="2746"/>
      <c r="AH360" s="2756"/>
      <c r="AI360" s="2757"/>
    </row>
    <row r="361">
      <c r="A361" s="2758"/>
      <c r="B361" s="2759"/>
      <c r="C361" s="556"/>
      <c r="D361" s="2760"/>
      <c r="E361" s="2761" t="s">
        <v>729</v>
      </c>
      <c r="F361" s="2762"/>
      <c r="G361" s="2762"/>
      <c r="H361" s="2763"/>
      <c r="I361" s="2750"/>
      <c r="J361" s="2761" t="s">
        <v>729</v>
      </c>
      <c r="K361" s="2762"/>
      <c r="L361" s="2762"/>
      <c r="M361" s="2763"/>
      <c r="N361" s="2750"/>
      <c r="O361" s="2761" t="s">
        <v>729</v>
      </c>
      <c r="P361" s="2762"/>
      <c r="Q361" s="2762"/>
      <c r="R361" s="2763"/>
      <c r="T361" s="2761" t="s">
        <v>729</v>
      </c>
      <c r="U361" s="2762"/>
      <c r="V361" s="2762"/>
      <c r="W361" s="2763"/>
      <c r="Y361" s="2761" t="s">
        <v>729</v>
      </c>
      <c r="Z361" s="2762"/>
      <c r="AA361" s="2762"/>
      <c r="AB361" s="2763"/>
      <c r="AC361" s="2754"/>
      <c r="AD361" s="2764"/>
      <c r="AE361" s="2745"/>
      <c r="AF361" s="2745"/>
      <c r="AG361" s="2746"/>
      <c r="AH361" s="2765"/>
      <c r="AI361" s="2766"/>
    </row>
    <row r="362" ht="25.5" customHeight="1">
      <c r="A362" s="2329"/>
      <c r="B362" s="2767"/>
      <c r="C362" s="2768"/>
      <c r="D362" s="2744"/>
      <c r="E362" s="2769"/>
      <c r="F362" s="2773" t="str">
        <f t="array" ref="F362">IFERROR(VLOOKUP(E360,Dex!$B$3:$H454,5,FALSE),"")</f>
        <v/>
      </c>
      <c r="G362" s="2774"/>
      <c r="H362" s="2772"/>
      <c r="I362" s="2755"/>
      <c r="J362" s="2769"/>
      <c r="K362" s="2770" t="str">
        <f t="array" ref="K362">IFERROR(VLOOKUP(J360,Dex!$B$3:$H454,5,FALSE),"")</f>
        <v/>
      </c>
      <c r="L362" s="2771" t="str">
        <f t="array" ref="L362">IFERROR(VLOOKUP(J360,Dex!$B$3:$H454,7,FALSE),"")</f>
        <v/>
      </c>
      <c r="M362" s="2772"/>
      <c r="N362" s="2755"/>
      <c r="O362" s="2769"/>
      <c r="P362" s="2770" t="str">
        <f t="array" ref="P362">IFERROR(VLOOKUP(O360,Dex!$B$3:$H454,5,FALSE),"")</f>
        <v/>
      </c>
      <c r="Q362" s="2771" t="str">
        <f t="array" ref="Q362">IFERROR(VLOOKUP(O360,Dex!$B$3:$H454,7,FALSE),"")</f>
        <v/>
      </c>
      <c r="R362" s="2772"/>
      <c r="T362" s="2769"/>
      <c r="U362" s="2770" t="str">
        <f t="array" ref="U362">IFERROR(VLOOKUP(T360,Dex!$B$3:$H454,5,FALSE),"")</f>
        <v/>
      </c>
      <c r="V362" s="2771" t="str">
        <f t="array" ref="V362">IFERROR(VLOOKUP(T360,Dex!$B$3:$H454,7,FALSE),"")</f>
        <v/>
      </c>
      <c r="W362" s="2772"/>
      <c r="Y362" s="2769"/>
      <c r="Z362" s="2773" t="str">
        <f t="array" ref="Z362">IFERROR(VLOOKUP(Y360,Dex!$B$3:$H454,5,FALSE),"")</f>
        <v/>
      </c>
      <c r="AA362" s="2774"/>
      <c r="AB362" s="2772"/>
      <c r="AC362" s="2754"/>
      <c r="AD362" s="2744"/>
      <c r="AE362" s="2745"/>
      <c r="AF362" s="2745"/>
      <c r="AG362" s="2746"/>
      <c r="AH362" s="2747"/>
      <c r="AI362" s="2737"/>
    </row>
    <row r="363" ht="2.25" customHeight="1">
      <c r="A363" s="2329"/>
      <c r="B363" s="2767"/>
      <c r="C363" s="2775"/>
      <c r="D363" s="2744"/>
      <c r="E363" s="2776"/>
      <c r="F363" s="2777"/>
      <c r="G363" s="2777"/>
      <c r="H363" s="2778"/>
      <c r="I363" s="2755"/>
      <c r="J363" s="2776"/>
      <c r="K363" s="2777"/>
      <c r="L363" s="2777"/>
      <c r="M363" s="2778"/>
      <c r="N363" s="2755"/>
      <c r="O363" s="2776"/>
      <c r="P363" s="2777"/>
      <c r="Q363" s="2777"/>
      <c r="R363" s="2778"/>
      <c r="T363" s="2776"/>
      <c r="U363" s="2777"/>
      <c r="V363" s="2777"/>
      <c r="W363" s="2778"/>
      <c r="Y363" s="2776"/>
      <c r="Z363" s="2777"/>
      <c r="AA363" s="2777"/>
      <c r="AB363" s="2778"/>
      <c r="AC363" s="2754"/>
      <c r="AD363" s="2779"/>
      <c r="AE363" s="2779"/>
      <c r="AF363" s="2779"/>
      <c r="AG363" s="2779"/>
      <c r="AH363" s="2747"/>
      <c r="AI363" s="2737"/>
    </row>
    <row r="364" ht="20.25" customHeight="1">
      <c r="A364" s="2329"/>
      <c r="B364" s="2767"/>
      <c r="C364" s="2780"/>
      <c r="D364" s="2744"/>
      <c r="E364" s="2781" t="s">
        <v>564</v>
      </c>
      <c r="F364" s="2782"/>
      <c r="G364" s="2782"/>
      <c r="H364" s="2783"/>
      <c r="I364" s="2784"/>
      <c r="J364" s="2781" t="s">
        <v>564</v>
      </c>
      <c r="K364" s="2782"/>
      <c r="L364" s="2782"/>
      <c r="M364" s="2783"/>
      <c r="N364" s="2784"/>
      <c r="O364" s="2781" t="s">
        <v>532</v>
      </c>
      <c r="P364" s="2782"/>
      <c r="Q364" s="2782"/>
      <c r="R364" s="2783"/>
      <c r="T364" s="2781" t="s">
        <v>565</v>
      </c>
      <c r="U364" s="2782"/>
      <c r="V364" s="2782"/>
      <c r="W364" s="2783"/>
      <c r="Y364" s="2781" t="s">
        <v>564</v>
      </c>
      <c r="Z364" s="2782"/>
      <c r="AA364" s="2782"/>
      <c r="AB364" s="2783"/>
      <c r="AC364" s="2754"/>
      <c r="AD364" s="2744"/>
      <c r="AE364" s="2745"/>
      <c r="AF364" s="2745"/>
      <c r="AG364" s="2746"/>
      <c r="AH364" s="2747"/>
      <c r="AI364" s="2737"/>
    </row>
    <row r="365">
      <c r="A365" s="2329"/>
      <c r="B365" s="2767"/>
      <c r="C365" s="2785"/>
      <c r="D365" s="2744"/>
      <c r="E365" s="2786" t="s">
        <v>55</v>
      </c>
      <c r="F365" s="2745"/>
      <c r="G365" s="2745"/>
      <c r="H365" s="2787"/>
      <c r="I365" s="2784"/>
      <c r="J365" s="2786" t="s">
        <v>681</v>
      </c>
      <c r="K365" s="2745"/>
      <c r="L365" s="2745"/>
      <c r="M365" s="2787"/>
      <c r="N365" s="2784"/>
      <c r="O365" s="2786" t="s">
        <v>60</v>
      </c>
      <c r="P365" s="2745"/>
      <c r="Q365" s="2745"/>
      <c r="R365" s="2787"/>
      <c r="T365" s="2786" t="s">
        <v>1312</v>
      </c>
      <c r="U365" s="2745"/>
      <c r="V365" s="2745"/>
      <c r="W365" s="2787"/>
      <c r="Y365" s="2786" t="s">
        <v>681</v>
      </c>
      <c r="Z365" s="2745"/>
      <c r="AA365" s="2745"/>
      <c r="AB365" s="2787"/>
      <c r="AC365" s="2754"/>
      <c r="AD365" s="2744"/>
      <c r="AE365" s="2745"/>
      <c r="AF365" s="2745"/>
      <c r="AG365" s="2746"/>
      <c r="AH365" s="2747"/>
      <c r="AI365" s="2737"/>
    </row>
    <row r="366" ht="20.25" customHeight="1">
      <c r="A366" s="2329"/>
      <c r="B366" s="2767"/>
      <c r="C366" s="2775"/>
      <c r="D366" s="2744"/>
      <c r="E366" s="2788" t="s">
        <v>1005</v>
      </c>
      <c r="F366" s="2789"/>
      <c r="G366" s="2790"/>
      <c r="H366" s="2791" t="str">
        <f>IMAGE("https://raw.githubusercontent.com/msikma/pokesprite/master/items/hold-item/charcoal.png",3)</f>
        <v/>
      </c>
      <c r="I366" s="2755"/>
      <c r="J366" s="2788" t="s">
        <v>541</v>
      </c>
      <c r="K366" s="2789"/>
      <c r="L366" s="2790"/>
      <c r="M366" s="2791" t="str">
        <f>IMAGE("https://raw.githubusercontent.com/msikma/pokesprite/master/items/hold-item/life-orb.png",3)</f>
        <v/>
      </c>
      <c r="N366" s="2755"/>
      <c r="O366" s="2788" t="s">
        <v>687</v>
      </c>
      <c r="P366" s="2789"/>
      <c r="Q366" s="2790"/>
      <c r="R366" s="2791" t="str">
        <f>IMAGE("https://raw.githubusercontent.com/msikma/pokesprite/master/items/z-crystals/flyinium-z--held.png",3)</f>
        <v/>
      </c>
      <c r="T366" s="2788" t="s">
        <v>1262</v>
      </c>
      <c r="U366" s="2789"/>
      <c r="V366" s="2790"/>
      <c r="W366" s="2791" t="str">
        <f>IMAGE("https://raw.githubusercontent.com/msikma/pokesprite/master/items/mega-stone/houndoominite.png",3)</f>
        <v/>
      </c>
      <c r="Y366" s="2788" t="s">
        <v>573</v>
      </c>
      <c r="Z366" s="2789"/>
      <c r="AA366" s="2790"/>
      <c r="AB366" s="2791" t="str">
        <f>IMAGE("https://raw.githubusercontent.com/msikma/pokesprite/master/items/hold-item/focus-sash.png",3)</f>
        <v/>
      </c>
      <c r="AC366" s="2754"/>
      <c r="AD366" s="2744"/>
      <c r="AE366" s="2745"/>
      <c r="AF366" s="2745"/>
      <c r="AG366" s="2746"/>
      <c r="AH366" s="2747"/>
      <c r="AI366" s="2737"/>
    </row>
    <row r="367" ht="20.25" customHeight="1">
      <c r="A367" s="2329"/>
      <c r="B367" s="2767"/>
      <c r="C367" s="2780"/>
      <c r="D367" s="2744"/>
      <c r="E367" s="2781" t="s">
        <v>699</v>
      </c>
      <c r="F367" s="2782"/>
      <c r="G367" s="2792"/>
      <c r="H367" s="2793" t="str">
        <f>IMAGE("https://raw.githubusercontent.com/msikma/pokesprite/master/misc/types/gen8/fire.png",4,20,20)</f>
        <v/>
      </c>
      <c r="I367" s="2755"/>
      <c r="J367" s="2781" t="s">
        <v>692</v>
      </c>
      <c r="K367" s="2782"/>
      <c r="L367" s="2792"/>
      <c r="M367" s="2793" t="str">
        <f>IMAGE("https://raw.githubusercontent.com/msikma/pokesprite/master/misc/types/gen8/grass.png",4,20,20)</f>
        <v/>
      </c>
      <c r="N367" s="2755"/>
      <c r="O367" s="2781" t="s">
        <v>549</v>
      </c>
      <c r="P367" s="2782"/>
      <c r="Q367" s="2792"/>
      <c r="R367" s="2793" t="str">
        <f>IMAGE("https://raw.githubusercontent.com/msikma/pokesprite/master/misc/types/gen8/ground.png",4,20,20)</f>
        <v/>
      </c>
      <c r="T367" s="2781" t="s">
        <v>1313</v>
      </c>
      <c r="U367" s="2782"/>
      <c r="V367" s="2792"/>
      <c r="W367" s="2793" t="str">
        <f>IMAGE("https://raw.githubusercontent.com/msikma/pokesprite/master/misc/types/gen8/dark.png",4,20,20)</f>
        <v/>
      </c>
      <c r="Y367" s="2781" t="s">
        <v>237</v>
      </c>
      <c r="Z367" s="2782"/>
      <c r="AA367" s="2792"/>
      <c r="AB367" s="2793" t="str">
        <f t="shared" ref="AB367:AB368" si="23">IMAGE("https://raw.githubusercontent.com/msikma/pokesprite/master/misc/types/gen8/grass.png",4,20,20)</f>
        <v/>
      </c>
      <c r="AC367" s="2754"/>
      <c r="AD367" s="2744"/>
      <c r="AE367" s="2745"/>
      <c r="AF367" s="2745"/>
      <c r="AG367" s="2746"/>
      <c r="AH367" s="2747"/>
      <c r="AI367" s="2737"/>
    </row>
    <row r="368" ht="20.25" customHeight="1">
      <c r="A368" s="2329"/>
      <c r="B368" s="2767"/>
      <c r="C368" s="2794"/>
      <c r="D368" s="2744"/>
      <c r="E368" s="2786" t="s">
        <v>692</v>
      </c>
      <c r="F368" s="2745"/>
      <c r="G368" s="2746"/>
      <c r="H368" s="2795" t="str">
        <f>IMAGE("https://raw.githubusercontent.com/msikma/pokesprite/master/misc/types/gen8/grass.png",4,20,20)</f>
        <v/>
      </c>
      <c r="I368" s="2755"/>
      <c r="J368" s="2786" t="s">
        <v>552</v>
      </c>
      <c r="K368" s="2745"/>
      <c r="L368" s="2746"/>
      <c r="M368" s="2795" t="str">
        <f>IMAGE("https://raw.githubusercontent.com/msikma/pokesprite/master/misc/types/gen8/psychic.png",4,20,20)</f>
        <v/>
      </c>
      <c r="N368" s="2755"/>
      <c r="O368" s="2786" t="s">
        <v>1314</v>
      </c>
      <c r="P368" s="2745"/>
      <c r="Q368" s="2746"/>
      <c r="R368" s="2795" t="str">
        <f>IMAGE("https://raw.githubusercontent.com/msikma/pokesprite/master/misc/types/gen8/flying.png",4,20,20)</f>
        <v/>
      </c>
      <c r="T368" s="2786" t="s">
        <v>619</v>
      </c>
      <c r="U368" s="2745"/>
      <c r="V368" s="2746"/>
      <c r="W368" s="2795" t="str">
        <f>IMAGE("https://raw.githubusercontent.com/msikma/pokesprite/master/misc/types/gen8/fire.png",4,20,20)</f>
        <v/>
      </c>
      <c r="Y368" s="2786" t="s">
        <v>692</v>
      </c>
      <c r="Z368" s="2745"/>
      <c r="AA368" s="2746"/>
      <c r="AB368" s="2795" t="str">
        <f t="shared" si="23"/>
        <v/>
      </c>
      <c r="AC368" s="2754"/>
      <c r="AD368" s="2744"/>
      <c r="AE368" s="2745"/>
      <c r="AF368" s="2745"/>
      <c r="AG368" s="2746"/>
      <c r="AH368" s="2747"/>
      <c r="AI368" s="2737"/>
    </row>
    <row r="369" ht="20.25" customHeight="1">
      <c r="A369" s="2329"/>
      <c r="B369" s="2767"/>
      <c r="C369" s="2794"/>
      <c r="D369" s="2744"/>
      <c r="E369" s="2786" t="s">
        <v>1265</v>
      </c>
      <c r="F369" s="2745"/>
      <c r="G369" s="2746"/>
      <c r="H369" s="2795" t="str">
        <f>IMAGE("https://raw.githubusercontent.com/msikma/pokesprite/master/misc/types/gen8/ground.png",4,20,20)</f>
        <v/>
      </c>
      <c r="I369" s="2755"/>
      <c r="J369" s="2786" t="s">
        <v>699</v>
      </c>
      <c r="K369" s="2745"/>
      <c r="L369" s="2746"/>
      <c r="M369" s="2795" t="str">
        <f>IMAGE("https://raw.githubusercontent.com/msikma/pokesprite/master/misc/types/gen8/fire.png",4,20,20)</f>
        <v/>
      </c>
      <c r="N369" s="2755"/>
      <c r="O369" s="2786" t="s">
        <v>621</v>
      </c>
      <c r="P369" s="2745"/>
      <c r="Q369" s="2746"/>
      <c r="R369" s="2795" t="str">
        <f>IMAGE("https://raw.githubusercontent.com/msikma/pokesprite/master/misc/types/gen8/rock.png",4,20,20)</f>
        <v/>
      </c>
      <c r="T369" s="2786" t="s">
        <v>554</v>
      </c>
      <c r="U369" s="2745"/>
      <c r="V369" s="2746"/>
      <c r="W369" s="2795" t="str">
        <f>IMAGE("https://raw.githubusercontent.com/msikma/pokesprite/master/misc/types/gen8/dark.png",4,20,20)</f>
        <v/>
      </c>
      <c r="Y369" s="2786" t="s">
        <v>699</v>
      </c>
      <c r="Z369" s="2745"/>
      <c r="AA369" s="2746"/>
      <c r="AB369" s="2795" t="str">
        <f>IMAGE("https://raw.githubusercontent.com/msikma/pokesprite/master/misc/types/gen8/fire.png",4,20,20)</f>
        <v/>
      </c>
      <c r="AC369" s="2754"/>
      <c r="AD369" s="2744"/>
      <c r="AE369" s="2745"/>
      <c r="AF369" s="2745"/>
      <c r="AG369" s="2746"/>
      <c r="AH369" s="2747"/>
      <c r="AI369" s="2737"/>
    </row>
    <row r="370" ht="21.0" customHeight="1">
      <c r="A370" s="2329"/>
      <c r="B370" s="2767"/>
      <c r="C370" s="2794"/>
      <c r="D370" s="2744"/>
      <c r="E370" s="2796" t="s">
        <v>1153</v>
      </c>
      <c r="F370" s="2797"/>
      <c r="G370" s="2798"/>
      <c r="H370" s="2799" t="str">
        <f>IMAGE("https://raw.githubusercontent.com/msikma/pokesprite/master/misc/types/gen8/psychic.png",4,20,20)</f>
        <v/>
      </c>
      <c r="I370" s="2755"/>
      <c r="J370" s="2796" t="s">
        <v>644</v>
      </c>
      <c r="K370" s="2797"/>
      <c r="L370" s="2798"/>
      <c r="M370" s="2799" t="str">
        <f>IMAGE("https://raw.githubusercontent.com/msikma/pokesprite/master/misc/types/gen8/ground.png",4,20,20)</f>
        <v/>
      </c>
      <c r="N370" s="2755"/>
      <c r="O370" s="2796" t="s">
        <v>287</v>
      </c>
      <c r="P370" s="2797"/>
      <c r="Q370" s="2798"/>
      <c r="R370" s="2799" t="str">
        <f>IMAGE("https://raw.githubusercontent.com/msikma/pokesprite/master/misc/types/gen8/normal.png",4,20,20)</f>
        <v/>
      </c>
      <c r="S370" s="2800"/>
      <c r="T370" s="2796" t="s">
        <v>692</v>
      </c>
      <c r="U370" s="2797"/>
      <c r="V370" s="2798"/>
      <c r="W370" s="2799" t="str">
        <f>IMAGE("https://raw.githubusercontent.com/msikma/pokesprite/master/misc/types/gen8/grass.png",4,20,20)</f>
        <v/>
      </c>
      <c r="X370" s="2800"/>
      <c r="Y370" s="2796" t="s">
        <v>506</v>
      </c>
      <c r="Z370" s="2797"/>
      <c r="AA370" s="2798"/>
      <c r="AB370" s="2799" t="str">
        <f>IMAGE("https://raw.githubusercontent.com/msikma/pokesprite/master/misc/types/gen8/rock.png",4,20,20)</f>
        <v/>
      </c>
      <c r="AC370" s="2801"/>
      <c r="AD370" s="2744"/>
      <c r="AE370" s="2745"/>
      <c r="AF370" s="2745"/>
      <c r="AG370" s="2746"/>
      <c r="AH370" s="2747"/>
      <c r="AI370" s="2737"/>
    </row>
    <row r="371" ht="3.0" customHeight="1">
      <c r="A371" s="2802"/>
      <c r="B371" s="2803"/>
      <c r="C371" s="2804"/>
      <c r="D371" s="2805"/>
      <c r="E371" s="2806"/>
      <c r="F371" s="2806"/>
      <c r="G371" s="2806"/>
      <c r="H371" s="2806"/>
      <c r="I371" s="2805"/>
      <c r="J371" s="2806"/>
      <c r="K371" s="2806"/>
      <c r="L371" s="2806"/>
      <c r="M371" s="2806"/>
      <c r="N371" s="2805"/>
      <c r="O371" s="2806"/>
      <c r="P371" s="2806"/>
      <c r="Q371" s="2806"/>
      <c r="R371" s="2806"/>
      <c r="S371" s="2807"/>
      <c r="T371" s="2806"/>
      <c r="U371" s="2806"/>
      <c r="V371" s="2806"/>
      <c r="W371" s="2806"/>
      <c r="X371" s="2805"/>
      <c r="Y371" s="2806"/>
      <c r="Z371" s="2806"/>
      <c r="AA371" s="2806"/>
      <c r="AB371" s="2806"/>
      <c r="AC371" s="2808"/>
      <c r="AD371" s="2808"/>
      <c r="AE371" s="2808"/>
      <c r="AF371" s="2808"/>
      <c r="AG371" s="2808"/>
      <c r="AH371" s="2809"/>
      <c r="AI371" s="2810"/>
    </row>
    <row r="372" ht="16.5" customHeight="1">
      <c r="A372" s="2811"/>
      <c r="B372" s="2812"/>
      <c r="C372" s="2804"/>
      <c r="D372" s="2813"/>
      <c r="E372" s="2814" t="s">
        <v>512</v>
      </c>
      <c r="F372" s="606"/>
      <c r="G372" s="606"/>
      <c r="H372" s="607"/>
      <c r="I372" s="2815"/>
      <c r="J372" s="2814" t="s">
        <v>512</v>
      </c>
      <c r="K372" s="606"/>
      <c r="L372" s="606"/>
      <c r="M372" s="607"/>
      <c r="N372" s="2815"/>
      <c r="O372" s="2814" t="s">
        <v>512</v>
      </c>
      <c r="P372" s="606"/>
      <c r="Q372" s="606"/>
      <c r="R372" s="607"/>
      <c r="S372" s="3241"/>
      <c r="T372" s="2814" t="s">
        <v>512</v>
      </c>
      <c r="U372" s="606"/>
      <c r="V372" s="606"/>
      <c r="W372" s="607"/>
      <c r="X372" s="2837"/>
      <c r="Y372" s="2814" t="s">
        <v>512</v>
      </c>
      <c r="Z372" s="606"/>
      <c r="AA372" s="606"/>
      <c r="AB372" s="607"/>
      <c r="AC372" s="2820"/>
      <c r="AD372" s="2820"/>
      <c r="AE372" s="2820"/>
      <c r="AF372" s="2820"/>
      <c r="AG372" s="2820"/>
      <c r="AH372" s="2821"/>
      <c r="AI372" s="2407"/>
    </row>
    <row r="373" ht="16.5" customHeight="1">
      <c r="A373" s="2811"/>
      <c r="B373" s="2812"/>
      <c r="C373" s="2804"/>
      <c r="D373" s="2813"/>
      <c r="E373" s="2822" t="s">
        <v>513</v>
      </c>
      <c r="F373" s="2823">
        <f t="array" ref="F373">IFERROR(VLOOKUP(E360,Dex!$B$3:$N454,8,FALSE),"")</f>
        <v>73</v>
      </c>
      <c r="G373" s="2824" t="str">
        <f t="array" ref="G373">IFERROR(VLOOKUP(F373,Dex!$P$22:$Q$276,2,FALSE),"")</f>
        <v/>
      </c>
      <c r="H373" s="2825"/>
      <c r="I373" s="2815"/>
      <c r="J373" s="2822" t="s">
        <v>513</v>
      </c>
      <c r="K373" s="2823">
        <f t="array" ref="K373">IFERROR(VLOOKUP(J360,Dex!$B$3:$N454,8,FALSE),"")</f>
        <v>95</v>
      </c>
      <c r="L373" s="2824" t="str">
        <f t="array" ref="L373">IFERROR(VLOOKUP(K373,Dex!$P$22:$Q$276,2,FALSE),"")</f>
        <v/>
      </c>
      <c r="M373" s="2825"/>
      <c r="N373" s="2815"/>
      <c r="O373" s="2822" t="s">
        <v>513</v>
      </c>
      <c r="P373" s="2823">
        <f t="array" ref="P373">IFERROR(VLOOKUP(O360,Dex!$B$3:$N454,8,FALSE),"")</f>
        <v>89</v>
      </c>
      <c r="Q373" s="2824" t="str">
        <f t="array" ref="Q373">IFERROR(VLOOKUP(P373,Dex!$P$22:$Q$276,2,FALSE),"")</f>
        <v/>
      </c>
      <c r="R373" s="2825"/>
      <c r="S373" s="3242"/>
      <c r="T373" s="2822" t="s">
        <v>513</v>
      </c>
      <c r="U373" s="2823">
        <f t="array" ref="U373">IFERROR(VLOOKUP(T360,Dex!$B$3:$N454,8,FALSE),"")</f>
        <v>75</v>
      </c>
      <c r="V373" s="2824" t="str">
        <f t="array" ref="V373">IFERROR(VLOOKUP(U373,Dex!$P$22:$Q$276,2,FALSE),"")</f>
        <v/>
      </c>
      <c r="W373" s="2825"/>
      <c r="X373" s="2820"/>
      <c r="Y373" s="2822" t="s">
        <v>513</v>
      </c>
      <c r="Z373" s="2823">
        <f t="array" ref="Z373">IFERROR(VLOOKUP(Y360,Dex!$B$3:$N454,8,FALSE),"")</f>
        <v>95</v>
      </c>
      <c r="AA373" s="2824" t="str">
        <f t="array" ref="AA373">IFERROR(VLOOKUP(Z373,Dex!$P$22:$Q$276,2,FALSE),"")</f>
        <v/>
      </c>
      <c r="AB373" s="2825"/>
      <c r="AC373" s="2820"/>
      <c r="AD373" s="2820"/>
      <c r="AE373" s="2820"/>
      <c r="AF373" s="2820"/>
      <c r="AG373" s="2820"/>
      <c r="AH373" s="2821"/>
      <c r="AI373" s="2407"/>
    </row>
    <row r="374" ht="16.5" customHeight="1">
      <c r="A374" s="2811"/>
      <c r="B374" s="2812"/>
      <c r="C374" s="2804"/>
      <c r="D374" s="2813"/>
      <c r="E374" s="2827" t="s">
        <v>514</v>
      </c>
      <c r="F374" s="2828">
        <f t="array" ref="F374">IFERROR(VLOOKUP(E360,Dex!$B$3:$N454,9,FALSE),"")</f>
        <v>76</v>
      </c>
      <c r="G374" s="2829" t="str">
        <f t="array" ref="G374">IFERROR(VLOOKUP(F374,Dex!$P$22:$Q$276,2,FALSE),"")</f>
        <v/>
      </c>
      <c r="H374" s="2830"/>
      <c r="I374" s="2815"/>
      <c r="J374" s="2827" t="s">
        <v>514</v>
      </c>
      <c r="K374" s="2828">
        <f t="array" ref="K374">IFERROR(VLOOKUP(J360,Dex!$B$3:$N454,9,FALSE),"")</f>
        <v>95</v>
      </c>
      <c r="L374" s="2829" t="str">
        <f t="array" ref="L374">IFERROR(VLOOKUP(K374,Dex!$P$22:$Q$276,2,FALSE),"")</f>
        <v/>
      </c>
      <c r="M374" s="2830"/>
      <c r="N374" s="2815"/>
      <c r="O374" s="2827" t="s">
        <v>514</v>
      </c>
      <c r="P374" s="2828">
        <f t="array" ref="P374">IFERROR(VLOOKUP(O360,Dex!$B$3:$N454,9,FALSE),"")</f>
        <v>145</v>
      </c>
      <c r="Q374" s="2829" t="str">
        <f t="array" ref="Q374">IFERROR(VLOOKUP(P374,Dex!$P$22:$Q$276,2,FALSE),"")</f>
        <v/>
      </c>
      <c r="R374" s="2830"/>
      <c r="S374" s="3242"/>
      <c r="T374" s="2827" t="s">
        <v>514</v>
      </c>
      <c r="U374" s="2828">
        <f t="array" ref="U374">IFERROR(VLOOKUP(T360,Dex!$B$3:$N454,9,FALSE),"")</f>
        <v>110</v>
      </c>
      <c r="V374" s="2829" t="str">
        <f t="array" ref="V374">IFERROR(VLOOKUP(U374,Dex!$P$22:$Q$276,2,FALSE),"")</f>
        <v/>
      </c>
      <c r="W374" s="2830"/>
      <c r="X374" s="2820"/>
      <c r="Y374" s="2827" t="s">
        <v>514</v>
      </c>
      <c r="Z374" s="2828">
        <f t="array" ref="Z374">IFERROR(VLOOKUP(Y360,Dex!$B$3:$N454,9,FALSE),"")</f>
        <v>75</v>
      </c>
      <c r="AA374" s="2829" t="str">
        <f t="array" ref="AA374">IFERROR(VLOOKUP(Z374,Dex!$P$22:$Q$276,2,FALSE),"")</f>
        <v/>
      </c>
      <c r="AB374" s="2830"/>
      <c r="AC374" s="2820"/>
      <c r="AD374" s="2820"/>
      <c r="AE374" s="2820"/>
      <c r="AF374" s="2820"/>
      <c r="AG374" s="2820"/>
      <c r="AH374" s="2821"/>
      <c r="AI374" s="2407"/>
    </row>
    <row r="375" ht="16.5" customHeight="1">
      <c r="A375" s="2811"/>
      <c r="B375" s="2812"/>
      <c r="C375" s="2804"/>
      <c r="D375" s="2813"/>
      <c r="E375" s="2827" t="s">
        <v>515</v>
      </c>
      <c r="F375" s="2828">
        <f t="array" ref="F375">IFERROR(VLOOKUP(E360,Dex!$B$3:$N454,10,FALSE),"")</f>
        <v>75</v>
      </c>
      <c r="G375" s="2829" t="str">
        <f t="array" ref="G375">IFERROR(VLOOKUP(F375,Dex!$P$22:$Q$276,2,FALSE),"")</f>
        <v/>
      </c>
      <c r="H375" s="2830"/>
      <c r="I375" s="2815"/>
      <c r="J375" s="2827" t="s">
        <v>515</v>
      </c>
      <c r="K375" s="2828">
        <f t="array" ref="K375">IFERROR(VLOOKUP(J360,Dex!$B$3:$N454,10,FALSE),"")</f>
        <v>85</v>
      </c>
      <c r="L375" s="2829" t="str">
        <f t="array" ref="L375">IFERROR(VLOOKUP(K375,Dex!$P$22:$Q$276,2,FALSE),"")</f>
        <v/>
      </c>
      <c r="M375" s="2830"/>
      <c r="N375" s="2815"/>
      <c r="O375" s="2827" t="s">
        <v>515</v>
      </c>
      <c r="P375" s="2828">
        <f t="array" ref="P375">IFERROR(VLOOKUP(O360,Dex!$B$3:$N454,10,FALSE),"")</f>
        <v>90</v>
      </c>
      <c r="Q375" s="2829" t="str">
        <f t="array" ref="Q375">IFERROR(VLOOKUP(P375,Dex!$P$22:$Q$276,2,FALSE),"")</f>
        <v/>
      </c>
      <c r="R375" s="2830"/>
      <c r="S375" s="3242"/>
      <c r="T375" s="2827" t="s">
        <v>515</v>
      </c>
      <c r="U375" s="2828">
        <f t="array" ref="U375">IFERROR(VLOOKUP(T360,Dex!$B$3:$N454,10,FALSE),"")</f>
        <v>90</v>
      </c>
      <c r="V375" s="2829" t="str">
        <f t="array" ref="V375">IFERROR(VLOOKUP(U375,Dex!$P$22:$Q$276,2,FALSE),"")</f>
        <v/>
      </c>
      <c r="W375" s="2830"/>
      <c r="X375" s="2820"/>
      <c r="Y375" s="2827" t="s">
        <v>515</v>
      </c>
      <c r="Z375" s="2828">
        <f t="array" ref="Z375">IFERROR(VLOOKUP(Y360,Dex!$B$3:$N454,10,FALSE),"")</f>
        <v>55</v>
      </c>
      <c r="AA375" s="2829" t="str">
        <f t="array" ref="AA375">IFERROR(VLOOKUP(Z375,Dex!$P$22:$Q$276,2,FALSE),"")</f>
        <v/>
      </c>
      <c r="AB375" s="2830"/>
      <c r="AC375" s="2820"/>
      <c r="AD375" s="2820"/>
      <c r="AE375" s="2820"/>
      <c r="AF375" s="2820"/>
      <c r="AG375" s="2820"/>
      <c r="AH375" s="2821"/>
      <c r="AI375" s="2407"/>
    </row>
    <row r="376" ht="16.5" customHeight="1">
      <c r="A376" s="2811"/>
      <c r="B376" s="2812"/>
      <c r="C376" s="2804"/>
      <c r="D376" s="2813"/>
      <c r="E376" s="2827" t="s">
        <v>516</v>
      </c>
      <c r="F376" s="2828">
        <f t="array" ref="F376">IFERROR(VLOOKUP(E360,Dex!$B$3:$N454,11,FALSE),"")</f>
        <v>81</v>
      </c>
      <c r="G376" s="2829" t="str">
        <f t="array" ref="G376">IFERROR(VLOOKUP(F376,Dex!$P$22:$Q$276,2,FALSE),"")</f>
        <v/>
      </c>
      <c r="H376" s="2830"/>
      <c r="I376" s="2815"/>
      <c r="J376" s="2827" t="s">
        <v>516</v>
      </c>
      <c r="K376" s="2828">
        <f t="array" ref="K376">IFERROR(VLOOKUP(J360,Dex!$B$3:$N454,11,FALSE),"")</f>
        <v>125</v>
      </c>
      <c r="L376" s="2829" t="str">
        <f t="array" ref="L376">IFERROR(VLOOKUP(K376,Dex!$P$22:$Q$276,2,FALSE),"")</f>
        <v/>
      </c>
      <c r="M376" s="2830"/>
      <c r="N376" s="2815"/>
      <c r="O376" s="2827" t="s">
        <v>516</v>
      </c>
      <c r="P376" s="2828">
        <f t="array" ref="P376">IFERROR(VLOOKUP(O360,Dex!$B$3:$N454,11,FALSE),"")</f>
        <v>105</v>
      </c>
      <c r="Q376" s="2829" t="str">
        <f t="array" ref="Q376">IFERROR(VLOOKUP(P376,Dex!$P$22:$Q$276,2,FALSE),"")</f>
        <v/>
      </c>
      <c r="R376" s="2830"/>
      <c r="S376" s="3242"/>
      <c r="T376" s="2827" t="s">
        <v>516</v>
      </c>
      <c r="U376" s="2828">
        <f t="array" ref="U376">IFERROR(VLOOKUP(T360,Dex!$B$3:$N454,11,FALSE),"")</f>
        <v>140</v>
      </c>
      <c r="V376" s="2829" t="str">
        <f t="array" ref="V376">IFERROR(VLOOKUP(U376,Dex!$P$22:$Q$276,2,FALSE),"")</f>
        <v/>
      </c>
      <c r="W376" s="2830"/>
      <c r="X376" s="2820"/>
      <c r="Y376" s="2827" t="s">
        <v>516</v>
      </c>
      <c r="Z376" s="2828">
        <f t="array" ref="Z376">IFERROR(VLOOKUP(Y360,Dex!$B$3:$N454,11,FALSE),"")</f>
        <v>135</v>
      </c>
      <c r="AA376" s="2829" t="str">
        <f t="array" ref="AA376">IFERROR(VLOOKUP(Z376,Dex!$P$22:$Q$276,2,FALSE),"")</f>
        <v/>
      </c>
      <c r="AB376" s="2830"/>
      <c r="AC376" s="2820"/>
      <c r="AD376" s="2820"/>
      <c r="AE376" s="2820"/>
      <c r="AF376" s="2820"/>
      <c r="AG376" s="2820"/>
      <c r="AH376" s="2821"/>
      <c r="AI376" s="2407"/>
    </row>
    <row r="377" ht="16.5" customHeight="1">
      <c r="A377" s="2811"/>
      <c r="B377" s="2812"/>
      <c r="C377" s="2804"/>
      <c r="D377" s="2813"/>
      <c r="E377" s="2827" t="s">
        <v>517</v>
      </c>
      <c r="F377" s="2828">
        <f t="array" ref="F377">IFERROR(VLOOKUP(E360,Dex!$B$3:$N454,12,FALSE),"")</f>
        <v>100</v>
      </c>
      <c r="G377" s="2829" t="str">
        <f t="array" ref="G377">IFERROR(VLOOKUP(F377,Dex!$P$22:$Q$276,2,FALSE),"")</f>
        <v/>
      </c>
      <c r="H377" s="2830"/>
      <c r="I377" s="2815"/>
      <c r="J377" s="2827" t="s">
        <v>517</v>
      </c>
      <c r="K377" s="2828">
        <f t="array" ref="K377">IFERROR(VLOOKUP(J360,Dex!$B$3:$N454,12,FALSE),"")</f>
        <v>75</v>
      </c>
      <c r="L377" s="2829" t="str">
        <f t="array" ref="L377">IFERROR(VLOOKUP(K377,Dex!$P$22:$Q$276,2,FALSE),"")</f>
        <v/>
      </c>
      <c r="M377" s="2830"/>
      <c r="N377" s="2815"/>
      <c r="O377" s="2827" t="s">
        <v>517</v>
      </c>
      <c r="P377" s="2828">
        <f t="array" ref="P377">IFERROR(VLOOKUP(O360,Dex!$B$3:$N454,12,FALSE),"")</f>
        <v>80</v>
      </c>
      <c r="Q377" s="2829" t="str">
        <f t="array" ref="Q377">IFERROR(VLOOKUP(P377,Dex!$P$22:$Q$276,2,FALSE),"")</f>
        <v/>
      </c>
      <c r="R377" s="2830"/>
      <c r="S377" s="3242"/>
      <c r="T377" s="2827" t="s">
        <v>517</v>
      </c>
      <c r="U377" s="2828">
        <f t="array" ref="U377">IFERROR(VLOOKUP(T360,Dex!$B$3:$N454,12,FALSE),"")</f>
        <v>90</v>
      </c>
      <c r="V377" s="2829" t="str">
        <f t="array" ref="V377">IFERROR(VLOOKUP(U377,Dex!$P$22:$Q$276,2,FALSE),"")</f>
        <v/>
      </c>
      <c r="W377" s="2830"/>
      <c r="X377" s="2820"/>
      <c r="Y377" s="2827" t="s">
        <v>517</v>
      </c>
      <c r="Z377" s="2828">
        <f t="array" ref="Z377">IFERROR(VLOOKUP(Y360,Dex!$B$3:$N454,12,FALSE),"")</f>
        <v>85</v>
      </c>
      <c r="AA377" s="2829" t="str">
        <f t="array" ref="AA377">IFERROR(VLOOKUP(Z377,Dex!$P$22:$Q$276,2,FALSE),"")</f>
        <v/>
      </c>
      <c r="AB377" s="2830"/>
      <c r="AC377" s="2820"/>
      <c r="AD377" s="2820"/>
      <c r="AE377" s="2820"/>
      <c r="AF377" s="2820"/>
      <c r="AG377" s="2820"/>
      <c r="AH377" s="2821"/>
      <c r="AI377" s="2407"/>
    </row>
    <row r="378" ht="15.75" customHeight="1">
      <c r="A378" s="2811"/>
      <c r="B378" s="2812"/>
      <c r="C378" s="1426" t="s">
        <v>745</v>
      </c>
      <c r="D378" s="2813"/>
      <c r="E378" s="2831" t="s">
        <v>518</v>
      </c>
      <c r="F378" s="2832">
        <f t="array" ref="F378">IFERROR(VLOOKUP(E360,Dex!$B$3:$N454,13,FALSE),"")</f>
        <v>100</v>
      </c>
      <c r="G378" s="2833" t="str">
        <f t="array" ref="G378">IFERROR(VLOOKUP(F378,Dex!$P$22:$Q$276,2,FALSE),"")</f>
        <v/>
      </c>
      <c r="H378" s="2834"/>
      <c r="I378" s="2815"/>
      <c r="J378" s="2831" t="s">
        <v>518</v>
      </c>
      <c r="K378" s="2832">
        <f t="array" ref="K378">IFERROR(VLOOKUP(J360,Dex!$B$3:$N454,13,FALSE),"")</f>
        <v>55</v>
      </c>
      <c r="L378" s="2833" t="str">
        <f t="array" ref="L378">IFERROR(VLOOKUP(K378,Dex!$P$22:$Q$276,2,FALSE),"")</f>
        <v/>
      </c>
      <c r="M378" s="2834"/>
      <c r="N378" s="2815"/>
      <c r="O378" s="2831" t="s">
        <v>518</v>
      </c>
      <c r="P378" s="2832">
        <f t="array" ref="P378">IFERROR(VLOOKUP(O360,Dex!$B$3:$N454,13,FALSE),"")</f>
        <v>91</v>
      </c>
      <c r="Q378" s="2833" t="str">
        <f t="array" ref="Q378">IFERROR(VLOOKUP(P378,Dex!$P$22:$Q$276,2,FALSE),"")</f>
        <v/>
      </c>
      <c r="R378" s="2834"/>
      <c r="S378" s="3242"/>
      <c r="T378" s="2831" t="s">
        <v>518</v>
      </c>
      <c r="U378" s="2832">
        <f t="array" ref="U378">IFERROR(VLOOKUP(T360,Dex!$B$3:$N454,13,FALSE),"")</f>
        <v>115</v>
      </c>
      <c r="V378" s="2833" t="str">
        <f t="array" ref="V378">IFERROR(VLOOKUP(U378,Dex!$P$22:$Q$276,2,FALSE),"")</f>
        <v/>
      </c>
      <c r="W378" s="2834"/>
      <c r="X378" s="2820"/>
      <c r="Y378" s="2831" t="s">
        <v>518</v>
      </c>
      <c r="Z378" s="2832">
        <f t="array" ref="Z378">IFERROR(VLOOKUP(Y360,Dex!$B$3:$N454,13,FALSE),"")</f>
        <v>55</v>
      </c>
      <c r="AA378" s="2833" t="str">
        <f t="array" ref="AA378">IFERROR(VLOOKUP(Z378,Dex!$P$22:$Q$276,2,FALSE),"")</f>
        <v/>
      </c>
      <c r="AB378" s="2834"/>
      <c r="AC378" s="2820"/>
      <c r="AD378" s="2820"/>
      <c r="AE378" s="2820"/>
      <c r="AF378" s="2820"/>
      <c r="AG378" s="2820"/>
      <c r="AH378" s="2821"/>
      <c r="AI378" s="2407"/>
    </row>
    <row r="379" ht="16.5" customHeight="1">
      <c r="A379" s="2811"/>
      <c r="B379" s="2812"/>
      <c r="C379" s="1427" t="s">
        <v>1295</v>
      </c>
      <c r="D379" s="2813"/>
      <c r="E379" s="2835" t="s">
        <v>519</v>
      </c>
      <c r="F379" s="630"/>
      <c r="G379" s="631"/>
      <c r="H379" s="632">
        <f>ROUNDDOWN((ROUNDDOWN(((((2*F378+31)*79)/100+5)),0))*1.1,0)</f>
        <v>205</v>
      </c>
      <c r="I379" s="2815"/>
      <c r="J379" s="3243" t="s">
        <v>519</v>
      </c>
      <c r="K379" s="635"/>
      <c r="L379" s="636"/>
      <c r="M379" s="632">
        <f>ROUNDDOWN((ROUNDDOWN(((((2*K378+31)*79)/100+5)),0))*1.1,0)</f>
        <v>127</v>
      </c>
      <c r="N379" s="2815"/>
      <c r="O379" s="2835" t="s">
        <v>519</v>
      </c>
      <c r="P379" s="630"/>
      <c r="Q379" s="631"/>
      <c r="R379" s="632">
        <f>ROUNDDOWN((ROUNDDOWN(((((2*P378+31)*79)/100+5)),0))*1.1,0)</f>
        <v>190</v>
      </c>
      <c r="S379" s="3244"/>
      <c r="T379" s="2835" t="s">
        <v>519</v>
      </c>
      <c r="U379" s="630"/>
      <c r="V379" s="631"/>
      <c r="W379" s="632">
        <f>ROUNDDOWN((ROUNDDOWN(((((2*U378+31)*79)/100+5)),0))*1.1,0)</f>
        <v>232</v>
      </c>
      <c r="X379" s="2837"/>
      <c r="Y379" s="3243" t="s">
        <v>519</v>
      </c>
      <c r="Z379" s="635"/>
      <c r="AA379" s="636"/>
      <c r="AB379" s="632">
        <f>ROUNDDOWN((ROUNDDOWN(((((2*Z378+30)*79)/100+5)),0))*1.1,0)</f>
        <v>126</v>
      </c>
      <c r="AC379" s="2820"/>
      <c r="AD379" s="2820"/>
      <c r="AE379" s="2820"/>
      <c r="AF379" s="2820"/>
      <c r="AG379" s="2820"/>
      <c r="AH379" s="2821"/>
      <c r="AI379" s="2407"/>
    </row>
    <row r="380" ht="16.5" customHeight="1">
      <c r="A380" s="2811"/>
      <c r="B380" s="2812"/>
      <c r="C380" s="2804"/>
      <c r="D380" s="2813"/>
      <c r="E380" s="3245"/>
      <c r="F380" s="3245"/>
      <c r="G380" s="3245"/>
      <c r="H380" s="2804"/>
      <c r="I380" s="3246"/>
      <c r="J380" s="3247" t="s">
        <v>700</v>
      </c>
      <c r="K380" s="643"/>
      <c r="L380" s="644"/>
      <c r="M380" s="3064">
        <f>M379*2</f>
        <v>254</v>
      </c>
      <c r="N380" s="3246"/>
      <c r="O380" s="3245"/>
      <c r="P380" s="3245"/>
      <c r="Q380" s="3245"/>
      <c r="R380" s="2804"/>
      <c r="S380" s="3248"/>
      <c r="T380" s="3245"/>
      <c r="U380" s="3245"/>
      <c r="V380" s="3245"/>
      <c r="W380" s="2804"/>
      <c r="X380" s="2837"/>
      <c r="Y380" s="3247" t="s">
        <v>700</v>
      </c>
      <c r="Z380" s="643"/>
      <c r="AA380" s="644"/>
      <c r="AB380" s="3064">
        <f>AB379*2</f>
        <v>252</v>
      </c>
      <c r="AC380" s="2820"/>
      <c r="AD380" s="2820"/>
      <c r="AE380" s="2820"/>
      <c r="AF380" s="2820"/>
      <c r="AG380" s="2820"/>
      <c r="AH380" s="2821"/>
      <c r="AI380" s="2407"/>
    </row>
    <row r="381" ht="11.25" customHeight="1">
      <c r="A381" s="2329"/>
      <c r="B381" s="2812"/>
      <c r="C381" s="2820"/>
      <c r="D381" s="2820"/>
      <c r="E381" s="2841"/>
      <c r="F381" s="2841"/>
      <c r="G381" s="2841"/>
      <c r="H381" s="2841"/>
      <c r="I381" s="2840"/>
      <c r="J381" s="2841"/>
      <c r="K381" s="2841"/>
      <c r="L381" s="2841"/>
      <c r="M381" s="2841"/>
      <c r="N381" s="2840"/>
      <c r="O381" s="2841"/>
      <c r="P381" s="2841"/>
      <c r="Q381" s="2841"/>
      <c r="R381" s="2841"/>
      <c r="S381" s="2840"/>
      <c r="T381" s="2842"/>
      <c r="U381" s="2842"/>
      <c r="V381" s="2842"/>
      <c r="W381" s="2840"/>
      <c r="X381" s="2820"/>
      <c r="Y381" s="3249"/>
      <c r="Z381" s="3249"/>
      <c r="AA381" s="3249"/>
      <c r="AB381" s="2820"/>
      <c r="AC381" s="2820"/>
      <c r="AD381" s="2820"/>
      <c r="AE381" s="2820"/>
      <c r="AF381" s="2820"/>
      <c r="AG381" s="2820"/>
      <c r="AH381" s="2821"/>
      <c r="AI381" s="2407"/>
    </row>
    <row r="382" ht="11.25" customHeight="1">
      <c r="A382" s="2329"/>
      <c r="B382" s="2812"/>
      <c r="C382" s="2820"/>
      <c r="D382" s="2820"/>
      <c r="E382" s="3250" t="s">
        <v>1315</v>
      </c>
      <c r="F382" s="3251"/>
      <c r="G382" s="3251"/>
      <c r="H382" s="3251"/>
      <c r="I382" s="3251"/>
      <c r="J382" s="3251"/>
      <c r="K382" s="3251"/>
      <c r="L382" s="3251"/>
      <c r="M382" s="3251"/>
      <c r="N382" s="3251"/>
      <c r="O382" s="3251"/>
      <c r="P382" s="3251"/>
      <c r="Q382" s="3251"/>
      <c r="R382" s="3251"/>
      <c r="S382" s="3251"/>
      <c r="T382" s="3251"/>
      <c r="U382" s="3251"/>
      <c r="V382" s="3251"/>
      <c r="W382" s="3252"/>
      <c r="X382" s="2820"/>
      <c r="Y382" s="2820"/>
      <c r="Z382" s="2820"/>
      <c r="AA382" s="2820"/>
      <c r="AB382" s="2820"/>
      <c r="AC382" s="2820"/>
      <c r="AD382" s="2820"/>
      <c r="AE382" s="2820"/>
      <c r="AF382" s="2820"/>
      <c r="AG382" s="2820"/>
      <c r="AH382" s="2821"/>
      <c r="AI382" s="2407"/>
    </row>
    <row r="383" ht="11.25" customHeight="1">
      <c r="A383" s="2329"/>
      <c r="B383" s="3253"/>
      <c r="C383" s="3254"/>
      <c r="D383" s="3254"/>
      <c r="E383" s="314"/>
      <c r="F383" s="3255"/>
      <c r="G383" s="3255"/>
      <c r="H383" s="3255"/>
      <c r="I383" s="3255"/>
      <c r="J383" s="3255"/>
      <c r="K383" s="3255"/>
      <c r="L383" s="3255"/>
      <c r="M383" s="3255"/>
      <c r="N383" s="3255"/>
      <c r="O383" s="3255"/>
      <c r="P383" s="3255"/>
      <c r="Q383" s="3255"/>
      <c r="R383" s="3255"/>
      <c r="S383" s="3255"/>
      <c r="T383" s="3255"/>
      <c r="U383" s="3255"/>
      <c r="V383" s="3255"/>
      <c r="W383" s="3256"/>
      <c r="X383" s="3254"/>
      <c r="Y383" s="3254"/>
      <c r="Z383" s="3254"/>
      <c r="AA383" s="3254"/>
      <c r="AB383" s="3254"/>
      <c r="AC383" s="3254"/>
      <c r="AD383" s="3254"/>
      <c r="AE383" s="3254"/>
      <c r="AF383" s="3254"/>
      <c r="AG383" s="3254"/>
      <c r="AH383" s="3257"/>
      <c r="AI383" s="2407"/>
    </row>
    <row r="384" ht="3.75" customHeight="1">
      <c r="A384" s="2329"/>
      <c r="B384" s="3253"/>
      <c r="C384" s="3254"/>
      <c r="D384" s="3254"/>
      <c r="E384" s="3258"/>
      <c r="F384" s="3258"/>
      <c r="G384" s="3258"/>
      <c r="H384" s="3258"/>
      <c r="I384" s="3259"/>
      <c r="J384" s="3258"/>
      <c r="K384" s="3258"/>
      <c r="L384" s="3258"/>
      <c r="M384" s="3258"/>
      <c r="N384" s="3259"/>
      <c r="O384" s="3258"/>
      <c r="P384" s="3258"/>
      <c r="Q384" s="3258"/>
      <c r="R384" s="3258"/>
      <c r="S384" s="3259"/>
      <c r="T384" s="3258"/>
      <c r="U384" s="3258"/>
      <c r="V384" s="3258"/>
      <c r="W384" s="3258"/>
      <c r="X384" s="3254"/>
      <c r="Y384" s="3254"/>
      <c r="Z384" s="3254"/>
      <c r="AA384" s="3254"/>
      <c r="AB384" s="3254"/>
      <c r="AC384" s="3254"/>
      <c r="AD384" s="3254"/>
      <c r="AE384" s="3254"/>
      <c r="AF384" s="3254"/>
      <c r="AG384" s="3254"/>
      <c r="AH384" s="3257"/>
      <c r="AI384" s="2407"/>
    </row>
    <row r="385" ht="96.75" customHeight="1">
      <c r="A385" s="2329"/>
      <c r="B385" s="3253"/>
      <c r="C385" s="3081" t="str">
        <f>IMAGE("https://i.ibb.co/qgT6ZFT/Ariana.png")</f>
        <v/>
      </c>
      <c r="D385" s="3260"/>
      <c r="E385" s="3083" t="str">
        <f t="array" ref="E385">IFERROR(VLOOKUP(E386,Dex!$B$3:$G454,3,FALSE),"")</f>
        <v/>
      </c>
      <c r="F385" s="1945"/>
      <c r="G385" s="1945"/>
      <c r="H385" s="1946"/>
      <c r="I385" s="3261"/>
      <c r="J385" s="3083" t="str">
        <f t="array" ref="J385">IFERROR(VLOOKUP(J386,Dex!$B$3:$G454,3,FALSE),"")</f>
        <v/>
      </c>
      <c r="K385" s="1945"/>
      <c r="L385" s="1945"/>
      <c r="M385" s="1946"/>
      <c r="N385" s="3261"/>
      <c r="O385" s="3083" t="str">
        <f t="array" ref="O385">IFERROR(VLOOKUP(O386,Dex!$B$3:$G454,3,FALSE),"")</f>
        <v/>
      </c>
      <c r="P385" s="1945"/>
      <c r="Q385" s="1945"/>
      <c r="R385" s="1946"/>
      <c r="S385" s="3261"/>
      <c r="T385" s="3083" t="str">
        <f t="array" ref="T385">IFERROR(VLOOKUP(T386,Dex!$B$3:$G454,3,FALSE),"")</f>
        <v/>
      </c>
      <c r="U385" s="1945"/>
      <c r="V385" s="1945"/>
      <c r="W385" s="1946"/>
      <c r="X385" s="3262"/>
      <c r="Y385" s="3263"/>
      <c r="Z385" s="3119"/>
      <c r="AA385" s="3119"/>
      <c r="AB385" s="3129"/>
      <c r="AC385" s="3264"/>
      <c r="AD385" s="3263"/>
      <c r="AE385" s="3119"/>
      <c r="AF385" s="3119"/>
      <c r="AG385" s="3129"/>
      <c r="AH385" s="3257"/>
      <c r="AI385" s="2407"/>
    </row>
    <row r="386" ht="18.75" customHeight="1">
      <c r="A386" s="2354"/>
      <c r="B386" s="3253"/>
      <c r="C386" s="3265" t="s">
        <v>1316</v>
      </c>
      <c r="D386" s="3266"/>
      <c r="E386" s="3090" t="s">
        <v>276</v>
      </c>
      <c r="F386" s="3091"/>
      <c r="G386" s="3091"/>
      <c r="H386" s="3092"/>
      <c r="I386" s="3266"/>
      <c r="J386" s="3090" t="s">
        <v>1317</v>
      </c>
      <c r="K386" s="3091"/>
      <c r="L386" s="3091"/>
      <c r="M386" s="3092"/>
      <c r="N386" s="3266"/>
      <c r="O386" s="3090" t="s">
        <v>1318</v>
      </c>
      <c r="P386" s="3091"/>
      <c r="Q386" s="3091"/>
      <c r="R386" s="3092"/>
      <c r="S386" s="3266"/>
      <c r="T386" s="3090" t="s">
        <v>1252</v>
      </c>
      <c r="U386" s="3091"/>
      <c r="V386" s="3091"/>
      <c r="W386" s="3092"/>
      <c r="X386" s="3267"/>
      <c r="Y386" s="3268"/>
      <c r="Z386" s="3119"/>
      <c r="AA386" s="3119"/>
      <c r="AB386" s="3129"/>
      <c r="AC386" s="3269"/>
      <c r="AD386" s="3268"/>
      <c r="AE386" s="3119"/>
      <c r="AF386" s="3119"/>
      <c r="AG386" s="3129"/>
      <c r="AH386" s="3257"/>
      <c r="AI386" s="2757"/>
    </row>
    <row r="387">
      <c r="A387" s="2758"/>
      <c r="B387" s="3253"/>
      <c r="C387" s="556"/>
      <c r="D387" s="3270"/>
      <c r="E387" s="3271" t="s">
        <v>729</v>
      </c>
      <c r="F387" s="3098"/>
      <c r="G387" s="3098"/>
      <c r="H387" s="3099"/>
      <c r="I387" s="3266"/>
      <c r="J387" s="3271" t="s">
        <v>729</v>
      </c>
      <c r="K387" s="3098"/>
      <c r="L387" s="3098"/>
      <c r="M387" s="3099"/>
      <c r="N387" s="3266"/>
      <c r="O387" s="3271" t="s">
        <v>729</v>
      </c>
      <c r="P387" s="3098"/>
      <c r="Q387" s="3098"/>
      <c r="R387" s="3099"/>
      <c r="S387" s="3266"/>
      <c r="T387" s="3271" t="s">
        <v>729</v>
      </c>
      <c r="U387" s="3098"/>
      <c r="V387" s="3098"/>
      <c r="W387" s="3099"/>
      <c r="X387" s="3267"/>
      <c r="Y387" s="3272"/>
      <c r="Z387" s="3119"/>
      <c r="AA387" s="3119"/>
      <c r="AB387" s="3129"/>
      <c r="AC387" s="3269"/>
      <c r="AD387" s="3272"/>
      <c r="AE387" s="3119"/>
      <c r="AF387" s="3119"/>
      <c r="AG387" s="3129"/>
      <c r="AH387" s="3257"/>
      <c r="AI387" s="2766"/>
    </row>
    <row r="388" ht="25.5" customHeight="1">
      <c r="A388" s="2329"/>
      <c r="B388" s="3253"/>
      <c r="C388" s="3273"/>
      <c r="D388" s="3263"/>
      <c r="E388" s="3104"/>
      <c r="F388" s="3274" t="str">
        <f t="array" ref="F388">IFERROR(VLOOKUP(E386,Dex!$B$3:$H454,5,FALSE),"")</f>
        <v/>
      </c>
      <c r="G388" s="3275"/>
      <c r="H388" s="3107"/>
      <c r="I388" s="3268"/>
      <c r="J388" s="3104"/>
      <c r="K388" s="3274" t="str">
        <f t="array" ref="K388">IFERROR(VLOOKUP(J386,Dex!$B$3:$H454,5,FALSE),"")</f>
        <v/>
      </c>
      <c r="L388" s="3275"/>
      <c r="M388" s="3107"/>
      <c r="N388" s="3268"/>
      <c r="O388" s="3104"/>
      <c r="P388" s="3105" t="str">
        <f t="array" ref="P388">IFERROR(VLOOKUP(O386,Dex!$B$3:$H454,5,FALSE),"")</f>
        <v/>
      </c>
      <c r="Q388" s="3106" t="str">
        <f t="array" ref="Q388">IFERROR(VLOOKUP(O386,Dex!$B$3:$H454,7,FALSE),"")</f>
        <v/>
      </c>
      <c r="R388" s="3107"/>
      <c r="S388" s="3268"/>
      <c r="T388" s="3104"/>
      <c r="U388" s="3105" t="str">
        <f t="array" ref="U388">IFERROR(VLOOKUP(T386,Dex!$B$3:$H454,5,FALSE),"")</f>
        <v/>
      </c>
      <c r="V388" s="3106" t="str">
        <f t="array" ref="V388">IFERROR(VLOOKUP(T386,Dex!$B$3:$H454,7,FALSE),"")</f>
        <v/>
      </c>
      <c r="W388" s="3107"/>
      <c r="X388" s="3267"/>
      <c r="Y388" s="3263"/>
      <c r="Z388" s="3119"/>
      <c r="AA388" s="3119"/>
      <c r="AB388" s="3129"/>
      <c r="AC388" s="3269"/>
      <c r="AD388" s="3263"/>
      <c r="AE388" s="3119"/>
      <c r="AF388" s="3119"/>
      <c r="AG388" s="3129"/>
      <c r="AH388" s="3257"/>
      <c r="AI388" s="2737"/>
    </row>
    <row r="389" ht="2.25" customHeight="1">
      <c r="A389" s="2329"/>
      <c r="B389" s="3253"/>
      <c r="C389" s="3269"/>
      <c r="D389" s="3263"/>
      <c r="E389" s="3109"/>
      <c r="F389" s="3110"/>
      <c r="G389" s="3110"/>
      <c r="H389" s="3111"/>
      <c r="I389" s="3268"/>
      <c r="J389" s="3109"/>
      <c r="K389" s="3110"/>
      <c r="L389" s="3110"/>
      <c r="M389" s="3111"/>
      <c r="N389" s="3268"/>
      <c r="O389" s="3109"/>
      <c r="P389" s="3110"/>
      <c r="Q389" s="3110"/>
      <c r="R389" s="3111"/>
      <c r="S389" s="3268"/>
      <c r="T389" s="3109"/>
      <c r="U389" s="3110"/>
      <c r="V389" s="3110"/>
      <c r="W389" s="3111"/>
      <c r="X389" s="3267"/>
      <c r="Y389" s="3276"/>
      <c r="Z389" s="3276"/>
      <c r="AA389" s="3276"/>
      <c r="AB389" s="3276"/>
      <c r="AC389" s="3269"/>
      <c r="AD389" s="3276"/>
      <c r="AE389" s="3276"/>
      <c r="AF389" s="3276"/>
      <c r="AG389" s="3276"/>
      <c r="AH389" s="3257"/>
      <c r="AI389" s="2737"/>
    </row>
    <row r="390" ht="20.25" customHeight="1">
      <c r="A390" s="2329"/>
      <c r="B390" s="3253"/>
      <c r="C390" s="3277"/>
      <c r="D390" s="3263"/>
      <c r="E390" s="3114" t="s">
        <v>531</v>
      </c>
      <c r="F390" s="3115"/>
      <c r="G390" s="3115"/>
      <c r="H390" s="3116"/>
      <c r="I390" s="3278"/>
      <c r="J390" s="3114" t="s">
        <v>564</v>
      </c>
      <c r="K390" s="3115"/>
      <c r="L390" s="3115"/>
      <c r="M390" s="3116"/>
      <c r="N390" s="3278"/>
      <c r="O390" s="3114" t="s">
        <v>532</v>
      </c>
      <c r="P390" s="3115"/>
      <c r="Q390" s="3115"/>
      <c r="R390" s="3116"/>
      <c r="S390" s="3278"/>
      <c r="T390" s="3114" t="s">
        <v>566</v>
      </c>
      <c r="U390" s="3115"/>
      <c r="V390" s="3115"/>
      <c r="W390" s="3116"/>
      <c r="X390" s="3267"/>
      <c r="Y390" s="3263"/>
      <c r="Z390" s="3119"/>
      <c r="AA390" s="3119"/>
      <c r="AB390" s="3129"/>
      <c r="AC390" s="3269"/>
      <c r="AD390" s="3263"/>
      <c r="AE390" s="3119"/>
      <c r="AF390" s="3119"/>
      <c r="AG390" s="3129"/>
      <c r="AH390" s="3257"/>
      <c r="AI390" s="2737"/>
    </row>
    <row r="391">
      <c r="A391" s="2329"/>
      <c r="B391" s="3253"/>
      <c r="C391" s="3279"/>
      <c r="D391" s="3263"/>
      <c r="E391" s="3118" t="s">
        <v>1319</v>
      </c>
      <c r="F391" s="3119"/>
      <c r="G391" s="3119"/>
      <c r="H391" s="3120"/>
      <c r="I391" s="3278"/>
      <c r="J391" s="3118" t="s">
        <v>75</v>
      </c>
      <c r="K391" s="3119"/>
      <c r="L391" s="3119"/>
      <c r="M391" s="3120"/>
      <c r="N391" s="3278"/>
      <c r="O391" s="3118" t="s">
        <v>120</v>
      </c>
      <c r="P391" s="3119"/>
      <c r="Q391" s="3119"/>
      <c r="R391" s="3120"/>
      <c r="S391" s="3278"/>
      <c r="T391" s="3118" t="s">
        <v>1320</v>
      </c>
      <c r="U391" s="3119"/>
      <c r="V391" s="3119"/>
      <c r="W391" s="3120"/>
      <c r="X391" s="3267"/>
      <c r="Y391" s="3263"/>
      <c r="Z391" s="3119"/>
      <c r="AA391" s="3119"/>
      <c r="AB391" s="3129"/>
      <c r="AC391" s="3269"/>
      <c r="AD391" s="3263"/>
      <c r="AE391" s="3119"/>
      <c r="AF391" s="3119"/>
      <c r="AG391" s="3129"/>
      <c r="AH391" s="3257"/>
      <c r="AI391" s="2737"/>
    </row>
    <row r="392" ht="20.25" customHeight="1">
      <c r="A392" s="2329"/>
      <c r="B392" s="3253"/>
      <c r="C392" s="3269"/>
      <c r="D392" s="3263"/>
      <c r="E392" s="3121" t="s">
        <v>540</v>
      </c>
      <c r="F392" s="3122"/>
      <c r="G392" s="3123"/>
      <c r="H392" s="3124" t="str">
        <f>IMAGE("https://raw.githubusercontent.com/msikma/pokesprite/master/items/hold-item/mystic-water.png",3)</f>
        <v/>
      </c>
      <c r="I392" s="3268"/>
      <c r="J392" s="3121" t="s">
        <v>1004</v>
      </c>
      <c r="K392" s="3122"/>
      <c r="L392" s="3123"/>
      <c r="M392" s="3124" t="str">
        <f>IMAGE("https://raw.githubusercontent.com/msikma/pokesprite/master/items/z-crystals/eevium-z--held.png",3)</f>
        <v/>
      </c>
      <c r="N392" s="3268"/>
      <c r="O392" s="3121" t="s">
        <v>1321</v>
      </c>
      <c r="P392" s="3122"/>
      <c r="Q392" s="3123"/>
      <c r="R392" s="3124" t="str">
        <f>IMAGE("https://raw.githubusercontent.com/msikma/pokesprite/master/items/berry/coba.png",3)</f>
        <v/>
      </c>
      <c r="S392" s="3268"/>
      <c r="T392" s="3121" t="s">
        <v>1260</v>
      </c>
      <c r="U392" s="3122"/>
      <c r="V392" s="3123"/>
      <c r="W392" s="3124" t="str">
        <f>IMAGE("https://raw.githubusercontent.com/msikma/pokesprite/master/items/mega-stone/mawilite.png",3)</f>
        <v/>
      </c>
      <c r="X392" s="3267"/>
      <c r="Y392" s="3263"/>
      <c r="Z392" s="3119"/>
      <c r="AA392" s="3119"/>
      <c r="AB392" s="3129"/>
      <c r="AC392" s="3269"/>
      <c r="AD392" s="3263"/>
      <c r="AE392" s="3119"/>
      <c r="AF392" s="3119"/>
      <c r="AG392" s="3129"/>
      <c r="AH392" s="3257"/>
      <c r="AI392" s="2737"/>
    </row>
    <row r="393" ht="20.25" customHeight="1">
      <c r="A393" s="2329"/>
      <c r="B393" s="3253"/>
      <c r="C393" s="3277"/>
      <c r="D393" s="3263"/>
      <c r="E393" s="3114" t="s">
        <v>1322</v>
      </c>
      <c r="F393" s="3115"/>
      <c r="G393" s="3126"/>
      <c r="H393" s="3127" t="str">
        <f>IMAGE("https://raw.githubusercontent.com/msikma/pokesprite/master/misc/types/gen8/water.png",4,20,20)</f>
        <v/>
      </c>
      <c r="I393" s="3268"/>
      <c r="J393" s="3114" t="s">
        <v>1007</v>
      </c>
      <c r="K393" s="3115"/>
      <c r="L393" s="3126"/>
      <c r="M393" s="3127" t="str">
        <f>IMAGE("https://raw.githubusercontent.com/msikma/pokesprite/master/misc/types/gen8/normal.png",4,20,20)</f>
        <v/>
      </c>
      <c r="N393" s="3268"/>
      <c r="O393" s="3114" t="s">
        <v>298</v>
      </c>
      <c r="P393" s="3115"/>
      <c r="Q393" s="3126"/>
      <c r="R393" s="3127" t="str">
        <f t="shared" ref="R393:R394" si="24">IMAGE("https://raw.githubusercontent.com/msikma/pokesprite/master/misc/types/gen8/fighting.png",4,20,20)</f>
        <v/>
      </c>
      <c r="S393" s="3268"/>
      <c r="T393" s="3114" t="s">
        <v>554</v>
      </c>
      <c r="U393" s="3115"/>
      <c r="V393" s="3126"/>
      <c r="W393" s="3127" t="str">
        <f>IMAGE("https://raw.githubusercontent.com/msikma/pokesprite/master/misc/types/gen8/dark.png",4,20,20)</f>
        <v/>
      </c>
      <c r="X393" s="3267"/>
      <c r="Y393" s="3263"/>
      <c r="Z393" s="3119"/>
      <c r="AA393" s="3119"/>
      <c r="AB393" s="3129"/>
      <c r="AC393" s="3269"/>
      <c r="AD393" s="3263"/>
      <c r="AE393" s="3119"/>
      <c r="AF393" s="3119"/>
      <c r="AG393" s="3129"/>
      <c r="AH393" s="3257"/>
      <c r="AI393" s="2737"/>
    </row>
    <row r="394" ht="20.25" customHeight="1">
      <c r="A394" s="2329"/>
      <c r="B394" s="3253"/>
      <c r="C394" s="3280"/>
      <c r="D394" s="3263"/>
      <c r="E394" s="3118" t="s">
        <v>670</v>
      </c>
      <c r="F394" s="3119"/>
      <c r="G394" s="3129"/>
      <c r="H394" s="3130" t="str">
        <f>IMAGE("https://raw.githubusercontent.com/msikma/pokesprite/master/misc/types/gen8/ice.png",4,20,20)</f>
        <v/>
      </c>
      <c r="I394" s="3268"/>
      <c r="J394" s="3118" t="s">
        <v>669</v>
      </c>
      <c r="K394" s="3119"/>
      <c r="L394" s="3129"/>
      <c r="M394" s="3130" t="str">
        <f>IMAGE("https://raw.githubusercontent.com/msikma/pokesprite/master/misc/types/gen8/psychic.png",4,20,20)</f>
        <v/>
      </c>
      <c r="N394" s="3268"/>
      <c r="O394" s="3118" t="s">
        <v>548</v>
      </c>
      <c r="P394" s="3119"/>
      <c r="Q394" s="3129"/>
      <c r="R394" s="3130" t="str">
        <f t="shared" si="24"/>
        <v/>
      </c>
      <c r="S394" s="3268"/>
      <c r="T394" s="3118" t="s">
        <v>1323</v>
      </c>
      <c r="U394" s="3119"/>
      <c r="V394" s="3129"/>
      <c r="W394" s="3130" t="str">
        <f>IMAGE("https://raw.githubusercontent.com/msikma/pokesprite/master/misc/types/gen8/steel.png",4,20,20)</f>
        <v/>
      </c>
      <c r="X394" s="3267"/>
      <c r="Y394" s="3263"/>
      <c r="Z394" s="3119"/>
      <c r="AA394" s="3119"/>
      <c r="AB394" s="3129"/>
      <c r="AC394" s="3269"/>
      <c r="AD394" s="3263"/>
      <c r="AE394" s="3119"/>
      <c r="AF394" s="3119"/>
      <c r="AG394" s="3129"/>
      <c r="AH394" s="3257"/>
      <c r="AI394" s="2737"/>
    </row>
    <row r="395" ht="20.25" customHeight="1">
      <c r="A395" s="2329"/>
      <c r="B395" s="3253"/>
      <c r="C395" s="3280"/>
      <c r="D395" s="3263"/>
      <c r="E395" s="3118" t="s">
        <v>553</v>
      </c>
      <c r="F395" s="3119"/>
      <c r="G395" s="3129"/>
      <c r="H395" s="3130" t="str">
        <f>IMAGE("https://raw.githubusercontent.com/msikma/pokesprite/master/misc/types/gen8/grass.png",4,20,20)</f>
        <v/>
      </c>
      <c r="I395" s="3268"/>
      <c r="J395" s="3118" t="s">
        <v>862</v>
      </c>
      <c r="K395" s="3119"/>
      <c r="L395" s="3129"/>
      <c r="M395" s="3130" t="str">
        <f>IMAGE("https://raw.githubusercontent.com/msikma/pokesprite/master/misc/types/gen8/fire.png",4,20,20)</f>
        <v/>
      </c>
      <c r="N395" s="3268"/>
      <c r="O395" s="3118" t="s">
        <v>1324</v>
      </c>
      <c r="P395" s="3119"/>
      <c r="Q395" s="3129"/>
      <c r="R395" s="3130" t="str">
        <f>IMAGE("https://raw.githubusercontent.com/msikma/pokesprite/master/misc/types/gen8/bug.png",4,20,20)</f>
        <v/>
      </c>
      <c r="S395" s="3268"/>
      <c r="T395" s="3118" t="s">
        <v>959</v>
      </c>
      <c r="U395" s="3119"/>
      <c r="V395" s="3129"/>
      <c r="W395" s="3130" t="str">
        <f>IMAGE("https://raw.githubusercontent.com/msikma/pokesprite/master/misc/types/gen8/fairy.png",4,20,20)</f>
        <v/>
      </c>
      <c r="X395" s="3267"/>
      <c r="Y395" s="3263"/>
      <c r="Z395" s="3119"/>
      <c r="AA395" s="3119"/>
      <c r="AB395" s="3129"/>
      <c r="AC395" s="3269"/>
      <c r="AD395" s="3263"/>
      <c r="AE395" s="3119"/>
      <c r="AF395" s="3119"/>
      <c r="AG395" s="3129"/>
      <c r="AH395" s="3257"/>
      <c r="AI395" s="2737"/>
    </row>
    <row r="396" ht="21.0" customHeight="1">
      <c r="A396" s="2329"/>
      <c r="B396" s="3253"/>
      <c r="C396" s="3280"/>
      <c r="D396" s="3263"/>
      <c r="E396" s="3133" t="s">
        <v>1165</v>
      </c>
      <c r="F396" s="3134"/>
      <c r="G396" s="3135"/>
      <c r="H396" s="3136"/>
      <c r="I396" s="3268"/>
      <c r="J396" s="3133" t="s">
        <v>647</v>
      </c>
      <c r="K396" s="3134"/>
      <c r="L396" s="3135"/>
      <c r="M396" s="3136" t="str">
        <f>IMAGE("https://raw.githubusercontent.com/msikma/pokesprite/master/misc/types/gen8/ghost.png",4,20,20)</f>
        <v/>
      </c>
      <c r="N396" s="3268"/>
      <c r="O396" s="3133" t="s">
        <v>589</v>
      </c>
      <c r="P396" s="3134"/>
      <c r="Q396" s="3135"/>
      <c r="R396" s="3136" t="str">
        <f>IMAGE("https://raw.githubusercontent.com/msikma/pokesprite/master/misc/types/gen8/ice.png",4,20,20)</f>
        <v/>
      </c>
      <c r="S396" s="3268"/>
      <c r="T396" s="3133" t="s">
        <v>975</v>
      </c>
      <c r="U396" s="3134"/>
      <c r="V396" s="3135"/>
      <c r="W396" s="3136" t="str">
        <f>IMAGE("https://raw.githubusercontent.com/msikma/pokesprite/master/misc/types/gen8/fire.png",4,20,20)</f>
        <v/>
      </c>
      <c r="X396" s="3281"/>
      <c r="Y396" s="3263"/>
      <c r="Z396" s="3119"/>
      <c r="AA396" s="3119"/>
      <c r="AB396" s="3129"/>
      <c r="AC396" s="3277"/>
      <c r="AD396" s="3263"/>
      <c r="AE396" s="3119"/>
      <c r="AF396" s="3119"/>
      <c r="AG396" s="3129"/>
      <c r="AH396" s="3257"/>
      <c r="AI396" s="2737"/>
    </row>
    <row r="397" ht="3.0" customHeight="1">
      <c r="A397" s="2802"/>
      <c r="B397" s="3282"/>
      <c r="C397" s="3283"/>
      <c r="D397" s="3284"/>
      <c r="E397" s="3285"/>
      <c r="F397" s="3285"/>
      <c r="G397" s="3285"/>
      <c r="H397" s="3285"/>
      <c r="I397" s="3284"/>
      <c r="J397" s="3285"/>
      <c r="K397" s="3285"/>
      <c r="L397" s="3285"/>
      <c r="M397" s="3285"/>
      <c r="N397" s="3284"/>
      <c r="O397" s="3285"/>
      <c r="P397" s="3285"/>
      <c r="Q397" s="3285"/>
      <c r="R397" s="3285"/>
      <c r="S397" s="3284"/>
      <c r="T397" s="3285"/>
      <c r="U397" s="3285"/>
      <c r="V397" s="3285"/>
      <c r="W397" s="3285"/>
      <c r="X397" s="3284"/>
      <c r="Y397" s="3284"/>
      <c r="Z397" s="3286"/>
      <c r="AA397" s="3286"/>
      <c r="AB397" s="3287"/>
      <c r="AC397" s="3287"/>
      <c r="AD397" s="3287"/>
      <c r="AE397" s="3287"/>
      <c r="AF397" s="3287"/>
      <c r="AG397" s="3287"/>
      <c r="AH397" s="3288"/>
      <c r="AI397" s="2810"/>
    </row>
    <row r="398" ht="16.5" customHeight="1">
      <c r="A398" s="2811"/>
      <c r="B398" s="3289"/>
      <c r="C398" s="3283"/>
      <c r="D398" s="3290"/>
      <c r="E398" s="3150" t="s">
        <v>512</v>
      </c>
      <c r="F398" s="606"/>
      <c r="G398" s="606"/>
      <c r="H398" s="607"/>
      <c r="I398" s="3291"/>
      <c r="J398" s="3150" t="s">
        <v>512</v>
      </c>
      <c r="K398" s="606"/>
      <c r="L398" s="606"/>
      <c r="M398" s="607"/>
      <c r="N398" s="3291"/>
      <c r="O398" s="3150" t="s">
        <v>512</v>
      </c>
      <c r="P398" s="606"/>
      <c r="Q398" s="606"/>
      <c r="R398" s="607"/>
      <c r="S398" s="3291"/>
      <c r="T398" s="3150" t="s">
        <v>512</v>
      </c>
      <c r="U398" s="606"/>
      <c r="V398" s="606"/>
      <c r="W398" s="607"/>
      <c r="X398" s="3292"/>
      <c r="Y398" s="3293"/>
      <c r="Z398" s="3254"/>
      <c r="AA398" s="3254"/>
      <c r="AB398" s="3293"/>
      <c r="AC398" s="3293"/>
      <c r="AD398" s="3293"/>
      <c r="AE398" s="3293"/>
      <c r="AF398" s="3293"/>
      <c r="AG398" s="3293"/>
      <c r="AH398" s="3294"/>
      <c r="AI398" s="2407"/>
    </row>
    <row r="399" ht="16.5" customHeight="1">
      <c r="A399" s="2811"/>
      <c r="B399" s="3289"/>
      <c r="C399" s="3283"/>
      <c r="D399" s="3290"/>
      <c r="E399" s="3155" t="s">
        <v>513</v>
      </c>
      <c r="F399" s="3156">
        <f t="array" ref="F399">IFERROR(VLOOKUP(E386,Dex!$B$3:$N454,8,FALSE),"")</f>
        <v>150</v>
      </c>
      <c r="G399" s="3295" t="str">
        <f t="array" ref="G399">IFERROR(VLOOKUP(F399,Dex!$P$22:$Q$276,2,FALSE),"")</f>
        <v/>
      </c>
      <c r="H399" s="3296"/>
      <c r="I399" s="3291"/>
      <c r="J399" s="3155" t="s">
        <v>513</v>
      </c>
      <c r="K399" s="3156">
        <f t="array" ref="K399">IFERROR(VLOOKUP(J386,Dex!$B$3:$N454,8,FALSE),"")</f>
        <v>65</v>
      </c>
      <c r="L399" s="3157" t="str">
        <f t="array" ref="L399">IFERROR(VLOOKUP(K399,Dex!$P$22:$Q$276,2,FALSE),"")</f>
        <v/>
      </c>
      <c r="M399" s="3158"/>
      <c r="N399" s="3291"/>
      <c r="O399" s="3155" t="s">
        <v>513</v>
      </c>
      <c r="P399" s="3156">
        <f t="array" ref="P399">IFERROR(VLOOKUP(O386,Dex!$B$3:$N454,8,FALSE),"")</f>
        <v>107</v>
      </c>
      <c r="Q399" s="3157" t="str">
        <f t="array" ref="Q399">IFERROR(VLOOKUP(P399,Dex!$P$22:$Q$276,2,FALSE),"")</f>
        <v/>
      </c>
      <c r="R399" s="3158"/>
      <c r="S399" s="3291"/>
      <c r="T399" s="3155" t="s">
        <v>513</v>
      </c>
      <c r="U399" s="3156">
        <f t="array" ref="U399">IFERROR(VLOOKUP(T386,Dex!$B$3:$N454,8,FALSE),"")</f>
        <v>50</v>
      </c>
      <c r="V399" s="3157" t="str">
        <f t="array" ref="V399">IFERROR(VLOOKUP(U399,Dex!$P$22:$Q$276,2,FALSE),"")</f>
        <v/>
      </c>
      <c r="W399" s="3158"/>
      <c r="X399" s="3292"/>
      <c r="Y399" s="3293"/>
      <c r="Z399" s="3254"/>
      <c r="AA399" s="3254"/>
      <c r="AB399" s="3293"/>
      <c r="AC399" s="3293"/>
      <c r="AD399" s="3293"/>
      <c r="AE399" s="3293"/>
      <c r="AF399" s="3293"/>
      <c r="AG399" s="3293"/>
      <c r="AH399" s="3294"/>
      <c r="AI399" s="2407"/>
    </row>
    <row r="400" ht="16.5" customHeight="1">
      <c r="A400" s="2811"/>
      <c r="B400" s="3289"/>
      <c r="C400" s="3283"/>
      <c r="D400" s="3290"/>
      <c r="E400" s="3161" t="s">
        <v>514</v>
      </c>
      <c r="F400" s="3162">
        <f t="array" ref="F400">IFERROR(VLOOKUP(E386,Dex!$B$3:$N454,9,FALSE),"")</f>
        <v>50</v>
      </c>
      <c r="G400" s="3163" t="str">
        <f t="array" ref="G400">IFERROR(VLOOKUP(F400,Dex!$P$22:$Q$276,2,FALSE),"")</f>
        <v/>
      </c>
      <c r="H400" s="3164"/>
      <c r="I400" s="3291"/>
      <c r="J400" s="3161" t="s">
        <v>514</v>
      </c>
      <c r="K400" s="3162">
        <f t="array" ref="K400">IFERROR(VLOOKUP(J386,Dex!$B$3:$N454,9,FALSE),"")</f>
        <v>65</v>
      </c>
      <c r="L400" s="3163" t="str">
        <f t="array" ref="L400">IFERROR(VLOOKUP(K400,Dex!$P$22:$Q$276,2,FALSE),"")</f>
        <v/>
      </c>
      <c r="M400" s="3164"/>
      <c r="N400" s="3291"/>
      <c r="O400" s="3161" t="s">
        <v>514</v>
      </c>
      <c r="P400" s="3162">
        <f t="array" ref="P400">IFERROR(VLOOKUP(O386,Dex!$B$3:$N454,9,FALSE),"")</f>
        <v>139</v>
      </c>
      <c r="Q400" s="3163" t="str">
        <f t="array" ref="Q400">IFERROR(VLOOKUP(P400,Dex!$P$22:$Q$276,2,FALSE),"")</f>
        <v/>
      </c>
      <c r="R400" s="3164"/>
      <c r="S400" s="3291"/>
      <c r="T400" s="3161" t="s">
        <v>514</v>
      </c>
      <c r="U400" s="3162">
        <f t="array" ref="U400">IFERROR(VLOOKUP(T386,Dex!$B$3:$N454,9,FALSE),"")</f>
        <v>105</v>
      </c>
      <c r="V400" s="3163" t="str">
        <f t="array" ref="V400">IFERROR(VLOOKUP(U400,Dex!$P$22:$Q$276,2,FALSE),"")</f>
        <v/>
      </c>
      <c r="W400" s="3164"/>
      <c r="X400" s="3292"/>
      <c r="Y400" s="3293"/>
      <c r="Z400" s="3254"/>
      <c r="AA400" s="3254"/>
      <c r="AB400" s="3293"/>
      <c r="AC400" s="3293"/>
      <c r="AD400" s="3293"/>
      <c r="AE400" s="3293"/>
      <c r="AF400" s="3293"/>
      <c r="AG400" s="3293"/>
      <c r="AH400" s="3294"/>
      <c r="AI400" s="2407"/>
    </row>
    <row r="401" ht="16.5" customHeight="1">
      <c r="A401" s="2811"/>
      <c r="B401" s="3289"/>
      <c r="C401" s="3283"/>
      <c r="D401" s="3290"/>
      <c r="E401" s="3161" t="s">
        <v>515</v>
      </c>
      <c r="F401" s="3162">
        <f t="array" ref="F401">IFERROR(VLOOKUP(E386,Dex!$B$3:$N454,10,FALSE),"")</f>
        <v>80</v>
      </c>
      <c r="G401" s="3163" t="str">
        <f t="array" ref="G401">IFERROR(VLOOKUP(F401,Dex!$P$22:$Q$276,2,FALSE),"")</f>
        <v/>
      </c>
      <c r="H401" s="3164"/>
      <c r="I401" s="3291"/>
      <c r="J401" s="3161" t="s">
        <v>515</v>
      </c>
      <c r="K401" s="3162">
        <f t="array" ref="K401">IFERROR(VLOOKUP(J386,Dex!$B$3:$N454,10,FALSE),"")</f>
        <v>60</v>
      </c>
      <c r="L401" s="3163" t="str">
        <f t="array" ref="L401">IFERROR(VLOOKUP(K401,Dex!$P$22:$Q$276,2,FALSE),"")</f>
        <v/>
      </c>
      <c r="M401" s="3164"/>
      <c r="N401" s="3291"/>
      <c r="O401" s="3161" t="s">
        <v>515</v>
      </c>
      <c r="P401" s="3162">
        <f t="array" ref="P401">IFERROR(VLOOKUP(O386,Dex!$B$3:$N454,10,FALSE),"")</f>
        <v>139</v>
      </c>
      <c r="Q401" s="3163" t="str">
        <f t="array" ref="Q401">IFERROR(VLOOKUP(P401,Dex!$P$22:$Q$276,2,FALSE),"")</f>
        <v/>
      </c>
      <c r="R401" s="3164"/>
      <c r="S401" s="3291"/>
      <c r="T401" s="3161" t="s">
        <v>515</v>
      </c>
      <c r="U401" s="3162">
        <f t="array" ref="U401">IFERROR(VLOOKUP(T386,Dex!$B$3:$N454,10,FALSE),"")</f>
        <v>125</v>
      </c>
      <c r="V401" s="3163" t="str">
        <f t="array" ref="V401">IFERROR(VLOOKUP(U401,Dex!$P$22:$Q$276,2,FALSE),"")</f>
        <v/>
      </c>
      <c r="W401" s="3164"/>
      <c r="X401" s="3292"/>
      <c r="Y401" s="3293"/>
      <c r="Z401" s="3254"/>
      <c r="AA401" s="3254"/>
      <c r="AB401" s="3293"/>
      <c r="AC401" s="3293"/>
      <c r="AD401" s="3293"/>
      <c r="AE401" s="3293"/>
      <c r="AF401" s="3293"/>
      <c r="AG401" s="3293"/>
      <c r="AH401" s="3294"/>
      <c r="AI401" s="2407"/>
    </row>
    <row r="402" ht="16.5" customHeight="1">
      <c r="A402" s="2811"/>
      <c r="B402" s="3289"/>
      <c r="C402" s="3283"/>
      <c r="D402" s="3290"/>
      <c r="E402" s="3161" t="s">
        <v>516</v>
      </c>
      <c r="F402" s="3162">
        <f t="array" ref="F402">IFERROR(VLOOKUP(E386,Dex!$B$3:$N454,11,FALSE),"")</f>
        <v>105</v>
      </c>
      <c r="G402" s="3163" t="str">
        <f t="array" ref="G402">IFERROR(VLOOKUP(F402,Dex!$P$22:$Q$276,2,FALSE),"")</f>
        <v/>
      </c>
      <c r="H402" s="3164"/>
      <c r="I402" s="3291"/>
      <c r="J402" s="3161" t="s">
        <v>516</v>
      </c>
      <c r="K402" s="3162">
        <f t="array" ref="K402">IFERROR(VLOOKUP(J386,Dex!$B$3:$N454,11,FALSE),"")</f>
        <v>130</v>
      </c>
      <c r="L402" s="3163" t="str">
        <f t="array" ref="L402">IFERROR(VLOOKUP(K402,Dex!$P$22:$Q$276,2,FALSE),"")</f>
        <v/>
      </c>
      <c r="M402" s="3164"/>
      <c r="N402" s="3291"/>
      <c r="O402" s="3161" t="s">
        <v>516</v>
      </c>
      <c r="P402" s="3162">
        <f t="array" ref="P402">IFERROR(VLOOKUP(O386,Dex!$B$3:$N454,11,FALSE),"")</f>
        <v>53</v>
      </c>
      <c r="Q402" s="3163" t="str">
        <f t="array" ref="Q402">IFERROR(VLOOKUP(P402,Dex!$P$22:$Q$276,2,FALSE),"")</f>
        <v/>
      </c>
      <c r="R402" s="3164"/>
      <c r="S402" s="3291"/>
      <c r="T402" s="3161" t="s">
        <v>516</v>
      </c>
      <c r="U402" s="3162">
        <f t="array" ref="U402">IFERROR(VLOOKUP(T386,Dex!$B$3:$N454,11,FALSE),"")</f>
        <v>55</v>
      </c>
      <c r="V402" s="3163" t="str">
        <f t="array" ref="V402">IFERROR(VLOOKUP(U402,Dex!$P$22:$Q$276,2,FALSE),"")</f>
        <v/>
      </c>
      <c r="W402" s="3164"/>
      <c r="X402" s="3292"/>
      <c r="Y402" s="3293"/>
      <c r="Z402" s="3254"/>
      <c r="AA402" s="3254"/>
      <c r="AB402" s="3293"/>
      <c r="AC402" s="3293"/>
      <c r="AD402" s="3293"/>
      <c r="AE402" s="3293"/>
      <c r="AF402" s="3293"/>
      <c r="AG402" s="3293"/>
      <c r="AH402" s="3294"/>
      <c r="AI402" s="2407"/>
    </row>
    <row r="403" ht="16.5" customHeight="1">
      <c r="A403" s="2811"/>
      <c r="B403" s="3289"/>
      <c r="C403" s="3283"/>
      <c r="D403" s="3290"/>
      <c r="E403" s="3161" t="s">
        <v>517</v>
      </c>
      <c r="F403" s="3162">
        <f t="array" ref="F403">IFERROR(VLOOKUP(E386,Dex!$B$3:$N454,12,FALSE),"")</f>
        <v>80</v>
      </c>
      <c r="G403" s="3163" t="str">
        <f t="array" ref="G403">IFERROR(VLOOKUP(F403,Dex!$P$22:$Q$276,2,FALSE),"")</f>
        <v/>
      </c>
      <c r="H403" s="3164"/>
      <c r="I403" s="3291"/>
      <c r="J403" s="3161" t="s">
        <v>517</v>
      </c>
      <c r="K403" s="3162">
        <f t="array" ref="K403">IFERROR(VLOOKUP(J386,Dex!$B$3:$N454,12,FALSE),"")</f>
        <v>95</v>
      </c>
      <c r="L403" s="3163" t="str">
        <f t="array" ref="L403">IFERROR(VLOOKUP(K403,Dex!$P$22:$Q$276,2,FALSE),"")</f>
        <v/>
      </c>
      <c r="M403" s="3164"/>
      <c r="N403" s="3291"/>
      <c r="O403" s="3161" t="s">
        <v>517</v>
      </c>
      <c r="P403" s="3162">
        <f t="array" ref="P403">IFERROR(VLOOKUP(O386,Dex!$B$3:$N454,12,FALSE),"")</f>
        <v>53</v>
      </c>
      <c r="Q403" s="3163" t="str">
        <f t="array" ref="Q403">IFERROR(VLOOKUP(P403,Dex!$P$22:$Q$276,2,FALSE),"")</f>
        <v/>
      </c>
      <c r="R403" s="3164"/>
      <c r="S403" s="3291"/>
      <c r="T403" s="3161" t="s">
        <v>517</v>
      </c>
      <c r="U403" s="3162">
        <f t="array" ref="U403">IFERROR(VLOOKUP(T386,Dex!$B$3:$N454,12,FALSE),"")</f>
        <v>95</v>
      </c>
      <c r="V403" s="3163" t="str">
        <f t="array" ref="V403">IFERROR(VLOOKUP(U403,Dex!$P$22:$Q$276,2,FALSE),"")</f>
        <v/>
      </c>
      <c r="W403" s="3164"/>
      <c r="X403" s="3292"/>
      <c r="Y403" s="3293"/>
      <c r="Z403" s="3254"/>
      <c r="AA403" s="3254"/>
      <c r="AB403" s="3293"/>
      <c r="AC403" s="3293"/>
      <c r="AD403" s="3293"/>
      <c r="AE403" s="3293"/>
      <c r="AF403" s="3293"/>
      <c r="AG403" s="3293"/>
      <c r="AH403" s="3294"/>
      <c r="AI403" s="2407"/>
    </row>
    <row r="404" ht="15.75" customHeight="1">
      <c r="A404" s="2811"/>
      <c r="B404" s="3289"/>
      <c r="C404" s="1426" t="s">
        <v>745</v>
      </c>
      <c r="D404" s="3290"/>
      <c r="E404" s="3165" t="s">
        <v>518</v>
      </c>
      <c r="F404" s="3166">
        <f t="array" ref="F404">IFERROR(VLOOKUP(E386,Dex!$B$3:$N454,13,FALSE),"")</f>
        <v>50</v>
      </c>
      <c r="G404" s="3167" t="str">
        <f t="array" ref="G404">IFERROR(VLOOKUP(F404,Dex!$P$22:$Q$276,2,FALSE),"")</f>
        <v/>
      </c>
      <c r="H404" s="3168"/>
      <c r="I404" s="3291"/>
      <c r="J404" s="3165" t="s">
        <v>518</v>
      </c>
      <c r="K404" s="3166">
        <f t="array" ref="K404">IFERROR(VLOOKUP(J386,Dex!$B$3:$N454,13,FALSE),"")</f>
        <v>110</v>
      </c>
      <c r="L404" s="3167" t="str">
        <f t="array" ref="L404">IFERROR(VLOOKUP(K404,Dex!$P$22:$Q$276,2,FALSE),"")</f>
        <v/>
      </c>
      <c r="M404" s="3168"/>
      <c r="N404" s="3291"/>
      <c r="O404" s="3165" t="s">
        <v>518</v>
      </c>
      <c r="P404" s="3166">
        <f t="array" ref="P404">IFERROR(VLOOKUP(O386,Dex!$B$3:$N454,13,FALSE),"")</f>
        <v>79</v>
      </c>
      <c r="Q404" s="3167" t="str">
        <f t="array" ref="Q404">IFERROR(VLOOKUP(P404,Dex!$P$22:$Q$276,2,FALSE),"")</f>
        <v/>
      </c>
      <c r="R404" s="3168"/>
      <c r="S404" s="3291"/>
      <c r="T404" s="3165" t="s">
        <v>518</v>
      </c>
      <c r="U404" s="3166">
        <f t="array" ref="U404">IFERROR(VLOOKUP(T386,Dex!$B$3:$N454,13,FALSE),"")</f>
        <v>50</v>
      </c>
      <c r="V404" s="3167" t="str">
        <f t="array" ref="V404">IFERROR(VLOOKUP(U404,Dex!$P$22:$Q$276,2,FALSE),"")</f>
        <v/>
      </c>
      <c r="W404" s="3168"/>
      <c r="X404" s="3292"/>
      <c r="Y404" s="3293"/>
      <c r="Z404" s="3254"/>
      <c r="AA404" s="3254"/>
      <c r="AB404" s="3293"/>
      <c r="AC404" s="3293"/>
      <c r="AD404" s="3293"/>
      <c r="AE404" s="3293"/>
      <c r="AF404" s="3293"/>
      <c r="AG404" s="3293"/>
      <c r="AH404" s="3294"/>
      <c r="AI404" s="2407"/>
    </row>
    <row r="405" ht="16.5" customHeight="1">
      <c r="A405" s="2811"/>
      <c r="B405" s="3289"/>
      <c r="C405" s="1427" t="s">
        <v>1295</v>
      </c>
      <c r="D405" s="3290"/>
      <c r="E405" s="3169" t="s">
        <v>519</v>
      </c>
      <c r="F405" s="630"/>
      <c r="G405" s="631"/>
      <c r="H405" s="632">
        <f>ROUNDDOWN((ROUNDDOWN(((((2*F404+31)*79)/100+5)),0))*1,0)</f>
        <v>108</v>
      </c>
      <c r="I405" s="3291"/>
      <c r="J405" s="3297" t="s">
        <v>519</v>
      </c>
      <c r="K405" s="3298"/>
      <c r="L405" s="3299"/>
      <c r="M405" s="632">
        <f>ROUNDDOWN((ROUNDDOWN(((((2*K404+31)*79)/100+5)),0))*1.1,0)</f>
        <v>223</v>
      </c>
      <c r="N405" s="3291"/>
      <c r="O405" s="3169" t="s">
        <v>519</v>
      </c>
      <c r="P405" s="630"/>
      <c r="Q405" s="631"/>
      <c r="R405" s="632">
        <f>ROUNDDOWN((ROUNDDOWN(((((2*P404+31)*79)/100+5)),0))*1.1,0)</f>
        <v>169</v>
      </c>
      <c r="S405" s="3291"/>
      <c r="T405" s="3169" t="s">
        <v>519</v>
      </c>
      <c r="U405" s="630"/>
      <c r="V405" s="631"/>
      <c r="W405" s="632">
        <f>ROUNDDOWN((ROUNDDOWN(((((2*U404+31)*79)/100+5)),0))*1,0)</f>
        <v>108</v>
      </c>
      <c r="X405" s="3292"/>
      <c r="Y405" s="3293"/>
      <c r="Z405" s="3254"/>
      <c r="AA405" s="3254"/>
      <c r="AB405" s="3293"/>
      <c r="AC405" s="3293"/>
      <c r="AD405" s="3293"/>
      <c r="AE405" s="3293"/>
      <c r="AF405" s="3293"/>
      <c r="AG405" s="3293"/>
      <c r="AH405" s="3294"/>
      <c r="AI405" s="2407"/>
    </row>
    <row r="406" ht="16.5" customHeight="1">
      <c r="A406" s="2811"/>
      <c r="B406" s="3300"/>
      <c r="C406" s="3283"/>
      <c r="D406" s="3301"/>
      <c r="E406" s="3283"/>
      <c r="F406" s="3283"/>
      <c r="G406" s="3283"/>
      <c r="H406" s="3283"/>
      <c r="I406" s="3302"/>
      <c r="J406" s="3303" t="s">
        <v>1013</v>
      </c>
      <c r="K406" s="3304"/>
      <c r="L406" s="3305"/>
      <c r="M406" s="3064">
        <f>M405*2</f>
        <v>446</v>
      </c>
      <c r="N406" s="3302"/>
      <c r="O406" s="3283"/>
      <c r="P406" s="3283"/>
      <c r="Q406" s="3283"/>
      <c r="R406" s="3283"/>
      <c r="S406" s="3302"/>
      <c r="T406" s="3283"/>
      <c r="U406" s="3283"/>
      <c r="V406" s="3283"/>
      <c r="W406" s="3283"/>
      <c r="X406" s="3306"/>
      <c r="Y406" s="3307"/>
      <c r="Z406" s="3308"/>
      <c r="AA406" s="3308"/>
      <c r="AB406" s="3307"/>
      <c r="AC406" s="3307"/>
      <c r="AD406" s="3307"/>
      <c r="AE406" s="3307"/>
      <c r="AF406" s="3307"/>
      <c r="AG406" s="3307"/>
      <c r="AH406" s="3309"/>
      <c r="AI406" s="2407"/>
    </row>
    <row r="407" ht="15.0" customHeight="1">
      <c r="A407" s="2329"/>
      <c r="B407" s="3310"/>
      <c r="C407" s="3311"/>
      <c r="D407" s="3312"/>
      <c r="E407" s="3313"/>
      <c r="F407" s="3313"/>
      <c r="G407" s="3313"/>
      <c r="H407" s="3313"/>
      <c r="I407" s="3312"/>
      <c r="J407" s="3313"/>
      <c r="K407" s="3313"/>
      <c r="L407" s="3313"/>
      <c r="M407" s="3313"/>
      <c r="N407" s="3312"/>
      <c r="O407" s="3313"/>
      <c r="P407" s="3313"/>
      <c r="Q407" s="3313"/>
      <c r="R407" s="3313"/>
      <c r="S407" s="3312"/>
      <c r="T407" s="3314"/>
      <c r="U407" s="3314"/>
      <c r="V407" s="3314"/>
      <c r="W407" s="3315"/>
      <c r="X407" s="3312"/>
      <c r="Y407" s="3312"/>
      <c r="Z407" s="3312"/>
      <c r="AA407" s="3312"/>
      <c r="AB407" s="3312"/>
      <c r="AC407" s="3312"/>
      <c r="AD407" s="3312"/>
      <c r="AE407" s="3312"/>
      <c r="AF407" s="3312"/>
      <c r="AG407" s="3312"/>
      <c r="AH407" s="3316"/>
      <c r="AI407" s="2737"/>
    </row>
    <row r="408" ht="15.0" customHeight="1">
      <c r="A408" s="2329"/>
      <c r="B408" s="3317"/>
      <c r="C408" s="3318"/>
      <c r="D408" s="3319"/>
      <c r="E408" s="3319"/>
      <c r="F408" s="3319"/>
      <c r="G408" s="3319"/>
      <c r="H408" s="3319"/>
      <c r="I408" s="3319"/>
      <c r="J408" s="3319"/>
      <c r="K408" s="3319"/>
      <c r="L408" s="3319"/>
      <c r="M408" s="3319"/>
      <c r="N408" s="3319"/>
      <c r="O408" s="3319"/>
      <c r="P408" s="3319"/>
      <c r="Q408" s="3319"/>
      <c r="R408" s="3319"/>
      <c r="S408" s="3319"/>
      <c r="T408" s="3319"/>
      <c r="U408" s="3319"/>
      <c r="V408" s="3319"/>
      <c r="W408" s="3319"/>
      <c r="X408" s="3319"/>
      <c r="Y408" s="3319"/>
      <c r="Z408" s="3319"/>
      <c r="AA408" s="3319"/>
      <c r="AB408" s="3319"/>
      <c r="AC408" s="3319"/>
      <c r="AD408" s="3319"/>
      <c r="AE408" s="3319"/>
      <c r="AF408" s="3319"/>
      <c r="AG408" s="3319"/>
      <c r="AH408" s="3320"/>
      <c r="AI408" s="2737"/>
    </row>
    <row r="409">
      <c r="A409" s="2329"/>
      <c r="B409" s="3321"/>
      <c r="C409" s="3322"/>
      <c r="D409" s="3323"/>
      <c r="E409" s="3324" t="s">
        <v>1325</v>
      </c>
      <c r="F409" s="3325"/>
      <c r="G409" s="3325"/>
      <c r="H409" s="3325"/>
      <c r="I409" s="3325"/>
      <c r="J409" s="3325"/>
      <c r="K409" s="3325"/>
      <c r="L409" s="3325"/>
      <c r="M409" s="3325"/>
      <c r="N409" s="3325"/>
      <c r="O409" s="3325"/>
      <c r="P409" s="3325"/>
      <c r="Q409" s="3325"/>
      <c r="R409" s="3325"/>
      <c r="S409" s="3325"/>
      <c r="T409" s="3325"/>
      <c r="U409" s="3325"/>
      <c r="V409" s="3325"/>
      <c r="W409" s="3325"/>
      <c r="X409" s="3325"/>
      <c r="Y409" s="3325"/>
      <c r="Z409" s="3325"/>
      <c r="AA409" s="3325"/>
      <c r="AB409" s="3325"/>
      <c r="AC409" s="3325"/>
      <c r="AD409" s="3325"/>
      <c r="AE409" s="3325"/>
      <c r="AF409" s="3325"/>
      <c r="AG409" s="3326"/>
      <c r="AH409" s="3327"/>
      <c r="AI409" s="2737"/>
    </row>
    <row r="410" ht="96.75" customHeight="1">
      <c r="A410" s="2329"/>
      <c r="B410" s="3328"/>
      <c r="C410" s="2971" t="str">
        <f>IMAGE("https://i.ibb.co/dcBy1qG/Giovanni.png")</f>
        <v/>
      </c>
      <c r="D410" s="3329"/>
      <c r="E410" s="2973" t="str">
        <f t="array" ref="E410">IFERROR(VLOOKUP(E411,Dex!$B$3:$G454,3,FALSE),"")</f>
        <v/>
      </c>
      <c r="F410" s="1945"/>
      <c r="G410" s="1945"/>
      <c r="H410" s="1946"/>
      <c r="I410" s="3330"/>
      <c r="J410" s="2973" t="str">
        <f t="array" ref="J410">IFERROR(VLOOKUP(J411,Dex!$B$3:$G454,3,FALSE),"")</f>
        <v/>
      </c>
      <c r="K410" s="1945"/>
      <c r="L410" s="1945"/>
      <c r="M410" s="1946"/>
      <c r="N410" s="3330"/>
      <c r="O410" s="2973" t="str">
        <f t="array" ref="O410">IFERROR(VLOOKUP(O411,Dex!$B$3:$G454,3,FALSE),"")</f>
        <v/>
      </c>
      <c r="P410" s="1945"/>
      <c r="Q410" s="1945"/>
      <c r="R410" s="1946"/>
      <c r="S410" s="3330"/>
      <c r="T410" s="2973" t="str">
        <f t="array" ref="T410">IFERROR(VLOOKUP(T411,Dex!$B$3:$G454,3,FALSE),"")</f>
        <v/>
      </c>
      <c r="U410" s="1945"/>
      <c r="V410" s="1945"/>
      <c r="W410" s="1946"/>
      <c r="X410" s="3330"/>
      <c r="Y410" s="2973" t="str">
        <f t="array" ref="Y410">IFERROR(VLOOKUP(Y411,Dex!$B$3:$G454,3,FALSE),"")</f>
        <v/>
      </c>
      <c r="Z410" s="1945"/>
      <c r="AA410" s="1945"/>
      <c r="AB410" s="1946"/>
      <c r="AC410" s="3330"/>
      <c r="AD410" s="2973" t="str">
        <f t="array" ref="AD410">IFERROR(VLOOKUP(AD411,Dex!$B$3:$G454,3,FALSE),"")</f>
        <v/>
      </c>
      <c r="AE410" s="1945"/>
      <c r="AF410" s="1945"/>
      <c r="AG410" s="1946"/>
      <c r="AH410" s="3331"/>
      <c r="AI410" s="2737"/>
    </row>
    <row r="411" ht="18.75" customHeight="1">
      <c r="A411" s="2354"/>
      <c r="B411" s="3332"/>
      <c r="C411" s="2977" t="s">
        <v>1326</v>
      </c>
      <c r="D411" s="3333"/>
      <c r="E411" s="2979" t="s">
        <v>1327</v>
      </c>
      <c r="F411" s="2980"/>
      <c r="G411" s="2980"/>
      <c r="H411" s="2981"/>
      <c r="I411" s="3333"/>
      <c r="J411" s="2979" t="s">
        <v>1328</v>
      </c>
      <c r="K411" s="2980"/>
      <c r="L411" s="2980"/>
      <c r="M411" s="2981"/>
      <c r="N411" s="3333"/>
      <c r="O411" s="2979" t="s">
        <v>1329</v>
      </c>
      <c r="P411" s="2980"/>
      <c r="Q411" s="2980"/>
      <c r="R411" s="2981"/>
      <c r="S411" s="3333"/>
      <c r="T411" s="2979" t="s">
        <v>1330</v>
      </c>
      <c r="U411" s="2980"/>
      <c r="V411" s="2980"/>
      <c r="W411" s="2981"/>
      <c r="X411" s="3333"/>
      <c r="Y411" s="2979" t="s">
        <v>949</v>
      </c>
      <c r="Z411" s="2980"/>
      <c r="AA411" s="2980"/>
      <c r="AB411" s="2981"/>
      <c r="AC411" s="3333"/>
      <c r="AD411" s="2979" t="s">
        <v>1331</v>
      </c>
      <c r="AE411" s="2980"/>
      <c r="AF411" s="2980"/>
      <c r="AG411" s="2981"/>
      <c r="AH411" s="3334"/>
      <c r="AI411" s="2757"/>
    </row>
    <row r="412">
      <c r="A412" s="2983"/>
      <c r="B412" s="3335"/>
      <c r="C412" s="556"/>
      <c r="D412" s="3336"/>
      <c r="E412" s="2986">
        <v>80.0</v>
      </c>
      <c r="F412" s="2987"/>
      <c r="G412" s="2987"/>
      <c r="H412" s="2988"/>
      <c r="I412" s="3337"/>
      <c r="J412" s="2986">
        <v>80.0</v>
      </c>
      <c r="K412" s="2987"/>
      <c r="L412" s="2987"/>
      <c r="M412" s="2988"/>
      <c r="N412" s="3337"/>
      <c r="O412" s="2986">
        <v>80.0</v>
      </c>
      <c r="P412" s="2987"/>
      <c r="Q412" s="2987"/>
      <c r="R412" s="2988"/>
      <c r="S412" s="3337"/>
      <c r="T412" s="2986">
        <v>80.0</v>
      </c>
      <c r="U412" s="2987"/>
      <c r="V412" s="2987"/>
      <c r="W412" s="2988"/>
      <c r="X412" s="3337"/>
      <c r="Y412" s="2986">
        <v>80.0</v>
      </c>
      <c r="Z412" s="2987"/>
      <c r="AA412" s="2987"/>
      <c r="AB412" s="2988"/>
      <c r="AC412" s="3337"/>
      <c r="AD412" s="2986">
        <v>80.0</v>
      </c>
      <c r="AE412" s="2987"/>
      <c r="AF412" s="2987"/>
      <c r="AG412" s="2988"/>
      <c r="AH412" s="3338"/>
      <c r="AI412" s="2991"/>
    </row>
    <row r="413" ht="25.5" customHeight="1">
      <c r="A413" s="2329"/>
      <c r="B413" s="3321"/>
      <c r="C413" s="3339"/>
      <c r="D413" s="3340"/>
      <c r="E413" s="2995"/>
      <c r="F413" s="2996" t="str">
        <f t="array" ref="F413">IFERROR(VLOOKUP(E411,Dex!$B$3:$H454,5,FALSE),"")</f>
        <v/>
      </c>
      <c r="G413" s="2997" t="str">
        <f t="array" ref="G413">IFERROR(VLOOKUP(E411,Dex!$B$3:$H454,7,FALSE),"")</f>
        <v/>
      </c>
      <c r="H413" s="2998"/>
      <c r="I413" s="3341"/>
      <c r="J413" s="2995"/>
      <c r="K413" s="2996" t="str">
        <f t="array" ref="K413">IFERROR(VLOOKUP(J411,Dex!$B$3:$H454,5,FALSE),"")</f>
        <v/>
      </c>
      <c r="L413" s="2997" t="str">
        <f t="array" ref="L413">IFERROR(VLOOKUP(J411,Dex!$B$3:$H454,7,FALSE),"")</f>
        <v/>
      </c>
      <c r="M413" s="2998"/>
      <c r="N413" s="3341"/>
      <c r="O413" s="2995"/>
      <c r="P413" s="3000" t="str">
        <f t="array" ref="P413">IFERROR(VLOOKUP(O411,Dex!$B$3:$H454,5,FALSE),"")</f>
        <v/>
      </c>
      <c r="Q413" s="3001"/>
      <c r="R413" s="2998"/>
      <c r="S413" s="3341"/>
      <c r="T413" s="2995"/>
      <c r="U413" s="2996" t="str">
        <f t="array" ref="U413">IFERROR(VLOOKUP(T411,Dex!$B$3:$H454,5,FALSE),"")</f>
        <v/>
      </c>
      <c r="V413" s="2997" t="str">
        <f t="array" ref="V413">IFERROR(VLOOKUP(T411,Dex!$B$3:$H454,7,FALSE),"")</f>
        <v/>
      </c>
      <c r="W413" s="2998"/>
      <c r="X413" s="3341"/>
      <c r="Y413" s="2995"/>
      <c r="Z413" s="2996" t="str">
        <f t="array" ref="Z413">IFERROR(VLOOKUP(Y411,Dex!$B$3:$H454,5,FALSE),"")</f>
        <v/>
      </c>
      <c r="AA413" s="2997" t="str">
        <f t="array" ref="AA413">IFERROR(VLOOKUP(Y411,Dex!$B$3:$H454,7,FALSE),"")</f>
        <v/>
      </c>
      <c r="AB413" s="2998"/>
      <c r="AC413" s="3341"/>
      <c r="AD413" s="2995"/>
      <c r="AE413" s="3000" t="str">
        <f t="array" ref="AE413">IFERROR(VLOOKUP(AD411,Dex!$B$3:$H454,5,FALSE),"")</f>
        <v/>
      </c>
      <c r="AF413" s="3001"/>
      <c r="AG413" s="2998"/>
      <c r="AH413" s="3331"/>
      <c r="AI413" s="2737"/>
    </row>
    <row r="414" ht="2.25" customHeight="1">
      <c r="A414" s="2329"/>
      <c r="B414" s="3321"/>
      <c r="C414" s="3342"/>
      <c r="D414" s="3340"/>
      <c r="E414" s="3003"/>
      <c r="F414" s="3004"/>
      <c r="G414" s="3004"/>
      <c r="H414" s="3005"/>
      <c r="I414" s="3341"/>
      <c r="J414" s="3003"/>
      <c r="K414" s="3004"/>
      <c r="L414" s="3004"/>
      <c r="M414" s="3005"/>
      <c r="N414" s="3341"/>
      <c r="O414" s="3003"/>
      <c r="P414" s="3004"/>
      <c r="Q414" s="3004"/>
      <c r="R414" s="3005"/>
      <c r="S414" s="3341"/>
      <c r="T414" s="3003"/>
      <c r="U414" s="3004"/>
      <c r="V414" s="3004"/>
      <c r="W414" s="3005"/>
      <c r="X414" s="3341"/>
      <c r="Y414" s="3003"/>
      <c r="Z414" s="3004"/>
      <c r="AA414" s="3004"/>
      <c r="AB414" s="3005"/>
      <c r="AC414" s="3341"/>
      <c r="AD414" s="3003"/>
      <c r="AE414" s="3004"/>
      <c r="AF414" s="3004"/>
      <c r="AG414" s="3005"/>
      <c r="AH414" s="3331"/>
      <c r="AI414" s="2737"/>
    </row>
    <row r="415" ht="20.25" customHeight="1">
      <c r="A415" s="2329"/>
      <c r="B415" s="3321"/>
      <c r="C415" s="3343"/>
      <c r="D415" s="3340"/>
      <c r="E415" s="3007" t="s">
        <v>529</v>
      </c>
      <c r="F415" s="3008"/>
      <c r="G415" s="3008"/>
      <c r="H415" s="3009"/>
      <c r="I415" s="3344"/>
      <c r="J415" s="3007" t="s">
        <v>564</v>
      </c>
      <c r="K415" s="3008"/>
      <c r="L415" s="3008"/>
      <c r="M415" s="3009"/>
      <c r="N415" s="3344"/>
      <c r="O415" s="3007" t="s">
        <v>532</v>
      </c>
      <c r="P415" s="3008"/>
      <c r="Q415" s="3008"/>
      <c r="R415" s="3009"/>
      <c r="S415" s="3344"/>
      <c r="T415" s="3007" t="s">
        <v>564</v>
      </c>
      <c r="U415" s="3008"/>
      <c r="V415" s="3008"/>
      <c r="W415" s="3009"/>
      <c r="X415" s="3344"/>
      <c r="Y415" s="3007" t="s">
        <v>1332</v>
      </c>
      <c r="Z415" s="3008"/>
      <c r="AA415" s="3008"/>
      <c r="AB415" s="3009"/>
      <c r="AC415" s="3344"/>
      <c r="AD415" s="3007" t="s">
        <v>564</v>
      </c>
      <c r="AE415" s="3008"/>
      <c r="AF415" s="3008"/>
      <c r="AG415" s="3009"/>
      <c r="AH415" s="3331"/>
      <c r="AI415" s="2737"/>
    </row>
    <row r="416">
      <c r="A416" s="2329"/>
      <c r="B416" s="3321"/>
      <c r="C416" s="3345"/>
      <c r="D416" s="3340"/>
      <c r="E416" s="3012" t="s">
        <v>60</v>
      </c>
      <c r="F416" s="3013"/>
      <c r="G416" s="3013"/>
      <c r="H416" s="3014"/>
      <c r="I416" s="3344"/>
      <c r="J416" s="3012" t="s">
        <v>76</v>
      </c>
      <c r="K416" s="3013"/>
      <c r="L416" s="3013"/>
      <c r="M416" s="3014"/>
      <c r="N416" s="3344"/>
      <c r="O416" s="3012" t="s">
        <v>1333</v>
      </c>
      <c r="P416" s="3013"/>
      <c r="Q416" s="3013"/>
      <c r="R416" s="3014"/>
      <c r="S416" s="3344"/>
      <c r="T416" s="3012" t="s">
        <v>1334</v>
      </c>
      <c r="U416" s="3013"/>
      <c r="V416" s="3013"/>
      <c r="W416" s="3014"/>
      <c r="X416" s="3344"/>
      <c r="Y416" s="3012" t="s">
        <v>954</v>
      </c>
      <c r="Z416" s="3013"/>
      <c r="AA416" s="3013"/>
      <c r="AB416" s="3014"/>
      <c r="AC416" s="3344"/>
      <c r="AD416" s="3012" t="s">
        <v>1335</v>
      </c>
      <c r="AE416" s="3013"/>
      <c r="AF416" s="3013"/>
      <c r="AG416" s="3014"/>
      <c r="AH416" s="3331"/>
      <c r="AI416" s="2737"/>
    </row>
    <row r="417" ht="20.25" customHeight="1">
      <c r="A417" s="2329"/>
      <c r="B417" s="3321"/>
      <c r="C417" s="3342"/>
      <c r="D417" s="3340"/>
      <c r="E417" s="3015" t="s">
        <v>1336</v>
      </c>
      <c r="F417" s="3016"/>
      <c r="G417" s="3017"/>
      <c r="H417" s="3018" t="str">
        <f>IMAGE("https://raw.githubusercontent.com/msikma/pokesprite/master/items/berry/figy.png",3)</f>
        <v/>
      </c>
      <c r="I417" s="3341"/>
      <c r="J417" s="3015" t="s">
        <v>573</v>
      </c>
      <c r="K417" s="3016"/>
      <c r="L417" s="3017"/>
      <c r="M417" s="3018" t="str">
        <f>IMAGE("https://raw.githubusercontent.com/msikma/pokesprite/master/items/hold-item/focus-sash.png",3)</f>
        <v/>
      </c>
      <c r="N417" s="3341"/>
      <c r="O417" s="3015" t="s">
        <v>733</v>
      </c>
      <c r="P417" s="3016"/>
      <c r="Q417" s="3017"/>
      <c r="R417" s="3018" t="str">
        <f>IMAGE("https://raw.githubusercontent.com/msikma/pokesprite/master/items/hold-item/leftovers.png",3)</f>
        <v/>
      </c>
      <c r="S417" s="3341"/>
      <c r="T417" s="3015" t="s">
        <v>687</v>
      </c>
      <c r="U417" s="3016"/>
      <c r="V417" s="3017"/>
      <c r="W417" s="3018" t="str">
        <f>IMAGE("https://raw.githubusercontent.com/msikma/pokesprite/master/items/z-crystals/flyinium-z--held.png",3)</f>
        <v/>
      </c>
      <c r="X417" s="3341"/>
      <c r="Y417" s="3015" t="s">
        <v>713</v>
      </c>
      <c r="Z417" s="3016"/>
      <c r="AA417" s="3017"/>
      <c r="AB417" s="3018" t="str">
        <f>IMAGE("https://raw.githubusercontent.com/msikma/pokesprite/master/items/hold-item/assault-vest.png",3)</f>
        <v/>
      </c>
      <c r="AC417" s="3341"/>
      <c r="AD417" s="3015" t="s">
        <v>1337</v>
      </c>
      <c r="AE417" s="3016"/>
      <c r="AF417" s="3017"/>
      <c r="AG417" s="3346" t="s">
        <v>1338</v>
      </c>
      <c r="AH417" s="3331"/>
      <c r="AI417" s="2737"/>
    </row>
    <row r="418" ht="20.25" customHeight="1">
      <c r="A418" s="2329"/>
      <c r="B418" s="3321"/>
      <c r="C418" s="3343"/>
      <c r="D418" s="3340"/>
      <c r="E418" s="3007" t="s">
        <v>878</v>
      </c>
      <c r="F418" s="3008"/>
      <c r="G418" s="3019"/>
      <c r="H418" s="3020" t="str">
        <f>IMAGE("https://raw.githubusercontent.com/msikma/pokesprite/master/misc/types/gen8/fire.png",4,20,20)</f>
        <v/>
      </c>
      <c r="I418" s="3341"/>
      <c r="J418" s="3007" t="s">
        <v>1243</v>
      </c>
      <c r="K418" s="3008"/>
      <c r="L418" s="3019"/>
      <c r="M418" s="3020" t="str">
        <f>IMAGE("https://raw.githubusercontent.com/msikma/pokesprite/master/misc/types/gen8/fire.png",4,20,20)</f>
        <v/>
      </c>
      <c r="N418" s="3341"/>
      <c r="O418" s="3007" t="s">
        <v>1339</v>
      </c>
      <c r="P418" s="3008"/>
      <c r="Q418" s="3019"/>
      <c r="R418" s="3020" t="str">
        <f>IMAGE("https://raw.githubusercontent.com/msikma/pokesprite/master/misc/types/gen8/fairy.png",4,20,20)</f>
        <v/>
      </c>
      <c r="S418" s="3341"/>
      <c r="T418" s="3007" t="s">
        <v>259</v>
      </c>
      <c r="U418" s="3008"/>
      <c r="V418" s="3019"/>
      <c r="W418" s="3020" t="str">
        <f t="shared" ref="W418:W419" si="25">IMAGE("https://raw.githubusercontent.com/msikma/pokesprite/master/misc/types/gen8/dark.png",4,20,20)</f>
        <v/>
      </c>
      <c r="X418" s="3341"/>
      <c r="Y418" s="3007" t="s">
        <v>612</v>
      </c>
      <c r="Z418" s="3008"/>
      <c r="AA418" s="3019"/>
      <c r="AB418" s="3020" t="str">
        <f>IMAGE("https://raw.githubusercontent.com/msikma/pokesprite/master/misc/types/gen8/bug.png",4,20,20)</f>
        <v/>
      </c>
      <c r="AC418" s="3341"/>
      <c r="AD418" s="3007" t="s">
        <v>668</v>
      </c>
      <c r="AE418" s="3008"/>
      <c r="AF418" s="3019"/>
      <c r="AG418" s="3020" t="str">
        <f t="shared" ref="AG418:AG419" si="26">IMAGE("https://raw.githubusercontent.com/msikma/pokesprite/master/misc/types/gen8/psychic.png",4,20,20)</f>
        <v/>
      </c>
      <c r="AH418" s="3331"/>
      <c r="AI418" s="2737"/>
    </row>
    <row r="419" ht="20.25" customHeight="1">
      <c r="A419" s="2329"/>
      <c r="B419" s="3321"/>
      <c r="C419" s="3347"/>
      <c r="D419" s="3340"/>
      <c r="E419" s="3012" t="s">
        <v>812</v>
      </c>
      <c r="F419" s="3013"/>
      <c r="G419" s="3022"/>
      <c r="H419" s="3023" t="str">
        <f>IMAGE("https://raw.githubusercontent.com/msikma/pokesprite/master/misc/types/gen8/dark.png",4,20,20)</f>
        <v/>
      </c>
      <c r="I419" s="3341"/>
      <c r="J419" s="3012" t="s">
        <v>668</v>
      </c>
      <c r="K419" s="3013"/>
      <c r="L419" s="3022"/>
      <c r="M419" s="3023" t="str">
        <f>IMAGE("https://raw.githubusercontent.com/msikma/pokesprite/master/misc/types/gen8/psychic.png",4,20,20)</f>
        <v/>
      </c>
      <c r="N419" s="3341"/>
      <c r="O419" s="3012" t="s">
        <v>619</v>
      </c>
      <c r="P419" s="3013"/>
      <c r="Q419" s="3022"/>
      <c r="R419" s="3023" t="str">
        <f>IMAGE("https://raw.githubusercontent.com/msikma/pokesprite/master/misc/types/gen8/fire.png",4,20,20)</f>
        <v/>
      </c>
      <c r="S419" s="3341"/>
      <c r="T419" s="3012" t="s">
        <v>1264</v>
      </c>
      <c r="U419" s="3013"/>
      <c r="V419" s="3022"/>
      <c r="W419" s="3023" t="str">
        <f t="shared" si="25"/>
        <v/>
      </c>
      <c r="X419" s="3341"/>
      <c r="Y419" s="3012" t="s">
        <v>739</v>
      </c>
      <c r="Z419" s="3013"/>
      <c r="AA419" s="3022"/>
      <c r="AB419" s="3023" t="str">
        <f>IMAGE("https://raw.githubusercontent.com/msikma/pokesprite/master/misc/types/gen8/steel.png",4,20,20)</f>
        <v/>
      </c>
      <c r="AC419" s="3341"/>
      <c r="AD419" s="3012" t="s">
        <v>1340</v>
      </c>
      <c r="AE419" s="3013"/>
      <c r="AF419" s="3022"/>
      <c r="AG419" s="3023" t="str">
        <f t="shared" si="26"/>
        <v/>
      </c>
      <c r="AH419" s="3331"/>
      <c r="AI419" s="2737"/>
    </row>
    <row r="420" ht="20.25" customHeight="1">
      <c r="A420" s="2329"/>
      <c r="B420" s="3321"/>
      <c r="C420" s="3347"/>
      <c r="D420" s="3340"/>
      <c r="E420" s="3012" t="s">
        <v>647</v>
      </c>
      <c r="F420" s="3013"/>
      <c r="G420" s="3022"/>
      <c r="H420" s="3023" t="str">
        <f>IMAGE("https://raw.githubusercontent.com/msikma/pokesprite/master/misc/types/gen8/ghost.png",4,20,20)</f>
        <v/>
      </c>
      <c r="I420" s="3341"/>
      <c r="J420" s="3012" t="s">
        <v>742</v>
      </c>
      <c r="K420" s="3013"/>
      <c r="L420" s="3022"/>
      <c r="M420" s="3023" t="str">
        <f>IMAGE("https://raw.githubusercontent.com/msikma/pokesprite/master/misc/types/gen8/grass.png",4,20,20)</f>
        <v/>
      </c>
      <c r="N420" s="3341"/>
      <c r="O420" s="3012" t="s">
        <v>812</v>
      </c>
      <c r="P420" s="3013"/>
      <c r="Q420" s="3022"/>
      <c r="R420" s="3023" t="str">
        <f>IMAGE("https://raw.githubusercontent.com/msikma/pokesprite/master/misc/types/gen8/dark.png",4,20,20)</f>
        <v/>
      </c>
      <c r="S420" s="3341"/>
      <c r="T420" s="3012" t="s">
        <v>546</v>
      </c>
      <c r="U420" s="3013"/>
      <c r="V420" s="3022"/>
      <c r="W420" s="3023" t="str">
        <f t="shared" ref="W420:W421" si="27">IMAGE("https://raw.githubusercontent.com/msikma/pokesprite/master/misc/types/gen8/flying.png",4,20,20)</f>
        <v/>
      </c>
      <c r="X420" s="3341"/>
      <c r="Y420" s="3012" t="s">
        <v>670</v>
      </c>
      <c r="Z420" s="3013"/>
      <c r="AA420" s="3022"/>
      <c r="AB420" s="3023" t="str">
        <f>IMAGE("https://raw.githubusercontent.com/msikma/pokesprite/master/misc/types/gen8/ice.png",4,20,20)</f>
        <v/>
      </c>
      <c r="AC420" s="3341"/>
      <c r="AD420" s="3012" t="s">
        <v>619</v>
      </c>
      <c r="AE420" s="3013"/>
      <c r="AF420" s="3022"/>
      <c r="AG420" s="3023" t="str">
        <f>IMAGE("https://raw.githubusercontent.com/msikma/pokesprite/master/misc/types/gen8/fire.png",4,20,20)</f>
        <v/>
      </c>
      <c r="AH420" s="3331"/>
      <c r="AI420" s="2737"/>
    </row>
    <row r="421" ht="21.0" customHeight="1">
      <c r="A421" s="2329"/>
      <c r="B421" s="3321"/>
      <c r="C421" s="3347"/>
      <c r="D421" s="3340"/>
      <c r="E421" s="3024" t="s">
        <v>554</v>
      </c>
      <c r="F421" s="3025"/>
      <c r="G421" s="3026"/>
      <c r="H421" s="3027" t="str">
        <f>IMAGE("https://raw.githubusercontent.com/msikma/pokesprite/master/misc/types/gen8/dark.png",4,20,20)</f>
        <v/>
      </c>
      <c r="I421" s="3341"/>
      <c r="J421" s="3024" t="s">
        <v>647</v>
      </c>
      <c r="K421" s="3025"/>
      <c r="L421" s="3026"/>
      <c r="M421" s="3027" t="str">
        <f>IMAGE("https://raw.githubusercontent.com/msikma/pokesprite/master/misc/types/gen8/ghost.png",4,20,20)</f>
        <v/>
      </c>
      <c r="N421" s="3341"/>
      <c r="O421" s="3024" t="s">
        <v>611</v>
      </c>
      <c r="P421" s="3025"/>
      <c r="Q421" s="3026"/>
      <c r="R421" s="3027" t="str">
        <f>IMAGE("https://raw.githubusercontent.com/msikma/pokesprite/master/misc/types/gen8/electric.png",4,20,20)</f>
        <v/>
      </c>
      <c r="S421" s="3341"/>
      <c r="T421" s="3024" t="s">
        <v>551</v>
      </c>
      <c r="U421" s="3025"/>
      <c r="V421" s="3026"/>
      <c r="W421" s="3027" t="str">
        <f t="shared" si="27"/>
        <v/>
      </c>
      <c r="X421" s="3341"/>
      <c r="Y421" s="3024" t="s">
        <v>619</v>
      </c>
      <c r="Z421" s="3025"/>
      <c r="AA421" s="3026"/>
      <c r="AB421" s="3027" t="str">
        <f>IMAGE("https://raw.githubusercontent.com/msikma/pokesprite/master/misc/types/gen8/fire.png",4,20,20)</f>
        <v/>
      </c>
      <c r="AC421" s="3341"/>
      <c r="AD421" s="3024" t="s">
        <v>718</v>
      </c>
      <c r="AE421" s="3025"/>
      <c r="AF421" s="3026"/>
      <c r="AG421" s="3027" t="str">
        <f>IMAGE("https://raw.githubusercontent.com/msikma/pokesprite/master/misc/types/gen8/fighting.png",4,20,20)</f>
        <v/>
      </c>
      <c r="AH421" s="3331"/>
      <c r="AI421" s="2737"/>
    </row>
    <row r="422" ht="3.0" customHeight="1">
      <c r="A422" s="2802"/>
      <c r="B422" s="3348"/>
      <c r="C422" s="3349"/>
      <c r="D422" s="3350"/>
      <c r="E422" s="3351"/>
      <c r="F422" s="3351"/>
      <c r="G422" s="3351"/>
      <c r="H422" s="3351"/>
      <c r="I422" s="3350"/>
      <c r="J422" s="3351"/>
      <c r="K422" s="3351"/>
      <c r="L422" s="3351"/>
      <c r="M422" s="3351"/>
      <c r="N422" s="3350"/>
      <c r="O422" s="3351"/>
      <c r="P422" s="3351"/>
      <c r="Q422" s="3351"/>
      <c r="R422" s="3351"/>
      <c r="S422" s="3350"/>
      <c r="T422" s="3351"/>
      <c r="U422" s="3351"/>
      <c r="V422" s="3351"/>
      <c r="W422" s="3352"/>
      <c r="X422" s="3350"/>
      <c r="Y422" s="3353"/>
      <c r="Z422" s="3354"/>
      <c r="AA422" s="3354"/>
      <c r="AB422" s="3355"/>
      <c r="AC422" s="3350"/>
      <c r="AD422" s="3356"/>
      <c r="AE422" s="3356"/>
      <c r="AF422" s="3356"/>
      <c r="AG422" s="3355"/>
      <c r="AH422" s="3357"/>
      <c r="AI422" s="2810"/>
    </row>
    <row r="423" ht="16.5" customHeight="1">
      <c r="A423" s="2811"/>
      <c r="B423" s="3358"/>
      <c r="C423" s="3349"/>
      <c r="D423" s="3359"/>
      <c r="E423" s="3040" t="s">
        <v>512</v>
      </c>
      <c r="F423" s="606"/>
      <c r="G423" s="606"/>
      <c r="H423" s="607"/>
      <c r="I423" s="3360"/>
      <c r="J423" s="3040" t="s">
        <v>512</v>
      </c>
      <c r="K423" s="606"/>
      <c r="L423" s="606"/>
      <c r="M423" s="607"/>
      <c r="N423" s="3360"/>
      <c r="O423" s="3040" t="s">
        <v>512</v>
      </c>
      <c r="P423" s="606"/>
      <c r="Q423" s="606"/>
      <c r="R423" s="607"/>
      <c r="S423" s="3360"/>
      <c r="T423" s="3040" t="s">
        <v>512</v>
      </c>
      <c r="U423" s="606"/>
      <c r="V423" s="606"/>
      <c r="W423" s="607"/>
      <c r="X423" s="3360"/>
      <c r="Y423" s="3040" t="s">
        <v>512</v>
      </c>
      <c r="Z423" s="606"/>
      <c r="AA423" s="606"/>
      <c r="AB423" s="607"/>
      <c r="AC423" s="3360"/>
      <c r="AD423" s="3040" t="s">
        <v>512</v>
      </c>
      <c r="AE423" s="606"/>
      <c r="AF423" s="606"/>
      <c r="AG423" s="607"/>
      <c r="AH423" s="3361"/>
      <c r="AI423" s="2407"/>
    </row>
    <row r="424" ht="16.5" customHeight="1">
      <c r="A424" s="2811"/>
      <c r="B424" s="3358"/>
      <c r="C424" s="3349"/>
      <c r="D424" s="3359"/>
      <c r="E424" s="3043" t="s">
        <v>513</v>
      </c>
      <c r="F424" s="3044">
        <f t="array" ref="F424">IFERROR(VLOOKUP(E411,Dex!$B$3:$N454,8,FALSE),"")</f>
        <v>50</v>
      </c>
      <c r="G424" s="3045" t="str">
        <f t="array" ref="G424">IFERROR(VLOOKUP(F424,Dex!$P$22:$Q$276,2,FALSE),"")</f>
        <v/>
      </c>
      <c r="H424" s="3046"/>
      <c r="I424" s="3360"/>
      <c r="J424" s="3043" t="s">
        <v>513</v>
      </c>
      <c r="K424" s="3044">
        <f t="array" ref="K424">IFERROR(VLOOKUP(J411,Dex!$B$3:$N454,8,FALSE),"")</f>
        <v>75</v>
      </c>
      <c r="L424" s="3045" t="str">
        <f t="array" ref="L424">IFERROR(VLOOKUP(K424,Dex!$P$22:$Q$276,2,FALSE),"")</f>
        <v/>
      </c>
      <c r="M424" s="3046"/>
      <c r="N424" s="3360"/>
      <c r="O424" s="3043" t="s">
        <v>513</v>
      </c>
      <c r="P424" s="3044">
        <f t="array" ref="P424">IFERROR(VLOOKUP(O411,Dex!$B$3:$N454,8,FALSE),"")</f>
        <v>100</v>
      </c>
      <c r="Q424" s="3045" t="str">
        <f t="array" ref="Q424">IFERROR(VLOOKUP(P424,Dex!$P$22:$Q$276,2,FALSE),"")</f>
        <v/>
      </c>
      <c r="R424" s="3046"/>
      <c r="S424" s="3360"/>
      <c r="T424" s="3043" t="s">
        <v>513</v>
      </c>
      <c r="U424" s="3044">
        <f t="array" ref="U424">IFERROR(VLOOKUP(T411,Dex!$B$3:$N454,8,FALSE),"")</f>
        <v>90</v>
      </c>
      <c r="V424" s="3045" t="str">
        <f t="array" ref="V424">IFERROR(VLOOKUP(U424,Dex!$P$22:$Q$276,2,FALSE),"")</f>
        <v/>
      </c>
      <c r="W424" s="3046"/>
      <c r="X424" s="3360"/>
      <c r="Y424" s="3043" t="s">
        <v>513</v>
      </c>
      <c r="Z424" s="3044">
        <f t="array" ref="Z424">IFERROR(VLOOKUP(Y411,Dex!$B$3:$N454,8,FALSE),"")</f>
        <v>71</v>
      </c>
      <c r="AA424" s="3045" t="str">
        <f t="array" ref="AA424">IFERROR(VLOOKUP(Z424,Dex!$P$22:$Q$276,2,FALSE),"")</f>
        <v/>
      </c>
      <c r="AB424" s="3046"/>
      <c r="AC424" s="3360"/>
      <c r="AD424" s="3043" t="s">
        <v>513</v>
      </c>
      <c r="AE424" s="3044">
        <f t="array" ref="AE424">IFERROR(VLOOKUP(AD411,Dex!$B$3:$N454,8,FALSE),"")</f>
        <v>106</v>
      </c>
      <c r="AF424" s="3045" t="str">
        <f t="array" ref="AF424">IFERROR(VLOOKUP(AE424,Dex!$P$22:$Q$276,2,FALSE),"")</f>
        <v/>
      </c>
      <c r="AG424" s="3046"/>
      <c r="AH424" s="3361"/>
      <c r="AI424" s="2407"/>
    </row>
    <row r="425" ht="16.5" customHeight="1">
      <c r="A425" s="2811"/>
      <c r="B425" s="3358"/>
      <c r="C425" s="3349"/>
      <c r="D425" s="3359"/>
      <c r="E425" s="3047" t="s">
        <v>514</v>
      </c>
      <c r="F425" s="3048">
        <f t="array" ref="F425">IFERROR(VLOOKUP(E411,Dex!$B$3:$N454,9,FALSE),"")</f>
        <v>92</v>
      </c>
      <c r="G425" s="3049" t="str">
        <f t="array" ref="G425">IFERROR(VLOOKUP(F425,Dex!$P$22:$Q$276,2,FALSE),"")</f>
        <v/>
      </c>
      <c r="H425" s="3050"/>
      <c r="I425" s="3360"/>
      <c r="J425" s="3047" t="s">
        <v>514</v>
      </c>
      <c r="K425" s="3048">
        <f t="array" ref="K425">IFERROR(VLOOKUP(J411,Dex!$B$3:$N454,9,FALSE),"")</f>
        <v>69</v>
      </c>
      <c r="L425" s="3049" t="str">
        <f t="array" ref="L425">IFERROR(VLOOKUP(K425,Dex!$P$22:$Q$276,2,FALSE),"")</f>
        <v/>
      </c>
      <c r="M425" s="3050"/>
      <c r="N425" s="3360"/>
      <c r="O425" s="3047" t="s">
        <v>514</v>
      </c>
      <c r="P425" s="3048">
        <f t="array" ref="P425">IFERROR(VLOOKUP(O411,Dex!$B$3:$N454,9,FALSE),"")</f>
        <v>100</v>
      </c>
      <c r="Q425" s="3049" t="str">
        <f t="array" ref="Q425">IFERROR(VLOOKUP(P425,Dex!$P$22:$Q$276,2,FALSE),"")</f>
        <v/>
      </c>
      <c r="R425" s="3050"/>
      <c r="S425" s="3360"/>
      <c r="T425" s="3047" t="s">
        <v>514</v>
      </c>
      <c r="U425" s="3048">
        <f t="array" ref="U425">IFERROR(VLOOKUP(T411,Dex!$B$3:$N454,9,FALSE),"")</f>
        <v>85</v>
      </c>
      <c r="V425" s="3049" t="str">
        <f t="array" ref="V425">IFERROR(VLOOKUP(U425,Dex!$P$22:$Q$276,2,FALSE),"")</f>
        <v/>
      </c>
      <c r="W425" s="3050"/>
      <c r="X425" s="3360"/>
      <c r="Y425" s="3047" t="s">
        <v>514</v>
      </c>
      <c r="Z425" s="3048">
        <f t="array" ref="Z425">IFERROR(VLOOKUP(Y411,Dex!$B$3:$N454,9,FALSE),"")</f>
        <v>120</v>
      </c>
      <c r="AA425" s="3049" t="str">
        <f t="array" ref="AA425">IFERROR(VLOOKUP(Z425,Dex!$P$22:$Q$276,2,FALSE),"")</f>
        <v/>
      </c>
      <c r="AB425" s="3050"/>
      <c r="AC425" s="3360"/>
      <c r="AD425" s="3047" t="s">
        <v>514</v>
      </c>
      <c r="AE425" s="3048">
        <f t="array" ref="AE425">IFERROR(VLOOKUP(AD411,Dex!$B$3:$N454,9,FALSE),"")</f>
        <v>150</v>
      </c>
      <c r="AF425" s="3049" t="str">
        <f t="array" ref="AF425">IFERROR(VLOOKUP(AE425,Dex!$P$22:$Q$276,2,FALSE),"")</f>
        <v/>
      </c>
      <c r="AG425" s="3050"/>
      <c r="AH425" s="3361"/>
      <c r="AI425" s="2407"/>
    </row>
    <row r="426" ht="16.5" customHeight="1">
      <c r="A426" s="2811"/>
      <c r="B426" s="3358"/>
      <c r="C426" s="3349"/>
      <c r="D426" s="3359"/>
      <c r="E426" s="3047" t="s">
        <v>515</v>
      </c>
      <c r="F426" s="3048">
        <f t="array" ref="F426">IFERROR(VLOOKUP(E411,Dex!$B$3:$N454,10,FALSE),"")</f>
        <v>108</v>
      </c>
      <c r="G426" s="3049" t="str">
        <f t="array" ref="G426">IFERROR(VLOOKUP(F426,Dex!$P$22:$Q$276,2,FALSE),"")</f>
        <v/>
      </c>
      <c r="H426" s="3050"/>
      <c r="I426" s="3360"/>
      <c r="J426" s="3047" t="s">
        <v>515</v>
      </c>
      <c r="K426" s="3048">
        <f t="array" ref="K426">IFERROR(VLOOKUP(J411,Dex!$B$3:$N454,10,FALSE),"")</f>
        <v>72</v>
      </c>
      <c r="L426" s="3049" t="str">
        <f t="array" ref="L426">IFERROR(VLOOKUP(K426,Dex!$P$22:$Q$276,2,FALSE),"")</f>
        <v/>
      </c>
      <c r="M426" s="3050"/>
      <c r="N426" s="3360"/>
      <c r="O426" s="3047" t="s">
        <v>515</v>
      </c>
      <c r="P426" s="3048">
        <f t="array" ref="P426">IFERROR(VLOOKUP(O411,Dex!$B$3:$N454,10,FALSE),"")</f>
        <v>100</v>
      </c>
      <c r="Q426" s="3049" t="str">
        <f t="array" ref="Q426">IFERROR(VLOOKUP(P426,Dex!$P$22:$Q$276,2,FALSE),"")</f>
        <v/>
      </c>
      <c r="R426" s="3050"/>
      <c r="S426" s="3360"/>
      <c r="T426" s="3047" t="s">
        <v>515</v>
      </c>
      <c r="U426" s="3048">
        <f t="array" ref="U426">IFERROR(VLOOKUP(T411,Dex!$B$3:$N454,10,FALSE),"")</f>
        <v>90</v>
      </c>
      <c r="V426" s="3049" t="str">
        <f t="array" ref="V426">IFERROR(VLOOKUP(U426,Dex!$P$22:$Q$276,2,FALSE),"")</f>
        <v/>
      </c>
      <c r="W426" s="3050"/>
      <c r="X426" s="3360"/>
      <c r="Y426" s="3047" t="s">
        <v>515</v>
      </c>
      <c r="Z426" s="3048">
        <f t="array" ref="Z426">IFERROR(VLOOKUP(Y411,Dex!$B$3:$N454,10,FALSE),"")</f>
        <v>95</v>
      </c>
      <c r="AA426" s="3049" t="str">
        <f t="array" ref="AA426">IFERROR(VLOOKUP(Z426,Dex!$P$22:$Q$276,2,FALSE),"")</f>
        <v/>
      </c>
      <c r="AB426" s="3050"/>
      <c r="AC426" s="3360"/>
      <c r="AD426" s="3047" t="s">
        <v>515</v>
      </c>
      <c r="AE426" s="3048">
        <f t="array" ref="AE426">IFERROR(VLOOKUP(AD411,Dex!$B$3:$N454,10,FALSE),"")</f>
        <v>70</v>
      </c>
      <c r="AF426" s="3049" t="str">
        <f t="array" ref="AF426">IFERROR(VLOOKUP(AE426,Dex!$P$22:$Q$276,2,FALSE),"")</f>
        <v/>
      </c>
      <c r="AG426" s="3050"/>
      <c r="AH426" s="3361"/>
      <c r="AI426" s="2407"/>
    </row>
    <row r="427" ht="16.5" customHeight="1">
      <c r="A427" s="2811"/>
      <c r="B427" s="3358"/>
      <c r="C427" s="3349"/>
      <c r="D427" s="3359"/>
      <c r="E427" s="3047" t="s">
        <v>516</v>
      </c>
      <c r="F427" s="3048">
        <f t="array" ref="F427">IFERROR(VLOOKUP(E411,Dex!$B$3:$N454,11,FALSE),"")</f>
        <v>92</v>
      </c>
      <c r="G427" s="3049" t="str">
        <f t="array" ref="G427">IFERROR(VLOOKUP(F427,Dex!$P$22:$Q$276,2,FALSE),"")</f>
        <v/>
      </c>
      <c r="H427" s="3050"/>
      <c r="I427" s="3360"/>
      <c r="J427" s="3047" t="s">
        <v>516</v>
      </c>
      <c r="K427" s="3048">
        <f t="array" ref="K427">IFERROR(VLOOKUP(J411,Dex!$B$3:$N454,11,FALSE),"")</f>
        <v>114</v>
      </c>
      <c r="L427" s="3049" t="str">
        <f t="array" ref="L427">IFERROR(VLOOKUP(K427,Dex!$P$22:$Q$276,2,FALSE),"")</f>
        <v/>
      </c>
      <c r="M427" s="3050"/>
      <c r="N427" s="3360"/>
      <c r="O427" s="3047" t="s">
        <v>516</v>
      </c>
      <c r="P427" s="3048">
        <f t="array" ref="P427">IFERROR(VLOOKUP(O411,Dex!$B$3:$N454,11,FALSE),"")</f>
        <v>100</v>
      </c>
      <c r="Q427" s="3049" t="str">
        <f t="array" ref="Q427">IFERROR(VLOOKUP(P427,Dex!$P$22:$Q$276,2,FALSE),"")</f>
        <v/>
      </c>
      <c r="R427" s="3050"/>
      <c r="S427" s="3360"/>
      <c r="T427" s="3047" t="s">
        <v>516</v>
      </c>
      <c r="U427" s="3048">
        <f t="array" ref="U427">IFERROR(VLOOKUP(T411,Dex!$B$3:$N454,11,FALSE),"")</f>
        <v>100</v>
      </c>
      <c r="V427" s="3049" t="str">
        <f t="array" ref="V427">IFERROR(VLOOKUP(U427,Dex!$P$22:$Q$276,2,FALSE),"")</f>
        <v/>
      </c>
      <c r="W427" s="3050"/>
      <c r="X427" s="3360"/>
      <c r="Y427" s="3047" t="s">
        <v>516</v>
      </c>
      <c r="Z427" s="3048">
        <f t="array" ref="Z427">IFERROR(VLOOKUP(Y411,Dex!$B$3:$N454,11,FALSE),"")</f>
        <v>120</v>
      </c>
      <c r="AA427" s="3049" t="str">
        <f t="array" ref="AA427">IFERROR(VLOOKUP(Z427,Dex!$P$22:$Q$276,2,FALSE),"")</f>
        <v/>
      </c>
      <c r="AB427" s="3050"/>
      <c r="AC427" s="3360"/>
      <c r="AD427" s="3047" t="s">
        <v>516</v>
      </c>
      <c r="AE427" s="3048">
        <f t="array" ref="AE427">IFERROR(VLOOKUP(AD411,Dex!$B$3:$N454,11,FALSE),"")</f>
        <v>194</v>
      </c>
      <c r="AF427" s="3049" t="str">
        <f t="array" ref="AF427">IFERROR(VLOOKUP(AE427,Dex!$P$22:$Q$276,2,FALSE),"")</f>
        <v/>
      </c>
      <c r="AG427" s="3050"/>
      <c r="AH427" s="3361"/>
      <c r="AI427" s="2407"/>
    </row>
    <row r="428" ht="16.5" customHeight="1">
      <c r="A428" s="2811"/>
      <c r="B428" s="3358"/>
      <c r="C428" s="3349"/>
      <c r="D428" s="3359"/>
      <c r="E428" s="3047" t="s">
        <v>517</v>
      </c>
      <c r="F428" s="3048">
        <f t="array" ref="F428">IFERROR(VLOOKUP(E411,Dex!$B$3:$N454,12,FALSE),"")</f>
        <v>108</v>
      </c>
      <c r="G428" s="3049" t="str">
        <f t="array" ref="G428">IFERROR(VLOOKUP(F428,Dex!$P$22:$Q$276,2,FALSE),"")</f>
        <v/>
      </c>
      <c r="H428" s="3050"/>
      <c r="I428" s="3360"/>
      <c r="J428" s="3047" t="s">
        <v>517</v>
      </c>
      <c r="K428" s="3048">
        <f t="array" ref="K428">IFERROR(VLOOKUP(J411,Dex!$B$3:$N454,12,FALSE),"")</f>
        <v>100</v>
      </c>
      <c r="L428" s="3049" t="str">
        <f t="array" ref="L428">IFERROR(VLOOKUP(K428,Dex!$P$22:$Q$276,2,FALSE),"")</f>
        <v/>
      </c>
      <c r="M428" s="3050"/>
      <c r="N428" s="3360"/>
      <c r="O428" s="3047" t="s">
        <v>517</v>
      </c>
      <c r="P428" s="3048">
        <f t="array" ref="P428">IFERROR(VLOOKUP(O411,Dex!$B$3:$N454,12,FALSE),"")</f>
        <v>100</v>
      </c>
      <c r="Q428" s="3049" t="str">
        <f t="array" ref="Q428">IFERROR(VLOOKUP(P428,Dex!$P$22:$Q$276,2,FALSE),"")</f>
        <v/>
      </c>
      <c r="R428" s="3050"/>
      <c r="S428" s="3360"/>
      <c r="T428" s="3047" t="s">
        <v>517</v>
      </c>
      <c r="U428" s="3048">
        <f t="array" ref="U428">IFERROR(VLOOKUP(T411,Dex!$B$3:$N454,12,FALSE),"")</f>
        <v>125</v>
      </c>
      <c r="V428" s="3049" t="str">
        <f t="array" ref="V428">IFERROR(VLOOKUP(U428,Dex!$P$22:$Q$276,2,FALSE),"")</f>
        <v/>
      </c>
      <c r="W428" s="3050"/>
      <c r="X428" s="3360"/>
      <c r="Y428" s="3047" t="s">
        <v>517</v>
      </c>
      <c r="Z428" s="3048">
        <f t="array" ref="Z428">IFERROR(VLOOKUP(Y411,Dex!$B$3:$N454,12,FALSE),"")</f>
        <v>95</v>
      </c>
      <c r="AA428" s="3049" t="str">
        <f t="array" ref="AA428">IFERROR(VLOOKUP(Z428,Dex!$P$22:$Q$276,2,FALSE),"")</f>
        <v/>
      </c>
      <c r="AB428" s="3050"/>
      <c r="AC428" s="3360"/>
      <c r="AD428" s="3047" t="s">
        <v>517</v>
      </c>
      <c r="AE428" s="3048">
        <f t="array" ref="AE428">IFERROR(VLOOKUP(AD411,Dex!$B$3:$N454,12,FALSE),"")</f>
        <v>120</v>
      </c>
      <c r="AF428" s="3049" t="str">
        <f t="array" ref="AF428">IFERROR(VLOOKUP(AE428,Dex!$P$22:$Q$276,2,FALSE),"")</f>
        <v/>
      </c>
      <c r="AG428" s="3050"/>
      <c r="AH428" s="3361"/>
      <c r="AI428" s="2407"/>
    </row>
    <row r="429" ht="15.75" customHeight="1">
      <c r="A429" s="2811"/>
      <c r="B429" s="3358"/>
      <c r="C429" s="3349"/>
      <c r="D429" s="3359"/>
      <c r="E429" s="3051" t="s">
        <v>518</v>
      </c>
      <c r="F429" s="3052">
        <f t="array" ref="F429">IFERROR(VLOOKUP(E411,Dex!$B$3:$N454,13,FALSE),"")</f>
        <v>35</v>
      </c>
      <c r="G429" s="3053" t="str">
        <f t="array" ref="G429">IFERROR(VLOOKUP(F429,Dex!$P$22:$Q$276,2,FALSE),"")</f>
        <v/>
      </c>
      <c r="H429" s="3054"/>
      <c r="I429" s="3360"/>
      <c r="J429" s="3051" t="s">
        <v>518</v>
      </c>
      <c r="K429" s="3052">
        <f t="array" ref="K429">IFERROR(VLOOKUP(J411,Dex!$B$3:$N454,13,FALSE),"")</f>
        <v>104</v>
      </c>
      <c r="L429" s="3053" t="str">
        <f t="array" ref="L429">IFERROR(VLOOKUP(K429,Dex!$P$22:$Q$276,2,FALSE),"")</f>
        <v/>
      </c>
      <c r="M429" s="3054"/>
      <c r="N429" s="3360"/>
      <c r="O429" s="3051" t="s">
        <v>518</v>
      </c>
      <c r="P429" s="3052">
        <f t="array" ref="P429">IFERROR(VLOOKUP(O411,Dex!$B$3:$N454,13,FALSE),"")</f>
        <v>100</v>
      </c>
      <c r="Q429" s="3053" t="str">
        <f t="array" ref="Q429">IFERROR(VLOOKUP(P429,Dex!$P$22:$Q$276,2,FALSE),"")</f>
        <v/>
      </c>
      <c r="R429" s="3054"/>
      <c r="S429" s="3360"/>
      <c r="T429" s="3051" t="s">
        <v>518</v>
      </c>
      <c r="U429" s="3052">
        <f t="array" ref="U429">IFERROR(VLOOKUP(T411,Dex!$B$3:$N454,13,FALSE),"")</f>
        <v>90</v>
      </c>
      <c r="V429" s="3053" t="str">
        <f t="array" ref="V429">IFERROR(VLOOKUP(U429,Dex!$P$22:$Q$276,2,FALSE),"")</f>
        <v/>
      </c>
      <c r="W429" s="3054"/>
      <c r="X429" s="3360"/>
      <c r="Y429" s="3051" t="s">
        <v>518</v>
      </c>
      <c r="Z429" s="3052">
        <f t="array" ref="Z429">IFERROR(VLOOKUP(Y411,Dex!$B$3:$N454,13,FALSE),"")</f>
        <v>99</v>
      </c>
      <c r="AA429" s="3053" t="str">
        <f t="array" ref="AA429">IFERROR(VLOOKUP(Z429,Dex!$P$22:$Q$276,2,FALSE),"")</f>
        <v/>
      </c>
      <c r="AB429" s="3054"/>
      <c r="AC429" s="3360"/>
      <c r="AD429" s="3051" t="s">
        <v>518</v>
      </c>
      <c r="AE429" s="3052">
        <f t="array" ref="AE429">IFERROR(VLOOKUP(AD411,Dex!$B$3:$N454,13,FALSE),"")</f>
        <v>140</v>
      </c>
      <c r="AF429" s="3053" t="str">
        <f t="array" ref="AF429">IFERROR(VLOOKUP(AE429,Dex!$P$22:$Q$276,2,FALSE),"")</f>
        <v/>
      </c>
      <c r="AG429" s="3054"/>
      <c r="AH429" s="3361"/>
      <c r="AI429" s="2407"/>
    </row>
    <row r="430" ht="16.5" customHeight="1">
      <c r="A430" s="2811"/>
      <c r="B430" s="3358"/>
      <c r="C430" s="3349"/>
      <c r="D430" s="3359"/>
      <c r="E430" s="3055" t="s">
        <v>519</v>
      </c>
      <c r="F430" s="630"/>
      <c r="G430" s="631"/>
      <c r="H430" s="632">
        <f>ROUNDDOWN((ROUNDDOWN(((((2*F429+31)*80)/100+5)),0))*0.9,0)</f>
        <v>76</v>
      </c>
      <c r="I430" s="3360"/>
      <c r="J430" s="3055" t="s">
        <v>519</v>
      </c>
      <c r="K430" s="630"/>
      <c r="L430" s="631"/>
      <c r="M430" s="632">
        <f>ROUNDDOWN((ROUNDDOWN(((((2*K429+31)*80)/100+5)),0))*1.1,0)</f>
        <v>215</v>
      </c>
      <c r="N430" s="3360"/>
      <c r="O430" s="3055" t="s">
        <v>519</v>
      </c>
      <c r="P430" s="630"/>
      <c r="Q430" s="631"/>
      <c r="R430" s="632">
        <f>ROUNDDOWN((ROUNDDOWN(((((2*P429+31)*80)/100+5)),0))*1.1,0)</f>
        <v>207</v>
      </c>
      <c r="S430" s="3360"/>
      <c r="T430" s="3055" t="s">
        <v>519</v>
      </c>
      <c r="U430" s="630"/>
      <c r="V430" s="631"/>
      <c r="W430" s="632">
        <f>ROUNDDOWN((ROUNDDOWN(((((2*U429+31)*80)/100+5)),0))*1.1,0)</f>
        <v>190</v>
      </c>
      <c r="X430" s="3360"/>
      <c r="Y430" s="3055" t="s">
        <v>519</v>
      </c>
      <c r="Z430" s="630"/>
      <c r="AA430" s="631"/>
      <c r="AB430" s="632">
        <f>ROUNDDOWN((ROUNDDOWN(((((2*Z429+31)*80)/100+5)),0))*1.1,0)</f>
        <v>206</v>
      </c>
      <c r="AC430" s="3360"/>
      <c r="AD430" s="3055" t="s">
        <v>519</v>
      </c>
      <c r="AE430" s="630"/>
      <c r="AF430" s="631"/>
      <c r="AG430" s="632">
        <f>ROUNDDOWN((ROUNDDOWN(((((2*AE429+31)*80)/100+5)),0))*1.1,0)</f>
        <v>278</v>
      </c>
      <c r="AH430" s="3361"/>
      <c r="AI430" s="2407"/>
    </row>
    <row r="431" ht="3.75" customHeight="1">
      <c r="A431" s="2811"/>
      <c r="B431" s="3321"/>
      <c r="C431" s="3362"/>
      <c r="D431" s="3363"/>
      <c r="E431" s="3364"/>
      <c r="F431" s="3364"/>
      <c r="G431" s="3364"/>
      <c r="H431" s="3364"/>
      <c r="I431" s="3365"/>
      <c r="J431" s="3364"/>
      <c r="K431" s="3364"/>
      <c r="L431" s="3364"/>
      <c r="M431" s="3364"/>
      <c r="N431" s="3365"/>
      <c r="O431" s="3364"/>
      <c r="P431" s="3364"/>
      <c r="Q431" s="3364"/>
      <c r="R431" s="3364"/>
      <c r="S431" s="3365"/>
      <c r="T431" s="3366"/>
      <c r="U431" s="3366"/>
      <c r="V431" s="3366"/>
      <c r="W431" s="3366"/>
      <c r="X431" s="3365"/>
      <c r="Y431" s="3366"/>
      <c r="Z431" s="3366"/>
      <c r="AA431" s="3366"/>
      <c r="AB431" s="3366"/>
      <c r="AC431" s="3365"/>
      <c r="AD431" s="3366"/>
      <c r="AE431" s="3366"/>
      <c r="AF431" s="3366"/>
      <c r="AG431" s="3366"/>
      <c r="AH431" s="3327"/>
      <c r="AI431" s="2407"/>
    </row>
    <row r="432" ht="96.75" customHeight="1">
      <c r="A432" s="2329"/>
      <c r="B432" s="3367"/>
      <c r="C432" s="3368" t="str">
        <f>IMAGE("https://i.ibb.co/q7H43Kp/Lance.png")</f>
        <v/>
      </c>
      <c r="D432" s="3329"/>
      <c r="E432" s="3369" t="str">
        <f t="array" ref="E432">IFERROR(VLOOKUP(E433,Dex!$B$3:$G454,3,FALSE),"")</f>
        <v/>
      </c>
      <c r="F432" s="1945"/>
      <c r="G432" s="1945"/>
      <c r="H432" s="1946"/>
      <c r="I432" s="3370"/>
      <c r="J432" s="3369" t="str">
        <f t="array" ref="J432">IFERROR(VLOOKUP(J433,Dex!$B$3:$G454,3,FALSE),"")</f>
        <v/>
      </c>
      <c r="K432" s="1945"/>
      <c r="L432" s="1945"/>
      <c r="M432" s="1946"/>
      <c r="N432" s="3370"/>
      <c r="O432" s="3369" t="str">
        <f t="array" ref="O432">IFERROR(VLOOKUP(O433,Dex!$B$3:$G454,3,FALSE),"")</f>
        <v/>
      </c>
      <c r="P432" s="1945"/>
      <c r="Q432" s="1945"/>
      <c r="R432" s="1946"/>
      <c r="S432" s="3371"/>
      <c r="T432" s="3340"/>
      <c r="U432" s="3372"/>
      <c r="V432" s="3372"/>
      <c r="W432" s="3373"/>
      <c r="X432" s="3374"/>
      <c r="Y432" s="3340"/>
      <c r="Z432" s="3372"/>
      <c r="AA432" s="3372"/>
      <c r="AB432" s="3373"/>
      <c r="AC432" s="3374"/>
      <c r="AD432" s="3340"/>
      <c r="AE432" s="3372"/>
      <c r="AF432" s="3372"/>
      <c r="AG432" s="3373"/>
      <c r="AH432" s="3327"/>
      <c r="AI432" s="2737"/>
    </row>
    <row r="433" ht="18.75" customHeight="1">
      <c r="A433" s="2354"/>
      <c r="B433" s="3375"/>
      <c r="C433" s="3376" t="s">
        <v>1341</v>
      </c>
      <c r="D433" s="3333"/>
      <c r="E433" s="3377" t="s">
        <v>1342</v>
      </c>
      <c r="F433" s="3378"/>
      <c r="G433" s="3378"/>
      <c r="H433" s="3379"/>
      <c r="J433" s="3377" t="s">
        <v>1343</v>
      </c>
      <c r="K433" s="3378"/>
      <c r="L433" s="3378"/>
      <c r="M433" s="3379"/>
      <c r="O433" s="3377" t="s">
        <v>1344</v>
      </c>
      <c r="P433" s="3378"/>
      <c r="Q433" s="3378"/>
      <c r="R433" s="3379"/>
      <c r="S433" s="3380"/>
      <c r="T433" s="3341"/>
      <c r="U433" s="3372"/>
      <c r="V433" s="3372"/>
      <c r="W433" s="3373"/>
      <c r="X433" s="3342"/>
      <c r="Y433" s="3341"/>
      <c r="Z433" s="3372"/>
      <c r="AA433" s="3372"/>
      <c r="AB433" s="3373"/>
      <c r="AC433" s="3342"/>
      <c r="AD433" s="3341"/>
      <c r="AE433" s="3372"/>
      <c r="AF433" s="3372"/>
      <c r="AG433" s="3373"/>
      <c r="AH433" s="3381"/>
      <c r="AI433" s="2757"/>
    </row>
    <row r="434">
      <c r="A434" s="2983"/>
      <c r="B434" s="3382"/>
      <c r="C434" s="556"/>
      <c r="D434" s="3336"/>
      <c r="E434" s="3383">
        <v>83.0</v>
      </c>
      <c r="F434" s="3384"/>
      <c r="G434" s="3384"/>
      <c r="H434" s="3385"/>
      <c r="J434" s="3383">
        <v>83.0</v>
      </c>
      <c r="K434" s="3384"/>
      <c r="L434" s="3384"/>
      <c r="M434" s="3385"/>
      <c r="O434" s="3383">
        <v>82.0</v>
      </c>
      <c r="P434" s="3384"/>
      <c r="Q434" s="3384"/>
      <c r="R434" s="3385"/>
      <c r="S434" s="3380"/>
      <c r="T434" s="3386"/>
      <c r="U434" s="3372"/>
      <c r="V434" s="3372"/>
      <c r="W434" s="3373"/>
      <c r="X434" s="3342"/>
      <c r="Y434" s="3386"/>
      <c r="Z434" s="3372"/>
      <c r="AA434" s="3372"/>
      <c r="AB434" s="3373"/>
      <c r="AC434" s="3342"/>
      <c r="AD434" s="3386"/>
      <c r="AE434" s="3372"/>
      <c r="AF434" s="3372"/>
      <c r="AG434" s="3373"/>
      <c r="AH434" s="3387"/>
      <c r="AI434" s="2991"/>
    </row>
    <row r="435" ht="25.5" customHeight="1">
      <c r="A435" s="2329"/>
      <c r="B435" s="3321"/>
      <c r="C435" s="3339"/>
      <c r="D435" s="3340"/>
      <c r="E435" s="3388"/>
      <c r="F435" s="3389" t="str">
        <f t="array" ref="F435">IFERROR(VLOOKUP(E433,Dex!$B$3:$H454,5,FALSE),"")</f>
        <v/>
      </c>
      <c r="G435" s="3390" t="str">
        <f t="array" ref="G435">IFERROR(VLOOKUP(E433,Dex!$B$3:$H454,7,FALSE),"")</f>
        <v/>
      </c>
      <c r="H435" s="3391"/>
      <c r="J435" s="3388"/>
      <c r="K435" s="3389" t="str">
        <f t="array" ref="K435">IFERROR(VLOOKUP(J433,Dex!$B$3:$H454,5,FALSE),"")</f>
        <v/>
      </c>
      <c r="L435" s="3390" t="str">
        <f t="array" ref="L435">IFERROR(VLOOKUP(J433,Dex!$B$3:$H454,7,FALSE),"")</f>
        <v/>
      </c>
      <c r="M435" s="3391"/>
      <c r="O435" s="3388"/>
      <c r="P435" s="3389" t="str">
        <f t="array" ref="P435">IFERROR(VLOOKUP(O433,Dex!$B$3:$H454,5,FALSE),"")</f>
        <v/>
      </c>
      <c r="Q435" s="3390" t="str">
        <f t="array" ref="Q435">IFERROR(VLOOKUP(O433,Dex!$B$3:$H454,7,FALSE),"")</f>
        <v/>
      </c>
      <c r="R435" s="3391"/>
      <c r="S435" s="3380"/>
      <c r="T435" s="3340"/>
      <c r="U435" s="3372"/>
      <c r="V435" s="3372"/>
      <c r="W435" s="3373"/>
      <c r="X435" s="3342"/>
      <c r="Y435" s="3340"/>
      <c r="Z435" s="3372"/>
      <c r="AA435" s="3372"/>
      <c r="AB435" s="3373"/>
      <c r="AC435" s="3342"/>
      <c r="AD435" s="3340"/>
      <c r="AE435" s="3372"/>
      <c r="AF435" s="3372"/>
      <c r="AG435" s="3373"/>
      <c r="AH435" s="3327"/>
      <c r="AI435" s="2737"/>
    </row>
    <row r="436" ht="2.25" customHeight="1">
      <c r="A436" s="2329"/>
      <c r="B436" s="3321"/>
      <c r="C436" s="3342"/>
      <c r="D436" s="3340"/>
      <c r="E436" s="3392"/>
      <c r="F436" s="3393"/>
      <c r="G436" s="3393"/>
      <c r="H436" s="3394"/>
      <c r="J436" s="3392"/>
      <c r="K436" s="3393"/>
      <c r="L436" s="3393"/>
      <c r="M436" s="3394"/>
      <c r="O436" s="3392"/>
      <c r="P436" s="3393"/>
      <c r="Q436" s="3393"/>
      <c r="R436" s="3394"/>
      <c r="S436" s="3380"/>
      <c r="T436" s="3323"/>
      <c r="U436" s="3323"/>
      <c r="V436" s="3323"/>
      <c r="W436" s="3323"/>
      <c r="X436" s="3342"/>
      <c r="Y436" s="3323"/>
      <c r="Z436" s="3323"/>
      <c r="AA436" s="3323"/>
      <c r="AB436" s="3323"/>
      <c r="AC436" s="3342"/>
      <c r="AD436" s="3323"/>
      <c r="AE436" s="3323"/>
      <c r="AF436" s="3323"/>
      <c r="AG436" s="3323"/>
      <c r="AH436" s="3327"/>
      <c r="AI436" s="2737"/>
    </row>
    <row r="437" ht="20.25" customHeight="1">
      <c r="A437" s="2329"/>
      <c r="B437" s="3321"/>
      <c r="C437" s="3343"/>
      <c r="D437" s="3340"/>
      <c r="E437" s="3395" t="s">
        <v>1332</v>
      </c>
      <c r="F437" s="3396"/>
      <c r="G437" s="3396"/>
      <c r="H437" s="3397"/>
      <c r="J437" s="3395" t="s">
        <v>531</v>
      </c>
      <c r="K437" s="3396"/>
      <c r="L437" s="3396"/>
      <c r="M437" s="3397"/>
      <c r="O437" s="3395" t="s">
        <v>565</v>
      </c>
      <c r="P437" s="3396"/>
      <c r="Q437" s="3396"/>
      <c r="R437" s="3397"/>
      <c r="S437" s="3380"/>
      <c r="T437" s="3340"/>
      <c r="U437" s="3372"/>
      <c r="V437" s="3372"/>
      <c r="W437" s="3373"/>
      <c r="X437" s="3342"/>
      <c r="Y437" s="3340"/>
      <c r="Z437" s="3372"/>
      <c r="AA437" s="3372"/>
      <c r="AB437" s="3373"/>
      <c r="AC437" s="3342"/>
      <c r="AD437" s="3340"/>
      <c r="AE437" s="3372"/>
      <c r="AF437" s="3372"/>
      <c r="AG437" s="3373"/>
      <c r="AH437" s="3327"/>
      <c r="AI437" s="2737"/>
    </row>
    <row r="438">
      <c r="A438" s="2329"/>
      <c r="B438" s="3321"/>
      <c r="C438" s="3345"/>
      <c r="D438" s="3340"/>
      <c r="E438" s="3398" t="s">
        <v>92</v>
      </c>
      <c r="F438" s="3399"/>
      <c r="G438" s="3399"/>
      <c r="H438" s="3400"/>
      <c r="J438" s="3398" t="s">
        <v>101</v>
      </c>
      <c r="K438" s="3399"/>
      <c r="L438" s="3399"/>
      <c r="M438" s="3400"/>
      <c r="O438" s="3398" t="s">
        <v>1345</v>
      </c>
      <c r="P438" s="3399"/>
      <c r="Q438" s="3399"/>
      <c r="R438" s="3400"/>
      <c r="S438" s="3380"/>
      <c r="T438" s="3340"/>
      <c r="U438" s="3372"/>
      <c r="V438" s="3372"/>
      <c r="W438" s="3373"/>
      <c r="X438" s="3342"/>
      <c r="Y438" s="3340"/>
      <c r="Z438" s="3372"/>
      <c r="AA438" s="3372"/>
      <c r="AB438" s="3373"/>
      <c r="AC438" s="3342"/>
      <c r="AD438" s="3340"/>
      <c r="AE438" s="3372"/>
      <c r="AF438" s="3372"/>
      <c r="AG438" s="3373"/>
      <c r="AH438" s="3327"/>
      <c r="AI438" s="2737"/>
    </row>
    <row r="439" ht="20.25" customHeight="1">
      <c r="A439" s="2329"/>
      <c r="B439" s="3321"/>
      <c r="C439" s="3342"/>
      <c r="D439" s="3340"/>
      <c r="E439" s="3401" t="s">
        <v>872</v>
      </c>
      <c r="F439" s="3402"/>
      <c r="G439" s="3403"/>
      <c r="H439" s="3404" t="str">
        <f>IMAGE("https://raw.githubusercontent.com/msikma/pokesprite/master/items/hold-item/spell-tag.png",3)</f>
        <v/>
      </c>
      <c r="J439" s="3401" t="s">
        <v>713</v>
      </c>
      <c r="K439" s="3402"/>
      <c r="L439" s="3403"/>
      <c r="M439" s="3404" t="str">
        <f>IMAGE("https://raw.githubusercontent.com/msikma/pokesprite/master/items/hold-item/assault-vest.png",3)</f>
        <v/>
      </c>
      <c r="O439" s="3401" t="s">
        <v>1346</v>
      </c>
      <c r="P439" s="3402"/>
      <c r="Q439" s="3403"/>
      <c r="R439" s="3404" t="str">
        <f>IMAGE("https://raw.githubusercontent.com/msikma/pokesprite/master/items/mega-stone/salamencite.png",3)</f>
        <v/>
      </c>
      <c r="S439" s="3380"/>
      <c r="T439" s="3340"/>
      <c r="U439" s="3372"/>
      <c r="V439" s="3372"/>
      <c r="W439" s="3373"/>
      <c r="X439" s="3342"/>
      <c r="Y439" s="3340"/>
      <c r="Z439" s="3372"/>
      <c r="AA439" s="3372"/>
      <c r="AB439" s="3373"/>
      <c r="AC439" s="3342"/>
      <c r="AD439" s="3340"/>
      <c r="AE439" s="3372"/>
      <c r="AF439" s="3372"/>
      <c r="AG439" s="3373"/>
      <c r="AH439" s="3327"/>
      <c r="AI439" s="2737"/>
    </row>
    <row r="440" ht="20.25" customHeight="1">
      <c r="A440" s="2329"/>
      <c r="B440" s="3321"/>
      <c r="C440" s="3343"/>
      <c r="D440" s="3340"/>
      <c r="E440" s="3395" t="s">
        <v>1347</v>
      </c>
      <c r="F440" s="3396"/>
      <c r="G440" s="3405"/>
      <c r="H440" s="3406" t="str">
        <f>IMAGE("https://raw.githubusercontent.com/msikma/pokesprite/master/misc/types/gen8/ghost.png",4,20,20)</f>
        <v/>
      </c>
      <c r="J440" s="3395" t="s">
        <v>720</v>
      </c>
      <c r="K440" s="3396"/>
      <c r="L440" s="3405"/>
      <c r="M440" s="3406" t="str">
        <f>IMAGE("https://raw.githubusercontent.com/msikma/pokesprite/master/misc/types/gen8/fighting.png",4,20,20)</f>
        <v/>
      </c>
      <c r="O440" s="3395" t="s">
        <v>928</v>
      </c>
      <c r="P440" s="3396"/>
      <c r="Q440" s="3405"/>
      <c r="R440" s="3406" t="str">
        <f>IMAGE("https://raw.githubusercontent.com/msikma/pokesprite/master/misc/types/gen8/flying.png",4,20,20)</f>
        <v/>
      </c>
      <c r="S440" s="3380"/>
      <c r="T440" s="3340"/>
      <c r="U440" s="3372"/>
      <c r="V440" s="3372"/>
      <c r="W440" s="3373"/>
      <c r="X440" s="3342"/>
      <c r="Y440" s="3340"/>
      <c r="Z440" s="3372"/>
      <c r="AA440" s="3372"/>
      <c r="AB440" s="3373"/>
      <c r="AC440" s="3342"/>
      <c r="AD440" s="3340"/>
      <c r="AE440" s="3372"/>
      <c r="AF440" s="3372"/>
      <c r="AG440" s="3373"/>
      <c r="AH440" s="3327"/>
      <c r="AI440" s="2737"/>
    </row>
    <row r="441" ht="20.25" customHeight="1">
      <c r="A441" s="2329"/>
      <c r="B441" s="3321"/>
      <c r="C441" s="3347"/>
      <c r="D441" s="3340"/>
      <c r="E441" s="3398" t="s">
        <v>1348</v>
      </c>
      <c r="F441" s="3399"/>
      <c r="G441" s="3407"/>
      <c r="H441" s="3408" t="str">
        <f>IMAGE("https://raw.githubusercontent.com/msikma/pokesprite/master/misc/types/gen8/dragon.png",4,20,20)</f>
        <v/>
      </c>
      <c r="J441" s="3398" t="s">
        <v>585</v>
      </c>
      <c r="K441" s="3399"/>
      <c r="L441" s="3407"/>
      <c r="M441" s="3408" t="str">
        <f>IMAGE("https://raw.githubusercontent.com/msikma/pokesprite/master/misc/types/gen8/dragon.png",4,20,20)</f>
        <v/>
      </c>
      <c r="O441" s="3398" t="s">
        <v>1349</v>
      </c>
      <c r="P441" s="3399"/>
      <c r="Q441" s="3407"/>
      <c r="R441" s="3408" t="str">
        <f>IMAGE("https://raw.githubusercontent.com/msikma/pokesprite/master/misc/types/gen8/water.png",4,20,20)</f>
        <v/>
      </c>
      <c r="S441" s="3380"/>
      <c r="T441" s="3340"/>
      <c r="U441" s="3372"/>
      <c r="V441" s="3372"/>
      <c r="W441" s="3373"/>
      <c r="X441" s="3342"/>
      <c r="Y441" s="3340"/>
      <c r="Z441" s="3372"/>
      <c r="AA441" s="3372"/>
      <c r="AB441" s="3373"/>
      <c r="AC441" s="3342"/>
      <c r="AD441" s="3340"/>
      <c r="AE441" s="3372"/>
      <c r="AF441" s="3372"/>
      <c r="AG441" s="3373"/>
      <c r="AH441" s="3327"/>
      <c r="AI441" s="2737"/>
    </row>
    <row r="442" ht="20.25" customHeight="1">
      <c r="A442" s="2329"/>
      <c r="B442" s="3321"/>
      <c r="C442" s="3347"/>
      <c r="D442" s="3340"/>
      <c r="E442" s="3398" t="s">
        <v>619</v>
      </c>
      <c r="F442" s="3399"/>
      <c r="G442" s="3407"/>
      <c r="H442" s="3408" t="str">
        <f>IMAGE("https://raw.githubusercontent.com/msikma/pokesprite/master/misc/types/gen8/fire.png",4,20,20)</f>
        <v/>
      </c>
      <c r="J442" s="3398" t="s">
        <v>646</v>
      </c>
      <c r="K442" s="3399"/>
      <c r="L442" s="3407"/>
      <c r="M442" s="3408" t="str">
        <f>IMAGE("https://raw.githubusercontent.com/msikma/pokesprite/master/misc/types/gen8/steel.png",4,20,20)</f>
        <v/>
      </c>
      <c r="O442" s="3398" t="s">
        <v>743</v>
      </c>
      <c r="P442" s="3399"/>
      <c r="Q442" s="3407"/>
      <c r="R442" s="3408" t="str">
        <f>IMAGE("https://raw.githubusercontent.com/msikma/pokesprite/master/misc/types/gen8/flying.png",4,20,20)</f>
        <v/>
      </c>
      <c r="S442" s="3380"/>
      <c r="T442" s="3340"/>
      <c r="U442" s="3372"/>
      <c r="V442" s="3372"/>
      <c r="W442" s="3373"/>
      <c r="X442" s="3342"/>
      <c r="Y442" s="3340"/>
      <c r="Z442" s="3372"/>
      <c r="AA442" s="3372"/>
      <c r="AB442" s="3373"/>
      <c r="AC442" s="3342"/>
      <c r="AD442" s="3340"/>
      <c r="AE442" s="3372"/>
      <c r="AF442" s="3372"/>
      <c r="AG442" s="3373"/>
      <c r="AH442" s="3327"/>
      <c r="AI442" s="2737"/>
    </row>
    <row r="443" ht="21.0" customHeight="1">
      <c r="A443" s="2329"/>
      <c r="B443" s="3321"/>
      <c r="C443" s="3347"/>
      <c r="D443" s="3340"/>
      <c r="E443" s="3409" t="s">
        <v>547</v>
      </c>
      <c r="F443" s="3410"/>
      <c r="G443" s="3411"/>
      <c r="H443" s="3412" t="str">
        <f>IMAGE("https://raw.githubusercontent.com/msikma/pokesprite/master/misc/types/gen8/electric.png",4,20,20)</f>
        <v/>
      </c>
      <c r="I443" s="3413"/>
      <c r="J443" s="3409" t="s">
        <v>1269</v>
      </c>
      <c r="K443" s="3410"/>
      <c r="L443" s="3411"/>
      <c r="M443" s="3412" t="str">
        <f>IMAGE("https://raw.githubusercontent.com/msikma/pokesprite/master/misc/types/gen8/fire.png",4,20,20)</f>
        <v/>
      </c>
      <c r="N443" s="3413"/>
      <c r="O443" s="3409" t="s">
        <v>619</v>
      </c>
      <c r="P443" s="3410"/>
      <c r="Q443" s="3411"/>
      <c r="R443" s="3412" t="str">
        <f>IMAGE("https://raw.githubusercontent.com/msikma/pokesprite/master/misc/types/gen8/fire.png",4,20,20)</f>
        <v/>
      </c>
      <c r="S443" s="3414"/>
      <c r="T443" s="3340"/>
      <c r="U443" s="3372"/>
      <c r="V443" s="3372"/>
      <c r="W443" s="3373"/>
      <c r="X443" s="3343"/>
      <c r="Y443" s="3340"/>
      <c r="Z443" s="3372"/>
      <c r="AA443" s="3372"/>
      <c r="AB443" s="3373"/>
      <c r="AC443" s="3343"/>
      <c r="AD443" s="3340"/>
      <c r="AE443" s="3372"/>
      <c r="AF443" s="3372"/>
      <c r="AG443" s="3373"/>
      <c r="AH443" s="3327"/>
      <c r="AI443" s="2737"/>
    </row>
    <row r="444" ht="3.0" customHeight="1">
      <c r="A444" s="2802"/>
      <c r="B444" s="3348"/>
      <c r="C444" s="3349"/>
      <c r="D444" s="3350"/>
      <c r="E444" s="3351"/>
      <c r="F444" s="3351"/>
      <c r="G444" s="3351"/>
      <c r="H444" s="3351"/>
      <c r="I444" s="3350"/>
      <c r="J444" s="3351"/>
      <c r="K444" s="3351"/>
      <c r="L444" s="3351"/>
      <c r="M444" s="3351"/>
      <c r="N444" s="3350"/>
      <c r="O444" s="3351"/>
      <c r="P444" s="3351"/>
      <c r="Q444" s="3351"/>
      <c r="R444" s="3351"/>
      <c r="S444" s="3350"/>
      <c r="T444" s="3415"/>
      <c r="U444" s="3415"/>
      <c r="V444" s="3415"/>
      <c r="W444" s="3415"/>
      <c r="X444" s="3350"/>
      <c r="Y444" s="3350"/>
      <c r="Z444" s="3416"/>
      <c r="AA444" s="3416"/>
      <c r="AB444" s="3417"/>
      <c r="AC444" s="3350"/>
      <c r="AD444" s="3417"/>
      <c r="AE444" s="3417"/>
      <c r="AF444" s="3417"/>
      <c r="AG444" s="3417"/>
      <c r="AH444" s="3357"/>
      <c r="AI444" s="2810"/>
    </row>
    <row r="445" ht="16.5" customHeight="1">
      <c r="A445" s="2811"/>
      <c r="B445" s="3358"/>
      <c r="C445" s="3349"/>
      <c r="D445" s="3359"/>
      <c r="E445" s="3418" t="s">
        <v>512</v>
      </c>
      <c r="F445" s="606"/>
      <c r="G445" s="606"/>
      <c r="H445" s="607"/>
      <c r="I445" s="3419"/>
      <c r="J445" s="3418" t="s">
        <v>512</v>
      </c>
      <c r="K445" s="606"/>
      <c r="L445" s="606"/>
      <c r="M445" s="607"/>
      <c r="N445" s="3419"/>
      <c r="O445" s="3418" t="s">
        <v>512</v>
      </c>
      <c r="P445" s="606"/>
      <c r="Q445" s="606"/>
      <c r="R445" s="607"/>
      <c r="S445" s="3420"/>
      <c r="T445" s="3421"/>
      <c r="U445" s="3421"/>
      <c r="V445" s="3421"/>
      <c r="W445" s="3421"/>
      <c r="X445" s="3421"/>
      <c r="Y445" s="3421"/>
      <c r="Z445" s="3421"/>
      <c r="AA445" s="3421"/>
      <c r="AB445" s="3421"/>
      <c r="AC445" s="3421"/>
      <c r="AD445" s="3421"/>
      <c r="AE445" s="3421"/>
      <c r="AF445" s="3421"/>
      <c r="AG445" s="3421"/>
      <c r="AH445" s="3422"/>
      <c r="AI445" s="2407"/>
    </row>
    <row r="446" ht="16.5" customHeight="1">
      <c r="A446" s="2811"/>
      <c r="B446" s="3358"/>
      <c r="C446" s="3349"/>
      <c r="D446" s="3359"/>
      <c r="E446" s="3423" t="s">
        <v>513</v>
      </c>
      <c r="F446" s="3424">
        <f t="array" ref="F446">IFERROR(VLOOKUP(E433,Dex!$B$3:$N454,8,FALSE),"")</f>
        <v>88</v>
      </c>
      <c r="G446" s="3425" t="str">
        <f t="array" ref="G446">IFERROR(VLOOKUP(F446,Dex!$P$22:$Q$276,2,FALSE),"")</f>
        <v/>
      </c>
      <c r="H446" s="3426"/>
      <c r="I446" s="3419"/>
      <c r="J446" s="3423" t="s">
        <v>513</v>
      </c>
      <c r="K446" s="3424">
        <f t="array" ref="K446">IFERROR(VLOOKUP(J433,Dex!$B$3:$N454,8,FALSE),"")</f>
        <v>100</v>
      </c>
      <c r="L446" s="3425" t="str">
        <f t="array" ref="L446">IFERROR(VLOOKUP(K446,Dex!$P$22:$Q$276,2,FALSE),"")</f>
        <v/>
      </c>
      <c r="M446" s="3426"/>
      <c r="N446" s="3419"/>
      <c r="O446" s="3423" t="s">
        <v>513</v>
      </c>
      <c r="P446" s="3424">
        <f t="array" ref="P446">IFERROR(VLOOKUP(O433,Dex!$B$3:$N454,8,FALSE),"")</f>
        <v>95</v>
      </c>
      <c r="Q446" s="3425" t="str">
        <f t="array" ref="Q446">IFERROR(VLOOKUP(P446,Dex!$P$22:$Q$276,2,FALSE),"")</f>
        <v/>
      </c>
      <c r="R446" s="3426"/>
      <c r="S446" s="3420"/>
      <c r="T446" s="3421"/>
      <c r="U446" s="3421"/>
      <c r="V446" s="3421"/>
      <c r="W446" s="3421"/>
      <c r="X446" s="3421"/>
      <c r="Y446" s="3421"/>
      <c r="Z446" s="3421"/>
      <c r="AA446" s="3421"/>
      <c r="AB446" s="3421"/>
      <c r="AC446" s="3421"/>
      <c r="AD446" s="3421"/>
      <c r="AE446" s="3421"/>
      <c r="AF446" s="3421"/>
      <c r="AG446" s="3421"/>
      <c r="AH446" s="3422"/>
      <c r="AI446" s="2407"/>
    </row>
    <row r="447" ht="16.5" customHeight="1">
      <c r="A447" s="2811"/>
      <c r="B447" s="3358"/>
      <c r="C447" s="3349"/>
      <c r="D447" s="3359"/>
      <c r="E447" s="3427" t="s">
        <v>514</v>
      </c>
      <c r="F447" s="3428">
        <f t="array" ref="F447">IFERROR(VLOOKUP(E433,Dex!$B$3:$N454,9,FALSE),"")</f>
        <v>120</v>
      </c>
      <c r="G447" s="3429" t="str">
        <f t="array" ref="G447">IFERROR(VLOOKUP(F447,Dex!$P$22:$Q$276,2,FALSE),"")</f>
        <v/>
      </c>
      <c r="H447" s="3430"/>
      <c r="I447" s="3419"/>
      <c r="J447" s="3427" t="s">
        <v>514</v>
      </c>
      <c r="K447" s="3428">
        <f t="array" ref="K447">IFERROR(VLOOKUP(J433,Dex!$B$3:$N454,9,FALSE),"")</f>
        <v>120</v>
      </c>
      <c r="L447" s="3429" t="str">
        <f t="array" ref="L447">IFERROR(VLOOKUP(K447,Dex!$P$22:$Q$276,2,FALSE),"")</f>
        <v/>
      </c>
      <c r="M447" s="3430"/>
      <c r="N447" s="3419"/>
      <c r="O447" s="3427" t="s">
        <v>514</v>
      </c>
      <c r="P447" s="3428">
        <f t="array" ref="P447">IFERROR(VLOOKUP(O433,Dex!$B$3:$N454,9,FALSE),"")</f>
        <v>145</v>
      </c>
      <c r="Q447" s="3429" t="str">
        <f t="array" ref="Q447">IFERROR(VLOOKUP(P447,Dex!$P$22:$Q$276,2,FALSE),"")</f>
        <v/>
      </c>
      <c r="R447" s="3430"/>
      <c r="S447" s="3420"/>
      <c r="T447" s="3421"/>
      <c r="U447" s="3421"/>
      <c r="V447" s="3421"/>
      <c r="W447" s="3421"/>
      <c r="X447" s="3421"/>
      <c r="Y447" s="3421"/>
      <c r="Z447" s="3421"/>
      <c r="AA447" s="3421"/>
      <c r="AB447" s="3421"/>
      <c r="AC447" s="3421"/>
      <c r="AD447" s="3421"/>
      <c r="AE447" s="3421"/>
      <c r="AF447" s="3421"/>
      <c r="AG447" s="3421"/>
      <c r="AH447" s="3422"/>
      <c r="AI447" s="2407"/>
    </row>
    <row r="448" ht="16.5" customHeight="1">
      <c r="A448" s="2811"/>
      <c r="B448" s="3358"/>
      <c r="C448" s="3349"/>
      <c r="D448" s="3359"/>
      <c r="E448" s="3427" t="s">
        <v>515</v>
      </c>
      <c r="F448" s="3428">
        <f t="array" ref="F448">IFERROR(VLOOKUP(E433,Dex!$B$3:$N454,10,FALSE),"")</f>
        <v>75</v>
      </c>
      <c r="G448" s="3429" t="str">
        <f t="array" ref="G448">IFERROR(VLOOKUP(F448,Dex!$P$22:$Q$276,2,FALSE),"")</f>
        <v/>
      </c>
      <c r="H448" s="3430"/>
      <c r="I448" s="3419"/>
      <c r="J448" s="3427" t="s">
        <v>515</v>
      </c>
      <c r="K448" s="3428">
        <f t="array" ref="K448">IFERROR(VLOOKUP(J433,Dex!$B$3:$N454,10,FALSE),"")</f>
        <v>120</v>
      </c>
      <c r="L448" s="3429" t="str">
        <f t="array" ref="L448">IFERROR(VLOOKUP(K448,Dex!$P$22:$Q$276,2,FALSE),"")</f>
        <v/>
      </c>
      <c r="M448" s="3430"/>
      <c r="N448" s="3419"/>
      <c r="O448" s="3427" t="s">
        <v>515</v>
      </c>
      <c r="P448" s="3428">
        <f t="array" ref="P448">IFERROR(VLOOKUP(O433,Dex!$B$3:$N454,10,FALSE),"")</f>
        <v>130</v>
      </c>
      <c r="Q448" s="3429" t="str">
        <f t="array" ref="Q448">IFERROR(VLOOKUP(P448,Dex!$P$22:$Q$276,2,FALSE),"")</f>
        <v/>
      </c>
      <c r="R448" s="3430"/>
      <c r="S448" s="3420"/>
      <c r="T448" s="3421"/>
      <c r="U448" s="3421"/>
      <c r="V448" s="3421"/>
      <c r="W448" s="3421"/>
      <c r="X448" s="3421"/>
      <c r="Y448" s="3421"/>
      <c r="Z448" s="3421"/>
      <c r="AA448" s="3421"/>
      <c r="AB448" s="3421"/>
      <c r="AC448" s="3421"/>
      <c r="AD448" s="3421"/>
      <c r="AE448" s="3421"/>
      <c r="AF448" s="3421"/>
      <c r="AG448" s="3421"/>
      <c r="AH448" s="3422"/>
      <c r="AI448" s="2407"/>
    </row>
    <row r="449" ht="16.5" customHeight="1">
      <c r="A449" s="2811"/>
      <c r="B449" s="3358"/>
      <c r="C449" s="3349"/>
      <c r="D449" s="3359"/>
      <c r="E449" s="3427" t="s">
        <v>516</v>
      </c>
      <c r="F449" s="3428">
        <f t="array" ref="F449">IFERROR(VLOOKUP(E433,Dex!$B$3:$N454,11,FALSE),"")</f>
        <v>100</v>
      </c>
      <c r="G449" s="3429" t="str">
        <f t="array" ref="G449">IFERROR(VLOOKUP(F449,Dex!$P$22:$Q$276,2,FALSE),"")</f>
        <v/>
      </c>
      <c r="H449" s="3430"/>
      <c r="I449" s="3419"/>
      <c r="J449" s="3427" t="s">
        <v>516</v>
      </c>
      <c r="K449" s="3428">
        <f t="array" ref="K449">IFERROR(VLOOKUP(J433,Dex!$B$3:$N454,11,FALSE),"")</f>
        <v>150</v>
      </c>
      <c r="L449" s="3429" t="str">
        <f t="array" ref="L449">IFERROR(VLOOKUP(K449,Dex!$P$22:$Q$276,2,FALSE),"")</f>
        <v/>
      </c>
      <c r="M449" s="3430"/>
      <c r="N449" s="3419"/>
      <c r="O449" s="3427" t="s">
        <v>516</v>
      </c>
      <c r="P449" s="3428">
        <f t="array" ref="P449">IFERROR(VLOOKUP(O433,Dex!$B$3:$N454,11,FALSE),"")</f>
        <v>120</v>
      </c>
      <c r="Q449" s="3429" t="str">
        <f t="array" ref="Q449">IFERROR(VLOOKUP(P449,Dex!$P$22:$Q$276,2,FALSE),"")</f>
        <v/>
      </c>
      <c r="R449" s="3430"/>
      <c r="S449" s="3420"/>
      <c r="T449" s="3421"/>
      <c r="U449" s="3421"/>
      <c r="V449" s="3421"/>
      <c r="W449" s="3421"/>
      <c r="X449" s="3421"/>
      <c r="Y449" s="3421"/>
      <c r="Z449" s="3421"/>
      <c r="AA449" s="3421"/>
      <c r="AB449" s="3421"/>
      <c r="AC449" s="3421"/>
      <c r="AD449" s="3421"/>
      <c r="AE449" s="3421"/>
      <c r="AF449" s="3421"/>
      <c r="AG449" s="3421"/>
      <c r="AH449" s="3422"/>
      <c r="AI449" s="2407"/>
    </row>
    <row r="450" ht="16.5" customHeight="1">
      <c r="A450" s="2811"/>
      <c r="B450" s="3358"/>
      <c r="C450" s="3349"/>
      <c r="D450" s="3359"/>
      <c r="E450" s="3427" t="s">
        <v>517</v>
      </c>
      <c r="F450" s="3428">
        <f t="array" ref="F450">IFERROR(VLOOKUP(E433,Dex!$B$3:$N454,12,FALSE),"")</f>
        <v>75</v>
      </c>
      <c r="G450" s="3429" t="str">
        <f t="array" ref="G450">IFERROR(VLOOKUP(F450,Dex!$P$22:$Q$276,2,FALSE),"")</f>
        <v/>
      </c>
      <c r="H450" s="3430"/>
      <c r="I450" s="3419"/>
      <c r="J450" s="3427" t="s">
        <v>517</v>
      </c>
      <c r="K450" s="3428">
        <f t="array" ref="K450">IFERROR(VLOOKUP(J433,Dex!$B$3:$N454,12,FALSE),"")</f>
        <v>100</v>
      </c>
      <c r="L450" s="3429" t="str">
        <f t="array" ref="L450">IFERROR(VLOOKUP(K450,Dex!$P$22:$Q$276,2,FALSE),"")</f>
        <v/>
      </c>
      <c r="M450" s="3430"/>
      <c r="N450" s="3419"/>
      <c r="O450" s="3427" t="s">
        <v>517</v>
      </c>
      <c r="P450" s="3428">
        <f t="array" ref="P450">IFERROR(VLOOKUP(O433,Dex!$B$3:$N454,12,FALSE),"")</f>
        <v>90</v>
      </c>
      <c r="Q450" s="3429" t="str">
        <f t="array" ref="Q450">IFERROR(VLOOKUP(P450,Dex!$P$22:$Q$276,2,FALSE),"")</f>
        <v/>
      </c>
      <c r="R450" s="3430"/>
      <c r="S450" s="3420"/>
      <c r="T450" s="3421"/>
      <c r="U450" s="3421"/>
      <c r="V450" s="3421"/>
      <c r="W450" s="3421"/>
      <c r="X450" s="3421"/>
      <c r="Y450" s="3421"/>
      <c r="Z450" s="3421"/>
      <c r="AA450" s="3421"/>
      <c r="AB450" s="3421"/>
      <c r="AC450" s="3421"/>
      <c r="AD450" s="3421"/>
      <c r="AE450" s="3421"/>
      <c r="AF450" s="3421"/>
      <c r="AG450" s="3421"/>
      <c r="AH450" s="3422"/>
      <c r="AI450" s="2407"/>
    </row>
    <row r="451" ht="15.75" customHeight="1">
      <c r="A451" s="2811"/>
      <c r="B451" s="3358"/>
      <c r="C451" s="3349"/>
      <c r="D451" s="3359"/>
      <c r="E451" s="3431" t="s">
        <v>518</v>
      </c>
      <c r="F451" s="3432">
        <f t="array" ref="F451">IFERROR(VLOOKUP(E433,Dex!$B$3:$N454,13,FALSE),"")</f>
        <v>142</v>
      </c>
      <c r="G451" s="3433" t="str">
        <f t="array" ref="G451">IFERROR(VLOOKUP(F451,Dex!$P$22:$Q$276,2,FALSE),"")</f>
        <v/>
      </c>
      <c r="H451" s="3434"/>
      <c r="I451" s="3419"/>
      <c r="J451" s="3431" t="s">
        <v>518</v>
      </c>
      <c r="K451" s="3432">
        <f t="array" ref="K451">IFERROR(VLOOKUP(J433,Dex!$B$3:$N454,13,FALSE),"")</f>
        <v>90</v>
      </c>
      <c r="L451" s="3433" t="str">
        <f t="array" ref="L451">IFERROR(VLOOKUP(K451,Dex!$P$22:$Q$276,2,FALSE),"")</f>
        <v/>
      </c>
      <c r="M451" s="3434"/>
      <c r="N451" s="3419"/>
      <c r="O451" s="3431" t="s">
        <v>518</v>
      </c>
      <c r="P451" s="3432">
        <f t="array" ref="P451">IFERROR(VLOOKUP(O433,Dex!$B$3:$N454,13,FALSE),"")</f>
        <v>120</v>
      </c>
      <c r="Q451" s="3433" t="str">
        <f t="array" ref="Q451">IFERROR(VLOOKUP(P451,Dex!$P$22:$Q$276,2,FALSE),"")</f>
        <v/>
      </c>
      <c r="R451" s="3434"/>
      <c r="S451" s="3420"/>
      <c r="T451" s="3421"/>
      <c r="U451" s="3421"/>
      <c r="V451" s="3421"/>
      <c r="W451" s="3421"/>
      <c r="X451" s="3421"/>
      <c r="Y451" s="3421"/>
      <c r="Z451" s="3421"/>
      <c r="AA451" s="3421"/>
      <c r="AB451" s="3421"/>
      <c r="AC451" s="3421"/>
      <c r="AD451" s="3421"/>
      <c r="AE451" s="3421"/>
      <c r="AF451" s="3421"/>
      <c r="AG451" s="3421"/>
      <c r="AH451" s="3422"/>
      <c r="AI451" s="2407"/>
    </row>
    <row r="452" ht="16.5" customHeight="1">
      <c r="A452" s="2811"/>
      <c r="B452" s="3358"/>
      <c r="C452" s="3349"/>
      <c r="D452" s="3359"/>
      <c r="E452" s="3435" t="s">
        <v>519</v>
      </c>
      <c r="F452" s="630"/>
      <c r="G452" s="631"/>
      <c r="H452" s="632">
        <f>ROUNDDOWN((ROUNDDOWN(((((2*F451+31)*83)/100+5)),0))*1.1,0)</f>
        <v>292</v>
      </c>
      <c r="I452" s="3419"/>
      <c r="J452" s="3435" t="s">
        <v>519</v>
      </c>
      <c r="K452" s="630"/>
      <c r="L452" s="631"/>
      <c r="M452" s="632">
        <f>ROUNDDOWN((ROUNDDOWN(((((2*K451+31)*83)/100+5)),0))*1,0)</f>
        <v>180</v>
      </c>
      <c r="N452" s="3419"/>
      <c r="O452" s="3435" t="s">
        <v>519</v>
      </c>
      <c r="P452" s="630"/>
      <c r="Q452" s="631"/>
      <c r="R452" s="632">
        <f>ROUNDDOWN((ROUNDDOWN(((((2*P451+31)*82)/100+5)),0))*1.1,0)</f>
        <v>249</v>
      </c>
      <c r="S452" s="3420"/>
      <c r="T452" s="3421"/>
      <c r="U452" s="3421"/>
      <c r="V452" s="3421"/>
      <c r="W452" s="3421"/>
      <c r="X452" s="3421"/>
      <c r="Y452" s="3421"/>
      <c r="Z452" s="3421"/>
      <c r="AA452" s="3421"/>
      <c r="AB452" s="3421"/>
      <c r="AC452" s="3421"/>
      <c r="AD452" s="3421"/>
      <c r="AE452" s="3421"/>
      <c r="AF452" s="3421"/>
      <c r="AG452" s="3421"/>
      <c r="AH452" s="3422"/>
      <c r="AI452" s="2407"/>
    </row>
    <row r="453" ht="7.5" customHeight="1">
      <c r="A453" s="2329"/>
      <c r="B453" s="3436"/>
      <c r="C453" s="3437"/>
      <c r="D453" s="3438"/>
      <c r="E453" s="3438"/>
      <c r="F453" s="3438"/>
      <c r="G453" s="3438"/>
      <c r="H453" s="3438"/>
      <c r="I453" s="3439"/>
      <c r="J453" s="3440"/>
      <c r="K453" s="3440"/>
      <c r="L453" s="3440"/>
      <c r="M453" s="3438"/>
      <c r="N453" s="3439"/>
      <c r="O453" s="3440"/>
      <c r="P453" s="3440"/>
      <c r="Q453" s="3440"/>
      <c r="R453" s="3438"/>
      <c r="S453" s="3439"/>
      <c r="T453" s="3439"/>
      <c r="U453" s="3439"/>
      <c r="V453" s="3439"/>
      <c r="W453" s="3439"/>
      <c r="X453" s="3439"/>
      <c r="Y453" s="3439"/>
      <c r="Z453" s="3439"/>
      <c r="AA453" s="3439"/>
      <c r="AB453" s="3439"/>
      <c r="AC453" s="3439"/>
      <c r="AD453" s="3439"/>
      <c r="AE453" s="3439"/>
      <c r="AF453" s="3439"/>
      <c r="AG453" s="3439"/>
      <c r="AH453" s="3441"/>
      <c r="AI453" s="2737"/>
    </row>
    <row r="454" ht="3.75" customHeight="1">
      <c r="A454" s="2374"/>
      <c r="B454" s="2604"/>
      <c r="C454" s="3442"/>
      <c r="D454" s="2604"/>
      <c r="E454" s="2604"/>
      <c r="F454" s="2604"/>
      <c r="G454" s="2604"/>
      <c r="H454" s="2604"/>
      <c r="I454" s="2604"/>
      <c r="J454" s="2604"/>
      <c r="K454" s="2604"/>
      <c r="L454" s="2604"/>
      <c r="M454" s="2604"/>
      <c r="N454" s="2604"/>
      <c r="O454" s="2604"/>
      <c r="P454" s="2604"/>
      <c r="Q454" s="2604"/>
      <c r="R454" s="2604"/>
      <c r="S454" s="2604"/>
      <c r="T454" s="2604"/>
      <c r="U454" s="2604"/>
      <c r="V454" s="2604"/>
      <c r="W454" s="2604"/>
      <c r="X454" s="2604"/>
      <c r="Y454" s="2604"/>
      <c r="Z454" s="2604"/>
      <c r="AA454" s="2604"/>
      <c r="AB454" s="2604"/>
      <c r="AC454" s="2604"/>
      <c r="AD454" s="2604"/>
      <c r="AE454" s="2604"/>
      <c r="AF454" s="2604"/>
      <c r="AG454" s="2604"/>
      <c r="AH454" s="2604"/>
      <c r="AI454" s="2374"/>
    </row>
  </sheetData>
  <mergeCells count="2039">
    <mergeCell ref="T152:V152"/>
    <mergeCell ref="T153:V153"/>
    <mergeCell ref="O147:R147"/>
    <mergeCell ref="O150:R150"/>
    <mergeCell ref="T150:W150"/>
    <mergeCell ref="O151:R151"/>
    <mergeCell ref="T151:W151"/>
    <mergeCell ref="O152:Q152"/>
    <mergeCell ref="O153:Q153"/>
    <mergeCell ref="O155:Q155"/>
    <mergeCell ref="T155:V155"/>
    <mergeCell ref="O156:Q156"/>
    <mergeCell ref="T156:V156"/>
    <mergeCell ref="O158:R158"/>
    <mergeCell ref="T158:W158"/>
    <mergeCell ref="V159:W159"/>
    <mergeCell ref="Q159:R159"/>
    <mergeCell ref="Q160:R160"/>
    <mergeCell ref="Q161:R161"/>
    <mergeCell ref="Q162:R162"/>
    <mergeCell ref="Q163:R163"/>
    <mergeCell ref="Q164:R164"/>
    <mergeCell ref="O165:Q165"/>
    <mergeCell ref="T168:W168"/>
    <mergeCell ref="T174:W174"/>
    <mergeCell ref="T175:V175"/>
    <mergeCell ref="T176:V176"/>
    <mergeCell ref="T177:V177"/>
    <mergeCell ref="T178:V178"/>
    <mergeCell ref="O179:Q179"/>
    <mergeCell ref="T179:V179"/>
    <mergeCell ref="V160:W160"/>
    <mergeCell ref="V161:W161"/>
    <mergeCell ref="V162:W162"/>
    <mergeCell ref="V163:W163"/>
    <mergeCell ref="V164:W164"/>
    <mergeCell ref="T165:V165"/>
    <mergeCell ref="X168:X179"/>
    <mergeCell ref="V139:W139"/>
    <mergeCell ref="V140:W140"/>
    <mergeCell ref="T141:V141"/>
    <mergeCell ref="T142:V142"/>
    <mergeCell ref="T145:W145"/>
    <mergeCell ref="AD145:AG145"/>
    <mergeCell ref="T146:W146"/>
    <mergeCell ref="Y145:AB145"/>
    <mergeCell ref="Y146:AB146"/>
    <mergeCell ref="Y147:AB147"/>
    <mergeCell ref="Y150:AB150"/>
    <mergeCell ref="Y151:AB151"/>
    <mergeCell ref="Y152:AA152"/>
    <mergeCell ref="Y153:AA153"/>
    <mergeCell ref="AD146:AG146"/>
    <mergeCell ref="AD147:AG147"/>
    <mergeCell ref="AE148:AF148"/>
    <mergeCell ref="AD150:AG150"/>
    <mergeCell ref="AD151:AG151"/>
    <mergeCell ref="AD152:AF152"/>
    <mergeCell ref="AD153:AF153"/>
    <mergeCell ref="Y154:AA154"/>
    <mergeCell ref="Y155:AA155"/>
    <mergeCell ref="Y156:AA156"/>
    <mergeCell ref="Y158:AB158"/>
    <mergeCell ref="AA159:AB159"/>
    <mergeCell ref="AA160:AB160"/>
    <mergeCell ref="AA161:AB161"/>
    <mergeCell ref="AD154:AF154"/>
    <mergeCell ref="AD155:AF155"/>
    <mergeCell ref="AD156:AF156"/>
    <mergeCell ref="AD158:AG158"/>
    <mergeCell ref="AF159:AG159"/>
    <mergeCell ref="AF160:AG160"/>
    <mergeCell ref="AF161:AG161"/>
    <mergeCell ref="T173:W173"/>
    <mergeCell ref="AD173:AG173"/>
    <mergeCell ref="AF162:AG162"/>
    <mergeCell ref="AF163:AG163"/>
    <mergeCell ref="AF164:AG164"/>
    <mergeCell ref="AD165:AF165"/>
    <mergeCell ref="AD168:AG168"/>
    <mergeCell ref="T169:W169"/>
    <mergeCell ref="T170:W170"/>
    <mergeCell ref="J117:L117"/>
    <mergeCell ref="O117:Q117"/>
    <mergeCell ref="T117:V117"/>
    <mergeCell ref="E120:AG120"/>
    <mergeCell ref="J121:M121"/>
    <mergeCell ref="J122:M122"/>
    <mergeCell ref="AD122:AG122"/>
    <mergeCell ref="C124:C126"/>
    <mergeCell ref="C127:C129"/>
    <mergeCell ref="E127:H127"/>
    <mergeCell ref="E128:G128"/>
    <mergeCell ref="E129:G129"/>
    <mergeCell ref="E130:G130"/>
    <mergeCell ref="E131:G131"/>
    <mergeCell ref="E132:G132"/>
    <mergeCell ref="C122:C123"/>
    <mergeCell ref="E123:H123"/>
    <mergeCell ref="J123:M123"/>
    <mergeCell ref="O123:R123"/>
    <mergeCell ref="E126:H126"/>
    <mergeCell ref="O126:R126"/>
    <mergeCell ref="O127:R127"/>
    <mergeCell ref="AD129:AG129"/>
    <mergeCell ref="AD130:AG130"/>
    <mergeCell ref="AD131:AG131"/>
    <mergeCell ref="AD132:AG132"/>
    <mergeCell ref="T121:W121"/>
    <mergeCell ref="AD121:AG121"/>
    <mergeCell ref="AD123:AG123"/>
    <mergeCell ref="AD124:AG124"/>
    <mergeCell ref="AD126:AG126"/>
    <mergeCell ref="AD127:AG127"/>
    <mergeCell ref="AD128:AG128"/>
    <mergeCell ref="O131:Q131"/>
    <mergeCell ref="O132:Q132"/>
    <mergeCell ref="J126:M126"/>
    <mergeCell ref="J127:M127"/>
    <mergeCell ref="J128:L128"/>
    <mergeCell ref="O128:Q128"/>
    <mergeCell ref="J129:L129"/>
    <mergeCell ref="O129:Q129"/>
    <mergeCell ref="O130:Q130"/>
    <mergeCell ref="J130:L130"/>
    <mergeCell ref="J131:L131"/>
    <mergeCell ref="J132:L132"/>
    <mergeCell ref="E134:H134"/>
    <mergeCell ref="O134:R134"/>
    <mergeCell ref="G135:H135"/>
    <mergeCell ref="Q135:R135"/>
    <mergeCell ref="J134:M134"/>
    <mergeCell ref="L135:M135"/>
    <mergeCell ref="G136:H136"/>
    <mergeCell ref="L136:M136"/>
    <mergeCell ref="G137:H137"/>
    <mergeCell ref="L137:M137"/>
    <mergeCell ref="L138:M138"/>
    <mergeCell ref="T134:W134"/>
    <mergeCell ref="V135:W135"/>
    <mergeCell ref="Q136:R136"/>
    <mergeCell ref="V136:W136"/>
    <mergeCell ref="Q137:R137"/>
    <mergeCell ref="V137:W137"/>
    <mergeCell ref="V138:W138"/>
    <mergeCell ref="E146:H146"/>
    <mergeCell ref="E147:H147"/>
    <mergeCell ref="T147:W147"/>
    <mergeCell ref="U148:V148"/>
    <mergeCell ref="Q138:R138"/>
    <mergeCell ref="Q139:R139"/>
    <mergeCell ref="Q140:R140"/>
    <mergeCell ref="O141:Q141"/>
    <mergeCell ref="O142:Q142"/>
    <mergeCell ref="O145:R145"/>
    <mergeCell ref="O146:R146"/>
    <mergeCell ref="O154:Q154"/>
    <mergeCell ref="T154:V154"/>
    <mergeCell ref="AD169:AG169"/>
    <mergeCell ref="AD170:AG170"/>
    <mergeCell ref="AD171:AG171"/>
    <mergeCell ref="AD174:AG174"/>
    <mergeCell ref="AD175:AG175"/>
    <mergeCell ref="AD176:AG176"/>
    <mergeCell ref="AD177:AG177"/>
    <mergeCell ref="AD199:AG199"/>
    <mergeCell ref="AD200:AG200"/>
    <mergeCell ref="AD201:AG201"/>
    <mergeCell ref="AD202:AG202"/>
    <mergeCell ref="AD203:AG203"/>
    <mergeCell ref="AD204:AG204"/>
    <mergeCell ref="AD178:AG178"/>
    <mergeCell ref="AD179:AG179"/>
    <mergeCell ref="AD193:AG193"/>
    <mergeCell ref="AD194:AG194"/>
    <mergeCell ref="AD195:AG195"/>
    <mergeCell ref="AD196:AG196"/>
    <mergeCell ref="AD198:AG198"/>
    <mergeCell ref="C196:C198"/>
    <mergeCell ref="C199:C201"/>
    <mergeCell ref="E188:G188"/>
    <mergeCell ref="E189:G189"/>
    <mergeCell ref="E193:H193"/>
    <mergeCell ref="C194:C195"/>
    <mergeCell ref="E194:H194"/>
    <mergeCell ref="E195:H195"/>
    <mergeCell ref="E198:H198"/>
    <mergeCell ref="G207:H207"/>
    <mergeCell ref="G208:H208"/>
    <mergeCell ref="G209:H209"/>
    <mergeCell ref="G210:H210"/>
    <mergeCell ref="G211:H211"/>
    <mergeCell ref="E199:H199"/>
    <mergeCell ref="E200:G200"/>
    <mergeCell ref="E201:G201"/>
    <mergeCell ref="E202:G202"/>
    <mergeCell ref="E203:G203"/>
    <mergeCell ref="E204:G204"/>
    <mergeCell ref="E206:H206"/>
    <mergeCell ref="G138:H138"/>
    <mergeCell ref="G139:H139"/>
    <mergeCell ref="G140:H140"/>
    <mergeCell ref="E141:G141"/>
    <mergeCell ref="E142:G142"/>
    <mergeCell ref="E145:H145"/>
    <mergeCell ref="C146:C147"/>
    <mergeCell ref="C148:C150"/>
    <mergeCell ref="E150:H150"/>
    <mergeCell ref="C151:C153"/>
    <mergeCell ref="E151:H151"/>
    <mergeCell ref="E152:G152"/>
    <mergeCell ref="E153:G153"/>
    <mergeCell ref="E154:G154"/>
    <mergeCell ref="E155:G155"/>
    <mergeCell ref="E156:G156"/>
    <mergeCell ref="E158:H158"/>
    <mergeCell ref="G159:H159"/>
    <mergeCell ref="G160:H160"/>
    <mergeCell ref="G161:H161"/>
    <mergeCell ref="G162:H162"/>
    <mergeCell ref="E170:H170"/>
    <mergeCell ref="E173:H173"/>
    <mergeCell ref="G163:H163"/>
    <mergeCell ref="G164:H164"/>
    <mergeCell ref="E165:G165"/>
    <mergeCell ref="E168:H168"/>
    <mergeCell ref="C169:C170"/>
    <mergeCell ref="E169:H169"/>
    <mergeCell ref="C171:C173"/>
    <mergeCell ref="C174:C176"/>
    <mergeCell ref="E174:H174"/>
    <mergeCell ref="E175:G175"/>
    <mergeCell ref="E176:G176"/>
    <mergeCell ref="E177:G177"/>
    <mergeCell ref="E178:G178"/>
    <mergeCell ref="E179:G179"/>
    <mergeCell ref="E181:H181"/>
    <mergeCell ref="G182:H182"/>
    <mergeCell ref="G183:H183"/>
    <mergeCell ref="G184:H184"/>
    <mergeCell ref="G185:H185"/>
    <mergeCell ref="G186:H186"/>
    <mergeCell ref="G187:H187"/>
    <mergeCell ref="V208:W208"/>
    <mergeCell ref="V209:W209"/>
    <mergeCell ref="AA209:AB209"/>
    <mergeCell ref="AA210:AB210"/>
    <mergeCell ref="AA211:AB211"/>
    <mergeCell ref="T203:V203"/>
    <mergeCell ref="T204:V204"/>
    <mergeCell ref="T206:W206"/>
    <mergeCell ref="Y206:AB206"/>
    <mergeCell ref="V207:W207"/>
    <mergeCell ref="AA207:AB207"/>
    <mergeCell ref="AA208:AB208"/>
    <mergeCell ref="V184:W184"/>
    <mergeCell ref="V185:W185"/>
    <mergeCell ref="V186:W186"/>
    <mergeCell ref="V187:W187"/>
    <mergeCell ref="T188:V188"/>
    <mergeCell ref="T189:V189"/>
    <mergeCell ref="T193:W193"/>
    <mergeCell ref="T194:W194"/>
    <mergeCell ref="T195:W195"/>
    <mergeCell ref="T198:W198"/>
    <mergeCell ref="T199:W199"/>
    <mergeCell ref="T200:V200"/>
    <mergeCell ref="T201:V201"/>
    <mergeCell ref="T202:V202"/>
    <mergeCell ref="O168:R168"/>
    <mergeCell ref="O169:R169"/>
    <mergeCell ref="O170:R170"/>
    <mergeCell ref="O173:R173"/>
    <mergeCell ref="O174:R174"/>
    <mergeCell ref="O175:Q175"/>
    <mergeCell ref="O176:Q176"/>
    <mergeCell ref="O177:Q177"/>
    <mergeCell ref="O178:Q178"/>
    <mergeCell ref="O181:R181"/>
    <mergeCell ref="T181:W181"/>
    <mergeCell ref="Q182:R182"/>
    <mergeCell ref="V182:W182"/>
    <mergeCell ref="V183:W183"/>
    <mergeCell ref="Q183:R183"/>
    <mergeCell ref="Q184:R184"/>
    <mergeCell ref="Q185:R185"/>
    <mergeCell ref="Q186:R186"/>
    <mergeCell ref="Q187:R187"/>
    <mergeCell ref="O188:Q188"/>
    <mergeCell ref="O189:Q189"/>
    <mergeCell ref="O193:R193"/>
    <mergeCell ref="O194:R194"/>
    <mergeCell ref="O195:R195"/>
    <mergeCell ref="O198:R198"/>
    <mergeCell ref="O199:R199"/>
    <mergeCell ref="O200:Q200"/>
    <mergeCell ref="O201:Q201"/>
    <mergeCell ref="Q210:R210"/>
    <mergeCell ref="Q211:R211"/>
    <mergeCell ref="O202:Q202"/>
    <mergeCell ref="O203:Q203"/>
    <mergeCell ref="O204:Q204"/>
    <mergeCell ref="O206:R206"/>
    <mergeCell ref="Q207:R207"/>
    <mergeCell ref="Q208:R208"/>
    <mergeCell ref="Q209:R209"/>
    <mergeCell ref="V210:W210"/>
    <mergeCell ref="V211:W211"/>
    <mergeCell ref="Y198:AB198"/>
    <mergeCell ref="Y199:AB199"/>
    <mergeCell ref="Y188:AA188"/>
    <mergeCell ref="Y189:AA189"/>
    <mergeCell ref="X193:X204"/>
    <mergeCell ref="Y193:AB193"/>
    <mergeCell ref="AC193:AC204"/>
    <mergeCell ref="Y194:AB194"/>
    <mergeCell ref="Y195:AB195"/>
    <mergeCell ref="Y204:AA204"/>
    <mergeCell ref="T216:W216"/>
    <mergeCell ref="Y216:AB216"/>
    <mergeCell ref="AD216:AG216"/>
    <mergeCell ref="AD217:AG217"/>
    <mergeCell ref="T213:V213"/>
    <mergeCell ref="T217:W217"/>
    <mergeCell ref="T218:W218"/>
    <mergeCell ref="T221:W221"/>
    <mergeCell ref="T222:W222"/>
    <mergeCell ref="T223:V223"/>
    <mergeCell ref="T224:V224"/>
    <mergeCell ref="V233:W233"/>
    <mergeCell ref="V234:W234"/>
    <mergeCell ref="V235:W235"/>
    <mergeCell ref="T236:V236"/>
    <mergeCell ref="Y236:AA236"/>
    <mergeCell ref="T225:V225"/>
    <mergeCell ref="T226:V226"/>
    <mergeCell ref="T227:V227"/>
    <mergeCell ref="T229:W229"/>
    <mergeCell ref="V230:W230"/>
    <mergeCell ref="V231:W231"/>
    <mergeCell ref="V232:W232"/>
    <mergeCell ref="AD248:AF248"/>
    <mergeCell ref="AD249:AF249"/>
    <mergeCell ref="AD250:AF250"/>
    <mergeCell ref="AD251:AF251"/>
    <mergeCell ref="AD252:AF252"/>
    <mergeCell ref="AD254:AG254"/>
    <mergeCell ref="AF255:AG255"/>
    <mergeCell ref="Y287:AB287"/>
    <mergeCell ref="AD287:AG287"/>
    <mergeCell ref="T288:W288"/>
    <mergeCell ref="Y288:AB288"/>
    <mergeCell ref="AD288:AG288"/>
    <mergeCell ref="Y289:AB289"/>
    <mergeCell ref="AD289:AG289"/>
    <mergeCell ref="T289:W289"/>
    <mergeCell ref="U290:V290"/>
    <mergeCell ref="T292:W292"/>
    <mergeCell ref="Y292:AB292"/>
    <mergeCell ref="AD292:AG292"/>
    <mergeCell ref="Y293:AB293"/>
    <mergeCell ref="AD293:AG293"/>
    <mergeCell ref="Y295:AA295"/>
    <mergeCell ref="Y296:AA296"/>
    <mergeCell ref="Y297:AA297"/>
    <mergeCell ref="Y298:AA298"/>
    <mergeCell ref="Y300:AB300"/>
    <mergeCell ref="AA301:AB301"/>
    <mergeCell ref="AA302:AB302"/>
    <mergeCell ref="T296:V296"/>
    <mergeCell ref="T297:V297"/>
    <mergeCell ref="T298:V298"/>
    <mergeCell ref="T300:W300"/>
    <mergeCell ref="V301:W301"/>
    <mergeCell ref="V302:W302"/>
    <mergeCell ref="AD297:AF297"/>
    <mergeCell ref="AD298:AF298"/>
    <mergeCell ref="AD300:AG300"/>
    <mergeCell ref="AF301:AG301"/>
    <mergeCell ref="AF302:AG302"/>
    <mergeCell ref="T293:W293"/>
    <mergeCell ref="T294:V294"/>
    <mergeCell ref="Y294:AA294"/>
    <mergeCell ref="AD294:AF294"/>
    <mergeCell ref="T295:V295"/>
    <mergeCell ref="AD295:AF295"/>
    <mergeCell ref="AD296:AF296"/>
    <mergeCell ref="Y223:AA223"/>
    <mergeCell ref="Y224:AA224"/>
    <mergeCell ref="Y229:AB229"/>
    <mergeCell ref="AA230:AB230"/>
    <mergeCell ref="AA231:AB231"/>
    <mergeCell ref="AA232:AB232"/>
    <mergeCell ref="AA233:AB233"/>
    <mergeCell ref="Y246:AB246"/>
    <mergeCell ref="Y247:AB247"/>
    <mergeCell ref="Y248:AA248"/>
    <mergeCell ref="Y249:AA249"/>
    <mergeCell ref="Y250:AA250"/>
    <mergeCell ref="Y251:AA251"/>
    <mergeCell ref="AA234:AB234"/>
    <mergeCell ref="AA235:AB235"/>
    <mergeCell ref="X241:X252"/>
    <mergeCell ref="Y241:AB241"/>
    <mergeCell ref="AC241:AC252"/>
    <mergeCell ref="Y242:AB242"/>
    <mergeCell ref="Y243:AB243"/>
    <mergeCell ref="Y252:AA252"/>
    <mergeCell ref="Y254:AB254"/>
    <mergeCell ref="AA255:AB255"/>
    <mergeCell ref="AA256:AB256"/>
    <mergeCell ref="AA257:AB257"/>
    <mergeCell ref="AA258:AB258"/>
    <mergeCell ref="AA259:AB259"/>
    <mergeCell ref="Y268:AB268"/>
    <mergeCell ref="Y269:AB269"/>
    <mergeCell ref="E286:AG286"/>
    <mergeCell ref="E287:H287"/>
    <mergeCell ref="J287:M287"/>
    <mergeCell ref="O287:R287"/>
    <mergeCell ref="T287:W287"/>
    <mergeCell ref="L139:M139"/>
    <mergeCell ref="L140:M140"/>
    <mergeCell ref="J141:L141"/>
    <mergeCell ref="J142:L142"/>
    <mergeCell ref="J145:M145"/>
    <mergeCell ref="J146:M146"/>
    <mergeCell ref="J147:M147"/>
    <mergeCell ref="J150:M150"/>
    <mergeCell ref="J151:M151"/>
    <mergeCell ref="J152:L152"/>
    <mergeCell ref="J153:L153"/>
    <mergeCell ref="J154:L154"/>
    <mergeCell ref="J155:L155"/>
    <mergeCell ref="J156:L156"/>
    <mergeCell ref="J158:M158"/>
    <mergeCell ref="L159:M159"/>
    <mergeCell ref="L160:M160"/>
    <mergeCell ref="L161:M161"/>
    <mergeCell ref="L162:M162"/>
    <mergeCell ref="L163:M163"/>
    <mergeCell ref="L164:M164"/>
    <mergeCell ref="J165:L165"/>
    <mergeCell ref="J168:M168"/>
    <mergeCell ref="J169:M169"/>
    <mergeCell ref="J170:M170"/>
    <mergeCell ref="J173:M173"/>
    <mergeCell ref="J174:M174"/>
    <mergeCell ref="J175:L175"/>
    <mergeCell ref="J176:L176"/>
    <mergeCell ref="J177:L177"/>
    <mergeCell ref="J178:L178"/>
    <mergeCell ref="J179:L179"/>
    <mergeCell ref="J181:M181"/>
    <mergeCell ref="L182:M182"/>
    <mergeCell ref="L183:M183"/>
    <mergeCell ref="L184:M184"/>
    <mergeCell ref="L185:M185"/>
    <mergeCell ref="L186:M186"/>
    <mergeCell ref="L187:M187"/>
    <mergeCell ref="J188:L188"/>
    <mergeCell ref="J189:L189"/>
    <mergeCell ref="J190:L190"/>
    <mergeCell ref="L210:M210"/>
    <mergeCell ref="L211:M211"/>
    <mergeCell ref="J193:M193"/>
    <mergeCell ref="J194:M194"/>
    <mergeCell ref="J195:M195"/>
    <mergeCell ref="J198:M198"/>
    <mergeCell ref="J199:M199"/>
    <mergeCell ref="J200:L200"/>
    <mergeCell ref="J201:L201"/>
    <mergeCell ref="J202:L202"/>
    <mergeCell ref="J203:L203"/>
    <mergeCell ref="J204:L204"/>
    <mergeCell ref="J206:M206"/>
    <mergeCell ref="L207:M207"/>
    <mergeCell ref="L208:M208"/>
    <mergeCell ref="L209:M209"/>
    <mergeCell ref="G212:H212"/>
    <mergeCell ref="L212:M212"/>
    <mergeCell ref="Q212:R212"/>
    <mergeCell ref="E213:G213"/>
    <mergeCell ref="J213:L213"/>
    <mergeCell ref="O213:Q213"/>
    <mergeCell ref="E216:H216"/>
    <mergeCell ref="O217:R217"/>
    <mergeCell ref="O218:R218"/>
    <mergeCell ref="J216:M216"/>
    <mergeCell ref="O216:R216"/>
    <mergeCell ref="C217:C218"/>
    <mergeCell ref="E217:H217"/>
    <mergeCell ref="J217:M217"/>
    <mergeCell ref="J218:M218"/>
    <mergeCell ref="C219:C221"/>
    <mergeCell ref="O221:R221"/>
    <mergeCell ref="E221:H221"/>
    <mergeCell ref="J221:M221"/>
    <mergeCell ref="J222:M222"/>
    <mergeCell ref="O222:R222"/>
    <mergeCell ref="J223:L223"/>
    <mergeCell ref="O223:Q223"/>
    <mergeCell ref="O224:Q224"/>
    <mergeCell ref="J224:L224"/>
    <mergeCell ref="J225:L225"/>
    <mergeCell ref="O225:Q225"/>
    <mergeCell ref="J226:L226"/>
    <mergeCell ref="O226:Q226"/>
    <mergeCell ref="J227:L227"/>
    <mergeCell ref="O227:Q227"/>
    <mergeCell ref="J229:M229"/>
    <mergeCell ref="O229:R229"/>
    <mergeCell ref="L230:M230"/>
    <mergeCell ref="Q230:R230"/>
    <mergeCell ref="L231:M231"/>
    <mergeCell ref="Q231:R231"/>
    <mergeCell ref="Q232:R232"/>
    <mergeCell ref="J242:M242"/>
    <mergeCell ref="O242:R242"/>
    <mergeCell ref="J243:M243"/>
    <mergeCell ref="O243:R243"/>
    <mergeCell ref="J246:M246"/>
    <mergeCell ref="O246:R246"/>
    <mergeCell ref="J247:M247"/>
    <mergeCell ref="O247:R247"/>
    <mergeCell ref="J248:L248"/>
    <mergeCell ref="O248:Q248"/>
    <mergeCell ref="J249:L249"/>
    <mergeCell ref="O249:Q249"/>
    <mergeCell ref="E265:H265"/>
    <mergeCell ref="E268:H268"/>
    <mergeCell ref="G259:H259"/>
    <mergeCell ref="G260:H260"/>
    <mergeCell ref="E261:G261"/>
    <mergeCell ref="E263:H263"/>
    <mergeCell ref="C264:C265"/>
    <mergeCell ref="E264:H264"/>
    <mergeCell ref="C266:C268"/>
    <mergeCell ref="C269:C271"/>
    <mergeCell ref="E269:H269"/>
    <mergeCell ref="E270:G270"/>
    <mergeCell ref="E271:G271"/>
    <mergeCell ref="E272:G272"/>
    <mergeCell ref="E273:G273"/>
    <mergeCell ref="E274:G274"/>
    <mergeCell ref="E276:H276"/>
    <mergeCell ref="G277:H277"/>
    <mergeCell ref="G278:H278"/>
    <mergeCell ref="G279:H279"/>
    <mergeCell ref="G280:H280"/>
    <mergeCell ref="G281:H281"/>
    <mergeCell ref="G282:H282"/>
    <mergeCell ref="E293:H293"/>
    <mergeCell ref="E294:G294"/>
    <mergeCell ref="E295:G295"/>
    <mergeCell ref="E296:G296"/>
    <mergeCell ref="E297:G297"/>
    <mergeCell ref="E298:G298"/>
    <mergeCell ref="E300:H300"/>
    <mergeCell ref="G301:H301"/>
    <mergeCell ref="G302:H302"/>
    <mergeCell ref="E283:G283"/>
    <mergeCell ref="C288:C289"/>
    <mergeCell ref="E288:H288"/>
    <mergeCell ref="E289:H289"/>
    <mergeCell ref="C290:C292"/>
    <mergeCell ref="E292:H292"/>
    <mergeCell ref="C293:C295"/>
    <mergeCell ref="E218:H218"/>
    <mergeCell ref="F219:G219"/>
    <mergeCell ref="C222:C224"/>
    <mergeCell ref="E222:H222"/>
    <mergeCell ref="E223:G223"/>
    <mergeCell ref="E224:G224"/>
    <mergeCell ref="E225:G225"/>
    <mergeCell ref="E226:G226"/>
    <mergeCell ref="E227:G227"/>
    <mergeCell ref="E229:H229"/>
    <mergeCell ref="G230:H230"/>
    <mergeCell ref="G231:H231"/>
    <mergeCell ref="G232:H232"/>
    <mergeCell ref="G233:H233"/>
    <mergeCell ref="E243:H243"/>
    <mergeCell ref="E246:H246"/>
    <mergeCell ref="E247:H247"/>
    <mergeCell ref="E248:G248"/>
    <mergeCell ref="C249:C250"/>
    <mergeCell ref="E249:G249"/>
    <mergeCell ref="E250:G250"/>
    <mergeCell ref="G234:H234"/>
    <mergeCell ref="G235:H235"/>
    <mergeCell ref="E236:G236"/>
    <mergeCell ref="E237:G237"/>
    <mergeCell ref="I241:I252"/>
    <mergeCell ref="C242:C246"/>
    <mergeCell ref="E242:H242"/>
    <mergeCell ref="E251:G251"/>
    <mergeCell ref="E252:G252"/>
    <mergeCell ref="E254:H254"/>
    <mergeCell ref="G255:H255"/>
    <mergeCell ref="G256:H256"/>
    <mergeCell ref="G257:H257"/>
    <mergeCell ref="G258:H258"/>
    <mergeCell ref="O265:R265"/>
    <mergeCell ref="O268:R268"/>
    <mergeCell ref="Q257:R257"/>
    <mergeCell ref="Q258:R258"/>
    <mergeCell ref="Q259:R259"/>
    <mergeCell ref="Q260:R260"/>
    <mergeCell ref="O261:Q261"/>
    <mergeCell ref="O263:R263"/>
    <mergeCell ref="O264:R264"/>
    <mergeCell ref="Q233:R233"/>
    <mergeCell ref="Q234:R234"/>
    <mergeCell ref="Q235:R235"/>
    <mergeCell ref="O236:Q236"/>
    <mergeCell ref="E240:R240"/>
    <mergeCell ref="E241:H241"/>
    <mergeCell ref="J241:M241"/>
    <mergeCell ref="O241:R241"/>
    <mergeCell ref="J250:L250"/>
    <mergeCell ref="O250:Q250"/>
    <mergeCell ref="J251:L251"/>
    <mergeCell ref="O251:Q251"/>
    <mergeCell ref="L232:M232"/>
    <mergeCell ref="L233:M233"/>
    <mergeCell ref="L234:M234"/>
    <mergeCell ref="L235:M235"/>
    <mergeCell ref="J236:L236"/>
    <mergeCell ref="N241:N252"/>
    <mergeCell ref="S241:S252"/>
    <mergeCell ref="J252:L252"/>
    <mergeCell ref="O252:Q252"/>
    <mergeCell ref="J254:M254"/>
    <mergeCell ref="O254:R254"/>
    <mergeCell ref="L255:M255"/>
    <mergeCell ref="Q255:R255"/>
    <mergeCell ref="Q256:R256"/>
    <mergeCell ref="L256:M256"/>
    <mergeCell ref="L257:M257"/>
    <mergeCell ref="L258:M258"/>
    <mergeCell ref="L259:M259"/>
    <mergeCell ref="L260:M260"/>
    <mergeCell ref="J261:L261"/>
    <mergeCell ref="J263:M263"/>
    <mergeCell ref="O271:Q271"/>
    <mergeCell ref="O272:Q272"/>
    <mergeCell ref="Y316:AB316"/>
    <mergeCell ref="T317:W317"/>
    <mergeCell ref="Y317:AB317"/>
    <mergeCell ref="AA305:AB305"/>
    <mergeCell ref="AA306:AB306"/>
    <mergeCell ref="Y308:AA308"/>
    <mergeCell ref="T311:W311"/>
    <mergeCell ref="X311:X322"/>
    <mergeCell ref="AC311:AC322"/>
    <mergeCell ref="T312:W312"/>
    <mergeCell ref="T313:W313"/>
    <mergeCell ref="Y313:AB313"/>
    <mergeCell ref="U314:V314"/>
    <mergeCell ref="T316:W316"/>
    <mergeCell ref="T318:V318"/>
    <mergeCell ref="Y318:AA318"/>
    <mergeCell ref="T319:V319"/>
    <mergeCell ref="Y319:AA319"/>
    <mergeCell ref="T320:V320"/>
    <mergeCell ref="Y320:AA320"/>
    <mergeCell ref="Y336:AB336"/>
    <mergeCell ref="Y337:AB337"/>
    <mergeCell ref="AA327:AB327"/>
    <mergeCell ref="AA328:AB328"/>
    <mergeCell ref="AA329:AB329"/>
    <mergeCell ref="AA330:AB330"/>
    <mergeCell ref="Y331:AA331"/>
    <mergeCell ref="X335:X346"/>
    <mergeCell ref="AC335:AC346"/>
    <mergeCell ref="X359:X370"/>
    <mergeCell ref="T360:W360"/>
    <mergeCell ref="T361:W361"/>
    <mergeCell ref="T364:W364"/>
    <mergeCell ref="T365:W365"/>
    <mergeCell ref="T366:V366"/>
    <mergeCell ref="T367:V367"/>
    <mergeCell ref="Y344:AA344"/>
    <mergeCell ref="T345:V345"/>
    <mergeCell ref="Y345:AA345"/>
    <mergeCell ref="T346:V346"/>
    <mergeCell ref="Y346:AA346"/>
    <mergeCell ref="S359:S370"/>
    <mergeCell ref="AC359:AC370"/>
    <mergeCell ref="Y370:AA370"/>
    <mergeCell ref="Y388:AB388"/>
    <mergeCell ref="Y390:AB390"/>
    <mergeCell ref="Y393:AB393"/>
    <mergeCell ref="Y394:AB394"/>
    <mergeCell ref="Y395:AB395"/>
    <mergeCell ref="Y396:AB396"/>
    <mergeCell ref="Y367:AA367"/>
    <mergeCell ref="Y368:AA368"/>
    <mergeCell ref="X385:X396"/>
    <mergeCell ref="Y385:AB385"/>
    <mergeCell ref="AC385:AC396"/>
    <mergeCell ref="Y386:AB386"/>
    <mergeCell ref="Y387:AB387"/>
    <mergeCell ref="T368:V368"/>
    <mergeCell ref="T369:V369"/>
    <mergeCell ref="T386:W386"/>
    <mergeCell ref="T387:W387"/>
    <mergeCell ref="T390:W390"/>
    <mergeCell ref="T391:W391"/>
    <mergeCell ref="T392:V392"/>
    <mergeCell ref="T393:V393"/>
    <mergeCell ref="T394:V394"/>
    <mergeCell ref="T395:V395"/>
    <mergeCell ref="T396:V396"/>
    <mergeCell ref="T398:W398"/>
    <mergeCell ref="V399:W399"/>
    <mergeCell ref="V400:W400"/>
    <mergeCell ref="T359:W359"/>
    <mergeCell ref="Y359:AB359"/>
    <mergeCell ref="Y360:AB360"/>
    <mergeCell ref="Y361:AB361"/>
    <mergeCell ref="Z362:AA362"/>
    <mergeCell ref="Y364:AB364"/>
    <mergeCell ref="Y365:AB365"/>
    <mergeCell ref="Y366:AA366"/>
    <mergeCell ref="Y369:AA369"/>
    <mergeCell ref="T370:V370"/>
    <mergeCell ref="Y391:AB391"/>
    <mergeCell ref="Y392:AB392"/>
    <mergeCell ref="V401:W401"/>
    <mergeCell ref="V402:W402"/>
    <mergeCell ref="V403:W403"/>
    <mergeCell ref="V404:W404"/>
    <mergeCell ref="T405:V405"/>
    <mergeCell ref="J337:M337"/>
    <mergeCell ref="K338:L338"/>
    <mergeCell ref="E331:G331"/>
    <mergeCell ref="J331:L331"/>
    <mergeCell ref="C336:C337"/>
    <mergeCell ref="E336:H336"/>
    <mergeCell ref="J336:M336"/>
    <mergeCell ref="E337:H337"/>
    <mergeCell ref="C338:C340"/>
    <mergeCell ref="E340:H340"/>
    <mergeCell ref="J340:M340"/>
    <mergeCell ref="J341:M341"/>
    <mergeCell ref="J342:L342"/>
    <mergeCell ref="J343:L343"/>
    <mergeCell ref="J344:L344"/>
    <mergeCell ref="J345:L345"/>
    <mergeCell ref="C341:C343"/>
    <mergeCell ref="E341:H341"/>
    <mergeCell ref="E342:G342"/>
    <mergeCell ref="E343:G343"/>
    <mergeCell ref="E344:G344"/>
    <mergeCell ref="E345:G345"/>
    <mergeCell ref="E346:G346"/>
    <mergeCell ref="J346:L346"/>
    <mergeCell ref="J348:M348"/>
    <mergeCell ref="L349:M349"/>
    <mergeCell ref="L350:M350"/>
    <mergeCell ref="L351:M351"/>
    <mergeCell ref="L352:M352"/>
    <mergeCell ref="L353:M353"/>
    <mergeCell ref="E348:H348"/>
    <mergeCell ref="G349:H349"/>
    <mergeCell ref="G350:H350"/>
    <mergeCell ref="G351:H351"/>
    <mergeCell ref="G352:H352"/>
    <mergeCell ref="G353:H353"/>
    <mergeCell ref="G354:H354"/>
    <mergeCell ref="L374:M374"/>
    <mergeCell ref="L375:M375"/>
    <mergeCell ref="L376:M376"/>
    <mergeCell ref="L377:M377"/>
    <mergeCell ref="L378:M378"/>
    <mergeCell ref="J379:L379"/>
    <mergeCell ref="J380:L380"/>
    <mergeCell ref="E415:H415"/>
    <mergeCell ref="E416:H416"/>
    <mergeCell ref="E417:G417"/>
    <mergeCell ref="E418:G418"/>
    <mergeCell ref="E419:G419"/>
    <mergeCell ref="E420:G420"/>
    <mergeCell ref="E421:G421"/>
    <mergeCell ref="E423:H423"/>
    <mergeCell ref="G424:H424"/>
    <mergeCell ref="G425:H425"/>
    <mergeCell ref="G426:H426"/>
    <mergeCell ref="G427:H427"/>
    <mergeCell ref="G428:H428"/>
    <mergeCell ref="G429:H429"/>
    <mergeCell ref="C435:C437"/>
    <mergeCell ref="C438:C440"/>
    <mergeCell ref="E438:H438"/>
    <mergeCell ref="E439:G439"/>
    <mergeCell ref="E440:G440"/>
    <mergeCell ref="E441:G441"/>
    <mergeCell ref="E430:G430"/>
    <mergeCell ref="E432:H432"/>
    <mergeCell ref="I432:I443"/>
    <mergeCell ref="C433:C434"/>
    <mergeCell ref="E433:H433"/>
    <mergeCell ref="E434:H434"/>
    <mergeCell ref="E437:H437"/>
    <mergeCell ref="G450:H450"/>
    <mergeCell ref="G451:H451"/>
    <mergeCell ref="E452:G452"/>
    <mergeCell ref="E442:G442"/>
    <mergeCell ref="E443:G443"/>
    <mergeCell ref="E445:H445"/>
    <mergeCell ref="G446:H446"/>
    <mergeCell ref="G447:H447"/>
    <mergeCell ref="G448:H448"/>
    <mergeCell ref="G449:H449"/>
    <mergeCell ref="C362:C364"/>
    <mergeCell ref="C365:C367"/>
    <mergeCell ref="C386:C387"/>
    <mergeCell ref="C388:C390"/>
    <mergeCell ref="C391:C393"/>
    <mergeCell ref="C411:C412"/>
    <mergeCell ref="C413:C415"/>
    <mergeCell ref="C416:C418"/>
    <mergeCell ref="E355:G355"/>
    <mergeCell ref="E359:H359"/>
    <mergeCell ref="C360:C361"/>
    <mergeCell ref="E360:H360"/>
    <mergeCell ref="E361:H361"/>
    <mergeCell ref="F362:G362"/>
    <mergeCell ref="E364:H364"/>
    <mergeCell ref="E365:H365"/>
    <mergeCell ref="E366:G366"/>
    <mergeCell ref="E367:G367"/>
    <mergeCell ref="E368:G368"/>
    <mergeCell ref="E369:G369"/>
    <mergeCell ref="E370:G370"/>
    <mergeCell ref="E372:H372"/>
    <mergeCell ref="G373:H373"/>
    <mergeCell ref="G374:H374"/>
    <mergeCell ref="G375:H375"/>
    <mergeCell ref="G376:H376"/>
    <mergeCell ref="G377:H377"/>
    <mergeCell ref="G378:H378"/>
    <mergeCell ref="E379:G379"/>
    <mergeCell ref="E385:H385"/>
    <mergeCell ref="E386:H386"/>
    <mergeCell ref="E387:H387"/>
    <mergeCell ref="F388:G388"/>
    <mergeCell ref="E390:H390"/>
    <mergeCell ref="E391:H391"/>
    <mergeCell ref="E392:G392"/>
    <mergeCell ref="E393:G393"/>
    <mergeCell ref="E394:G394"/>
    <mergeCell ref="E395:G395"/>
    <mergeCell ref="E396:G396"/>
    <mergeCell ref="E398:H398"/>
    <mergeCell ref="G399:H399"/>
    <mergeCell ref="G400:H400"/>
    <mergeCell ref="G401:H401"/>
    <mergeCell ref="G402:H402"/>
    <mergeCell ref="G403:H403"/>
    <mergeCell ref="G404:H404"/>
    <mergeCell ref="E405:G405"/>
    <mergeCell ref="E411:H411"/>
    <mergeCell ref="E412:H412"/>
    <mergeCell ref="J438:M438"/>
    <mergeCell ref="J439:L439"/>
    <mergeCell ref="L429:M429"/>
    <mergeCell ref="J430:L430"/>
    <mergeCell ref="J432:M432"/>
    <mergeCell ref="N432:N443"/>
    <mergeCell ref="J433:M433"/>
    <mergeCell ref="J434:M434"/>
    <mergeCell ref="J437:M437"/>
    <mergeCell ref="J385:M385"/>
    <mergeCell ref="J386:M386"/>
    <mergeCell ref="J387:M387"/>
    <mergeCell ref="K388:L388"/>
    <mergeCell ref="J390:M390"/>
    <mergeCell ref="J391:M391"/>
    <mergeCell ref="J392:L392"/>
    <mergeCell ref="J393:L393"/>
    <mergeCell ref="J394:L394"/>
    <mergeCell ref="J395:L395"/>
    <mergeCell ref="J396:L396"/>
    <mergeCell ref="J398:M398"/>
    <mergeCell ref="L399:M399"/>
    <mergeCell ref="L400:M400"/>
    <mergeCell ref="L401:M401"/>
    <mergeCell ref="L402:M402"/>
    <mergeCell ref="L403:M403"/>
    <mergeCell ref="L404:M404"/>
    <mergeCell ref="J405:L405"/>
    <mergeCell ref="J406:L406"/>
    <mergeCell ref="J411:M411"/>
    <mergeCell ref="J412:M412"/>
    <mergeCell ref="J415:M415"/>
    <mergeCell ref="J416:M416"/>
    <mergeCell ref="J417:L417"/>
    <mergeCell ref="J418:L418"/>
    <mergeCell ref="J419:L419"/>
    <mergeCell ref="J420:L420"/>
    <mergeCell ref="J421:L421"/>
    <mergeCell ref="J423:M423"/>
    <mergeCell ref="L424:M424"/>
    <mergeCell ref="L425:M425"/>
    <mergeCell ref="L426:M426"/>
    <mergeCell ref="L427:M427"/>
    <mergeCell ref="L428:M428"/>
    <mergeCell ref="J440:L440"/>
    <mergeCell ref="J441:L441"/>
    <mergeCell ref="L450:M450"/>
    <mergeCell ref="L451:M451"/>
    <mergeCell ref="J452:L452"/>
    <mergeCell ref="J442:L442"/>
    <mergeCell ref="J443:L443"/>
    <mergeCell ref="J445:M445"/>
    <mergeCell ref="L446:M446"/>
    <mergeCell ref="L447:M447"/>
    <mergeCell ref="L448:M448"/>
    <mergeCell ref="L449:M449"/>
    <mergeCell ref="O368:Q368"/>
    <mergeCell ref="O369:Q369"/>
    <mergeCell ref="O370:Q370"/>
    <mergeCell ref="O372:R372"/>
    <mergeCell ref="Q373:R373"/>
    <mergeCell ref="Q374:R374"/>
    <mergeCell ref="Q375:R375"/>
    <mergeCell ref="Q376:R376"/>
    <mergeCell ref="Q377:R377"/>
    <mergeCell ref="Q378:R378"/>
    <mergeCell ref="O379:Q379"/>
    <mergeCell ref="O385:R385"/>
    <mergeCell ref="O386:R386"/>
    <mergeCell ref="O387:R387"/>
    <mergeCell ref="O312:R312"/>
    <mergeCell ref="O313:R313"/>
    <mergeCell ref="P314:Q314"/>
    <mergeCell ref="O316:R316"/>
    <mergeCell ref="O317:R317"/>
    <mergeCell ref="O318:Q318"/>
    <mergeCell ref="O319:Q319"/>
    <mergeCell ref="O320:Q320"/>
    <mergeCell ref="O321:Q321"/>
    <mergeCell ref="O322:Q322"/>
    <mergeCell ref="O324:R324"/>
    <mergeCell ref="Q325:R325"/>
    <mergeCell ref="Q326:R326"/>
    <mergeCell ref="Q327:R327"/>
    <mergeCell ref="Q328:R328"/>
    <mergeCell ref="Q329:R329"/>
    <mergeCell ref="Q330:R330"/>
    <mergeCell ref="O331:Q331"/>
    <mergeCell ref="O336:R336"/>
    <mergeCell ref="O337:R337"/>
    <mergeCell ref="O340:R340"/>
    <mergeCell ref="O341:R341"/>
    <mergeCell ref="O342:Q342"/>
    <mergeCell ref="O343:Q343"/>
    <mergeCell ref="O344:Q344"/>
    <mergeCell ref="O345:Q345"/>
    <mergeCell ref="O346:Q346"/>
    <mergeCell ref="O348:R348"/>
    <mergeCell ref="Q349:R349"/>
    <mergeCell ref="Q350:R350"/>
    <mergeCell ref="Q351:R351"/>
    <mergeCell ref="Q352:R352"/>
    <mergeCell ref="Q353:R353"/>
    <mergeCell ref="Q354:R354"/>
    <mergeCell ref="O355:Q355"/>
    <mergeCell ref="O359:R359"/>
    <mergeCell ref="O360:R360"/>
    <mergeCell ref="O361:R361"/>
    <mergeCell ref="O364:R364"/>
    <mergeCell ref="O365:R365"/>
    <mergeCell ref="O366:Q366"/>
    <mergeCell ref="O367:Q367"/>
    <mergeCell ref="O390:R390"/>
    <mergeCell ref="O391:R391"/>
    <mergeCell ref="O392:Q392"/>
    <mergeCell ref="O393:Q393"/>
    <mergeCell ref="O394:Q394"/>
    <mergeCell ref="O395:Q395"/>
    <mergeCell ref="O396:Q396"/>
    <mergeCell ref="O437:R437"/>
    <mergeCell ref="O438:R438"/>
    <mergeCell ref="Q426:R426"/>
    <mergeCell ref="Q427:R427"/>
    <mergeCell ref="Q428:R428"/>
    <mergeCell ref="Q429:R429"/>
    <mergeCell ref="O430:Q430"/>
    <mergeCell ref="O432:R432"/>
    <mergeCell ref="S432:S443"/>
    <mergeCell ref="O398:R398"/>
    <mergeCell ref="Q399:R399"/>
    <mergeCell ref="Q400:R400"/>
    <mergeCell ref="Q401:R401"/>
    <mergeCell ref="Q402:R402"/>
    <mergeCell ref="Q403:R403"/>
    <mergeCell ref="Q404:R404"/>
    <mergeCell ref="O405:Q405"/>
    <mergeCell ref="O411:R411"/>
    <mergeCell ref="O412:R412"/>
    <mergeCell ref="P413:Q413"/>
    <mergeCell ref="O415:R415"/>
    <mergeCell ref="O416:R416"/>
    <mergeCell ref="O417:Q417"/>
    <mergeCell ref="O418:Q418"/>
    <mergeCell ref="O419:Q419"/>
    <mergeCell ref="O420:Q420"/>
    <mergeCell ref="O421:Q421"/>
    <mergeCell ref="O423:R423"/>
    <mergeCell ref="Q424:R424"/>
    <mergeCell ref="Q425:R425"/>
    <mergeCell ref="O433:R433"/>
    <mergeCell ref="O434:R434"/>
    <mergeCell ref="O439:Q439"/>
    <mergeCell ref="O440:Q440"/>
    <mergeCell ref="O441:Q441"/>
    <mergeCell ref="O442:Q442"/>
    <mergeCell ref="Q451:R451"/>
    <mergeCell ref="O452:Q452"/>
    <mergeCell ref="O443:Q443"/>
    <mergeCell ref="O445:R445"/>
    <mergeCell ref="Q446:R446"/>
    <mergeCell ref="Q447:R447"/>
    <mergeCell ref="Q448:R448"/>
    <mergeCell ref="Q449:R449"/>
    <mergeCell ref="Q450:R450"/>
    <mergeCell ref="AD369:AG369"/>
    <mergeCell ref="AD370:AG370"/>
    <mergeCell ref="T372:W372"/>
    <mergeCell ref="Y372:AB372"/>
    <mergeCell ref="V373:W373"/>
    <mergeCell ref="AA373:AB373"/>
    <mergeCell ref="AA374:AB374"/>
    <mergeCell ref="AA377:AB377"/>
    <mergeCell ref="AA378:AB378"/>
    <mergeCell ref="V374:W374"/>
    <mergeCell ref="V375:W375"/>
    <mergeCell ref="AA375:AB375"/>
    <mergeCell ref="V376:W376"/>
    <mergeCell ref="AA376:AB376"/>
    <mergeCell ref="V377:W377"/>
    <mergeCell ref="V378:W378"/>
    <mergeCell ref="T379:V379"/>
    <mergeCell ref="Y379:AA379"/>
    <mergeCell ref="Y380:AA380"/>
    <mergeCell ref="E382:W383"/>
    <mergeCell ref="T385:W385"/>
    <mergeCell ref="AD385:AG385"/>
    <mergeCell ref="AD386:AG386"/>
    <mergeCell ref="AD387:AG387"/>
    <mergeCell ref="AD388:AG388"/>
    <mergeCell ref="AD390:AG390"/>
    <mergeCell ref="AD391:AG391"/>
    <mergeCell ref="AD392:AG392"/>
    <mergeCell ref="AD393:AG393"/>
    <mergeCell ref="AD394:AG394"/>
    <mergeCell ref="AD395:AG395"/>
    <mergeCell ref="AD396:AG396"/>
    <mergeCell ref="E409:AG409"/>
    <mergeCell ref="E410:H410"/>
    <mergeCell ref="J410:M410"/>
    <mergeCell ref="O410:R410"/>
    <mergeCell ref="T410:W410"/>
    <mergeCell ref="Y417:AA417"/>
    <mergeCell ref="Y418:AA418"/>
    <mergeCell ref="T433:W433"/>
    <mergeCell ref="T434:W434"/>
    <mergeCell ref="T435:W435"/>
    <mergeCell ref="T437:W437"/>
    <mergeCell ref="T438:W438"/>
    <mergeCell ref="T439:W439"/>
    <mergeCell ref="T440:W440"/>
    <mergeCell ref="T441:W441"/>
    <mergeCell ref="T442:W442"/>
    <mergeCell ref="T443:W443"/>
    <mergeCell ref="V426:W426"/>
    <mergeCell ref="V427:W427"/>
    <mergeCell ref="V428:W428"/>
    <mergeCell ref="V429:W429"/>
    <mergeCell ref="T430:V430"/>
    <mergeCell ref="T432:W432"/>
    <mergeCell ref="X432:X443"/>
    <mergeCell ref="Y434:AB434"/>
    <mergeCell ref="Y435:AB435"/>
    <mergeCell ref="Y437:AB437"/>
    <mergeCell ref="Y438:AB438"/>
    <mergeCell ref="Y439:AB439"/>
    <mergeCell ref="Y440:AB440"/>
    <mergeCell ref="Y441:AB441"/>
    <mergeCell ref="Y442:AB442"/>
    <mergeCell ref="AA425:AB425"/>
    <mergeCell ref="AA426:AB426"/>
    <mergeCell ref="AA427:AB427"/>
    <mergeCell ref="AA428:AB428"/>
    <mergeCell ref="AA429:AB429"/>
    <mergeCell ref="Y430:AA430"/>
    <mergeCell ref="AC432:AC443"/>
    <mergeCell ref="Y443:AB443"/>
    <mergeCell ref="AD416:AG416"/>
    <mergeCell ref="AD417:AF417"/>
    <mergeCell ref="AD419:AF419"/>
    <mergeCell ref="AD420:AF420"/>
    <mergeCell ref="AD421:AF421"/>
    <mergeCell ref="T415:W415"/>
    <mergeCell ref="Y415:AB415"/>
    <mergeCell ref="AD415:AG415"/>
    <mergeCell ref="T416:W416"/>
    <mergeCell ref="Y416:AB416"/>
    <mergeCell ref="T417:V417"/>
    <mergeCell ref="AD418:AF418"/>
    <mergeCell ref="T418:V418"/>
    <mergeCell ref="T419:V419"/>
    <mergeCell ref="Y419:AA419"/>
    <mergeCell ref="T420:V420"/>
    <mergeCell ref="Y420:AA420"/>
    <mergeCell ref="T421:V421"/>
    <mergeCell ref="Y421:AA421"/>
    <mergeCell ref="T423:W423"/>
    <mergeCell ref="Y423:AB423"/>
    <mergeCell ref="AD423:AG423"/>
    <mergeCell ref="V424:W424"/>
    <mergeCell ref="AA424:AB424"/>
    <mergeCell ref="V425:W425"/>
    <mergeCell ref="AF426:AG426"/>
    <mergeCell ref="Y432:AB432"/>
    <mergeCell ref="Y433:AB433"/>
    <mergeCell ref="AF424:AG424"/>
    <mergeCell ref="AF425:AG425"/>
    <mergeCell ref="AF427:AG427"/>
    <mergeCell ref="AF428:AG428"/>
    <mergeCell ref="AF429:AG429"/>
    <mergeCell ref="AD430:AF430"/>
    <mergeCell ref="AD432:AG432"/>
    <mergeCell ref="AD441:AG441"/>
    <mergeCell ref="AD442:AG442"/>
    <mergeCell ref="AD443:AG443"/>
    <mergeCell ref="AD433:AG433"/>
    <mergeCell ref="AD434:AG434"/>
    <mergeCell ref="AD435:AG435"/>
    <mergeCell ref="AD437:AG437"/>
    <mergeCell ref="AD438:AG438"/>
    <mergeCell ref="AD439:AG439"/>
    <mergeCell ref="AD440:AG440"/>
    <mergeCell ref="J264:M264"/>
    <mergeCell ref="J265:M265"/>
    <mergeCell ref="K266:L266"/>
    <mergeCell ref="J268:M268"/>
    <mergeCell ref="J269:M269"/>
    <mergeCell ref="O269:R269"/>
    <mergeCell ref="O270:Q270"/>
    <mergeCell ref="J270:L270"/>
    <mergeCell ref="J271:L271"/>
    <mergeCell ref="J272:L272"/>
    <mergeCell ref="J273:L273"/>
    <mergeCell ref="O273:Q273"/>
    <mergeCell ref="J274:L274"/>
    <mergeCell ref="O274:Q274"/>
    <mergeCell ref="J276:M276"/>
    <mergeCell ref="O276:R276"/>
    <mergeCell ref="L277:M277"/>
    <mergeCell ref="Q277:R277"/>
    <mergeCell ref="L278:M278"/>
    <mergeCell ref="Q278:R278"/>
    <mergeCell ref="Q279:R279"/>
    <mergeCell ref="L279:M279"/>
    <mergeCell ref="L280:M280"/>
    <mergeCell ref="L281:M281"/>
    <mergeCell ref="L282:M282"/>
    <mergeCell ref="J283:L283"/>
    <mergeCell ref="J288:M288"/>
    <mergeCell ref="J289:M289"/>
    <mergeCell ref="J292:M292"/>
    <mergeCell ref="J293:M293"/>
    <mergeCell ref="J294:L294"/>
    <mergeCell ref="J295:L295"/>
    <mergeCell ref="J296:L296"/>
    <mergeCell ref="J297:L297"/>
    <mergeCell ref="J298:L298"/>
    <mergeCell ref="Q301:R301"/>
    <mergeCell ref="Q302:R302"/>
    <mergeCell ref="Q303:R303"/>
    <mergeCell ref="Q304:R304"/>
    <mergeCell ref="Q305:R305"/>
    <mergeCell ref="Q306:R306"/>
    <mergeCell ref="O311:R311"/>
    <mergeCell ref="G306:H306"/>
    <mergeCell ref="L306:M306"/>
    <mergeCell ref="O307:Q307"/>
    <mergeCell ref="Q280:R280"/>
    <mergeCell ref="Q281:R281"/>
    <mergeCell ref="Q282:R282"/>
    <mergeCell ref="O283:Q283"/>
    <mergeCell ref="O288:R288"/>
    <mergeCell ref="O289:R289"/>
    <mergeCell ref="O292:R292"/>
    <mergeCell ref="V306:W306"/>
    <mergeCell ref="T307:V307"/>
    <mergeCell ref="Y307:AA307"/>
    <mergeCell ref="AD307:AF307"/>
    <mergeCell ref="V303:W303"/>
    <mergeCell ref="AA303:AB303"/>
    <mergeCell ref="AF303:AG303"/>
    <mergeCell ref="V304:W304"/>
    <mergeCell ref="AA304:AB304"/>
    <mergeCell ref="V305:W305"/>
    <mergeCell ref="AF306:AG306"/>
    <mergeCell ref="Y311:AB311"/>
    <mergeCell ref="Y312:AB312"/>
    <mergeCell ref="O293:R293"/>
    <mergeCell ref="O294:Q294"/>
    <mergeCell ref="O295:Q295"/>
    <mergeCell ref="O296:Q296"/>
    <mergeCell ref="O297:Q297"/>
    <mergeCell ref="O298:Q298"/>
    <mergeCell ref="O300:R300"/>
    <mergeCell ref="AF304:AG304"/>
    <mergeCell ref="AF305:AG305"/>
    <mergeCell ref="AD311:AG311"/>
    <mergeCell ref="AD312:AG312"/>
    <mergeCell ref="AD313:AG313"/>
    <mergeCell ref="AE314:AF314"/>
    <mergeCell ref="AD316:AG316"/>
    <mergeCell ref="AF325:AG325"/>
    <mergeCell ref="AF326:AG326"/>
    <mergeCell ref="AF327:AG327"/>
    <mergeCell ref="AF328:AG328"/>
    <mergeCell ref="AF329:AG329"/>
    <mergeCell ref="AF330:AG330"/>
    <mergeCell ref="AD331:AF331"/>
    <mergeCell ref="AD317:AG317"/>
    <mergeCell ref="AD318:AF318"/>
    <mergeCell ref="AD319:AF319"/>
    <mergeCell ref="AD320:AF320"/>
    <mergeCell ref="AD321:AF321"/>
    <mergeCell ref="AD322:AF322"/>
    <mergeCell ref="AD324:AG324"/>
    <mergeCell ref="T321:V321"/>
    <mergeCell ref="Y321:AA321"/>
    <mergeCell ref="T322:V322"/>
    <mergeCell ref="Y322:AA322"/>
    <mergeCell ref="T324:W324"/>
    <mergeCell ref="Y324:AB324"/>
    <mergeCell ref="V325:W325"/>
    <mergeCell ref="AA325:AB325"/>
    <mergeCell ref="AA326:AB326"/>
    <mergeCell ref="AD336:AG336"/>
    <mergeCell ref="AD337:AG337"/>
    <mergeCell ref="AD340:AG340"/>
    <mergeCell ref="AD341:AG341"/>
    <mergeCell ref="AD342:AF342"/>
    <mergeCell ref="AD343:AF343"/>
    <mergeCell ref="E334:AG334"/>
    <mergeCell ref="E335:H335"/>
    <mergeCell ref="J335:M335"/>
    <mergeCell ref="O335:R335"/>
    <mergeCell ref="T335:W335"/>
    <mergeCell ref="Y335:AB335"/>
    <mergeCell ref="AD335:AG335"/>
    <mergeCell ref="T337:W337"/>
    <mergeCell ref="T340:W340"/>
    <mergeCell ref="V326:W326"/>
    <mergeCell ref="V327:W327"/>
    <mergeCell ref="V328:W328"/>
    <mergeCell ref="V329:W329"/>
    <mergeCell ref="V330:W330"/>
    <mergeCell ref="T331:V331"/>
    <mergeCell ref="T336:W336"/>
    <mergeCell ref="L354:M354"/>
    <mergeCell ref="J355:L355"/>
    <mergeCell ref="J359:M359"/>
    <mergeCell ref="J360:M360"/>
    <mergeCell ref="J361:M361"/>
    <mergeCell ref="J364:M364"/>
    <mergeCell ref="J365:M365"/>
    <mergeCell ref="J366:L366"/>
    <mergeCell ref="J367:L367"/>
    <mergeCell ref="J368:L368"/>
    <mergeCell ref="J369:L369"/>
    <mergeCell ref="J370:L370"/>
    <mergeCell ref="J372:M372"/>
    <mergeCell ref="L373:M373"/>
    <mergeCell ref="Z338:AA338"/>
    <mergeCell ref="Y340:AB340"/>
    <mergeCell ref="T341:W341"/>
    <mergeCell ref="Y341:AB341"/>
    <mergeCell ref="T342:V342"/>
    <mergeCell ref="Y342:AA342"/>
    <mergeCell ref="Y343:AA343"/>
    <mergeCell ref="T343:V343"/>
    <mergeCell ref="T344:V344"/>
    <mergeCell ref="AD344:AF344"/>
    <mergeCell ref="AD345:AF345"/>
    <mergeCell ref="AD346:AF346"/>
    <mergeCell ref="Y348:AB348"/>
    <mergeCell ref="AD348:AG348"/>
    <mergeCell ref="AA350:AB350"/>
    <mergeCell ref="AA351:AB351"/>
    <mergeCell ref="AA352:AB352"/>
    <mergeCell ref="AA353:AB353"/>
    <mergeCell ref="AA354:AB354"/>
    <mergeCell ref="Y355:AA355"/>
    <mergeCell ref="Y356:AA356"/>
    <mergeCell ref="V351:W351"/>
    <mergeCell ref="V352:W352"/>
    <mergeCell ref="V353:W353"/>
    <mergeCell ref="V354:W354"/>
    <mergeCell ref="T355:V355"/>
    <mergeCell ref="T348:W348"/>
    <mergeCell ref="V349:W349"/>
    <mergeCell ref="AA349:AB349"/>
    <mergeCell ref="AF349:AG349"/>
    <mergeCell ref="V350:W350"/>
    <mergeCell ref="AF350:AG350"/>
    <mergeCell ref="AF351:AG351"/>
    <mergeCell ref="AF352:AG352"/>
    <mergeCell ref="AF353:AG353"/>
    <mergeCell ref="AF354:AG354"/>
    <mergeCell ref="AD355:AF355"/>
    <mergeCell ref="AD356:AF356"/>
    <mergeCell ref="AD359:AG359"/>
    <mergeCell ref="AD360:AG360"/>
    <mergeCell ref="AD361:AG361"/>
    <mergeCell ref="AD362:AG362"/>
    <mergeCell ref="AD364:AG364"/>
    <mergeCell ref="AD365:AG365"/>
    <mergeCell ref="AD366:AG366"/>
    <mergeCell ref="AD367:AG367"/>
    <mergeCell ref="AD368:AG368"/>
    <mergeCell ref="AD412:AG412"/>
    <mergeCell ref="AE413:AF413"/>
    <mergeCell ref="Y410:AB410"/>
    <mergeCell ref="AD410:AG410"/>
    <mergeCell ref="T411:W411"/>
    <mergeCell ref="Y411:AB411"/>
    <mergeCell ref="AD411:AG411"/>
    <mergeCell ref="T412:W412"/>
    <mergeCell ref="Y412:AB412"/>
    <mergeCell ref="T37:W37"/>
    <mergeCell ref="Y37:AB37"/>
    <mergeCell ref="Q19:R19"/>
    <mergeCell ref="Q20:R20"/>
    <mergeCell ref="V20:W20"/>
    <mergeCell ref="AA20:AB20"/>
    <mergeCell ref="X26:X37"/>
    <mergeCell ref="Y26:AB26"/>
    <mergeCell ref="AC26:AC37"/>
    <mergeCell ref="T16:W16"/>
    <mergeCell ref="V17:W17"/>
    <mergeCell ref="Q18:R18"/>
    <mergeCell ref="V18:W18"/>
    <mergeCell ref="AA18:AB18"/>
    <mergeCell ref="V19:W19"/>
    <mergeCell ref="AA19:AB19"/>
    <mergeCell ref="T31:W31"/>
    <mergeCell ref="Y31:AB31"/>
    <mergeCell ref="T32:W32"/>
    <mergeCell ref="Y32:AB32"/>
    <mergeCell ref="T33:V33"/>
    <mergeCell ref="Y33:AB33"/>
    <mergeCell ref="T34:V34"/>
    <mergeCell ref="Y34:AB34"/>
    <mergeCell ref="T35:V35"/>
    <mergeCell ref="Y35:AB35"/>
    <mergeCell ref="Y50:AB50"/>
    <mergeCell ref="Y51:AB51"/>
    <mergeCell ref="T36:W36"/>
    <mergeCell ref="Y36:AB36"/>
    <mergeCell ref="X49:X60"/>
    <mergeCell ref="Y49:AB49"/>
    <mergeCell ref="AC49:AC60"/>
    <mergeCell ref="T50:W50"/>
    <mergeCell ref="Y52:AB52"/>
    <mergeCell ref="T60:V60"/>
    <mergeCell ref="Y60:AB60"/>
    <mergeCell ref="T62:W62"/>
    <mergeCell ref="V63:W63"/>
    <mergeCell ref="V64:W64"/>
    <mergeCell ref="V65:W65"/>
    <mergeCell ref="V66:W66"/>
    <mergeCell ref="T51:W51"/>
    <mergeCell ref="T54:W54"/>
    <mergeCell ref="Y54:AB54"/>
    <mergeCell ref="T55:W55"/>
    <mergeCell ref="Y55:AB55"/>
    <mergeCell ref="T56:V56"/>
    <mergeCell ref="Y56:AB56"/>
    <mergeCell ref="T57:V57"/>
    <mergeCell ref="Y57:AB57"/>
    <mergeCell ref="T58:V58"/>
    <mergeCell ref="Y58:AB58"/>
    <mergeCell ref="T59:V59"/>
    <mergeCell ref="Y59:AB59"/>
    <mergeCell ref="T74:W74"/>
    <mergeCell ref="T75:W75"/>
    <mergeCell ref="Y75:AB75"/>
    <mergeCell ref="U76:V76"/>
    <mergeCell ref="Y76:AB76"/>
    <mergeCell ref="V67:W67"/>
    <mergeCell ref="V68:W68"/>
    <mergeCell ref="T69:V69"/>
    <mergeCell ref="X73:X84"/>
    <mergeCell ref="Y73:AB73"/>
    <mergeCell ref="AC73:AC84"/>
    <mergeCell ref="Y74:AB74"/>
    <mergeCell ref="T78:W78"/>
    <mergeCell ref="Y78:AB78"/>
    <mergeCell ref="T79:W79"/>
    <mergeCell ref="Y79:AB79"/>
    <mergeCell ref="T80:V80"/>
    <mergeCell ref="Y80:AB80"/>
    <mergeCell ref="T81:V81"/>
    <mergeCell ref="Y81:AB81"/>
    <mergeCell ref="T82:V82"/>
    <mergeCell ref="Y82:AB82"/>
    <mergeCell ref="T83:V83"/>
    <mergeCell ref="Y83:AB83"/>
    <mergeCell ref="Y98:AB98"/>
    <mergeCell ref="Y99:AB99"/>
    <mergeCell ref="T128:V128"/>
    <mergeCell ref="T129:V129"/>
    <mergeCell ref="Y128:AB128"/>
    <mergeCell ref="Y129:AB129"/>
    <mergeCell ref="T130:V130"/>
    <mergeCell ref="T131:V131"/>
    <mergeCell ref="T99:W99"/>
    <mergeCell ref="T102:W102"/>
    <mergeCell ref="X121:X132"/>
    <mergeCell ref="T122:W122"/>
    <mergeCell ref="T123:W123"/>
    <mergeCell ref="T126:W126"/>
    <mergeCell ref="T127:W127"/>
    <mergeCell ref="T132:V132"/>
    <mergeCell ref="Y130:AB130"/>
    <mergeCell ref="Y131:AB131"/>
    <mergeCell ref="T108:V108"/>
    <mergeCell ref="Y108:AB108"/>
    <mergeCell ref="Y121:AB121"/>
    <mergeCell ref="AC121:AC132"/>
    <mergeCell ref="Y122:AB122"/>
    <mergeCell ref="Y123:AB123"/>
    <mergeCell ref="Y124:AB124"/>
    <mergeCell ref="Y132:AB132"/>
    <mergeCell ref="Y102:AB102"/>
    <mergeCell ref="T103:W103"/>
    <mergeCell ref="Y103:AB103"/>
    <mergeCell ref="T104:V104"/>
    <mergeCell ref="Y104:AB104"/>
    <mergeCell ref="T105:V105"/>
    <mergeCell ref="Y105:AB105"/>
    <mergeCell ref="T106:V106"/>
    <mergeCell ref="Y106:AB106"/>
    <mergeCell ref="T107:V107"/>
    <mergeCell ref="Y107:AB107"/>
    <mergeCell ref="T84:V84"/>
    <mergeCell ref="Y84:AB84"/>
    <mergeCell ref="X97:X108"/>
    <mergeCell ref="Y97:AB97"/>
    <mergeCell ref="AC97:AC108"/>
    <mergeCell ref="T98:W98"/>
    <mergeCell ref="Y100:AB100"/>
    <mergeCell ref="Y126:AB126"/>
    <mergeCell ref="Y127:AB127"/>
    <mergeCell ref="J50:M50"/>
    <mergeCell ref="J51:M51"/>
    <mergeCell ref="L41:M41"/>
    <mergeCell ref="L42:M42"/>
    <mergeCell ref="L43:M43"/>
    <mergeCell ref="L44:M44"/>
    <mergeCell ref="L45:M45"/>
    <mergeCell ref="J46:L46"/>
    <mergeCell ref="J49:M49"/>
    <mergeCell ref="E49:H49"/>
    <mergeCell ref="E50:H50"/>
    <mergeCell ref="G41:H41"/>
    <mergeCell ref="G42:H42"/>
    <mergeCell ref="G43:H43"/>
    <mergeCell ref="G44:H44"/>
    <mergeCell ref="G45:H45"/>
    <mergeCell ref="E46:G46"/>
    <mergeCell ref="E51:H51"/>
    <mergeCell ref="E55:H55"/>
    <mergeCell ref="E56:G56"/>
    <mergeCell ref="C50:C51"/>
    <mergeCell ref="C52:C54"/>
    <mergeCell ref="F52:G52"/>
    <mergeCell ref="E54:H54"/>
    <mergeCell ref="J54:M54"/>
    <mergeCell ref="J55:M55"/>
    <mergeCell ref="J56:L56"/>
    <mergeCell ref="J59:L59"/>
    <mergeCell ref="J60:L60"/>
    <mergeCell ref="C55:C57"/>
    <mergeCell ref="E57:G57"/>
    <mergeCell ref="J57:L57"/>
    <mergeCell ref="E58:G58"/>
    <mergeCell ref="J58:L58"/>
    <mergeCell ref="E59:G59"/>
    <mergeCell ref="E60:G60"/>
    <mergeCell ref="G65:H65"/>
    <mergeCell ref="G66:H66"/>
    <mergeCell ref="G67:H67"/>
    <mergeCell ref="G68:H68"/>
    <mergeCell ref="E69:G69"/>
    <mergeCell ref="L66:M66"/>
    <mergeCell ref="L67:M67"/>
    <mergeCell ref="L68:M68"/>
    <mergeCell ref="J69:L69"/>
    <mergeCell ref="E62:H62"/>
    <mergeCell ref="J62:M62"/>
    <mergeCell ref="G63:H63"/>
    <mergeCell ref="L63:M63"/>
    <mergeCell ref="G64:H64"/>
    <mergeCell ref="L64:M64"/>
    <mergeCell ref="L65:M65"/>
    <mergeCell ref="C29:C31"/>
    <mergeCell ref="F29:G29"/>
    <mergeCell ref="K29:L29"/>
    <mergeCell ref="E31:H31"/>
    <mergeCell ref="O31:R31"/>
    <mergeCell ref="C32:C34"/>
    <mergeCell ref="E34:G34"/>
    <mergeCell ref="O34:Q34"/>
    <mergeCell ref="E32:H32"/>
    <mergeCell ref="E33:G33"/>
    <mergeCell ref="E35:G35"/>
    <mergeCell ref="E36:G36"/>
    <mergeCell ref="E37:G37"/>
    <mergeCell ref="E39:H39"/>
    <mergeCell ref="G40:H40"/>
    <mergeCell ref="J33:L33"/>
    <mergeCell ref="J34:L34"/>
    <mergeCell ref="J35:L35"/>
    <mergeCell ref="J36:L36"/>
    <mergeCell ref="J37:L37"/>
    <mergeCell ref="J39:M39"/>
    <mergeCell ref="L40:M40"/>
    <mergeCell ref="O32:R32"/>
    <mergeCell ref="O33:Q33"/>
    <mergeCell ref="O35:Q35"/>
    <mergeCell ref="O36:Q36"/>
    <mergeCell ref="O37:Q37"/>
    <mergeCell ref="O39:R39"/>
    <mergeCell ref="Q40:R40"/>
    <mergeCell ref="Q41:R41"/>
    <mergeCell ref="Q42:R42"/>
    <mergeCell ref="Q43:R43"/>
    <mergeCell ref="Q44:R44"/>
    <mergeCell ref="Q45:R45"/>
    <mergeCell ref="O46:Q46"/>
    <mergeCell ref="O49:R49"/>
    <mergeCell ref="O50:R50"/>
    <mergeCell ref="O51:R51"/>
    <mergeCell ref="P52:Q52"/>
    <mergeCell ref="O54:R54"/>
    <mergeCell ref="O55:R55"/>
    <mergeCell ref="O56:Q56"/>
    <mergeCell ref="O57:Q57"/>
    <mergeCell ref="Q66:R66"/>
    <mergeCell ref="Q67:R67"/>
    <mergeCell ref="Q68:R68"/>
    <mergeCell ref="O69:Q69"/>
    <mergeCell ref="O58:Q58"/>
    <mergeCell ref="O59:Q59"/>
    <mergeCell ref="O60:Q60"/>
    <mergeCell ref="O62:R62"/>
    <mergeCell ref="Q63:R63"/>
    <mergeCell ref="Q64:R64"/>
    <mergeCell ref="Q65:R65"/>
    <mergeCell ref="J78:M78"/>
    <mergeCell ref="J79:M79"/>
    <mergeCell ref="J80:L80"/>
    <mergeCell ref="J81:L81"/>
    <mergeCell ref="J82:L82"/>
    <mergeCell ref="J83:L83"/>
    <mergeCell ref="J84:L84"/>
    <mergeCell ref="E80:G80"/>
    <mergeCell ref="E81:G81"/>
    <mergeCell ref="E82:G82"/>
    <mergeCell ref="E83:G83"/>
    <mergeCell ref="E84:G84"/>
    <mergeCell ref="E74:H74"/>
    <mergeCell ref="E75:H75"/>
    <mergeCell ref="C76:C78"/>
    <mergeCell ref="F76:G76"/>
    <mergeCell ref="E78:H78"/>
    <mergeCell ref="C79:C81"/>
    <mergeCell ref="E79:H79"/>
    <mergeCell ref="T39:W39"/>
    <mergeCell ref="V40:W40"/>
    <mergeCell ref="V41:W41"/>
    <mergeCell ref="V42:W42"/>
    <mergeCell ref="V43:W43"/>
    <mergeCell ref="V44:W44"/>
    <mergeCell ref="V45:W45"/>
    <mergeCell ref="T46:V46"/>
    <mergeCell ref="T49:W49"/>
    <mergeCell ref="AD49:AG49"/>
    <mergeCell ref="AD50:AG50"/>
    <mergeCell ref="AD51:AG51"/>
    <mergeCell ref="AD52:AG52"/>
    <mergeCell ref="AD54:AG54"/>
    <mergeCell ref="AD55:AG55"/>
    <mergeCell ref="AD56:AG56"/>
    <mergeCell ref="AD57:AG57"/>
    <mergeCell ref="AD58:AG58"/>
    <mergeCell ref="AD59:AG59"/>
    <mergeCell ref="AD60:AG60"/>
    <mergeCell ref="E72:AG72"/>
    <mergeCell ref="J75:M75"/>
    <mergeCell ref="O75:R75"/>
    <mergeCell ref="E73:H73"/>
    <mergeCell ref="J73:M73"/>
    <mergeCell ref="T73:W73"/>
    <mergeCell ref="AD73:AG73"/>
    <mergeCell ref="C74:C75"/>
    <mergeCell ref="J74:M74"/>
    <mergeCell ref="AD74:AG74"/>
    <mergeCell ref="O83:Q83"/>
    <mergeCell ref="O84:Q84"/>
    <mergeCell ref="O73:R73"/>
    <mergeCell ref="O74:R74"/>
    <mergeCell ref="O78:R78"/>
    <mergeCell ref="O79:R79"/>
    <mergeCell ref="O80:Q80"/>
    <mergeCell ref="O81:Q81"/>
    <mergeCell ref="O82:Q82"/>
    <mergeCell ref="AD75:AG75"/>
    <mergeCell ref="AD76:AG76"/>
    <mergeCell ref="AD78:AG78"/>
    <mergeCell ref="AD79:AG79"/>
    <mergeCell ref="AD80:AG80"/>
    <mergeCell ref="AD81:AG81"/>
    <mergeCell ref="AD82:AG82"/>
    <mergeCell ref="AD83:AG83"/>
    <mergeCell ref="AD84:AG84"/>
    <mergeCell ref="E86:H86"/>
    <mergeCell ref="J86:M86"/>
    <mergeCell ref="T86:W86"/>
    <mergeCell ref="G87:H87"/>
    <mergeCell ref="L87:M87"/>
    <mergeCell ref="V87:W87"/>
    <mergeCell ref="Q88:R88"/>
    <mergeCell ref="Q89:R89"/>
    <mergeCell ref="Q90:R90"/>
    <mergeCell ref="V90:W90"/>
    <mergeCell ref="Q91:R91"/>
    <mergeCell ref="V91:W91"/>
    <mergeCell ref="Q92:R92"/>
    <mergeCell ref="V92:W92"/>
    <mergeCell ref="O86:R86"/>
    <mergeCell ref="Q87:R87"/>
    <mergeCell ref="G88:H88"/>
    <mergeCell ref="L88:M88"/>
    <mergeCell ref="V88:W88"/>
    <mergeCell ref="L89:M89"/>
    <mergeCell ref="V89:W89"/>
    <mergeCell ref="G89:H89"/>
    <mergeCell ref="G90:H90"/>
    <mergeCell ref="L90:M90"/>
    <mergeCell ref="G91:H91"/>
    <mergeCell ref="L91:M91"/>
    <mergeCell ref="G92:H92"/>
    <mergeCell ref="L92:M92"/>
    <mergeCell ref="E93:G93"/>
    <mergeCell ref="J93:L93"/>
    <mergeCell ref="O93:Q93"/>
    <mergeCell ref="T93:V93"/>
    <mergeCell ref="E96:AG96"/>
    <mergeCell ref="E97:H97"/>
    <mergeCell ref="J97:M97"/>
    <mergeCell ref="AD105:AG105"/>
    <mergeCell ref="AD106:AG106"/>
    <mergeCell ref="AD107:AG107"/>
    <mergeCell ref="AD108:AG108"/>
    <mergeCell ref="AD97:AG97"/>
    <mergeCell ref="AD98:AG98"/>
    <mergeCell ref="AD99:AG99"/>
    <mergeCell ref="AD100:AG100"/>
    <mergeCell ref="AD102:AG102"/>
    <mergeCell ref="AD103:AG103"/>
    <mergeCell ref="AD104:AG104"/>
    <mergeCell ref="J99:M99"/>
    <mergeCell ref="K100:L100"/>
    <mergeCell ref="O97:R97"/>
    <mergeCell ref="T97:W97"/>
    <mergeCell ref="C98:C99"/>
    <mergeCell ref="E98:H98"/>
    <mergeCell ref="J98:M98"/>
    <mergeCell ref="E99:H99"/>
    <mergeCell ref="C100:C102"/>
    <mergeCell ref="O102:R102"/>
    <mergeCell ref="J104:L104"/>
    <mergeCell ref="J105:L105"/>
    <mergeCell ref="E102:H102"/>
    <mergeCell ref="J102:M102"/>
    <mergeCell ref="C103:C105"/>
    <mergeCell ref="E103:H103"/>
    <mergeCell ref="J103:M103"/>
    <mergeCell ref="E104:G104"/>
    <mergeCell ref="E105:G105"/>
    <mergeCell ref="O108:Q108"/>
    <mergeCell ref="O110:R110"/>
    <mergeCell ref="T110:W110"/>
    <mergeCell ref="Q111:R111"/>
    <mergeCell ref="V111:W111"/>
    <mergeCell ref="Q112:R112"/>
    <mergeCell ref="V112:W112"/>
    <mergeCell ref="O98:R98"/>
    <mergeCell ref="O99:R99"/>
    <mergeCell ref="O103:R103"/>
    <mergeCell ref="O104:Q104"/>
    <mergeCell ref="O105:Q105"/>
    <mergeCell ref="O106:Q106"/>
    <mergeCell ref="O107:Q107"/>
    <mergeCell ref="L111:M111"/>
    <mergeCell ref="L112:M112"/>
    <mergeCell ref="Y3:AB3"/>
    <mergeCell ref="AD3:AG3"/>
    <mergeCell ref="E3:H3"/>
    <mergeCell ref="E4:H4"/>
    <mergeCell ref="O3:R3"/>
    <mergeCell ref="O4:R4"/>
    <mergeCell ref="T4:W4"/>
    <mergeCell ref="Y4:AB4"/>
    <mergeCell ref="AD4:AG4"/>
    <mergeCell ref="J4:M4"/>
    <mergeCell ref="J5:M5"/>
    <mergeCell ref="C4:C5"/>
    <mergeCell ref="C6:C8"/>
    <mergeCell ref="AD11:AG11"/>
    <mergeCell ref="AD12:AG12"/>
    <mergeCell ref="AD13:AG13"/>
    <mergeCell ref="O5:R5"/>
    <mergeCell ref="T5:W5"/>
    <mergeCell ref="AD5:AG5"/>
    <mergeCell ref="AD6:AG6"/>
    <mergeCell ref="AD8:AG8"/>
    <mergeCell ref="AD9:AG9"/>
    <mergeCell ref="AD10:AG10"/>
    <mergeCell ref="K6:L6"/>
    <mergeCell ref="U6:V6"/>
    <mergeCell ref="J3:M3"/>
    <mergeCell ref="S3:S14"/>
    <mergeCell ref="T3:W3"/>
    <mergeCell ref="X3:X14"/>
    <mergeCell ref="AC3:AC14"/>
    <mergeCell ref="Y5:AB5"/>
    <mergeCell ref="T9:W9"/>
    <mergeCell ref="J11:L11"/>
    <mergeCell ref="O11:Q11"/>
    <mergeCell ref="T11:V11"/>
    <mergeCell ref="Y11:AA11"/>
    <mergeCell ref="J12:L12"/>
    <mergeCell ref="O12:Q12"/>
    <mergeCell ref="T12:V12"/>
    <mergeCell ref="Y12:AA12"/>
    <mergeCell ref="J13:L13"/>
    <mergeCell ref="O13:Q13"/>
    <mergeCell ref="T13:V13"/>
    <mergeCell ref="Y13:AA13"/>
    <mergeCell ref="J14:L14"/>
    <mergeCell ref="O14:Q14"/>
    <mergeCell ref="AD14:AG14"/>
    <mergeCell ref="E8:H8"/>
    <mergeCell ref="J8:M8"/>
    <mergeCell ref="O8:R8"/>
    <mergeCell ref="T8:W8"/>
    <mergeCell ref="J9:M9"/>
    <mergeCell ref="O9:R9"/>
    <mergeCell ref="Y8:AB8"/>
    <mergeCell ref="Y9:AB9"/>
    <mergeCell ref="J10:L10"/>
    <mergeCell ref="O10:Q10"/>
    <mergeCell ref="T10:V10"/>
    <mergeCell ref="Y10:AA10"/>
    <mergeCell ref="T14:V14"/>
    <mergeCell ref="Y14:AA14"/>
    <mergeCell ref="E5:H5"/>
    <mergeCell ref="C9:C11"/>
    <mergeCell ref="E9:H9"/>
    <mergeCell ref="E10:G10"/>
    <mergeCell ref="E11:G11"/>
    <mergeCell ref="E12:G12"/>
    <mergeCell ref="E13:G13"/>
    <mergeCell ref="G17:H17"/>
    <mergeCell ref="O26:R26"/>
    <mergeCell ref="O27:R27"/>
    <mergeCell ref="T27:W27"/>
    <mergeCell ref="Y27:AB27"/>
    <mergeCell ref="E27:H27"/>
    <mergeCell ref="E28:H28"/>
    <mergeCell ref="J28:M28"/>
    <mergeCell ref="O28:R28"/>
    <mergeCell ref="E26:H26"/>
    <mergeCell ref="J26:M26"/>
    <mergeCell ref="T26:W26"/>
    <mergeCell ref="AD26:AG26"/>
    <mergeCell ref="C27:C28"/>
    <mergeCell ref="J27:M27"/>
    <mergeCell ref="AD27:AG27"/>
    <mergeCell ref="AD28:AG28"/>
    <mergeCell ref="AD35:AG35"/>
    <mergeCell ref="AD36:AG36"/>
    <mergeCell ref="AD37:AG37"/>
    <mergeCell ref="T28:W28"/>
    <mergeCell ref="Y28:AB28"/>
    <mergeCell ref="AD29:AG29"/>
    <mergeCell ref="AD31:AG31"/>
    <mergeCell ref="AD32:AG32"/>
    <mergeCell ref="AD33:AG33"/>
    <mergeCell ref="AD34:AG34"/>
    <mergeCell ref="E14:G14"/>
    <mergeCell ref="J16:M16"/>
    <mergeCell ref="O16:R16"/>
    <mergeCell ref="Y16:AB16"/>
    <mergeCell ref="L17:M17"/>
    <mergeCell ref="Q17:R17"/>
    <mergeCell ref="AA17:AB17"/>
    <mergeCell ref="L20:M20"/>
    <mergeCell ref="L21:M21"/>
    <mergeCell ref="Q21:R21"/>
    <mergeCell ref="V21:W21"/>
    <mergeCell ref="AA21:AB21"/>
    <mergeCell ref="G22:H22"/>
    <mergeCell ref="L22:M22"/>
    <mergeCell ref="Q22:R22"/>
    <mergeCell ref="V22:W22"/>
    <mergeCell ref="AA22:AB22"/>
    <mergeCell ref="E23:G23"/>
    <mergeCell ref="J23:L23"/>
    <mergeCell ref="O23:Q23"/>
    <mergeCell ref="T23:V23"/>
    <mergeCell ref="Y23:AA23"/>
    <mergeCell ref="E16:H16"/>
    <mergeCell ref="G18:H18"/>
    <mergeCell ref="L18:M18"/>
    <mergeCell ref="G19:H19"/>
    <mergeCell ref="L19:M19"/>
    <mergeCell ref="G20:H20"/>
    <mergeCell ref="G21:H21"/>
    <mergeCell ref="U29:V29"/>
    <mergeCell ref="Y29:AB29"/>
    <mergeCell ref="J31:M31"/>
    <mergeCell ref="J32:M32"/>
    <mergeCell ref="E106:G106"/>
    <mergeCell ref="J106:L106"/>
    <mergeCell ref="E107:G107"/>
    <mergeCell ref="J107:L107"/>
    <mergeCell ref="E108:G108"/>
    <mergeCell ref="J108:L108"/>
    <mergeCell ref="J110:M110"/>
    <mergeCell ref="L113:M113"/>
    <mergeCell ref="L114:M114"/>
    <mergeCell ref="V113:W113"/>
    <mergeCell ref="V114:W114"/>
    <mergeCell ref="V115:W115"/>
    <mergeCell ref="V116:W116"/>
    <mergeCell ref="E110:H110"/>
    <mergeCell ref="G111:H111"/>
    <mergeCell ref="G112:H112"/>
    <mergeCell ref="G113:H113"/>
    <mergeCell ref="Q113:R113"/>
    <mergeCell ref="G114:H114"/>
    <mergeCell ref="Q114:R114"/>
    <mergeCell ref="G115:H115"/>
    <mergeCell ref="L115:M115"/>
    <mergeCell ref="Q115:R115"/>
    <mergeCell ref="G116:H116"/>
    <mergeCell ref="L116:M116"/>
    <mergeCell ref="Q116:R116"/>
    <mergeCell ref="E117:G117"/>
    <mergeCell ref="E121:H121"/>
    <mergeCell ref="E122:H122"/>
    <mergeCell ref="O121:R121"/>
    <mergeCell ref="O122:R122"/>
    <mergeCell ref="Y170:AB170"/>
    <mergeCell ref="Y173:AB173"/>
    <mergeCell ref="Y174:AB174"/>
    <mergeCell ref="Y175:AA175"/>
    <mergeCell ref="Y176:AA176"/>
    <mergeCell ref="Y177:AA177"/>
    <mergeCell ref="Y178:AA178"/>
    <mergeCell ref="Y179:AA179"/>
    <mergeCell ref="AA162:AB162"/>
    <mergeCell ref="AA163:AB163"/>
    <mergeCell ref="AA164:AB164"/>
    <mergeCell ref="Y165:AA165"/>
    <mergeCell ref="Y168:AB168"/>
    <mergeCell ref="AC168:AC179"/>
    <mergeCell ref="Y169:AB169"/>
    <mergeCell ref="Y181:AB181"/>
    <mergeCell ref="AA182:AB182"/>
    <mergeCell ref="AA183:AB183"/>
    <mergeCell ref="AA184:AB184"/>
    <mergeCell ref="AA185:AB185"/>
    <mergeCell ref="AA186:AB186"/>
    <mergeCell ref="AA187:AB187"/>
    <mergeCell ref="Y200:AA200"/>
    <mergeCell ref="Y201:AA201"/>
    <mergeCell ref="Y221:AB221"/>
    <mergeCell ref="Y222:AB222"/>
    <mergeCell ref="Y217:AB217"/>
    <mergeCell ref="Y218:AB218"/>
    <mergeCell ref="AD218:AG218"/>
    <mergeCell ref="AD219:AG219"/>
    <mergeCell ref="AD221:AG221"/>
    <mergeCell ref="AD222:AG222"/>
    <mergeCell ref="AD223:AG223"/>
    <mergeCell ref="Y225:AA225"/>
    <mergeCell ref="Y226:AA226"/>
    <mergeCell ref="Y202:AA202"/>
    <mergeCell ref="Y203:AA203"/>
    <mergeCell ref="V212:W212"/>
    <mergeCell ref="AA212:AB212"/>
    <mergeCell ref="Y213:AA213"/>
    <mergeCell ref="X216:X227"/>
    <mergeCell ref="AC216:AC227"/>
    <mergeCell ref="Y227:AA227"/>
    <mergeCell ref="AD246:AG246"/>
    <mergeCell ref="AD247:AG247"/>
    <mergeCell ref="AD224:AG224"/>
    <mergeCell ref="AD225:AG225"/>
    <mergeCell ref="AD226:AG226"/>
    <mergeCell ref="AD227:AG227"/>
    <mergeCell ref="AD241:AG241"/>
    <mergeCell ref="AD242:AG242"/>
    <mergeCell ref="AD243:AG243"/>
    <mergeCell ref="T241:W241"/>
    <mergeCell ref="T242:W242"/>
    <mergeCell ref="T243:W243"/>
    <mergeCell ref="T246:W246"/>
    <mergeCell ref="T247:W247"/>
    <mergeCell ref="T248:V248"/>
    <mergeCell ref="T249:V249"/>
    <mergeCell ref="T250:V250"/>
    <mergeCell ref="T251:V251"/>
    <mergeCell ref="T252:V252"/>
    <mergeCell ref="T254:W254"/>
    <mergeCell ref="V255:W255"/>
    <mergeCell ref="V256:W256"/>
    <mergeCell ref="V257:W257"/>
    <mergeCell ref="T265:W265"/>
    <mergeCell ref="T266:W266"/>
    <mergeCell ref="T268:W268"/>
    <mergeCell ref="T269:W269"/>
    <mergeCell ref="T270:W270"/>
    <mergeCell ref="T271:W271"/>
    <mergeCell ref="T272:W272"/>
    <mergeCell ref="T273:W273"/>
    <mergeCell ref="V258:W258"/>
    <mergeCell ref="V259:W259"/>
    <mergeCell ref="V260:W260"/>
    <mergeCell ref="T261:V261"/>
    <mergeCell ref="T263:W263"/>
    <mergeCell ref="X263:X274"/>
    <mergeCell ref="T264:W264"/>
    <mergeCell ref="T274:W274"/>
    <mergeCell ref="AF256:AG256"/>
    <mergeCell ref="AF257:AG257"/>
    <mergeCell ref="AF258:AG258"/>
    <mergeCell ref="AF259:AG259"/>
    <mergeCell ref="AF260:AG260"/>
    <mergeCell ref="AD261:AF261"/>
    <mergeCell ref="AD263:AG263"/>
    <mergeCell ref="AD272:AG272"/>
    <mergeCell ref="AD273:AG273"/>
    <mergeCell ref="AD274:AG274"/>
    <mergeCell ref="AD264:AG264"/>
    <mergeCell ref="AD265:AG265"/>
    <mergeCell ref="AD266:AG266"/>
    <mergeCell ref="AD268:AG268"/>
    <mergeCell ref="AD269:AG269"/>
    <mergeCell ref="AD270:AG270"/>
    <mergeCell ref="AD271:AG271"/>
    <mergeCell ref="Y270:AB270"/>
    <mergeCell ref="Y271:AB271"/>
    <mergeCell ref="Y272:AB272"/>
    <mergeCell ref="Y273:AB273"/>
    <mergeCell ref="AA260:AB260"/>
    <mergeCell ref="Y261:AA261"/>
    <mergeCell ref="Y263:AB263"/>
    <mergeCell ref="AC263:AC274"/>
    <mergeCell ref="Y264:AB264"/>
    <mergeCell ref="Y265:AB265"/>
    <mergeCell ref="Y266:AB266"/>
    <mergeCell ref="Y274:AB274"/>
    <mergeCell ref="L327:M327"/>
    <mergeCell ref="L328:M328"/>
    <mergeCell ref="J319:L319"/>
    <mergeCell ref="J320:L320"/>
    <mergeCell ref="J321:L321"/>
    <mergeCell ref="J322:L322"/>
    <mergeCell ref="J324:M324"/>
    <mergeCell ref="L325:M325"/>
    <mergeCell ref="L326:M326"/>
    <mergeCell ref="L304:M304"/>
    <mergeCell ref="L305:M305"/>
    <mergeCell ref="J300:M300"/>
    <mergeCell ref="L301:M301"/>
    <mergeCell ref="L302:M302"/>
    <mergeCell ref="G303:H303"/>
    <mergeCell ref="L303:M303"/>
    <mergeCell ref="G304:H304"/>
    <mergeCell ref="G305:H305"/>
    <mergeCell ref="E307:G307"/>
    <mergeCell ref="J307:L307"/>
    <mergeCell ref="J308:L308"/>
    <mergeCell ref="E311:H311"/>
    <mergeCell ref="J311:M311"/>
    <mergeCell ref="C312:C313"/>
    <mergeCell ref="J312:M312"/>
    <mergeCell ref="J313:M313"/>
    <mergeCell ref="E317:H317"/>
    <mergeCell ref="E318:G318"/>
    <mergeCell ref="E312:H312"/>
    <mergeCell ref="E313:H313"/>
    <mergeCell ref="C314:C316"/>
    <mergeCell ref="E316:H316"/>
    <mergeCell ref="J316:M316"/>
    <mergeCell ref="J317:M317"/>
    <mergeCell ref="J318:L318"/>
    <mergeCell ref="C317:C319"/>
    <mergeCell ref="E319:G319"/>
    <mergeCell ref="E320:G320"/>
    <mergeCell ref="E321:G321"/>
    <mergeCell ref="E322:G322"/>
    <mergeCell ref="E324:H324"/>
    <mergeCell ref="G325:H325"/>
    <mergeCell ref="G326:H326"/>
    <mergeCell ref="G327:H327"/>
    <mergeCell ref="G328:H328"/>
    <mergeCell ref="G329:H329"/>
    <mergeCell ref="L329:M329"/>
    <mergeCell ref="G330:H330"/>
    <mergeCell ref="L330:M330"/>
  </mergeCells>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0" priority="1" operator="between">
      <formula>1</formula>
      <formula>95</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1" priority="2" operator="between">
      <formula>96</formula>
      <formula>195</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2" priority="3" operator="between">
      <formula>196</formula>
      <formula>260</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3" priority="4" operator="between">
      <formula>261</formula>
      <formula>299</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4" priority="5" operator="between">
      <formula>300</formula>
      <formula>350</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5" priority="6" operator="between">
      <formula>351</formula>
      <formula>450</formula>
    </cfRule>
  </conditionalFormatting>
  <conditionalFormatting sqref="H23 M23 R23 W23 AB23 H46 M46 R46 W46 H69 M69 R69 W69 H93 M93 R93 W93 H117 M117 R117 W117 H141:H142 M141:M142 R141:R142 W141:W142 H165 M165 R165 W165 AB165 AG165 H188:H189 M188:M190 R188:R189 W188:W189 AB188:AB189 H213 M213 R213 W213 AB213 H236:H237 M236:M237 R236 W236 AB236 H261 M261 R261 W261 AB261 AG261 H283 M283 R283 H307 M307:M308 R307 W307 AB307:AB308 AG307 H331 M331 R331 W331 AB331 AG331 H355:H356 M355:M356 R355 W355 AB355:AB356 AG355:AG356 H379 M379:M380 R379 W379 AB379:AB380 H405 M405:M406 R405 W405 H430 M430:M431 R430 W430 AB430 AG430 H452 M452 R452">
    <cfRule type="cellIs" dxfId="6" priority="7" operator="between">
      <formula>451</formula>
      <formula>1000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3443"/>
      <c r="B1" s="3444"/>
      <c r="C1" s="3445"/>
      <c r="D1" s="3444"/>
      <c r="E1" s="3444"/>
      <c r="F1" s="3444"/>
      <c r="G1" s="3444"/>
      <c r="H1" s="3444"/>
      <c r="I1" s="3444"/>
      <c r="J1" s="3444"/>
      <c r="K1" s="3444"/>
      <c r="L1" s="3444"/>
      <c r="M1" s="3444"/>
      <c r="N1" s="3444"/>
      <c r="O1" s="3444"/>
      <c r="P1" s="3444"/>
      <c r="Q1" s="3444"/>
      <c r="R1" s="3444"/>
      <c r="S1" s="3444"/>
      <c r="T1" s="3444"/>
      <c r="U1" s="3444"/>
      <c r="V1" s="3444"/>
      <c r="W1" s="3444"/>
      <c r="X1" s="3444"/>
      <c r="Y1" s="3444"/>
      <c r="Z1" s="3444"/>
      <c r="AA1" s="3444"/>
      <c r="AB1" s="3444"/>
      <c r="AC1" s="3444"/>
      <c r="AD1" s="3444"/>
      <c r="AE1" s="3444"/>
      <c r="AF1" s="3444"/>
      <c r="AG1" s="3444"/>
      <c r="AH1" s="3444"/>
      <c r="AI1" s="3443"/>
    </row>
    <row r="2" ht="7.5" customHeight="1">
      <c r="A2" s="3446"/>
      <c r="B2" s="3447"/>
      <c r="C2" s="3448"/>
      <c r="D2" s="3449"/>
      <c r="E2" s="3450"/>
      <c r="F2" s="3450"/>
      <c r="G2" s="3450"/>
      <c r="H2" s="3450"/>
      <c r="I2" s="3449"/>
      <c r="J2" s="3450"/>
      <c r="K2" s="3450"/>
      <c r="L2" s="3450"/>
      <c r="M2" s="3450"/>
      <c r="N2" s="3449"/>
      <c r="O2" s="3450"/>
      <c r="P2" s="3450"/>
      <c r="Q2" s="3450"/>
      <c r="R2" s="3450"/>
      <c r="S2" s="3449"/>
      <c r="T2" s="3449"/>
      <c r="U2" s="3449"/>
      <c r="V2" s="3449"/>
      <c r="W2" s="3449"/>
      <c r="X2" s="3449"/>
      <c r="Y2" s="3449"/>
      <c r="Z2" s="3449"/>
      <c r="AA2" s="3449"/>
      <c r="AB2" s="3449"/>
      <c r="AC2" s="3449"/>
      <c r="AD2" s="3449"/>
      <c r="AE2" s="3449"/>
      <c r="AF2" s="3449"/>
      <c r="AG2" s="3449"/>
      <c r="AH2" s="3451"/>
      <c r="AI2" s="3452"/>
    </row>
    <row r="3" ht="96.75" customHeight="1">
      <c r="A3" s="3453"/>
      <c r="B3" s="3454"/>
      <c r="C3" s="3455" t="str">
        <f>IMAGE("https://i.ibb.co/8sm893K/Lass.png")</f>
        <v/>
      </c>
      <c r="D3" s="3456"/>
      <c r="E3" s="3457" t="str">
        <f t="array" ref="E3">IFERROR(VLOOKUP(E4,Dex!$B$3:$G1361,3,FALSE),"")</f>
        <v/>
      </c>
      <c r="F3" s="606"/>
      <c r="G3" s="606"/>
      <c r="H3" s="607"/>
      <c r="I3" s="3458"/>
      <c r="J3" s="3457" t="str">
        <f t="array" ref="J3">IFERROR(VLOOKUP(J4,Dex!$B$3:$G1361,3,FALSE),"")</f>
        <v/>
      </c>
      <c r="K3" s="606"/>
      <c r="L3" s="606"/>
      <c r="M3" s="607"/>
      <c r="N3" s="3459"/>
      <c r="O3" s="3457" t="str">
        <f t="array" ref="O3">IFERROR(VLOOKUP(O4,Dex!$B$3:$G1361,3,FALSE),"")</f>
        <v/>
      </c>
      <c r="P3" s="606"/>
      <c r="Q3" s="606"/>
      <c r="R3" s="607"/>
      <c r="S3" s="3460"/>
      <c r="T3" s="3461"/>
      <c r="U3" s="3462"/>
      <c r="V3" s="3462"/>
      <c r="W3" s="3463"/>
      <c r="X3" s="3464"/>
      <c r="Y3" s="3461"/>
      <c r="Z3" s="3462"/>
      <c r="AA3" s="3462"/>
      <c r="AB3" s="3463"/>
      <c r="AC3" s="3464"/>
      <c r="AD3" s="3461"/>
      <c r="AE3" s="3462"/>
      <c r="AF3" s="3462"/>
      <c r="AG3" s="3463"/>
      <c r="AH3" s="3465"/>
      <c r="AI3" s="3466"/>
    </row>
    <row r="4" ht="18.75" customHeight="1">
      <c r="A4" s="3467"/>
      <c r="B4" s="3468"/>
      <c r="C4" s="3469" t="s">
        <v>1350</v>
      </c>
      <c r="D4" s="3470"/>
      <c r="E4" s="3471" t="s">
        <v>1351</v>
      </c>
      <c r="F4" s="3472"/>
      <c r="G4" s="3472"/>
      <c r="H4" s="3473"/>
      <c r="J4" s="3471" t="s">
        <v>1352</v>
      </c>
      <c r="K4" s="3472"/>
      <c r="L4" s="3472"/>
      <c r="M4" s="3473"/>
      <c r="O4" s="3471" t="s">
        <v>1353</v>
      </c>
      <c r="P4" s="3472"/>
      <c r="Q4" s="3472"/>
      <c r="R4" s="3473"/>
      <c r="S4" s="3474"/>
      <c r="T4" s="3475"/>
      <c r="U4" s="3462"/>
      <c r="V4" s="3462"/>
      <c r="W4" s="3463"/>
      <c r="X4" s="3476"/>
      <c r="Y4" s="3475"/>
      <c r="Z4" s="3462"/>
      <c r="AA4" s="3462"/>
      <c r="AB4" s="3463"/>
      <c r="AC4" s="3476"/>
      <c r="AD4" s="3475"/>
      <c r="AE4" s="3462"/>
      <c r="AF4" s="3462"/>
      <c r="AG4" s="3463"/>
      <c r="AH4" s="3477"/>
      <c r="AI4" s="3478"/>
    </row>
    <row r="5">
      <c r="A5" s="3479"/>
      <c r="B5" s="3480"/>
      <c r="C5" s="1638"/>
      <c r="D5" s="3481"/>
      <c r="E5" s="3482" t="s">
        <v>967</v>
      </c>
      <c r="F5" s="3483"/>
      <c r="G5" s="3483"/>
      <c r="H5" s="3484"/>
      <c r="J5" s="3482" t="s">
        <v>797</v>
      </c>
      <c r="K5" s="3483"/>
      <c r="L5" s="3483"/>
      <c r="M5" s="3484"/>
      <c r="O5" s="3482" t="s">
        <v>967</v>
      </c>
      <c r="P5" s="3483"/>
      <c r="Q5" s="3483"/>
      <c r="R5" s="3484"/>
      <c r="S5" s="3474"/>
      <c r="T5" s="3485"/>
      <c r="U5" s="3462"/>
      <c r="V5" s="3462"/>
      <c r="W5" s="3463"/>
      <c r="X5" s="3476"/>
      <c r="Y5" s="3485"/>
      <c r="Z5" s="3462"/>
      <c r="AA5" s="3462"/>
      <c r="AB5" s="3463"/>
      <c r="AC5" s="3476"/>
      <c r="AD5" s="3485"/>
      <c r="AE5" s="3462"/>
      <c r="AF5" s="3462"/>
      <c r="AG5" s="3463"/>
      <c r="AH5" s="3486"/>
      <c r="AI5" s="3487"/>
    </row>
    <row r="6" ht="25.5" customHeight="1">
      <c r="A6" s="3453"/>
      <c r="B6" s="3454"/>
      <c r="C6" s="1646"/>
      <c r="D6" s="3488"/>
      <c r="E6" s="3489"/>
      <c r="F6" s="3490" t="str">
        <f t="array" ref="F6">IFERROR(VLOOKUP(E4,Dex!$B$3:$H1361,5,FALSE),"")</f>
        <v/>
      </c>
      <c r="G6" s="3491" t="str">
        <f t="array" ref="G6">IFERROR(VLOOKUP(E4,Dex!$B$3:$H1361,7,FALSE),"")</f>
        <v/>
      </c>
      <c r="H6" s="3492"/>
      <c r="J6" s="3489"/>
      <c r="K6" s="3493" t="str">
        <f t="array" ref="K6">IFERROR(VLOOKUP(J4,Dex!$B$3:$H1361,5,FALSE),"")</f>
        <v/>
      </c>
      <c r="L6" s="3494"/>
      <c r="M6" s="3492"/>
      <c r="O6" s="3489"/>
      <c r="P6" s="3493" t="str">
        <f t="array" ref="P6">IFERROR(VLOOKUP(O4,Dex!$B$3:$H1361,5,FALSE),"")</f>
        <v/>
      </c>
      <c r="Q6" s="3494"/>
      <c r="R6" s="3492"/>
      <c r="S6" s="3474"/>
      <c r="T6" s="3461"/>
      <c r="U6" s="3462"/>
      <c r="V6" s="3462"/>
      <c r="W6" s="3463"/>
      <c r="X6" s="3476"/>
      <c r="Y6" s="3461"/>
      <c r="Z6" s="3462"/>
      <c r="AA6" s="3462"/>
      <c r="AB6" s="3463"/>
      <c r="AC6" s="3476"/>
      <c r="AD6" s="3461"/>
      <c r="AE6" s="3462"/>
      <c r="AF6" s="3462"/>
      <c r="AG6" s="3463"/>
      <c r="AH6" s="3465"/>
      <c r="AI6" s="3466"/>
    </row>
    <row r="7" ht="2.25" customHeight="1">
      <c r="A7" s="3453"/>
      <c r="B7" s="3454"/>
      <c r="C7" s="3495"/>
      <c r="D7" s="3496"/>
      <c r="E7" s="3497"/>
      <c r="F7" s="3498"/>
      <c r="G7" s="3498"/>
      <c r="H7" s="3499"/>
      <c r="J7" s="3497"/>
      <c r="K7" s="3498"/>
      <c r="L7" s="3498"/>
      <c r="M7" s="3499"/>
      <c r="O7" s="3497"/>
      <c r="P7" s="3498"/>
      <c r="Q7" s="3498"/>
      <c r="R7" s="3499"/>
      <c r="S7" s="3474"/>
      <c r="T7" s="3500"/>
      <c r="U7" s="3500"/>
      <c r="V7" s="3500"/>
      <c r="W7" s="3500"/>
      <c r="X7" s="3476"/>
      <c r="Y7" s="3500"/>
      <c r="Z7" s="3500"/>
      <c r="AA7" s="3500"/>
      <c r="AB7" s="3500"/>
      <c r="AC7" s="3476"/>
      <c r="AD7" s="3500"/>
      <c r="AE7" s="3500"/>
      <c r="AF7" s="3500"/>
      <c r="AG7" s="3500"/>
      <c r="AH7" s="3465"/>
      <c r="AI7" s="3466"/>
    </row>
    <row r="8" ht="20.25" customHeight="1">
      <c r="A8" s="3453"/>
      <c r="B8" s="3454"/>
      <c r="C8" s="3495"/>
      <c r="D8" s="3456"/>
      <c r="E8" s="3501" t="s">
        <v>481</v>
      </c>
      <c r="F8" s="3502"/>
      <c r="G8" s="3502"/>
      <c r="H8" s="3503"/>
      <c r="J8" s="3501" t="s">
        <v>481</v>
      </c>
      <c r="K8" s="3502"/>
      <c r="L8" s="3502"/>
      <c r="M8" s="3503"/>
      <c r="O8" s="3501" t="s">
        <v>481</v>
      </c>
      <c r="P8" s="3502"/>
      <c r="Q8" s="3502"/>
      <c r="R8" s="3503"/>
      <c r="S8" s="3474"/>
      <c r="T8" s="3461"/>
      <c r="U8" s="3462"/>
      <c r="V8" s="3462"/>
      <c r="W8" s="3463"/>
      <c r="X8" s="3476"/>
      <c r="Y8" s="3461"/>
      <c r="Z8" s="3462"/>
      <c r="AA8" s="3462"/>
      <c r="AB8" s="3463"/>
      <c r="AC8" s="3476"/>
      <c r="AD8" s="3461"/>
      <c r="AE8" s="3462"/>
      <c r="AF8" s="3462"/>
      <c r="AG8" s="3463"/>
      <c r="AH8" s="3465"/>
      <c r="AI8" s="3466"/>
    </row>
    <row r="9" ht="20.25" customHeight="1">
      <c r="A9" s="3453"/>
      <c r="B9" s="3454"/>
      <c r="C9" s="3504"/>
      <c r="D9" s="3456"/>
      <c r="E9" s="3505" t="s">
        <v>1354</v>
      </c>
      <c r="F9" s="3462"/>
      <c r="G9" s="3462"/>
      <c r="H9" s="3506"/>
      <c r="J9" s="3505" t="s">
        <v>76</v>
      </c>
      <c r="K9" s="3462"/>
      <c r="L9" s="3462"/>
      <c r="M9" s="3506"/>
      <c r="O9" s="3505" t="s">
        <v>115</v>
      </c>
      <c r="P9" s="3462"/>
      <c r="Q9" s="3462"/>
      <c r="R9" s="3506"/>
      <c r="S9" s="3474"/>
      <c r="T9" s="3461"/>
      <c r="U9" s="3462"/>
      <c r="V9" s="3462"/>
      <c r="W9" s="3463"/>
      <c r="X9" s="3476"/>
      <c r="Y9" s="3461"/>
      <c r="Z9" s="3462"/>
      <c r="AA9" s="3462"/>
      <c r="AB9" s="3463"/>
      <c r="AC9" s="3476"/>
      <c r="AD9" s="3461"/>
      <c r="AE9" s="3462"/>
      <c r="AF9" s="3462"/>
      <c r="AG9" s="3463"/>
      <c r="AH9" s="3465"/>
      <c r="AI9" s="3466"/>
    </row>
    <row r="10" ht="20.25" customHeight="1">
      <c r="A10" s="3453"/>
      <c r="B10" s="3454"/>
      <c r="C10" s="3476"/>
      <c r="D10" s="3456"/>
      <c r="E10" s="3507" t="s">
        <v>491</v>
      </c>
      <c r="F10" s="3508"/>
      <c r="G10" s="3509"/>
      <c r="H10" s="3510" t="str">
        <f>IMAGE("https://raw.githubusercontent.com/msikma/pokesprite/master/items/berry/oran.png",3)</f>
        <v/>
      </c>
      <c r="J10" s="3507" t="s">
        <v>541</v>
      </c>
      <c r="K10" s="3508"/>
      <c r="L10" s="3509"/>
      <c r="M10" s="3510" t="str">
        <f>IMAGE("https://raw.githubusercontent.com/msikma/pokesprite/master/items/hold-item/life-orb.png",3)</f>
        <v/>
      </c>
      <c r="O10" s="3507" t="s">
        <v>1337</v>
      </c>
      <c r="P10" s="3508"/>
      <c r="Q10" s="3509"/>
      <c r="R10" s="3511" t="s">
        <v>1338</v>
      </c>
      <c r="S10" s="3474"/>
      <c r="T10" s="3461"/>
      <c r="U10" s="3462"/>
      <c r="V10" s="3462"/>
      <c r="W10" s="3463"/>
      <c r="X10" s="3476"/>
      <c r="Y10" s="3461"/>
      <c r="Z10" s="3462"/>
      <c r="AA10" s="3462"/>
      <c r="AB10" s="3463"/>
      <c r="AC10" s="3476"/>
      <c r="AD10" s="3461"/>
      <c r="AE10" s="3462"/>
      <c r="AF10" s="3462"/>
      <c r="AG10" s="3463"/>
      <c r="AH10" s="3465"/>
      <c r="AI10" s="3466"/>
    </row>
    <row r="11" ht="20.25" customHeight="1">
      <c r="A11" s="3453"/>
      <c r="B11" s="3454"/>
      <c r="C11" s="3512"/>
      <c r="D11" s="3456"/>
      <c r="E11" s="3501" t="s">
        <v>1009</v>
      </c>
      <c r="F11" s="3502"/>
      <c r="G11" s="3513"/>
      <c r="H11" s="3514" t="str">
        <f>IMAGE("https://raw.githubusercontent.com/msikma/pokesprite/master/misc/types/gen8/fighting.png",4,20,20)</f>
        <v/>
      </c>
      <c r="J11" s="3501" t="s">
        <v>1355</v>
      </c>
      <c r="K11" s="3502"/>
      <c r="L11" s="3513"/>
      <c r="M11" s="3514" t="str">
        <f>IMAGE("https://raw.githubusercontent.com/msikma/pokesprite/master/misc/types/gen8/normal.png",4,20,20)</f>
        <v/>
      </c>
      <c r="O11" s="3501" t="s">
        <v>1356</v>
      </c>
      <c r="P11" s="3502"/>
      <c r="Q11" s="3513"/>
      <c r="R11" s="3514" t="str">
        <f t="shared" ref="R11:R14" si="1">IMAGE("https://raw.githubusercontent.com/msikma/pokesprite/master/misc/types/gen8/normal.png",4,20,20)</f>
        <v/>
      </c>
      <c r="S11" s="3474"/>
      <c r="T11" s="3461"/>
      <c r="U11" s="3462"/>
      <c r="V11" s="3462"/>
      <c r="W11" s="3463"/>
      <c r="X11" s="3476"/>
      <c r="Y11" s="3461"/>
      <c r="Z11" s="3462"/>
      <c r="AA11" s="3462"/>
      <c r="AB11" s="3463"/>
      <c r="AC11" s="3476"/>
      <c r="AD11" s="3461"/>
      <c r="AE11" s="3462"/>
      <c r="AF11" s="3462"/>
      <c r="AG11" s="3463"/>
      <c r="AH11" s="3465"/>
      <c r="AI11" s="3466"/>
    </row>
    <row r="12" ht="20.25" customHeight="1">
      <c r="A12" s="3453"/>
      <c r="B12" s="3454"/>
      <c r="C12" s="3515"/>
      <c r="D12" s="3456"/>
      <c r="E12" s="3505" t="s">
        <v>1357</v>
      </c>
      <c r="F12" s="3462"/>
      <c r="G12" s="3463"/>
      <c r="H12" s="3516" t="str">
        <f>IMAGE("https://raw.githubusercontent.com/msikma/pokesprite/master/misc/types/gen8/normal.png",4,20,20)</f>
        <v/>
      </c>
      <c r="J12" s="3505" t="s">
        <v>1165</v>
      </c>
      <c r="K12" s="3462"/>
      <c r="L12" s="3462"/>
      <c r="M12" s="3506"/>
      <c r="O12" s="3505" t="s">
        <v>184</v>
      </c>
      <c r="P12" s="3462"/>
      <c r="Q12" s="3463"/>
      <c r="R12" s="3516" t="str">
        <f t="shared" si="1"/>
        <v/>
      </c>
      <c r="S12" s="3474"/>
      <c r="T12" s="3461"/>
      <c r="U12" s="3462"/>
      <c r="V12" s="3462"/>
      <c r="W12" s="3463"/>
      <c r="X12" s="3476"/>
      <c r="Y12" s="3461"/>
      <c r="Z12" s="3462"/>
      <c r="AA12" s="3462"/>
      <c r="AB12" s="3463"/>
      <c r="AC12" s="3476"/>
      <c r="AD12" s="3461"/>
      <c r="AE12" s="3462"/>
      <c r="AF12" s="3462"/>
      <c r="AG12" s="3463"/>
      <c r="AH12" s="3465"/>
      <c r="AI12" s="3466"/>
    </row>
    <row r="13" ht="20.25" customHeight="1">
      <c r="A13" s="3453"/>
      <c r="B13" s="3454"/>
      <c r="C13" s="3515"/>
      <c r="D13" s="3456"/>
      <c r="E13" s="3505" t="s">
        <v>802</v>
      </c>
      <c r="F13" s="3462"/>
      <c r="G13" s="3463"/>
      <c r="H13" s="3516" t="str">
        <f>IMAGE("https://raw.githubusercontent.com/msikma/pokesprite/master/misc/types/gen8/flying.png",4,20,20)</f>
        <v/>
      </c>
      <c r="J13" s="3505" t="s">
        <v>1165</v>
      </c>
      <c r="K13" s="3462"/>
      <c r="L13" s="3462"/>
      <c r="M13" s="3506"/>
      <c r="O13" s="3505" t="s">
        <v>1358</v>
      </c>
      <c r="P13" s="3462"/>
      <c r="Q13" s="3463"/>
      <c r="R13" s="3516" t="str">
        <f t="shared" si="1"/>
        <v/>
      </c>
      <c r="S13" s="3474"/>
      <c r="T13" s="3461"/>
      <c r="U13" s="3462"/>
      <c r="V13" s="3462"/>
      <c r="W13" s="3463"/>
      <c r="X13" s="3476"/>
      <c r="Y13" s="3461"/>
      <c r="Z13" s="3462"/>
      <c r="AA13" s="3462"/>
      <c r="AB13" s="3463"/>
      <c r="AC13" s="3476"/>
      <c r="AD13" s="3461"/>
      <c r="AE13" s="3462"/>
      <c r="AF13" s="3462"/>
      <c r="AG13" s="3463"/>
      <c r="AH13" s="3465"/>
      <c r="AI13" s="3466"/>
    </row>
    <row r="14" ht="21.0" customHeight="1">
      <c r="A14" s="3453"/>
      <c r="B14" s="3454"/>
      <c r="C14" s="3515"/>
      <c r="D14" s="3456"/>
      <c r="E14" s="3517" t="s">
        <v>1165</v>
      </c>
      <c r="F14" s="3518"/>
      <c r="G14" s="3518"/>
      <c r="H14" s="3519"/>
      <c r="I14" s="3520"/>
      <c r="J14" s="3517" t="s">
        <v>1165</v>
      </c>
      <c r="K14" s="3518"/>
      <c r="L14" s="3518"/>
      <c r="M14" s="3519"/>
      <c r="N14" s="3520"/>
      <c r="O14" s="3517" t="s">
        <v>1359</v>
      </c>
      <c r="P14" s="3518"/>
      <c r="Q14" s="3521"/>
      <c r="R14" s="3522" t="str">
        <f t="shared" si="1"/>
        <v/>
      </c>
      <c r="S14" s="3523"/>
      <c r="T14" s="3461"/>
      <c r="U14" s="3462"/>
      <c r="V14" s="3462"/>
      <c r="W14" s="3463"/>
      <c r="X14" s="3512"/>
      <c r="Y14" s="3461"/>
      <c r="Z14" s="3462"/>
      <c r="AA14" s="3462"/>
      <c r="AB14" s="3463"/>
      <c r="AC14" s="3512"/>
      <c r="AD14" s="3461"/>
      <c r="AE14" s="3462"/>
      <c r="AF14" s="3462"/>
      <c r="AG14" s="3463"/>
      <c r="AH14" s="3465"/>
      <c r="AI14" s="3466"/>
    </row>
    <row r="15" ht="3.0" customHeight="1">
      <c r="A15" s="3524"/>
      <c r="B15" s="3525"/>
      <c r="C15" s="3526"/>
      <c r="D15" s="3527"/>
      <c r="E15" s="3528"/>
      <c r="F15" s="3528"/>
      <c r="G15" s="3528"/>
      <c r="H15" s="3528"/>
      <c r="I15" s="3527"/>
      <c r="J15" s="3529"/>
      <c r="K15" s="3529"/>
      <c r="L15" s="3529"/>
      <c r="M15" s="3528"/>
      <c r="N15" s="3527"/>
      <c r="O15" s="3529"/>
      <c r="P15" s="3529"/>
      <c r="Q15" s="3529"/>
      <c r="R15" s="3530"/>
      <c r="S15" s="3530"/>
      <c r="T15" s="3530"/>
      <c r="U15" s="3530"/>
      <c r="V15" s="3530"/>
      <c r="W15" s="3530"/>
      <c r="X15" s="3527"/>
      <c r="Y15" s="3527"/>
      <c r="Z15" s="3531"/>
      <c r="AA15" s="3531"/>
      <c r="AB15" s="3532"/>
      <c r="AC15" s="3532"/>
      <c r="AD15" s="3532"/>
      <c r="AE15" s="3532"/>
      <c r="AF15" s="3532"/>
      <c r="AG15" s="3532"/>
      <c r="AH15" s="3533"/>
      <c r="AI15" s="3534"/>
    </row>
    <row r="16" ht="16.5" customHeight="1">
      <c r="A16" s="3535"/>
      <c r="B16" s="3536"/>
      <c r="C16" s="3526"/>
      <c r="D16" s="3537"/>
      <c r="E16" s="3538" t="s">
        <v>512</v>
      </c>
      <c r="F16" s="606"/>
      <c r="G16" s="606"/>
      <c r="H16" s="607"/>
      <c r="I16" s="3539"/>
      <c r="J16" s="3538" t="s">
        <v>512</v>
      </c>
      <c r="K16" s="606"/>
      <c r="L16" s="606"/>
      <c r="M16" s="607"/>
      <c r="N16" s="3539"/>
      <c r="O16" s="3538" t="s">
        <v>512</v>
      </c>
      <c r="P16" s="606"/>
      <c r="Q16" s="606"/>
      <c r="R16" s="607"/>
      <c r="S16" s="3540"/>
      <c r="T16" s="3537"/>
      <c r="U16" s="3537"/>
      <c r="V16" s="3541"/>
      <c r="W16" s="3541"/>
      <c r="X16" s="3541"/>
      <c r="Y16" s="3541"/>
      <c r="Z16" s="3537"/>
      <c r="AA16" s="3537"/>
      <c r="AB16" s="3541"/>
      <c r="AC16" s="3541"/>
      <c r="AD16" s="3541"/>
      <c r="AE16" s="3541"/>
      <c r="AF16" s="3541"/>
      <c r="AG16" s="3541"/>
      <c r="AH16" s="3542"/>
      <c r="AI16" s="3543"/>
    </row>
    <row r="17" ht="16.5" customHeight="1">
      <c r="A17" s="3535"/>
      <c r="B17" s="3536"/>
      <c r="C17" s="3526"/>
      <c r="D17" s="3537"/>
      <c r="E17" s="3544" t="s">
        <v>513</v>
      </c>
      <c r="F17" s="3545">
        <f t="array" ref="F17">IFERROR(VLOOKUP(E4,Dex!$B$3:$N1361,8,FALSE),"")</f>
        <v>70</v>
      </c>
      <c r="G17" s="3546" t="str">
        <f t="array" ref="G17">IFERROR(VLOOKUP(F17,Dex!$P$22:$Q$276,2,FALSE),"")</f>
        <v/>
      </c>
      <c r="H17" s="3547"/>
      <c r="I17" s="3548"/>
      <c r="J17" s="3544" t="s">
        <v>513</v>
      </c>
      <c r="K17" s="3545">
        <f t="array" ref="K17">IFERROR(VLOOKUP(J4,Dex!$B$3:$N1361,8,FALSE),"")</f>
        <v>70</v>
      </c>
      <c r="L17" s="3546" t="str">
        <f t="array" ref="L17">IFERROR(VLOOKUP(K17,Dex!$P$22:$Q$276,2,FALSE),"")</f>
        <v/>
      </c>
      <c r="M17" s="3547"/>
      <c r="N17" s="3548"/>
      <c r="O17" s="3544" t="s">
        <v>513</v>
      </c>
      <c r="P17" s="3545">
        <f t="array" ref="P17">IFERROR(VLOOKUP(O4,Dex!$B$3:$N1361,8,FALSE),"")</f>
        <v>103</v>
      </c>
      <c r="Q17" s="3546" t="str">
        <f t="array" ref="Q17">IFERROR(VLOOKUP(P17,Dex!$P$22:$Q$276,2,FALSE),"")</f>
        <v/>
      </c>
      <c r="R17" s="3547"/>
      <c r="S17" s="3548"/>
      <c r="T17" s="3537"/>
      <c r="U17" s="3537"/>
      <c r="V17" s="3541"/>
      <c r="W17" s="3541"/>
      <c r="X17" s="3541"/>
      <c r="Y17" s="3541"/>
      <c r="Z17" s="3537"/>
      <c r="AA17" s="3537"/>
      <c r="AB17" s="3541"/>
      <c r="AC17" s="3541"/>
      <c r="AD17" s="3541"/>
      <c r="AE17" s="3541"/>
      <c r="AF17" s="3541"/>
      <c r="AG17" s="3541"/>
      <c r="AH17" s="3542"/>
      <c r="AI17" s="3543"/>
    </row>
    <row r="18" ht="16.5" customHeight="1">
      <c r="A18" s="3535"/>
      <c r="B18" s="3536"/>
      <c r="C18" s="3526"/>
      <c r="D18" s="3537"/>
      <c r="E18" s="3549" t="s">
        <v>514</v>
      </c>
      <c r="F18" s="3550">
        <f t="array" ref="F18">IFERROR(VLOOKUP(E4,Dex!$B$3:$N1361,9,FALSE),"")</f>
        <v>75</v>
      </c>
      <c r="G18" s="3551" t="str">
        <f t="array" ref="G18">IFERROR(VLOOKUP(F18,Dex!$P$22:$Q$276,2,FALSE),"")</f>
        <v/>
      </c>
      <c r="H18" s="3552"/>
      <c r="I18" s="3548"/>
      <c r="J18" s="3549" t="s">
        <v>514</v>
      </c>
      <c r="K18" s="3550">
        <f t="array" ref="K18">IFERROR(VLOOKUP(J4,Dex!$B$3:$N1361,9,FALSE),"")</f>
        <v>45</v>
      </c>
      <c r="L18" s="3551" t="str">
        <f t="array" ref="L18">IFERROR(VLOOKUP(K18,Dex!$P$22:$Q$276,2,FALSE),"")</f>
        <v/>
      </c>
      <c r="M18" s="3552"/>
      <c r="N18" s="3548"/>
      <c r="O18" s="3549" t="s">
        <v>514</v>
      </c>
      <c r="P18" s="3550">
        <f t="array" ref="P18">IFERROR(VLOOKUP(O4,Dex!$B$3:$N1361,9,FALSE),"")</f>
        <v>60</v>
      </c>
      <c r="Q18" s="3551" t="str">
        <f t="array" ref="Q18">IFERROR(VLOOKUP(P18,Dex!$P$22:$Q$276,2,FALSE),"")</f>
        <v/>
      </c>
      <c r="R18" s="3552"/>
      <c r="S18" s="3548"/>
      <c r="T18" s="3537"/>
      <c r="U18" s="3537"/>
      <c r="V18" s="3541"/>
      <c r="W18" s="3541"/>
      <c r="X18" s="3541"/>
      <c r="Y18" s="3541"/>
      <c r="Z18" s="3537"/>
      <c r="AA18" s="3537"/>
      <c r="AB18" s="3541"/>
      <c r="AC18" s="3541"/>
      <c r="AD18" s="3541"/>
      <c r="AE18" s="3541"/>
      <c r="AF18" s="3541"/>
      <c r="AG18" s="3541"/>
      <c r="AH18" s="3542"/>
      <c r="AI18" s="3543"/>
    </row>
    <row r="19" ht="16.5" customHeight="1">
      <c r="A19" s="3535"/>
      <c r="B19" s="3536"/>
      <c r="C19" s="3526"/>
      <c r="D19" s="3537"/>
      <c r="E19" s="3549" t="s">
        <v>515</v>
      </c>
      <c r="F19" s="3550">
        <f t="array" ref="F19">IFERROR(VLOOKUP(E4,Dex!$B$3:$N1361,10,FALSE),"")</f>
        <v>50</v>
      </c>
      <c r="G19" s="3551" t="str">
        <f t="array" ref="G19">IFERROR(VLOOKUP(F19,Dex!$P$22:$Q$276,2,FALSE),"")</f>
        <v/>
      </c>
      <c r="H19" s="3552"/>
      <c r="I19" s="3548"/>
      <c r="J19" s="3549" t="s">
        <v>515</v>
      </c>
      <c r="K19" s="3550">
        <f t="array" ref="K19">IFERROR(VLOOKUP(J4,Dex!$B$3:$N1361,10,FALSE),"")</f>
        <v>48</v>
      </c>
      <c r="L19" s="3551" t="str">
        <f t="array" ref="L19">IFERROR(VLOOKUP(K19,Dex!$P$22:$Q$276,2,FALSE),"")</f>
        <v/>
      </c>
      <c r="M19" s="3552"/>
      <c r="N19" s="3548"/>
      <c r="O19" s="3549" t="s">
        <v>515</v>
      </c>
      <c r="P19" s="3550">
        <f t="array" ref="P19">IFERROR(VLOOKUP(O4,Dex!$B$3:$N1361,10,FALSE),"")</f>
        <v>86</v>
      </c>
      <c r="Q19" s="3551" t="str">
        <f t="array" ref="Q19">IFERROR(VLOOKUP(P19,Dex!$P$22:$Q$276,2,FALSE),"")</f>
        <v/>
      </c>
      <c r="R19" s="3552"/>
      <c r="S19" s="3548"/>
      <c r="T19" s="3537"/>
      <c r="U19" s="3537"/>
      <c r="V19" s="3541"/>
      <c r="W19" s="3541"/>
      <c r="X19" s="3541"/>
      <c r="Y19" s="3541"/>
      <c r="Z19" s="3537"/>
      <c r="AA19" s="3537"/>
      <c r="AB19" s="3541"/>
      <c r="AC19" s="3541"/>
      <c r="AD19" s="3541"/>
      <c r="AE19" s="3541"/>
      <c r="AF19" s="3541"/>
      <c r="AG19" s="3541"/>
      <c r="AH19" s="3542"/>
      <c r="AI19" s="3543"/>
    </row>
    <row r="20" ht="16.5" customHeight="1">
      <c r="A20" s="3535"/>
      <c r="B20" s="3536"/>
      <c r="C20" s="3526"/>
      <c r="D20" s="3537"/>
      <c r="E20" s="3549" t="s">
        <v>516</v>
      </c>
      <c r="F20" s="3550">
        <f t="array" ref="F20">IFERROR(VLOOKUP(E4,Dex!$B$3:$N1361,11,FALSE),"")</f>
        <v>45</v>
      </c>
      <c r="G20" s="3551" t="str">
        <f t="array" ref="G20">IFERROR(VLOOKUP(F20,Dex!$P$22:$Q$276,2,FALSE),"")</f>
        <v/>
      </c>
      <c r="H20" s="3552"/>
      <c r="I20" s="3548"/>
      <c r="J20" s="3549" t="s">
        <v>516</v>
      </c>
      <c r="K20" s="3550">
        <f t="array" ref="K20">IFERROR(VLOOKUP(J4,Dex!$B$3:$N1361,11,FALSE),"")</f>
        <v>60</v>
      </c>
      <c r="L20" s="3551" t="str">
        <f t="array" ref="L20">IFERROR(VLOOKUP(K20,Dex!$P$22:$Q$276,2,FALSE),"")</f>
        <v/>
      </c>
      <c r="M20" s="3552"/>
      <c r="N20" s="3548"/>
      <c r="O20" s="3549" t="s">
        <v>516</v>
      </c>
      <c r="P20" s="3550">
        <f t="array" ref="P20">IFERROR(VLOOKUP(O4,Dex!$B$3:$N1361,11,FALSE),"")</f>
        <v>60</v>
      </c>
      <c r="Q20" s="3551" t="str">
        <f t="array" ref="Q20">IFERROR(VLOOKUP(P20,Dex!$P$22:$Q$276,2,FALSE),"")</f>
        <v/>
      </c>
      <c r="R20" s="3552"/>
      <c r="S20" s="3548"/>
      <c r="T20" s="3537"/>
      <c r="U20" s="3537"/>
      <c r="V20" s="3541"/>
      <c r="W20" s="3541"/>
      <c r="X20" s="3541"/>
      <c r="Y20" s="3541"/>
      <c r="Z20" s="3537"/>
      <c r="AA20" s="3537"/>
      <c r="AB20" s="3541"/>
      <c r="AC20" s="3541"/>
      <c r="AD20" s="3541"/>
      <c r="AE20" s="3541"/>
      <c r="AF20" s="3541"/>
      <c r="AG20" s="3541"/>
      <c r="AH20" s="3542"/>
      <c r="AI20" s="3543"/>
    </row>
    <row r="21" ht="16.5" customHeight="1">
      <c r="A21" s="3535"/>
      <c r="B21" s="3536"/>
      <c r="C21" s="3526"/>
      <c r="D21" s="3537"/>
      <c r="E21" s="3549" t="s">
        <v>517</v>
      </c>
      <c r="F21" s="3550">
        <f t="array" ref="F21">IFERROR(VLOOKUP(E4,Dex!$B$3:$N1361,12,FALSE),"")</f>
        <v>50</v>
      </c>
      <c r="G21" s="3551" t="str">
        <f t="array" ref="G21">IFERROR(VLOOKUP(F21,Dex!$P$22:$Q$276,2,FALSE),"")</f>
        <v/>
      </c>
      <c r="H21" s="3552"/>
      <c r="I21" s="3548"/>
      <c r="J21" s="3549" t="s">
        <v>517</v>
      </c>
      <c r="K21" s="3550">
        <f t="array" ref="K21">IFERROR(VLOOKUP(J4,Dex!$B$3:$N1361,12,FALSE),"")</f>
        <v>65</v>
      </c>
      <c r="L21" s="3551" t="str">
        <f t="array" ref="L21">IFERROR(VLOOKUP(K21,Dex!$P$22:$Q$276,2,FALSE),"")</f>
        <v/>
      </c>
      <c r="M21" s="3552"/>
      <c r="N21" s="3548"/>
      <c r="O21" s="3549" t="s">
        <v>517</v>
      </c>
      <c r="P21" s="3550">
        <f t="array" ref="P21">IFERROR(VLOOKUP(O4,Dex!$B$3:$N1361,12,FALSE),"")</f>
        <v>86</v>
      </c>
      <c r="Q21" s="3551" t="str">
        <f t="array" ref="Q21">IFERROR(VLOOKUP(P21,Dex!$P$22:$Q$276,2,FALSE),"")</f>
        <v/>
      </c>
      <c r="R21" s="3552"/>
      <c r="S21" s="3548"/>
      <c r="T21" s="3537"/>
      <c r="U21" s="3537"/>
      <c r="V21" s="3541"/>
      <c r="W21" s="3541"/>
      <c r="X21" s="3541"/>
      <c r="Y21" s="3541"/>
      <c r="Z21" s="3537"/>
      <c r="AA21" s="3537"/>
      <c r="AB21" s="3541"/>
      <c r="AC21" s="3541"/>
      <c r="AD21" s="3541"/>
      <c r="AE21" s="3541"/>
      <c r="AF21" s="3541"/>
      <c r="AG21" s="3541"/>
      <c r="AH21" s="3542"/>
      <c r="AI21" s="3543"/>
    </row>
    <row r="22" ht="15.75" customHeight="1">
      <c r="A22" s="3535"/>
      <c r="B22" s="3536"/>
      <c r="C22" s="1426" t="s">
        <v>745</v>
      </c>
      <c r="D22" s="3537"/>
      <c r="E22" s="3553" t="s">
        <v>518</v>
      </c>
      <c r="F22" s="3554">
        <f t="array" ref="F22">IFERROR(VLOOKUP(E4,Dex!$B$3:$N1361,13,FALSE),"")</f>
        <v>50</v>
      </c>
      <c r="G22" s="3555" t="str">
        <f t="array" ref="G22">IFERROR(VLOOKUP(F22,Dex!$P$22:$Q$276,2,FALSE),"")</f>
        <v/>
      </c>
      <c r="H22" s="3556"/>
      <c r="I22" s="3548"/>
      <c r="J22" s="3553" t="s">
        <v>518</v>
      </c>
      <c r="K22" s="3554">
        <f t="array" ref="K22">IFERROR(VLOOKUP(J4,Dex!$B$3:$N1361,13,FALSE),"")</f>
        <v>35</v>
      </c>
      <c r="L22" s="3555" t="str">
        <f t="array" ref="L22">IFERROR(VLOOKUP(K22,Dex!$P$22:$Q$276,2,FALSE),"")</f>
        <v/>
      </c>
      <c r="M22" s="3556"/>
      <c r="N22" s="3548"/>
      <c r="O22" s="3553" t="s">
        <v>518</v>
      </c>
      <c r="P22" s="3554">
        <f t="array" ref="P22">IFERROR(VLOOKUP(O4,Dex!$B$3:$N1361,13,FALSE),"")</f>
        <v>50</v>
      </c>
      <c r="Q22" s="3555" t="str">
        <f t="array" ref="Q22">IFERROR(VLOOKUP(P22,Dex!$P$22:$Q$276,2,FALSE),"")</f>
        <v/>
      </c>
      <c r="R22" s="3556"/>
      <c r="S22" s="3548"/>
      <c r="T22" s="3537"/>
      <c r="U22" s="3537"/>
      <c r="V22" s="3541"/>
      <c r="W22" s="3541"/>
      <c r="X22" s="3541"/>
      <c r="Y22" s="3541"/>
      <c r="Z22" s="3537"/>
      <c r="AA22" s="3537"/>
      <c r="AB22" s="3541"/>
      <c r="AC22" s="3541"/>
      <c r="AD22" s="3541"/>
      <c r="AE22" s="3541"/>
      <c r="AF22" s="3541"/>
      <c r="AG22" s="3541"/>
      <c r="AH22" s="3542"/>
      <c r="AI22" s="3543"/>
    </row>
    <row r="23" ht="16.5" customHeight="1">
      <c r="A23" s="3535"/>
      <c r="B23" s="3536"/>
      <c r="C23" s="1427" t="s">
        <v>813</v>
      </c>
      <c r="D23" s="3537"/>
      <c r="E23" s="3557" t="s">
        <v>519</v>
      </c>
      <c r="F23" s="630"/>
      <c r="G23" s="631"/>
      <c r="H23" s="632">
        <f>ROUNDDOWN((ROUNDDOWN(((((2*F22+31)*15)/100+5)),0))*1,0)</f>
        <v>24</v>
      </c>
      <c r="I23" s="3539"/>
      <c r="J23" s="3557" t="s">
        <v>519</v>
      </c>
      <c r="K23" s="630"/>
      <c r="L23" s="631"/>
      <c r="M23" s="632">
        <f>ROUNDDOWN((ROUNDDOWN(((((2*K22+31)*13)/100+5)),0))*1,0)</f>
        <v>18</v>
      </c>
      <c r="N23" s="3539"/>
      <c r="O23" s="3557" t="s">
        <v>519</v>
      </c>
      <c r="P23" s="630"/>
      <c r="Q23" s="631"/>
      <c r="R23" s="632">
        <f>ROUNDDOWN((ROUNDDOWN(((((2*P22+31)*15)/100+5)),0))*1,0)</f>
        <v>24</v>
      </c>
      <c r="S23" s="3548"/>
      <c r="T23" s="3537"/>
      <c r="U23" s="3537"/>
      <c r="V23" s="3541"/>
      <c r="W23" s="3541"/>
      <c r="X23" s="3541"/>
      <c r="Y23" s="3541"/>
      <c r="Z23" s="3537"/>
      <c r="AA23" s="3537"/>
      <c r="AB23" s="3541"/>
      <c r="AC23" s="3541"/>
      <c r="AD23" s="3541"/>
      <c r="AE23" s="3541"/>
      <c r="AF23" s="3541"/>
      <c r="AG23" s="3541"/>
      <c r="AH23" s="3542"/>
      <c r="AI23" s="3543"/>
    </row>
    <row r="24" ht="15.0" customHeight="1">
      <c r="A24" s="3453"/>
      <c r="B24" s="3558"/>
      <c r="C24" s="3559"/>
      <c r="D24" s="3560"/>
      <c r="E24" s="3561"/>
      <c r="F24" s="3561"/>
      <c r="G24" s="3561"/>
      <c r="H24" s="3561"/>
      <c r="I24" s="3562"/>
      <c r="J24" s="3563"/>
      <c r="K24" s="3563"/>
      <c r="L24" s="3563"/>
      <c r="M24" s="3561"/>
      <c r="N24" s="3564"/>
      <c r="O24" s="3563"/>
      <c r="P24" s="3563"/>
      <c r="Q24" s="3563"/>
      <c r="R24" s="3562"/>
      <c r="S24" s="3564"/>
      <c r="T24" s="3565"/>
      <c r="U24" s="3565"/>
      <c r="V24" s="3565"/>
      <c r="W24" s="3565"/>
      <c r="X24" s="3564"/>
      <c r="Y24" s="3565"/>
      <c r="Z24" s="3565"/>
      <c r="AA24" s="3565"/>
      <c r="AB24" s="3565"/>
      <c r="AC24" s="3564"/>
      <c r="AD24" s="3565"/>
      <c r="AE24" s="3565"/>
      <c r="AF24" s="3565"/>
      <c r="AG24" s="3565"/>
      <c r="AH24" s="3566"/>
      <c r="AI24" s="3466"/>
    </row>
    <row r="25" ht="15.0" customHeight="1">
      <c r="A25" s="3446"/>
      <c r="B25" s="3567"/>
      <c r="C25" s="3568"/>
      <c r="D25" s="3569"/>
      <c r="E25" s="3570"/>
      <c r="F25" s="3570"/>
      <c r="G25" s="3570"/>
      <c r="H25" s="3570"/>
      <c r="I25" s="3569"/>
      <c r="J25" s="3570"/>
      <c r="K25" s="3570"/>
      <c r="L25" s="3570"/>
      <c r="M25" s="3570"/>
      <c r="N25" s="3569"/>
      <c r="O25" s="3569"/>
      <c r="P25" s="3569"/>
      <c r="Q25" s="3569"/>
      <c r="R25" s="3569"/>
      <c r="S25" s="3569"/>
      <c r="T25" s="3569"/>
      <c r="U25" s="3569"/>
      <c r="V25" s="3569"/>
      <c r="W25" s="3569"/>
      <c r="X25" s="3569"/>
      <c r="Y25" s="3569"/>
      <c r="Z25" s="3569"/>
      <c r="AA25" s="3569"/>
      <c r="AB25" s="3569"/>
      <c r="AC25" s="3569"/>
      <c r="AD25" s="3569"/>
      <c r="AE25" s="3569"/>
      <c r="AF25" s="3569"/>
      <c r="AG25" s="3569"/>
      <c r="AH25" s="3571"/>
      <c r="AI25" s="3452"/>
    </row>
    <row r="26" ht="96.75" customHeight="1">
      <c r="A26" s="3453"/>
      <c r="B26" s="3572"/>
      <c r="C26" s="3573" t="str">
        <f>IMAGE("https://i.ibb.co/26kF6WW/Ace-Trainer-F.png")</f>
        <v/>
      </c>
      <c r="D26" s="3574"/>
      <c r="E26" s="3575" t="str">
        <f t="array" ref="E26">IFERROR(VLOOKUP(E27,Dex!$B$3:$G1361,3,FALSE),"")</f>
        <v/>
      </c>
      <c r="F26" s="606"/>
      <c r="G26" s="606"/>
      <c r="H26" s="607"/>
      <c r="I26" s="3576"/>
      <c r="J26" s="3575" t="str">
        <f t="array" ref="J26">IFERROR(VLOOKUP(J27,Dex!$B$3:$G1361,3,FALSE),"")</f>
        <v/>
      </c>
      <c r="K26" s="606"/>
      <c r="L26" s="606"/>
      <c r="M26" s="607"/>
      <c r="N26" s="3577"/>
      <c r="O26" s="3578"/>
      <c r="P26" s="3579"/>
      <c r="Q26" s="3579"/>
      <c r="R26" s="3580"/>
      <c r="S26" s="3581"/>
      <c r="T26" s="3578"/>
      <c r="U26" s="3579"/>
      <c r="V26" s="3579"/>
      <c r="W26" s="3580"/>
      <c r="X26" s="3582"/>
      <c r="Y26" s="3578"/>
      <c r="Z26" s="3579"/>
      <c r="AA26" s="3579"/>
      <c r="AB26" s="3580"/>
      <c r="AC26" s="3581"/>
      <c r="AD26" s="3578"/>
      <c r="AE26" s="3579"/>
      <c r="AF26" s="3579"/>
      <c r="AG26" s="3580"/>
      <c r="AH26" s="3583"/>
      <c r="AI26" s="3466"/>
    </row>
    <row r="27" ht="18.75" customHeight="1">
      <c r="A27" s="3467"/>
      <c r="B27" s="3584"/>
      <c r="C27" s="3585" t="s">
        <v>1360</v>
      </c>
      <c r="D27" s="3586"/>
      <c r="E27" s="3587" t="s">
        <v>1361</v>
      </c>
      <c r="F27" s="3588"/>
      <c r="G27" s="3588"/>
      <c r="H27" s="3589"/>
      <c r="J27" s="3587" t="s">
        <v>1362</v>
      </c>
      <c r="K27" s="3588"/>
      <c r="L27" s="3588"/>
      <c r="M27" s="3589"/>
      <c r="N27" s="3590"/>
      <c r="O27" s="3591"/>
      <c r="P27" s="3579"/>
      <c r="Q27" s="3579"/>
      <c r="R27" s="3580"/>
      <c r="S27" s="3592"/>
      <c r="T27" s="3591"/>
      <c r="U27" s="3579"/>
      <c r="V27" s="3579"/>
      <c r="W27" s="3580"/>
      <c r="X27" s="3592"/>
      <c r="Y27" s="3591"/>
      <c r="Z27" s="3579"/>
      <c r="AA27" s="3579"/>
      <c r="AB27" s="3580"/>
      <c r="AC27" s="3592"/>
      <c r="AD27" s="3591"/>
      <c r="AE27" s="3579"/>
      <c r="AF27" s="3579"/>
      <c r="AG27" s="3580"/>
      <c r="AH27" s="3593"/>
      <c r="AI27" s="3478"/>
    </row>
    <row r="28">
      <c r="A28" s="3479"/>
      <c r="B28" s="3594"/>
      <c r="C28" s="1638"/>
      <c r="D28" s="3595"/>
      <c r="E28" s="3596" t="s">
        <v>967</v>
      </c>
      <c r="F28" s="3597"/>
      <c r="G28" s="3597"/>
      <c r="H28" s="3598"/>
      <c r="J28" s="3596" t="s">
        <v>967</v>
      </c>
      <c r="K28" s="3597"/>
      <c r="L28" s="3597"/>
      <c r="M28" s="3598"/>
      <c r="N28" s="3590"/>
      <c r="O28" s="3599"/>
      <c r="P28" s="3579"/>
      <c r="Q28" s="3579"/>
      <c r="R28" s="3580"/>
      <c r="S28" s="3592"/>
      <c r="T28" s="3599"/>
      <c r="U28" s="3579"/>
      <c r="V28" s="3579"/>
      <c r="W28" s="3580"/>
      <c r="X28" s="3592"/>
      <c r="Y28" s="3599"/>
      <c r="Z28" s="3579"/>
      <c r="AA28" s="3579"/>
      <c r="AB28" s="3580"/>
      <c r="AC28" s="3592"/>
      <c r="AD28" s="3599"/>
      <c r="AE28" s="3579"/>
      <c r="AF28" s="3579"/>
      <c r="AG28" s="3580"/>
      <c r="AH28" s="3600"/>
      <c r="AI28" s="3487"/>
    </row>
    <row r="29" ht="25.5" customHeight="1">
      <c r="A29" s="3453"/>
      <c r="B29" s="3572"/>
      <c r="C29" s="1646"/>
      <c r="D29" s="3574"/>
      <c r="E29" s="3601"/>
      <c r="F29" s="3602" t="str">
        <f t="array" ref="F29">IFERROR(VLOOKUP(E27,Dex!$B$3:$H1361,5,FALSE),"")</f>
        <v/>
      </c>
      <c r="G29" s="3603"/>
      <c r="H29" s="3604"/>
      <c r="J29" s="3601"/>
      <c r="K29" s="3602" t="str">
        <f t="array" ref="K29">IFERROR(VLOOKUP(J27,Dex!$B$3:$H1361,5,FALSE),"")</f>
        <v/>
      </c>
      <c r="L29" s="3603"/>
      <c r="M29" s="3604"/>
      <c r="N29" s="3590"/>
      <c r="O29" s="3578"/>
      <c r="P29" s="3579"/>
      <c r="Q29" s="3579"/>
      <c r="R29" s="3580"/>
      <c r="S29" s="3592"/>
      <c r="T29" s="3578"/>
      <c r="U29" s="3579"/>
      <c r="V29" s="3579"/>
      <c r="W29" s="3580"/>
      <c r="X29" s="3592"/>
      <c r="Y29" s="3578"/>
      <c r="Z29" s="3579"/>
      <c r="AA29" s="3579"/>
      <c r="AB29" s="3580"/>
      <c r="AC29" s="3592"/>
      <c r="AD29" s="3578"/>
      <c r="AE29" s="3579"/>
      <c r="AF29" s="3579"/>
      <c r="AG29" s="3580"/>
      <c r="AH29" s="3583"/>
      <c r="AI29" s="3466"/>
    </row>
    <row r="30" ht="2.25" customHeight="1">
      <c r="A30" s="3453"/>
      <c r="B30" s="3572"/>
      <c r="C30" s="3605"/>
      <c r="D30" s="3574"/>
      <c r="E30" s="3606"/>
      <c r="F30" s="3607"/>
      <c r="G30" s="3607"/>
      <c r="H30" s="3608"/>
      <c r="J30" s="3606"/>
      <c r="K30" s="3607"/>
      <c r="L30" s="3607"/>
      <c r="M30" s="3608"/>
      <c r="N30" s="3590"/>
      <c r="O30" s="3609"/>
      <c r="P30" s="3609"/>
      <c r="Q30" s="3609"/>
      <c r="R30" s="3609"/>
      <c r="S30" s="3592"/>
      <c r="T30" s="3609"/>
      <c r="U30" s="3609"/>
      <c r="V30" s="3609"/>
      <c r="W30" s="3609"/>
      <c r="X30" s="3592"/>
      <c r="Y30" s="3609"/>
      <c r="Z30" s="3609"/>
      <c r="AA30" s="3609"/>
      <c r="AB30" s="3609"/>
      <c r="AC30" s="3592"/>
      <c r="AD30" s="3609"/>
      <c r="AE30" s="3609"/>
      <c r="AF30" s="3609"/>
      <c r="AG30" s="3609"/>
      <c r="AH30" s="3583"/>
      <c r="AI30" s="3466"/>
    </row>
    <row r="31" ht="20.25" customHeight="1">
      <c r="A31" s="3453"/>
      <c r="B31" s="3572"/>
      <c r="C31" s="3605"/>
      <c r="D31" s="3574"/>
      <c r="E31" s="3610" t="s">
        <v>481</v>
      </c>
      <c r="F31" s="3611"/>
      <c r="G31" s="3611"/>
      <c r="H31" s="3612"/>
      <c r="J31" s="3610" t="s">
        <v>481</v>
      </c>
      <c r="K31" s="3611"/>
      <c r="L31" s="3611"/>
      <c r="M31" s="3612"/>
      <c r="N31" s="3590"/>
      <c r="O31" s="3578"/>
      <c r="P31" s="3579"/>
      <c r="Q31" s="3579"/>
      <c r="R31" s="3580"/>
      <c r="S31" s="3592"/>
      <c r="T31" s="3578"/>
      <c r="U31" s="3579"/>
      <c r="V31" s="3579"/>
      <c r="W31" s="3580"/>
      <c r="X31" s="3592"/>
      <c r="Y31" s="3578"/>
      <c r="Z31" s="3579"/>
      <c r="AA31" s="3579"/>
      <c r="AB31" s="3580"/>
      <c r="AC31" s="3592"/>
      <c r="AD31" s="3578"/>
      <c r="AE31" s="3579"/>
      <c r="AF31" s="3579"/>
      <c r="AG31" s="3580"/>
      <c r="AH31" s="3583"/>
      <c r="AI31" s="3466"/>
    </row>
    <row r="32" ht="20.25" customHeight="1">
      <c r="A32" s="3453"/>
      <c r="B32" s="3572"/>
      <c r="C32" s="3613"/>
      <c r="D32" s="3574"/>
      <c r="E32" s="3614" t="s">
        <v>1363</v>
      </c>
      <c r="F32" s="3579"/>
      <c r="G32" s="3579"/>
      <c r="H32" s="3615"/>
      <c r="J32" s="3614" t="s">
        <v>1364</v>
      </c>
      <c r="K32" s="3579"/>
      <c r="L32" s="3579"/>
      <c r="M32" s="3615"/>
      <c r="N32" s="3590"/>
      <c r="O32" s="3578"/>
      <c r="P32" s="3579"/>
      <c r="Q32" s="3579"/>
      <c r="R32" s="3580"/>
      <c r="S32" s="3592"/>
      <c r="T32" s="3578"/>
      <c r="U32" s="3579"/>
      <c r="V32" s="3579"/>
      <c r="W32" s="3580"/>
      <c r="X32" s="3592"/>
      <c r="Y32" s="3578"/>
      <c r="Z32" s="3579"/>
      <c r="AA32" s="3579"/>
      <c r="AB32" s="3580"/>
      <c r="AC32" s="3592"/>
      <c r="AD32" s="3578"/>
      <c r="AE32" s="3579"/>
      <c r="AF32" s="3579"/>
      <c r="AG32" s="3580"/>
      <c r="AH32" s="3583"/>
      <c r="AI32" s="3466"/>
    </row>
    <row r="33" ht="20.25" customHeight="1">
      <c r="A33" s="3453"/>
      <c r="B33" s="3572"/>
      <c r="C33" s="3592"/>
      <c r="D33" s="3574"/>
      <c r="E33" s="3616" t="s">
        <v>488</v>
      </c>
      <c r="F33" s="3617"/>
      <c r="G33" s="3618"/>
      <c r="H33" s="3619" t="str">
        <f>IMAGE("https://raw.githubusercontent.com/msikma/pokesprite/master/items/medicine/berry-juice.png",3)</f>
        <v/>
      </c>
      <c r="J33" s="3616" t="s">
        <v>492</v>
      </c>
      <c r="K33" s="3617"/>
      <c r="L33" s="3618"/>
      <c r="M33" s="3619" t="str">
        <f>IMAGE("https://raw.githubusercontent.com/msikma/pokesprite/master/items/berry/iapapa.png",3)</f>
        <v/>
      </c>
      <c r="N33" s="3590"/>
      <c r="O33" s="3578"/>
      <c r="P33" s="3579"/>
      <c r="Q33" s="3579"/>
      <c r="R33" s="3580"/>
      <c r="S33" s="3592"/>
      <c r="T33" s="3578"/>
      <c r="U33" s="3579"/>
      <c r="V33" s="3579"/>
      <c r="W33" s="3580"/>
      <c r="X33" s="3592"/>
      <c r="Y33" s="3578"/>
      <c r="Z33" s="3579"/>
      <c r="AA33" s="3579"/>
      <c r="AB33" s="3580"/>
      <c r="AC33" s="3592"/>
      <c r="AD33" s="3578"/>
      <c r="AE33" s="3579"/>
      <c r="AF33" s="3579"/>
      <c r="AG33" s="3580"/>
      <c r="AH33" s="3583"/>
      <c r="AI33" s="3466"/>
    </row>
    <row r="34" ht="20.25" customHeight="1">
      <c r="A34" s="3453"/>
      <c r="B34" s="3572"/>
      <c r="C34" s="3620"/>
      <c r="D34" s="3574"/>
      <c r="E34" s="3610" t="s">
        <v>1365</v>
      </c>
      <c r="F34" s="3611"/>
      <c r="G34" s="3621"/>
      <c r="H34" s="3622" t="str">
        <f>IMAGE("https://raw.githubusercontent.com/msikma/pokesprite/master/misc/types/gen8/fire.png",4,20,20)</f>
        <v/>
      </c>
      <c r="J34" s="3610" t="s">
        <v>1366</v>
      </c>
      <c r="K34" s="3611"/>
      <c r="L34" s="3621"/>
      <c r="M34" s="3622" t="str">
        <f t="shared" ref="M34:M35" si="2">IMAGE("https://raw.githubusercontent.com/msikma/pokesprite/master/misc/types/gen8/poison.png",4,20,20)</f>
        <v/>
      </c>
      <c r="N34" s="3590"/>
      <c r="O34" s="3578"/>
      <c r="P34" s="3579"/>
      <c r="Q34" s="3579"/>
      <c r="R34" s="3580"/>
      <c r="S34" s="3592"/>
      <c r="T34" s="3578"/>
      <c r="U34" s="3579"/>
      <c r="V34" s="3579"/>
      <c r="W34" s="3580"/>
      <c r="X34" s="3592"/>
      <c r="Y34" s="3578"/>
      <c r="Z34" s="3579"/>
      <c r="AA34" s="3579"/>
      <c r="AB34" s="3580"/>
      <c r="AC34" s="3592"/>
      <c r="AD34" s="3578"/>
      <c r="AE34" s="3579"/>
      <c r="AF34" s="3579"/>
      <c r="AG34" s="3580"/>
      <c r="AH34" s="3583"/>
      <c r="AI34" s="3466"/>
    </row>
    <row r="35" ht="20.25" customHeight="1">
      <c r="A35" s="3453"/>
      <c r="B35" s="3572"/>
      <c r="C35" s="3605"/>
      <c r="D35" s="3574"/>
      <c r="E35" s="3614" t="s">
        <v>1367</v>
      </c>
      <c r="F35" s="3579"/>
      <c r="G35" s="3580"/>
      <c r="H35" s="3623" t="str">
        <f>IMAGE("https://raw.githubusercontent.com/msikma/pokesprite/master/misc/types/gen8/ghost.png",4,20,20)</f>
        <v/>
      </c>
      <c r="J35" s="3614" t="s">
        <v>988</v>
      </c>
      <c r="K35" s="3579"/>
      <c r="L35" s="3580"/>
      <c r="M35" s="3623" t="str">
        <f t="shared" si="2"/>
        <v/>
      </c>
      <c r="N35" s="3590"/>
      <c r="O35" s="3578"/>
      <c r="P35" s="3579"/>
      <c r="Q35" s="3579"/>
      <c r="R35" s="3580"/>
      <c r="S35" s="3592"/>
      <c r="T35" s="3578"/>
      <c r="U35" s="3579"/>
      <c r="V35" s="3579"/>
      <c r="W35" s="3580"/>
      <c r="X35" s="3592"/>
      <c r="Y35" s="3578"/>
      <c r="Z35" s="3579"/>
      <c r="AA35" s="3579"/>
      <c r="AB35" s="3580"/>
      <c r="AC35" s="3592"/>
      <c r="AD35" s="3578"/>
      <c r="AE35" s="3579"/>
      <c r="AF35" s="3579"/>
      <c r="AG35" s="3580"/>
      <c r="AH35" s="3583"/>
      <c r="AI35" s="3466"/>
    </row>
    <row r="36" ht="20.25" customHeight="1">
      <c r="A36" s="3453"/>
      <c r="B36" s="3572"/>
      <c r="C36" s="3605"/>
      <c r="D36" s="3574"/>
      <c r="E36" s="3614" t="s">
        <v>878</v>
      </c>
      <c r="F36" s="3579"/>
      <c r="G36" s="3580"/>
      <c r="H36" s="3623" t="str">
        <f>IMAGE("https://raw.githubusercontent.com/msikma/pokesprite/master/misc/types/gen8/fire.png",4,20,20)</f>
        <v/>
      </c>
      <c r="J36" s="3614" t="s">
        <v>499</v>
      </c>
      <c r="K36" s="3579"/>
      <c r="L36" s="3580"/>
      <c r="M36" s="3623" t="str">
        <f>IMAGE("https://raw.githubusercontent.com/msikma/pokesprite/master/misc/types/gen8/grass.png",4,20,20)</f>
        <v/>
      </c>
      <c r="N36" s="3590"/>
      <c r="O36" s="3578"/>
      <c r="P36" s="3579"/>
      <c r="Q36" s="3579"/>
      <c r="R36" s="3580"/>
      <c r="S36" s="3592"/>
      <c r="T36" s="3578"/>
      <c r="U36" s="3579"/>
      <c r="V36" s="3579"/>
      <c r="W36" s="3580"/>
      <c r="X36" s="3592"/>
      <c r="Y36" s="3578"/>
      <c r="Z36" s="3579"/>
      <c r="AA36" s="3579"/>
      <c r="AB36" s="3580"/>
      <c r="AC36" s="3592"/>
      <c r="AD36" s="3578"/>
      <c r="AE36" s="3579"/>
      <c r="AF36" s="3579"/>
      <c r="AG36" s="3580"/>
      <c r="AH36" s="3583"/>
      <c r="AI36" s="3466"/>
    </row>
    <row r="37" ht="21.0" customHeight="1">
      <c r="A37" s="3453"/>
      <c r="B37" s="3572"/>
      <c r="C37" s="3605"/>
      <c r="D37" s="3574"/>
      <c r="E37" s="3624" t="s">
        <v>1368</v>
      </c>
      <c r="F37" s="3625"/>
      <c r="G37" s="3626"/>
      <c r="H37" s="3627" t="str">
        <f>IMAGE("https://raw.githubusercontent.com/msikma/pokesprite/master/misc/types/gen8/poison.png",4,20,20)</f>
        <v/>
      </c>
      <c r="I37" s="3628"/>
      <c r="J37" s="3624" t="s">
        <v>698</v>
      </c>
      <c r="K37" s="3625"/>
      <c r="L37" s="3626"/>
      <c r="M37" s="3627" t="str">
        <f>IMAGE("https://raw.githubusercontent.com/msikma/pokesprite/master/misc/types/gen8/normal.png",4,20,20)</f>
        <v/>
      </c>
      <c r="N37" s="3629"/>
      <c r="O37" s="3578"/>
      <c r="P37" s="3579"/>
      <c r="Q37" s="3579"/>
      <c r="R37" s="3580"/>
      <c r="S37" s="3620"/>
      <c r="T37" s="3578"/>
      <c r="U37" s="3579"/>
      <c r="V37" s="3579"/>
      <c r="W37" s="3580"/>
      <c r="X37" s="3620"/>
      <c r="Y37" s="3578"/>
      <c r="Z37" s="3579"/>
      <c r="AA37" s="3579"/>
      <c r="AB37" s="3580"/>
      <c r="AC37" s="3620"/>
      <c r="AD37" s="3578"/>
      <c r="AE37" s="3579"/>
      <c r="AF37" s="3579"/>
      <c r="AG37" s="3580"/>
      <c r="AH37" s="3583"/>
      <c r="AI37" s="3466"/>
    </row>
    <row r="38" ht="3.0" customHeight="1">
      <c r="A38" s="3524"/>
      <c r="B38" s="3630"/>
      <c r="C38" s="3631"/>
      <c r="D38" s="3632"/>
      <c r="E38" s="3633"/>
      <c r="F38" s="3633"/>
      <c r="G38" s="3633"/>
      <c r="H38" s="3633"/>
      <c r="I38" s="3632"/>
      <c r="J38" s="3634"/>
      <c r="K38" s="3634"/>
      <c r="L38" s="3634"/>
      <c r="M38" s="3633"/>
      <c r="N38" s="3632"/>
      <c r="O38" s="3635"/>
      <c r="P38" s="3635"/>
      <c r="Q38" s="3635"/>
      <c r="R38" s="3635"/>
      <c r="S38" s="3635"/>
      <c r="T38" s="3635"/>
      <c r="U38" s="3635"/>
      <c r="V38" s="3635"/>
      <c r="W38" s="3635"/>
      <c r="X38" s="3632"/>
      <c r="Y38" s="3632"/>
      <c r="Z38" s="3636"/>
      <c r="AA38" s="3636"/>
      <c r="AB38" s="3637"/>
      <c r="AC38" s="3637"/>
      <c r="AD38" s="3637"/>
      <c r="AE38" s="3637"/>
      <c r="AF38" s="3637"/>
      <c r="AG38" s="3637"/>
      <c r="AH38" s="3638"/>
      <c r="AI38" s="3534"/>
    </row>
    <row r="39" ht="16.5" customHeight="1">
      <c r="A39" s="3535"/>
      <c r="B39" s="3639"/>
      <c r="C39" s="3631"/>
      <c r="D39" s="3640"/>
      <c r="E39" s="3641" t="s">
        <v>512</v>
      </c>
      <c r="F39" s="606"/>
      <c r="G39" s="606"/>
      <c r="H39" s="607"/>
      <c r="I39" s="3642"/>
      <c r="J39" s="3641" t="s">
        <v>512</v>
      </c>
      <c r="K39" s="606"/>
      <c r="L39" s="606"/>
      <c r="M39" s="607"/>
      <c r="N39" s="3640"/>
      <c r="O39" s="3635"/>
      <c r="P39" s="3635"/>
      <c r="Q39" s="3635"/>
      <c r="R39" s="3635"/>
      <c r="S39" s="3632"/>
      <c r="T39" s="3632"/>
      <c r="U39" s="3643"/>
      <c r="V39" s="3644"/>
      <c r="W39" s="3644"/>
      <c r="X39" s="3644"/>
      <c r="Y39" s="3644"/>
      <c r="Z39" s="3640"/>
      <c r="AA39" s="3640"/>
      <c r="AB39" s="3644"/>
      <c r="AC39" s="3644"/>
      <c r="AD39" s="3644"/>
      <c r="AE39" s="3644"/>
      <c r="AF39" s="3644"/>
      <c r="AG39" s="3644"/>
      <c r="AH39" s="3645"/>
      <c r="AI39" s="3543"/>
    </row>
    <row r="40" ht="16.5" customHeight="1">
      <c r="A40" s="3535"/>
      <c r="B40" s="3639"/>
      <c r="C40" s="3631"/>
      <c r="D40" s="3640"/>
      <c r="E40" s="3646" t="s">
        <v>513</v>
      </c>
      <c r="F40" s="3647">
        <f t="array" ref="F40">IFERROR(VLOOKUP(E27,Dex!$B$3:$N1361,8,FALSE),"")</f>
        <v>40</v>
      </c>
      <c r="G40" s="3648" t="str">
        <f t="array" ref="G40">IFERROR(VLOOKUP(F40,Dex!$P$22:$Q$276,2,FALSE),"")</f>
        <v/>
      </c>
      <c r="H40" s="3649"/>
      <c r="I40" s="3650"/>
      <c r="J40" s="3646" t="s">
        <v>513</v>
      </c>
      <c r="K40" s="3647">
        <f t="array" ref="K40">IFERROR(VLOOKUP(J27,Dex!$B$3:$N1361,8,FALSE),"")</f>
        <v>70</v>
      </c>
      <c r="L40" s="3648" t="str">
        <f t="array" ref="L40">IFERROR(VLOOKUP(K40,Dex!$P$22:$Q$276,2,FALSE),"")</f>
        <v/>
      </c>
      <c r="M40" s="3649"/>
      <c r="N40" s="3640"/>
      <c r="O40" s="3640"/>
      <c r="P40" s="3640"/>
      <c r="Q40" s="3644"/>
      <c r="R40" s="3644"/>
      <c r="S40" s="3644"/>
      <c r="T40" s="3644"/>
      <c r="U40" s="3651"/>
      <c r="V40" s="3644"/>
      <c r="W40" s="3644"/>
      <c r="X40" s="3644"/>
      <c r="Y40" s="3644"/>
      <c r="Z40" s="3640"/>
      <c r="AA40" s="3640"/>
      <c r="AB40" s="3644"/>
      <c r="AC40" s="3644"/>
      <c r="AD40" s="3644"/>
      <c r="AE40" s="3644"/>
      <c r="AF40" s="3644"/>
      <c r="AG40" s="3644"/>
      <c r="AH40" s="3645"/>
      <c r="AI40" s="3543"/>
    </row>
    <row r="41" ht="16.5" customHeight="1">
      <c r="A41" s="3535"/>
      <c r="B41" s="3639"/>
      <c r="C41" s="3631"/>
      <c r="D41" s="3640"/>
      <c r="E41" s="3652" t="s">
        <v>514</v>
      </c>
      <c r="F41" s="3653">
        <f t="array" ref="F41">IFERROR(VLOOKUP(E27,Dex!$B$3:$N1361,9,FALSE),"")</f>
        <v>50</v>
      </c>
      <c r="G41" s="3654" t="str">
        <f t="array" ref="G41">IFERROR(VLOOKUP(F41,Dex!$P$22:$Q$276,2,FALSE),"")</f>
        <v/>
      </c>
      <c r="H41" s="3655"/>
      <c r="I41" s="3650"/>
      <c r="J41" s="3652" t="s">
        <v>514</v>
      </c>
      <c r="K41" s="3653">
        <f t="array" ref="K41">IFERROR(VLOOKUP(J27,Dex!$B$3:$N1361,9,FALSE),"")</f>
        <v>43</v>
      </c>
      <c r="L41" s="3654" t="str">
        <f t="array" ref="L41">IFERROR(VLOOKUP(K41,Dex!$P$22:$Q$276,2,FALSE),"")</f>
        <v/>
      </c>
      <c r="M41" s="3655"/>
      <c r="N41" s="3640"/>
      <c r="O41" s="3640"/>
      <c r="P41" s="3640"/>
      <c r="Q41" s="3644"/>
      <c r="R41" s="3644"/>
      <c r="S41" s="3644"/>
      <c r="T41" s="3644"/>
      <c r="U41" s="3656"/>
      <c r="V41" s="3644"/>
      <c r="W41" s="3644"/>
      <c r="X41" s="3644"/>
      <c r="Y41" s="3644"/>
      <c r="Z41" s="3640"/>
      <c r="AA41" s="3640"/>
      <c r="AB41" s="3644"/>
      <c r="AC41" s="3644"/>
      <c r="AD41" s="3644"/>
      <c r="AE41" s="3644"/>
      <c r="AF41" s="3644"/>
      <c r="AG41" s="3644"/>
      <c r="AH41" s="3645"/>
      <c r="AI41" s="3543"/>
    </row>
    <row r="42" ht="16.5" customHeight="1">
      <c r="A42" s="3535"/>
      <c r="B42" s="3639"/>
      <c r="C42" s="3631"/>
      <c r="D42" s="3640"/>
      <c r="E42" s="3652" t="s">
        <v>515</v>
      </c>
      <c r="F42" s="3653">
        <f t="array" ref="F42">IFERROR(VLOOKUP(E27,Dex!$B$3:$N1361,10,FALSE),"")</f>
        <v>40</v>
      </c>
      <c r="G42" s="3654" t="str">
        <f t="array" ref="G42">IFERROR(VLOOKUP(F42,Dex!$P$22:$Q$276,2,FALSE),"")</f>
        <v/>
      </c>
      <c r="H42" s="3655"/>
      <c r="I42" s="3650"/>
      <c r="J42" s="3652" t="s">
        <v>515</v>
      </c>
      <c r="K42" s="3653">
        <f t="array" ref="K42">IFERROR(VLOOKUP(J27,Dex!$B$3:$N1361,10,FALSE),"")</f>
        <v>53</v>
      </c>
      <c r="L42" s="3654" t="str">
        <f t="array" ref="L42">IFERROR(VLOOKUP(K42,Dex!$P$22:$Q$276,2,FALSE),"")</f>
        <v/>
      </c>
      <c r="M42" s="3655"/>
      <c r="N42" s="3640"/>
      <c r="O42" s="3640"/>
      <c r="P42" s="3640"/>
      <c r="Q42" s="3644"/>
      <c r="R42" s="3644"/>
      <c r="S42" s="3644"/>
      <c r="T42" s="3644"/>
      <c r="U42" s="3657"/>
      <c r="V42" s="3644"/>
      <c r="W42" s="3644"/>
      <c r="X42" s="3644"/>
      <c r="Y42" s="3644"/>
      <c r="Z42" s="3640"/>
      <c r="AA42" s="3640"/>
      <c r="AB42" s="3644"/>
      <c r="AC42" s="3644"/>
      <c r="AD42" s="3644"/>
      <c r="AE42" s="3644"/>
      <c r="AF42" s="3644"/>
      <c r="AG42" s="3644"/>
      <c r="AH42" s="3645"/>
      <c r="AI42" s="3543"/>
    </row>
    <row r="43" ht="16.5" customHeight="1">
      <c r="A43" s="3535"/>
      <c r="B43" s="3639"/>
      <c r="C43" s="3631"/>
      <c r="D43" s="3640"/>
      <c r="E43" s="3652" t="s">
        <v>516</v>
      </c>
      <c r="F43" s="3653">
        <f t="array" ref="F43">IFERROR(VLOOKUP(E27,Dex!$B$3:$N1361,11,FALSE),"")</f>
        <v>50</v>
      </c>
      <c r="G43" s="3654" t="str">
        <f t="array" ref="G43">IFERROR(VLOOKUP(F43,Dex!$P$22:$Q$276,2,FALSE),"")</f>
        <v/>
      </c>
      <c r="H43" s="3655"/>
      <c r="I43" s="3650"/>
      <c r="J43" s="3652" t="s">
        <v>516</v>
      </c>
      <c r="K43" s="3653">
        <f t="array" ref="K43">IFERROR(VLOOKUP(J27,Dex!$B$3:$N1361,11,FALSE),"")</f>
        <v>43</v>
      </c>
      <c r="L43" s="3654" t="str">
        <f t="array" ref="L43">IFERROR(VLOOKUP(K43,Dex!$P$22:$Q$276,2,FALSE),"")</f>
        <v/>
      </c>
      <c r="M43" s="3655"/>
      <c r="N43" s="3640"/>
      <c r="O43" s="3640"/>
      <c r="P43" s="3640"/>
      <c r="Q43" s="3644"/>
      <c r="R43" s="3644"/>
      <c r="S43" s="3644"/>
      <c r="T43" s="3644"/>
      <c r="U43" s="3592"/>
      <c r="V43" s="3644"/>
      <c r="W43" s="3644"/>
      <c r="X43" s="3644"/>
      <c r="Y43" s="3644"/>
      <c r="Z43" s="3640"/>
      <c r="AA43" s="3640"/>
      <c r="AB43" s="3644"/>
      <c r="AC43" s="3644"/>
      <c r="AD43" s="3644"/>
      <c r="AE43" s="3644"/>
      <c r="AF43" s="3644"/>
      <c r="AG43" s="3644"/>
      <c r="AH43" s="3645"/>
      <c r="AI43" s="3543"/>
    </row>
    <row r="44" ht="16.5" customHeight="1">
      <c r="A44" s="3535"/>
      <c r="B44" s="3639"/>
      <c r="C44" s="3631"/>
      <c r="D44" s="3640"/>
      <c r="E44" s="3652" t="s">
        <v>517</v>
      </c>
      <c r="F44" s="3653">
        <f t="array" ref="F44">IFERROR(VLOOKUP(E27,Dex!$B$3:$N1361,12,FALSE),"")</f>
        <v>40</v>
      </c>
      <c r="G44" s="3654" t="str">
        <f t="array" ref="G44">IFERROR(VLOOKUP(F44,Dex!$P$22:$Q$276,2,FALSE),"")</f>
        <v/>
      </c>
      <c r="H44" s="3655"/>
      <c r="I44" s="3650"/>
      <c r="J44" s="3652" t="s">
        <v>517</v>
      </c>
      <c r="K44" s="3653">
        <f t="array" ref="K44">IFERROR(VLOOKUP(J27,Dex!$B$3:$N1361,12,FALSE),"")</f>
        <v>53</v>
      </c>
      <c r="L44" s="3654" t="str">
        <f t="array" ref="L44">IFERROR(VLOOKUP(K44,Dex!$P$22:$Q$276,2,FALSE),"")</f>
        <v/>
      </c>
      <c r="M44" s="3655"/>
      <c r="N44" s="3640"/>
      <c r="O44" s="3640"/>
      <c r="P44" s="3640"/>
      <c r="Q44" s="3644"/>
      <c r="R44" s="3644"/>
      <c r="S44" s="3644"/>
      <c r="T44" s="3644"/>
      <c r="U44" s="3592"/>
      <c r="V44" s="3644"/>
      <c r="W44" s="3644"/>
      <c r="X44" s="3644"/>
      <c r="Y44" s="3644"/>
      <c r="Z44" s="3640"/>
      <c r="AA44" s="3640"/>
      <c r="AB44" s="3644"/>
      <c r="AC44" s="3644"/>
      <c r="AD44" s="3644"/>
      <c r="AE44" s="3644"/>
      <c r="AF44" s="3644"/>
      <c r="AG44" s="3644"/>
      <c r="AH44" s="3645"/>
      <c r="AI44" s="3543"/>
    </row>
    <row r="45" ht="16.5" customHeight="1">
      <c r="A45" s="3535"/>
      <c r="B45" s="3639"/>
      <c r="C45" s="1426" t="s">
        <v>745</v>
      </c>
      <c r="D45" s="3640"/>
      <c r="E45" s="3658" t="s">
        <v>518</v>
      </c>
      <c r="F45" s="3659">
        <f t="array" ref="F45">IFERROR(VLOOKUP(E27,Dex!$B$3:$N1361,13,FALSE),"")</f>
        <v>35</v>
      </c>
      <c r="G45" s="3660" t="str">
        <f t="array" ref="G45">IFERROR(VLOOKUP(F45,Dex!$P$22:$Q$276,2,FALSE),"")</f>
        <v/>
      </c>
      <c r="H45" s="3661"/>
      <c r="I45" s="3650"/>
      <c r="J45" s="3658" t="s">
        <v>518</v>
      </c>
      <c r="K45" s="3659">
        <f t="array" ref="K45">IFERROR(VLOOKUP(J27,Dex!$B$3:$N1361,13,FALSE),"")</f>
        <v>40</v>
      </c>
      <c r="L45" s="3660" t="str">
        <f t="array" ref="L45">IFERROR(VLOOKUP(K45,Dex!$P$22:$Q$276,2,FALSE),"")</f>
        <v/>
      </c>
      <c r="M45" s="3661"/>
      <c r="N45" s="3640"/>
      <c r="O45" s="3640"/>
      <c r="P45" s="3640"/>
      <c r="Q45" s="3644"/>
      <c r="R45" s="3644"/>
      <c r="S45" s="3644"/>
      <c r="T45" s="3644"/>
      <c r="U45" s="3592"/>
      <c r="V45" s="3644"/>
      <c r="W45" s="3644"/>
      <c r="X45" s="3644"/>
      <c r="Y45" s="3644"/>
      <c r="Z45" s="3640"/>
      <c r="AA45" s="3640"/>
      <c r="AB45" s="3644"/>
      <c r="AC45" s="3644"/>
      <c r="AD45" s="3644"/>
      <c r="AE45" s="3644"/>
      <c r="AF45" s="3644"/>
      <c r="AG45" s="3644"/>
      <c r="AH45" s="3645"/>
      <c r="AI45" s="3543"/>
    </row>
    <row r="46" ht="16.5" customHeight="1">
      <c r="A46" s="3535"/>
      <c r="B46" s="3639"/>
      <c r="C46" s="1427" t="s">
        <v>813</v>
      </c>
      <c r="D46" s="3640"/>
      <c r="E46" s="3662" t="s">
        <v>519</v>
      </c>
      <c r="F46" s="630"/>
      <c r="G46" s="631"/>
      <c r="H46" s="632">
        <f>ROUNDDOWN((ROUNDDOWN(((((2*F45+31)*15)/100+5)),0))*1,0)</f>
        <v>20</v>
      </c>
      <c r="I46" s="3642"/>
      <c r="J46" s="3662" t="s">
        <v>519</v>
      </c>
      <c r="K46" s="630"/>
      <c r="L46" s="631"/>
      <c r="M46" s="632">
        <f>ROUNDDOWN((ROUNDDOWN(((((2*K45+31)*15)/100+5)),0))*1,0)</f>
        <v>21</v>
      </c>
      <c r="N46" s="3640"/>
      <c r="O46" s="3640"/>
      <c r="P46" s="3640"/>
      <c r="Q46" s="3644"/>
      <c r="R46" s="3644"/>
      <c r="S46" s="3644"/>
      <c r="T46" s="3644"/>
      <c r="U46" s="3620"/>
      <c r="V46" s="3644"/>
      <c r="W46" s="3644"/>
      <c r="X46" s="3644"/>
      <c r="Y46" s="3644"/>
      <c r="Z46" s="3640"/>
      <c r="AA46" s="3640"/>
      <c r="AB46" s="3644"/>
      <c r="AC46" s="3644"/>
      <c r="AD46" s="3644"/>
      <c r="AE46" s="3644"/>
      <c r="AF46" s="3644"/>
      <c r="AG46" s="3644"/>
      <c r="AH46" s="3645"/>
      <c r="AI46" s="3543"/>
    </row>
    <row r="47" ht="15.0" customHeight="1">
      <c r="A47" s="3453"/>
      <c r="B47" s="3663"/>
      <c r="C47" s="3664"/>
      <c r="D47" s="3665"/>
      <c r="E47" s="3666"/>
      <c r="F47" s="3666"/>
      <c r="G47" s="3666"/>
      <c r="H47" s="3667"/>
      <c r="I47" s="3667"/>
      <c r="J47" s="3668"/>
      <c r="K47" s="3668"/>
      <c r="L47" s="3668"/>
      <c r="M47" s="3667"/>
      <c r="N47" s="3669"/>
      <c r="O47" s="3670"/>
      <c r="P47" s="3670"/>
      <c r="Q47" s="3671"/>
      <c r="R47" s="3671"/>
      <c r="S47" s="3671"/>
      <c r="T47" s="3671"/>
      <c r="U47" s="3670"/>
      <c r="V47" s="3672"/>
      <c r="W47" s="3672"/>
      <c r="X47" s="3669"/>
      <c r="Y47" s="3672"/>
      <c r="Z47" s="3672"/>
      <c r="AA47" s="3672"/>
      <c r="AB47" s="3672"/>
      <c r="AC47" s="3672"/>
      <c r="AD47" s="3672"/>
      <c r="AE47" s="3672"/>
      <c r="AF47" s="3672"/>
      <c r="AG47" s="3672"/>
      <c r="AH47" s="3673"/>
      <c r="AI47" s="3466"/>
    </row>
    <row r="48" ht="15.0" customHeight="1">
      <c r="A48" s="3446"/>
      <c r="B48" s="3674"/>
      <c r="C48" s="3675"/>
      <c r="D48" s="3676"/>
      <c r="E48" s="3676"/>
      <c r="F48" s="3676"/>
      <c r="G48" s="3676"/>
      <c r="H48" s="3676"/>
      <c r="I48" s="3676"/>
      <c r="J48" s="3676"/>
      <c r="K48" s="3676"/>
      <c r="L48" s="3676"/>
      <c r="M48" s="3676"/>
      <c r="N48" s="3676"/>
      <c r="O48" s="3676"/>
      <c r="P48" s="3676"/>
      <c r="Q48" s="3676"/>
      <c r="R48" s="3676"/>
      <c r="S48" s="3676"/>
      <c r="T48" s="3676"/>
      <c r="U48" s="3676"/>
      <c r="V48" s="3676"/>
      <c r="W48" s="3676"/>
      <c r="X48" s="3676"/>
      <c r="Y48" s="3676"/>
      <c r="Z48" s="3676"/>
      <c r="AA48" s="3676"/>
      <c r="AB48" s="3676"/>
      <c r="AC48" s="3676"/>
      <c r="AD48" s="3676"/>
      <c r="AE48" s="3676"/>
      <c r="AF48" s="3676"/>
      <c r="AG48" s="3676"/>
      <c r="AH48" s="3677"/>
      <c r="AI48" s="3452"/>
    </row>
    <row r="49" ht="96.75" customHeight="1">
      <c r="A49" s="3446"/>
      <c r="B49" s="3678"/>
      <c r="C49" s="3679" t="str">
        <f>IMAGE("https://i.ibb.co/cw6n81f/Bug-Catcher.png")</f>
        <v/>
      </c>
      <c r="D49" s="3680"/>
      <c r="E49" s="3681" t="str">
        <f t="array" ref="E49">IFERROR(VLOOKUP(E50,Dex!$B$3:$G1361,3,FALSE),"")</f>
        <v/>
      </c>
      <c r="F49" s="1945"/>
      <c r="G49" s="1945"/>
      <c r="H49" s="1946"/>
      <c r="I49" s="3682"/>
      <c r="J49" s="3681" t="str">
        <f t="array" ref="J49">IFERROR(VLOOKUP(J50,Dex!$B$3:$G1361,3,FALSE),"")</f>
        <v/>
      </c>
      <c r="K49" s="1945"/>
      <c r="L49" s="1945"/>
      <c r="M49" s="1946"/>
      <c r="N49" s="3682"/>
      <c r="O49" s="3681" t="str">
        <f t="array" ref="O49">IFERROR(VLOOKUP(O50,Dex!$B$3:$G1361,3,FALSE),"")</f>
        <v/>
      </c>
      <c r="P49" s="1945"/>
      <c r="Q49" s="1945"/>
      <c r="R49" s="1946"/>
      <c r="S49" s="3683"/>
      <c r="T49" s="3684"/>
      <c r="U49" s="3685"/>
      <c r="V49" s="3685"/>
      <c r="W49" s="3686"/>
      <c r="X49" s="3687"/>
      <c r="Y49" s="3684"/>
      <c r="Z49" s="3685"/>
      <c r="AA49" s="3685"/>
      <c r="AB49" s="3686"/>
      <c r="AC49" s="3687"/>
      <c r="AD49" s="3684"/>
      <c r="AE49" s="3685"/>
      <c r="AF49" s="3685"/>
      <c r="AG49" s="3686"/>
      <c r="AH49" s="3688"/>
      <c r="AI49" s="3452"/>
    </row>
    <row r="50" ht="18.75" customHeight="1">
      <c r="A50" s="3689"/>
      <c r="B50" s="3690"/>
      <c r="C50" s="3691" t="s">
        <v>1369</v>
      </c>
      <c r="D50" s="3692"/>
      <c r="E50" s="3693" t="s">
        <v>306</v>
      </c>
      <c r="F50" s="3694"/>
      <c r="G50" s="3694"/>
      <c r="H50" s="3695"/>
      <c r="J50" s="3693" t="s">
        <v>222</v>
      </c>
      <c r="K50" s="3694"/>
      <c r="L50" s="3694"/>
      <c r="M50" s="3695"/>
      <c r="O50" s="3693" t="s">
        <v>1370</v>
      </c>
      <c r="P50" s="3694"/>
      <c r="Q50" s="3694"/>
      <c r="R50" s="3695"/>
      <c r="S50" s="3696"/>
      <c r="T50" s="3697"/>
      <c r="U50" s="3685"/>
      <c r="V50" s="3685"/>
      <c r="W50" s="3686"/>
      <c r="X50" s="3698"/>
      <c r="Y50" s="3697"/>
      <c r="Z50" s="3685"/>
      <c r="AA50" s="3685"/>
      <c r="AB50" s="3686"/>
      <c r="AC50" s="3698"/>
      <c r="AD50" s="3697"/>
      <c r="AE50" s="3685"/>
      <c r="AF50" s="3685"/>
      <c r="AG50" s="3686"/>
      <c r="AH50" s="3699"/>
      <c r="AI50" s="3700"/>
    </row>
    <row r="51">
      <c r="A51" s="3701"/>
      <c r="B51" s="3702"/>
      <c r="C51" s="1638"/>
      <c r="D51" s="3703"/>
      <c r="E51" s="3704" t="s">
        <v>797</v>
      </c>
      <c r="F51" s="3705"/>
      <c r="G51" s="3705"/>
      <c r="H51" s="3706"/>
      <c r="J51" s="3704" t="s">
        <v>796</v>
      </c>
      <c r="K51" s="3705"/>
      <c r="L51" s="3705"/>
      <c r="M51" s="3706"/>
      <c r="O51" s="3704" t="s">
        <v>797</v>
      </c>
      <c r="P51" s="3705"/>
      <c r="Q51" s="3705"/>
      <c r="R51" s="3706"/>
      <c r="S51" s="3696"/>
      <c r="T51" s="3707"/>
      <c r="U51" s="3685"/>
      <c r="V51" s="3685"/>
      <c r="W51" s="3686"/>
      <c r="X51" s="3698"/>
      <c r="Y51" s="3707"/>
      <c r="Z51" s="3685"/>
      <c r="AA51" s="3685"/>
      <c r="AB51" s="3686"/>
      <c r="AC51" s="3698"/>
      <c r="AD51" s="3707"/>
      <c r="AE51" s="3685"/>
      <c r="AF51" s="3685"/>
      <c r="AG51" s="3686"/>
      <c r="AH51" s="3708"/>
      <c r="AI51" s="3709"/>
    </row>
    <row r="52" ht="25.5" customHeight="1">
      <c r="A52" s="3446"/>
      <c r="B52" s="3678"/>
      <c r="C52" s="1646"/>
      <c r="D52" s="3710"/>
      <c r="E52" s="3711"/>
      <c r="F52" s="3712" t="str">
        <f t="array" ref="F52">IFERROR(VLOOKUP(E50,Dex!$B$3:$H1361,5,FALSE),"")</f>
        <v/>
      </c>
      <c r="G52" s="3713"/>
      <c r="H52" s="3714"/>
      <c r="J52" s="3711"/>
      <c r="K52" s="3715" t="str">
        <f t="array" ref="K52">IFERROR(VLOOKUP(J50,Dex!$B$3:$H1361,5,FALSE),"")</f>
        <v/>
      </c>
      <c r="L52" s="3716" t="str">
        <f t="array" ref="L52">IFERROR(VLOOKUP(J50,Dex!$B$3:$H1361,7,FALSE),"")</f>
        <v/>
      </c>
      <c r="M52" s="3714"/>
      <c r="O52" s="3711"/>
      <c r="P52" s="3715" t="str">
        <f t="array" ref="P52">IFERROR(VLOOKUP(O50,Dex!$B$3:$H1361,5,FALSE),"")</f>
        <v/>
      </c>
      <c r="Q52" s="3716" t="str">
        <f t="array" ref="Q52">IFERROR(VLOOKUP(O50,Dex!$B$3:$H1361,7,FALSE),"")</f>
        <v/>
      </c>
      <c r="R52" s="3714"/>
      <c r="S52" s="3696"/>
      <c r="T52" s="3684"/>
      <c r="U52" s="3685"/>
      <c r="V52" s="3685"/>
      <c r="W52" s="3686"/>
      <c r="X52" s="3698"/>
      <c r="Y52" s="3684"/>
      <c r="Z52" s="3685"/>
      <c r="AA52" s="3685"/>
      <c r="AB52" s="3686"/>
      <c r="AC52" s="3698"/>
      <c r="AD52" s="3684"/>
      <c r="AE52" s="3685"/>
      <c r="AF52" s="3685"/>
      <c r="AG52" s="3686"/>
      <c r="AH52" s="3688"/>
      <c r="AI52" s="3452"/>
    </row>
    <row r="53" ht="2.25" customHeight="1">
      <c r="A53" s="3446"/>
      <c r="B53" s="3678"/>
      <c r="C53" s="3717"/>
      <c r="D53" s="3710"/>
      <c r="E53" s="3718"/>
      <c r="F53" s="3719"/>
      <c r="G53" s="3719"/>
      <c r="H53" s="3720"/>
      <c r="J53" s="3718"/>
      <c r="K53" s="3719"/>
      <c r="L53" s="3719"/>
      <c r="M53" s="3720"/>
      <c r="O53" s="3718"/>
      <c r="P53" s="3719"/>
      <c r="Q53" s="3719"/>
      <c r="R53" s="3720"/>
      <c r="S53" s="3696"/>
      <c r="T53" s="3710"/>
      <c r="U53" s="3710"/>
      <c r="V53" s="3710"/>
      <c r="W53" s="3710"/>
      <c r="X53" s="3698"/>
      <c r="Y53" s="3710"/>
      <c r="Z53" s="3710"/>
      <c r="AA53" s="3710"/>
      <c r="AB53" s="3710"/>
      <c r="AC53" s="3698"/>
      <c r="AD53" s="3710"/>
      <c r="AE53" s="3710"/>
      <c r="AF53" s="3710"/>
      <c r="AG53" s="3710"/>
      <c r="AH53" s="3688"/>
      <c r="AI53" s="3452"/>
    </row>
    <row r="54" ht="20.25" customHeight="1">
      <c r="A54" s="3446"/>
      <c r="B54" s="3678"/>
      <c r="C54" s="3717"/>
      <c r="D54" s="3684"/>
      <c r="E54" s="3721" t="s">
        <v>481</v>
      </c>
      <c r="F54" s="3722"/>
      <c r="G54" s="3722"/>
      <c r="H54" s="3723"/>
      <c r="J54" s="3721" t="s">
        <v>482</v>
      </c>
      <c r="K54" s="3722"/>
      <c r="L54" s="3722"/>
      <c r="M54" s="3723"/>
      <c r="O54" s="3721" t="s">
        <v>481</v>
      </c>
      <c r="P54" s="3722"/>
      <c r="Q54" s="3722"/>
      <c r="R54" s="3723"/>
      <c r="S54" s="3696"/>
      <c r="T54" s="3684"/>
      <c r="U54" s="3685"/>
      <c r="V54" s="3685"/>
      <c r="W54" s="3686"/>
      <c r="X54" s="3698"/>
      <c r="Y54" s="3684"/>
      <c r="Z54" s="3685"/>
      <c r="AA54" s="3685"/>
      <c r="AB54" s="3686"/>
      <c r="AC54" s="3698"/>
      <c r="AD54" s="3684"/>
      <c r="AE54" s="3685"/>
      <c r="AF54" s="3685"/>
      <c r="AG54" s="3686"/>
      <c r="AH54" s="3688"/>
      <c r="AI54" s="3452"/>
    </row>
    <row r="55" ht="20.25" customHeight="1">
      <c r="A55" s="3446"/>
      <c r="B55" s="3678"/>
      <c r="C55" s="3724"/>
      <c r="D55" s="3684"/>
      <c r="E55" s="3725" t="s">
        <v>826</v>
      </c>
      <c r="F55" s="3685"/>
      <c r="G55" s="3685"/>
      <c r="H55" s="3726"/>
      <c r="J55" s="3725" t="s">
        <v>1371</v>
      </c>
      <c r="K55" s="3685"/>
      <c r="L55" s="3685"/>
      <c r="M55" s="3726"/>
      <c r="O55" s="3725" t="s">
        <v>1239</v>
      </c>
      <c r="P55" s="3685"/>
      <c r="Q55" s="3685"/>
      <c r="R55" s="3726"/>
      <c r="S55" s="3696"/>
      <c r="T55" s="3684"/>
      <c r="U55" s="3685"/>
      <c r="V55" s="3685"/>
      <c r="W55" s="3686"/>
      <c r="X55" s="3698"/>
      <c r="Y55" s="3684"/>
      <c r="Z55" s="3685"/>
      <c r="AA55" s="3685"/>
      <c r="AB55" s="3686"/>
      <c r="AC55" s="3698"/>
      <c r="AD55" s="3684"/>
      <c r="AE55" s="3685"/>
      <c r="AF55" s="3685"/>
      <c r="AG55" s="3686"/>
      <c r="AH55" s="3688"/>
      <c r="AI55" s="3452"/>
    </row>
    <row r="56" ht="20.25" customHeight="1">
      <c r="A56" s="3446"/>
      <c r="B56" s="3678"/>
      <c r="C56" s="3698"/>
      <c r="D56" s="3684"/>
      <c r="E56" s="3727" t="s">
        <v>490</v>
      </c>
      <c r="F56" s="3728"/>
      <c r="G56" s="3729"/>
      <c r="H56" s="3730" t="str">
        <f>IMAGE("https://raw.githubusercontent.com/msikma/pokesprite/master/items/berry/lum.png",3)</f>
        <v/>
      </c>
      <c r="J56" s="3727" t="s">
        <v>539</v>
      </c>
      <c r="K56" s="3728"/>
      <c r="L56" s="3729"/>
      <c r="M56" s="3730" t="str">
        <f>IMAGE("https://raw.githubusercontent.com/msikma/pokesprite/master/items/hold-item/black-sludge.png",3)</f>
        <v/>
      </c>
      <c r="O56" s="3727" t="s">
        <v>490</v>
      </c>
      <c r="P56" s="3728"/>
      <c r="Q56" s="3729"/>
      <c r="R56" s="3730" t="str">
        <f>IMAGE("https://raw.githubusercontent.com/msikma/pokesprite/master/items/berry/lum.png",3)</f>
        <v/>
      </c>
      <c r="S56" s="3696"/>
      <c r="T56" s="3684"/>
      <c r="U56" s="3685"/>
      <c r="V56" s="3685"/>
      <c r="W56" s="3686"/>
      <c r="X56" s="3698"/>
      <c r="Y56" s="3684"/>
      <c r="Z56" s="3685"/>
      <c r="AA56" s="3685"/>
      <c r="AB56" s="3686"/>
      <c r="AC56" s="3698"/>
      <c r="AD56" s="3684"/>
      <c r="AE56" s="3685"/>
      <c r="AF56" s="3685"/>
      <c r="AG56" s="3686"/>
      <c r="AH56" s="3688"/>
      <c r="AI56" s="3452"/>
    </row>
    <row r="57" ht="20.25" customHeight="1">
      <c r="A57" s="3446"/>
      <c r="B57" s="3678"/>
      <c r="C57" s="3731"/>
      <c r="D57" s="3684"/>
      <c r="E57" s="3721" t="s">
        <v>832</v>
      </c>
      <c r="F57" s="3722"/>
      <c r="G57" s="3732"/>
      <c r="H57" s="3733" t="str">
        <f>IMAGE("https://raw.githubusercontent.com/msikma/pokesprite/master/misc/types/gen8/bug.png",4,20,20)</f>
        <v/>
      </c>
      <c r="J57" s="3721" t="s">
        <v>503</v>
      </c>
      <c r="K57" s="3722"/>
      <c r="L57" s="3732"/>
      <c r="M57" s="3733" t="str">
        <f>IMAGE("https://raw.githubusercontent.com/msikma/pokesprite/master/misc/types/gen8/poison.png",4,20,20)</f>
        <v/>
      </c>
      <c r="O57" s="3721" t="s">
        <v>808</v>
      </c>
      <c r="P57" s="3722"/>
      <c r="Q57" s="3732"/>
      <c r="R57" s="3733" t="str">
        <f>IMAGE("https://raw.githubusercontent.com/msikma/pokesprite/master/misc/types/gen8/bug.png",4,20,20)</f>
        <v/>
      </c>
      <c r="S57" s="3696"/>
      <c r="T57" s="3684"/>
      <c r="U57" s="3685"/>
      <c r="V57" s="3685"/>
      <c r="W57" s="3686"/>
      <c r="X57" s="3698"/>
      <c r="Y57" s="3684"/>
      <c r="Z57" s="3685"/>
      <c r="AA57" s="3685"/>
      <c r="AB57" s="3686"/>
      <c r="AC57" s="3698"/>
      <c r="AD57" s="3684"/>
      <c r="AE57" s="3685"/>
      <c r="AF57" s="3685"/>
      <c r="AG57" s="3686"/>
      <c r="AH57" s="3688"/>
      <c r="AI57" s="3452"/>
    </row>
    <row r="58" ht="20.25" customHeight="1">
      <c r="A58" s="3446"/>
      <c r="B58" s="3678"/>
      <c r="C58" s="3717"/>
      <c r="D58" s="3684"/>
      <c r="E58" s="3725" t="s">
        <v>499</v>
      </c>
      <c r="F58" s="3685"/>
      <c r="G58" s="3686"/>
      <c r="H58" s="3734" t="str">
        <f>IMAGE("https://raw.githubusercontent.com/msikma/pokesprite/master/misc/types/gen8/grass.png",4,20,20)</f>
        <v/>
      </c>
      <c r="J58" s="3725" t="s">
        <v>184</v>
      </c>
      <c r="K58" s="3685"/>
      <c r="L58" s="3686"/>
      <c r="M58" s="3734" t="str">
        <f>IMAGE("https://raw.githubusercontent.com/msikma/pokesprite/master/misc/types/gen8/normal.png",4,20,20)</f>
        <v/>
      </c>
      <c r="O58" s="3725" t="s">
        <v>510</v>
      </c>
      <c r="P58" s="3685"/>
      <c r="Q58" s="3686"/>
      <c r="R58" s="3734" t="str">
        <f>IMAGE("https://raw.githubusercontent.com/msikma/pokesprite/master/misc/types/gen8/grass.png",4,20,20)</f>
        <v/>
      </c>
      <c r="S58" s="3696"/>
      <c r="T58" s="3684"/>
      <c r="U58" s="3685"/>
      <c r="V58" s="3685"/>
      <c r="W58" s="3686"/>
      <c r="X58" s="3698"/>
      <c r="Y58" s="3684"/>
      <c r="Z58" s="3685"/>
      <c r="AA58" s="3685"/>
      <c r="AB58" s="3686"/>
      <c r="AC58" s="3698"/>
      <c r="AD58" s="3684"/>
      <c r="AE58" s="3685"/>
      <c r="AF58" s="3685"/>
      <c r="AG58" s="3686"/>
      <c r="AH58" s="3688"/>
      <c r="AI58" s="3452"/>
    </row>
    <row r="59" ht="20.25" customHeight="1">
      <c r="A59" s="3446"/>
      <c r="B59" s="3678"/>
      <c r="C59" s="3717"/>
      <c r="D59" s="3684"/>
      <c r="E59" s="3725" t="s">
        <v>494</v>
      </c>
      <c r="F59" s="3685"/>
      <c r="G59" s="3686"/>
      <c r="H59" s="3734" t="str">
        <f>IMAGE("https://raw.githubusercontent.com/msikma/pokesprite/master/misc/types/gen8/ground.png",4,20,20)</f>
        <v/>
      </c>
      <c r="J59" s="3725" t="s">
        <v>551</v>
      </c>
      <c r="K59" s="3685"/>
      <c r="L59" s="3686"/>
      <c r="M59" s="3734" t="str">
        <f>IMAGE("https://raw.githubusercontent.com/msikma/pokesprite/master/misc/types/gen8/flying.png",4,20,20)</f>
        <v/>
      </c>
      <c r="O59" s="3725" t="s">
        <v>1372</v>
      </c>
      <c r="P59" s="3685"/>
      <c r="Q59" s="3686"/>
      <c r="R59" s="3734" t="str">
        <f>IMAGE("https://raw.githubusercontent.com/msikma/pokesprite/master/misc/types/gen8/electric.png",4,20,20)</f>
        <v/>
      </c>
      <c r="S59" s="3696"/>
      <c r="T59" s="3684"/>
      <c r="U59" s="3685"/>
      <c r="V59" s="3685"/>
      <c r="W59" s="3686"/>
      <c r="X59" s="3698"/>
      <c r="Y59" s="3684"/>
      <c r="Z59" s="3685"/>
      <c r="AA59" s="3685"/>
      <c r="AB59" s="3686"/>
      <c r="AC59" s="3698"/>
      <c r="AD59" s="3684"/>
      <c r="AE59" s="3685"/>
      <c r="AF59" s="3685"/>
      <c r="AG59" s="3686"/>
      <c r="AH59" s="3688"/>
      <c r="AI59" s="3452"/>
    </row>
    <row r="60" ht="21.0" customHeight="1">
      <c r="A60" s="3446"/>
      <c r="B60" s="3678"/>
      <c r="C60" s="3717"/>
      <c r="D60" s="3684"/>
      <c r="E60" s="3735" t="s">
        <v>498</v>
      </c>
      <c r="F60" s="3736"/>
      <c r="G60" s="3737"/>
      <c r="H60" s="3738" t="str">
        <f>IMAGE("https://raw.githubusercontent.com/msikma/pokesprite/master/misc/types/gen8/rock.png",4,20,20)</f>
        <v/>
      </c>
      <c r="I60" s="3739"/>
      <c r="J60" s="3735" t="s">
        <v>500</v>
      </c>
      <c r="K60" s="3736"/>
      <c r="L60" s="3737"/>
      <c r="M60" s="3738" t="str">
        <f>IMAGE("https://raw.githubusercontent.com/msikma/pokesprite/master/misc/types/gen8/psychic.png",4,20,20)</f>
        <v/>
      </c>
      <c r="N60" s="3739"/>
      <c r="O60" s="3735" t="s">
        <v>981</v>
      </c>
      <c r="P60" s="3736"/>
      <c r="Q60" s="3737"/>
      <c r="R60" s="3738" t="str">
        <f>IMAGE("https://raw.githubusercontent.com/msikma/pokesprite/master/misc/types/gen8/water.png",4,20,20)</f>
        <v/>
      </c>
      <c r="S60" s="3740"/>
      <c r="T60" s="3684"/>
      <c r="U60" s="3685"/>
      <c r="V60" s="3685"/>
      <c r="W60" s="3686"/>
      <c r="X60" s="3731"/>
      <c r="Y60" s="3684"/>
      <c r="Z60" s="3685"/>
      <c r="AA60" s="3685"/>
      <c r="AB60" s="3686"/>
      <c r="AC60" s="3731"/>
      <c r="AD60" s="3684"/>
      <c r="AE60" s="3685"/>
      <c r="AF60" s="3685"/>
      <c r="AG60" s="3686"/>
      <c r="AH60" s="3688"/>
      <c r="AI60" s="3452"/>
    </row>
    <row r="61" ht="3.0" customHeight="1">
      <c r="A61" s="3524"/>
      <c r="B61" s="3741"/>
      <c r="C61" s="3742"/>
      <c r="D61" s="3743"/>
      <c r="E61" s="3744"/>
      <c r="F61" s="3744"/>
      <c r="G61" s="3744"/>
      <c r="H61" s="3745"/>
      <c r="I61" s="3743"/>
      <c r="J61" s="3746"/>
      <c r="K61" s="3746"/>
      <c r="L61" s="3746"/>
      <c r="M61" s="3745"/>
      <c r="N61" s="3743"/>
      <c r="O61" s="3746"/>
      <c r="P61" s="3746"/>
      <c r="Q61" s="3746"/>
      <c r="R61" s="3745"/>
      <c r="S61" s="3745"/>
      <c r="T61" s="3745"/>
      <c r="U61" s="3745"/>
      <c r="V61" s="3745"/>
      <c r="W61" s="3745"/>
      <c r="X61" s="3743"/>
      <c r="Y61" s="3743"/>
      <c r="Z61" s="3747"/>
      <c r="AA61" s="3747"/>
      <c r="AB61" s="3748"/>
      <c r="AC61" s="3748"/>
      <c r="AD61" s="3748"/>
      <c r="AE61" s="3748"/>
      <c r="AF61" s="3748"/>
      <c r="AG61" s="3748"/>
      <c r="AH61" s="3749"/>
      <c r="AI61" s="3534"/>
    </row>
    <row r="62" ht="16.5" customHeight="1">
      <c r="A62" s="3535"/>
      <c r="B62" s="3750"/>
      <c r="C62" s="3742"/>
      <c r="D62" s="3751"/>
      <c r="E62" s="1792" t="s">
        <v>512</v>
      </c>
      <c r="F62" s="606"/>
      <c r="G62" s="606"/>
      <c r="H62" s="607"/>
      <c r="I62" s="3752"/>
      <c r="J62" s="1792" t="s">
        <v>512</v>
      </c>
      <c r="K62" s="606"/>
      <c r="L62" s="606"/>
      <c r="M62" s="607"/>
      <c r="N62" s="3752"/>
      <c r="O62" s="1792" t="s">
        <v>512</v>
      </c>
      <c r="P62" s="606"/>
      <c r="Q62" s="606"/>
      <c r="R62" s="607"/>
      <c r="S62" s="3743"/>
      <c r="T62" s="3753"/>
      <c r="U62" s="3753"/>
      <c r="V62" s="3753"/>
      <c r="W62" s="3753"/>
      <c r="X62" s="3753"/>
      <c r="Y62" s="3753"/>
      <c r="Z62" s="3754"/>
      <c r="AA62" s="3754"/>
      <c r="AB62" s="3753"/>
      <c r="AC62" s="3753"/>
      <c r="AD62" s="3753"/>
      <c r="AE62" s="3753"/>
      <c r="AF62" s="3753"/>
      <c r="AG62" s="3753"/>
      <c r="AH62" s="3755"/>
      <c r="AI62" s="3543"/>
    </row>
    <row r="63" ht="16.5" customHeight="1">
      <c r="A63" s="3535"/>
      <c r="B63" s="3750"/>
      <c r="C63" s="3742"/>
      <c r="D63" s="3751"/>
      <c r="E63" s="1799" t="s">
        <v>513</v>
      </c>
      <c r="F63" s="1800">
        <f t="array" ref="F63">IFERROR(VLOOKUP(E50,Dex!$B$3:$N1361,8,FALSE),"")</f>
        <v>77</v>
      </c>
      <c r="G63" s="1801" t="str">
        <f t="array" ref="G63">IFERROR(VLOOKUP(F63,Dex!$P$22:$Q$276,2,FALSE),"")</f>
        <v/>
      </c>
      <c r="H63" s="1802"/>
      <c r="I63" s="3756"/>
      <c r="J63" s="1799" t="s">
        <v>513</v>
      </c>
      <c r="K63" s="1800">
        <f t="array" ref="K63">IFERROR(VLOOKUP(J50,Dex!$B$3:$N1361,8,FALSE),"")</f>
        <v>80</v>
      </c>
      <c r="L63" s="1801" t="str">
        <f t="array" ref="L63">IFERROR(VLOOKUP(K63,Dex!$P$22:$Q$276,2,FALSE),"")</f>
        <v/>
      </c>
      <c r="M63" s="1802"/>
      <c r="N63" s="3756"/>
      <c r="O63" s="1799" t="s">
        <v>513</v>
      </c>
      <c r="P63" s="1800">
        <f t="array" ref="P63">IFERROR(VLOOKUP(O50,Dex!$B$3:$N1361,8,FALSE),"")</f>
        <v>85</v>
      </c>
      <c r="Q63" s="1801" t="str">
        <f t="array" ref="Q63">IFERROR(VLOOKUP(P63,Dex!$P$22:$Q$276,2,FALSE),"")</f>
        <v/>
      </c>
      <c r="R63" s="1802"/>
      <c r="S63" s="3753"/>
      <c r="T63" s="3753"/>
      <c r="U63" s="3753"/>
      <c r="V63" s="3753"/>
      <c r="W63" s="3753"/>
      <c r="X63" s="3753"/>
      <c r="Y63" s="3753"/>
      <c r="Z63" s="3757"/>
      <c r="AA63" s="3757"/>
      <c r="AB63" s="3753"/>
      <c r="AC63" s="3753"/>
      <c r="AD63" s="3753"/>
      <c r="AE63" s="3753"/>
      <c r="AF63" s="3753"/>
      <c r="AG63" s="3753"/>
      <c r="AH63" s="3755"/>
      <c r="AI63" s="3543"/>
    </row>
    <row r="64" ht="16.5" customHeight="1">
      <c r="A64" s="3535"/>
      <c r="B64" s="3750"/>
      <c r="C64" s="3742"/>
      <c r="D64" s="3751"/>
      <c r="E64" s="1805" t="s">
        <v>514</v>
      </c>
      <c r="F64" s="1806">
        <f t="array" ref="F64">IFERROR(VLOOKUP(E50,Dex!$B$3:$N1361,9,FALSE),"")</f>
        <v>95</v>
      </c>
      <c r="G64" s="1807" t="str">
        <f t="array" ref="G64">IFERROR(VLOOKUP(F64,Dex!$P$22:$Q$276,2,FALSE),"")</f>
        <v/>
      </c>
      <c r="H64" s="1808"/>
      <c r="I64" s="3758"/>
      <c r="J64" s="1805" t="s">
        <v>514</v>
      </c>
      <c r="K64" s="1806">
        <f t="array" ref="K64">IFERROR(VLOOKUP(J50,Dex!$B$3:$N1361,9,FALSE),"")</f>
        <v>40</v>
      </c>
      <c r="L64" s="1807" t="str">
        <f t="array" ref="L64">IFERROR(VLOOKUP(K64,Dex!$P$22:$Q$276,2,FALSE),"")</f>
        <v/>
      </c>
      <c r="M64" s="1808"/>
      <c r="N64" s="3756"/>
      <c r="O64" s="1805" t="s">
        <v>514</v>
      </c>
      <c r="P64" s="1806">
        <f t="array" ref="P64">IFERROR(VLOOKUP(O50,Dex!$B$3:$N1361,9,FALSE),"")</f>
        <v>47</v>
      </c>
      <c r="Q64" s="1807" t="str">
        <f t="array" ref="Q64">IFERROR(VLOOKUP(P64,Dex!$P$22:$Q$276,2,FALSE),"")</f>
        <v/>
      </c>
      <c r="R64" s="1808"/>
      <c r="S64" s="3753"/>
      <c r="T64" s="3753"/>
      <c r="U64" s="3753"/>
      <c r="V64" s="3753"/>
      <c r="W64" s="3753"/>
      <c r="X64" s="3753"/>
      <c r="Y64" s="3753"/>
      <c r="Z64" s="3759"/>
      <c r="AA64" s="3759"/>
      <c r="AB64" s="3753"/>
      <c r="AC64" s="3753"/>
      <c r="AD64" s="3753"/>
      <c r="AE64" s="3753"/>
      <c r="AF64" s="3753"/>
      <c r="AG64" s="3753"/>
      <c r="AH64" s="3755"/>
      <c r="AI64" s="3543"/>
    </row>
    <row r="65" ht="16.5" customHeight="1">
      <c r="A65" s="3535"/>
      <c r="B65" s="3750"/>
      <c r="C65" s="3742"/>
      <c r="D65" s="3751"/>
      <c r="E65" s="1805" t="s">
        <v>515</v>
      </c>
      <c r="F65" s="1806">
        <f t="array" ref="F65">IFERROR(VLOOKUP(E50,Dex!$B$3:$N1361,10,FALSE),"")</f>
        <v>71</v>
      </c>
      <c r="G65" s="1807" t="str">
        <f t="array" ref="G65">IFERROR(VLOOKUP(F65,Dex!$P$22:$Q$276,2,FALSE),"")</f>
        <v/>
      </c>
      <c r="H65" s="1808"/>
      <c r="I65" s="3756"/>
      <c r="J65" s="1805" t="s">
        <v>515</v>
      </c>
      <c r="K65" s="1806">
        <f t="array" ref="K65">IFERROR(VLOOKUP(J50,Dex!$B$3:$N1361,10,FALSE),"")</f>
        <v>70</v>
      </c>
      <c r="L65" s="1807" t="str">
        <f t="array" ref="L65">IFERROR(VLOOKUP(K65,Dex!$P$22:$Q$276,2,FALSE),"")</f>
        <v/>
      </c>
      <c r="M65" s="1808"/>
      <c r="N65" s="3756"/>
      <c r="O65" s="1805" t="s">
        <v>515</v>
      </c>
      <c r="P65" s="1806">
        <f t="array" ref="P65">IFERROR(VLOOKUP(O50,Dex!$B$3:$N1361,10,FALSE),"")</f>
        <v>75</v>
      </c>
      <c r="Q65" s="1807" t="str">
        <f t="array" ref="Q65">IFERROR(VLOOKUP(P65,Dex!$P$22:$Q$276,2,FALSE),"")</f>
        <v/>
      </c>
      <c r="R65" s="1808"/>
      <c r="S65" s="3753"/>
      <c r="T65" s="3753"/>
      <c r="U65" s="3753"/>
      <c r="V65" s="3753"/>
      <c r="W65" s="3753"/>
      <c r="X65" s="3753"/>
      <c r="Y65" s="3753"/>
      <c r="Z65" s="3760"/>
      <c r="AA65" s="3760"/>
      <c r="AB65" s="3753"/>
      <c r="AC65" s="3753"/>
      <c r="AD65" s="3753"/>
      <c r="AE65" s="3753"/>
      <c r="AF65" s="3753"/>
      <c r="AG65" s="3753"/>
      <c r="AH65" s="3755"/>
      <c r="AI65" s="3543"/>
    </row>
    <row r="66" ht="16.5" customHeight="1">
      <c r="A66" s="3535"/>
      <c r="B66" s="3750"/>
      <c r="C66" s="3742"/>
      <c r="D66" s="3751"/>
      <c r="E66" s="1805" t="s">
        <v>516</v>
      </c>
      <c r="F66" s="1806">
        <f t="array" ref="F66">IFERROR(VLOOKUP(E50,Dex!$B$3:$N1361,11,FALSE),"")</f>
        <v>55</v>
      </c>
      <c r="G66" s="1807" t="str">
        <f t="array" ref="G66">IFERROR(VLOOKUP(F66,Dex!$P$22:$Q$276,2,FALSE),"")</f>
        <v/>
      </c>
      <c r="H66" s="1808"/>
      <c r="I66" s="3756"/>
      <c r="J66" s="1805" t="s">
        <v>516</v>
      </c>
      <c r="K66" s="1806">
        <f t="array" ref="K66">IFERROR(VLOOKUP(J50,Dex!$B$3:$N1361,11,FALSE),"")</f>
        <v>60</v>
      </c>
      <c r="L66" s="1807" t="str">
        <f t="array" ref="L66">IFERROR(VLOOKUP(K66,Dex!$P$22:$Q$276,2,FALSE),"")</f>
        <v/>
      </c>
      <c r="M66" s="1808"/>
      <c r="N66" s="3756"/>
      <c r="O66" s="1805" t="s">
        <v>516</v>
      </c>
      <c r="P66" s="1806">
        <f t="array" ref="P66">IFERROR(VLOOKUP(O50,Dex!$B$3:$N1361,11,FALSE),"")</f>
        <v>90</v>
      </c>
      <c r="Q66" s="1807" t="str">
        <f t="array" ref="Q66">IFERROR(VLOOKUP(P66,Dex!$P$22:$Q$276,2,FALSE),"")</f>
        <v/>
      </c>
      <c r="R66" s="1808"/>
      <c r="S66" s="3753"/>
      <c r="T66" s="3753"/>
      <c r="U66" s="3753"/>
      <c r="V66" s="3753"/>
      <c r="W66" s="3753"/>
      <c r="X66" s="3753"/>
      <c r="Y66" s="3753"/>
      <c r="Z66" s="3698"/>
      <c r="AA66" s="3698"/>
      <c r="AB66" s="3753"/>
      <c r="AC66" s="3753"/>
      <c r="AD66" s="3753"/>
      <c r="AE66" s="3753"/>
      <c r="AF66" s="3753"/>
      <c r="AG66" s="3753"/>
      <c r="AH66" s="3755"/>
      <c r="AI66" s="3543"/>
    </row>
    <row r="67" ht="16.5" customHeight="1">
      <c r="A67" s="3535"/>
      <c r="B67" s="3750"/>
      <c r="C67" s="3742"/>
      <c r="D67" s="3751"/>
      <c r="E67" s="1805" t="s">
        <v>517</v>
      </c>
      <c r="F67" s="1806">
        <f t="array" ref="F67">IFERROR(VLOOKUP(E50,Dex!$B$3:$N1361,12,FALSE),"")</f>
        <v>71</v>
      </c>
      <c r="G67" s="1807" t="str">
        <f t="array" ref="G67">IFERROR(VLOOKUP(F67,Dex!$P$22:$Q$276,2,FALSE),"")</f>
        <v/>
      </c>
      <c r="H67" s="1808"/>
      <c r="I67" s="3756"/>
      <c r="J67" s="1805" t="s">
        <v>517</v>
      </c>
      <c r="K67" s="1806">
        <f t="array" ref="K67">IFERROR(VLOOKUP(J50,Dex!$B$3:$N1361,12,FALSE),"")</f>
        <v>90</v>
      </c>
      <c r="L67" s="1807" t="str">
        <f t="array" ref="L67">IFERROR(VLOOKUP(K67,Dex!$P$22:$Q$276,2,FALSE),"")</f>
        <v/>
      </c>
      <c r="M67" s="1808"/>
      <c r="N67" s="3756"/>
      <c r="O67" s="1805" t="s">
        <v>517</v>
      </c>
      <c r="P67" s="1806">
        <f t="array" ref="P67">IFERROR(VLOOKUP(O50,Dex!$B$3:$N1361,12,FALSE),"")</f>
        <v>85</v>
      </c>
      <c r="Q67" s="1807" t="str">
        <f t="array" ref="Q67">IFERROR(VLOOKUP(P67,Dex!$P$22:$Q$276,2,FALSE),"")</f>
        <v/>
      </c>
      <c r="R67" s="1808"/>
      <c r="S67" s="3753"/>
      <c r="T67" s="3753"/>
      <c r="U67" s="3753"/>
      <c r="V67" s="3753"/>
      <c r="W67" s="3753"/>
      <c r="X67" s="3753"/>
      <c r="Y67" s="3753"/>
      <c r="Z67" s="3698"/>
      <c r="AA67" s="3698"/>
      <c r="AB67" s="3753"/>
      <c r="AC67" s="3753"/>
      <c r="AD67" s="3753"/>
      <c r="AE67" s="3753"/>
      <c r="AF67" s="3753"/>
      <c r="AG67" s="3753"/>
      <c r="AH67" s="3755"/>
      <c r="AI67" s="3543"/>
    </row>
    <row r="68" ht="16.5" customHeight="1">
      <c r="A68" s="3535"/>
      <c r="B68" s="3750"/>
      <c r="C68" s="1426" t="s">
        <v>745</v>
      </c>
      <c r="D68" s="3751"/>
      <c r="E68" s="1809" t="s">
        <v>518</v>
      </c>
      <c r="F68" s="1810">
        <f t="array" ref="F68">IFERROR(VLOOKUP(E50,Dex!$B$3:$N1361,13,FALSE),"")</f>
        <v>80</v>
      </c>
      <c r="G68" s="3761" t="str">
        <f t="array" ref="G68">IFERROR(VLOOKUP(F68,Dex!$P$22:$Q$276,2,FALSE),"")</f>
        <v/>
      </c>
      <c r="H68" s="3762"/>
      <c r="I68" s="3756"/>
      <c r="J68" s="1809" t="s">
        <v>518</v>
      </c>
      <c r="K68" s="1810">
        <f t="array" ref="K68">IFERROR(VLOOKUP(J50,Dex!$B$3:$N1361,13,FALSE),"")</f>
        <v>65</v>
      </c>
      <c r="L68" s="3761" t="str">
        <f t="array" ref="L68">IFERROR(VLOOKUP(K68,Dex!$P$22:$Q$276,2,FALSE),"")</f>
        <v/>
      </c>
      <c r="M68" s="3762"/>
      <c r="N68" s="3756"/>
      <c r="O68" s="1809" t="s">
        <v>518</v>
      </c>
      <c r="P68" s="1810">
        <f t="array" ref="P68">IFERROR(VLOOKUP(O50,Dex!$B$3:$N1361,13,FALSE),"")</f>
        <v>100</v>
      </c>
      <c r="Q68" s="3761" t="str">
        <f t="array" ref="Q68">IFERROR(VLOOKUP(P68,Dex!$P$22:$Q$276,2,FALSE),"")</f>
        <v/>
      </c>
      <c r="R68" s="3762"/>
      <c r="S68" s="3753"/>
      <c r="T68" s="3753"/>
      <c r="U68" s="3753"/>
      <c r="V68" s="3753"/>
      <c r="W68" s="3753"/>
      <c r="X68" s="3753"/>
      <c r="Y68" s="3753"/>
      <c r="Z68" s="3698"/>
      <c r="AA68" s="3698"/>
      <c r="AB68" s="3753"/>
      <c r="AC68" s="3753"/>
      <c r="AD68" s="3753"/>
      <c r="AE68" s="3753"/>
      <c r="AF68" s="3753"/>
      <c r="AG68" s="3753"/>
      <c r="AH68" s="3755"/>
      <c r="AI68" s="3543"/>
    </row>
    <row r="69" ht="16.5" customHeight="1">
      <c r="A69" s="3535"/>
      <c r="B69" s="3750"/>
      <c r="C69" s="1427" t="s">
        <v>813</v>
      </c>
      <c r="D69" s="3751"/>
      <c r="E69" s="1813" t="s">
        <v>519</v>
      </c>
      <c r="F69" s="630"/>
      <c r="G69" s="631"/>
      <c r="H69" s="632">
        <f>ROUNDDOWN((ROUNDDOWN(((((2*F68+31)*13)/100+5)),0))*1,0)</f>
        <v>29</v>
      </c>
      <c r="I69" s="3752"/>
      <c r="J69" s="1813" t="s">
        <v>519</v>
      </c>
      <c r="K69" s="630"/>
      <c r="L69" s="631"/>
      <c r="M69" s="632">
        <f>ROUNDDOWN((ROUNDDOWN(((((2*K68+31)*14)/100+5)),0))*1,0)</f>
        <v>27</v>
      </c>
      <c r="N69" s="3752"/>
      <c r="O69" s="1813" t="s">
        <v>519</v>
      </c>
      <c r="P69" s="630"/>
      <c r="Q69" s="631"/>
      <c r="R69" s="632">
        <f>ROUNDDOWN((ROUNDDOWN(((((2*P68+30)*13)/100+5)),0))*1,0)</f>
        <v>34</v>
      </c>
      <c r="S69" s="3753"/>
      <c r="T69" s="3753"/>
      <c r="U69" s="3753"/>
      <c r="V69" s="3753"/>
      <c r="W69" s="3753"/>
      <c r="X69" s="3753"/>
      <c r="Y69" s="3753"/>
      <c r="Z69" s="3731"/>
      <c r="AA69" s="3731"/>
      <c r="AB69" s="3753"/>
      <c r="AC69" s="3753"/>
      <c r="AD69" s="3753"/>
      <c r="AE69" s="3753"/>
      <c r="AF69" s="3753"/>
      <c r="AG69" s="3753"/>
      <c r="AH69" s="3755"/>
      <c r="AI69" s="3543"/>
    </row>
    <row r="70" ht="15.0" customHeight="1">
      <c r="A70" s="3446"/>
      <c r="B70" s="3763"/>
      <c r="C70" s="3764"/>
      <c r="D70" s="3765"/>
      <c r="E70" s="3766"/>
      <c r="F70" s="3766"/>
      <c r="G70" s="3766"/>
      <c r="H70" s="3766"/>
      <c r="I70" s="3765"/>
      <c r="J70" s="3767"/>
      <c r="K70" s="3767"/>
      <c r="L70" s="3767"/>
      <c r="M70" s="3766"/>
      <c r="N70" s="3765"/>
      <c r="O70" s="3767"/>
      <c r="P70" s="3767"/>
      <c r="Q70" s="3767"/>
      <c r="R70" s="3766"/>
      <c r="S70" s="3765"/>
      <c r="T70" s="3765"/>
      <c r="U70" s="3765"/>
      <c r="V70" s="3765"/>
      <c r="W70" s="3765"/>
      <c r="X70" s="3765"/>
      <c r="Y70" s="3765"/>
      <c r="Z70" s="3765"/>
      <c r="AA70" s="3765"/>
      <c r="AB70" s="3765"/>
      <c r="AC70" s="3765"/>
      <c r="AD70" s="3765"/>
      <c r="AE70" s="3765"/>
      <c r="AF70" s="3765"/>
      <c r="AG70" s="3765"/>
      <c r="AH70" s="3768"/>
      <c r="AI70" s="3452"/>
    </row>
    <row r="71" ht="15.0" customHeight="1">
      <c r="A71" s="3446"/>
      <c r="B71" s="3447"/>
      <c r="C71" s="3448"/>
      <c r="D71" s="3449"/>
      <c r="E71" s="3450"/>
      <c r="F71" s="3450"/>
      <c r="G71" s="3450"/>
      <c r="H71" s="3450"/>
      <c r="I71" s="3449"/>
      <c r="J71" s="3450"/>
      <c r="K71" s="3450"/>
      <c r="L71" s="3450"/>
      <c r="M71" s="3450"/>
      <c r="N71" s="3449"/>
      <c r="O71" s="3450"/>
      <c r="P71" s="3450"/>
      <c r="Q71" s="3450"/>
      <c r="R71" s="3450"/>
      <c r="S71" s="3449"/>
      <c r="T71" s="3450"/>
      <c r="U71" s="3450"/>
      <c r="V71" s="3450"/>
      <c r="W71" s="3450"/>
      <c r="X71" s="3449"/>
      <c r="Y71" s="3449"/>
      <c r="Z71" s="3449"/>
      <c r="AA71" s="3449"/>
      <c r="AB71" s="3449"/>
      <c r="AC71" s="3449"/>
      <c r="AD71" s="3449"/>
      <c r="AE71" s="3449"/>
      <c r="AF71" s="3449"/>
      <c r="AG71" s="3449"/>
      <c r="AH71" s="3451"/>
      <c r="AI71" s="3452"/>
    </row>
    <row r="72" ht="96.75" customHeight="1">
      <c r="A72" s="3453"/>
      <c r="B72" s="3454"/>
      <c r="C72" s="3455" t="str">
        <f>IMAGE("https://i.ibb.co/8sm893K/Lass.png")</f>
        <v/>
      </c>
      <c r="D72" s="3456"/>
      <c r="E72" s="3457" t="str">
        <f t="array" ref="E72">IFERROR(VLOOKUP(E73,Dex!$B$3:$G1361,3,FALSE),"")</f>
        <v/>
      </c>
      <c r="F72" s="606"/>
      <c r="G72" s="606"/>
      <c r="H72" s="607"/>
      <c r="I72" s="3458"/>
      <c r="J72" s="3457" t="str">
        <f t="array" ref="J72">IFERROR(VLOOKUP(J73,Dex!$B$3:$G1361,3,FALSE),"")</f>
        <v/>
      </c>
      <c r="K72" s="606"/>
      <c r="L72" s="606"/>
      <c r="M72" s="607"/>
      <c r="N72" s="3459"/>
      <c r="O72" s="3457" t="str">
        <f t="array" ref="O72">IFERROR(VLOOKUP(O73,Dex!$B$3:$G1361,3,FALSE),"")</f>
        <v/>
      </c>
      <c r="P72" s="606"/>
      <c r="Q72" s="606"/>
      <c r="R72" s="607"/>
      <c r="S72" s="3769"/>
      <c r="T72" s="3457" t="str">
        <f t="array" ref="T72">IFERROR(VLOOKUP(T73,Dex!$B$3:$G1361,3,FALSE),"")</f>
        <v/>
      </c>
      <c r="U72" s="606"/>
      <c r="V72" s="606"/>
      <c r="W72" s="607"/>
      <c r="X72" s="3460"/>
      <c r="Y72" s="3461"/>
      <c r="Z72" s="3462"/>
      <c r="AA72" s="3462"/>
      <c r="AB72" s="3463"/>
      <c r="AC72" s="3464"/>
      <c r="AD72" s="3461"/>
      <c r="AE72" s="3462"/>
      <c r="AF72" s="3462"/>
      <c r="AG72" s="3463"/>
      <c r="AH72" s="3465"/>
      <c r="AI72" s="3466"/>
    </row>
    <row r="73" ht="18.75" customHeight="1">
      <c r="A73" s="3467"/>
      <c r="B73" s="3468"/>
      <c r="C73" s="3469" t="s">
        <v>1373</v>
      </c>
      <c r="D73" s="3470"/>
      <c r="E73" s="3471" t="s">
        <v>1374</v>
      </c>
      <c r="F73" s="3472"/>
      <c r="G73" s="3472"/>
      <c r="H73" s="3473"/>
      <c r="J73" s="3471" t="s">
        <v>1375</v>
      </c>
      <c r="K73" s="3472"/>
      <c r="L73" s="3472"/>
      <c r="M73" s="3473"/>
      <c r="O73" s="3471" t="s">
        <v>1376</v>
      </c>
      <c r="P73" s="3472"/>
      <c r="Q73" s="3472"/>
      <c r="R73" s="3473"/>
      <c r="T73" s="3471" t="s">
        <v>1377</v>
      </c>
      <c r="U73" s="3472"/>
      <c r="V73" s="3472"/>
      <c r="W73" s="3473"/>
      <c r="X73" s="3474"/>
      <c r="Y73" s="3475"/>
      <c r="Z73" s="3462"/>
      <c r="AA73" s="3462"/>
      <c r="AB73" s="3463"/>
      <c r="AC73" s="3476"/>
      <c r="AD73" s="3475"/>
      <c r="AE73" s="3462"/>
      <c r="AF73" s="3462"/>
      <c r="AG73" s="3463"/>
      <c r="AH73" s="3477"/>
      <c r="AI73" s="3478"/>
    </row>
    <row r="74">
      <c r="A74" s="3479"/>
      <c r="B74" s="3480"/>
      <c r="C74" s="1638"/>
      <c r="D74" s="3481"/>
      <c r="E74" s="3482" t="s">
        <v>796</v>
      </c>
      <c r="F74" s="3483"/>
      <c r="G74" s="3483"/>
      <c r="H74" s="3484"/>
      <c r="J74" s="3482" t="s">
        <v>967</v>
      </c>
      <c r="K74" s="3483"/>
      <c r="L74" s="3483"/>
      <c r="M74" s="3484"/>
      <c r="O74" s="3482" t="s">
        <v>967</v>
      </c>
      <c r="P74" s="3483"/>
      <c r="Q74" s="3483"/>
      <c r="R74" s="3484"/>
      <c r="T74" s="3482" t="s">
        <v>796</v>
      </c>
      <c r="U74" s="3483"/>
      <c r="V74" s="3483"/>
      <c r="W74" s="3484"/>
      <c r="X74" s="3474"/>
      <c r="Y74" s="3485"/>
      <c r="Z74" s="3462"/>
      <c r="AA74" s="3462"/>
      <c r="AB74" s="3463"/>
      <c r="AC74" s="3476"/>
      <c r="AD74" s="3485"/>
      <c r="AE74" s="3462"/>
      <c r="AF74" s="3462"/>
      <c r="AG74" s="3463"/>
      <c r="AH74" s="3486"/>
      <c r="AI74" s="3487"/>
    </row>
    <row r="75" ht="25.5" customHeight="1">
      <c r="A75" s="3453"/>
      <c r="B75" s="3454"/>
      <c r="C75" s="1646"/>
      <c r="D75" s="3488"/>
      <c r="E75" s="3489"/>
      <c r="F75" s="3490" t="str">
        <f t="array" ref="F75">IFERROR(VLOOKUP(E73,Dex!$B$3:$H1361,5,FALSE),"")</f>
        <v/>
      </c>
      <c r="G75" s="3491" t="str">
        <f t="array" ref="G75">IFERROR(VLOOKUP(E73,Dex!$B$3:$H1361,7,FALSE),"")</f>
        <v/>
      </c>
      <c r="H75" s="3492"/>
      <c r="J75" s="3489"/>
      <c r="K75" s="3490" t="str">
        <f t="array" ref="K75">IFERROR(VLOOKUP(J73,Dex!$B$3:$H1361,5,FALSE),"")</f>
        <v/>
      </c>
      <c r="L75" s="3491" t="str">
        <f t="array" ref="L75">IFERROR(VLOOKUP(J73,Dex!$B$3:$H1361,7,FALSE),"")</f>
        <v/>
      </c>
      <c r="M75" s="3492"/>
      <c r="O75" s="3489"/>
      <c r="P75" s="3490" t="str">
        <f t="array" ref="P75">IFERROR(VLOOKUP(O73,Dex!$B$3:$H1361,5,FALSE),"")</f>
        <v/>
      </c>
      <c r="Q75" s="3491" t="str">
        <f t="array" ref="Q75">IFERROR(VLOOKUP(O73,Dex!$B$3:$H1361,7,FALSE),"")</f>
        <v/>
      </c>
      <c r="R75" s="3492"/>
      <c r="T75" s="3489"/>
      <c r="U75" s="3490" t="str">
        <f t="array" ref="U75">IFERROR(VLOOKUP(T73,Dex!$B$3:$H1361,5,FALSE),"")</f>
        <v/>
      </c>
      <c r="V75" s="3491" t="str">
        <f t="array" ref="V75">IFERROR(VLOOKUP(T73,Dex!$B$3:$H1361,7,FALSE),"")</f>
        <v/>
      </c>
      <c r="W75" s="3492"/>
      <c r="X75" s="3474"/>
      <c r="Y75" s="3461"/>
      <c r="Z75" s="3462"/>
      <c r="AA75" s="3462"/>
      <c r="AB75" s="3463"/>
      <c r="AC75" s="3476"/>
      <c r="AD75" s="3461"/>
      <c r="AE75" s="3462"/>
      <c r="AF75" s="3462"/>
      <c r="AG75" s="3463"/>
      <c r="AH75" s="3465"/>
      <c r="AI75" s="3466"/>
    </row>
    <row r="76" ht="2.25" customHeight="1">
      <c r="A76" s="3453"/>
      <c r="B76" s="3454"/>
      <c r="C76" s="3495"/>
      <c r="D76" s="3496"/>
      <c r="E76" s="3497"/>
      <c r="F76" s="3498"/>
      <c r="G76" s="3498"/>
      <c r="H76" s="3499"/>
      <c r="J76" s="3497"/>
      <c r="K76" s="3498"/>
      <c r="L76" s="3498"/>
      <c r="M76" s="3499"/>
      <c r="O76" s="3497"/>
      <c r="P76" s="3498"/>
      <c r="Q76" s="3498"/>
      <c r="R76" s="3499"/>
      <c r="T76" s="3497"/>
      <c r="U76" s="3498"/>
      <c r="V76" s="3498"/>
      <c r="W76" s="3499"/>
      <c r="X76" s="3474"/>
      <c r="Y76" s="3500"/>
      <c r="Z76" s="3500"/>
      <c r="AA76" s="3500"/>
      <c r="AB76" s="3500"/>
      <c r="AC76" s="3476"/>
      <c r="AD76" s="3500"/>
      <c r="AE76" s="3500"/>
      <c r="AF76" s="3500"/>
      <c r="AG76" s="3500"/>
      <c r="AH76" s="3465"/>
      <c r="AI76" s="3466"/>
    </row>
    <row r="77" ht="20.25" customHeight="1">
      <c r="A77" s="3453"/>
      <c r="B77" s="3454"/>
      <c r="C77" s="3495"/>
      <c r="D77" s="3456"/>
      <c r="E77" s="3501" t="s">
        <v>565</v>
      </c>
      <c r="F77" s="3502"/>
      <c r="G77" s="3502"/>
      <c r="H77" s="3503"/>
      <c r="J77" s="3501" t="s">
        <v>564</v>
      </c>
      <c r="K77" s="3502"/>
      <c r="L77" s="3502"/>
      <c r="M77" s="3503"/>
      <c r="O77" s="3501" t="s">
        <v>531</v>
      </c>
      <c r="P77" s="3502"/>
      <c r="Q77" s="3502"/>
      <c r="R77" s="3503"/>
      <c r="T77" s="3501" t="s">
        <v>707</v>
      </c>
      <c r="U77" s="3502"/>
      <c r="V77" s="3502"/>
      <c r="W77" s="3503"/>
      <c r="X77" s="3474"/>
      <c r="Y77" s="3461"/>
      <c r="Z77" s="3462"/>
      <c r="AA77" s="3462"/>
      <c r="AB77" s="3463"/>
      <c r="AC77" s="3476"/>
      <c r="AD77" s="3461"/>
      <c r="AE77" s="3462"/>
      <c r="AF77" s="3462"/>
      <c r="AG77" s="3463"/>
      <c r="AH77" s="3465"/>
      <c r="AI77" s="3466"/>
    </row>
    <row r="78" ht="20.25" customHeight="1">
      <c r="A78" s="3453"/>
      <c r="B78" s="3454"/>
      <c r="C78" s="3504"/>
      <c r="D78" s="3456"/>
      <c r="E78" s="3505" t="s">
        <v>1378</v>
      </c>
      <c r="F78" s="3462"/>
      <c r="G78" s="3462"/>
      <c r="H78" s="3506"/>
      <c r="J78" s="3505" t="s">
        <v>1379</v>
      </c>
      <c r="K78" s="3462"/>
      <c r="L78" s="3462"/>
      <c r="M78" s="3506"/>
      <c r="O78" s="3505" t="s">
        <v>1239</v>
      </c>
      <c r="P78" s="3462"/>
      <c r="Q78" s="3462"/>
      <c r="R78" s="3506"/>
      <c r="T78" s="3505" t="s">
        <v>60</v>
      </c>
      <c r="U78" s="3462"/>
      <c r="V78" s="3462"/>
      <c r="W78" s="3506"/>
      <c r="X78" s="3474"/>
      <c r="Y78" s="3461"/>
      <c r="Z78" s="3462"/>
      <c r="AA78" s="3462"/>
      <c r="AB78" s="3463"/>
      <c r="AC78" s="3476"/>
      <c r="AD78" s="3461"/>
      <c r="AE78" s="3462"/>
      <c r="AF78" s="3462"/>
      <c r="AG78" s="3463"/>
      <c r="AH78" s="3465"/>
      <c r="AI78" s="3466"/>
    </row>
    <row r="79" ht="20.25" customHeight="1">
      <c r="A79" s="3453"/>
      <c r="B79" s="3454"/>
      <c r="C79" s="3476"/>
      <c r="D79" s="3456"/>
      <c r="E79" s="3507" t="s">
        <v>1380</v>
      </c>
      <c r="F79" s="3508"/>
      <c r="G79" s="3509"/>
      <c r="H79" s="3510" t="str">
        <f>IMAGE("https://raw.githubusercontent.com/msikma/pokesprite/master/items/hold-item/light-ball.png",3)</f>
        <v/>
      </c>
      <c r="J79" s="3507" t="s">
        <v>872</v>
      </c>
      <c r="K79" s="3508"/>
      <c r="L79" s="3509"/>
      <c r="M79" s="3510" t="str">
        <f>IMAGE("https://raw.githubusercontent.com/msikma/pokesprite/master/items/hold-item/spell-tag.png",3)</f>
        <v/>
      </c>
      <c r="O79" s="3507" t="s">
        <v>733</v>
      </c>
      <c r="P79" s="3508"/>
      <c r="Q79" s="3509"/>
      <c r="R79" s="3510" t="str">
        <f>IMAGE("https://raw.githubusercontent.com/msikma/pokesprite/master/items/hold-item/leftovers.png",3)</f>
        <v/>
      </c>
      <c r="T79" s="3507" t="s">
        <v>733</v>
      </c>
      <c r="U79" s="3508"/>
      <c r="V79" s="3509"/>
      <c r="W79" s="3510" t="str">
        <f>IMAGE("https://raw.githubusercontent.com/msikma/pokesprite/master/items/hold-item/leftovers.png",3)</f>
        <v/>
      </c>
      <c r="X79" s="3474"/>
      <c r="Y79" s="3461"/>
      <c r="Z79" s="3462"/>
      <c r="AA79" s="3462"/>
      <c r="AB79" s="3463"/>
      <c r="AC79" s="3476"/>
      <c r="AD79" s="3461"/>
      <c r="AE79" s="3462"/>
      <c r="AF79" s="3462"/>
      <c r="AG79" s="3463"/>
      <c r="AH79" s="3465"/>
      <c r="AI79" s="3466"/>
    </row>
    <row r="80" ht="20.25" customHeight="1">
      <c r="A80" s="3453"/>
      <c r="B80" s="3454"/>
      <c r="C80" s="3512"/>
      <c r="D80" s="3456"/>
      <c r="E80" s="3501" t="s">
        <v>1163</v>
      </c>
      <c r="F80" s="3502"/>
      <c r="G80" s="3513"/>
      <c r="H80" s="3514" t="str">
        <f>IMAGE("https://raw.githubusercontent.com/msikma/pokesprite/master/misc/types/gen8/electric.png",4,20,20)</f>
        <v/>
      </c>
      <c r="J80" s="3501" t="s">
        <v>170</v>
      </c>
      <c r="K80" s="3502"/>
      <c r="L80" s="3513"/>
      <c r="M80" s="3514" t="str">
        <f>IMAGE("https://raw.githubusercontent.com/msikma/pokesprite/master/misc/types/gen8/psychic.png",4,20,20)</f>
        <v/>
      </c>
      <c r="O80" s="3501" t="s">
        <v>1028</v>
      </c>
      <c r="P80" s="3502"/>
      <c r="Q80" s="3513"/>
      <c r="R80" s="3514" t="str">
        <f>IMAGE("https://raw.githubusercontent.com/msikma/pokesprite/master/misc/types/gen8/grass.png",4,20,20)</f>
        <v/>
      </c>
      <c r="T80" s="3501" t="s">
        <v>503</v>
      </c>
      <c r="U80" s="3502"/>
      <c r="V80" s="3513"/>
      <c r="W80" s="3514" t="str">
        <f>IMAGE("https://raw.githubusercontent.com/msikma/pokesprite/master/misc/types/gen8/poison.png",4,20,20)</f>
        <v/>
      </c>
      <c r="X80" s="3474"/>
      <c r="Y80" s="3461"/>
      <c r="Z80" s="3462"/>
      <c r="AA80" s="3462"/>
      <c r="AB80" s="3463"/>
      <c r="AC80" s="3476"/>
      <c r="AD80" s="3461"/>
      <c r="AE80" s="3462"/>
      <c r="AF80" s="3462"/>
      <c r="AG80" s="3463"/>
      <c r="AH80" s="3465"/>
      <c r="AI80" s="3466"/>
    </row>
    <row r="81" ht="20.25" customHeight="1">
      <c r="A81" s="3453"/>
      <c r="B81" s="3454"/>
      <c r="C81" s="3515"/>
      <c r="D81" s="3456"/>
      <c r="E81" s="3505" t="s">
        <v>1381</v>
      </c>
      <c r="F81" s="3462"/>
      <c r="G81" s="3463"/>
      <c r="H81" s="3516" t="str">
        <f>IMAGE("https://raw.githubusercontent.com/msikma/pokesprite/master/misc/types/gen8/flying.png",4,20,20)</f>
        <v/>
      </c>
      <c r="J81" s="3505" t="s">
        <v>811</v>
      </c>
      <c r="K81" s="3462"/>
      <c r="L81" s="3463"/>
      <c r="M81" s="3516" t="str">
        <f>IMAGE("https://raw.githubusercontent.com/msikma/pokesprite/master/misc/types/gen8/flying.png",4,20,20)</f>
        <v/>
      </c>
      <c r="O81" s="3505" t="s">
        <v>184</v>
      </c>
      <c r="P81" s="3462"/>
      <c r="Q81" s="3463"/>
      <c r="R81" s="3516" t="str">
        <f>IMAGE("https://raw.githubusercontent.com/msikma/pokesprite/master/misc/types/gen8/normal.png",4,20,20)</f>
        <v/>
      </c>
      <c r="T81" s="3505" t="s">
        <v>972</v>
      </c>
      <c r="U81" s="3462"/>
      <c r="V81" s="3463"/>
      <c r="W81" s="3516" t="str">
        <f>IMAGE("https://raw.githubusercontent.com/msikma/pokesprite/master/misc/types/gen8/fairy.png",4,20,20)</f>
        <v/>
      </c>
      <c r="X81" s="3474"/>
      <c r="Y81" s="3461"/>
      <c r="Z81" s="3462"/>
      <c r="AA81" s="3462"/>
      <c r="AB81" s="3463"/>
      <c r="AC81" s="3476"/>
      <c r="AD81" s="3461"/>
      <c r="AE81" s="3462"/>
      <c r="AF81" s="3462"/>
      <c r="AG81" s="3463"/>
      <c r="AH81" s="3465"/>
      <c r="AI81" s="3466"/>
    </row>
    <row r="82" ht="20.25" customHeight="1">
      <c r="A82" s="3453"/>
      <c r="B82" s="3454"/>
      <c r="C82" s="3515"/>
      <c r="D82" s="3456"/>
      <c r="E82" s="3505" t="s">
        <v>958</v>
      </c>
      <c r="F82" s="3462"/>
      <c r="G82" s="3463"/>
      <c r="H82" s="3516" t="str">
        <f>IMAGE("https://raw.githubusercontent.com/msikma/pokesprite/master/misc/types/gen8/normal.png",4,20,20)</f>
        <v/>
      </c>
      <c r="J82" s="3505" t="s">
        <v>1382</v>
      </c>
      <c r="K82" s="3462"/>
      <c r="L82" s="3463"/>
      <c r="M82" s="3516" t="str">
        <f>IMAGE("https://raw.githubusercontent.com/msikma/pokesprite/master/misc/types/gen8/ghost.png",4,20,20)</f>
        <v/>
      </c>
      <c r="O82" s="3505" t="s">
        <v>510</v>
      </c>
      <c r="P82" s="3462"/>
      <c r="Q82" s="3463"/>
      <c r="R82" s="3516" t="str">
        <f>IMAGE("https://raw.githubusercontent.com/msikma/pokesprite/master/misc/types/gen8/grass.png",4,20,20)</f>
        <v/>
      </c>
      <c r="T82" s="3505" t="s">
        <v>1383</v>
      </c>
      <c r="U82" s="3462"/>
      <c r="V82" s="3463"/>
      <c r="W82" s="3516" t="str">
        <f>IMAGE("https://raw.githubusercontent.com/msikma/pokesprite/master/misc/types/gen8/steel.png",4,20,20)</f>
        <v/>
      </c>
      <c r="X82" s="3474"/>
      <c r="Y82" s="3461"/>
      <c r="Z82" s="3462"/>
      <c r="AA82" s="3462"/>
      <c r="AB82" s="3463"/>
      <c r="AC82" s="3476"/>
      <c r="AD82" s="3461"/>
      <c r="AE82" s="3462"/>
      <c r="AF82" s="3462"/>
      <c r="AG82" s="3463"/>
      <c r="AH82" s="3465"/>
      <c r="AI82" s="3466"/>
    </row>
    <row r="83" ht="21.0" customHeight="1">
      <c r="A83" s="3453"/>
      <c r="B83" s="3454"/>
      <c r="C83" s="3515"/>
      <c r="D83" s="3456"/>
      <c r="E83" s="3517" t="s">
        <v>742</v>
      </c>
      <c r="F83" s="3518"/>
      <c r="G83" s="3521"/>
      <c r="H83" s="3522" t="str">
        <f>IMAGE("https://raw.githubusercontent.com/msikma/pokesprite/master/misc/types/gen8/grass.png",4,20,20)</f>
        <v/>
      </c>
      <c r="I83" s="3520"/>
      <c r="J83" s="3517" t="s">
        <v>551</v>
      </c>
      <c r="K83" s="3518"/>
      <c r="L83" s="3521"/>
      <c r="M83" s="3522" t="str">
        <f>IMAGE("https://raw.githubusercontent.com/msikma/pokesprite/master/misc/types/gen8/flying.png",4,20,20)</f>
        <v/>
      </c>
      <c r="N83" s="3520"/>
      <c r="O83" s="3517" t="s">
        <v>1384</v>
      </c>
      <c r="P83" s="3518"/>
      <c r="Q83" s="3521"/>
      <c r="R83" s="3522" t="str">
        <f>IMAGE("https://raw.githubusercontent.com/msikma/pokesprite/master/misc/types/gen8/psychic.png",4,20,20)</f>
        <v/>
      </c>
      <c r="S83" s="3520"/>
      <c r="T83" s="3517" t="s">
        <v>975</v>
      </c>
      <c r="U83" s="3518"/>
      <c r="V83" s="3521"/>
      <c r="W83" s="3522" t="str">
        <f>IMAGE("https://raw.githubusercontent.com/msikma/pokesprite/master/misc/types/gen8/fire.png",4,20,20)</f>
        <v/>
      </c>
      <c r="X83" s="3523"/>
      <c r="Y83" s="3461"/>
      <c r="Z83" s="3462"/>
      <c r="AA83" s="3462"/>
      <c r="AB83" s="3463"/>
      <c r="AC83" s="3512"/>
      <c r="AD83" s="3461"/>
      <c r="AE83" s="3462"/>
      <c r="AF83" s="3462"/>
      <c r="AG83" s="3463"/>
      <c r="AH83" s="3465"/>
      <c r="AI83" s="3466"/>
    </row>
    <row r="84" ht="3.0" customHeight="1">
      <c r="A84" s="3524"/>
      <c r="B84" s="3525"/>
      <c r="C84" s="3526"/>
      <c r="D84" s="3527"/>
      <c r="E84" s="3529"/>
      <c r="F84" s="3529"/>
      <c r="G84" s="3529"/>
      <c r="H84" s="3529"/>
      <c r="I84" s="3527"/>
      <c r="J84" s="3529"/>
      <c r="K84" s="3529"/>
      <c r="L84" s="3529"/>
      <c r="M84" s="3529"/>
      <c r="N84" s="3527"/>
      <c r="O84" s="3529"/>
      <c r="P84" s="3529"/>
      <c r="Q84" s="3529"/>
      <c r="R84" s="3770"/>
      <c r="S84" s="3530"/>
      <c r="T84" s="3529"/>
      <c r="U84" s="3529"/>
      <c r="V84" s="3529"/>
      <c r="W84" s="3770"/>
      <c r="X84" s="3527"/>
      <c r="Y84" s="3527"/>
      <c r="Z84" s="3531"/>
      <c r="AA84" s="3531"/>
      <c r="AB84" s="3532"/>
      <c r="AC84" s="3532"/>
      <c r="AD84" s="3532"/>
      <c r="AE84" s="3532"/>
      <c r="AF84" s="3532"/>
      <c r="AG84" s="3532"/>
      <c r="AH84" s="3533"/>
      <c r="AI84" s="3534"/>
    </row>
    <row r="85" ht="16.5" customHeight="1">
      <c r="A85" s="3535"/>
      <c r="B85" s="3536"/>
      <c r="C85" s="3526"/>
      <c r="D85" s="3771"/>
      <c r="E85" s="3538" t="s">
        <v>512</v>
      </c>
      <c r="F85" s="606"/>
      <c r="G85" s="606"/>
      <c r="H85" s="607"/>
      <c r="I85" s="3772"/>
      <c r="J85" s="3538" t="s">
        <v>512</v>
      </c>
      <c r="K85" s="606"/>
      <c r="L85" s="606"/>
      <c r="M85" s="607"/>
      <c r="N85" s="3772"/>
      <c r="O85" s="3538" t="s">
        <v>512</v>
      </c>
      <c r="P85" s="606"/>
      <c r="Q85" s="606"/>
      <c r="R85" s="607"/>
      <c r="S85" s="3773"/>
      <c r="T85" s="3538" t="s">
        <v>512</v>
      </c>
      <c r="U85" s="606"/>
      <c r="V85" s="606"/>
      <c r="W85" s="607"/>
      <c r="X85" s="3774"/>
      <c r="Y85" s="3541"/>
      <c r="Z85" s="3537"/>
      <c r="AA85" s="3537"/>
      <c r="AB85" s="3541"/>
      <c r="AC85" s="3541"/>
      <c r="AD85" s="3541"/>
      <c r="AE85" s="3541"/>
      <c r="AF85" s="3541"/>
      <c r="AG85" s="3541"/>
      <c r="AH85" s="3542"/>
      <c r="AI85" s="3543"/>
    </row>
    <row r="86" ht="16.5" customHeight="1">
      <c r="A86" s="3535"/>
      <c r="B86" s="3536"/>
      <c r="C86" s="3526"/>
      <c r="D86" s="3537"/>
      <c r="E86" s="3544" t="s">
        <v>513</v>
      </c>
      <c r="F86" s="3545">
        <f t="array" ref="F86">IFERROR(VLOOKUP(E73,Dex!$B$3:$N1361,8,FALSE),"")</f>
        <v>35</v>
      </c>
      <c r="G86" s="3546" t="str">
        <f t="array" ref="G86">IFERROR(VLOOKUP(F86,Dex!$P$22:$Q$276,2,FALSE),"")</f>
        <v/>
      </c>
      <c r="H86" s="3547"/>
      <c r="I86" s="3775"/>
      <c r="J86" s="3544" t="s">
        <v>513</v>
      </c>
      <c r="K86" s="3545">
        <f t="array" ref="K86">IFERROR(VLOOKUP(J73,Dex!$B$3:$N1361,8,FALSE),"")</f>
        <v>75</v>
      </c>
      <c r="L86" s="3546" t="str">
        <f t="array" ref="L86">IFERROR(VLOOKUP(K86,Dex!$P$22:$Q$276,2,FALSE),"")</f>
        <v/>
      </c>
      <c r="M86" s="3547"/>
      <c r="N86" s="3775"/>
      <c r="O86" s="3544" t="s">
        <v>513</v>
      </c>
      <c r="P86" s="3545">
        <f t="array" ref="P86">IFERROR(VLOOKUP(O73,Dex!$B$3:$N1361,8,FALSE),"")</f>
        <v>60</v>
      </c>
      <c r="Q86" s="3546" t="str">
        <f t="array" ref="Q86">IFERROR(VLOOKUP(P86,Dex!$P$22:$Q$276,2,FALSE),"")</f>
        <v/>
      </c>
      <c r="R86" s="3547"/>
      <c r="S86" s="3775"/>
      <c r="T86" s="3544" t="s">
        <v>513</v>
      </c>
      <c r="U86" s="3545">
        <f t="array" ref="U86">IFERROR(VLOOKUP(T73,Dex!$B$3:$N1361,8,FALSE),"")</f>
        <v>50</v>
      </c>
      <c r="V86" s="3546" t="str">
        <f t="array" ref="V86">IFERROR(VLOOKUP(U86,Dex!$P$22:$Q$276,2,FALSE),"")</f>
        <v/>
      </c>
      <c r="W86" s="3547"/>
      <c r="X86" s="3774"/>
      <c r="Y86" s="3541"/>
      <c r="Z86" s="3537"/>
      <c r="AA86" s="3537"/>
      <c r="AB86" s="3541"/>
      <c r="AC86" s="3541"/>
      <c r="AD86" s="3541"/>
      <c r="AE86" s="3541"/>
      <c r="AF86" s="3541"/>
      <c r="AG86" s="3541"/>
      <c r="AH86" s="3542"/>
      <c r="AI86" s="3543"/>
    </row>
    <row r="87" ht="16.5" customHeight="1">
      <c r="A87" s="3535"/>
      <c r="B87" s="3536"/>
      <c r="C87" s="3526"/>
      <c r="D87" s="3537"/>
      <c r="E87" s="3549" t="s">
        <v>514</v>
      </c>
      <c r="F87" s="3550">
        <f t="array" ref="F87">IFERROR(VLOOKUP(E73,Dex!$B$3:$N1361,9,FALSE),"")</f>
        <v>55</v>
      </c>
      <c r="G87" s="3551" t="str">
        <f t="array" ref="G87">IFERROR(VLOOKUP(F87,Dex!$P$22:$Q$276,2,FALSE),"")</f>
        <v/>
      </c>
      <c r="H87" s="3552"/>
      <c r="I87" s="3775"/>
      <c r="J87" s="3549" t="s">
        <v>514</v>
      </c>
      <c r="K87" s="3550">
        <f t="array" ref="K87">IFERROR(VLOOKUP(J73,Dex!$B$3:$N1361,9,FALSE),"")</f>
        <v>70</v>
      </c>
      <c r="L87" s="3551" t="str">
        <f t="array" ref="L87">IFERROR(VLOOKUP(K87,Dex!$P$22:$Q$276,2,FALSE),"")</f>
        <v/>
      </c>
      <c r="M87" s="3552"/>
      <c r="N87" s="3775"/>
      <c r="O87" s="3549" t="s">
        <v>514</v>
      </c>
      <c r="P87" s="3550">
        <f t="array" ref="P87">IFERROR(VLOOKUP(O73,Dex!$B$3:$N1361,9,FALSE),"")</f>
        <v>67</v>
      </c>
      <c r="Q87" s="3551" t="str">
        <f t="array" ref="Q87">IFERROR(VLOOKUP(P87,Dex!$P$22:$Q$276,2,FALSE),"")</f>
        <v/>
      </c>
      <c r="R87" s="3552"/>
      <c r="S87" s="3775"/>
      <c r="T87" s="3549" t="s">
        <v>514</v>
      </c>
      <c r="U87" s="3550">
        <f t="array" ref="U87">IFERROR(VLOOKUP(T73,Dex!$B$3:$N1361,9,FALSE),"")</f>
        <v>85</v>
      </c>
      <c r="V87" s="3551" t="str">
        <f t="array" ref="V87">IFERROR(VLOOKUP(U87,Dex!$P$22:$Q$276,2,FALSE),"")</f>
        <v/>
      </c>
      <c r="W87" s="3552"/>
      <c r="X87" s="3774"/>
      <c r="Y87" s="3541"/>
      <c r="Z87" s="3537"/>
      <c r="AA87" s="3537"/>
      <c r="AB87" s="3541"/>
      <c r="AC87" s="3541"/>
      <c r="AD87" s="3541"/>
      <c r="AE87" s="3541"/>
      <c r="AF87" s="3541"/>
      <c r="AG87" s="3541"/>
      <c r="AH87" s="3542"/>
      <c r="AI87" s="3543"/>
    </row>
    <row r="88" ht="16.5" customHeight="1">
      <c r="A88" s="3535"/>
      <c r="B88" s="3536"/>
      <c r="C88" s="3526"/>
      <c r="D88" s="3537"/>
      <c r="E88" s="3549" t="s">
        <v>515</v>
      </c>
      <c r="F88" s="3550">
        <f t="array" ref="F88">IFERROR(VLOOKUP(E73,Dex!$B$3:$N1361,10,FALSE),"")</f>
        <v>40</v>
      </c>
      <c r="G88" s="3551" t="str">
        <f t="array" ref="G88">IFERROR(VLOOKUP(F88,Dex!$P$22:$Q$276,2,FALSE),"")</f>
        <v/>
      </c>
      <c r="H88" s="3552"/>
      <c r="I88" s="3775"/>
      <c r="J88" s="3549" t="s">
        <v>515</v>
      </c>
      <c r="K88" s="3550">
        <f t="array" ref="K88">IFERROR(VLOOKUP(J73,Dex!$B$3:$N1361,10,FALSE),"")</f>
        <v>70</v>
      </c>
      <c r="L88" s="3551" t="str">
        <f t="array" ref="L88">IFERROR(VLOOKUP(K88,Dex!$P$22:$Q$276,2,FALSE),"")</f>
        <v/>
      </c>
      <c r="M88" s="3552"/>
      <c r="N88" s="3775"/>
      <c r="O88" s="3549" t="s">
        <v>515</v>
      </c>
      <c r="P88" s="3550">
        <f t="array" ref="P88">IFERROR(VLOOKUP(O73,Dex!$B$3:$N1361,10,FALSE),"")</f>
        <v>85</v>
      </c>
      <c r="Q88" s="3551" t="str">
        <f t="array" ref="Q88">IFERROR(VLOOKUP(P88,Dex!$P$22:$Q$276,2,FALSE),"")</f>
        <v/>
      </c>
      <c r="R88" s="3552"/>
      <c r="S88" s="3775"/>
      <c r="T88" s="3549" t="s">
        <v>515</v>
      </c>
      <c r="U88" s="3550">
        <f t="array" ref="U88">IFERROR(VLOOKUP(T73,Dex!$B$3:$N1361,10,FALSE),"")</f>
        <v>85</v>
      </c>
      <c r="V88" s="3551" t="str">
        <f t="array" ref="V88">IFERROR(VLOOKUP(U88,Dex!$P$22:$Q$276,2,FALSE),"")</f>
        <v/>
      </c>
      <c r="W88" s="3552"/>
      <c r="X88" s="3774"/>
      <c r="Y88" s="3541"/>
      <c r="Z88" s="3537"/>
      <c r="AA88" s="3537"/>
      <c r="AB88" s="3541"/>
      <c r="AC88" s="3541"/>
      <c r="AD88" s="3541"/>
      <c r="AE88" s="3541"/>
      <c r="AF88" s="3541"/>
      <c r="AG88" s="3541"/>
      <c r="AH88" s="3542"/>
      <c r="AI88" s="3543"/>
    </row>
    <row r="89" ht="16.5" customHeight="1">
      <c r="A89" s="3535"/>
      <c r="B89" s="3536"/>
      <c r="C89" s="3526"/>
      <c r="D89" s="3537"/>
      <c r="E89" s="3549" t="s">
        <v>516</v>
      </c>
      <c r="F89" s="3550">
        <f t="array" ref="F89">IFERROR(VLOOKUP(E73,Dex!$B$3:$N1361,11,FALSE),"")</f>
        <v>50</v>
      </c>
      <c r="G89" s="3551" t="str">
        <f t="array" ref="G89">IFERROR(VLOOKUP(F89,Dex!$P$22:$Q$276,2,FALSE),"")</f>
        <v/>
      </c>
      <c r="H89" s="3552"/>
      <c r="I89" s="3775"/>
      <c r="J89" s="3549" t="s">
        <v>516</v>
      </c>
      <c r="K89" s="3550">
        <f t="array" ref="K89">IFERROR(VLOOKUP(J73,Dex!$B$3:$N1361,11,FALSE),"")</f>
        <v>98</v>
      </c>
      <c r="L89" s="3551" t="str">
        <f t="array" ref="L89">IFERROR(VLOOKUP(K89,Dex!$P$22:$Q$276,2,FALSE),"")</f>
        <v/>
      </c>
      <c r="M89" s="3552"/>
      <c r="N89" s="3775"/>
      <c r="O89" s="3549" t="s">
        <v>516</v>
      </c>
      <c r="P89" s="3550">
        <f t="array" ref="P89">IFERROR(VLOOKUP(O73,Dex!$B$3:$N1361,11,FALSE),"")</f>
        <v>77</v>
      </c>
      <c r="Q89" s="3551" t="str">
        <f t="array" ref="Q89">IFERROR(VLOOKUP(P89,Dex!$P$22:$Q$276,2,FALSE),"")</f>
        <v/>
      </c>
      <c r="R89" s="3552"/>
      <c r="S89" s="3775"/>
      <c r="T89" s="3549" t="s">
        <v>516</v>
      </c>
      <c r="U89" s="3550">
        <f t="array" ref="U89">IFERROR(VLOOKUP(T73,Dex!$B$3:$N1361,11,FALSE),"")</f>
        <v>55</v>
      </c>
      <c r="V89" s="3551" t="str">
        <f t="array" ref="V89">IFERROR(VLOOKUP(U89,Dex!$P$22:$Q$276,2,FALSE),"")</f>
        <v/>
      </c>
      <c r="W89" s="3552"/>
      <c r="X89" s="3774"/>
      <c r="Y89" s="3541"/>
      <c r="Z89" s="3537"/>
      <c r="AA89" s="3537"/>
      <c r="AB89" s="3541"/>
      <c r="AC89" s="3541"/>
      <c r="AD89" s="3541"/>
      <c r="AE89" s="3541"/>
      <c r="AF89" s="3541"/>
      <c r="AG89" s="3541"/>
      <c r="AH89" s="3542"/>
      <c r="AI89" s="3543"/>
    </row>
    <row r="90" ht="16.5" customHeight="1">
      <c r="A90" s="3535"/>
      <c r="B90" s="3536"/>
      <c r="C90" s="3526"/>
      <c r="D90" s="3537"/>
      <c r="E90" s="3549" t="s">
        <v>517</v>
      </c>
      <c r="F90" s="3550">
        <f t="array" ref="F90">IFERROR(VLOOKUP(E73,Dex!$B$3:$N1361,12,FALSE),"")</f>
        <v>50</v>
      </c>
      <c r="G90" s="3551" t="str">
        <f t="array" ref="G90">IFERROR(VLOOKUP(F90,Dex!$P$22:$Q$276,2,FALSE),"")</f>
        <v/>
      </c>
      <c r="H90" s="3552"/>
      <c r="I90" s="3775"/>
      <c r="J90" s="3549" t="s">
        <v>517</v>
      </c>
      <c r="K90" s="3550">
        <f t="array" ref="K90">IFERROR(VLOOKUP(J73,Dex!$B$3:$N1361,12,FALSE),"")</f>
        <v>70</v>
      </c>
      <c r="L90" s="3551" t="str">
        <f t="array" ref="L90">IFERROR(VLOOKUP(K90,Dex!$P$22:$Q$276,2,FALSE),"")</f>
        <v/>
      </c>
      <c r="M90" s="3552"/>
      <c r="N90" s="3775"/>
      <c r="O90" s="3549" t="s">
        <v>517</v>
      </c>
      <c r="P90" s="3550">
        <f t="array" ref="P90">IFERROR(VLOOKUP(O73,Dex!$B$3:$N1361,12,FALSE),"")</f>
        <v>75</v>
      </c>
      <c r="Q90" s="3551" t="str">
        <f t="array" ref="Q90">IFERROR(VLOOKUP(P90,Dex!$P$22:$Q$276,2,FALSE),"")</f>
        <v/>
      </c>
      <c r="R90" s="3552"/>
      <c r="S90" s="3775"/>
      <c r="T90" s="3549" t="s">
        <v>517</v>
      </c>
      <c r="U90" s="3550">
        <f t="array" ref="U90">IFERROR(VLOOKUP(T73,Dex!$B$3:$N1361,12,FALSE),"")</f>
        <v>55</v>
      </c>
      <c r="V90" s="3551" t="str">
        <f t="array" ref="V90">IFERROR(VLOOKUP(U90,Dex!$P$22:$Q$276,2,FALSE),"")</f>
        <v/>
      </c>
      <c r="W90" s="3552"/>
      <c r="X90" s="3774"/>
      <c r="Y90" s="3541"/>
      <c r="Z90" s="3537"/>
      <c r="AA90" s="3537"/>
      <c r="AB90" s="3541"/>
      <c r="AC90" s="3541"/>
      <c r="AD90" s="3541"/>
      <c r="AE90" s="3541"/>
      <c r="AF90" s="3541"/>
      <c r="AG90" s="3541"/>
      <c r="AH90" s="3542"/>
      <c r="AI90" s="3543"/>
    </row>
    <row r="91" ht="15.75" customHeight="1">
      <c r="A91" s="3535"/>
      <c r="B91" s="3536"/>
      <c r="C91" s="1426" t="s">
        <v>745</v>
      </c>
      <c r="D91" s="3537"/>
      <c r="E91" s="3553" t="s">
        <v>518</v>
      </c>
      <c r="F91" s="3554">
        <f t="array" ref="F91">IFERROR(VLOOKUP(E73,Dex!$B$3:$N1361,13,FALSE),"")</f>
        <v>90</v>
      </c>
      <c r="G91" s="3555" t="str">
        <f t="array" ref="G91">IFERROR(VLOOKUP(F91,Dex!$P$22:$Q$276,2,FALSE),"")</f>
        <v/>
      </c>
      <c r="H91" s="3556"/>
      <c r="I91" s="3775"/>
      <c r="J91" s="3553" t="s">
        <v>518</v>
      </c>
      <c r="K91" s="3554">
        <f t="array" ref="K91">IFERROR(VLOOKUP(J73,Dex!$B$3:$N1361,13,FALSE),"")</f>
        <v>93</v>
      </c>
      <c r="L91" s="3555" t="str">
        <f t="array" ref="L91">IFERROR(VLOOKUP(K91,Dex!$P$22:$Q$276,2,FALSE),"")</f>
        <v/>
      </c>
      <c r="M91" s="3556"/>
      <c r="N91" s="3775"/>
      <c r="O91" s="3553" t="s">
        <v>518</v>
      </c>
      <c r="P91" s="3554">
        <f t="array" ref="P91">IFERROR(VLOOKUP(O73,Dex!$B$3:$N1361,13,FALSE),"")</f>
        <v>116</v>
      </c>
      <c r="Q91" s="3555" t="str">
        <f t="array" ref="Q91">IFERROR(VLOOKUP(P91,Dex!$P$22:$Q$276,2,FALSE),"")</f>
        <v/>
      </c>
      <c r="R91" s="3556"/>
      <c r="S91" s="3775"/>
      <c r="T91" s="3553" t="s">
        <v>518</v>
      </c>
      <c r="U91" s="3554">
        <f t="array" ref="U91">IFERROR(VLOOKUP(T73,Dex!$B$3:$N1361,13,FALSE),"")</f>
        <v>50</v>
      </c>
      <c r="V91" s="3555" t="str">
        <f t="array" ref="V91">IFERROR(VLOOKUP(U91,Dex!$P$22:$Q$276,2,FALSE),"")</f>
        <v/>
      </c>
      <c r="W91" s="3556"/>
      <c r="X91" s="3774"/>
      <c r="Y91" s="3541"/>
      <c r="Z91" s="3537"/>
      <c r="AA91" s="3537"/>
      <c r="AB91" s="3541"/>
      <c r="AC91" s="3541"/>
      <c r="AD91" s="3541"/>
      <c r="AE91" s="3541"/>
      <c r="AF91" s="3541"/>
      <c r="AG91" s="3541"/>
      <c r="AH91" s="3542"/>
      <c r="AI91" s="3543"/>
    </row>
    <row r="92" ht="16.5" customHeight="1">
      <c r="A92" s="3535"/>
      <c r="B92" s="3536"/>
      <c r="C92" s="1427" t="s">
        <v>1155</v>
      </c>
      <c r="D92" s="3771"/>
      <c r="E92" s="3557" t="s">
        <v>519</v>
      </c>
      <c r="F92" s="630"/>
      <c r="G92" s="631"/>
      <c r="H92" s="632">
        <f>ROUNDDOWN((ROUNDDOWN(((((2*F91+31)*21)/100+5)),0))*1.1,0)</f>
        <v>53</v>
      </c>
      <c r="I92" s="3539"/>
      <c r="J92" s="3557" t="s">
        <v>519</v>
      </c>
      <c r="K92" s="630"/>
      <c r="L92" s="631"/>
      <c r="M92" s="632">
        <f>ROUNDDOWN((ROUNDDOWN(((((2*K91+31)*22)/100+5)),0))*1.1,0)</f>
        <v>57</v>
      </c>
      <c r="N92" s="3539"/>
      <c r="O92" s="3557" t="s">
        <v>519</v>
      </c>
      <c r="P92" s="630"/>
      <c r="Q92" s="631"/>
      <c r="R92" s="632">
        <f>ROUNDDOWN((ROUNDDOWN(((((2*P91+31)*22)/100+5)),0))*1,0)</f>
        <v>62</v>
      </c>
      <c r="S92" s="3539"/>
      <c r="T92" s="3557" t="s">
        <v>519</v>
      </c>
      <c r="U92" s="630"/>
      <c r="V92" s="631"/>
      <c r="W92" s="632">
        <f>ROUNDDOWN((ROUNDDOWN(((((2*U91+31)*21)/100+5)),0))*1,0)</f>
        <v>32</v>
      </c>
      <c r="X92" s="3541"/>
      <c r="Y92" s="3541"/>
      <c r="Z92" s="3537"/>
      <c r="AA92" s="3537"/>
      <c r="AB92" s="3541"/>
      <c r="AC92" s="3541"/>
      <c r="AD92" s="3541"/>
      <c r="AE92" s="3541"/>
      <c r="AF92" s="3541"/>
      <c r="AG92" s="3541"/>
      <c r="AH92" s="3542"/>
      <c r="AI92" s="3543"/>
    </row>
    <row r="93" ht="15.0" customHeight="1">
      <c r="A93" s="3453"/>
      <c r="B93" s="3558"/>
      <c r="C93" s="3559"/>
      <c r="D93" s="3560"/>
      <c r="E93" s="3563"/>
      <c r="F93" s="3563"/>
      <c r="G93" s="3563"/>
      <c r="H93" s="3561"/>
      <c r="I93" s="3562"/>
      <c r="J93" s="3563"/>
      <c r="K93" s="3563"/>
      <c r="L93" s="3563"/>
      <c r="M93" s="3561"/>
      <c r="N93" s="3564"/>
      <c r="O93" s="3563"/>
      <c r="P93" s="3563"/>
      <c r="Q93" s="3563"/>
      <c r="R93" s="3562"/>
      <c r="S93" s="3564"/>
      <c r="T93" s="3776"/>
      <c r="U93" s="3776"/>
      <c r="V93" s="3776"/>
      <c r="W93" s="3565"/>
      <c r="X93" s="3564"/>
      <c r="Y93" s="3565"/>
      <c r="Z93" s="3565"/>
      <c r="AA93" s="3565"/>
      <c r="AB93" s="3565"/>
      <c r="AC93" s="3564"/>
      <c r="AD93" s="3565"/>
      <c r="AE93" s="3565"/>
      <c r="AF93" s="3565"/>
      <c r="AG93" s="3565"/>
      <c r="AH93" s="3566"/>
      <c r="AI93" s="3466"/>
    </row>
    <row r="94" ht="15.0" customHeight="1">
      <c r="A94" s="3453"/>
      <c r="B94" s="3777"/>
      <c r="C94" s="3778"/>
      <c r="D94" s="3779"/>
      <c r="E94" s="3780"/>
      <c r="F94" s="3780"/>
      <c r="G94" s="3780"/>
      <c r="H94" s="3781"/>
      <c r="I94" s="3781"/>
      <c r="J94" s="3780"/>
      <c r="K94" s="3780"/>
      <c r="L94" s="3780"/>
      <c r="M94" s="3781"/>
      <c r="N94" s="3782"/>
      <c r="O94" s="3783"/>
      <c r="P94" s="3783"/>
      <c r="Q94" s="3783"/>
      <c r="R94" s="3783"/>
      <c r="S94" s="3783"/>
      <c r="T94" s="3783"/>
      <c r="U94" s="3783"/>
      <c r="V94" s="3783"/>
      <c r="W94" s="3783"/>
      <c r="X94" s="3782"/>
      <c r="Y94" s="3783"/>
      <c r="Z94" s="3783"/>
      <c r="AA94" s="3783"/>
      <c r="AB94" s="3783"/>
      <c r="AC94" s="3783"/>
      <c r="AD94" s="3783"/>
      <c r="AE94" s="3783"/>
      <c r="AF94" s="3783"/>
      <c r="AG94" s="3783"/>
      <c r="AH94" s="3784"/>
      <c r="AI94" s="3466"/>
    </row>
    <row r="95">
      <c r="A95" s="3446"/>
      <c r="B95" s="3785"/>
      <c r="C95" s="3786"/>
      <c r="D95" s="3787"/>
      <c r="E95" s="3788" t="s">
        <v>1385</v>
      </c>
      <c r="F95" s="3789"/>
      <c r="G95" s="3789"/>
      <c r="H95" s="3789"/>
      <c r="I95" s="3789"/>
      <c r="J95" s="3789"/>
      <c r="K95" s="3789"/>
      <c r="L95" s="3789"/>
      <c r="M95" s="3789"/>
      <c r="N95" s="3789"/>
      <c r="O95" s="3789"/>
      <c r="P95" s="3789"/>
      <c r="Q95" s="3789"/>
      <c r="R95" s="3789"/>
      <c r="S95" s="3789"/>
      <c r="T95" s="3789"/>
      <c r="U95" s="3789"/>
      <c r="V95" s="3789"/>
      <c r="W95" s="3789"/>
      <c r="X95" s="3789"/>
      <c r="Y95" s="3789"/>
      <c r="Z95" s="3789"/>
      <c r="AA95" s="3789"/>
      <c r="AB95" s="3789"/>
      <c r="AC95" s="3789"/>
      <c r="AD95" s="3789"/>
      <c r="AE95" s="3789"/>
      <c r="AF95" s="3789"/>
      <c r="AG95" s="3790"/>
      <c r="AH95" s="3791"/>
      <c r="AI95" s="3452"/>
    </row>
    <row r="96" ht="96.75" customHeight="1">
      <c r="A96" s="3446"/>
      <c r="B96" s="3785"/>
      <c r="C96" s="3792" t="str">
        <f>IMAGE("https://i.ibb.co/vsXQ7g7/Super-Nerd.png")</f>
        <v/>
      </c>
      <c r="D96" s="3793"/>
      <c r="E96" s="3794" t="str">
        <f t="array" ref="E96">IFERROR(VLOOKUP(E97,Dex!$B$3:$G1361,3,FALSE),"")</f>
        <v/>
      </c>
      <c r="F96" s="606"/>
      <c r="G96" s="606"/>
      <c r="H96" s="607"/>
      <c r="I96" s="3795"/>
      <c r="J96" s="3794" t="str">
        <f t="array" ref="J96">IFERROR(VLOOKUP(J97,Dex!$B$3:$G1361,3,FALSE),"")</f>
        <v/>
      </c>
      <c r="K96" s="606"/>
      <c r="L96" s="606"/>
      <c r="M96" s="607"/>
      <c r="N96" s="3795"/>
      <c r="O96" s="3794" t="str">
        <f t="array" ref="O96">IFERROR(VLOOKUP(O97,Dex!$B$3:$G1361,3,FALSE),"")</f>
        <v/>
      </c>
      <c r="P96" s="606"/>
      <c r="Q96" s="606"/>
      <c r="R96" s="607"/>
      <c r="S96" s="3795"/>
      <c r="T96" s="3794" t="str">
        <f t="array" ref="T96">IFERROR(VLOOKUP(T97,Dex!$B$3:$G1361,3,FALSE),"")</f>
        <v/>
      </c>
      <c r="U96" s="606"/>
      <c r="V96" s="606"/>
      <c r="W96" s="607"/>
      <c r="X96" s="3796"/>
      <c r="Y96" s="3794" t="str">
        <f t="array" ref="Y96">IFERROR(VLOOKUP(Y97,Dex!$B$3:$G1361,3,FALSE),"")</f>
        <v/>
      </c>
      <c r="Z96" s="606"/>
      <c r="AA96" s="606"/>
      <c r="AB96" s="607"/>
      <c r="AC96" s="3797"/>
      <c r="AD96" s="3798"/>
      <c r="AE96" s="3799"/>
      <c r="AF96" s="3799"/>
      <c r="AG96" s="3800"/>
      <c r="AH96" s="3791"/>
      <c r="AI96" s="3452"/>
    </row>
    <row r="97" ht="18.75" customHeight="1">
      <c r="A97" s="3689"/>
      <c r="B97" s="3801"/>
      <c r="C97" s="3802" t="s">
        <v>1386</v>
      </c>
      <c r="D97" s="3803"/>
      <c r="E97" s="3804" t="s">
        <v>1387</v>
      </c>
      <c r="F97" s="3805"/>
      <c r="G97" s="3805"/>
      <c r="H97" s="3806"/>
      <c r="J97" s="3804" t="s">
        <v>1388</v>
      </c>
      <c r="K97" s="3805"/>
      <c r="L97" s="3805"/>
      <c r="M97" s="3806"/>
      <c r="O97" s="3804" t="s">
        <v>302</v>
      </c>
      <c r="P97" s="3805"/>
      <c r="Q97" s="3805"/>
      <c r="R97" s="3806"/>
      <c r="T97" s="3804" t="s">
        <v>1389</v>
      </c>
      <c r="U97" s="3805"/>
      <c r="V97" s="3805"/>
      <c r="W97" s="3806"/>
      <c r="Y97" s="3804" t="s">
        <v>1390</v>
      </c>
      <c r="Z97" s="3805"/>
      <c r="AA97" s="3805"/>
      <c r="AB97" s="3806"/>
      <c r="AC97" s="3807"/>
      <c r="AD97" s="3808"/>
      <c r="AE97" s="3799"/>
      <c r="AF97" s="3799"/>
      <c r="AG97" s="3800"/>
      <c r="AH97" s="3809"/>
      <c r="AI97" s="3700"/>
    </row>
    <row r="98">
      <c r="A98" s="3701"/>
      <c r="B98" s="3810"/>
      <c r="C98" s="1638"/>
      <c r="D98" s="3811"/>
      <c r="E98" s="3812" t="s">
        <v>796</v>
      </c>
      <c r="F98" s="3813"/>
      <c r="G98" s="3813"/>
      <c r="H98" s="3814"/>
      <c r="J98" s="3812" t="s">
        <v>967</v>
      </c>
      <c r="K98" s="3813"/>
      <c r="L98" s="3813"/>
      <c r="M98" s="3814"/>
      <c r="O98" s="3812" t="s">
        <v>967</v>
      </c>
      <c r="P98" s="3813"/>
      <c r="Q98" s="3813"/>
      <c r="R98" s="3814"/>
      <c r="T98" s="3812" t="s">
        <v>967</v>
      </c>
      <c r="U98" s="3813"/>
      <c r="V98" s="3813"/>
      <c r="W98" s="3814"/>
      <c r="Y98" s="3812" t="s">
        <v>967</v>
      </c>
      <c r="Z98" s="3813"/>
      <c r="AA98" s="3813"/>
      <c r="AB98" s="3814"/>
      <c r="AC98" s="3807"/>
      <c r="AD98" s="3815"/>
      <c r="AE98" s="3799"/>
      <c r="AF98" s="3799"/>
      <c r="AG98" s="3800"/>
      <c r="AH98" s="3816"/>
      <c r="AI98" s="3709"/>
    </row>
    <row r="99" ht="25.5" customHeight="1">
      <c r="A99" s="3446"/>
      <c r="B99" s="3785"/>
      <c r="C99" s="1646"/>
      <c r="D99" s="3787"/>
      <c r="E99" s="3817"/>
      <c r="F99" s="3818" t="str">
        <f t="array" ref="F99">IFERROR(VLOOKUP(E97,Dex!$B$3:$H1361,5,FALSE),"")</f>
        <v/>
      </c>
      <c r="G99" s="3819"/>
      <c r="H99" s="3820"/>
      <c r="J99" s="3817"/>
      <c r="K99" s="3821" t="str">
        <f t="array" ref="K99">IFERROR(VLOOKUP(J97,Dex!$B$3:$H1361,5,FALSE),"")</f>
        <v/>
      </c>
      <c r="L99" s="3822" t="str">
        <f t="array" ref="L99">IFERROR(VLOOKUP(J97,Dex!$B$3:$H1361,7,FALSE),"")</f>
        <v/>
      </c>
      <c r="M99" s="3820"/>
      <c r="O99" s="3817"/>
      <c r="P99" s="3821" t="str">
        <f t="array" ref="P99">IFERROR(VLOOKUP(O97,Dex!$B$3:$H1361,5,FALSE),"")</f>
        <v/>
      </c>
      <c r="Q99" s="3822" t="str">
        <f t="array" ref="Q99">IFERROR(VLOOKUP(O97,Dex!$B$3:$H1361,7,FALSE),"")</f>
        <v/>
      </c>
      <c r="R99" s="3820"/>
      <c r="T99" s="3817"/>
      <c r="U99" s="3818" t="str">
        <f t="array" ref="U99">IFERROR(VLOOKUP(T97,Dex!$B$3:$H1361,5,FALSE),"")</f>
        <v/>
      </c>
      <c r="V99" s="3819"/>
      <c r="W99" s="3820"/>
      <c r="Y99" s="3817"/>
      <c r="Z99" s="3821" t="str">
        <f t="array" ref="Z99">IFERROR(VLOOKUP(Y97,Dex!$B$3:$H1361,5,FALSE),"")</f>
        <v/>
      </c>
      <c r="AA99" s="3822" t="str">
        <f t="array" ref="AA99">IFERROR(VLOOKUP(Y97,Dex!$B$3:$H1361,7,FALSE),"")</f>
        <v/>
      </c>
      <c r="AB99" s="3820"/>
      <c r="AC99" s="3807"/>
      <c r="AD99" s="3798"/>
      <c r="AE99" s="3799"/>
      <c r="AF99" s="3799"/>
      <c r="AG99" s="3800"/>
      <c r="AH99" s="3791"/>
      <c r="AI99" s="3452"/>
    </row>
    <row r="100" ht="2.25" customHeight="1">
      <c r="A100" s="3446"/>
      <c r="B100" s="3785"/>
      <c r="C100" s="3786"/>
      <c r="D100" s="3787"/>
      <c r="E100" s="3823"/>
      <c r="F100" s="3824"/>
      <c r="G100" s="3824"/>
      <c r="H100" s="3825"/>
      <c r="J100" s="3823"/>
      <c r="K100" s="3824"/>
      <c r="L100" s="3824"/>
      <c r="M100" s="3825"/>
      <c r="O100" s="3823"/>
      <c r="P100" s="3824"/>
      <c r="Q100" s="3824"/>
      <c r="R100" s="3825"/>
      <c r="T100" s="3823"/>
      <c r="U100" s="3824"/>
      <c r="V100" s="3824"/>
      <c r="W100" s="3825"/>
      <c r="Y100" s="3823"/>
      <c r="Z100" s="3824"/>
      <c r="AA100" s="3824"/>
      <c r="AB100" s="3825"/>
      <c r="AC100" s="3807"/>
      <c r="AD100" s="3787"/>
      <c r="AE100" s="3787"/>
      <c r="AF100" s="3787"/>
      <c r="AG100" s="3787"/>
      <c r="AH100" s="3791"/>
      <c r="AI100" s="3452"/>
    </row>
    <row r="101" ht="20.25" customHeight="1">
      <c r="A101" s="3446"/>
      <c r="B101" s="3785"/>
      <c r="C101" s="3786"/>
      <c r="D101" s="3798"/>
      <c r="E101" s="3826" t="s">
        <v>566</v>
      </c>
      <c r="F101" s="3827"/>
      <c r="G101" s="3827"/>
      <c r="H101" s="3828"/>
      <c r="J101" s="3826" t="s">
        <v>565</v>
      </c>
      <c r="K101" s="3827"/>
      <c r="L101" s="3827"/>
      <c r="M101" s="3828"/>
      <c r="O101" s="3826" t="s">
        <v>564</v>
      </c>
      <c r="P101" s="3827"/>
      <c r="Q101" s="3827"/>
      <c r="R101" s="3828"/>
      <c r="T101" s="3826" t="s">
        <v>707</v>
      </c>
      <c r="U101" s="3827"/>
      <c r="V101" s="3827"/>
      <c r="W101" s="3828"/>
      <c r="Y101" s="3826" t="s">
        <v>480</v>
      </c>
      <c r="Z101" s="3827"/>
      <c r="AA101" s="3827"/>
      <c r="AB101" s="3828"/>
      <c r="AC101" s="3807"/>
      <c r="AD101" s="3798"/>
      <c r="AE101" s="3799"/>
      <c r="AF101" s="3799"/>
      <c r="AG101" s="3800"/>
      <c r="AH101" s="3791"/>
      <c r="AI101" s="3452"/>
    </row>
    <row r="102" ht="20.25" customHeight="1">
      <c r="A102" s="3446"/>
      <c r="B102" s="3785"/>
      <c r="C102" s="3829"/>
      <c r="D102" s="3798"/>
      <c r="E102" s="3830" t="s">
        <v>65</v>
      </c>
      <c r="F102" s="3799"/>
      <c r="G102" s="3799"/>
      <c r="H102" s="3831"/>
      <c r="J102" s="3830" t="s">
        <v>567</v>
      </c>
      <c r="K102" s="3799"/>
      <c r="L102" s="3799"/>
      <c r="M102" s="3831"/>
      <c r="O102" s="3830" t="s">
        <v>995</v>
      </c>
      <c r="P102" s="3799"/>
      <c r="Q102" s="3799"/>
      <c r="R102" s="3831"/>
      <c r="T102" s="3830" t="s">
        <v>1391</v>
      </c>
      <c r="U102" s="3799"/>
      <c r="V102" s="3799"/>
      <c r="W102" s="3831"/>
      <c r="Y102" s="3830" t="s">
        <v>1239</v>
      </c>
      <c r="Z102" s="3799"/>
      <c r="AA102" s="3799"/>
      <c r="AB102" s="3831"/>
      <c r="AC102" s="3807"/>
      <c r="AD102" s="3798"/>
      <c r="AE102" s="3799"/>
      <c r="AF102" s="3799"/>
      <c r="AG102" s="3800"/>
      <c r="AH102" s="3791"/>
      <c r="AI102" s="3452"/>
    </row>
    <row r="103" ht="20.25" customHeight="1">
      <c r="A103" s="3446"/>
      <c r="B103" s="3785"/>
      <c r="C103" s="3832"/>
      <c r="D103" s="3798"/>
      <c r="E103" s="3833" t="s">
        <v>489</v>
      </c>
      <c r="F103" s="3789"/>
      <c r="G103" s="3790"/>
      <c r="H103" s="3834" t="str">
        <f>IMAGE("https://raw.githubusercontent.com/msikma/pokesprite/master/items/hold-item/eviolite.png",3)</f>
        <v/>
      </c>
      <c r="J103" s="3833" t="s">
        <v>573</v>
      </c>
      <c r="K103" s="3789"/>
      <c r="L103" s="3790"/>
      <c r="M103" s="3834" t="str">
        <f>IMAGE("https://raw.githubusercontent.com/msikma/pokesprite/master/items/hold-item/focus-sash.png",3)</f>
        <v/>
      </c>
      <c r="O103" s="3833" t="s">
        <v>607</v>
      </c>
      <c r="P103" s="3789"/>
      <c r="Q103" s="3790"/>
      <c r="R103" s="3834" t="str">
        <f>IMAGE("https://raw.githubusercontent.com/msikma/pokesprite/master/items/hold-item/grassy-seed.png",3)</f>
        <v/>
      </c>
      <c r="T103" s="3833" t="s">
        <v>1019</v>
      </c>
      <c r="U103" s="3789"/>
      <c r="V103" s="3790"/>
      <c r="W103" s="3834" t="str">
        <f>IMAGE("https://raw.githubusercontent.com/msikma/pokesprite/master/items/hold-item/miracle-seed.png",3)</f>
        <v/>
      </c>
      <c r="Y103" s="3833" t="s">
        <v>733</v>
      </c>
      <c r="Z103" s="3789"/>
      <c r="AA103" s="3790"/>
      <c r="AB103" s="3834" t="str">
        <f>IMAGE("https://raw.githubusercontent.com/msikma/pokesprite/master/items/hold-item/leftovers.png",3)</f>
        <v/>
      </c>
      <c r="AC103" s="3807"/>
      <c r="AD103" s="3798"/>
      <c r="AE103" s="3799"/>
      <c r="AF103" s="3799"/>
      <c r="AG103" s="3800"/>
      <c r="AH103" s="3791"/>
      <c r="AI103" s="3452"/>
    </row>
    <row r="104" ht="20.25" customHeight="1">
      <c r="A104" s="3446"/>
      <c r="B104" s="3785"/>
      <c r="C104" s="3835"/>
      <c r="D104" s="3798"/>
      <c r="E104" s="3826" t="s">
        <v>777</v>
      </c>
      <c r="F104" s="3827"/>
      <c r="G104" s="3836"/>
      <c r="H104" s="3837" t="str">
        <f>IMAGE("https://raw.githubusercontent.com/msikma/pokesprite/master/misc/types/gen8/normal.png",4,20,20)</f>
        <v/>
      </c>
      <c r="J104" s="3826" t="s">
        <v>510</v>
      </c>
      <c r="K104" s="3827"/>
      <c r="L104" s="3836"/>
      <c r="M104" s="3837" t="str">
        <f>IMAGE("https://raw.githubusercontent.com/msikma/pokesprite/master/misc/types/gen8/grass.png",4,20,20)</f>
        <v/>
      </c>
      <c r="O104" s="3826" t="s">
        <v>170</v>
      </c>
      <c r="P104" s="3827"/>
      <c r="Q104" s="3836"/>
      <c r="R104" s="3837" t="str">
        <f>IMAGE("https://raw.githubusercontent.com/msikma/pokesprite/master/misc/types/gen8/psychic.png",4,20,20)</f>
        <v/>
      </c>
      <c r="T104" s="3826" t="s">
        <v>1392</v>
      </c>
      <c r="U104" s="3827"/>
      <c r="V104" s="3836"/>
      <c r="W104" s="3837" t="str">
        <f>IMAGE("https://raw.githubusercontent.com/msikma/pokesprite/master/misc/types/gen8/grass.png",4,20,20)</f>
        <v/>
      </c>
      <c r="Y104" s="3826" t="s">
        <v>878</v>
      </c>
      <c r="Z104" s="3827"/>
      <c r="AA104" s="3836"/>
      <c r="AB104" s="3837" t="str">
        <f>IMAGE("https://raw.githubusercontent.com/msikma/pokesprite/master/misc/types/gen8/fire.png",4,20,20)</f>
        <v/>
      </c>
      <c r="AC104" s="3807"/>
      <c r="AD104" s="3798"/>
      <c r="AE104" s="3799"/>
      <c r="AF104" s="3799"/>
      <c r="AG104" s="3800"/>
      <c r="AH104" s="3791"/>
      <c r="AI104" s="3452"/>
    </row>
    <row r="105" ht="20.25" customHeight="1">
      <c r="A105" s="3446"/>
      <c r="B105" s="3785"/>
      <c r="C105" s="3786"/>
      <c r="D105" s="3798"/>
      <c r="E105" s="3830" t="s">
        <v>615</v>
      </c>
      <c r="F105" s="3799"/>
      <c r="G105" s="3800"/>
      <c r="H105" s="3838" t="str">
        <f>IMAGE("https://raw.githubusercontent.com/msikma/pokesprite/master/misc/types/gen8/grass.png",4,20,20)</f>
        <v/>
      </c>
      <c r="J105" s="3830" t="s">
        <v>1393</v>
      </c>
      <c r="K105" s="3799"/>
      <c r="L105" s="3800"/>
      <c r="M105" s="3838" t="str">
        <f>IMAGE("https://raw.githubusercontent.com/msikma/pokesprite/master/misc/types/gen8/normal.png",4,20,20)</f>
        <v/>
      </c>
      <c r="O105" s="3830" t="s">
        <v>811</v>
      </c>
      <c r="P105" s="3799"/>
      <c r="Q105" s="3800"/>
      <c r="R105" s="3838" t="str">
        <f>IMAGE("https://raw.githubusercontent.com/msikma/pokesprite/master/misc/types/gen8/flying.png",4,20,20)</f>
        <v/>
      </c>
      <c r="T105" s="3830" t="s">
        <v>1023</v>
      </c>
      <c r="U105" s="3799"/>
      <c r="V105" s="3800"/>
      <c r="W105" s="3838" t="str">
        <f>IMAGE("https://raw.githubusercontent.com/msikma/pokesprite/master/misc/types/gen8/fighting.png",4,20,20)</f>
        <v/>
      </c>
      <c r="Y105" s="3830" t="s">
        <v>501</v>
      </c>
      <c r="Z105" s="3799"/>
      <c r="AA105" s="3800"/>
      <c r="AB105" s="3838" t="str">
        <f t="shared" ref="AB105:AB106" si="3">IMAGE("https://raw.githubusercontent.com/msikma/pokesprite/master/misc/types/gen8/normal.png",4,20,20)</f>
        <v/>
      </c>
      <c r="AC105" s="3807"/>
      <c r="AD105" s="3798"/>
      <c r="AE105" s="3799"/>
      <c r="AF105" s="3799"/>
      <c r="AG105" s="3800"/>
      <c r="AH105" s="3791"/>
      <c r="AI105" s="3452"/>
    </row>
    <row r="106" ht="20.25" customHeight="1">
      <c r="A106" s="3446"/>
      <c r="B106" s="3785"/>
      <c r="C106" s="3786"/>
      <c r="D106" s="3798"/>
      <c r="E106" s="3830" t="s">
        <v>579</v>
      </c>
      <c r="F106" s="3799"/>
      <c r="G106" s="3800"/>
      <c r="H106" s="3838" t="str">
        <f>IMAGE("https://raw.githubusercontent.com/msikma/pokesprite/master/misc/types/gen8/dark.png",4,20,20)</f>
        <v/>
      </c>
      <c r="J106" s="3830" t="s">
        <v>581</v>
      </c>
      <c r="K106" s="3799"/>
      <c r="L106" s="3800"/>
      <c r="M106" s="3838" t="str">
        <f>IMAGE("https://raw.githubusercontent.com/msikma/pokesprite/master/misc/types/gen8/electric.png",4,20,20)</f>
        <v/>
      </c>
      <c r="O106" s="3830" t="s">
        <v>500</v>
      </c>
      <c r="P106" s="3799"/>
      <c r="Q106" s="3800"/>
      <c r="R106" s="3838" t="str">
        <f>IMAGE("https://raw.githubusercontent.com/msikma/pokesprite/master/misc/types/gen8/psychic.png",4,20,20)</f>
        <v/>
      </c>
      <c r="T106" s="3830" t="s">
        <v>588</v>
      </c>
      <c r="U106" s="3799"/>
      <c r="V106" s="3800"/>
      <c r="W106" s="3838" t="str">
        <f>IMAGE("https://raw.githubusercontent.com/msikma/pokesprite/master/misc/types/gen8/rock.png",4,20,20)</f>
        <v/>
      </c>
      <c r="Y106" s="3830" t="s">
        <v>184</v>
      </c>
      <c r="Z106" s="3799"/>
      <c r="AA106" s="3800"/>
      <c r="AB106" s="3838" t="str">
        <f t="shared" si="3"/>
        <v/>
      </c>
      <c r="AC106" s="3807"/>
      <c r="AD106" s="3798"/>
      <c r="AE106" s="3799"/>
      <c r="AF106" s="3799"/>
      <c r="AG106" s="3800"/>
      <c r="AH106" s="3791"/>
      <c r="AI106" s="3452"/>
    </row>
    <row r="107" ht="21.0" customHeight="1">
      <c r="A107" s="3446"/>
      <c r="B107" s="3785"/>
      <c r="C107" s="3786"/>
      <c r="D107" s="3798"/>
      <c r="E107" s="3839" t="s">
        <v>612</v>
      </c>
      <c r="F107" s="3840"/>
      <c r="G107" s="3841"/>
      <c r="H107" s="3842" t="str">
        <f>IMAGE("https://raw.githubusercontent.com/msikma/pokesprite/master/misc/types/gen8/bug.png",4,20,20)</f>
        <v/>
      </c>
      <c r="I107" s="3843"/>
      <c r="J107" s="3839" t="s">
        <v>587</v>
      </c>
      <c r="K107" s="3840"/>
      <c r="L107" s="3841"/>
      <c r="M107" s="3842" t="str">
        <f>IMAGE("https://raw.githubusercontent.com/msikma/pokesprite/master/misc/types/gen8/ice.png",4,20,20)</f>
        <v/>
      </c>
      <c r="N107" s="3843"/>
      <c r="O107" s="3839" t="s">
        <v>551</v>
      </c>
      <c r="P107" s="3840"/>
      <c r="Q107" s="3841"/>
      <c r="R107" s="3842" t="str">
        <f>IMAGE("https://raw.githubusercontent.com/msikma/pokesprite/master/misc/types/gen8/flying.png",4,20,20)</f>
        <v/>
      </c>
      <c r="S107" s="3843"/>
      <c r="T107" s="3839" t="s">
        <v>1394</v>
      </c>
      <c r="U107" s="3840"/>
      <c r="V107" s="3841"/>
      <c r="W107" s="3842" t="str">
        <f>IMAGE("https://raw.githubusercontent.com/msikma/pokesprite/master/misc/types/gen8/normal.png",4,20,20)</f>
        <v/>
      </c>
      <c r="X107" s="3843"/>
      <c r="Y107" s="3839" t="s">
        <v>1242</v>
      </c>
      <c r="Z107" s="3840"/>
      <c r="AA107" s="3841"/>
      <c r="AB107" s="3842" t="str">
        <f>IMAGE("https://raw.githubusercontent.com/msikma/pokesprite/master/misc/types/gen8/dark.png",4,20,20)</f>
        <v/>
      </c>
      <c r="AC107" s="3844"/>
      <c r="AD107" s="3798"/>
      <c r="AE107" s="3799"/>
      <c r="AF107" s="3799"/>
      <c r="AG107" s="3800"/>
      <c r="AH107" s="3791"/>
      <c r="AI107" s="3452"/>
    </row>
    <row r="108" ht="3.0" customHeight="1">
      <c r="A108" s="3524"/>
      <c r="B108" s="3845"/>
      <c r="C108" s="3846"/>
      <c r="D108" s="3847"/>
      <c r="E108" s="3848"/>
      <c r="F108" s="3848"/>
      <c r="G108" s="3848"/>
      <c r="H108" s="3849"/>
      <c r="I108" s="3847"/>
      <c r="J108" s="3850"/>
      <c r="K108" s="3850"/>
      <c r="L108" s="3850"/>
      <c r="M108" s="3849"/>
      <c r="N108" s="3847"/>
      <c r="O108" s="3850"/>
      <c r="P108" s="3850"/>
      <c r="Q108" s="3850"/>
      <c r="R108" s="3849"/>
      <c r="S108" s="3849"/>
      <c r="T108" s="3850"/>
      <c r="U108" s="3850"/>
      <c r="V108" s="3850"/>
      <c r="W108" s="3849"/>
      <c r="X108" s="3847"/>
      <c r="Y108" s="3850"/>
      <c r="Z108" s="3850"/>
      <c r="AA108" s="3850"/>
      <c r="AB108" s="3849"/>
      <c r="AC108" s="3851"/>
      <c r="AD108" s="3851"/>
      <c r="AE108" s="3851"/>
      <c r="AF108" s="3851"/>
      <c r="AG108" s="3851"/>
      <c r="AH108" s="3852"/>
      <c r="AI108" s="3534"/>
    </row>
    <row r="109" ht="16.5" customHeight="1">
      <c r="A109" s="3535"/>
      <c r="B109" s="3853"/>
      <c r="C109" s="3846"/>
      <c r="D109" s="3854"/>
      <c r="E109" s="3855" t="s">
        <v>512</v>
      </c>
      <c r="F109" s="606"/>
      <c r="G109" s="606"/>
      <c r="H109" s="607"/>
      <c r="I109" s="3856"/>
      <c r="J109" s="3855" t="s">
        <v>512</v>
      </c>
      <c r="K109" s="606"/>
      <c r="L109" s="606"/>
      <c r="M109" s="607"/>
      <c r="N109" s="3856"/>
      <c r="O109" s="3855" t="s">
        <v>512</v>
      </c>
      <c r="P109" s="606"/>
      <c r="Q109" s="606"/>
      <c r="R109" s="607"/>
      <c r="S109" s="3856"/>
      <c r="T109" s="3855" t="s">
        <v>512</v>
      </c>
      <c r="U109" s="606"/>
      <c r="V109" s="606"/>
      <c r="W109" s="607"/>
      <c r="X109" s="3857"/>
      <c r="Y109" s="3855" t="s">
        <v>512</v>
      </c>
      <c r="Z109" s="606"/>
      <c r="AA109" s="606"/>
      <c r="AB109" s="607"/>
      <c r="AC109" s="3858"/>
      <c r="AD109" s="3858"/>
      <c r="AE109" s="3858"/>
      <c r="AF109" s="3858"/>
      <c r="AG109" s="3858"/>
      <c r="AH109" s="3859"/>
      <c r="AI109" s="3543"/>
    </row>
    <row r="110" ht="16.5" customHeight="1">
      <c r="A110" s="3535"/>
      <c r="B110" s="3853"/>
      <c r="C110" s="3846"/>
      <c r="D110" s="3854"/>
      <c r="E110" s="3860" t="s">
        <v>513</v>
      </c>
      <c r="F110" s="3861">
        <f t="array" ref="F110">IFERROR(VLOOKUP(E97,Dex!$B$3:$N1361,8,FALSE),"")</f>
        <v>70</v>
      </c>
      <c r="G110" s="3862" t="str">
        <f t="array" ref="G110">IFERROR(VLOOKUP(F110,Dex!$P$22:$Q$276,2,FALSE),"")</f>
        <v/>
      </c>
      <c r="H110" s="3863"/>
      <c r="I110" s="3864"/>
      <c r="J110" s="3860" t="s">
        <v>513</v>
      </c>
      <c r="K110" s="3861">
        <f t="array" ref="K110">IFERROR(VLOOKUP(J97,Dex!$B$3:$N1361,8,FALSE),"")</f>
        <v>40</v>
      </c>
      <c r="L110" s="3862" t="str">
        <f t="array" ref="L110">IFERROR(VLOOKUP(K110,Dex!$P$22:$Q$276,2,FALSE),"")</f>
        <v/>
      </c>
      <c r="M110" s="3863"/>
      <c r="N110" s="3864"/>
      <c r="O110" s="3860" t="s">
        <v>513</v>
      </c>
      <c r="P110" s="3861">
        <f t="array" ref="P110">IFERROR(VLOOKUP(O97,Dex!$B$3:$N1361,8,FALSE),"")</f>
        <v>75</v>
      </c>
      <c r="Q110" s="3862" t="str">
        <f t="array" ref="Q110">IFERROR(VLOOKUP(P110,Dex!$P$22:$Q$276,2,FALSE),"")</f>
        <v/>
      </c>
      <c r="R110" s="3863"/>
      <c r="S110" s="3865"/>
      <c r="T110" s="3860" t="s">
        <v>513</v>
      </c>
      <c r="U110" s="3861">
        <f t="array" ref="U110">IFERROR(VLOOKUP(T97,Dex!$B$3:$N1361,8,FALSE),"")</f>
        <v>66</v>
      </c>
      <c r="V110" s="3862" t="str">
        <f t="array" ref="V110">IFERROR(VLOOKUP(U110,Dex!$P$22:$Q$276,2,FALSE),"")</f>
        <v/>
      </c>
      <c r="W110" s="3863"/>
      <c r="X110" s="3858"/>
      <c r="Y110" s="3860" t="s">
        <v>513</v>
      </c>
      <c r="Z110" s="3861">
        <f t="array" ref="Z110">IFERROR(VLOOKUP(Y97,Dex!$B$3:$N1361,8,FALSE),"")</f>
        <v>50</v>
      </c>
      <c r="AA110" s="3862" t="str">
        <f t="array" ref="AA110">IFERROR(VLOOKUP(Z110,Dex!$P$22:$Q$276,2,FALSE),"")</f>
        <v/>
      </c>
      <c r="AB110" s="3863"/>
      <c r="AC110" s="3858"/>
      <c r="AD110" s="3858"/>
      <c r="AE110" s="3858"/>
      <c r="AF110" s="3858"/>
      <c r="AG110" s="3858"/>
      <c r="AH110" s="3859"/>
      <c r="AI110" s="3543"/>
    </row>
    <row r="111" ht="16.5" customHeight="1">
      <c r="A111" s="3535"/>
      <c r="B111" s="3853"/>
      <c r="C111" s="3846"/>
      <c r="D111" s="3854"/>
      <c r="E111" s="3866" t="s">
        <v>514</v>
      </c>
      <c r="F111" s="3867">
        <f t="array" ref="F111">IFERROR(VLOOKUP(E97,Dex!$B$3:$N1361,9,FALSE),"")</f>
        <v>85</v>
      </c>
      <c r="G111" s="3868" t="str">
        <f t="array" ref="G111">IFERROR(VLOOKUP(F111,Dex!$P$22:$Q$276,2,FALSE),"")</f>
        <v/>
      </c>
      <c r="H111" s="3869"/>
      <c r="I111" s="3870"/>
      <c r="J111" s="3866" t="s">
        <v>514</v>
      </c>
      <c r="K111" s="3867">
        <f t="array" ref="K111">IFERROR(VLOOKUP(J97,Dex!$B$3:$N1361,9,FALSE),"")</f>
        <v>30</v>
      </c>
      <c r="L111" s="3868" t="str">
        <f t="array" ref="L111">IFERROR(VLOOKUP(K111,Dex!$P$22:$Q$276,2,FALSE),"")</f>
        <v/>
      </c>
      <c r="M111" s="3869"/>
      <c r="N111" s="3864"/>
      <c r="O111" s="3866" t="s">
        <v>514</v>
      </c>
      <c r="P111" s="3867">
        <f t="array" ref="P111">IFERROR(VLOOKUP(O97,Dex!$B$3:$N1361,9,FALSE),"")</f>
        <v>57</v>
      </c>
      <c r="Q111" s="3868" t="str">
        <f t="array" ref="Q111">IFERROR(VLOOKUP(P111,Dex!$P$22:$Q$276,2,FALSE),"")</f>
        <v/>
      </c>
      <c r="R111" s="3869"/>
      <c r="S111" s="3865"/>
      <c r="T111" s="3866" t="s">
        <v>514</v>
      </c>
      <c r="U111" s="3867">
        <f t="array" ref="U111">IFERROR(VLOOKUP(T97,Dex!$B$3:$N1361,9,FALSE),"")</f>
        <v>65</v>
      </c>
      <c r="V111" s="3868" t="str">
        <f t="array" ref="V111">IFERROR(VLOOKUP(U111,Dex!$P$22:$Q$276,2,FALSE),"")</f>
        <v/>
      </c>
      <c r="W111" s="3869"/>
      <c r="X111" s="3858"/>
      <c r="Y111" s="3866" t="s">
        <v>514</v>
      </c>
      <c r="Z111" s="3867">
        <f t="array" ref="Z111">IFERROR(VLOOKUP(Y97,Dex!$B$3:$N1361,9,FALSE),"")</f>
        <v>75</v>
      </c>
      <c r="AA111" s="3868" t="str">
        <f t="array" ref="AA111">IFERROR(VLOOKUP(Z111,Dex!$P$22:$Q$276,2,FALSE),"")</f>
        <v/>
      </c>
      <c r="AB111" s="3869"/>
      <c r="AC111" s="3858"/>
      <c r="AD111" s="3858"/>
      <c r="AE111" s="3858"/>
      <c r="AF111" s="3858"/>
      <c r="AG111" s="3858"/>
      <c r="AH111" s="3859"/>
      <c r="AI111" s="3543"/>
    </row>
    <row r="112" ht="16.5" customHeight="1">
      <c r="A112" s="3535"/>
      <c r="B112" s="3853"/>
      <c r="C112" s="3846"/>
      <c r="D112" s="3854"/>
      <c r="E112" s="3866" t="s">
        <v>515</v>
      </c>
      <c r="F112" s="3867">
        <f t="array" ref="F112">IFERROR(VLOOKUP(E97,Dex!$B$3:$N1361,10,FALSE),"")</f>
        <v>70</v>
      </c>
      <c r="G112" s="3868" t="str">
        <f t="array" ref="G112">IFERROR(VLOOKUP(F112,Dex!$P$22:$Q$276,2,FALSE),"")</f>
        <v/>
      </c>
      <c r="H112" s="3869"/>
      <c r="I112" s="3864"/>
      <c r="J112" s="3866" t="s">
        <v>515</v>
      </c>
      <c r="K112" s="3867">
        <f t="array" ref="K112">IFERROR(VLOOKUP(J97,Dex!$B$3:$N1361,10,FALSE),"")</f>
        <v>50</v>
      </c>
      <c r="L112" s="3868" t="str">
        <f t="array" ref="L112">IFERROR(VLOOKUP(K112,Dex!$P$22:$Q$276,2,FALSE),"")</f>
        <v/>
      </c>
      <c r="M112" s="3869"/>
      <c r="N112" s="3864"/>
      <c r="O112" s="3866" t="s">
        <v>515</v>
      </c>
      <c r="P112" s="3867">
        <f t="array" ref="P112">IFERROR(VLOOKUP(O97,Dex!$B$3:$N1361,10,FALSE),"")</f>
        <v>65</v>
      </c>
      <c r="Q112" s="3868" t="str">
        <f t="array" ref="Q112">IFERROR(VLOOKUP(P112,Dex!$P$22:$Q$276,2,FALSE),"")</f>
        <v/>
      </c>
      <c r="R112" s="3869"/>
      <c r="S112" s="3865"/>
      <c r="T112" s="3866" t="s">
        <v>515</v>
      </c>
      <c r="U112" s="3867">
        <f t="array" ref="U112">IFERROR(VLOOKUP(T97,Dex!$B$3:$N1361,10,FALSE),"")</f>
        <v>48</v>
      </c>
      <c r="V112" s="3868" t="str">
        <f t="array" ref="V112">IFERROR(VLOOKUP(U112,Dex!$P$22:$Q$276,2,FALSE),"")</f>
        <v/>
      </c>
      <c r="W112" s="3869"/>
      <c r="X112" s="3858"/>
      <c r="Y112" s="3866" t="s">
        <v>515</v>
      </c>
      <c r="Z112" s="3867">
        <f t="array" ref="Z112">IFERROR(VLOOKUP(Y97,Dex!$B$3:$N1361,10,FALSE),"")</f>
        <v>75</v>
      </c>
      <c r="AA112" s="3868" t="str">
        <f t="array" ref="AA112">IFERROR(VLOOKUP(Z112,Dex!$P$22:$Q$276,2,FALSE),"")</f>
        <v/>
      </c>
      <c r="AB112" s="3869"/>
      <c r="AC112" s="3858"/>
      <c r="AD112" s="3858"/>
      <c r="AE112" s="3858"/>
      <c r="AF112" s="3858"/>
      <c r="AG112" s="3858"/>
      <c r="AH112" s="3859"/>
      <c r="AI112" s="3543"/>
    </row>
    <row r="113" ht="16.5" customHeight="1">
      <c r="A113" s="3535"/>
      <c r="B113" s="3853"/>
      <c r="C113" s="3846"/>
      <c r="D113" s="3854"/>
      <c r="E113" s="3866" t="s">
        <v>516</v>
      </c>
      <c r="F113" s="3867">
        <f t="array" ref="F113">IFERROR(VLOOKUP(E97,Dex!$B$3:$N1361,11,FALSE),"")</f>
        <v>55</v>
      </c>
      <c r="G113" s="3868" t="str">
        <f t="array" ref="G113">IFERROR(VLOOKUP(F113,Dex!$P$22:$Q$276,2,FALSE),"")</f>
        <v/>
      </c>
      <c r="H113" s="3869"/>
      <c r="I113" s="3864"/>
      <c r="J113" s="3866" t="s">
        <v>516</v>
      </c>
      <c r="K113" s="3867">
        <f t="array" ref="K113">IFERROR(VLOOKUP(J97,Dex!$B$3:$N1361,11,FALSE),"")</f>
        <v>55</v>
      </c>
      <c r="L113" s="3868" t="str">
        <f t="array" ref="L113">IFERROR(VLOOKUP(K113,Dex!$P$22:$Q$276,2,FALSE),"")</f>
        <v/>
      </c>
      <c r="M113" s="3869"/>
      <c r="N113" s="3864"/>
      <c r="O113" s="3866" t="s">
        <v>516</v>
      </c>
      <c r="P113" s="3867">
        <f t="array" ref="P113">IFERROR(VLOOKUP(O97,Dex!$B$3:$N1361,11,FALSE),"")</f>
        <v>77</v>
      </c>
      <c r="Q113" s="3868" t="str">
        <f t="array" ref="Q113">IFERROR(VLOOKUP(P113,Dex!$P$22:$Q$276,2,FALSE),"")</f>
        <v/>
      </c>
      <c r="R113" s="3869"/>
      <c r="S113" s="3865"/>
      <c r="T113" s="3866" t="s">
        <v>516</v>
      </c>
      <c r="U113" s="3867">
        <f t="array" ref="U113">IFERROR(VLOOKUP(T97,Dex!$B$3:$N1361,11,FALSE),"")</f>
        <v>62</v>
      </c>
      <c r="V113" s="3868" t="str">
        <f t="array" ref="V113">IFERROR(VLOOKUP(U113,Dex!$P$22:$Q$276,2,FALSE),"")</f>
        <v/>
      </c>
      <c r="W113" s="3869"/>
      <c r="X113" s="3858"/>
      <c r="Y113" s="3866" t="s">
        <v>516</v>
      </c>
      <c r="Z113" s="3867">
        <f t="array" ref="Z113">IFERROR(VLOOKUP(Y97,Dex!$B$3:$N1361,11,FALSE),"")</f>
        <v>65</v>
      </c>
      <c r="AA113" s="3868" t="str">
        <f t="array" ref="AA113">IFERROR(VLOOKUP(Z113,Dex!$P$22:$Q$276,2,FALSE),"")</f>
        <v/>
      </c>
      <c r="AB113" s="3869"/>
      <c r="AC113" s="3858"/>
      <c r="AD113" s="3858"/>
      <c r="AE113" s="3858"/>
      <c r="AF113" s="3858"/>
      <c r="AG113" s="3858"/>
      <c r="AH113" s="3859"/>
      <c r="AI113" s="3543"/>
    </row>
    <row r="114" ht="16.5" customHeight="1">
      <c r="A114" s="3535"/>
      <c r="B114" s="3853"/>
      <c r="C114" s="3846"/>
      <c r="D114" s="3854"/>
      <c r="E114" s="3866" t="s">
        <v>517</v>
      </c>
      <c r="F114" s="3867">
        <f t="array" ref="F114">IFERROR(VLOOKUP(E97,Dex!$B$3:$N1361,12,FALSE),"")</f>
        <v>60</v>
      </c>
      <c r="G114" s="3868" t="str">
        <f t="array" ref="G114">IFERROR(VLOOKUP(F114,Dex!$P$22:$Q$276,2,FALSE),"")</f>
        <v/>
      </c>
      <c r="H114" s="3869"/>
      <c r="I114" s="3864"/>
      <c r="J114" s="3866" t="s">
        <v>517</v>
      </c>
      <c r="K114" s="3867">
        <f t="array" ref="K114">IFERROR(VLOOKUP(J97,Dex!$B$3:$N1361,12,FALSE),"")</f>
        <v>55</v>
      </c>
      <c r="L114" s="3868" t="str">
        <f t="array" ref="L114">IFERROR(VLOOKUP(K114,Dex!$P$22:$Q$276,2,FALSE),"")</f>
        <v/>
      </c>
      <c r="M114" s="3869"/>
      <c r="N114" s="3864"/>
      <c r="O114" s="3866" t="s">
        <v>517</v>
      </c>
      <c r="P114" s="3867">
        <f t="array" ref="P114">IFERROR(VLOOKUP(O97,Dex!$B$3:$N1361,12,FALSE),"")</f>
        <v>55</v>
      </c>
      <c r="Q114" s="3868" t="str">
        <f t="array" ref="Q114">IFERROR(VLOOKUP(P114,Dex!$P$22:$Q$276,2,FALSE),"")</f>
        <v/>
      </c>
      <c r="R114" s="3869"/>
      <c r="S114" s="3865"/>
      <c r="T114" s="3866" t="s">
        <v>517</v>
      </c>
      <c r="U114" s="3867">
        <f t="array" ref="U114">IFERROR(VLOOKUP(T97,Dex!$B$3:$N1361,12,FALSE),"")</f>
        <v>57</v>
      </c>
      <c r="V114" s="3868" t="str">
        <f t="array" ref="V114">IFERROR(VLOOKUP(U114,Dex!$P$22:$Q$276,2,FALSE),"")</f>
        <v/>
      </c>
      <c r="W114" s="3869"/>
      <c r="X114" s="3858"/>
      <c r="Y114" s="3866" t="s">
        <v>517</v>
      </c>
      <c r="Z114" s="3867">
        <f t="array" ref="Z114">IFERROR(VLOOKUP(Y97,Dex!$B$3:$N1361,12,FALSE),"")</f>
        <v>65</v>
      </c>
      <c r="AA114" s="3868" t="str">
        <f t="array" ref="AA114">IFERROR(VLOOKUP(Z114,Dex!$P$22:$Q$276,2,FALSE),"")</f>
        <v/>
      </c>
      <c r="AB114" s="3869"/>
      <c r="AC114" s="3858"/>
      <c r="AD114" s="3858"/>
      <c r="AE114" s="3858"/>
      <c r="AF114" s="3858"/>
      <c r="AG114" s="3858"/>
      <c r="AH114" s="3859"/>
      <c r="AI114" s="3543"/>
    </row>
    <row r="115" ht="16.5" customHeight="1">
      <c r="A115" s="3535"/>
      <c r="B115" s="3853"/>
      <c r="C115" s="1426" t="s">
        <v>745</v>
      </c>
      <c r="D115" s="3854"/>
      <c r="E115" s="3871" t="s">
        <v>518</v>
      </c>
      <c r="F115" s="3872">
        <f t="array" ref="F115">IFERROR(VLOOKUP(E97,Dex!$B$3:$N1361,13,FALSE),"")</f>
        <v>80</v>
      </c>
      <c r="G115" s="3868" t="str">
        <f t="array" ref="G115">IFERROR(VLOOKUP(F115,Dex!$P$22:$Q$276,2,FALSE),"")</f>
        <v/>
      </c>
      <c r="H115" s="3869"/>
      <c r="I115" s="3864"/>
      <c r="J115" s="3871" t="s">
        <v>518</v>
      </c>
      <c r="K115" s="3872">
        <f t="array" ref="K115">IFERROR(VLOOKUP(J97,Dex!$B$3:$N1361,13,FALSE),"")</f>
        <v>100</v>
      </c>
      <c r="L115" s="3868" t="str">
        <f t="array" ref="L115">IFERROR(VLOOKUP(K115,Dex!$P$22:$Q$276,2,FALSE),"")</f>
        <v/>
      </c>
      <c r="M115" s="3869"/>
      <c r="N115" s="3864"/>
      <c r="O115" s="3871" t="s">
        <v>518</v>
      </c>
      <c r="P115" s="3872">
        <f t="array" ref="P115">IFERROR(VLOOKUP(O97,Dex!$B$3:$N1361,13,FALSE),"")</f>
        <v>114</v>
      </c>
      <c r="Q115" s="3868" t="str">
        <f t="array" ref="Q115">IFERROR(VLOOKUP(P115,Dex!$P$22:$Q$276,2,FALSE),"")</f>
        <v/>
      </c>
      <c r="R115" s="3869"/>
      <c r="S115" s="3865"/>
      <c r="T115" s="3871" t="s">
        <v>518</v>
      </c>
      <c r="U115" s="3872">
        <f t="array" ref="U115">IFERROR(VLOOKUP(T97,Dex!$B$3:$N1361,13,FALSE),"")</f>
        <v>52</v>
      </c>
      <c r="V115" s="3868" t="str">
        <f t="array" ref="V115">IFERROR(VLOOKUP(U115,Dex!$P$22:$Q$276,2,FALSE),"")</f>
        <v/>
      </c>
      <c r="W115" s="3869"/>
      <c r="X115" s="3858"/>
      <c r="Y115" s="3871" t="s">
        <v>518</v>
      </c>
      <c r="Z115" s="3872">
        <f t="array" ref="Z115">IFERROR(VLOOKUP(Y97,Dex!$B$3:$N1361,13,FALSE),"")</f>
        <v>50</v>
      </c>
      <c r="AA115" s="3868" t="str">
        <f t="array" ref="AA115">IFERROR(VLOOKUP(Z115,Dex!$P$22:$Q$276,2,FALSE),"")</f>
        <v/>
      </c>
      <c r="AB115" s="3869"/>
      <c r="AC115" s="3858"/>
      <c r="AD115" s="3858"/>
      <c r="AE115" s="3858"/>
      <c r="AF115" s="3858"/>
      <c r="AG115" s="3858"/>
      <c r="AH115" s="3859"/>
      <c r="AI115" s="3543"/>
    </row>
    <row r="116" ht="16.5" customHeight="1">
      <c r="A116" s="3535"/>
      <c r="B116" s="3853"/>
      <c r="C116" s="1427" t="s">
        <v>1155</v>
      </c>
      <c r="D116" s="3854"/>
      <c r="E116" s="3873" t="s">
        <v>519</v>
      </c>
      <c r="F116" s="630"/>
      <c r="G116" s="631"/>
      <c r="H116" s="632">
        <f>ROUNDDOWN((ROUNDDOWN(((((2*F115+31)*21)/100+5)),0))*1,0)</f>
        <v>45</v>
      </c>
      <c r="I116" s="3856"/>
      <c r="J116" s="3873" t="s">
        <v>519</v>
      </c>
      <c r="K116" s="630"/>
      <c r="L116" s="631"/>
      <c r="M116" s="632">
        <f>ROUNDDOWN((ROUNDDOWN(((((2*K115+31)*22)/100+5)),0))*1.1,0)</f>
        <v>60</v>
      </c>
      <c r="N116" s="3856"/>
      <c r="O116" s="3873" t="s">
        <v>519</v>
      </c>
      <c r="P116" s="630"/>
      <c r="Q116" s="631"/>
      <c r="R116" s="632">
        <f>ROUNDDOWN((ROUNDDOWN(((((2*P115+31)*22)/100+5)),0))*1.1,0)</f>
        <v>67</v>
      </c>
      <c r="S116" s="3874"/>
      <c r="T116" s="3873" t="s">
        <v>519</v>
      </c>
      <c r="U116" s="630"/>
      <c r="V116" s="631"/>
      <c r="W116" s="632">
        <f>ROUNDDOWN((ROUNDDOWN(((((2*U115+31)*22)/100+5)),0))*1,0)</f>
        <v>34</v>
      </c>
      <c r="X116" s="3857"/>
      <c r="Y116" s="3873" t="s">
        <v>519</v>
      </c>
      <c r="Z116" s="630"/>
      <c r="AA116" s="631"/>
      <c r="AB116" s="632">
        <f>ROUNDDOWN((ROUNDDOWN(((((2*Z115+31)*22)/100+5)),0))*1,0)</f>
        <v>33</v>
      </c>
      <c r="AC116" s="3858"/>
      <c r="AD116" s="3858"/>
      <c r="AE116" s="3858"/>
      <c r="AF116" s="3858"/>
      <c r="AG116" s="3858"/>
      <c r="AH116" s="3859"/>
      <c r="AI116" s="3543"/>
    </row>
    <row r="117" ht="15.75" customHeight="1">
      <c r="A117" s="3446"/>
      <c r="B117" s="3875"/>
      <c r="C117" s="3876"/>
      <c r="D117" s="3877"/>
      <c r="E117" s="3877"/>
      <c r="F117" s="3877"/>
      <c r="G117" s="3877"/>
      <c r="H117" s="3877"/>
      <c r="I117" s="3877"/>
      <c r="J117" s="3878"/>
      <c r="K117" s="3878"/>
      <c r="L117" s="3878"/>
      <c r="M117" s="3877"/>
      <c r="N117" s="3877"/>
      <c r="O117" s="3878"/>
      <c r="P117" s="3878"/>
      <c r="Q117" s="3878"/>
      <c r="R117" s="3877"/>
      <c r="S117" s="3877"/>
      <c r="T117" s="3878"/>
      <c r="U117" s="3878"/>
      <c r="V117" s="3878"/>
      <c r="W117" s="3877"/>
      <c r="X117" s="3877"/>
      <c r="Y117" s="3878"/>
      <c r="Z117" s="3878"/>
      <c r="AA117" s="3878"/>
      <c r="AB117" s="3877"/>
      <c r="AC117" s="3877"/>
      <c r="AD117" s="3877"/>
      <c r="AE117" s="3877"/>
      <c r="AF117" s="3877"/>
      <c r="AG117" s="3877"/>
      <c r="AH117" s="3879"/>
      <c r="AI117" s="3452"/>
    </row>
    <row r="118" ht="15.0" customHeight="1">
      <c r="A118" s="3446"/>
      <c r="B118" s="3674"/>
      <c r="C118" s="3675"/>
      <c r="D118" s="3676"/>
      <c r="E118" s="3676"/>
      <c r="F118" s="3676"/>
      <c r="G118" s="3676"/>
      <c r="H118" s="3676"/>
      <c r="I118" s="3676"/>
      <c r="J118" s="3676"/>
      <c r="K118" s="3676"/>
      <c r="L118" s="3676"/>
      <c r="M118" s="3676"/>
      <c r="N118" s="3676"/>
      <c r="O118" s="3676"/>
      <c r="P118" s="3676"/>
      <c r="Q118" s="3676"/>
      <c r="R118" s="3676"/>
      <c r="S118" s="3676"/>
      <c r="T118" s="3676"/>
      <c r="U118" s="3676"/>
      <c r="V118" s="3676"/>
      <c r="W118" s="3676"/>
      <c r="X118" s="3676"/>
      <c r="Y118" s="3676"/>
      <c r="Z118" s="3676"/>
      <c r="AA118" s="3676"/>
      <c r="AB118" s="3676"/>
      <c r="AC118" s="3676"/>
      <c r="AD118" s="3676"/>
      <c r="AE118" s="3676"/>
      <c r="AF118" s="3676"/>
      <c r="AG118" s="3676"/>
      <c r="AH118" s="3677"/>
      <c r="AI118" s="3452"/>
    </row>
    <row r="119">
      <c r="A119" s="3446"/>
      <c r="B119" s="3678"/>
      <c r="C119" s="3717"/>
      <c r="D119" s="3710"/>
      <c r="E119" s="3880" t="s">
        <v>1395</v>
      </c>
      <c r="F119" s="3685"/>
      <c r="G119" s="3685"/>
      <c r="H119" s="3685"/>
      <c r="I119" s="3685"/>
      <c r="J119" s="3685"/>
      <c r="K119" s="3685"/>
      <c r="L119" s="3685"/>
      <c r="M119" s="3685"/>
      <c r="N119" s="3685"/>
      <c r="O119" s="3685"/>
      <c r="P119" s="3685"/>
      <c r="Q119" s="3685"/>
      <c r="R119" s="3685"/>
      <c r="S119" s="3685"/>
      <c r="T119" s="3685"/>
      <c r="U119" s="3685"/>
      <c r="V119" s="3685"/>
      <c r="W119" s="3685"/>
      <c r="X119" s="3685"/>
      <c r="Y119" s="3685"/>
      <c r="Z119" s="3685"/>
      <c r="AA119" s="3685"/>
      <c r="AB119" s="3685"/>
      <c r="AC119" s="3685"/>
      <c r="AD119" s="3685"/>
      <c r="AE119" s="3685"/>
      <c r="AF119" s="3685"/>
      <c r="AG119" s="3686"/>
      <c r="AH119" s="3688"/>
      <c r="AI119" s="3452"/>
    </row>
    <row r="120" ht="96.75" customHeight="1">
      <c r="A120" s="3446"/>
      <c r="B120" s="3678"/>
      <c r="C120" s="3679" t="str">
        <f>IMAGE("https://i.ibb.co/cw6n81f/Bug-Catcher.png")</f>
        <v/>
      </c>
      <c r="D120" s="3881"/>
      <c r="E120" s="3681" t="str">
        <f t="array" ref="E120">IFERROR(VLOOKUP(E121,Dex!$B$3:$G1361,3,FALSE),"")</f>
        <v/>
      </c>
      <c r="F120" s="1945"/>
      <c r="G120" s="1945"/>
      <c r="H120" s="1946"/>
      <c r="I120" s="3882"/>
      <c r="J120" s="3681" t="str">
        <f t="array" ref="J120">IFERROR(VLOOKUP(J121,Dex!$B$3:$G1361,3,FALSE),"")</f>
        <v/>
      </c>
      <c r="K120" s="1945"/>
      <c r="L120" s="1945"/>
      <c r="M120" s="1946"/>
      <c r="N120" s="3882"/>
      <c r="O120" s="3681" t="str">
        <f t="array" ref="O120">IFERROR(VLOOKUP(O121,Dex!$B$3:$G1361,3,FALSE),"")</f>
        <v/>
      </c>
      <c r="P120" s="1945"/>
      <c r="Q120" s="1945"/>
      <c r="R120" s="1946"/>
      <c r="S120" s="3687"/>
      <c r="T120" s="3684"/>
      <c r="U120" s="3685"/>
      <c r="V120" s="3685"/>
      <c r="W120" s="3686"/>
      <c r="X120" s="3687"/>
      <c r="Y120" s="3684"/>
      <c r="Z120" s="3685"/>
      <c r="AA120" s="3685"/>
      <c r="AB120" s="3686"/>
      <c r="AC120" s="3687"/>
      <c r="AD120" s="3684"/>
      <c r="AE120" s="3685"/>
      <c r="AF120" s="3685"/>
      <c r="AG120" s="3686"/>
      <c r="AH120" s="3688"/>
      <c r="AI120" s="3452"/>
    </row>
    <row r="121" ht="18.75" customHeight="1">
      <c r="A121" s="3689"/>
      <c r="B121" s="3690"/>
      <c r="C121" s="3691" t="s">
        <v>1396</v>
      </c>
      <c r="D121" s="3883"/>
      <c r="E121" s="3693" t="s">
        <v>250</v>
      </c>
      <c r="F121" s="3694"/>
      <c r="G121" s="3694"/>
      <c r="H121" s="3695"/>
      <c r="I121" s="3698"/>
      <c r="J121" s="3693" t="s">
        <v>136</v>
      </c>
      <c r="K121" s="3694"/>
      <c r="L121" s="3694"/>
      <c r="M121" s="3695"/>
      <c r="N121" s="3698"/>
      <c r="O121" s="3693" t="s">
        <v>1397</v>
      </c>
      <c r="P121" s="3694"/>
      <c r="Q121" s="3694"/>
      <c r="R121" s="3695"/>
      <c r="S121" s="3698"/>
      <c r="T121" s="3697"/>
      <c r="U121" s="3685"/>
      <c r="V121" s="3685"/>
      <c r="W121" s="3686"/>
      <c r="X121" s="3698"/>
      <c r="Y121" s="3697"/>
      <c r="Z121" s="3685"/>
      <c r="AA121" s="3685"/>
      <c r="AB121" s="3686"/>
      <c r="AC121" s="3698"/>
      <c r="AD121" s="3697"/>
      <c r="AE121" s="3685"/>
      <c r="AF121" s="3685"/>
      <c r="AG121" s="3686"/>
      <c r="AH121" s="3699"/>
      <c r="AI121" s="3700"/>
    </row>
    <row r="122">
      <c r="A122" s="3701"/>
      <c r="B122" s="3702"/>
      <c r="C122" s="1638"/>
      <c r="D122" s="3884"/>
      <c r="E122" s="3704" t="s">
        <v>797</v>
      </c>
      <c r="F122" s="3705"/>
      <c r="G122" s="3705"/>
      <c r="H122" s="3706"/>
      <c r="I122" s="3698"/>
      <c r="J122" s="3704" t="s">
        <v>796</v>
      </c>
      <c r="K122" s="3705"/>
      <c r="L122" s="3705"/>
      <c r="M122" s="3706"/>
      <c r="N122" s="3698"/>
      <c r="O122" s="3704" t="s">
        <v>796</v>
      </c>
      <c r="P122" s="3705"/>
      <c r="Q122" s="3705"/>
      <c r="R122" s="3706"/>
      <c r="S122" s="3698"/>
      <c r="T122" s="3707"/>
      <c r="U122" s="3685"/>
      <c r="V122" s="3685"/>
      <c r="W122" s="3686"/>
      <c r="X122" s="3698"/>
      <c r="Y122" s="3707"/>
      <c r="Z122" s="3685"/>
      <c r="AA122" s="3685"/>
      <c r="AB122" s="3686"/>
      <c r="AC122" s="3698"/>
      <c r="AD122" s="3707"/>
      <c r="AE122" s="3685"/>
      <c r="AF122" s="3685"/>
      <c r="AG122" s="3686"/>
      <c r="AH122" s="3708"/>
      <c r="AI122" s="3709"/>
    </row>
    <row r="123" ht="25.5" customHeight="1">
      <c r="A123" s="3446"/>
      <c r="B123" s="3678"/>
      <c r="C123" s="1646"/>
      <c r="D123" s="3710"/>
      <c r="E123" s="3711"/>
      <c r="F123" s="3715" t="str">
        <f t="array" ref="F123">IFERROR(VLOOKUP(E121,Dex!$B$3:$H1361,5,FALSE),"")</f>
        <v/>
      </c>
      <c r="G123" s="3716" t="str">
        <f t="array" ref="G123">IFERROR(VLOOKUP(E121,Dex!$B$3:$H1361,7,FALSE),"")</f>
        <v/>
      </c>
      <c r="H123" s="3714"/>
      <c r="I123" s="3698"/>
      <c r="J123" s="3711"/>
      <c r="K123" s="3715" t="str">
        <f t="array" ref="K123">IFERROR(VLOOKUP(J121,Dex!$B$3:$H1361,5,FALSE),"")</f>
        <v/>
      </c>
      <c r="L123" s="3716" t="str">
        <f t="array" ref="L123">IFERROR(VLOOKUP(J121,Dex!$B$3:$H1361,7,FALSE),"")</f>
        <v/>
      </c>
      <c r="M123" s="3714"/>
      <c r="N123" s="3698"/>
      <c r="O123" s="3711"/>
      <c r="P123" s="3715" t="str">
        <f t="array" ref="P123">IFERROR(VLOOKUP(O121,Dex!$B$3:$H1361,5,FALSE),"")</f>
        <v/>
      </c>
      <c r="Q123" s="3716" t="str">
        <f t="array" ref="Q123">IFERROR(VLOOKUP(O121,Dex!$B$3:$H1361,7,FALSE),"")</f>
        <v/>
      </c>
      <c r="R123" s="3714"/>
      <c r="S123" s="3698"/>
      <c r="T123" s="3684"/>
      <c r="U123" s="3685"/>
      <c r="V123" s="3685"/>
      <c r="W123" s="3686"/>
      <c r="X123" s="3698"/>
      <c r="Y123" s="3684"/>
      <c r="Z123" s="3685"/>
      <c r="AA123" s="3685"/>
      <c r="AB123" s="3686"/>
      <c r="AC123" s="3698"/>
      <c r="AD123" s="3684"/>
      <c r="AE123" s="3685"/>
      <c r="AF123" s="3685"/>
      <c r="AG123" s="3686"/>
      <c r="AH123" s="3688"/>
      <c r="AI123" s="3452"/>
    </row>
    <row r="124" ht="2.25" customHeight="1">
      <c r="A124" s="3446"/>
      <c r="B124" s="3678"/>
      <c r="C124" s="3717"/>
      <c r="D124" s="3710"/>
      <c r="E124" s="3718"/>
      <c r="F124" s="3719"/>
      <c r="G124" s="3719"/>
      <c r="H124" s="3720"/>
      <c r="I124" s="3698"/>
      <c r="J124" s="3718"/>
      <c r="K124" s="3719"/>
      <c r="L124" s="3719"/>
      <c r="M124" s="3720"/>
      <c r="N124" s="3698"/>
      <c r="O124" s="3718"/>
      <c r="P124" s="3719"/>
      <c r="Q124" s="3719"/>
      <c r="R124" s="3720"/>
      <c r="S124" s="3698"/>
      <c r="T124" s="3710"/>
      <c r="U124" s="3710"/>
      <c r="V124" s="3710"/>
      <c r="W124" s="3710"/>
      <c r="X124" s="3698"/>
      <c r="Y124" s="3710"/>
      <c r="Z124" s="3710"/>
      <c r="AA124" s="3710"/>
      <c r="AB124" s="3710"/>
      <c r="AC124" s="3698"/>
      <c r="AD124" s="3710"/>
      <c r="AE124" s="3710"/>
      <c r="AF124" s="3710"/>
      <c r="AG124" s="3710"/>
      <c r="AH124" s="3688"/>
      <c r="AI124" s="3452"/>
    </row>
    <row r="125" ht="20.25" customHeight="1">
      <c r="A125" s="3446"/>
      <c r="B125" s="3678"/>
      <c r="C125" s="3717"/>
      <c r="D125" s="3710"/>
      <c r="E125" s="3721" t="s">
        <v>481</v>
      </c>
      <c r="F125" s="3722"/>
      <c r="G125" s="3722"/>
      <c r="H125" s="3723"/>
      <c r="I125" s="3698"/>
      <c r="J125" s="3721" t="s">
        <v>564</v>
      </c>
      <c r="K125" s="3722"/>
      <c r="L125" s="3722"/>
      <c r="M125" s="3723"/>
      <c r="N125" s="3698"/>
      <c r="O125" s="3721" t="s">
        <v>480</v>
      </c>
      <c r="P125" s="3722"/>
      <c r="Q125" s="3722"/>
      <c r="R125" s="3723"/>
      <c r="S125" s="3698"/>
      <c r="T125" s="3684"/>
      <c r="U125" s="3685"/>
      <c r="V125" s="3685"/>
      <c r="W125" s="3686"/>
      <c r="X125" s="3698"/>
      <c r="Y125" s="3684"/>
      <c r="Z125" s="3685"/>
      <c r="AA125" s="3685"/>
      <c r="AB125" s="3686"/>
      <c r="AC125" s="3698"/>
      <c r="AD125" s="3684"/>
      <c r="AE125" s="3685"/>
      <c r="AF125" s="3685"/>
      <c r="AG125" s="3686"/>
      <c r="AH125" s="3688"/>
      <c r="AI125" s="3452"/>
    </row>
    <row r="126" ht="20.25" customHeight="1">
      <c r="A126" s="3446"/>
      <c r="B126" s="3678"/>
      <c r="C126" s="3724"/>
      <c r="D126" s="3710"/>
      <c r="E126" s="3725" t="s">
        <v>1398</v>
      </c>
      <c r="F126" s="3685"/>
      <c r="G126" s="3685"/>
      <c r="H126" s="3726"/>
      <c r="I126" s="3698"/>
      <c r="J126" s="3725" t="s">
        <v>1399</v>
      </c>
      <c r="K126" s="3685"/>
      <c r="L126" s="3685"/>
      <c r="M126" s="3726"/>
      <c r="N126" s="3698"/>
      <c r="O126" s="3725" t="s">
        <v>889</v>
      </c>
      <c r="P126" s="3685"/>
      <c r="Q126" s="3685"/>
      <c r="R126" s="3726"/>
      <c r="S126" s="3698"/>
      <c r="T126" s="3684"/>
      <c r="U126" s="3685"/>
      <c r="V126" s="3685"/>
      <c r="W126" s="3686"/>
      <c r="X126" s="3698"/>
      <c r="Y126" s="3684"/>
      <c r="Z126" s="3685"/>
      <c r="AA126" s="3685"/>
      <c r="AB126" s="3686"/>
      <c r="AC126" s="3698"/>
      <c r="AD126" s="3684"/>
      <c r="AE126" s="3685"/>
      <c r="AF126" s="3685"/>
      <c r="AG126" s="3686"/>
      <c r="AH126" s="3688"/>
      <c r="AI126" s="3452"/>
    </row>
    <row r="127" ht="20.25" customHeight="1">
      <c r="A127" s="3446"/>
      <c r="B127" s="3678"/>
      <c r="C127" s="3698"/>
      <c r="D127" s="3710"/>
      <c r="E127" s="3727" t="s">
        <v>1197</v>
      </c>
      <c r="F127" s="3728"/>
      <c r="G127" s="3729"/>
      <c r="H127" s="3730" t="str">
        <f>IMAGE("https://raw.githubusercontent.com/msikma/pokesprite/master/items/berry/charti.png",3)</f>
        <v/>
      </c>
      <c r="I127" s="3698"/>
      <c r="J127" s="3727" t="s">
        <v>537</v>
      </c>
      <c r="K127" s="3728"/>
      <c r="L127" s="3729"/>
      <c r="M127" s="3730" t="str">
        <f>IMAGE("https://raw.githubusercontent.com/msikma/pokesprite/master/items/berry/sitrus.png",3)</f>
        <v/>
      </c>
      <c r="N127" s="3698"/>
      <c r="O127" s="3727" t="s">
        <v>892</v>
      </c>
      <c r="P127" s="3728"/>
      <c r="Q127" s="3729"/>
      <c r="R127" s="3730" t="str">
        <f>IMAGE("https://raw.githubusercontent.com/msikma/pokesprite/master/items/hold-item/rocky-helmet.png",3)</f>
        <v/>
      </c>
      <c r="S127" s="3698"/>
      <c r="T127" s="3684"/>
      <c r="U127" s="3685"/>
      <c r="V127" s="3685"/>
      <c r="W127" s="3686"/>
      <c r="X127" s="3698"/>
      <c r="Y127" s="3684"/>
      <c r="Z127" s="3685"/>
      <c r="AA127" s="3685"/>
      <c r="AB127" s="3686"/>
      <c r="AC127" s="3698"/>
      <c r="AD127" s="3684"/>
      <c r="AE127" s="3685"/>
      <c r="AF127" s="3685"/>
      <c r="AG127" s="3686"/>
      <c r="AH127" s="3688"/>
      <c r="AI127" s="3452"/>
    </row>
    <row r="128" ht="20.25" customHeight="1">
      <c r="A128" s="3446"/>
      <c r="B128" s="3678"/>
      <c r="C128" s="3731"/>
      <c r="D128" s="3710"/>
      <c r="E128" s="3721" t="s">
        <v>1400</v>
      </c>
      <c r="F128" s="3722"/>
      <c r="G128" s="3732"/>
      <c r="H128" s="3733" t="str">
        <f>IMAGE("https://raw.githubusercontent.com/msikma/pokesprite/master/misc/types/gen8/bug.png",4,20,20)</f>
        <v/>
      </c>
      <c r="I128" s="3698"/>
      <c r="J128" s="3721" t="s">
        <v>987</v>
      </c>
      <c r="K128" s="3722"/>
      <c r="L128" s="3732"/>
      <c r="M128" s="3733" t="str">
        <f t="shared" ref="M128:M129" si="4">IMAGE("https://raw.githubusercontent.com/msikma/pokesprite/master/misc/types/gen8/grass.png",4,20,20)</f>
        <v/>
      </c>
      <c r="N128" s="3698"/>
      <c r="O128" s="3721" t="s">
        <v>494</v>
      </c>
      <c r="P128" s="3722"/>
      <c r="Q128" s="3732"/>
      <c r="R128" s="3733" t="str">
        <f>IMAGE("https://raw.githubusercontent.com/msikma/pokesprite/master/misc/types/gen8/ground.png",4,20,20)</f>
        <v/>
      </c>
      <c r="S128" s="3698"/>
      <c r="T128" s="3684"/>
      <c r="U128" s="3685"/>
      <c r="V128" s="3685"/>
      <c r="W128" s="3686"/>
      <c r="X128" s="3698"/>
      <c r="Y128" s="3684"/>
      <c r="Z128" s="3685"/>
      <c r="AA128" s="3685"/>
      <c r="AB128" s="3686"/>
      <c r="AC128" s="3698"/>
      <c r="AD128" s="3684"/>
      <c r="AE128" s="3685"/>
      <c r="AF128" s="3685"/>
      <c r="AG128" s="3686"/>
      <c r="AH128" s="3688"/>
      <c r="AI128" s="3452"/>
    </row>
    <row r="129" ht="20.25" customHeight="1">
      <c r="A129" s="3446"/>
      <c r="B129" s="3678"/>
      <c r="C129" s="3717"/>
      <c r="D129" s="3710"/>
      <c r="E129" s="3725" t="s">
        <v>1401</v>
      </c>
      <c r="F129" s="3685"/>
      <c r="G129" s="3686"/>
      <c r="H129" s="3734" t="str">
        <f>IMAGE("https://raw.githubusercontent.com/msikma/pokesprite/master/misc/types/gen8/electric.png",4,20,20)</f>
        <v/>
      </c>
      <c r="I129" s="3698"/>
      <c r="J129" s="3725" t="s">
        <v>510</v>
      </c>
      <c r="K129" s="3685"/>
      <c r="L129" s="3686"/>
      <c r="M129" s="3734" t="str">
        <f t="shared" si="4"/>
        <v/>
      </c>
      <c r="N129" s="3698"/>
      <c r="O129" s="3725" t="s">
        <v>832</v>
      </c>
      <c r="P129" s="3685"/>
      <c r="Q129" s="3686"/>
      <c r="R129" s="3734" t="str">
        <f>IMAGE("https://raw.githubusercontent.com/msikma/pokesprite/master/misc/types/gen8/bug.png",4,20,20)</f>
        <v/>
      </c>
      <c r="S129" s="3698"/>
      <c r="T129" s="3684"/>
      <c r="U129" s="3685"/>
      <c r="V129" s="3685"/>
      <c r="W129" s="3686"/>
      <c r="X129" s="3698"/>
      <c r="Y129" s="3684"/>
      <c r="Z129" s="3685"/>
      <c r="AA129" s="3685"/>
      <c r="AB129" s="3686"/>
      <c r="AC129" s="3698"/>
      <c r="AD129" s="3684"/>
      <c r="AE129" s="3685"/>
      <c r="AF129" s="3685"/>
      <c r="AG129" s="3686"/>
      <c r="AH129" s="3688"/>
      <c r="AI129" s="3452"/>
    </row>
    <row r="130" ht="20.25" customHeight="1">
      <c r="A130" s="3446"/>
      <c r="B130" s="3678"/>
      <c r="C130" s="3717"/>
      <c r="D130" s="3710"/>
      <c r="E130" s="3725" t="s">
        <v>811</v>
      </c>
      <c r="F130" s="3685"/>
      <c r="G130" s="3686"/>
      <c r="H130" s="3734" t="str">
        <f>IMAGE("https://raw.githubusercontent.com/msikma/pokesprite/master/misc/types/gen8/flying.png",4,20,20)</f>
        <v/>
      </c>
      <c r="I130" s="3698"/>
      <c r="J130" s="3725" t="s">
        <v>811</v>
      </c>
      <c r="K130" s="3685"/>
      <c r="L130" s="3686"/>
      <c r="M130" s="3734" t="str">
        <f>IMAGE("https://raw.githubusercontent.com/msikma/pokesprite/master/misc/types/gen8/flying.png",4,20,20)</f>
        <v/>
      </c>
      <c r="N130" s="3698"/>
      <c r="O130" s="3725" t="s">
        <v>498</v>
      </c>
      <c r="P130" s="3685"/>
      <c r="Q130" s="3686"/>
      <c r="R130" s="3734" t="str">
        <f>IMAGE("https://raw.githubusercontent.com/msikma/pokesprite/master/misc/types/gen8/rock.png",4,20,20)</f>
        <v/>
      </c>
      <c r="S130" s="3698"/>
      <c r="T130" s="3684"/>
      <c r="U130" s="3685"/>
      <c r="V130" s="3685"/>
      <c r="W130" s="3686"/>
      <c r="X130" s="3698"/>
      <c r="Y130" s="3684"/>
      <c r="Z130" s="3685"/>
      <c r="AA130" s="3685"/>
      <c r="AB130" s="3686"/>
      <c r="AC130" s="3698"/>
      <c r="AD130" s="3684"/>
      <c r="AE130" s="3685"/>
      <c r="AF130" s="3685"/>
      <c r="AG130" s="3686"/>
      <c r="AH130" s="3688"/>
      <c r="AI130" s="3452"/>
    </row>
    <row r="131" ht="21.0" customHeight="1">
      <c r="A131" s="3446"/>
      <c r="B131" s="3678"/>
      <c r="C131" s="3717"/>
      <c r="D131" s="3710"/>
      <c r="E131" s="3735" t="s">
        <v>786</v>
      </c>
      <c r="F131" s="3736"/>
      <c r="G131" s="3737"/>
      <c r="H131" s="3738" t="str">
        <f>IMAGE("https://raw.githubusercontent.com/msikma/pokesprite/master/misc/types/gen8/fairy.png",4,20,20)</f>
        <v/>
      </c>
      <c r="I131" s="3731"/>
      <c r="J131" s="3735" t="s">
        <v>846</v>
      </c>
      <c r="K131" s="3736"/>
      <c r="L131" s="3737"/>
      <c r="M131" s="3738" t="str">
        <f>IMAGE("https://raw.githubusercontent.com/msikma/pokesprite/master/misc/types/gen8/bug.png",4,20,20)</f>
        <v/>
      </c>
      <c r="N131" s="3731"/>
      <c r="O131" s="3735" t="s">
        <v>554</v>
      </c>
      <c r="P131" s="3736"/>
      <c r="Q131" s="3737"/>
      <c r="R131" s="3738" t="str">
        <f>IMAGE("https://raw.githubusercontent.com/msikma/pokesprite/master/misc/types/gen8/dark.png",4,20,20)</f>
        <v/>
      </c>
      <c r="S131" s="3731"/>
      <c r="T131" s="3684"/>
      <c r="U131" s="3685"/>
      <c r="V131" s="3685"/>
      <c r="W131" s="3686"/>
      <c r="X131" s="3731"/>
      <c r="Y131" s="3684"/>
      <c r="Z131" s="3685"/>
      <c r="AA131" s="3685"/>
      <c r="AB131" s="3686"/>
      <c r="AC131" s="3731"/>
      <c r="AD131" s="3684"/>
      <c r="AE131" s="3685"/>
      <c r="AF131" s="3685"/>
      <c r="AG131" s="3686"/>
      <c r="AH131" s="3688"/>
      <c r="AI131" s="3452"/>
    </row>
    <row r="132" ht="3.0" customHeight="1">
      <c r="A132" s="3524"/>
      <c r="B132" s="3741"/>
      <c r="C132" s="3742"/>
      <c r="D132" s="3743"/>
      <c r="E132" s="3885"/>
      <c r="F132" s="3885"/>
      <c r="G132" s="3885"/>
      <c r="H132" s="3745"/>
      <c r="I132" s="3743"/>
      <c r="J132" s="3885"/>
      <c r="K132" s="3885"/>
      <c r="L132" s="3885"/>
      <c r="M132" s="3745"/>
      <c r="N132" s="3743"/>
      <c r="O132" s="3885"/>
      <c r="P132" s="3885"/>
      <c r="Q132" s="3885"/>
      <c r="R132" s="3745"/>
      <c r="S132" s="3745"/>
      <c r="T132" s="3745"/>
      <c r="U132" s="3745"/>
      <c r="V132" s="3745"/>
      <c r="W132" s="3745"/>
      <c r="X132" s="3743"/>
      <c r="Y132" s="3743"/>
      <c r="Z132" s="3747"/>
      <c r="AA132" s="3747"/>
      <c r="AB132" s="3748"/>
      <c r="AC132" s="3748"/>
      <c r="AD132" s="3748"/>
      <c r="AE132" s="3748"/>
      <c r="AF132" s="3748"/>
      <c r="AG132" s="3748"/>
      <c r="AH132" s="3749"/>
      <c r="AI132" s="3534"/>
    </row>
    <row r="133" ht="16.5" customHeight="1">
      <c r="A133" s="3535"/>
      <c r="B133" s="3750"/>
      <c r="C133" s="3742"/>
      <c r="D133" s="3886"/>
      <c r="E133" s="1792" t="s">
        <v>512</v>
      </c>
      <c r="F133" s="606"/>
      <c r="G133" s="606"/>
      <c r="H133" s="607"/>
      <c r="I133" s="3752"/>
      <c r="J133" s="1792" t="s">
        <v>512</v>
      </c>
      <c r="K133" s="606"/>
      <c r="L133" s="606"/>
      <c r="M133" s="607"/>
      <c r="N133" s="3752"/>
      <c r="O133" s="1792" t="s">
        <v>512</v>
      </c>
      <c r="P133" s="606"/>
      <c r="Q133" s="606"/>
      <c r="R133" s="607"/>
      <c r="S133" s="3743"/>
      <c r="T133" s="3753"/>
      <c r="U133" s="3753"/>
      <c r="V133" s="3753"/>
      <c r="W133" s="3753"/>
      <c r="X133" s="3753"/>
      <c r="Y133" s="3753"/>
      <c r="Z133" s="3754"/>
      <c r="AA133" s="3754"/>
      <c r="AB133" s="3753"/>
      <c r="AC133" s="3753"/>
      <c r="AD133" s="3753"/>
      <c r="AE133" s="3753"/>
      <c r="AF133" s="3753"/>
      <c r="AG133" s="3753"/>
      <c r="AH133" s="3755"/>
      <c r="AI133" s="3543"/>
    </row>
    <row r="134" ht="16.5" customHeight="1">
      <c r="A134" s="3535"/>
      <c r="B134" s="3750"/>
      <c r="C134" s="3742"/>
      <c r="D134" s="3751"/>
      <c r="E134" s="1799" t="s">
        <v>513</v>
      </c>
      <c r="F134" s="1800">
        <f t="array" ref="F134">IFERROR(VLOOKUP(E121,Dex!$B$3:$N1361,8,FALSE),"")</f>
        <v>80</v>
      </c>
      <c r="G134" s="1801" t="str">
        <f t="array" ref="G134">IFERROR(VLOOKUP(F134,Dex!$P$22:$Q$276,2,FALSE),"")</f>
        <v/>
      </c>
      <c r="H134" s="1802"/>
      <c r="I134" s="3756"/>
      <c r="J134" s="1799" t="s">
        <v>513</v>
      </c>
      <c r="K134" s="1800">
        <f t="array" ref="K134">IFERROR(VLOOKUP(J121,Dex!$B$3:$N1361,8,FALSE),"")</f>
        <v>60</v>
      </c>
      <c r="L134" s="1801" t="str">
        <f t="array" ref="L134">IFERROR(VLOOKUP(K134,Dex!$P$22:$Q$276,2,FALSE),"")</f>
        <v/>
      </c>
      <c r="M134" s="1802"/>
      <c r="N134" s="3756"/>
      <c r="O134" s="1799" t="s">
        <v>513</v>
      </c>
      <c r="P134" s="1800">
        <f t="array" ref="P134">IFERROR(VLOOKUP(O121,Dex!$B$3:$N1361,8,FALSE),"")</f>
        <v>60</v>
      </c>
      <c r="Q134" s="1801" t="str">
        <f t="array" ref="Q134">IFERROR(VLOOKUP(P134,Dex!$P$22:$Q$276,2,FALSE),"")</f>
        <v/>
      </c>
      <c r="R134" s="1802"/>
      <c r="S134" s="3753"/>
      <c r="T134" s="3753"/>
      <c r="U134" s="3753"/>
      <c r="V134" s="3753"/>
      <c r="W134" s="3753"/>
      <c r="X134" s="3753"/>
      <c r="Y134" s="3753"/>
      <c r="Z134" s="3757"/>
      <c r="AA134" s="3757"/>
      <c r="AB134" s="3753"/>
      <c r="AC134" s="3753"/>
      <c r="AD134" s="3753"/>
      <c r="AE134" s="3753"/>
      <c r="AF134" s="3753"/>
      <c r="AG134" s="3753"/>
      <c r="AH134" s="3755"/>
      <c r="AI134" s="3543"/>
    </row>
    <row r="135" ht="16.5" customHeight="1">
      <c r="A135" s="3535"/>
      <c r="B135" s="3750"/>
      <c r="C135" s="3742"/>
      <c r="D135" s="3751"/>
      <c r="E135" s="1805" t="s">
        <v>514</v>
      </c>
      <c r="F135" s="1806">
        <f t="array" ref="F135">IFERROR(VLOOKUP(E121,Dex!$B$3:$N1361,9,FALSE),"")</f>
        <v>52</v>
      </c>
      <c r="G135" s="1807" t="str">
        <f t="array" ref="G135">IFERROR(VLOOKUP(F135,Dex!$P$22:$Q$276,2,FALSE),"")</f>
        <v/>
      </c>
      <c r="H135" s="1808"/>
      <c r="I135" s="3756"/>
      <c r="J135" s="1805" t="s">
        <v>514</v>
      </c>
      <c r="K135" s="1806">
        <f t="array" ref="K135">IFERROR(VLOOKUP(J121,Dex!$B$3:$N1361,9,FALSE),"")</f>
        <v>60</v>
      </c>
      <c r="L135" s="1807" t="str">
        <f t="array" ref="L135">IFERROR(VLOOKUP(K135,Dex!$P$22:$Q$276,2,FALSE),"")</f>
        <v/>
      </c>
      <c r="M135" s="1808"/>
      <c r="N135" s="3756"/>
      <c r="O135" s="1805" t="s">
        <v>514</v>
      </c>
      <c r="P135" s="1806">
        <f t="array" ref="P135">IFERROR(VLOOKUP(O121,Dex!$B$3:$N1361,9,FALSE),"")</f>
        <v>59</v>
      </c>
      <c r="Q135" s="1807" t="str">
        <f t="array" ref="Q135">IFERROR(VLOOKUP(P135,Dex!$P$22:$Q$276,2,FALSE),"")</f>
        <v/>
      </c>
      <c r="R135" s="1808"/>
      <c r="S135" s="3753"/>
      <c r="T135" s="3753"/>
      <c r="U135" s="3753"/>
      <c r="V135" s="3753"/>
      <c r="W135" s="3753"/>
      <c r="X135" s="3753"/>
      <c r="Y135" s="3753"/>
      <c r="Z135" s="3759"/>
      <c r="AA135" s="3759"/>
      <c r="AB135" s="3753"/>
      <c r="AC135" s="3753"/>
      <c r="AD135" s="3753"/>
      <c r="AE135" s="3753"/>
      <c r="AF135" s="3753"/>
      <c r="AG135" s="3753"/>
      <c r="AH135" s="3755"/>
      <c r="AI135" s="3543"/>
    </row>
    <row r="136" ht="16.5" customHeight="1">
      <c r="A136" s="3535"/>
      <c r="B136" s="3750"/>
      <c r="C136" s="3742"/>
      <c r="D136" s="3751"/>
      <c r="E136" s="1805" t="s">
        <v>515</v>
      </c>
      <c r="F136" s="1806">
        <f t="array" ref="F136">IFERROR(VLOOKUP(E121,Dex!$B$3:$N1361,10,FALSE),"")</f>
        <v>50</v>
      </c>
      <c r="G136" s="1807" t="str">
        <f t="array" ref="G136">IFERROR(VLOOKUP(F136,Dex!$P$22:$Q$276,2,FALSE),"")</f>
        <v/>
      </c>
      <c r="H136" s="1808"/>
      <c r="I136" s="3756"/>
      <c r="J136" s="1805" t="s">
        <v>515</v>
      </c>
      <c r="K136" s="1806">
        <f t="array" ref="K136">IFERROR(VLOOKUP(J121,Dex!$B$3:$N1361,10,FALSE),"")</f>
        <v>45</v>
      </c>
      <c r="L136" s="1807" t="str">
        <f t="array" ref="L136">IFERROR(VLOOKUP(K136,Dex!$P$22:$Q$276,2,FALSE),"")</f>
        <v/>
      </c>
      <c r="M136" s="1808"/>
      <c r="N136" s="3756"/>
      <c r="O136" s="1805" t="s">
        <v>515</v>
      </c>
      <c r="P136" s="1806">
        <f t="array" ref="P136">IFERROR(VLOOKUP(O121,Dex!$B$3:$N1361,10,FALSE),"")</f>
        <v>105</v>
      </c>
      <c r="Q136" s="1807" t="str">
        <f t="array" ref="Q136">IFERROR(VLOOKUP(P136,Dex!$P$22:$Q$276,2,FALSE),"")</f>
        <v/>
      </c>
      <c r="R136" s="1808"/>
      <c r="S136" s="3753"/>
      <c r="T136" s="3753"/>
      <c r="U136" s="3753"/>
      <c r="V136" s="3753"/>
      <c r="W136" s="3753"/>
      <c r="X136" s="3753"/>
      <c r="Y136" s="3753"/>
      <c r="Z136" s="3760"/>
      <c r="AA136" s="3760"/>
      <c r="AB136" s="3753"/>
      <c r="AC136" s="3753"/>
      <c r="AD136" s="3753"/>
      <c r="AE136" s="3753"/>
      <c r="AF136" s="3753"/>
      <c r="AG136" s="3753"/>
      <c r="AH136" s="3755"/>
      <c r="AI136" s="3543"/>
    </row>
    <row r="137" ht="16.5" customHeight="1">
      <c r="A137" s="3535"/>
      <c r="B137" s="3750"/>
      <c r="C137" s="3742"/>
      <c r="D137" s="3751"/>
      <c r="E137" s="1805" t="s">
        <v>516</v>
      </c>
      <c r="F137" s="1806">
        <f t="array" ref="F137">IFERROR(VLOOKUP(E121,Dex!$B$3:$N1361,11,FALSE),"")</f>
        <v>90</v>
      </c>
      <c r="G137" s="1807" t="str">
        <f t="array" ref="G137">IFERROR(VLOOKUP(F137,Dex!$P$22:$Q$276,2,FALSE),"")</f>
        <v/>
      </c>
      <c r="H137" s="1808"/>
      <c r="I137" s="3756"/>
      <c r="J137" s="1805" t="s">
        <v>516</v>
      </c>
      <c r="K137" s="1806">
        <f t="array" ref="K137">IFERROR(VLOOKUP(J121,Dex!$B$3:$N1361,11,FALSE),"")</f>
        <v>50</v>
      </c>
      <c r="L137" s="1807" t="str">
        <f t="array" ref="L137">IFERROR(VLOOKUP(K137,Dex!$P$22:$Q$276,2,FALSE),"")</f>
        <v/>
      </c>
      <c r="M137" s="1808"/>
      <c r="N137" s="3756"/>
      <c r="O137" s="1805" t="s">
        <v>516</v>
      </c>
      <c r="P137" s="1806">
        <f t="array" ref="P137">IFERROR(VLOOKUP(O121,Dex!$B$3:$N1361,11,FALSE),"")</f>
        <v>79</v>
      </c>
      <c r="Q137" s="1807" t="str">
        <f t="array" ref="Q137">IFERROR(VLOOKUP(P137,Dex!$P$22:$Q$276,2,FALSE),"")</f>
        <v/>
      </c>
      <c r="R137" s="1808"/>
      <c r="S137" s="3753"/>
      <c r="T137" s="3753"/>
      <c r="U137" s="3753"/>
      <c r="V137" s="3753"/>
      <c r="W137" s="3753"/>
      <c r="X137" s="3753"/>
      <c r="Y137" s="3753"/>
      <c r="Z137" s="3698"/>
      <c r="AA137" s="3698"/>
      <c r="AB137" s="3753"/>
      <c r="AC137" s="3753"/>
      <c r="AD137" s="3753"/>
      <c r="AE137" s="3753"/>
      <c r="AF137" s="3753"/>
      <c r="AG137" s="3753"/>
      <c r="AH137" s="3755"/>
      <c r="AI137" s="3543"/>
    </row>
    <row r="138" ht="16.5" customHeight="1">
      <c r="A138" s="3535"/>
      <c r="B138" s="3750"/>
      <c r="C138" s="3742"/>
      <c r="D138" s="3751"/>
      <c r="E138" s="1805" t="s">
        <v>517</v>
      </c>
      <c r="F138" s="1806">
        <f t="array" ref="F138">IFERROR(VLOOKUP(E121,Dex!$B$3:$N1361,12,FALSE),"")</f>
        <v>50</v>
      </c>
      <c r="G138" s="1807" t="str">
        <f t="array" ref="G138">IFERROR(VLOOKUP(F138,Dex!$P$22:$Q$276,2,FALSE),"")</f>
        <v/>
      </c>
      <c r="H138" s="1808"/>
      <c r="I138" s="3756"/>
      <c r="J138" s="1805" t="s">
        <v>517</v>
      </c>
      <c r="K138" s="1806">
        <f t="array" ref="K138">IFERROR(VLOOKUP(J121,Dex!$B$3:$N1361,12,FALSE),"")</f>
        <v>95</v>
      </c>
      <c r="L138" s="1807" t="str">
        <f t="array" ref="L138">IFERROR(VLOOKUP(K138,Dex!$P$22:$Q$276,2,FALSE),"")</f>
        <v/>
      </c>
      <c r="M138" s="1808"/>
      <c r="N138" s="3756"/>
      <c r="O138" s="1805" t="s">
        <v>517</v>
      </c>
      <c r="P138" s="1806">
        <f t="array" ref="P138">IFERROR(VLOOKUP(O121,Dex!$B$3:$N1361,12,FALSE),"")</f>
        <v>85</v>
      </c>
      <c r="Q138" s="1807" t="str">
        <f t="array" ref="Q138">IFERROR(VLOOKUP(P138,Dex!$P$22:$Q$276,2,FALSE),"")</f>
        <v/>
      </c>
      <c r="R138" s="1808"/>
      <c r="S138" s="3753"/>
      <c r="T138" s="3753"/>
      <c r="U138" s="3753"/>
      <c r="V138" s="3753"/>
      <c r="W138" s="3753"/>
      <c r="X138" s="3753"/>
      <c r="Y138" s="3753"/>
      <c r="Z138" s="3698"/>
      <c r="AA138" s="3698"/>
      <c r="AB138" s="3753"/>
      <c r="AC138" s="3753"/>
      <c r="AD138" s="3753"/>
      <c r="AE138" s="3753"/>
      <c r="AF138" s="3753"/>
      <c r="AG138" s="3753"/>
      <c r="AH138" s="3755"/>
      <c r="AI138" s="3543"/>
    </row>
    <row r="139" ht="16.5" customHeight="1">
      <c r="A139" s="3535"/>
      <c r="B139" s="3750"/>
      <c r="C139" s="1426" t="s">
        <v>745</v>
      </c>
      <c r="D139" s="3751"/>
      <c r="E139" s="1809" t="s">
        <v>518</v>
      </c>
      <c r="F139" s="1810">
        <f t="array" ref="F139">IFERROR(VLOOKUP(E121,Dex!$B$3:$N1361,13,FALSE),"")</f>
        <v>89</v>
      </c>
      <c r="G139" s="3761" t="str">
        <f t="array" ref="G139">IFERROR(VLOOKUP(F139,Dex!$P$22:$Q$276,2,FALSE),"")</f>
        <v/>
      </c>
      <c r="H139" s="3762"/>
      <c r="I139" s="3756"/>
      <c r="J139" s="1809" t="s">
        <v>518</v>
      </c>
      <c r="K139" s="1810">
        <f t="array" ref="K139">IFERROR(VLOOKUP(J121,Dex!$B$3:$N1361,13,FALSE),"")</f>
        <v>70</v>
      </c>
      <c r="L139" s="3761" t="str">
        <f t="array" ref="L139">IFERROR(VLOOKUP(K139,Dex!$P$22:$Q$276,2,FALSE),"")</f>
        <v/>
      </c>
      <c r="M139" s="3762"/>
      <c r="N139" s="3756"/>
      <c r="O139" s="1809" t="s">
        <v>518</v>
      </c>
      <c r="P139" s="1810">
        <f t="array" ref="P139">IFERROR(VLOOKUP(O121,Dex!$B$3:$N1361,13,FALSE),"")</f>
        <v>36</v>
      </c>
      <c r="Q139" s="3761" t="str">
        <f t="array" ref="Q139">IFERROR(VLOOKUP(P139,Dex!$P$22:$Q$276,2,FALSE),"")</f>
        <v/>
      </c>
      <c r="R139" s="3762"/>
      <c r="S139" s="3753"/>
      <c r="T139" s="3753"/>
      <c r="U139" s="3753"/>
      <c r="V139" s="3753"/>
      <c r="W139" s="3753"/>
      <c r="X139" s="3753"/>
      <c r="Y139" s="3753"/>
      <c r="Z139" s="3698"/>
      <c r="AA139" s="3698"/>
      <c r="AB139" s="3753"/>
      <c r="AC139" s="3753"/>
      <c r="AD139" s="3753"/>
      <c r="AE139" s="3753"/>
      <c r="AF139" s="3753"/>
      <c r="AG139" s="3753"/>
      <c r="AH139" s="3755"/>
      <c r="AI139" s="3543"/>
    </row>
    <row r="140" ht="16.5" customHeight="1">
      <c r="A140" s="3535"/>
      <c r="B140" s="3750"/>
      <c r="C140" s="1427" t="s">
        <v>836</v>
      </c>
      <c r="D140" s="3886"/>
      <c r="E140" s="1813" t="s">
        <v>519</v>
      </c>
      <c r="F140" s="630"/>
      <c r="G140" s="631"/>
      <c r="H140" s="632">
        <f>ROUNDDOWN((ROUNDDOWN(((((2*F139+31)*25)/100+5)),0))*1,0)</f>
        <v>57</v>
      </c>
      <c r="I140" s="3752"/>
      <c r="J140" s="1813" t="s">
        <v>519</v>
      </c>
      <c r="K140" s="630"/>
      <c r="L140" s="631"/>
      <c r="M140" s="632">
        <f>ROUNDDOWN((ROUNDDOWN(((((2*K139+31)*26)/100+5)),0))*1.1,0)</f>
        <v>53</v>
      </c>
      <c r="N140" s="3752"/>
      <c r="O140" s="1813" t="s">
        <v>519</v>
      </c>
      <c r="P140" s="630"/>
      <c r="Q140" s="631"/>
      <c r="R140" s="632">
        <f>ROUNDDOWN((ROUNDDOWN(((((2*P139+31)*26)/100+5)),0))*1,0)</f>
        <v>31</v>
      </c>
      <c r="S140" s="3753"/>
      <c r="T140" s="3753"/>
      <c r="U140" s="3753"/>
      <c r="V140" s="3753"/>
      <c r="W140" s="3753"/>
      <c r="X140" s="3753"/>
      <c r="Y140" s="3753"/>
      <c r="Z140" s="3731"/>
      <c r="AA140" s="3731"/>
      <c r="AB140" s="3753"/>
      <c r="AC140" s="3753"/>
      <c r="AD140" s="3753"/>
      <c r="AE140" s="3753"/>
      <c r="AF140" s="3753"/>
      <c r="AG140" s="3753"/>
      <c r="AH140" s="3755"/>
      <c r="AI140" s="3543"/>
    </row>
    <row r="141" ht="15.0" customHeight="1">
      <c r="A141" s="3446"/>
      <c r="B141" s="3763"/>
      <c r="C141" s="3764"/>
      <c r="D141" s="3765"/>
      <c r="E141" s="3767"/>
      <c r="F141" s="3767"/>
      <c r="G141" s="3767"/>
      <c r="H141" s="3766"/>
      <c r="I141" s="3765"/>
      <c r="J141" s="3767"/>
      <c r="K141" s="3767"/>
      <c r="L141" s="3767"/>
      <c r="M141" s="3766"/>
      <c r="N141" s="3765"/>
      <c r="O141" s="3767"/>
      <c r="P141" s="3767"/>
      <c r="Q141" s="3767"/>
      <c r="R141" s="3766"/>
      <c r="S141" s="3765"/>
      <c r="T141" s="3765"/>
      <c r="U141" s="3765"/>
      <c r="V141" s="3765"/>
      <c r="W141" s="3765"/>
      <c r="X141" s="3765"/>
      <c r="Y141" s="3765"/>
      <c r="Z141" s="3765"/>
      <c r="AA141" s="3765"/>
      <c r="AB141" s="3765"/>
      <c r="AC141" s="3765"/>
      <c r="AD141" s="3765"/>
      <c r="AE141" s="3765"/>
      <c r="AF141" s="3765"/>
      <c r="AG141" s="3765"/>
      <c r="AH141" s="3768"/>
      <c r="AI141" s="3452"/>
    </row>
    <row r="142" ht="15.0" customHeight="1">
      <c r="A142" s="3446"/>
      <c r="B142" s="3887"/>
      <c r="C142" s="3888"/>
      <c r="D142" s="3889"/>
      <c r="E142" s="3889"/>
      <c r="F142" s="3889"/>
      <c r="G142" s="3889"/>
      <c r="H142" s="3889"/>
      <c r="I142" s="3889"/>
      <c r="J142" s="3889"/>
      <c r="K142" s="3889"/>
      <c r="L142" s="3889"/>
      <c r="M142" s="3889"/>
      <c r="N142" s="3889"/>
      <c r="O142" s="3889"/>
      <c r="P142" s="3889"/>
      <c r="Q142" s="3889"/>
      <c r="R142" s="3889"/>
      <c r="S142" s="3889"/>
      <c r="T142" s="3889"/>
      <c r="U142" s="3889"/>
      <c r="V142" s="3889"/>
      <c r="W142" s="3889"/>
      <c r="X142" s="3889"/>
      <c r="Y142" s="3889"/>
      <c r="Z142" s="3889"/>
      <c r="AA142" s="3889"/>
      <c r="AB142" s="3889"/>
      <c r="AC142" s="3889"/>
      <c r="AD142" s="3889"/>
      <c r="AE142" s="3889"/>
      <c r="AF142" s="3889"/>
      <c r="AG142" s="3889"/>
      <c r="AH142" s="3890"/>
      <c r="AI142" s="3452"/>
    </row>
    <row r="143">
      <c r="A143" s="3446"/>
      <c r="B143" s="3891"/>
      <c r="C143" s="3892"/>
      <c r="D143" s="3893"/>
      <c r="E143" s="3894" t="s">
        <v>1402</v>
      </c>
      <c r="F143" s="3508"/>
      <c r="G143" s="3508"/>
      <c r="H143" s="3508"/>
      <c r="I143" s="3508"/>
      <c r="J143" s="3508"/>
      <c r="K143" s="3508"/>
      <c r="L143" s="3508"/>
      <c r="M143" s="3508"/>
      <c r="N143" s="3508"/>
      <c r="O143" s="3508"/>
      <c r="P143" s="3508"/>
      <c r="Q143" s="3508"/>
      <c r="R143" s="3508"/>
      <c r="S143" s="3508"/>
      <c r="T143" s="3508"/>
      <c r="U143" s="3508"/>
      <c r="V143" s="3508"/>
      <c r="W143" s="3508"/>
      <c r="X143" s="3508"/>
      <c r="Y143" s="3508"/>
      <c r="Z143" s="3508"/>
      <c r="AA143" s="3508"/>
      <c r="AB143" s="3508"/>
      <c r="AC143" s="3508"/>
      <c r="AD143" s="3508"/>
      <c r="AE143" s="3508"/>
      <c r="AF143" s="3508"/>
      <c r="AG143" s="3509"/>
      <c r="AH143" s="3895"/>
      <c r="AI143" s="3452"/>
    </row>
    <row r="144" ht="96.75" customHeight="1">
      <c r="A144" s="3453"/>
      <c r="B144" s="3454"/>
      <c r="C144" s="3455" t="str">
        <f>IMAGE("https://i.ibb.co/8sm893K/Lass.png")</f>
        <v/>
      </c>
      <c r="D144" s="3456"/>
      <c r="E144" s="3457" t="str">
        <f t="array" ref="E144">IFERROR(VLOOKUP(E145,Dex!$B$3:$G1361,3,FALSE),"")</f>
        <v/>
      </c>
      <c r="F144" s="606"/>
      <c r="G144" s="606"/>
      <c r="H144" s="607"/>
      <c r="I144" s="3896"/>
      <c r="J144" s="3457" t="str">
        <f t="array" ref="J144">IFERROR(VLOOKUP(J145,Dex!$B$3:$G1361,3,FALSE),"")</f>
        <v/>
      </c>
      <c r="K144" s="606"/>
      <c r="L144" s="606"/>
      <c r="M144" s="607"/>
      <c r="N144" s="3897"/>
      <c r="O144" s="3457" t="str">
        <f t="array" ref="O144">IFERROR(VLOOKUP(O145,Dex!$B$3:$G1361,3,FALSE),"")</f>
        <v/>
      </c>
      <c r="P144" s="606"/>
      <c r="Q144" s="606"/>
      <c r="R144" s="607"/>
      <c r="S144" s="3460"/>
      <c r="T144" s="3461"/>
      <c r="U144" s="3462"/>
      <c r="V144" s="3462"/>
      <c r="W144" s="3463"/>
      <c r="X144" s="3464"/>
      <c r="Y144" s="3461"/>
      <c r="Z144" s="3462"/>
      <c r="AA144" s="3462"/>
      <c r="AB144" s="3463"/>
      <c r="AC144" s="3464"/>
      <c r="AD144" s="3461"/>
      <c r="AE144" s="3462"/>
      <c r="AF144" s="3462"/>
      <c r="AG144" s="3463"/>
      <c r="AH144" s="3465"/>
      <c r="AI144" s="3466"/>
    </row>
    <row r="145" ht="18.75" customHeight="1">
      <c r="A145" s="3467"/>
      <c r="B145" s="3468"/>
      <c r="C145" s="3469" t="s">
        <v>1403</v>
      </c>
      <c r="D145" s="3470"/>
      <c r="E145" s="3471" t="s">
        <v>1404</v>
      </c>
      <c r="F145" s="3472"/>
      <c r="G145" s="3472"/>
      <c r="H145" s="3473"/>
      <c r="J145" s="3471" t="s">
        <v>1405</v>
      </c>
      <c r="K145" s="3472"/>
      <c r="L145" s="3472"/>
      <c r="M145" s="3473"/>
      <c r="O145" s="3471" t="s">
        <v>1406</v>
      </c>
      <c r="P145" s="3472"/>
      <c r="Q145" s="3472"/>
      <c r="R145" s="3473"/>
      <c r="S145" s="3474"/>
      <c r="T145" s="3475"/>
      <c r="U145" s="3462"/>
      <c r="V145" s="3462"/>
      <c r="W145" s="3463"/>
      <c r="X145" s="3476"/>
      <c r="Y145" s="3475"/>
      <c r="Z145" s="3462"/>
      <c r="AA145" s="3462"/>
      <c r="AB145" s="3463"/>
      <c r="AC145" s="3476"/>
      <c r="AD145" s="3475"/>
      <c r="AE145" s="3462"/>
      <c r="AF145" s="3462"/>
      <c r="AG145" s="3463"/>
      <c r="AH145" s="3477"/>
      <c r="AI145" s="3478"/>
    </row>
    <row r="146">
      <c r="A146" s="3479"/>
      <c r="B146" s="3480"/>
      <c r="C146" s="1638"/>
      <c r="D146" s="3481"/>
      <c r="E146" s="3482" t="s">
        <v>967</v>
      </c>
      <c r="F146" s="3483"/>
      <c r="G146" s="3483"/>
      <c r="H146" s="3484"/>
      <c r="J146" s="3482" t="s">
        <v>796</v>
      </c>
      <c r="K146" s="3483"/>
      <c r="L146" s="3483"/>
      <c r="M146" s="3484"/>
      <c r="O146" s="3482" t="s">
        <v>796</v>
      </c>
      <c r="P146" s="3483"/>
      <c r="Q146" s="3483"/>
      <c r="R146" s="3484"/>
      <c r="S146" s="3474"/>
      <c r="T146" s="3485"/>
      <c r="U146" s="3462"/>
      <c r="V146" s="3462"/>
      <c r="W146" s="3463"/>
      <c r="X146" s="3476"/>
      <c r="Y146" s="3485"/>
      <c r="Z146" s="3462"/>
      <c r="AA146" s="3462"/>
      <c r="AB146" s="3463"/>
      <c r="AC146" s="3476"/>
      <c r="AD146" s="3485"/>
      <c r="AE146" s="3462"/>
      <c r="AF146" s="3462"/>
      <c r="AG146" s="3463"/>
      <c r="AH146" s="3486"/>
      <c r="AI146" s="3487"/>
    </row>
    <row r="147" ht="25.5" customHeight="1">
      <c r="A147" s="3453"/>
      <c r="B147" s="3454"/>
      <c r="C147" s="1646"/>
      <c r="D147" s="3488"/>
      <c r="E147" s="3489"/>
      <c r="F147" s="3490" t="str">
        <f t="array" ref="F147">IFERROR(VLOOKUP(E145,Dex!$B$3:$H1361,5,FALSE),"")</f>
        <v/>
      </c>
      <c r="G147" s="3491" t="str">
        <f t="array" ref="G147">IFERROR(VLOOKUP(E145,Dex!$B$3:$H1361,7,FALSE),"")</f>
        <v/>
      </c>
      <c r="H147" s="3492"/>
      <c r="J147" s="3489"/>
      <c r="K147" s="3490" t="str">
        <f t="array" ref="K147">IFERROR(VLOOKUP(J145,Dex!$B$3:$H1361,5,FALSE),"")</f>
        <v/>
      </c>
      <c r="L147" s="3491" t="str">
        <f t="array" ref="L147">IFERROR(VLOOKUP(J145,Dex!$B$3:$H1361,7,FALSE),"")</f>
        <v/>
      </c>
      <c r="M147" s="3492"/>
      <c r="O147" s="3489"/>
      <c r="P147" s="3493" t="str">
        <f t="array" ref="P147">IFERROR(VLOOKUP(O145,Dex!$B$3:$H1361,5,FALSE),"")</f>
        <v/>
      </c>
      <c r="Q147" s="3494"/>
      <c r="R147" s="3492"/>
      <c r="S147" s="3474"/>
      <c r="T147" s="3461"/>
      <c r="U147" s="3462"/>
      <c r="V147" s="3462"/>
      <c r="W147" s="3463"/>
      <c r="X147" s="3476"/>
      <c r="Y147" s="3461"/>
      <c r="Z147" s="3462"/>
      <c r="AA147" s="3462"/>
      <c r="AB147" s="3463"/>
      <c r="AC147" s="3476"/>
      <c r="AD147" s="3461"/>
      <c r="AE147" s="3462"/>
      <c r="AF147" s="3462"/>
      <c r="AG147" s="3463"/>
      <c r="AH147" s="3465"/>
      <c r="AI147" s="3466"/>
    </row>
    <row r="148" ht="2.25" customHeight="1">
      <c r="A148" s="3453"/>
      <c r="B148" s="3454"/>
      <c r="C148" s="3495"/>
      <c r="D148" s="3496"/>
      <c r="E148" s="3497"/>
      <c r="F148" s="3498"/>
      <c r="G148" s="3498"/>
      <c r="H148" s="3499"/>
      <c r="J148" s="3497"/>
      <c r="K148" s="3498"/>
      <c r="L148" s="3498"/>
      <c r="M148" s="3499"/>
      <c r="O148" s="3497"/>
      <c r="P148" s="3498"/>
      <c r="Q148" s="3498"/>
      <c r="R148" s="3499"/>
      <c r="S148" s="3474"/>
      <c r="T148" s="3500"/>
      <c r="U148" s="3500"/>
      <c r="V148" s="3500"/>
      <c r="W148" s="3500"/>
      <c r="X148" s="3476"/>
      <c r="Y148" s="3500"/>
      <c r="Z148" s="3500"/>
      <c r="AA148" s="3500"/>
      <c r="AB148" s="3500"/>
      <c r="AC148" s="3476"/>
      <c r="AD148" s="3500"/>
      <c r="AE148" s="3500"/>
      <c r="AF148" s="3500"/>
      <c r="AG148" s="3500"/>
      <c r="AH148" s="3465"/>
      <c r="AI148" s="3466"/>
    </row>
    <row r="149" ht="20.25" customHeight="1">
      <c r="A149" s="3453"/>
      <c r="B149" s="3454"/>
      <c r="C149" s="3495"/>
      <c r="D149" s="3456"/>
      <c r="E149" s="3501" t="s">
        <v>482</v>
      </c>
      <c r="F149" s="3502"/>
      <c r="G149" s="3502"/>
      <c r="H149" s="3503"/>
      <c r="J149" s="3501" t="s">
        <v>531</v>
      </c>
      <c r="K149" s="3502"/>
      <c r="L149" s="3502"/>
      <c r="M149" s="3503"/>
      <c r="O149" s="3501" t="s">
        <v>481</v>
      </c>
      <c r="P149" s="3502"/>
      <c r="Q149" s="3502"/>
      <c r="R149" s="3503"/>
      <c r="S149" s="3474"/>
      <c r="T149" s="3461"/>
      <c r="U149" s="3462"/>
      <c r="V149" s="3462"/>
      <c r="W149" s="3463"/>
      <c r="X149" s="3476"/>
      <c r="Y149" s="3461"/>
      <c r="Z149" s="3462"/>
      <c r="AA149" s="3462"/>
      <c r="AB149" s="3463"/>
      <c r="AC149" s="3476"/>
      <c r="AD149" s="3461"/>
      <c r="AE149" s="3462"/>
      <c r="AF149" s="3462"/>
      <c r="AG149" s="3463"/>
      <c r="AH149" s="3465"/>
      <c r="AI149" s="3466"/>
    </row>
    <row r="150" ht="20.25" customHeight="1">
      <c r="A150" s="3453"/>
      <c r="B150" s="3454"/>
      <c r="C150" s="3504"/>
      <c r="D150" s="3456"/>
      <c r="E150" s="3505" t="s">
        <v>1398</v>
      </c>
      <c r="F150" s="3462"/>
      <c r="G150" s="3462"/>
      <c r="H150" s="3506"/>
      <c r="J150" s="3505" t="s">
        <v>1407</v>
      </c>
      <c r="K150" s="3462"/>
      <c r="L150" s="3462"/>
      <c r="M150" s="3506"/>
      <c r="O150" s="3505" t="s">
        <v>1124</v>
      </c>
      <c r="P150" s="3462"/>
      <c r="Q150" s="3462"/>
      <c r="R150" s="3506"/>
      <c r="S150" s="3474"/>
      <c r="T150" s="3461"/>
      <c r="U150" s="3462"/>
      <c r="V150" s="3462"/>
      <c r="W150" s="3463"/>
      <c r="X150" s="3476"/>
      <c r="Y150" s="3461"/>
      <c r="Z150" s="3462"/>
      <c r="AA150" s="3462"/>
      <c r="AB150" s="3463"/>
      <c r="AC150" s="3476"/>
      <c r="AD150" s="3461"/>
      <c r="AE150" s="3462"/>
      <c r="AF150" s="3462"/>
      <c r="AG150" s="3463"/>
      <c r="AH150" s="3465"/>
      <c r="AI150" s="3466"/>
    </row>
    <row r="151" ht="20.25" customHeight="1">
      <c r="A151" s="3453"/>
      <c r="B151" s="3454"/>
      <c r="C151" s="3476"/>
      <c r="D151" s="3456"/>
      <c r="E151" s="3507" t="s">
        <v>489</v>
      </c>
      <c r="F151" s="3508"/>
      <c r="G151" s="3509"/>
      <c r="H151" s="3510" t="str">
        <f>IMAGE("https://raw.githubusercontent.com/msikma/pokesprite/master/items/hold-item/eviolite.png",3)</f>
        <v/>
      </c>
      <c r="J151" s="3507" t="s">
        <v>870</v>
      </c>
      <c r="K151" s="3508"/>
      <c r="L151" s="3509"/>
      <c r="M151" s="3510" t="str">
        <f>IMAGE("https://raw.githubusercontent.com/msikma/pokesprite/master/items/berry/chople.png",3)</f>
        <v/>
      </c>
      <c r="O151" s="3507" t="s">
        <v>537</v>
      </c>
      <c r="P151" s="3508"/>
      <c r="Q151" s="3509"/>
      <c r="R151" s="3510" t="str">
        <f>IMAGE("https://raw.githubusercontent.com/msikma/pokesprite/master/items/berry/sitrus.png",3)</f>
        <v/>
      </c>
      <c r="S151" s="3474"/>
      <c r="T151" s="3461"/>
      <c r="U151" s="3462"/>
      <c r="V151" s="3462"/>
      <c r="W151" s="3463"/>
      <c r="X151" s="3476"/>
      <c r="Y151" s="3461"/>
      <c r="Z151" s="3462"/>
      <c r="AA151" s="3462"/>
      <c r="AB151" s="3463"/>
      <c r="AC151" s="3476"/>
      <c r="AD151" s="3461"/>
      <c r="AE151" s="3462"/>
      <c r="AF151" s="3462"/>
      <c r="AG151" s="3463"/>
      <c r="AH151" s="3465"/>
      <c r="AI151" s="3466"/>
    </row>
    <row r="152" ht="20.25" customHeight="1">
      <c r="A152" s="3453"/>
      <c r="B152" s="3454"/>
      <c r="C152" s="3512"/>
      <c r="D152" s="3456"/>
      <c r="E152" s="3501" t="s">
        <v>973</v>
      </c>
      <c r="F152" s="3502"/>
      <c r="G152" s="3513"/>
      <c r="H152" s="3514" t="str">
        <f>IMAGE("https://raw.githubusercontent.com/msikma/pokesprite/master/misc/types/gen8/normal.png",4,20,20)</f>
        <v/>
      </c>
      <c r="J152" s="3501" t="s">
        <v>973</v>
      </c>
      <c r="K152" s="3502"/>
      <c r="L152" s="3513"/>
      <c r="M152" s="3514" t="str">
        <f>IMAGE("https://raw.githubusercontent.com/msikma/pokesprite/master/misc/types/gen8/ice.png",4,20,20)</f>
        <v/>
      </c>
      <c r="O152" s="3501" t="s">
        <v>973</v>
      </c>
      <c r="P152" s="3502"/>
      <c r="Q152" s="3513"/>
      <c r="R152" s="3514" t="str">
        <f>IMAGE("https://raw.githubusercontent.com/msikma/pokesprite/master/misc/types/gen8/water.png",4,20,20)</f>
        <v/>
      </c>
      <c r="S152" s="3474"/>
      <c r="T152" s="3461"/>
      <c r="U152" s="3462"/>
      <c r="V152" s="3462"/>
      <c r="W152" s="3463"/>
      <c r="X152" s="3476"/>
      <c r="Y152" s="3461"/>
      <c r="Z152" s="3462"/>
      <c r="AA152" s="3462"/>
      <c r="AB152" s="3463"/>
      <c r="AC152" s="3476"/>
      <c r="AD152" s="3461"/>
      <c r="AE152" s="3462"/>
      <c r="AF152" s="3462"/>
      <c r="AG152" s="3463"/>
      <c r="AH152" s="3465"/>
      <c r="AI152" s="3466"/>
    </row>
    <row r="153" ht="20.25" customHeight="1">
      <c r="A153" s="3453"/>
      <c r="B153" s="3454"/>
      <c r="C153" s="3515"/>
      <c r="D153" s="3456"/>
      <c r="E153" s="3505" t="s">
        <v>786</v>
      </c>
      <c r="F153" s="3462"/>
      <c r="G153" s="3463"/>
      <c r="H153" s="3516" t="str">
        <f>IMAGE("https://raw.githubusercontent.com/msikma/pokesprite/master/misc/types/gen8/fairy.png",4,20,20)</f>
        <v/>
      </c>
      <c r="J153" s="3505" t="s">
        <v>496</v>
      </c>
      <c r="K153" s="3462"/>
      <c r="L153" s="3463"/>
      <c r="M153" s="3516" t="str">
        <f>IMAGE("https://raw.githubusercontent.com/msikma/pokesprite/master/misc/types/gen8/rock.png",4,20,20)</f>
        <v/>
      </c>
      <c r="O153" s="3505" t="s">
        <v>786</v>
      </c>
      <c r="P153" s="3462"/>
      <c r="Q153" s="3463"/>
      <c r="R153" s="3516" t="str">
        <f>IMAGE("https://raw.githubusercontent.com/msikma/pokesprite/master/misc/types/gen8/fairy.png",4,20,20)</f>
        <v/>
      </c>
      <c r="S153" s="3474"/>
      <c r="T153" s="3461"/>
      <c r="U153" s="3462"/>
      <c r="V153" s="3462"/>
      <c r="W153" s="3463"/>
      <c r="X153" s="3476"/>
      <c r="Y153" s="3461"/>
      <c r="Z153" s="3462"/>
      <c r="AA153" s="3462"/>
      <c r="AB153" s="3463"/>
      <c r="AC153" s="3476"/>
      <c r="AD153" s="3461"/>
      <c r="AE153" s="3462"/>
      <c r="AF153" s="3462"/>
      <c r="AG153" s="3463"/>
      <c r="AH153" s="3465"/>
      <c r="AI153" s="3466"/>
    </row>
    <row r="154" ht="20.25" customHeight="1">
      <c r="A154" s="3453"/>
      <c r="B154" s="3454"/>
      <c r="C154" s="3515"/>
      <c r="D154" s="3456"/>
      <c r="E154" s="3505" t="s">
        <v>971</v>
      </c>
      <c r="F154" s="3462"/>
      <c r="G154" s="3463"/>
      <c r="H154" s="3516" t="str">
        <f>IMAGE("https://raw.githubusercontent.com/msikma/pokesprite/master/misc/types/gen8/fire.png",4,20,20)</f>
        <v/>
      </c>
      <c r="J154" s="3505" t="s">
        <v>981</v>
      </c>
      <c r="K154" s="3462"/>
      <c r="L154" s="3463"/>
      <c r="M154" s="3516" t="str">
        <f>IMAGE("https://raw.githubusercontent.com/msikma/pokesprite/master/misc/types/gen8/water.png",4,20,20)</f>
        <v/>
      </c>
      <c r="O154" s="3505" t="s">
        <v>509</v>
      </c>
      <c r="P154" s="3462"/>
      <c r="Q154" s="3463"/>
      <c r="R154" s="3516" t="str">
        <f>IMAGE("https://raw.githubusercontent.com/msikma/pokesprite/master/misc/types/gen8/ice.png",4,20,20)</f>
        <v/>
      </c>
      <c r="S154" s="3474"/>
      <c r="T154" s="3461"/>
      <c r="U154" s="3462"/>
      <c r="V154" s="3462"/>
      <c r="W154" s="3463"/>
      <c r="X154" s="3476"/>
      <c r="Y154" s="3461"/>
      <c r="Z154" s="3462"/>
      <c r="AA154" s="3462"/>
      <c r="AB154" s="3463"/>
      <c r="AC154" s="3476"/>
      <c r="AD154" s="3461"/>
      <c r="AE154" s="3462"/>
      <c r="AF154" s="3462"/>
      <c r="AG154" s="3463"/>
      <c r="AH154" s="3465"/>
      <c r="AI154" s="3466"/>
    </row>
    <row r="155" ht="21.0" customHeight="1">
      <c r="A155" s="3453"/>
      <c r="B155" s="3454"/>
      <c r="C155" s="3515"/>
      <c r="D155" s="3456"/>
      <c r="E155" s="3517" t="s">
        <v>509</v>
      </c>
      <c r="F155" s="3518"/>
      <c r="G155" s="3521"/>
      <c r="H155" s="3522" t="str">
        <f>IMAGE("https://raw.githubusercontent.com/msikma/pokesprite/master/misc/types/gen8/ice.png",4,20,20)</f>
        <v/>
      </c>
      <c r="I155" s="3520"/>
      <c r="J155" s="3517" t="s">
        <v>1150</v>
      </c>
      <c r="K155" s="3518"/>
      <c r="L155" s="3521"/>
      <c r="M155" s="3522" t="str">
        <f>IMAGE("https://raw.githubusercontent.com/msikma/pokesprite/master/misc/types/gen8/ground.png",4,20,20)</f>
        <v/>
      </c>
      <c r="N155" s="3520"/>
      <c r="O155" s="3517" t="s">
        <v>974</v>
      </c>
      <c r="P155" s="3518"/>
      <c r="Q155" s="3521"/>
      <c r="R155" s="3522" t="str">
        <f>IMAGE("https://raw.githubusercontent.com/msikma/pokesprite/master/misc/types/gen8/water.png",4,20,20)</f>
        <v/>
      </c>
      <c r="S155" s="3523"/>
      <c r="T155" s="3461"/>
      <c r="U155" s="3462"/>
      <c r="V155" s="3462"/>
      <c r="W155" s="3463"/>
      <c r="X155" s="3512"/>
      <c r="Y155" s="3461"/>
      <c r="Z155" s="3462"/>
      <c r="AA155" s="3462"/>
      <c r="AB155" s="3463"/>
      <c r="AC155" s="3512"/>
      <c r="AD155" s="3461"/>
      <c r="AE155" s="3462"/>
      <c r="AF155" s="3462"/>
      <c r="AG155" s="3463"/>
      <c r="AH155" s="3465"/>
      <c r="AI155" s="3466"/>
    </row>
    <row r="156" ht="3.0" customHeight="1">
      <c r="A156" s="3524"/>
      <c r="B156" s="3525"/>
      <c r="C156" s="3526"/>
      <c r="D156" s="3527"/>
      <c r="E156" s="3529"/>
      <c r="F156" s="3529"/>
      <c r="G156" s="3529"/>
      <c r="H156" s="3528"/>
      <c r="I156" s="3527"/>
      <c r="J156" s="3529"/>
      <c r="K156" s="3529"/>
      <c r="L156" s="3529"/>
      <c r="M156" s="3528"/>
      <c r="N156" s="3527"/>
      <c r="O156" s="3529"/>
      <c r="P156" s="3529"/>
      <c r="Q156" s="3529"/>
      <c r="R156" s="3530"/>
      <c r="S156" s="3530"/>
      <c r="T156" s="3530"/>
      <c r="U156" s="3530"/>
      <c r="V156" s="3530"/>
      <c r="W156" s="3530"/>
      <c r="X156" s="3527"/>
      <c r="Y156" s="3527"/>
      <c r="Z156" s="3531"/>
      <c r="AA156" s="3531"/>
      <c r="AB156" s="3532"/>
      <c r="AC156" s="3532"/>
      <c r="AD156" s="3532"/>
      <c r="AE156" s="3532"/>
      <c r="AF156" s="3532"/>
      <c r="AG156" s="3532"/>
      <c r="AH156" s="3533"/>
      <c r="AI156" s="3534"/>
    </row>
    <row r="157" ht="16.5" customHeight="1">
      <c r="A157" s="3535"/>
      <c r="B157" s="3536"/>
      <c r="C157" s="3526"/>
      <c r="D157" s="3771"/>
      <c r="E157" s="3538" t="s">
        <v>512</v>
      </c>
      <c r="F157" s="606"/>
      <c r="G157" s="606"/>
      <c r="H157" s="607"/>
      <c r="I157" s="3539"/>
      <c r="J157" s="3538" t="s">
        <v>512</v>
      </c>
      <c r="K157" s="606"/>
      <c r="L157" s="606"/>
      <c r="M157" s="607"/>
      <c r="N157" s="3539"/>
      <c r="O157" s="3538" t="s">
        <v>512</v>
      </c>
      <c r="P157" s="606"/>
      <c r="Q157" s="606"/>
      <c r="R157" s="607"/>
      <c r="S157" s="3540"/>
      <c r="T157" s="3537"/>
      <c r="U157" s="3537"/>
      <c r="V157" s="3541"/>
      <c r="W157" s="3541"/>
      <c r="X157" s="3541"/>
      <c r="Y157" s="3541"/>
      <c r="Z157" s="3537"/>
      <c r="AA157" s="3537"/>
      <c r="AB157" s="3541"/>
      <c r="AC157" s="3541"/>
      <c r="AD157" s="3541"/>
      <c r="AE157" s="3541"/>
      <c r="AF157" s="3541"/>
      <c r="AG157" s="3541"/>
      <c r="AH157" s="3542"/>
      <c r="AI157" s="3543"/>
    </row>
    <row r="158" ht="16.5" customHeight="1">
      <c r="A158" s="3535"/>
      <c r="B158" s="3536"/>
      <c r="C158" s="3526"/>
      <c r="D158" s="3537"/>
      <c r="E158" s="3544" t="s">
        <v>513</v>
      </c>
      <c r="F158" s="3545">
        <f t="array" ref="F158">IFERROR(VLOOKUP(E145,Dex!$B$3:$N1361,8,FALSE),"")</f>
        <v>115</v>
      </c>
      <c r="G158" s="3546" t="str">
        <f t="array" ref="G158">IFERROR(VLOOKUP(F158,Dex!$P$22:$Q$276,2,FALSE),"")</f>
        <v/>
      </c>
      <c r="H158" s="3547"/>
      <c r="I158" s="3548"/>
      <c r="J158" s="3544" t="s">
        <v>513</v>
      </c>
      <c r="K158" s="3545">
        <f t="array" ref="K158">IFERROR(VLOOKUP(J145,Dex!$B$3:$N1361,8,FALSE),"")</f>
        <v>77</v>
      </c>
      <c r="L158" s="3546" t="str">
        <f t="array" ref="L158">IFERROR(VLOOKUP(K158,Dex!$P$22:$Q$276,2,FALSE),"")</f>
        <v/>
      </c>
      <c r="M158" s="3547"/>
      <c r="N158" s="3548"/>
      <c r="O158" s="3544" t="s">
        <v>513</v>
      </c>
      <c r="P158" s="3545">
        <f t="array" ref="P158">IFERROR(VLOOKUP(O145,Dex!$B$3:$N1361,8,FALSE),"")</f>
        <v>60</v>
      </c>
      <c r="Q158" s="3546" t="str">
        <f t="array" ref="Q158">IFERROR(VLOOKUP(P158,Dex!$P$22:$Q$276,2,FALSE),"")</f>
        <v/>
      </c>
      <c r="R158" s="3547"/>
      <c r="S158" s="3548"/>
      <c r="T158" s="3537"/>
      <c r="U158" s="3537"/>
      <c r="V158" s="3541"/>
      <c r="W158" s="3541"/>
      <c r="X158" s="3541"/>
      <c r="Y158" s="3541"/>
      <c r="Z158" s="3537"/>
      <c r="AA158" s="3537"/>
      <c r="AB158" s="3541"/>
      <c r="AC158" s="3541"/>
      <c r="AD158" s="3541"/>
      <c r="AE158" s="3541"/>
      <c r="AF158" s="3541"/>
      <c r="AG158" s="3541"/>
      <c r="AH158" s="3542"/>
      <c r="AI158" s="3543"/>
    </row>
    <row r="159" ht="16.5" customHeight="1">
      <c r="A159" s="3535"/>
      <c r="B159" s="3536"/>
      <c r="C159" s="3526"/>
      <c r="D159" s="3537"/>
      <c r="E159" s="3549" t="s">
        <v>514</v>
      </c>
      <c r="F159" s="3550">
        <f t="array" ref="F159">IFERROR(VLOOKUP(E145,Dex!$B$3:$N1361,9,FALSE),"")</f>
        <v>45</v>
      </c>
      <c r="G159" s="3551" t="str">
        <f t="array" ref="G159">IFERROR(VLOOKUP(F159,Dex!$P$22:$Q$276,2,FALSE),"")</f>
        <v/>
      </c>
      <c r="H159" s="3552"/>
      <c r="I159" s="3548"/>
      <c r="J159" s="3549" t="s">
        <v>514</v>
      </c>
      <c r="K159" s="3550">
        <f t="array" ref="K159">IFERROR(VLOOKUP(J145,Dex!$B$3:$N1361,9,FALSE),"")</f>
        <v>59</v>
      </c>
      <c r="L159" s="3551" t="str">
        <f t="array" ref="L159">IFERROR(VLOOKUP(K159,Dex!$P$22:$Q$276,2,FALSE),"")</f>
        <v/>
      </c>
      <c r="M159" s="3552"/>
      <c r="N159" s="3548"/>
      <c r="O159" s="3549" t="s">
        <v>514</v>
      </c>
      <c r="P159" s="3550">
        <f t="array" ref="P159">IFERROR(VLOOKUP(O145,Dex!$B$3:$N1361,9,FALSE),"")</f>
        <v>69</v>
      </c>
      <c r="Q159" s="3551" t="str">
        <f t="array" ref="Q159">IFERROR(VLOOKUP(P159,Dex!$P$22:$Q$276,2,FALSE),"")</f>
        <v/>
      </c>
      <c r="R159" s="3552"/>
      <c r="S159" s="3548"/>
      <c r="T159" s="3537"/>
      <c r="U159" s="3537"/>
      <c r="V159" s="3541"/>
      <c r="W159" s="3541"/>
      <c r="X159" s="3541"/>
      <c r="Y159" s="3541"/>
      <c r="Z159" s="3537"/>
      <c r="AA159" s="3537"/>
      <c r="AB159" s="3541"/>
      <c r="AC159" s="3541"/>
      <c r="AD159" s="3541"/>
      <c r="AE159" s="3541"/>
      <c r="AF159" s="3541"/>
      <c r="AG159" s="3541"/>
      <c r="AH159" s="3542"/>
      <c r="AI159" s="3543"/>
    </row>
    <row r="160" ht="16.5" customHeight="1">
      <c r="A160" s="3535"/>
      <c r="B160" s="3536"/>
      <c r="C160" s="3526"/>
      <c r="D160" s="3537"/>
      <c r="E160" s="3549" t="s">
        <v>515</v>
      </c>
      <c r="F160" s="3550">
        <f t="array" ref="F160">IFERROR(VLOOKUP(E145,Dex!$B$3:$N1361,10,FALSE),"")</f>
        <v>20</v>
      </c>
      <c r="G160" s="3551" t="str">
        <f t="array" ref="G160">IFERROR(VLOOKUP(F160,Dex!$P$22:$Q$276,2,FALSE),"")</f>
        <v/>
      </c>
      <c r="H160" s="3552"/>
      <c r="I160" s="3548"/>
      <c r="J160" s="3549" t="s">
        <v>515</v>
      </c>
      <c r="K160" s="3550">
        <f t="array" ref="K160">IFERROR(VLOOKUP(J145,Dex!$B$3:$N1361,10,FALSE),"")</f>
        <v>50</v>
      </c>
      <c r="L160" s="3551" t="str">
        <f t="array" ref="L160">IFERROR(VLOOKUP(K160,Dex!$P$22:$Q$276,2,FALSE),"")</f>
        <v/>
      </c>
      <c r="M160" s="3552"/>
      <c r="N160" s="3548"/>
      <c r="O160" s="3549" t="s">
        <v>515</v>
      </c>
      <c r="P160" s="3550">
        <f t="array" ref="P160">IFERROR(VLOOKUP(O145,Dex!$B$3:$N1361,10,FALSE),"")</f>
        <v>69</v>
      </c>
      <c r="Q160" s="3551" t="str">
        <f t="array" ref="Q160">IFERROR(VLOOKUP(P160,Dex!$P$22:$Q$276,2,FALSE),"")</f>
        <v/>
      </c>
      <c r="R160" s="3552"/>
      <c r="S160" s="3548"/>
      <c r="T160" s="3537"/>
      <c r="U160" s="3537"/>
      <c r="V160" s="3541"/>
      <c r="W160" s="3541"/>
      <c r="X160" s="3541"/>
      <c r="Y160" s="3541"/>
      <c r="Z160" s="3537"/>
      <c r="AA160" s="3537"/>
      <c r="AB160" s="3541"/>
      <c r="AC160" s="3541"/>
      <c r="AD160" s="3541"/>
      <c r="AE160" s="3541"/>
      <c r="AF160" s="3541"/>
      <c r="AG160" s="3541"/>
      <c r="AH160" s="3542"/>
      <c r="AI160" s="3543"/>
    </row>
    <row r="161" ht="16.5" customHeight="1">
      <c r="A161" s="3535"/>
      <c r="B161" s="3536"/>
      <c r="C161" s="3526"/>
      <c r="D161" s="3537"/>
      <c r="E161" s="3549" t="s">
        <v>516</v>
      </c>
      <c r="F161" s="3550">
        <f t="array" ref="F161">IFERROR(VLOOKUP(E145,Dex!$B$3:$N1361,11,FALSE),"")</f>
        <v>45</v>
      </c>
      <c r="G161" s="3551" t="str">
        <f t="array" ref="G161">IFERROR(VLOOKUP(F161,Dex!$P$22:$Q$276,2,FALSE),"")</f>
        <v/>
      </c>
      <c r="H161" s="3552"/>
      <c r="I161" s="3548"/>
      <c r="J161" s="3549" t="s">
        <v>516</v>
      </c>
      <c r="K161" s="3550">
        <f t="array" ref="K161">IFERROR(VLOOKUP(J145,Dex!$B$3:$N1361,11,FALSE),"")</f>
        <v>67</v>
      </c>
      <c r="L161" s="3551" t="str">
        <f t="array" ref="L161">IFERROR(VLOOKUP(K161,Dex!$P$22:$Q$276,2,FALSE),"")</f>
        <v/>
      </c>
      <c r="M161" s="3552"/>
      <c r="N161" s="3548"/>
      <c r="O161" s="3549" t="s">
        <v>516</v>
      </c>
      <c r="P161" s="3550">
        <f t="array" ref="P161">IFERROR(VLOOKUP(O145,Dex!$B$3:$N1361,11,FALSE),"")</f>
        <v>91</v>
      </c>
      <c r="Q161" s="3551" t="str">
        <f t="array" ref="Q161">IFERROR(VLOOKUP(P161,Dex!$P$22:$Q$276,2,FALSE),"")</f>
        <v/>
      </c>
      <c r="R161" s="3552"/>
      <c r="S161" s="3548"/>
      <c r="T161" s="3537"/>
      <c r="U161" s="3537"/>
      <c r="V161" s="3541"/>
      <c r="W161" s="3541"/>
      <c r="X161" s="3541"/>
      <c r="Y161" s="3541"/>
      <c r="Z161" s="3537"/>
      <c r="AA161" s="3537"/>
      <c r="AB161" s="3541"/>
      <c r="AC161" s="3541"/>
      <c r="AD161" s="3541"/>
      <c r="AE161" s="3541"/>
      <c r="AF161" s="3541"/>
      <c r="AG161" s="3541"/>
      <c r="AH161" s="3542"/>
      <c r="AI161" s="3543"/>
    </row>
    <row r="162" ht="16.5" customHeight="1">
      <c r="A162" s="3535"/>
      <c r="B162" s="3536"/>
      <c r="C162" s="3526"/>
      <c r="D162" s="3537"/>
      <c r="E162" s="3549" t="s">
        <v>517</v>
      </c>
      <c r="F162" s="3550">
        <f t="array" ref="F162">IFERROR(VLOOKUP(E145,Dex!$B$3:$N1361,12,FALSE),"")</f>
        <v>25</v>
      </c>
      <c r="G162" s="3551" t="str">
        <f t="array" ref="G162">IFERROR(VLOOKUP(F162,Dex!$P$22:$Q$276,2,FALSE),"")</f>
        <v/>
      </c>
      <c r="H162" s="3552"/>
      <c r="I162" s="3548"/>
      <c r="J162" s="3549" t="s">
        <v>517</v>
      </c>
      <c r="K162" s="3550">
        <f t="array" ref="K162">IFERROR(VLOOKUP(J145,Dex!$B$3:$N1361,12,FALSE),"")</f>
        <v>63</v>
      </c>
      <c r="L162" s="3551" t="str">
        <f t="array" ref="L162">IFERROR(VLOOKUP(K162,Dex!$P$22:$Q$276,2,FALSE),"")</f>
        <v/>
      </c>
      <c r="M162" s="3552"/>
      <c r="N162" s="3548"/>
      <c r="O162" s="3549" t="s">
        <v>517</v>
      </c>
      <c r="P162" s="3550">
        <f t="array" ref="P162">IFERROR(VLOOKUP(O145,Dex!$B$3:$N1361,12,FALSE),"")</f>
        <v>81</v>
      </c>
      <c r="Q162" s="3551" t="str">
        <f t="array" ref="Q162">IFERROR(VLOOKUP(P162,Dex!$P$22:$Q$276,2,FALSE),"")</f>
        <v/>
      </c>
      <c r="R162" s="3552"/>
      <c r="S162" s="3548"/>
      <c r="T162" s="3537"/>
      <c r="U162" s="3537"/>
      <c r="V162" s="3541"/>
      <c r="W162" s="3541"/>
      <c r="X162" s="3541"/>
      <c r="Y162" s="3541"/>
      <c r="Z162" s="3537"/>
      <c r="AA162" s="3537"/>
      <c r="AB162" s="3541"/>
      <c r="AC162" s="3541"/>
      <c r="AD162" s="3541"/>
      <c r="AE162" s="3541"/>
      <c r="AF162" s="3541"/>
      <c r="AG162" s="3541"/>
      <c r="AH162" s="3542"/>
      <c r="AI162" s="3543"/>
    </row>
    <row r="163" ht="16.5" customHeight="1">
      <c r="A163" s="3535"/>
      <c r="B163" s="3536"/>
      <c r="C163" s="1426" t="s">
        <v>745</v>
      </c>
      <c r="D163" s="3537"/>
      <c r="E163" s="3553" t="s">
        <v>518</v>
      </c>
      <c r="F163" s="3554">
        <f t="array" ref="F163">IFERROR(VLOOKUP(E145,Dex!$B$3:$N1361,13,FALSE),"")</f>
        <v>20</v>
      </c>
      <c r="G163" s="3555" t="str">
        <f t="array" ref="G163">IFERROR(VLOOKUP(F163,Dex!$P$22:$Q$276,2,FALSE),"")</f>
        <v/>
      </c>
      <c r="H163" s="3556"/>
      <c r="I163" s="3548"/>
      <c r="J163" s="3553" t="s">
        <v>518</v>
      </c>
      <c r="K163" s="3554">
        <f t="array" ref="K163">IFERROR(VLOOKUP(J145,Dex!$B$3:$N1361,13,FALSE),"")</f>
        <v>46</v>
      </c>
      <c r="L163" s="3555" t="str">
        <f t="array" ref="L163">IFERROR(VLOOKUP(K163,Dex!$P$22:$Q$276,2,FALSE),"")</f>
        <v/>
      </c>
      <c r="M163" s="3556"/>
      <c r="N163" s="3548"/>
      <c r="O163" s="3553" t="s">
        <v>518</v>
      </c>
      <c r="P163" s="3554">
        <f t="array" ref="P163">IFERROR(VLOOKUP(O145,Dex!$B$3:$N1361,13,FALSE),"")</f>
        <v>50</v>
      </c>
      <c r="Q163" s="3555" t="str">
        <f t="array" ref="Q163">IFERROR(VLOOKUP(P163,Dex!$P$22:$Q$276,2,FALSE),"")</f>
        <v/>
      </c>
      <c r="R163" s="3556"/>
      <c r="S163" s="3548"/>
      <c r="T163" s="3537"/>
      <c r="U163" s="3537"/>
      <c r="V163" s="3541"/>
      <c r="W163" s="3541"/>
      <c r="X163" s="3541"/>
      <c r="Y163" s="3541"/>
      <c r="Z163" s="3537"/>
      <c r="AA163" s="3537"/>
      <c r="AB163" s="3541"/>
      <c r="AC163" s="3541"/>
      <c r="AD163" s="3541"/>
      <c r="AE163" s="3541"/>
      <c r="AF163" s="3541"/>
      <c r="AG163" s="3541"/>
      <c r="AH163" s="3542"/>
      <c r="AI163" s="3543"/>
    </row>
    <row r="164" ht="16.5" customHeight="1">
      <c r="A164" s="3535"/>
      <c r="B164" s="3536"/>
      <c r="C164" s="1427" t="s">
        <v>836</v>
      </c>
      <c r="D164" s="3771"/>
      <c r="E164" s="3557" t="s">
        <v>519</v>
      </c>
      <c r="F164" s="630"/>
      <c r="G164" s="631"/>
      <c r="H164" s="632">
        <f>ROUNDDOWN((ROUNDDOWN(((((2*F163+31)*27)/100+5)),0))*1,0)</f>
        <v>24</v>
      </c>
      <c r="I164" s="3539"/>
      <c r="J164" s="3557" t="s">
        <v>519</v>
      </c>
      <c r="K164" s="630"/>
      <c r="L164" s="631"/>
      <c r="M164" s="632">
        <f>ROUNDDOWN((ROUNDDOWN(((((2*K163+31)*26)/100+5)),0))*1,0)</f>
        <v>36</v>
      </c>
      <c r="N164" s="3539"/>
      <c r="O164" s="3557" t="s">
        <v>519</v>
      </c>
      <c r="P164" s="630"/>
      <c r="Q164" s="631"/>
      <c r="R164" s="632">
        <f>ROUNDDOWN((ROUNDDOWN(((((2*P163+31)*26)/100+5)),0))*1,0)</f>
        <v>39</v>
      </c>
      <c r="S164" s="3548"/>
      <c r="T164" s="3537"/>
      <c r="U164" s="3537"/>
      <c r="V164" s="3541"/>
      <c r="W164" s="3541"/>
      <c r="X164" s="3541"/>
      <c r="Y164" s="3541"/>
      <c r="Z164" s="3537"/>
      <c r="AA164" s="3537"/>
      <c r="AB164" s="3541"/>
      <c r="AC164" s="3541"/>
      <c r="AD164" s="3541"/>
      <c r="AE164" s="3541"/>
      <c r="AF164" s="3541"/>
      <c r="AG164" s="3541"/>
      <c r="AH164" s="3542"/>
      <c r="AI164" s="3543"/>
    </row>
    <row r="165" ht="15.0" customHeight="1">
      <c r="A165" s="3453"/>
      <c r="B165" s="3558"/>
      <c r="C165" s="3559"/>
      <c r="D165" s="3560"/>
      <c r="E165" s="3563"/>
      <c r="F165" s="3563"/>
      <c r="G165" s="3563"/>
      <c r="H165" s="3561"/>
      <c r="I165" s="3562"/>
      <c r="J165" s="3563"/>
      <c r="K165" s="3563"/>
      <c r="L165" s="3563"/>
      <c r="M165" s="3561"/>
      <c r="N165" s="3564"/>
      <c r="O165" s="3563"/>
      <c r="P165" s="3563"/>
      <c r="Q165" s="3563"/>
      <c r="R165" s="3562"/>
      <c r="S165" s="3564"/>
      <c r="T165" s="3565"/>
      <c r="U165" s="3565"/>
      <c r="V165" s="3565"/>
      <c r="W165" s="3565"/>
      <c r="X165" s="3564"/>
      <c r="Y165" s="3565"/>
      <c r="Z165" s="3565"/>
      <c r="AA165" s="3565"/>
      <c r="AB165" s="3565"/>
      <c r="AC165" s="3564"/>
      <c r="AD165" s="3565"/>
      <c r="AE165" s="3565"/>
      <c r="AF165" s="3565"/>
      <c r="AG165" s="3565"/>
      <c r="AH165" s="3566"/>
      <c r="AI165" s="3466"/>
    </row>
    <row r="166" ht="15.0" customHeight="1">
      <c r="A166" s="3446"/>
      <c r="B166" s="3898"/>
      <c r="C166" s="3899"/>
      <c r="D166" s="3900"/>
      <c r="E166" s="3900"/>
      <c r="F166" s="3900"/>
      <c r="G166" s="3900"/>
      <c r="H166" s="3900"/>
      <c r="I166" s="3900"/>
      <c r="J166" s="3900"/>
      <c r="K166" s="3900"/>
      <c r="L166" s="3900"/>
      <c r="M166" s="3900"/>
      <c r="N166" s="3900"/>
      <c r="O166" s="3900"/>
      <c r="P166" s="3900"/>
      <c r="Q166" s="3900"/>
      <c r="R166" s="3900"/>
      <c r="S166" s="3900"/>
      <c r="T166" s="3900"/>
      <c r="U166" s="3900"/>
      <c r="V166" s="3900"/>
      <c r="W166" s="3900"/>
      <c r="X166" s="3900"/>
      <c r="Y166" s="3900"/>
      <c r="Z166" s="3900"/>
      <c r="AA166" s="3900"/>
      <c r="AB166" s="3900"/>
      <c r="AC166" s="3900"/>
      <c r="AD166" s="3900"/>
      <c r="AE166" s="3900"/>
      <c r="AF166" s="3900"/>
      <c r="AG166" s="3900"/>
      <c r="AH166" s="3901"/>
      <c r="AI166" s="3452"/>
    </row>
    <row r="167">
      <c r="A167" s="3446"/>
      <c r="B167" s="3902"/>
      <c r="C167" s="3903"/>
      <c r="D167" s="3904"/>
      <c r="E167" s="3905" t="s">
        <v>1408</v>
      </c>
      <c r="F167" s="3906"/>
      <c r="G167" s="3906"/>
      <c r="H167" s="3906"/>
      <c r="I167" s="3906"/>
      <c r="J167" s="3906"/>
      <c r="K167" s="3906"/>
      <c r="L167" s="3906"/>
      <c r="M167" s="3906"/>
      <c r="N167" s="3906"/>
      <c r="O167" s="3906"/>
      <c r="P167" s="3906"/>
      <c r="Q167" s="3906"/>
      <c r="R167" s="3906"/>
      <c r="S167" s="3906"/>
      <c r="T167" s="3906"/>
      <c r="U167" s="3906"/>
      <c r="V167" s="3906"/>
      <c r="W167" s="3906"/>
      <c r="X167" s="3906"/>
      <c r="Y167" s="3906"/>
      <c r="Z167" s="3906"/>
      <c r="AA167" s="3906"/>
      <c r="AB167" s="3906"/>
      <c r="AC167" s="3906"/>
      <c r="AD167" s="3906"/>
      <c r="AE167" s="3906"/>
      <c r="AF167" s="3906"/>
      <c r="AG167" s="3907"/>
      <c r="AH167" s="3908"/>
      <c r="AI167" s="3452"/>
    </row>
    <row r="168" ht="96.75" customHeight="1">
      <c r="A168" s="3446"/>
      <c r="B168" s="3902"/>
      <c r="C168" s="3909" t="str">
        <f>IMAGE("https://i.ibb.co/6nGd7Gm/Youngster.png")</f>
        <v/>
      </c>
      <c r="D168" s="3910"/>
      <c r="E168" s="3911" t="str">
        <f t="array" ref="E168">IFERROR(VLOOKUP(E169,Dex!$B$3:$G1361,3,FALSE),"")</f>
        <v/>
      </c>
      <c r="F168" s="1945"/>
      <c r="G168" s="1945"/>
      <c r="H168" s="1946"/>
      <c r="I168" s="3912"/>
      <c r="J168" s="3911" t="str">
        <f t="array" ref="J168">IFERROR(VLOOKUP(J169,Dex!$B$3:$G1361,3,FALSE),"")</f>
        <v/>
      </c>
      <c r="K168" s="1945"/>
      <c r="L168" s="1945"/>
      <c r="M168" s="1946"/>
      <c r="N168" s="3912"/>
      <c r="O168" s="3911" t="str">
        <f t="array" ref="O168">IFERROR(VLOOKUP(O169,Dex!$B$3:$G1361,3,FALSE),"")</f>
        <v/>
      </c>
      <c r="P168" s="1945"/>
      <c r="Q168" s="1945"/>
      <c r="R168" s="1946"/>
      <c r="S168" s="3913"/>
      <c r="T168" s="3914"/>
      <c r="U168" s="3906"/>
      <c r="V168" s="3906"/>
      <c r="W168" s="3907"/>
      <c r="X168" s="3913"/>
      <c r="Y168" s="3914"/>
      <c r="Z168" s="3906"/>
      <c r="AA168" s="3906"/>
      <c r="AB168" s="3907"/>
      <c r="AC168" s="3913"/>
      <c r="AD168" s="3914"/>
      <c r="AE168" s="3906"/>
      <c r="AF168" s="3906"/>
      <c r="AG168" s="3907"/>
      <c r="AH168" s="3908"/>
      <c r="AI168" s="3452"/>
    </row>
    <row r="169" ht="18.75" customHeight="1">
      <c r="A169" s="3689"/>
      <c r="B169" s="3915"/>
      <c r="C169" s="3916" t="s">
        <v>1409</v>
      </c>
      <c r="D169" s="3917"/>
      <c r="E169" s="3918" t="s">
        <v>1032</v>
      </c>
      <c r="F169" s="3919"/>
      <c r="G169" s="3919"/>
      <c r="H169" s="3920"/>
      <c r="I169" s="3921"/>
      <c r="J169" s="3918" t="s">
        <v>1410</v>
      </c>
      <c r="K169" s="3919"/>
      <c r="L169" s="3919"/>
      <c r="M169" s="3920"/>
      <c r="N169" s="3921"/>
      <c r="O169" s="3918" t="s">
        <v>1411</v>
      </c>
      <c r="P169" s="3919"/>
      <c r="Q169" s="3919"/>
      <c r="R169" s="3920"/>
      <c r="S169" s="3921"/>
      <c r="T169" s="3922"/>
      <c r="U169" s="3906"/>
      <c r="V169" s="3906"/>
      <c r="W169" s="3907"/>
      <c r="X169" s="3921"/>
      <c r="Y169" s="3922"/>
      <c r="Z169" s="3906"/>
      <c r="AA169" s="3906"/>
      <c r="AB169" s="3907"/>
      <c r="AC169" s="3921"/>
      <c r="AD169" s="3922"/>
      <c r="AE169" s="3906"/>
      <c r="AF169" s="3906"/>
      <c r="AG169" s="3907"/>
      <c r="AH169" s="3923"/>
      <c r="AI169" s="3700"/>
    </row>
    <row r="170">
      <c r="A170" s="3701"/>
      <c r="B170" s="3924"/>
      <c r="C170" s="1638"/>
      <c r="D170" s="3925"/>
      <c r="E170" s="3926" t="s">
        <v>796</v>
      </c>
      <c r="F170" s="3927"/>
      <c r="G170" s="3927"/>
      <c r="H170" s="3928"/>
      <c r="I170" s="3921"/>
      <c r="J170" s="3926" t="s">
        <v>796</v>
      </c>
      <c r="K170" s="3927"/>
      <c r="L170" s="3927"/>
      <c r="M170" s="3928"/>
      <c r="N170" s="3921"/>
      <c r="O170" s="3926" t="s">
        <v>796</v>
      </c>
      <c r="P170" s="3927"/>
      <c r="Q170" s="3927"/>
      <c r="R170" s="3928"/>
      <c r="S170" s="3921"/>
      <c r="T170" s="3929"/>
      <c r="U170" s="3906"/>
      <c r="V170" s="3906"/>
      <c r="W170" s="3907"/>
      <c r="X170" s="3921"/>
      <c r="Y170" s="3929"/>
      <c r="Z170" s="3906"/>
      <c r="AA170" s="3906"/>
      <c r="AB170" s="3907"/>
      <c r="AC170" s="3921"/>
      <c r="AD170" s="3929"/>
      <c r="AE170" s="3906"/>
      <c r="AF170" s="3906"/>
      <c r="AG170" s="3907"/>
      <c r="AH170" s="3930"/>
      <c r="AI170" s="3709"/>
    </row>
    <row r="171" ht="25.5" customHeight="1">
      <c r="A171" s="3446"/>
      <c r="B171" s="3902"/>
      <c r="C171" s="1646"/>
      <c r="D171" s="3904"/>
      <c r="E171" s="3931"/>
      <c r="F171" s="3932" t="str">
        <f t="array" ref="F171">IFERROR(VLOOKUP(E169,Dex!$B$3:$H1361,5,FALSE),"")</f>
        <v/>
      </c>
      <c r="G171" s="3933"/>
      <c r="H171" s="3934"/>
      <c r="I171" s="3921"/>
      <c r="J171" s="3931"/>
      <c r="K171" s="3932" t="str">
        <f t="array" ref="K171">IFERROR(VLOOKUP(J169,Dex!$B$3:$H1361,5,FALSE),"")</f>
        <v/>
      </c>
      <c r="L171" s="3933"/>
      <c r="M171" s="3934"/>
      <c r="N171" s="3921"/>
      <c r="O171" s="3931"/>
      <c r="P171" s="3935" t="str">
        <f t="array" ref="P171">IFERROR(VLOOKUP(O169,Dex!$B$3:$H1361,5,FALSE),"")</f>
        <v/>
      </c>
      <c r="Q171" s="3935" t="str">
        <f t="array" ref="Q171">IFERROR(VLOOKUP(O169,Dex!$B$3:$H1361,7,FALSE),"")</f>
        <v/>
      </c>
      <c r="R171" s="3934"/>
      <c r="S171" s="3921"/>
      <c r="T171" s="3914"/>
      <c r="U171" s="3906"/>
      <c r="V171" s="3906"/>
      <c r="W171" s="3907"/>
      <c r="X171" s="3921"/>
      <c r="Y171" s="3914"/>
      <c r="Z171" s="3906"/>
      <c r="AA171" s="3906"/>
      <c r="AB171" s="3907"/>
      <c r="AC171" s="3921"/>
      <c r="AD171" s="3914"/>
      <c r="AE171" s="3906"/>
      <c r="AF171" s="3906"/>
      <c r="AG171" s="3907"/>
      <c r="AH171" s="3908"/>
      <c r="AI171" s="3452"/>
    </row>
    <row r="172" ht="2.25" customHeight="1">
      <c r="A172" s="3446"/>
      <c r="B172" s="3902"/>
      <c r="C172" s="3903"/>
      <c r="D172" s="3904"/>
      <c r="E172" s="3936"/>
      <c r="F172" s="3937"/>
      <c r="G172" s="3937"/>
      <c r="H172" s="3938"/>
      <c r="I172" s="3921"/>
      <c r="J172" s="3936"/>
      <c r="K172" s="3937"/>
      <c r="L172" s="3937"/>
      <c r="M172" s="3938"/>
      <c r="N172" s="3921"/>
      <c r="O172" s="3936"/>
      <c r="P172" s="3937"/>
      <c r="Q172" s="3937"/>
      <c r="R172" s="3938"/>
      <c r="S172" s="3921"/>
      <c r="T172" s="3904"/>
      <c r="U172" s="3904"/>
      <c r="V172" s="3904"/>
      <c r="W172" s="3904"/>
      <c r="X172" s="3921"/>
      <c r="Y172" s="3904"/>
      <c r="Z172" s="3904"/>
      <c r="AA172" s="3904"/>
      <c r="AB172" s="3904"/>
      <c r="AC172" s="3921"/>
      <c r="AD172" s="3904"/>
      <c r="AE172" s="3904"/>
      <c r="AF172" s="3904"/>
      <c r="AG172" s="3904"/>
      <c r="AH172" s="3908"/>
      <c r="AI172" s="3452"/>
    </row>
    <row r="173" ht="20.25" customHeight="1">
      <c r="A173" s="3446"/>
      <c r="B173" s="3902"/>
      <c r="C173" s="3903"/>
      <c r="D173" s="3904"/>
      <c r="E173" s="3939" t="s">
        <v>564</v>
      </c>
      <c r="F173" s="3940"/>
      <c r="G173" s="3940"/>
      <c r="H173" s="3941"/>
      <c r="I173" s="3921"/>
      <c r="J173" s="3939" t="s">
        <v>564</v>
      </c>
      <c r="K173" s="3940"/>
      <c r="L173" s="3940"/>
      <c r="M173" s="3941"/>
      <c r="N173" s="3921"/>
      <c r="O173" s="3939" t="s">
        <v>481</v>
      </c>
      <c r="P173" s="3940"/>
      <c r="Q173" s="3940"/>
      <c r="R173" s="3941"/>
      <c r="S173" s="3921"/>
      <c r="T173" s="3914"/>
      <c r="U173" s="3906"/>
      <c r="V173" s="3906"/>
      <c r="W173" s="3907"/>
      <c r="X173" s="3921"/>
      <c r="Y173" s="3914"/>
      <c r="Z173" s="3906"/>
      <c r="AA173" s="3906"/>
      <c r="AB173" s="3907"/>
      <c r="AC173" s="3921"/>
      <c r="AD173" s="3914"/>
      <c r="AE173" s="3906"/>
      <c r="AF173" s="3906"/>
      <c r="AG173" s="3907"/>
      <c r="AH173" s="3908"/>
      <c r="AI173" s="3452"/>
    </row>
    <row r="174" ht="20.25" customHeight="1">
      <c r="A174" s="3446"/>
      <c r="B174" s="3902"/>
      <c r="C174" s="3942"/>
      <c r="D174" s="3904"/>
      <c r="E174" s="3943" t="s">
        <v>1412</v>
      </c>
      <c r="F174" s="3906"/>
      <c r="G174" s="3906"/>
      <c r="H174" s="3944"/>
      <c r="I174" s="3921"/>
      <c r="J174" s="3943" t="s">
        <v>1413</v>
      </c>
      <c r="K174" s="3906"/>
      <c r="L174" s="3906"/>
      <c r="M174" s="3944"/>
      <c r="N174" s="3921"/>
      <c r="O174" s="3943" t="s">
        <v>1229</v>
      </c>
      <c r="P174" s="3906"/>
      <c r="Q174" s="3906"/>
      <c r="R174" s="3944"/>
      <c r="S174" s="3921"/>
      <c r="T174" s="3914"/>
      <c r="U174" s="3906"/>
      <c r="V174" s="3906"/>
      <c r="W174" s="3907"/>
      <c r="X174" s="3921"/>
      <c r="Y174" s="3914"/>
      <c r="Z174" s="3906"/>
      <c r="AA174" s="3906"/>
      <c r="AB174" s="3907"/>
      <c r="AC174" s="3921"/>
      <c r="AD174" s="3914"/>
      <c r="AE174" s="3906"/>
      <c r="AF174" s="3906"/>
      <c r="AG174" s="3907"/>
      <c r="AH174" s="3908"/>
      <c r="AI174" s="3452"/>
    </row>
    <row r="175" ht="20.25" customHeight="1">
      <c r="A175" s="3446"/>
      <c r="B175" s="3902"/>
      <c r="C175" s="3921"/>
      <c r="D175" s="3904"/>
      <c r="E175" s="3945" t="s">
        <v>684</v>
      </c>
      <c r="F175" s="3946"/>
      <c r="G175" s="3947"/>
      <c r="H175" s="3948" t="str">
        <f>IMAGE("https://raw.githubusercontent.com/msikma/pokesprite/master/items/berry/shuca.png",3)</f>
        <v/>
      </c>
      <c r="I175" s="3921"/>
      <c r="J175" s="3945" t="s">
        <v>829</v>
      </c>
      <c r="K175" s="3946"/>
      <c r="L175" s="3947"/>
      <c r="M175" s="3948" t="str">
        <f>IMAGE("https://raw.githubusercontent.com/msikma/pokesprite/master/items/hold-item/magnet.png",3)</f>
        <v/>
      </c>
      <c r="N175" s="3921"/>
      <c r="O175" s="3945" t="s">
        <v>1414</v>
      </c>
      <c r="P175" s="3946"/>
      <c r="Q175" s="3947"/>
      <c r="R175" s="3948" t="str">
        <f>IMAGE("https://raw.githubusercontent.com/msikma/pokesprite/master/items/berry/occa.png",3)</f>
        <v/>
      </c>
      <c r="S175" s="3921"/>
      <c r="T175" s="3914"/>
      <c r="U175" s="3906"/>
      <c r="V175" s="3906"/>
      <c r="W175" s="3907"/>
      <c r="X175" s="3921"/>
      <c r="Y175" s="3914"/>
      <c r="Z175" s="3906"/>
      <c r="AA175" s="3906"/>
      <c r="AB175" s="3907"/>
      <c r="AC175" s="3921"/>
      <c r="AD175" s="3914"/>
      <c r="AE175" s="3906"/>
      <c r="AF175" s="3906"/>
      <c r="AG175" s="3907"/>
      <c r="AH175" s="3908"/>
      <c r="AI175" s="3452"/>
    </row>
    <row r="176" ht="20.25" customHeight="1">
      <c r="A176" s="3446"/>
      <c r="B176" s="3902"/>
      <c r="C176" s="3949"/>
      <c r="D176" s="3904"/>
      <c r="E176" s="3939" t="s">
        <v>742</v>
      </c>
      <c r="F176" s="3940"/>
      <c r="G176" s="3950"/>
      <c r="H176" s="3951" t="str">
        <f>IMAGE("https://raw.githubusercontent.com/msikma/pokesprite/master/misc/types/gen8/grass.png",4,20,20)</f>
        <v/>
      </c>
      <c r="I176" s="3921"/>
      <c r="J176" s="3939" t="s">
        <v>1178</v>
      </c>
      <c r="K176" s="3940"/>
      <c r="L176" s="3950"/>
      <c r="M176" s="3951" t="str">
        <f>IMAGE("https://raw.githubusercontent.com/msikma/pokesprite/master/misc/types/gen8/electric.png",4,20,20)</f>
        <v/>
      </c>
      <c r="N176" s="3921"/>
      <c r="O176" s="3939" t="s">
        <v>1282</v>
      </c>
      <c r="P176" s="3940"/>
      <c r="Q176" s="3950"/>
      <c r="R176" s="3951" t="str">
        <f>IMAGE("https://raw.githubusercontent.com/msikma/pokesprite/master/misc/types/gen8/ice.png",4,20,20)</f>
        <v/>
      </c>
      <c r="S176" s="3921"/>
      <c r="T176" s="3914"/>
      <c r="U176" s="3906"/>
      <c r="V176" s="3906"/>
      <c r="W176" s="3907"/>
      <c r="X176" s="3921"/>
      <c r="Y176" s="3914"/>
      <c r="Z176" s="3906"/>
      <c r="AA176" s="3906"/>
      <c r="AB176" s="3907"/>
      <c r="AC176" s="3921"/>
      <c r="AD176" s="3914"/>
      <c r="AE176" s="3906"/>
      <c r="AF176" s="3906"/>
      <c r="AG176" s="3907"/>
      <c r="AH176" s="3908"/>
      <c r="AI176" s="3452"/>
    </row>
    <row r="177" ht="20.25" customHeight="1">
      <c r="A177" s="3446"/>
      <c r="B177" s="3902"/>
      <c r="C177" s="3903"/>
      <c r="D177" s="3904"/>
      <c r="E177" s="3943" t="s">
        <v>1401</v>
      </c>
      <c r="F177" s="3906"/>
      <c r="G177" s="3907"/>
      <c r="H177" s="3952" t="str">
        <f>IMAGE("https://raw.githubusercontent.com/msikma/pokesprite/master/misc/types/gen8/electric.png",4,20,20)</f>
        <v/>
      </c>
      <c r="I177" s="3921"/>
      <c r="J177" s="3943" t="s">
        <v>973</v>
      </c>
      <c r="K177" s="3906"/>
      <c r="L177" s="3907"/>
      <c r="M177" s="3952" t="str">
        <f>IMAGE("https://raw.githubusercontent.com/msikma/pokesprite/master/misc/types/gen8/normal.png",4,20,20)</f>
        <v/>
      </c>
      <c r="N177" s="3921"/>
      <c r="O177" s="3943" t="s">
        <v>510</v>
      </c>
      <c r="P177" s="3906"/>
      <c r="Q177" s="3907"/>
      <c r="R177" s="3952" t="str">
        <f>IMAGE("https://raw.githubusercontent.com/msikma/pokesprite/master/misc/types/gen8/grass.png",4,20,20)</f>
        <v/>
      </c>
      <c r="S177" s="3921"/>
      <c r="T177" s="3914"/>
      <c r="U177" s="3906"/>
      <c r="V177" s="3906"/>
      <c r="W177" s="3907"/>
      <c r="X177" s="3921"/>
      <c r="Y177" s="3914"/>
      <c r="Z177" s="3906"/>
      <c r="AA177" s="3906"/>
      <c r="AB177" s="3907"/>
      <c r="AC177" s="3921"/>
      <c r="AD177" s="3914"/>
      <c r="AE177" s="3906"/>
      <c r="AF177" s="3906"/>
      <c r="AG177" s="3907"/>
      <c r="AH177" s="3908"/>
      <c r="AI177" s="3452"/>
    </row>
    <row r="178" ht="20.25" customHeight="1">
      <c r="A178" s="3446"/>
      <c r="B178" s="3902"/>
      <c r="C178" s="3903"/>
      <c r="D178" s="3904"/>
      <c r="E178" s="3943" t="s">
        <v>789</v>
      </c>
      <c r="F178" s="3906"/>
      <c r="G178" s="3907"/>
      <c r="H178" s="3952" t="str">
        <f>IMAGE("https://raw.githubusercontent.com/msikma/pokesprite/master/misc/types/gen8/bug.png",4,20,20)</f>
        <v/>
      </c>
      <c r="I178" s="3921"/>
      <c r="J178" s="3943" t="s">
        <v>1415</v>
      </c>
      <c r="K178" s="3906"/>
      <c r="L178" s="3907"/>
      <c r="M178" s="3952" t="str">
        <f>IMAGE("https://raw.githubusercontent.com/msikma/pokesprite/master/misc/types/gen8/fire.png",4,20,20)</f>
        <v/>
      </c>
      <c r="N178" s="3921"/>
      <c r="O178" s="3943" t="s">
        <v>925</v>
      </c>
      <c r="P178" s="3906"/>
      <c r="Q178" s="3907"/>
      <c r="R178" s="3952" t="str">
        <f>IMAGE("https://raw.githubusercontent.com/msikma/pokesprite/master/misc/types/gen8/ice.png",4,20,20)</f>
        <v/>
      </c>
      <c r="S178" s="3921"/>
      <c r="T178" s="3914"/>
      <c r="U178" s="3906"/>
      <c r="V178" s="3906"/>
      <c r="W178" s="3907"/>
      <c r="X178" s="3921"/>
      <c r="Y178" s="3914"/>
      <c r="Z178" s="3906"/>
      <c r="AA178" s="3906"/>
      <c r="AB178" s="3907"/>
      <c r="AC178" s="3921"/>
      <c r="AD178" s="3914"/>
      <c r="AE178" s="3906"/>
      <c r="AF178" s="3906"/>
      <c r="AG178" s="3907"/>
      <c r="AH178" s="3908"/>
      <c r="AI178" s="3452"/>
    </row>
    <row r="179" ht="21.0" customHeight="1">
      <c r="A179" s="3446"/>
      <c r="B179" s="3902"/>
      <c r="C179" s="3903"/>
      <c r="D179" s="3904"/>
      <c r="E179" s="3953" t="s">
        <v>129</v>
      </c>
      <c r="F179" s="3954"/>
      <c r="G179" s="3955"/>
      <c r="H179" s="3956" t="str">
        <f>IMAGE("https://raw.githubusercontent.com/msikma/pokesprite/master/misc/types/gen8/electric.png",4,20,20)</f>
        <v/>
      </c>
      <c r="I179" s="3949"/>
      <c r="J179" s="3953" t="s">
        <v>789</v>
      </c>
      <c r="K179" s="3954"/>
      <c r="L179" s="3955"/>
      <c r="M179" s="3956" t="str">
        <f>IMAGE("https://raw.githubusercontent.com/msikma/pokesprite/master/misc/types/gen8/bug.png",4,20,20)</f>
        <v/>
      </c>
      <c r="N179" s="3949"/>
      <c r="O179" s="3953" t="s">
        <v>981</v>
      </c>
      <c r="P179" s="3954"/>
      <c r="Q179" s="3955"/>
      <c r="R179" s="3956" t="str">
        <f>IMAGE("https://raw.githubusercontent.com/msikma/pokesprite/master/misc/types/gen8/water.png",4,20,20)</f>
        <v/>
      </c>
      <c r="S179" s="3949"/>
      <c r="T179" s="3914"/>
      <c r="U179" s="3906"/>
      <c r="V179" s="3906"/>
      <c r="W179" s="3907"/>
      <c r="X179" s="3949"/>
      <c r="Y179" s="3914"/>
      <c r="Z179" s="3906"/>
      <c r="AA179" s="3906"/>
      <c r="AB179" s="3907"/>
      <c r="AC179" s="3949"/>
      <c r="AD179" s="3914"/>
      <c r="AE179" s="3906"/>
      <c r="AF179" s="3906"/>
      <c r="AG179" s="3907"/>
      <c r="AH179" s="3908"/>
      <c r="AI179" s="3452"/>
    </row>
    <row r="180" ht="3.0" customHeight="1">
      <c r="A180" s="3524"/>
      <c r="B180" s="3957"/>
      <c r="C180" s="3958"/>
      <c r="D180" s="3959"/>
      <c r="E180" s="3960"/>
      <c r="F180" s="3960"/>
      <c r="G180" s="3960"/>
      <c r="H180" s="3960"/>
      <c r="I180" s="3959"/>
      <c r="J180" s="3961"/>
      <c r="K180" s="3961"/>
      <c r="L180" s="3961"/>
      <c r="M180" s="3960"/>
      <c r="N180" s="3959"/>
      <c r="O180" s="3961"/>
      <c r="P180" s="3961"/>
      <c r="Q180" s="3961"/>
      <c r="R180" s="3960"/>
      <c r="S180" s="3960"/>
      <c r="T180" s="3960"/>
      <c r="U180" s="3960"/>
      <c r="V180" s="3960"/>
      <c r="W180" s="3960"/>
      <c r="X180" s="3959"/>
      <c r="Y180" s="3959"/>
      <c r="Z180" s="3962"/>
      <c r="AA180" s="3962"/>
      <c r="AB180" s="3963"/>
      <c r="AC180" s="3963"/>
      <c r="AD180" s="3963"/>
      <c r="AE180" s="3963"/>
      <c r="AF180" s="3963"/>
      <c r="AG180" s="3963"/>
      <c r="AH180" s="3964"/>
      <c r="AI180" s="3534"/>
    </row>
    <row r="181" ht="16.5" customHeight="1">
      <c r="A181" s="3535"/>
      <c r="B181" s="3965"/>
      <c r="C181" s="3958"/>
      <c r="D181" s="3966"/>
      <c r="E181" s="3967" t="s">
        <v>512</v>
      </c>
      <c r="F181" s="606"/>
      <c r="G181" s="606"/>
      <c r="H181" s="607"/>
      <c r="I181" s="3968"/>
      <c r="J181" s="3967" t="s">
        <v>512</v>
      </c>
      <c r="K181" s="606"/>
      <c r="L181" s="606"/>
      <c r="M181" s="607"/>
      <c r="N181" s="3968"/>
      <c r="O181" s="3967" t="s">
        <v>512</v>
      </c>
      <c r="P181" s="606"/>
      <c r="Q181" s="606"/>
      <c r="R181" s="607"/>
      <c r="S181" s="3969"/>
      <c r="T181" s="3966"/>
      <c r="U181" s="3966"/>
      <c r="V181" s="3970"/>
      <c r="W181" s="3971"/>
      <c r="X181" s="3971"/>
      <c r="Y181" s="3971"/>
      <c r="Z181" s="3966"/>
      <c r="AA181" s="3966"/>
      <c r="AB181" s="3971"/>
      <c r="AC181" s="3971"/>
      <c r="AD181" s="3971"/>
      <c r="AE181" s="3971"/>
      <c r="AF181" s="3971"/>
      <c r="AG181" s="3971"/>
      <c r="AH181" s="3972"/>
      <c r="AI181" s="3543"/>
    </row>
    <row r="182" ht="16.5" customHeight="1">
      <c r="A182" s="3535"/>
      <c r="B182" s="3965"/>
      <c r="C182" s="3958"/>
      <c r="D182" s="3966"/>
      <c r="E182" s="3973" t="s">
        <v>513</v>
      </c>
      <c r="F182" s="3974">
        <f t="array" ref="F182">IFERROR(VLOOKUP(E169,Dex!$B$3:$N1361,8,FALSE),"")</f>
        <v>60</v>
      </c>
      <c r="G182" s="3975" t="str">
        <f t="array" ref="G182">IFERROR(VLOOKUP(F182,Dex!$P$22:$Q$276,2,FALSE),"")</f>
        <v/>
      </c>
      <c r="H182" s="3976"/>
      <c r="I182" s="3977"/>
      <c r="J182" s="3973" t="s">
        <v>513</v>
      </c>
      <c r="K182" s="3974">
        <f t="array" ref="K182">IFERROR(VLOOKUP(J169,Dex!$B$3:$N1361,8,FALSE),"")</f>
        <v>40</v>
      </c>
      <c r="L182" s="3975" t="str">
        <f t="array" ref="L182">IFERROR(VLOOKUP(K182,Dex!$P$22:$Q$276,2,FALSE),"")</f>
        <v/>
      </c>
      <c r="M182" s="3976"/>
      <c r="N182" s="3977"/>
      <c r="O182" s="3973" t="s">
        <v>513</v>
      </c>
      <c r="P182" s="3974">
        <f t="array" ref="P182">IFERROR(VLOOKUP(O169,Dex!$B$3:$N1361,8,FALSE),"")</f>
        <v>60</v>
      </c>
      <c r="Q182" s="3975" t="str">
        <f t="array" ref="Q182">IFERROR(VLOOKUP(P182,Dex!$P$22:$Q$276,2,FALSE),"")</f>
        <v/>
      </c>
      <c r="R182" s="3976"/>
      <c r="S182" s="3977"/>
      <c r="T182" s="3966"/>
      <c r="U182" s="3966"/>
      <c r="V182" s="3978"/>
      <c r="W182" s="3971"/>
      <c r="X182" s="3971"/>
      <c r="Y182" s="3971"/>
      <c r="Z182" s="3966"/>
      <c r="AA182" s="3966"/>
      <c r="AB182" s="3971"/>
      <c r="AC182" s="3971"/>
      <c r="AD182" s="3971"/>
      <c r="AE182" s="3971"/>
      <c r="AF182" s="3971"/>
      <c r="AG182" s="3971"/>
      <c r="AH182" s="3972"/>
      <c r="AI182" s="3543"/>
    </row>
    <row r="183" ht="16.5" customHeight="1">
      <c r="A183" s="3535"/>
      <c r="B183" s="3965"/>
      <c r="C183" s="3958"/>
      <c r="D183" s="3966"/>
      <c r="E183" s="3979" t="s">
        <v>514</v>
      </c>
      <c r="F183" s="3980">
        <f t="array" ref="F183">IFERROR(VLOOKUP(E169,Dex!$B$3:$N1361,9,FALSE),"")</f>
        <v>50</v>
      </c>
      <c r="G183" s="3981" t="str">
        <f t="array" ref="G183">IFERROR(VLOOKUP(F183,Dex!$P$22:$Q$276,2,FALSE),"")</f>
        <v/>
      </c>
      <c r="H183" s="3982"/>
      <c r="I183" s="3977"/>
      <c r="J183" s="3979" t="s">
        <v>514</v>
      </c>
      <c r="K183" s="3980">
        <f t="array" ref="K183">IFERROR(VLOOKUP(J169,Dex!$B$3:$N1361,9,FALSE),"")</f>
        <v>45</v>
      </c>
      <c r="L183" s="3981" t="str">
        <f t="array" ref="L183">IFERROR(VLOOKUP(K183,Dex!$P$22:$Q$276,2,FALSE),"")</f>
        <v/>
      </c>
      <c r="M183" s="3982"/>
      <c r="N183" s="3977"/>
      <c r="O183" s="3979" t="s">
        <v>514</v>
      </c>
      <c r="P183" s="3980">
        <f t="array" ref="P183">IFERROR(VLOOKUP(O169,Dex!$B$3:$N1361,9,FALSE),"")</f>
        <v>62</v>
      </c>
      <c r="Q183" s="3981" t="str">
        <f t="array" ref="Q183">IFERROR(VLOOKUP(P183,Dex!$P$22:$Q$276,2,FALSE),"")</f>
        <v/>
      </c>
      <c r="R183" s="3982"/>
      <c r="S183" s="3977"/>
      <c r="T183" s="3966"/>
      <c r="U183" s="3966"/>
      <c r="V183" s="3983"/>
      <c r="W183" s="3971"/>
      <c r="X183" s="3971"/>
      <c r="Y183" s="3971"/>
      <c r="Z183" s="3966"/>
      <c r="AA183" s="3966"/>
      <c r="AB183" s="3971"/>
      <c r="AC183" s="3971"/>
      <c r="AD183" s="3971"/>
      <c r="AE183" s="3971"/>
      <c r="AF183" s="3971"/>
      <c r="AG183" s="3971"/>
      <c r="AH183" s="3972"/>
      <c r="AI183" s="3543"/>
    </row>
    <row r="184" ht="16.5" customHeight="1">
      <c r="A184" s="3535"/>
      <c r="B184" s="3965"/>
      <c r="C184" s="3958"/>
      <c r="D184" s="3966"/>
      <c r="E184" s="3979" t="s">
        <v>515</v>
      </c>
      <c r="F184" s="3980">
        <f t="array" ref="F184">IFERROR(VLOOKUP(E169,Dex!$B$3:$N1361,10,FALSE),"")</f>
        <v>40</v>
      </c>
      <c r="G184" s="3981" t="str">
        <f t="array" ref="G184">IFERROR(VLOOKUP(F184,Dex!$P$22:$Q$276,2,FALSE),"")</f>
        <v/>
      </c>
      <c r="H184" s="3982"/>
      <c r="I184" s="3977"/>
      <c r="J184" s="3979" t="s">
        <v>515</v>
      </c>
      <c r="K184" s="3980">
        <f t="array" ref="K184">IFERROR(VLOOKUP(J169,Dex!$B$3:$N1361,10,FALSE),"")</f>
        <v>40</v>
      </c>
      <c r="L184" s="3981" t="str">
        <f t="array" ref="L184">IFERROR(VLOOKUP(K184,Dex!$P$22:$Q$276,2,FALSE),"")</f>
        <v/>
      </c>
      <c r="M184" s="3982"/>
      <c r="N184" s="3977"/>
      <c r="O184" s="3979" t="s">
        <v>515</v>
      </c>
      <c r="P184" s="3980">
        <f t="array" ref="P184">IFERROR(VLOOKUP(O169,Dex!$B$3:$N1361,10,FALSE),"")</f>
        <v>50</v>
      </c>
      <c r="Q184" s="3981" t="str">
        <f t="array" ref="Q184">IFERROR(VLOOKUP(P184,Dex!$P$22:$Q$276,2,FALSE),"")</f>
        <v/>
      </c>
      <c r="R184" s="3982"/>
      <c r="S184" s="3977"/>
      <c r="T184" s="3966"/>
      <c r="U184" s="3966"/>
      <c r="V184" s="3984" t="str">
        <f>IMAGE("https://play.pokemonshowdown.com/sprites/trainers/youngster-gen4.png",4,140,140)</f>
        <v/>
      </c>
      <c r="W184" s="3971"/>
      <c r="X184" s="3971"/>
      <c r="Y184" s="3971"/>
      <c r="Z184" s="3966"/>
      <c r="AA184" s="3966"/>
      <c r="AB184" s="3971"/>
      <c r="AC184" s="3971"/>
      <c r="AD184" s="3971"/>
      <c r="AE184" s="3971"/>
      <c r="AF184" s="3971"/>
      <c r="AG184" s="3971"/>
      <c r="AH184" s="3972"/>
      <c r="AI184" s="3543"/>
    </row>
    <row r="185" ht="16.5" customHeight="1">
      <c r="A185" s="3535"/>
      <c r="B185" s="3965"/>
      <c r="C185" s="3958"/>
      <c r="D185" s="3966"/>
      <c r="E185" s="3979" t="s">
        <v>516</v>
      </c>
      <c r="F185" s="3980">
        <f t="array" ref="F185">IFERROR(VLOOKUP(E169,Dex!$B$3:$N1361,11,FALSE),"")</f>
        <v>85</v>
      </c>
      <c r="G185" s="3981" t="str">
        <f t="array" ref="G185">IFERROR(VLOOKUP(F185,Dex!$P$22:$Q$276,2,FALSE),"")</f>
        <v/>
      </c>
      <c r="H185" s="3982"/>
      <c r="I185" s="3977"/>
      <c r="J185" s="3979" t="s">
        <v>516</v>
      </c>
      <c r="K185" s="3980">
        <f t="array" ref="K185">IFERROR(VLOOKUP(J169,Dex!$B$3:$N1361,11,FALSE),"")</f>
        <v>65</v>
      </c>
      <c r="L185" s="3981" t="str">
        <f t="array" ref="L185">IFERROR(VLOOKUP(K185,Dex!$P$22:$Q$276,2,FALSE),"")</f>
        <v/>
      </c>
      <c r="M185" s="3982"/>
      <c r="N185" s="3977"/>
      <c r="O185" s="3979" t="s">
        <v>516</v>
      </c>
      <c r="P185" s="3980">
        <f t="array" ref="P185">IFERROR(VLOOKUP(O169,Dex!$B$3:$N1361,11,FALSE),"")</f>
        <v>62</v>
      </c>
      <c r="Q185" s="3981" t="str">
        <f t="array" ref="Q185">IFERROR(VLOOKUP(P185,Dex!$P$22:$Q$276,2,FALSE),"")</f>
        <v/>
      </c>
      <c r="R185" s="3982"/>
      <c r="S185" s="3977"/>
      <c r="T185" s="3966"/>
      <c r="U185" s="3966"/>
      <c r="V185" s="3921"/>
      <c r="W185" s="3971"/>
      <c r="X185" s="3971"/>
      <c r="Y185" s="3971"/>
      <c r="Z185" s="3966"/>
      <c r="AA185" s="3966"/>
      <c r="AB185" s="3971"/>
      <c r="AC185" s="3971"/>
      <c r="AD185" s="3971"/>
      <c r="AE185" s="3971"/>
      <c r="AF185" s="3971"/>
      <c r="AG185" s="3971"/>
      <c r="AH185" s="3972"/>
      <c r="AI185" s="3543"/>
    </row>
    <row r="186" ht="16.5" customHeight="1">
      <c r="A186" s="3535"/>
      <c r="B186" s="3965"/>
      <c r="C186" s="3958"/>
      <c r="D186" s="3966"/>
      <c r="E186" s="3979" t="s">
        <v>517</v>
      </c>
      <c r="F186" s="3980">
        <f t="array" ref="F186">IFERROR(VLOOKUP(E169,Dex!$B$3:$N1361,12,FALSE),"")</f>
        <v>75</v>
      </c>
      <c r="G186" s="3981" t="str">
        <f t="array" ref="G186">IFERROR(VLOOKUP(F186,Dex!$P$22:$Q$276,2,FALSE),"")</f>
        <v/>
      </c>
      <c r="H186" s="3982"/>
      <c r="I186" s="3977"/>
      <c r="J186" s="3979" t="s">
        <v>517</v>
      </c>
      <c r="K186" s="3980">
        <f t="array" ref="K186">IFERROR(VLOOKUP(J169,Dex!$B$3:$N1361,12,FALSE),"")</f>
        <v>40</v>
      </c>
      <c r="L186" s="3981" t="str">
        <f t="array" ref="L186">IFERROR(VLOOKUP(K186,Dex!$P$22:$Q$276,2,FALSE),"")</f>
        <v/>
      </c>
      <c r="M186" s="3982"/>
      <c r="N186" s="3977"/>
      <c r="O186" s="3979" t="s">
        <v>517</v>
      </c>
      <c r="P186" s="3980">
        <f t="array" ref="P186">IFERROR(VLOOKUP(O169,Dex!$B$3:$N1361,12,FALSE),"")</f>
        <v>60</v>
      </c>
      <c r="Q186" s="3981" t="str">
        <f t="array" ref="Q186">IFERROR(VLOOKUP(P186,Dex!$P$22:$Q$276,2,FALSE),"")</f>
        <v/>
      </c>
      <c r="R186" s="3982"/>
      <c r="S186" s="3977"/>
      <c r="T186" s="3966"/>
      <c r="U186" s="3966"/>
      <c r="V186" s="3921"/>
      <c r="W186" s="3971"/>
      <c r="X186" s="3971"/>
      <c r="Y186" s="3971"/>
      <c r="Z186" s="3966"/>
      <c r="AA186" s="3966"/>
      <c r="AB186" s="3971"/>
      <c r="AC186" s="3971"/>
      <c r="AD186" s="3971"/>
      <c r="AE186" s="3971"/>
      <c r="AF186" s="3971"/>
      <c r="AG186" s="3971"/>
      <c r="AH186" s="3972"/>
      <c r="AI186" s="3543"/>
    </row>
    <row r="187" ht="16.5" customHeight="1">
      <c r="A187" s="3535"/>
      <c r="B187" s="3965"/>
      <c r="C187" s="1426" t="s">
        <v>745</v>
      </c>
      <c r="D187" s="3966"/>
      <c r="E187" s="3985" t="s">
        <v>518</v>
      </c>
      <c r="F187" s="3986">
        <f t="array" ref="F187">IFERROR(VLOOKUP(E169,Dex!$B$3:$N1361,13,FALSE),"")</f>
        <v>110</v>
      </c>
      <c r="G187" s="3987" t="str">
        <f t="array" ref="G187">IFERROR(VLOOKUP(F187,Dex!$P$22:$Q$276,2,FALSE),"")</f>
        <v/>
      </c>
      <c r="H187" s="3988"/>
      <c r="I187" s="3977"/>
      <c r="J187" s="3985" t="s">
        <v>518</v>
      </c>
      <c r="K187" s="3986">
        <f t="array" ref="K187">IFERROR(VLOOKUP(J169,Dex!$B$3:$N1361,13,FALSE),"")</f>
        <v>65</v>
      </c>
      <c r="L187" s="3987" t="str">
        <f t="array" ref="L187">IFERROR(VLOOKUP(K187,Dex!$P$22:$Q$276,2,FALSE),"")</f>
        <v/>
      </c>
      <c r="M187" s="3988"/>
      <c r="N187" s="3977"/>
      <c r="O187" s="3985" t="s">
        <v>518</v>
      </c>
      <c r="P187" s="3986">
        <f t="array" ref="P187">IFERROR(VLOOKUP(O169,Dex!$B$3:$N1361,13,FALSE),"")</f>
        <v>40</v>
      </c>
      <c r="Q187" s="3987" t="str">
        <f t="array" ref="Q187">IFERROR(VLOOKUP(P187,Dex!$P$22:$Q$276,2,FALSE),"")</f>
        <v/>
      </c>
      <c r="R187" s="3988"/>
      <c r="S187" s="3977"/>
      <c r="T187" s="3966"/>
      <c r="U187" s="3966"/>
      <c r="V187" s="3921"/>
      <c r="W187" s="3971"/>
      <c r="X187" s="3971"/>
      <c r="Y187" s="3971"/>
      <c r="Z187" s="3966"/>
      <c r="AA187" s="3966"/>
      <c r="AB187" s="3971"/>
      <c r="AC187" s="3971"/>
      <c r="AD187" s="3971"/>
      <c r="AE187" s="3971"/>
      <c r="AF187" s="3971"/>
      <c r="AG187" s="3971"/>
      <c r="AH187" s="3972"/>
      <c r="AI187" s="3543"/>
    </row>
    <row r="188" ht="16.5" customHeight="1">
      <c r="A188" s="3535"/>
      <c r="B188" s="3965"/>
      <c r="C188" s="1427" t="s">
        <v>836</v>
      </c>
      <c r="D188" s="3966"/>
      <c r="E188" s="3989" t="s">
        <v>519</v>
      </c>
      <c r="F188" s="630"/>
      <c r="G188" s="631"/>
      <c r="H188" s="632">
        <f>ROUNDDOWN((ROUNDDOWN(((((2*F187+31)*26)/100+5)),0))*1.1,0)</f>
        <v>77</v>
      </c>
      <c r="I188" s="3968"/>
      <c r="J188" s="3989" t="s">
        <v>519</v>
      </c>
      <c r="K188" s="630"/>
      <c r="L188" s="631"/>
      <c r="M188" s="632">
        <f>ROUNDDOWN((ROUNDDOWN(((((2*K187+31)*26)/100+5)),0))*1.1,0)</f>
        <v>50</v>
      </c>
      <c r="N188" s="3968"/>
      <c r="O188" s="3989" t="s">
        <v>519</v>
      </c>
      <c r="P188" s="630"/>
      <c r="Q188" s="631"/>
      <c r="R188" s="632">
        <f>ROUNDDOWN((ROUNDDOWN(((((2*P187+31)*26)/100+5)),0))*1,0)</f>
        <v>33</v>
      </c>
      <c r="S188" s="3977"/>
      <c r="T188" s="3966"/>
      <c r="U188" s="3966"/>
      <c r="V188" s="3949"/>
      <c r="W188" s="3971"/>
      <c r="X188" s="3971"/>
      <c r="Y188" s="3971"/>
      <c r="Z188" s="3966"/>
      <c r="AA188" s="3966"/>
      <c r="AB188" s="3971"/>
      <c r="AC188" s="3971"/>
      <c r="AD188" s="3971"/>
      <c r="AE188" s="3971"/>
      <c r="AF188" s="3971"/>
      <c r="AG188" s="3971"/>
      <c r="AH188" s="3972"/>
      <c r="AI188" s="3543"/>
    </row>
    <row r="189" ht="15.0" customHeight="1">
      <c r="A189" s="3446"/>
      <c r="B189" s="3990"/>
      <c r="C189" s="3991"/>
      <c r="D189" s="3992"/>
      <c r="E189" s="3992"/>
      <c r="F189" s="3992"/>
      <c r="G189" s="3992"/>
      <c r="H189" s="3992"/>
      <c r="I189" s="3992"/>
      <c r="J189" s="3993"/>
      <c r="K189" s="3993"/>
      <c r="L189" s="3993"/>
      <c r="M189" s="3992"/>
      <c r="N189" s="3992"/>
      <c r="O189" s="3993"/>
      <c r="P189" s="3993"/>
      <c r="Q189" s="3993"/>
      <c r="R189" s="3992"/>
      <c r="S189" s="3992"/>
      <c r="T189" s="3992"/>
      <c r="U189" s="3992"/>
      <c r="V189" s="3992"/>
      <c r="W189" s="3992"/>
      <c r="X189" s="3992"/>
      <c r="Y189" s="3992"/>
      <c r="Z189" s="3992"/>
      <c r="AA189" s="3992"/>
      <c r="AB189" s="3992"/>
      <c r="AC189" s="3992"/>
      <c r="AD189" s="3992"/>
      <c r="AE189" s="3992"/>
      <c r="AF189" s="3992"/>
      <c r="AG189" s="3992"/>
      <c r="AH189" s="3994"/>
      <c r="AI189" s="3452"/>
    </row>
    <row r="190" ht="15.0" customHeight="1">
      <c r="A190" s="3446"/>
      <c r="B190" s="3887"/>
      <c r="C190" s="3888"/>
      <c r="D190" s="3889"/>
      <c r="E190" s="3889"/>
      <c r="F190" s="3889"/>
      <c r="G190" s="3889"/>
      <c r="H190" s="3889"/>
      <c r="I190" s="3889"/>
      <c r="J190" s="3889"/>
      <c r="K190" s="3889"/>
      <c r="L190" s="3889"/>
      <c r="M190" s="3889"/>
      <c r="N190" s="3889"/>
      <c r="O190" s="3889"/>
      <c r="P190" s="3889"/>
      <c r="Q190" s="3889"/>
      <c r="R190" s="3889"/>
      <c r="S190" s="3889"/>
      <c r="T190" s="3889"/>
      <c r="U190" s="3889"/>
      <c r="V190" s="3889"/>
      <c r="W190" s="3889"/>
      <c r="X190" s="3889"/>
      <c r="Y190" s="3889"/>
      <c r="Z190" s="3889"/>
      <c r="AA190" s="3889"/>
      <c r="AB190" s="3889"/>
      <c r="AC190" s="3889"/>
      <c r="AD190" s="3889"/>
      <c r="AE190" s="3889"/>
      <c r="AF190" s="3889"/>
      <c r="AG190" s="3889"/>
      <c r="AH190" s="3890"/>
      <c r="AI190" s="3452"/>
    </row>
    <row r="191" ht="96.75" customHeight="1">
      <c r="A191" s="3453"/>
      <c r="B191" s="3454"/>
      <c r="C191" s="3455" t="str">
        <f>IMAGE("https://i.ibb.co/8sm893K/Lass.png")</f>
        <v/>
      </c>
      <c r="D191" s="3456"/>
      <c r="E191" s="3457" t="str">
        <f t="array" ref="E191">IFERROR(VLOOKUP(E192,Dex!$B$3:$G1361,3,FALSE),"")</f>
        <v/>
      </c>
      <c r="F191" s="606"/>
      <c r="G191" s="606"/>
      <c r="H191" s="607"/>
      <c r="I191" s="3896"/>
      <c r="J191" s="3457" t="str">
        <f t="array" ref="J191">IFERROR(VLOOKUP(J192,Dex!$B$3:$G1361,3,FALSE),"")</f>
        <v/>
      </c>
      <c r="K191" s="606"/>
      <c r="L191" s="606"/>
      <c r="M191" s="607"/>
      <c r="N191" s="3897"/>
      <c r="O191" s="3457" t="str">
        <f t="array" ref="O191">IFERROR(VLOOKUP(O192,Dex!$B$3:$G1361,3,FALSE),"")</f>
        <v/>
      </c>
      <c r="P191" s="606"/>
      <c r="Q191" s="606"/>
      <c r="R191" s="607"/>
      <c r="S191" s="3460"/>
      <c r="T191" s="3461"/>
      <c r="U191" s="3462"/>
      <c r="V191" s="3462"/>
      <c r="W191" s="3463"/>
      <c r="X191" s="3464"/>
      <c r="Y191" s="3461"/>
      <c r="Z191" s="3462"/>
      <c r="AA191" s="3462"/>
      <c r="AB191" s="3463"/>
      <c r="AC191" s="3464"/>
      <c r="AD191" s="3461"/>
      <c r="AE191" s="3462"/>
      <c r="AF191" s="3462"/>
      <c r="AG191" s="3463"/>
      <c r="AH191" s="3465"/>
      <c r="AI191" s="3466"/>
    </row>
    <row r="192" ht="18.75" customHeight="1">
      <c r="A192" s="3467"/>
      <c r="B192" s="3468"/>
      <c r="C192" s="3469" t="s">
        <v>1416</v>
      </c>
      <c r="D192" s="3470"/>
      <c r="E192" s="3471" t="s">
        <v>176</v>
      </c>
      <c r="F192" s="3472"/>
      <c r="G192" s="3472"/>
      <c r="H192" s="3473"/>
      <c r="J192" s="3471" t="s">
        <v>1417</v>
      </c>
      <c r="K192" s="3472"/>
      <c r="L192" s="3472"/>
      <c r="M192" s="3473"/>
      <c r="O192" s="3471" t="s">
        <v>1418</v>
      </c>
      <c r="P192" s="3472"/>
      <c r="Q192" s="3472"/>
      <c r="R192" s="3473"/>
      <c r="S192" s="3474"/>
      <c r="T192" s="3475"/>
      <c r="U192" s="3462"/>
      <c r="V192" s="3462"/>
      <c r="W192" s="3463"/>
      <c r="X192" s="3476"/>
      <c r="Y192" s="3475"/>
      <c r="Z192" s="3462"/>
      <c r="AA192" s="3462"/>
      <c r="AB192" s="3463"/>
      <c r="AC192" s="3476"/>
      <c r="AD192" s="3475"/>
      <c r="AE192" s="3462"/>
      <c r="AF192" s="3462"/>
      <c r="AG192" s="3463"/>
      <c r="AH192" s="3477"/>
      <c r="AI192" s="3478"/>
    </row>
    <row r="193">
      <c r="A193" s="3479"/>
      <c r="B193" s="3480"/>
      <c r="C193" s="1638"/>
      <c r="D193" s="3481"/>
      <c r="E193" s="3482" t="s">
        <v>796</v>
      </c>
      <c r="F193" s="3483"/>
      <c r="G193" s="3483"/>
      <c r="H193" s="3484"/>
      <c r="J193" s="3482" t="s">
        <v>797</v>
      </c>
      <c r="K193" s="3483"/>
      <c r="L193" s="3483"/>
      <c r="M193" s="3484"/>
      <c r="O193" s="3482" t="s">
        <v>796</v>
      </c>
      <c r="P193" s="3483"/>
      <c r="Q193" s="3483"/>
      <c r="R193" s="3484"/>
      <c r="S193" s="3474"/>
      <c r="T193" s="3485"/>
      <c r="U193" s="3462"/>
      <c r="V193" s="3462"/>
      <c r="W193" s="3463"/>
      <c r="X193" s="3476"/>
      <c r="Y193" s="3485"/>
      <c r="Z193" s="3462"/>
      <c r="AA193" s="3462"/>
      <c r="AB193" s="3463"/>
      <c r="AC193" s="3476"/>
      <c r="AD193" s="3485"/>
      <c r="AE193" s="3462"/>
      <c r="AF193" s="3462"/>
      <c r="AG193" s="3463"/>
      <c r="AH193" s="3486"/>
      <c r="AI193" s="3487"/>
    </row>
    <row r="194" ht="25.5" customHeight="1">
      <c r="A194" s="3453"/>
      <c r="B194" s="3454"/>
      <c r="C194" s="1646"/>
      <c r="D194" s="3488"/>
      <c r="E194" s="3489"/>
      <c r="F194" s="3493" t="str">
        <f t="array" ref="F194">IFERROR(VLOOKUP(E192,Dex!$B$3:$H1361,5,FALSE),"")</f>
        <v/>
      </c>
      <c r="G194" s="3494"/>
      <c r="H194" s="3492"/>
      <c r="J194" s="3489"/>
      <c r="K194" s="3490" t="str">
        <f t="array" ref="K194">IFERROR(VLOOKUP(J192,Dex!$B$3:$H1361,5,FALSE),"")</f>
        <v/>
      </c>
      <c r="L194" s="3491" t="str">
        <f t="array" ref="L194">IFERROR(VLOOKUP(J192,Dex!$B$3:$H1361,7,FALSE),"")</f>
        <v/>
      </c>
      <c r="M194" s="3492"/>
      <c r="O194" s="3489"/>
      <c r="P194" s="3493" t="str">
        <f t="array" ref="P194">IFERROR(VLOOKUP(O192,Dex!$B$3:$H1361,5,FALSE),"")</f>
        <v/>
      </c>
      <c r="Q194" s="3494"/>
      <c r="R194" s="3492"/>
      <c r="S194" s="3474"/>
      <c r="T194" s="3461"/>
      <c r="U194" s="3462"/>
      <c r="V194" s="3462"/>
      <c r="W194" s="3463"/>
      <c r="X194" s="3476"/>
      <c r="Y194" s="3461"/>
      <c r="Z194" s="3462"/>
      <c r="AA194" s="3462"/>
      <c r="AB194" s="3463"/>
      <c r="AC194" s="3476"/>
      <c r="AD194" s="3461"/>
      <c r="AE194" s="3462"/>
      <c r="AF194" s="3462"/>
      <c r="AG194" s="3463"/>
      <c r="AH194" s="3465"/>
      <c r="AI194" s="3466"/>
    </row>
    <row r="195" ht="2.25" customHeight="1">
      <c r="A195" s="3453"/>
      <c r="B195" s="3454"/>
      <c r="C195" s="3495"/>
      <c r="D195" s="3496"/>
      <c r="E195" s="3497"/>
      <c r="F195" s="3498"/>
      <c r="G195" s="3498"/>
      <c r="H195" s="3499"/>
      <c r="J195" s="3497"/>
      <c r="K195" s="3498"/>
      <c r="L195" s="3498"/>
      <c r="M195" s="3499"/>
      <c r="O195" s="3497"/>
      <c r="P195" s="3498"/>
      <c r="Q195" s="3498"/>
      <c r="R195" s="3499"/>
      <c r="S195" s="3474"/>
      <c r="T195" s="3500"/>
      <c r="U195" s="3500"/>
      <c r="V195" s="3500"/>
      <c r="W195" s="3500"/>
      <c r="X195" s="3476"/>
      <c r="Y195" s="3500"/>
      <c r="Z195" s="3500"/>
      <c r="AA195" s="3500"/>
      <c r="AB195" s="3500"/>
      <c r="AC195" s="3476"/>
      <c r="AD195" s="3500"/>
      <c r="AE195" s="3500"/>
      <c r="AF195" s="3500"/>
      <c r="AG195" s="3500"/>
      <c r="AH195" s="3465"/>
      <c r="AI195" s="3466"/>
    </row>
    <row r="196" ht="20.25" customHeight="1">
      <c r="A196" s="3453"/>
      <c r="B196" s="3454"/>
      <c r="C196" s="3495"/>
      <c r="D196" s="3456"/>
      <c r="E196" s="3501" t="s">
        <v>481</v>
      </c>
      <c r="F196" s="3502"/>
      <c r="G196" s="3502"/>
      <c r="H196" s="3503"/>
      <c r="J196" s="3501" t="s">
        <v>481</v>
      </c>
      <c r="K196" s="3502"/>
      <c r="L196" s="3502"/>
      <c r="M196" s="3503"/>
      <c r="O196" s="3501" t="s">
        <v>531</v>
      </c>
      <c r="P196" s="3502"/>
      <c r="Q196" s="3502"/>
      <c r="R196" s="3503"/>
      <c r="S196" s="3474"/>
      <c r="T196" s="3461"/>
      <c r="U196" s="3462"/>
      <c r="V196" s="3462"/>
      <c r="W196" s="3463"/>
      <c r="X196" s="3476"/>
      <c r="Y196" s="3461"/>
      <c r="Z196" s="3462"/>
      <c r="AA196" s="3462"/>
      <c r="AB196" s="3463"/>
      <c r="AC196" s="3476"/>
      <c r="AD196" s="3461"/>
      <c r="AE196" s="3462"/>
      <c r="AF196" s="3462"/>
      <c r="AG196" s="3463"/>
      <c r="AH196" s="3465"/>
      <c r="AI196" s="3466"/>
    </row>
    <row r="197" ht="20.25" customHeight="1">
      <c r="A197" s="3453"/>
      <c r="B197" s="3454"/>
      <c r="C197" s="3504"/>
      <c r="D197" s="3456"/>
      <c r="E197" s="3505" t="s">
        <v>1419</v>
      </c>
      <c r="F197" s="3462"/>
      <c r="G197" s="3462"/>
      <c r="H197" s="3506"/>
      <c r="J197" s="3505" t="s">
        <v>857</v>
      </c>
      <c r="K197" s="3462"/>
      <c r="L197" s="3462"/>
      <c r="M197" s="3506"/>
      <c r="O197" s="3505" t="s">
        <v>1333</v>
      </c>
      <c r="P197" s="3462"/>
      <c r="Q197" s="3462"/>
      <c r="R197" s="3506"/>
      <c r="S197" s="3474"/>
      <c r="T197" s="3461"/>
      <c r="U197" s="3462"/>
      <c r="V197" s="3462"/>
      <c r="W197" s="3463"/>
      <c r="X197" s="3476"/>
      <c r="Y197" s="3461"/>
      <c r="Z197" s="3462"/>
      <c r="AA197" s="3462"/>
      <c r="AB197" s="3463"/>
      <c r="AC197" s="3476"/>
      <c r="AD197" s="3461"/>
      <c r="AE197" s="3462"/>
      <c r="AF197" s="3462"/>
      <c r="AG197" s="3463"/>
      <c r="AH197" s="3465"/>
      <c r="AI197" s="3466"/>
    </row>
    <row r="198" ht="20.25" customHeight="1">
      <c r="A198" s="3453"/>
      <c r="B198" s="3454"/>
      <c r="C198" s="3476"/>
      <c r="D198" s="3456"/>
      <c r="E198" s="3507" t="s">
        <v>537</v>
      </c>
      <c r="F198" s="3508"/>
      <c r="G198" s="3509"/>
      <c r="H198" s="3510" t="str">
        <f>IMAGE("https://raw.githubusercontent.com/msikma/pokesprite/master/items/berry/sitrus.png",3)</f>
        <v/>
      </c>
      <c r="J198" s="3507" t="s">
        <v>489</v>
      </c>
      <c r="K198" s="3508"/>
      <c r="L198" s="3509"/>
      <c r="M198" s="3510" t="str">
        <f>IMAGE("https://raw.githubusercontent.com/msikma/pokesprite/master/items/hold-item/eviolite.png",3)</f>
        <v/>
      </c>
      <c r="O198" s="3507" t="s">
        <v>1420</v>
      </c>
      <c r="P198" s="3508"/>
      <c r="Q198" s="3509"/>
      <c r="R198" s="3510" t="str">
        <f>IMAGE("https://raw.githubusercontent.com/msikma/pokesprite/master/items/evo-item/deep-sea-tooth.png",3)</f>
        <v/>
      </c>
      <c r="S198" s="3474"/>
      <c r="T198" s="3461"/>
      <c r="U198" s="3462"/>
      <c r="V198" s="3462"/>
      <c r="W198" s="3463"/>
      <c r="X198" s="3476"/>
      <c r="Y198" s="3461"/>
      <c r="Z198" s="3462"/>
      <c r="AA198" s="3462"/>
      <c r="AB198" s="3463"/>
      <c r="AC198" s="3476"/>
      <c r="AD198" s="3461"/>
      <c r="AE198" s="3462"/>
      <c r="AF198" s="3462"/>
      <c r="AG198" s="3463"/>
      <c r="AH198" s="3465"/>
      <c r="AI198" s="3466"/>
    </row>
    <row r="199" ht="20.25" customHeight="1">
      <c r="A199" s="3453"/>
      <c r="B199" s="3454"/>
      <c r="C199" s="3512"/>
      <c r="D199" s="3456"/>
      <c r="E199" s="3501" t="s">
        <v>1177</v>
      </c>
      <c r="F199" s="3502"/>
      <c r="G199" s="3513"/>
      <c r="H199" s="3514" t="str">
        <f>IMAGE("https://raw.githubusercontent.com/msikma/pokesprite/master/misc/types/gen8/ground.png",4,20,20)</f>
        <v/>
      </c>
      <c r="J199" s="3501" t="s">
        <v>805</v>
      </c>
      <c r="K199" s="3502"/>
      <c r="L199" s="3513"/>
      <c r="M199" s="3514" t="str">
        <f>IMAGE("https://raw.githubusercontent.com/msikma/pokesprite/master/misc/types/gen8/flying.png",4,20,20)</f>
        <v/>
      </c>
      <c r="O199" s="3501" t="s">
        <v>981</v>
      </c>
      <c r="P199" s="3502"/>
      <c r="Q199" s="3513"/>
      <c r="R199" s="3514" t="str">
        <f>IMAGE("https://raw.githubusercontent.com/msikma/pokesprite/master/misc/types/gen8/water.png",4,20,20)</f>
        <v/>
      </c>
      <c r="S199" s="3474"/>
      <c r="T199" s="3461"/>
      <c r="U199" s="3462"/>
      <c r="V199" s="3462"/>
      <c r="W199" s="3463"/>
      <c r="X199" s="3476"/>
      <c r="Y199" s="3461"/>
      <c r="Z199" s="3462"/>
      <c r="AA199" s="3462"/>
      <c r="AB199" s="3463"/>
      <c r="AC199" s="3476"/>
      <c r="AD199" s="3461"/>
      <c r="AE199" s="3462"/>
      <c r="AF199" s="3462"/>
      <c r="AG199" s="3463"/>
      <c r="AH199" s="3465"/>
      <c r="AI199" s="3466"/>
    </row>
    <row r="200" ht="20.25" customHeight="1">
      <c r="A200" s="3453"/>
      <c r="B200" s="3454"/>
      <c r="C200" s="3515"/>
      <c r="D200" s="3456"/>
      <c r="E200" s="3505" t="s">
        <v>511</v>
      </c>
      <c r="F200" s="3462"/>
      <c r="G200" s="3463"/>
      <c r="H200" s="3516" t="str">
        <f>IMAGE("https://raw.githubusercontent.com/msikma/pokesprite/master/misc/types/gen8/normal.png",4,20,20)</f>
        <v/>
      </c>
      <c r="J200" s="3505" t="s">
        <v>611</v>
      </c>
      <c r="K200" s="3462"/>
      <c r="L200" s="3463"/>
      <c r="M200" s="3516" t="str">
        <f>IMAGE("https://raw.githubusercontent.com/msikma/pokesprite/master/misc/types/gen8/electric.png",4,20,20)</f>
        <v/>
      </c>
      <c r="O200" s="3505" t="s">
        <v>509</v>
      </c>
      <c r="P200" s="3462"/>
      <c r="Q200" s="3463"/>
      <c r="R200" s="3516" t="str">
        <f>IMAGE("https://raw.githubusercontent.com/msikma/pokesprite/master/misc/types/gen8/ice.png",4,20,20)</f>
        <v/>
      </c>
      <c r="S200" s="3474"/>
      <c r="T200" s="3461"/>
      <c r="U200" s="3462"/>
      <c r="V200" s="3462"/>
      <c r="W200" s="3463"/>
      <c r="X200" s="3476"/>
      <c r="Y200" s="3461"/>
      <c r="Z200" s="3462"/>
      <c r="AA200" s="3462"/>
      <c r="AB200" s="3463"/>
      <c r="AC200" s="3476"/>
      <c r="AD200" s="3461"/>
      <c r="AE200" s="3462"/>
      <c r="AF200" s="3462"/>
      <c r="AG200" s="3463"/>
      <c r="AH200" s="3465"/>
      <c r="AI200" s="3466"/>
    </row>
    <row r="201" ht="20.25" customHeight="1">
      <c r="A201" s="3453"/>
      <c r="B201" s="3454"/>
      <c r="C201" s="3515"/>
      <c r="D201" s="3456"/>
      <c r="E201" s="3505" t="s">
        <v>1421</v>
      </c>
      <c r="F201" s="3462"/>
      <c r="G201" s="3463"/>
      <c r="H201" s="3516" t="str">
        <f>IMAGE("https://raw.githubusercontent.com/msikma/pokesprite/master/misc/types/gen8/grass.png",4,20,20)</f>
        <v/>
      </c>
      <c r="J201" s="3505" t="s">
        <v>786</v>
      </c>
      <c r="K201" s="3462"/>
      <c r="L201" s="3463"/>
      <c r="M201" s="3516" t="str">
        <f>IMAGE("https://raw.githubusercontent.com/msikma/pokesprite/master/misc/types/gen8/fairy.png",4,20,20)</f>
        <v/>
      </c>
      <c r="O201" s="3505" t="s">
        <v>738</v>
      </c>
      <c r="P201" s="3462"/>
      <c r="Q201" s="3463"/>
      <c r="R201" s="3516" t="str">
        <f>IMAGE("https://raw.githubusercontent.com/msikma/pokesprite/master/misc/types/gen8/psychic.png",4,20,20)</f>
        <v/>
      </c>
      <c r="S201" s="3474"/>
      <c r="T201" s="3461"/>
      <c r="U201" s="3462"/>
      <c r="V201" s="3462"/>
      <c r="W201" s="3463"/>
      <c r="X201" s="3476"/>
      <c r="Y201" s="3461"/>
      <c r="Z201" s="3462"/>
      <c r="AA201" s="3462"/>
      <c r="AB201" s="3463"/>
      <c r="AC201" s="3476"/>
      <c r="AD201" s="3461"/>
      <c r="AE201" s="3462"/>
      <c r="AF201" s="3462"/>
      <c r="AG201" s="3463"/>
      <c r="AH201" s="3465"/>
      <c r="AI201" s="3466"/>
    </row>
    <row r="202" ht="21.0" customHeight="1">
      <c r="A202" s="3453"/>
      <c r="B202" s="3454"/>
      <c r="C202" s="3515"/>
      <c r="D202" s="3456"/>
      <c r="E202" s="3517" t="s">
        <v>287</v>
      </c>
      <c r="F202" s="3518"/>
      <c r="G202" s="3521"/>
      <c r="H202" s="3522" t="str">
        <f>IMAGE("https://raw.githubusercontent.com/msikma/pokesprite/master/misc/types/gen8/normal.png",4,20,20)</f>
        <v/>
      </c>
      <c r="I202" s="3520"/>
      <c r="J202" s="3517" t="s">
        <v>1422</v>
      </c>
      <c r="K202" s="3518"/>
      <c r="L202" s="3521"/>
      <c r="M202" s="3522" t="str">
        <f>IMAGE("https://raw.githubusercontent.com/msikma/pokesprite/master/misc/types/gen8/grass.png",4,20,20)</f>
        <v/>
      </c>
      <c r="N202" s="3520"/>
      <c r="O202" s="3517" t="s">
        <v>698</v>
      </c>
      <c r="P202" s="3518"/>
      <c r="Q202" s="3521"/>
      <c r="R202" s="3522" t="str">
        <f>IMAGE("https://raw.githubusercontent.com/msikma/pokesprite/master/misc/types/gen8/normal.png",4,20,20)</f>
        <v/>
      </c>
      <c r="S202" s="3523"/>
      <c r="T202" s="3461"/>
      <c r="U202" s="3462"/>
      <c r="V202" s="3462"/>
      <c r="W202" s="3463"/>
      <c r="X202" s="3512"/>
      <c r="Y202" s="3461"/>
      <c r="Z202" s="3462"/>
      <c r="AA202" s="3462"/>
      <c r="AB202" s="3463"/>
      <c r="AC202" s="3512"/>
      <c r="AD202" s="3461"/>
      <c r="AE202" s="3462"/>
      <c r="AF202" s="3462"/>
      <c r="AG202" s="3463"/>
      <c r="AH202" s="3465"/>
      <c r="AI202" s="3466"/>
    </row>
    <row r="203" ht="3.0" customHeight="1">
      <c r="A203" s="3524"/>
      <c r="B203" s="3525"/>
      <c r="C203" s="3526"/>
      <c r="D203" s="3527"/>
      <c r="E203" s="3529"/>
      <c r="F203" s="3529"/>
      <c r="G203" s="3529"/>
      <c r="H203" s="3528"/>
      <c r="I203" s="3527"/>
      <c r="J203" s="3529"/>
      <c r="K203" s="3529"/>
      <c r="L203" s="3529"/>
      <c r="M203" s="3528"/>
      <c r="N203" s="3527"/>
      <c r="O203" s="3529"/>
      <c r="P203" s="3529"/>
      <c r="Q203" s="3529"/>
      <c r="R203" s="3530"/>
      <c r="S203" s="3530"/>
      <c r="T203" s="3530"/>
      <c r="U203" s="3530"/>
      <c r="V203" s="3530"/>
      <c r="W203" s="3530"/>
      <c r="X203" s="3527"/>
      <c r="Y203" s="3527"/>
      <c r="Z203" s="3531"/>
      <c r="AA203" s="3531"/>
      <c r="AB203" s="3532"/>
      <c r="AC203" s="3532"/>
      <c r="AD203" s="3532"/>
      <c r="AE203" s="3532"/>
      <c r="AF203" s="3532"/>
      <c r="AG203" s="3532"/>
      <c r="AH203" s="3533"/>
      <c r="AI203" s="3534"/>
    </row>
    <row r="204" ht="16.5" customHeight="1">
      <c r="A204" s="3535"/>
      <c r="B204" s="3536"/>
      <c r="C204" s="3526"/>
      <c r="D204" s="3771"/>
      <c r="E204" s="3538" t="s">
        <v>512</v>
      </c>
      <c r="F204" s="606"/>
      <c r="G204" s="606"/>
      <c r="H204" s="607"/>
      <c r="I204" s="3539"/>
      <c r="J204" s="3538" t="s">
        <v>512</v>
      </c>
      <c r="K204" s="606"/>
      <c r="L204" s="606"/>
      <c r="M204" s="607"/>
      <c r="N204" s="3539"/>
      <c r="O204" s="3538" t="s">
        <v>512</v>
      </c>
      <c r="P204" s="606"/>
      <c r="Q204" s="606"/>
      <c r="R204" s="607"/>
      <c r="S204" s="3540"/>
      <c r="T204" s="3537"/>
      <c r="U204" s="3537"/>
      <c r="V204" s="3541"/>
      <c r="W204" s="3541"/>
      <c r="X204" s="3541"/>
      <c r="Y204" s="3541"/>
      <c r="Z204" s="3537"/>
      <c r="AA204" s="3537"/>
      <c r="AB204" s="3541"/>
      <c r="AC204" s="3541"/>
      <c r="AD204" s="3541"/>
      <c r="AE204" s="3541"/>
      <c r="AF204" s="3541"/>
      <c r="AG204" s="3541"/>
      <c r="AH204" s="3542"/>
      <c r="AI204" s="3543"/>
    </row>
    <row r="205" ht="16.5" customHeight="1">
      <c r="A205" s="3535"/>
      <c r="B205" s="3536"/>
      <c r="C205" s="3526"/>
      <c r="D205" s="3537"/>
      <c r="E205" s="3544" t="s">
        <v>513</v>
      </c>
      <c r="F205" s="3545">
        <f t="array" ref="F205">IFERROR(VLOOKUP(E192,Dex!$B$3:$N1361,8,FALSE),"")</f>
        <v>120</v>
      </c>
      <c r="G205" s="3546" t="str">
        <f t="array" ref="G205">IFERROR(VLOOKUP(F205,Dex!$P$22:$Q$276,2,FALSE),"")</f>
        <v/>
      </c>
      <c r="H205" s="3547"/>
      <c r="I205" s="3548"/>
      <c r="J205" s="3544" t="s">
        <v>513</v>
      </c>
      <c r="K205" s="3545">
        <f t="array" ref="K205">IFERROR(VLOOKUP(J192,Dex!$B$3:$N1361,8,FALSE),"")</f>
        <v>55</v>
      </c>
      <c r="L205" s="3546" t="str">
        <f t="array" ref="L205">IFERROR(VLOOKUP(K205,Dex!$P$22:$Q$276,2,FALSE),"")</f>
        <v/>
      </c>
      <c r="M205" s="3547"/>
      <c r="N205" s="3548"/>
      <c r="O205" s="3544" t="s">
        <v>513</v>
      </c>
      <c r="P205" s="3545">
        <f t="array" ref="P205">IFERROR(VLOOKUP(O192,Dex!$B$3:$N1361,8,FALSE),"")</f>
        <v>35</v>
      </c>
      <c r="Q205" s="3546" t="str">
        <f t="array" ref="Q205">IFERROR(VLOOKUP(P205,Dex!$P$22:$Q$276,2,FALSE),"")</f>
        <v/>
      </c>
      <c r="R205" s="3547"/>
      <c r="S205" s="3548"/>
      <c r="T205" s="3537"/>
      <c r="U205" s="3537"/>
      <c r="V205" s="3541"/>
      <c r="W205" s="3541"/>
      <c r="X205" s="3541"/>
      <c r="Y205" s="3541"/>
      <c r="Z205" s="3537"/>
      <c r="AA205" s="3537"/>
      <c r="AB205" s="3541"/>
      <c r="AC205" s="3541"/>
      <c r="AD205" s="3541"/>
      <c r="AE205" s="3541"/>
      <c r="AF205" s="3541"/>
      <c r="AG205" s="3541"/>
      <c r="AH205" s="3542"/>
      <c r="AI205" s="3543"/>
    </row>
    <row r="206" ht="16.5" customHeight="1">
      <c r="A206" s="3535"/>
      <c r="B206" s="3536"/>
      <c r="C206" s="3526"/>
      <c r="D206" s="3537"/>
      <c r="E206" s="3549" t="s">
        <v>514</v>
      </c>
      <c r="F206" s="3550">
        <f t="array" ref="F206">IFERROR(VLOOKUP(E192,Dex!$B$3:$N1361,9,FALSE),"")</f>
        <v>95</v>
      </c>
      <c r="G206" s="3551" t="str">
        <f t="array" ref="G206">IFERROR(VLOOKUP(F206,Dex!$P$22:$Q$276,2,FALSE),"")</f>
        <v/>
      </c>
      <c r="H206" s="3552"/>
      <c r="I206" s="3548"/>
      <c r="J206" s="3549" t="s">
        <v>514</v>
      </c>
      <c r="K206" s="3550">
        <f t="array" ref="K206">IFERROR(VLOOKUP(J192,Dex!$B$3:$N1361,9,FALSE),"")</f>
        <v>40</v>
      </c>
      <c r="L206" s="3551" t="str">
        <f t="array" ref="L206">IFERROR(VLOOKUP(K206,Dex!$P$22:$Q$276,2,FALSE),"")</f>
        <v/>
      </c>
      <c r="M206" s="3552"/>
      <c r="N206" s="3548"/>
      <c r="O206" s="3549" t="s">
        <v>514</v>
      </c>
      <c r="P206" s="3550">
        <f t="array" ref="P206">IFERROR(VLOOKUP(O192,Dex!$B$3:$N1361,9,FALSE),"")</f>
        <v>64</v>
      </c>
      <c r="Q206" s="3551" t="str">
        <f t="array" ref="Q206">IFERROR(VLOOKUP(P206,Dex!$P$22:$Q$276,2,FALSE),"")</f>
        <v/>
      </c>
      <c r="R206" s="3552"/>
      <c r="S206" s="3548"/>
      <c r="T206" s="3537"/>
      <c r="U206" s="3537"/>
      <c r="V206" s="3541"/>
      <c r="W206" s="3541"/>
      <c r="X206" s="3541"/>
      <c r="Y206" s="3541"/>
      <c r="Z206" s="3537"/>
      <c r="AA206" s="3537"/>
      <c r="AB206" s="3541"/>
      <c r="AC206" s="3541"/>
      <c r="AD206" s="3541"/>
      <c r="AE206" s="3541"/>
      <c r="AF206" s="3541"/>
      <c r="AG206" s="3541"/>
      <c r="AH206" s="3542"/>
      <c r="AI206" s="3543"/>
    </row>
    <row r="207" ht="16.5" customHeight="1">
      <c r="A207" s="3535"/>
      <c r="B207" s="3536"/>
      <c r="C207" s="3526"/>
      <c r="D207" s="3537"/>
      <c r="E207" s="3549" t="s">
        <v>515</v>
      </c>
      <c r="F207" s="3550">
        <f t="array" ref="F207">IFERROR(VLOOKUP(E192,Dex!$B$3:$N1361,10,FALSE),"")</f>
        <v>95</v>
      </c>
      <c r="G207" s="3551" t="str">
        <f t="array" ref="G207">IFERROR(VLOOKUP(F207,Dex!$P$22:$Q$276,2,FALSE),"")</f>
        <v/>
      </c>
      <c r="H207" s="3552"/>
      <c r="I207" s="3548"/>
      <c r="J207" s="3549" t="s">
        <v>515</v>
      </c>
      <c r="K207" s="3550">
        <f t="array" ref="K207">IFERROR(VLOOKUP(J192,Dex!$B$3:$N1361,10,FALSE),"")</f>
        <v>85</v>
      </c>
      <c r="L207" s="3551" t="str">
        <f t="array" ref="L207">IFERROR(VLOOKUP(K207,Dex!$P$22:$Q$276,2,FALSE),"")</f>
        <v/>
      </c>
      <c r="M207" s="3552"/>
      <c r="N207" s="3548"/>
      <c r="O207" s="3549" t="s">
        <v>515</v>
      </c>
      <c r="P207" s="3550">
        <f t="array" ref="P207">IFERROR(VLOOKUP(O192,Dex!$B$3:$N1361,10,FALSE),"")</f>
        <v>85</v>
      </c>
      <c r="Q207" s="3551" t="str">
        <f t="array" ref="Q207">IFERROR(VLOOKUP(P207,Dex!$P$22:$Q$276,2,FALSE),"")</f>
        <v/>
      </c>
      <c r="R207" s="3552"/>
      <c r="S207" s="3548"/>
      <c r="T207" s="3537"/>
      <c r="U207" s="3537"/>
      <c r="V207" s="3541"/>
      <c r="W207" s="3541"/>
      <c r="X207" s="3541"/>
      <c r="Y207" s="3541"/>
      <c r="Z207" s="3537"/>
      <c r="AA207" s="3537"/>
      <c r="AB207" s="3541"/>
      <c r="AC207" s="3541"/>
      <c r="AD207" s="3541"/>
      <c r="AE207" s="3541"/>
      <c r="AF207" s="3541"/>
      <c r="AG207" s="3541"/>
      <c r="AH207" s="3542"/>
      <c r="AI207" s="3543"/>
    </row>
    <row r="208" ht="16.5" customHeight="1">
      <c r="A208" s="3535"/>
      <c r="B208" s="3536"/>
      <c r="C208" s="3526"/>
      <c r="D208" s="3537"/>
      <c r="E208" s="3549" t="s">
        <v>516</v>
      </c>
      <c r="F208" s="3550">
        <f t="array" ref="F208">IFERROR(VLOOKUP(E192,Dex!$B$3:$N1361,11,FALSE),"")</f>
        <v>55</v>
      </c>
      <c r="G208" s="3551" t="str">
        <f t="array" ref="G208">IFERROR(VLOOKUP(F208,Dex!$P$22:$Q$276,2,FALSE),"")</f>
        <v/>
      </c>
      <c r="H208" s="3552"/>
      <c r="I208" s="3548"/>
      <c r="J208" s="3549" t="s">
        <v>516</v>
      </c>
      <c r="K208" s="3550">
        <f t="array" ref="K208">IFERROR(VLOOKUP(J192,Dex!$B$3:$N1361,11,FALSE),"")</f>
        <v>80</v>
      </c>
      <c r="L208" s="3551" t="str">
        <f t="array" ref="L208">IFERROR(VLOOKUP(K208,Dex!$P$22:$Q$276,2,FALSE),"")</f>
        <v/>
      </c>
      <c r="M208" s="3552"/>
      <c r="N208" s="3548"/>
      <c r="O208" s="3549" t="s">
        <v>516</v>
      </c>
      <c r="P208" s="3550">
        <f t="array" ref="P208">IFERROR(VLOOKUP(O192,Dex!$B$3:$N1361,11,FALSE),"")</f>
        <v>74</v>
      </c>
      <c r="Q208" s="3551" t="str">
        <f t="array" ref="Q208">IFERROR(VLOOKUP(P208,Dex!$P$22:$Q$276,2,FALSE),"")</f>
        <v/>
      </c>
      <c r="R208" s="3552"/>
      <c r="S208" s="3548"/>
      <c r="T208" s="3537"/>
      <c r="U208" s="3537"/>
      <c r="V208" s="3541"/>
      <c r="W208" s="3541"/>
      <c r="X208" s="3541"/>
      <c r="Y208" s="3541"/>
      <c r="Z208" s="3537"/>
      <c r="AA208" s="3537"/>
      <c r="AB208" s="3541"/>
      <c r="AC208" s="3541"/>
      <c r="AD208" s="3541"/>
      <c r="AE208" s="3541"/>
      <c r="AF208" s="3541"/>
      <c r="AG208" s="3541"/>
      <c r="AH208" s="3542"/>
      <c r="AI208" s="3543"/>
    </row>
    <row r="209" ht="16.5" customHeight="1">
      <c r="A209" s="3535"/>
      <c r="B209" s="3536"/>
      <c r="C209" s="3526"/>
      <c r="D209" s="3537"/>
      <c r="E209" s="3549" t="s">
        <v>517</v>
      </c>
      <c r="F209" s="3550">
        <f t="array" ref="F209">IFERROR(VLOOKUP(E192,Dex!$B$3:$N1361,12,FALSE),"")</f>
        <v>75</v>
      </c>
      <c r="G209" s="3551" t="str">
        <f t="array" ref="G209">IFERROR(VLOOKUP(F209,Dex!$P$22:$Q$276,2,FALSE),"")</f>
        <v/>
      </c>
      <c r="H209" s="3552"/>
      <c r="I209" s="3548"/>
      <c r="J209" s="3549" t="s">
        <v>517</v>
      </c>
      <c r="K209" s="3550">
        <f t="array" ref="K209">IFERROR(VLOOKUP(J192,Dex!$B$3:$N1361,12,FALSE),"")</f>
        <v>105</v>
      </c>
      <c r="L209" s="3551" t="str">
        <f t="array" ref="L209">IFERROR(VLOOKUP(K209,Dex!$P$22:$Q$276,2,FALSE),"")</f>
        <v/>
      </c>
      <c r="M209" s="3552"/>
      <c r="N209" s="3548"/>
      <c r="O209" s="3549" t="s">
        <v>517</v>
      </c>
      <c r="P209" s="3550">
        <f t="array" ref="P209">IFERROR(VLOOKUP(O192,Dex!$B$3:$N1361,12,FALSE),"")</f>
        <v>55</v>
      </c>
      <c r="Q209" s="3551" t="str">
        <f t="array" ref="Q209">IFERROR(VLOOKUP(P209,Dex!$P$22:$Q$276,2,FALSE),"")</f>
        <v/>
      </c>
      <c r="R209" s="3552"/>
      <c r="S209" s="3548"/>
      <c r="T209" s="3537"/>
      <c r="U209" s="3537"/>
      <c r="V209" s="3541"/>
      <c r="W209" s="3541"/>
      <c r="X209" s="3541"/>
      <c r="Y209" s="3541"/>
      <c r="Z209" s="3537"/>
      <c r="AA209" s="3537"/>
      <c r="AB209" s="3541"/>
      <c r="AC209" s="3541"/>
      <c r="AD209" s="3541"/>
      <c r="AE209" s="3541"/>
      <c r="AF209" s="3541"/>
      <c r="AG209" s="3541"/>
      <c r="AH209" s="3542"/>
      <c r="AI209" s="3543"/>
    </row>
    <row r="210" ht="16.5" customHeight="1">
      <c r="A210" s="3535"/>
      <c r="B210" s="3536"/>
      <c r="C210" s="1426" t="s">
        <v>745</v>
      </c>
      <c r="D210" s="3537"/>
      <c r="E210" s="3553" t="s">
        <v>518</v>
      </c>
      <c r="F210" s="3554">
        <f t="array" ref="F210">IFERROR(VLOOKUP(E192,Dex!$B$3:$N1361,13,FALSE),"")</f>
        <v>20</v>
      </c>
      <c r="G210" s="3555" t="str">
        <f t="array" ref="G210">IFERROR(VLOOKUP(F210,Dex!$P$22:$Q$276,2,FALSE),"")</f>
        <v/>
      </c>
      <c r="H210" s="3556"/>
      <c r="I210" s="3548"/>
      <c r="J210" s="3553" t="s">
        <v>518</v>
      </c>
      <c r="K210" s="3554">
        <f t="array" ref="K210">IFERROR(VLOOKUP(J192,Dex!$B$3:$N1361,13,FALSE),"")</f>
        <v>40</v>
      </c>
      <c r="L210" s="3555" t="str">
        <f t="array" ref="L210">IFERROR(VLOOKUP(K210,Dex!$P$22:$Q$276,2,FALSE),"")</f>
        <v/>
      </c>
      <c r="M210" s="3556"/>
      <c r="N210" s="3548"/>
      <c r="O210" s="3553" t="s">
        <v>518</v>
      </c>
      <c r="P210" s="3554">
        <f t="array" ref="P210">IFERROR(VLOOKUP(O192,Dex!$B$3:$N1361,13,FALSE),"")</f>
        <v>32</v>
      </c>
      <c r="Q210" s="3555" t="str">
        <f t="array" ref="Q210">IFERROR(VLOOKUP(P210,Dex!$P$22:$Q$276,2,FALSE),"")</f>
        <v/>
      </c>
      <c r="R210" s="3556"/>
      <c r="S210" s="3548"/>
      <c r="T210" s="3537"/>
      <c r="U210" s="3537"/>
      <c r="V210" s="3541"/>
      <c r="W210" s="3541"/>
      <c r="X210" s="3541"/>
      <c r="Y210" s="3541"/>
      <c r="Z210" s="3537"/>
      <c r="AA210" s="3537"/>
      <c r="AB210" s="3541"/>
      <c r="AC210" s="3541"/>
      <c r="AD210" s="3541"/>
      <c r="AE210" s="3541"/>
      <c r="AF210" s="3541"/>
      <c r="AG210" s="3541"/>
      <c r="AH210" s="3542"/>
      <c r="AI210" s="3543"/>
    </row>
    <row r="211" ht="16.5" customHeight="1">
      <c r="A211" s="3535"/>
      <c r="B211" s="3536"/>
      <c r="C211" s="1427" t="s">
        <v>836</v>
      </c>
      <c r="D211" s="3771"/>
      <c r="E211" s="3557" t="s">
        <v>519</v>
      </c>
      <c r="F211" s="630"/>
      <c r="G211" s="631"/>
      <c r="H211" s="632">
        <f>ROUNDDOWN((ROUNDDOWN(((((2*F210+31)*26)/100+5)),0))*1,0)</f>
        <v>23</v>
      </c>
      <c r="I211" s="3539"/>
      <c r="J211" s="3557" t="s">
        <v>519</v>
      </c>
      <c r="K211" s="630"/>
      <c r="L211" s="631"/>
      <c r="M211" s="632">
        <f>ROUNDDOWN((ROUNDDOWN(((((2*K210+31)*25)/100+5)),0))*1,0)</f>
        <v>32</v>
      </c>
      <c r="N211" s="3539"/>
      <c r="O211" s="3557" t="s">
        <v>519</v>
      </c>
      <c r="P211" s="630"/>
      <c r="Q211" s="631"/>
      <c r="R211" s="632">
        <f>ROUNDDOWN((ROUNDDOWN(((((2*P210+31)*26)/100+5)),0))*1,0)</f>
        <v>29</v>
      </c>
      <c r="S211" s="3548"/>
      <c r="T211" s="3537"/>
      <c r="U211" s="3537"/>
      <c r="V211" s="3541"/>
      <c r="W211" s="3541"/>
      <c r="X211" s="3541"/>
      <c r="Y211" s="3541"/>
      <c r="Z211" s="3537"/>
      <c r="AA211" s="3537"/>
      <c r="AB211" s="3541"/>
      <c r="AC211" s="3541"/>
      <c r="AD211" s="3541"/>
      <c r="AE211" s="3541"/>
      <c r="AF211" s="3541"/>
      <c r="AG211" s="3541"/>
      <c r="AH211" s="3542"/>
      <c r="AI211" s="3543"/>
    </row>
    <row r="212" ht="15.0" customHeight="1">
      <c r="A212" s="3453"/>
      <c r="B212" s="3558"/>
      <c r="C212" s="3559"/>
      <c r="D212" s="3560"/>
      <c r="E212" s="3563"/>
      <c r="F212" s="3563"/>
      <c r="G212" s="3563"/>
      <c r="H212" s="3561"/>
      <c r="I212" s="3562"/>
      <c r="J212" s="3563"/>
      <c r="K212" s="3563"/>
      <c r="L212" s="3563"/>
      <c r="M212" s="3561"/>
      <c r="N212" s="3564"/>
      <c r="O212" s="3563"/>
      <c r="P212" s="3563"/>
      <c r="Q212" s="3563"/>
      <c r="R212" s="3562"/>
      <c r="S212" s="3564"/>
      <c r="T212" s="3565"/>
      <c r="U212" s="3565"/>
      <c r="V212" s="3565"/>
      <c r="W212" s="3565"/>
      <c r="X212" s="3564"/>
      <c r="Y212" s="3565"/>
      <c r="Z212" s="3565"/>
      <c r="AA212" s="3565"/>
      <c r="AB212" s="3565"/>
      <c r="AC212" s="3564"/>
      <c r="AD212" s="3565"/>
      <c r="AE212" s="3565"/>
      <c r="AF212" s="3565"/>
      <c r="AG212" s="3565"/>
      <c r="AH212" s="3566"/>
      <c r="AI212" s="3466"/>
    </row>
    <row r="213" ht="15.0" customHeight="1">
      <c r="A213" s="3446"/>
      <c r="B213" s="3995"/>
      <c r="C213" s="3996"/>
      <c r="D213" s="3996"/>
      <c r="E213" s="3996"/>
      <c r="F213" s="3996"/>
      <c r="G213" s="3996"/>
      <c r="H213" s="3996"/>
      <c r="I213" s="3996"/>
      <c r="J213" s="3996"/>
      <c r="K213" s="3996"/>
      <c r="L213" s="3996"/>
      <c r="M213" s="3996"/>
      <c r="N213" s="3996"/>
      <c r="O213" s="3996"/>
      <c r="P213" s="3996"/>
      <c r="Q213" s="3996"/>
      <c r="R213" s="3996"/>
      <c r="S213" s="3996"/>
      <c r="T213" s="3996"/>
      <c r="U213" s="3996"/>
      <c r="V213" s="3996"/>
      <c r="W213" s="3996"/>
      <c r="X213" s="3996"/>
      <c r="Y213" s="3996"/>
      <c r="Z213" s="3996"/>
      <c r="AA213" s="3996"/>
      <c r="AB213" s="3996"/>
      <c r="AC213" s="3996"/>
      <c r="AD213" s="3996"/>
      <c r="AE213" s="3996"/>
      <c r="AF213" s="3996"/>
      <c r="AG213" s="3996"/>
      <c r="AH213" s="3997"/>
      <c r="AI213" s="3452"/>
    </row>
    <row r="214" ht="96.75" customHeight="1">
      <c r="A214" s="3446"/>
      <c r="B214" s="3998"/>
      <c r="C214" s="3999" t="str">
        <f>IMAGE("https://i.ibb.co/n7Pn1gb/Camper.png")</f>
        <v/>
      </c>
      <c r="D214" s="4000"/>
      <c r="E214" s="4001" t="str">
        <f t="array" ref="E214">IFERROR(VLOOKUP(E215,Dex!$B$3:$G1361,3,FALSE),"")</f>
        <v/>
      </c>
      <c r="F214" s="1945"/>
      <c r="G214" s="1945"/>
      <c r="H214" s="1946"/>
      <c r="I214" s="4002"/>
      <c r="J214" s="4001" t="str">
        <f t="array" ref="J214">IFERROR(VLOOKUP(J215,Dex!$B$3:$G1361,3,FALSE),"")</f>
        <v/>
      </c>
      <c r="K214" s="1945"/>
      <c r="L214" s="1945"/>
      <c r="M214" s="1946"/>
      <c r="N214" s="4002"/>
      <c r="O214" s="4001" t="str">
        <f t="array" ref="O214">IFERROR(VLOOKUP(O215,Dex!$B$3:$G1361,3,FALSE),"")</f>
        <v/>
      </c>
      <c r="P214" s="1945"/>
      <c r="Q214" s="1945"/>
      <c r="R214" s="1946"/>
      <c r="S214" s="4003"/>
      <c r="T214" s="4004"/>
      <c r="U214" s="4005"/>
      <c r="V214" s="4005"/>
      <c r="W214" s="4006"/>
      <c r="X214" s="4003"/>
      <c r="Y214" s="4004"/>
      <c r="Z214" s="4005"/>
      <c r="AA214" s="4005"/>
      <c r="AB214" s="4006"/>
      <c r="AC214" s="4003"/>
      <c r="AD214" s="4004"/>
      <c r="AE214" s="4005"/>
      <c r="AF214" s="4005"/>
      <c r="AG214" s="4006"/>
      <c r="AH214" s="4007"/>
      <c r="AI214" s="3452"/>
    </row>
    <row r="215" ht="18.75" customHeight="1">
      <c r="A215" s="3689"/>
      <c r="B215" s="4008"/>
      <c r="C215" s="4009" t="s">
        <v>1423</v>
      </c>
      <c r="D215" s="4010"/>
      <c r="E215" s="4011" t="s">
        <v>1424</v>
      </c>
      <c r="F215" s="4012"/>
      <c r="G215" s="4012"/>
      <c r="H215" s="4013"/>
      <c r="I215" s="4014"/>
      <c r="J215" s="4011" t="s">
        <v>1425</v>
      </c>
      <c r="K215" s="4012"/>
      <c r="L215" s="4012"/>
      <c r="M215" s="4013"/>
      <c r="N215" s="4014"/>
      <c r="O215" s="4011" t="s">
        <v>1426</v>
      </c>
      <c r="P215" s="4012"/>
      <c r="Q215" s="4012"/>
      <c r="R215" s="4013"/>
      <c r="S215" s="4014"/>
      <c r="T215" s="4015"/>
      <c r="U215" s="4005"/>
      <c r="V215" s="4005"/>
      <c r="W215" s="4006"/>
      <c r="X215" s="4014"/>
      <c r="Y215" s="4015"/>
      <c r="Z215" s="4005"/>
      <c r="AA215" s="4005"/>
      <c r="AB215" s="4006"/>
      <c r="AC215" s="4014"/>
      <c r="AD215" s="4015"/>
      <c r="AE215" s="4005"/>
      <c r="AF215" s="4005"/>
      <c r="AG215" s="4006"/>
      <c r="AH215" s="4016"/>
      <c r="AI215" s="3700"/>
    </row>
    <row r="216">
      <c r="A216" s="3701"/>
      <c r="B216" s="4017"/>
      <c r="C216" s="1638"/>
      <c r="D216" s="4018"/>
      <c r="E216" s="4019" t="s">
        <v>796</v>
      </c>
      <c r="F216" s="4020"/>
      <c r="G216" s="4020"/>
      <c r="H216" s="4021"/>
      <c r="I216" s="4014"/>
      <c r="J216" s="4019" t="s">
        <v>796</v>
      </c>
      <c r="K216" s="4020"/>
      <c r="L216" s="4020"/>
      <c r="M216" s="4021"/>
      <c r="N216" s="4014"/>
      <c r="O216" s="4019" t="s">
        <v>796</v>
      </c>
      <c r="P216" s="4020"/>
      <c r="Q216" s="4020"/>
      <c r="R216" s="4021"/>
      <c r="S216" s="4014"/>
      <c r="T216" s="4022"/>
      <c r="U216" s="4005"/>
      <c r="V216" s="4005"/>
      <c r="W216" s="4006"/>
      <c r="X216" s="4014"/>
      <c r="Y216" s="4022"/>
      <c r="Z216" s="4005"/>
      <c r="AA216" s="4005"/>
      <c r="AB216" s="4006"/>
      <c r="AC216" s="4014"/>
      <c r="AD216" s="4022"/>
      <c r="AE216" s="4005"/>
      <c r="AF216" s="4005"/>
      <c r="AG216" s="4006"/>
      <c r="AH216" s="4023"/>
      <c r="AI216" s="3709"/>
    </row>
    <row r="217" ht="25.5" customHeight="1">
      <c r="A217" s="3446"/>
      <c r="B217" s="3998"/>
      <c r="C217" s="1646"/>
      <c r="D217" s="4024"/>
      <c r="E217" s="4025"/>
      <c r="F217" s="4026" t="str">
        <f t="array" ref="F217">IFERROR(VLOOKUP(E215,Dex!$B$3:$H1361,5,FALSE),"")</f>
        <v/>
      </c>
      <c r="G217" s="4027"/>
      <c r="H217" s="4028"/>
      <c r="I217" s="4014"/>
      <c r="J217" s="4025"/>
      <c r="K217" s="4029" t="str">
        <f t="array" ref="K217">IFERROR(VLOOKUP(J215,Dex!$B$3:$H1361,5,FALSE),"")</f>
        <v/>
      </c>
      <c r="L217" s="4030" t="str">
        <f t="array" ref="L217">IFERROR(VLOOKUP(J215,Dex!$B$3:$H1361,7,FALSE),"")</f>
        <v/>
      </c>
      <c r="M217" s="4028"/>
      <c r="N217" s="4014"/>
      <c r="O217" s="4025"/>
      <c r="P217" s="4026" t="str">
        <f t="array" ref="P217">IFERROR(VLOOKUP(O215,Dex!$B$3:$H1361,5,FALSE),"")</f>
        <v/>
      </c>
      <c r="Q217" s="4027"/>
      <c r="R217" s="4028"/>
      <c r="S217" s="4014"/>
      <c r="T217" s="4004"/>
      <c r="U217" s="4005"/>
      <c r="V217" s="4005"/>
      <c r="W217" s="4006"/>
      <c r="X217" s="4014"/>
      <c r="Y217" s="4004"/>
      <c r="Z217" s="4005"/>
      <c r="AA217" s="4005"/>
      <c r="AB217" s="4006"/>
      <c r="AC217" s="4014"/>
      <c r="AD217" s="4004"/>
      <c r="AE217" s="4005"/>
      <c r="AF217" s="4005"/>
      <c r="AG217" s="4006"/>
      <c r="AH217" s="4007"/>
      <c r="AI217" s="3452"/>
    </row>
    <row r="218" ht="2.25" customHeight="1">
      <c r="A218" s="3446"/>
      <c r="B218" s="3998"/>
      <c r="C218" s="4031"/>
      <c r="D218" s="4024"/>
      <c r="E218" s="4032"/>
      <c r="F218" s="4033"/>
      <c r="G218" s="4033"/>
      <c r="H218" s="4034"/>
      <c r="I218" s="4014"/>
      <c r="J218" s="4032"/>
      <c r="K218" s="4033"/>
      <c r="L218" s="4033"/>
      <c r="M218" s="4034"/>
      <c r="N218" s="4014"/>
      <c r="O218" s="4032"/>
      <c r="P218" s="4033"/>
      <c r="Q218" s="4033"/>
      <c r="R218" s="4034"/>
      <c r="S218" s="4014"/>
      <c r="T218" s="4024"/>
      <c r="U218" s="4024"/>
      <c r="V218" s="4024"/>
      <c r="W218" s="4024"/>
      <c r="X218" s="4014"/>
      <c r="Y218" s="4024"/>
      <c r="Z218" s="4024"/>
      <c r="AA218" s="4024"/>
      <c r="AB218" s="4024"/>
      <c r="AC218" s="4014"/>
      <c r="AD218" s="4024"/>
      <c r="AE218" s="4024"/>
      <c r="AF218" s="4024"/>
      <c r="AG218" s="4024"/>
      <c r="AH218" s="4007"/>
      <c r="AI218" s="3452"/>
    </row>
    <row r="219" ht="20.25" customHeight="1">
      <c r="A219" s="3446"/>
      <c r="B219" s="3998"/>
      <c r="C219" s="4031"/>
      <c r="D219" s="4024"/>
      <c r="E219" s="4035" t="s">
        <v>566</v>
      </c>
      <c r="F219" s="4036"/>
      <c r="G219" s="4036"/>
      <c r="H219" s="4037"/>
      <c r="I219" s="4014"/>
      <c r="J219" s="4035" t="s">
        <v>564</v>
      </c>
      <c r="K219" s="4036"/>
      <c r="L219" s="4036"/>
      <c r="M219" s="4037"/>
      <c r="N219" s="4014"/>
      <c r="O219" s="4035" t="s">
        <v>481</v>
      </c>
      <c r="P219" s="4036"/>
      <c r="Q219" s="4036"/>
      <c r="R219" s="4037"/>
      <c r="S219" s="4014"/>
      <c r="T219" s="4004"/>
      <c r="U219" s="4005"/>
      <c r="V219" s="4005"/>
      <c r="W219" s="4006"/>
      <c r="X219" s="4014"/>
      <c r="Y219" s="4004"/>
      <c r="Z219" s="4005"/>
      <c r="AA219" s="4005"/>
      <c r="AB219" s="4006"/>
      <c r="AC219" s="4014"/>
      <c r="AD219" s="4004"/>
      <c r="AE219" s="4005"/>
      <c r="AF219" s="4005"/>
      <c r="AG219" s="4006"/>
      <c r="AH219" s="4007"/>
      <c r="AI219" s="3452"/>
    </row>
    <row r="220" ht="20.25" customHeight="1">
      <c r="A220" s="3446"/>
      <c r="B220" s="3998"/>
      <c r="C220" s="4038"/>
      <c r="D220" s="4024"/>
      <c r="E220" s="4039" t="s">
        <v>60</v>
      </c>
      <c r="F220" s="4005"/>
      <c r="G220" s="4005"/>
      <c r="H220" s="4040"/>
      <c r="I220" s="4014"/>
      <c r="J220" s="4039" t="s">
        <v>111</v>
      </c>
      <c r="K220" s="4005"/>
      <c r="L220" s="4005"/>
      <c r="M220" s="4040"/>
      <c r="N220" s="4014"/>
      <c r="O220" s="4039" t="s">
        <v>484</v>
      </c>
      <c r="P220" s="4005"/>
      <c r="Q220" s="4005"/>
      <c r="R220" s="4040"/>
      <c r="S220" s="4014"/>
      <c r="T220" s="4004"/>
      <c r="U220" s="4005"/>
      <c r="V220" s="4005"/>
      <c r="W220" s="4006"/>
      <c r="X220" s="4014"/>
      <c r="Y220" s="4004"/>
      <c r="Z220" s="4005"/>
      <c r="AA220" s="4005"/>
      <c r="AB220" s="4006"/>
      <c r="AC220" s="4014"/>
      <c r="AD220" s="4004"/>
      <c r="AE220" s="4005"/>
      <c r="AF220" s="4005"/>
      <c r="AG220" s="4006"/>
      <c r="AH220" s="4007"/>
      <c r="AI220" s="3452"/>
    </row>
    <row r="221" ht="20.25" customHeight="1">
      <c r="A221" s="3446"/>
      <c r="B221" s="3998"/>
      <c r="C221" s="4014"/>
      <c r="D221" s="4024"/>
      <c r="E221" s="4041" t="s">
        <v>664</v>
      </c>
      <c r="F221" s="4042"/>
      <c r="G221" s="4043"/>
      <c r="H221" s="4044" t="str">
        <f>IMAGE("https://raw.githubusercontent.com/msikma/pokesprite/master/items/hold-item/black-glasses.png",3)</f>
        <v/>
      </c>
      <c r="I221" s="4014"/>
      <c r="J221" s="4041" t="s">
        <v>539</v>
      </c>
      <c r="K221" s="4042"/>
      <c r="L221" s="4043"/>
      <c r="M221" s="4044" t="str">
        <f>IMAGE("https://raw.githubusercontent.com/msikma/pokesprite/master/items/hold-item/black-sludge.png",3)</f>
        <v/>
      </c>
      <c r="N221" s="4014"/>
      <c r="O221" s="4041" t="s">
        <v>489</v>
      </c>
      <c r="P221" s="4042"/>
      <c r="Q221" s="4043"/>
      <c r="R221" s="4044" t="str">
        <f>IMAGE("https://raw.githubusercontent.com/msikma/pokesprite/master/items/hold-item/eviolite.png",3)</f>
        <v/>
      </c>
      <c r="S221" s="4014"/>
      <c r="T221" s="4004"/>
      <c r="U221" s="4005"/>
      <c r="V221" s="4005"/>
      <c r="W221" s="4006"/>
      <c r="X221" s="4014"/>
      <c r="Y221" s="4004"/>
      <c r="Z221" s="4005"/>
      <c r="AA221" s="4005"/>
      <c r="AB221" s="4006"/>
      <c r="AC221" s="4014"/>
      <c r="AD221" s="4004"/>
      <c r="AE221" s="4005"/>
      <c r="AF221" s="4005"/>
      <c r="AG221" s="4006"/>
      <c r="AH221" s="4007"/>
      <c r="AI221" s="3452"/>
    </row>
    <row r="222" ht="20.25" customHeight="1">
      <c r="A222" s="3446"/>
      <c r="B222" s="3998"/>
      <c r="C222" s="4045"/>
      <c r="D222" s="4024"/>
      <c r="E222" s="4035" t="s">
        <v>166</v>
      </c>
      <c r="F222" s="4036"/>
      <c r="G222" s="4046"/>
      <c r="H222" s="4047" t="str">
        <f>IMAGE("https://raw.githubusercontent.com/msikma/pokesprite/master/misc/types/gen8/grass.png",4,20,20)</f>
        <v/>
      </c>
      <c r="I222" s="4014"/>
      <c r="J222" s="4035" t="s">
        <v>503</v>
      </c>
      <c r="K222" s="4036"/>
      <c r="L222" s="4046"/>
      <c r="M222" s="4047" t="str">
        <f>IMAGE("https://raw.githubusercontent.com/msikma/pokesprite/master/misc/types/gen8/poison.png",4,20,20)</f>
        <v/>
      </c>
      <c r="N222" s="4014"/>
      <c r="O222" s="4035" t="s">
        <v>1427</v>
      </c>
      <c r="P222" s="4036"/>
      <c r="Q222" s="4046"/>
      <c r="R222" s="4047" t="str">
        <f>IMAGE("https://raw.githubusercontent.com/msikma/pokesprite/master/misc/types/gen8/ghost.png",4,20,20)</f>
        <v/>
      </c>
      <c r="S222" s="4014"/>
      <c r="T222" s="4004"/>
      <c r="U222" s="4005"/>
      <c r="V222" s="4005"/>
      <c r="W222" s="4006"/>
      <c r="X222" s="4014"/>
      <c r="Y222" s="4004"/>
      <c r="Z222" s="4005"/>
      <c r="AA222" s="4005"/>
      <c r="AB222" s="4006"/>
      <c r="AC222" s="4014"/>
      <c r="AD222" s="4004"/>
      <c r="AE222" s="4005"/>
      <c r="AF222" s="4005"/>
      <c r="AG222" s="4006"/>
      <c r="AH222" s="4007"/>
      <c r="AI222" s="3452"/>
    </row>
    <row r="223" ht="20.25" customHeight="1">
      <c r="A223" s="3446"/>
      <c r="B223" s="3998"/>
      <c r="C223" s="4031"/>
      <c r="D223" s="4024"/>
      <c r="E223" s="4039" t="s">
        <v>1010</v>
      </c>
      <c r="F223" s="4005"/>
      <c r="G223" s="4006"/>
      <c r="H223" s="4048" t="str">
        <f>IMAGE("https://raw.githubusercontent.com/msikma/pokesprite/master/misc/types/gen8/dark.png",4,20,20)</f>
        <v/>
      </c>
      <c r="I223" s="4014"/>
      <c r="J223" s="4039" t="s">
        <v>217</v>
      </c>
      <c r="K223" s="4005"/>
      <c r="L223" s="4006"/>
      <c r="M223" s="4048" t="str">
        <f t="shared" ref="M223:M224" si="5">IMAGE("https://raw.githubusercontent.com/msikma/pokesprite/master/misc/types/gen8/normal.png",4,20,20)</f>
        <v/>
      </c>
      <c r="N223" s="4014"/>
      <c r="O223" s="4039" t="s">
        <v>878</v>
      </c>
      <c r="P223" s="4005"/>
      <c r="Q223" s="4006"/>
      <c r="R223" s="4048" t="str">
        <f>IMAGE("https://raw.githubusercontent.com/msikma/pokesprite/master/misc/types/gen8/fire.png",4,20,20)</f>
        <v/>
      </c>
      <c r="S223" s="4014"/>
      <c r="T223" s="4004"/>
      <c r="U223" s="4005"/>
      <c r="V223" s="4005"/>
      <c r="W223" s="4006"/>
      <c r="X223" s="4014"/>
      <c r="Y223" s="4004"/>
      <c r="Z223" s="4005"/>
      <c r="AA223" s="4005"/>
      <c r="AB223" s="4006"/>
      <c r="AC223" s="4014"/>
      <c r="AD223" s="4004"/>
      <c r="AE223" s="4005"/>
      <c r="AF223" s="4005"/>
      <c r="AG223" s="4006"/>
      <c r="AH223" s="4007"/>
      <c r="AI223" s="3452"/>
    </row>
    <row r="224" ht="20.25" customHeight="1">
      <c r="A224" s="3446"/>
      <c r="B224" s="3998"/>
      <c r="C224" s="4031"/>
      <c r="D224" s="4024"/>
      <c r="E224" s="4039" t="s">
        <v>975</v>
      </c>
      <c r="F224" s="4005"/>
      <c r="G224" s="4006"/>
      <c r="H224" s="4048" t="str">
        <f>IMAGE("https://raw.githubusercontent.com/msikma/pokesprite/master/misc/types/gen8/fire.png",4,20,20)</f>
        <v/>
      </c>
      <c r="I224" s="4014"/>
      <c r="J224" s="4039" t="s">
        <v>184</v>
      </c>
      <c r="K224" s="4005"/>
      <c r="L224" s="4006"/>
      <c r="M224" s="4048" t="str">
        <f t="shared" si="5"/>
        <v/>
      </c>
      <c r="N224" s="4014"/>
      <c r="O224" s="4039" t="s">
        <v>509</v>
      </c>
      <c r="P224" s="4005"/>
      <c r="Q224" s="4006"/>
      <c r="R224" s="4048" t="str">
        <f>IMAGE("https://raw.githubusercontent.com/msikma/pokesprite/master/misc/types/gen8/ice.png",4,20,20)</f>
        <v/>
      </c>
      <c r="S224" s="4014"/>
      <c r="T224" s="4004"/>
      <c r="U224" s="4005"/>
      <c r="V224" s="4005"/>
      <c r="W224" s="4006"/>
      <c r="X224" s="4014"/>
      <c r="Y224" s="4004"/>
      <c r="Z224" s="4005"/>
      <c r="AA224" s="4005"/>
      <c r="AB224" s="4006"/>
      <c r="AC224" s="4014"/>
      <c r="AD224" s="4004"/>
      <c r="AE224" s="4005"/>
      <c r="AF224" s="4005"/>
      <c r="AG224" s="4006"/>
      <c r="AH224" s="4007"/>
      <c r="AI224" s="3452"/>
    </row>
    <row r="225" ht="21.0" customHeight="1">
      <c r="A225" s="3446"/>
      <c r="B225" s="3998"/>
      <c r="C225" s="4031"/>
      <c r="D225" s="4024"/>
      <c r="E225" s="4049" t="s">
        <v>1149</v>
      </c>
      <c r="F225" s="4050"/>
      <c r="G225" s="4051"/>
      <c r="H225" s="4052" t="str">
        <f>IMAGE("https://raw.githubusercontent.com/msikma/pokesprite/master/misc/types/gen8/ice.png",4,20,20)</f>
        <v/>
      </c>
      <c r="I225" s="4045"/>
      <c r="J225" s="4049" t="s">
        <v>971</v>
      </c>
      <c r="K225" s="4050"/>
      <c r="L225" s="4051"/>
      <c r="M225" s="4052" t="str">
        <f>IMAGE("https://raw.githubusercontent.com/msikma/pokesprite/master/misc/types/gen8/fire.png",4,20,20)</f>
        <v/>
      </c>
      <c r="N225" s="4045"/>
      <c r="O225" s="4049" t="s">
        <v>1178</v>
      </c>
      <c r="P225" s="4050"/>
      <c r="Q225" s="4051"/>
      <c r="R225" s="4052" t="str">
        <f>IMAGE("https://raw.githubusercontent.com/msikma/pokesprite/master/misc/types/gen8/electric.png",4,20,20)</f>
        <v/>
      </c>
      <c r="S225" s="4045"/>
      <c r="T225" s="4004"/>
      <c r="U225" s="4005"/>
      <c r="V225" s="4005"/>
      <c r="W225" s="4006"/>
      <c r="X225" s="4045"/>
      <c r="Y225" s="4004"/>
      <c r="Z225" s="4005"/>
      <c r="AA225" s="4005"/>
      <c r="AB225" s="4006"/>
      <c r="AC225" s="4045"/>
      <c r="AD225" s="4004"/>
      <c r="AE225" s="4005"/>
      <c r="AF225" s="4005"/>
      <c r="AG225" s="4006"/>
      <c r="AH225" s="4007"/>
      <c r="AI225" s="3452"/>
    </row>
    <row r="226" ht="3.0" customHeight="1">
      <c r="A226" s="3524"/>
      <c r="B226" s="4053"/>
      <c r="C226" s="4054"/>
      <c r="D226" s="4055"/>
      <c r="E226" s="4056"/>
      <c r="F226" s="4056"/>
      <c r="G226" s="4056"/>
      <c r="H226" s="4056"/>
      <c r="I226" s="4055"/>
      <c r="J226" s="4057"/>
      <c r="K226" s="4057"/>
      <c r="L226" s="4057"/>
      <c r="M226" s="4056"/>
      <c r="N226" s="4055"/>
      <c r="O226" s="4057"/>
      <c r="P226" s="4057"/>
      <c r="Q226" s="4057"/>
      <c r="R226" s="4056"/>
      <c r="S226" s="4056"/>
      <c r="T226" s="4056"/>
      <c r="U226" s="4056"/>
      <c r="V226" s="4056"/>
      <c r="W226" s="4056"/>
      <c r="X226" s="4055"/>
      <c r="Y226" s="4055"/>
      <c r="Z226" s="4058"/>
      <c r="AA226" s="4058"/>
      <c r="AB226" s="4059"/>
      <c r="AC226" s="4059"/>
      <c r="AD226" s="4059"/>
      <c r="AE226" s="4059"/>
      <c r="AF226" s="4059"/>
      <c r="AG226" s="4059"/>
      <c r="AH226" s="4060"/>
      <c r="AI226" s="3534"/>
    </row>
    <row r="227" ht="16.5" customHeight="1">
      <c r="A227" s="3535"/>
      <c r="B227" s="4061"/>
      <c r="C227" s="4054"/>
      <c r="D227" s="4062"/>
      <c r="E227" s="4063" t="s">
        <v>512</v>
      </c>
      <c r="F227" s="606"/>
      <c r="G227" s="606"/>
      <c r="H227" s="607"/>
      <c r="I227" s="4064"/>
      <c r="J227" s="4063" t="s">
        <v>512</v>
      </c>
      <c r="K227" s="606"/>
      <c r="L227" s="606"/>
      <c r="M227" s="607"/>
      <c r="N227" s="4064"/>
      <c r="O227" s="4063" t="s">
        <v>512</v>
      </c>
      <c r="P227" s="606"/>
      <c r="Q227" s="606"/>
      <c r="R227" s="607"/>
      <c r="S227" s="4065"/>
      <c r="T227" s="4062"/>
      <c r="U227" s="4062"/>
      <c r="V227" s="4066"/>
      <c r="W227" s="4067"/>
      <c r="X227" s="4067"/>
      <c r="Y227" s="4067"/>
      <c r="Z227" s="4062"/>
      <c r="AA227" s="4062"/>
      <c r="AB227" s="4067"/>
      <c r="AC227" s="4067"/>
      <c r="AD227" s="4067"/>
      <c r="AE227" s="4067"/>
      <c r="AF227" s="4067"/>
      <c r="AG227" s="4067"/>
      <c r="AH227" s="4068"/>
      <c r="AI227" s="3543"/>
    </row>
    <row r="228" ht="16.5" customHeight="1">
      <c r="A228" s="3535"/>
      <c r="B228" s="4061"/>
      <c r="C228" s="4054"/>
      <c r="D228" s="4062"/>
      <c r="E228" s="4069" t="s">
        <v>513</v>
      </c>
      <c r="F228" s="4070">
        <f t="array" ref="F228">IFERROR(VLOOKUP(E215,Dex!$B$3:$N1361,8,FALSE),"")</f>
        <v>80</v>
      </c>
      <c r="G228" s="4071" t="str">
        <f t="array" ref="G228">IFERROR(VLOOKUP(F228,Dex!$P$22:$Q$276,2,FALSE),"")</f>
        <v/>
      </c>
      <c r="H228" s="4072"/>
      <c r="I228" s="4062"/>
      <c r="J228" s="4069" t="s">
        <v>513</v>
      </c>
      <c r="K228" s="4070">
        <f t="array" ref="K228">IFERROR(VLOOKUP(J215,Dex!$B$3:$N1361,8,FALSE),"")</f>
        <v>48</v>
      </c>
      <c r="L228" s="4071" t="str">
        <f t="array" ref="L228">IFERROR(VLOOKUP(K228,Dex!$P$22:$Q$276,2,FALSE),"")</f>
        <v/>
      </c>
      <c r="M228" s="4072"/>
      <c r="N228" s="4062"/>
      <c r="O228" s="4069" t="s">
        <v>513</v>
      </c>
      <c r="P228" s="4070">
        <f t="array" ref="P228">IFERROR(VLOOKUP(O215,Dex!$B$3:$N1361,8,FALSE),"")</f>
        <v>60</v>
      </c>
      <c r="Q228" s="4071" t="str">
        <f t="array" ref="Q228">IFERROR(VLOOKUP(P228,Dex!$P$22:$Q$276,2,FALSE),"")</f>
        <v/>
      </c>
      <c r="R228" s="4072"/>
      <c r="S228" s="4073"/>
      <c r="T228" s="4062"/>
      <c r="U228" s="4062"/>
      <c r="V228" s="4074"/>
      <c r="W228" s="4067"/>
      <c r="X228" s="4067"/>
      <c r="Y228" s="4067"/>
      <c r="Z228" s="4062"/>
      <c r="AA228" s="4062"/>
      <c r="AB228" s="4067"/>
      <c r="AC228" s="4067"/>
      <c r="AD228" s="4067"/>
      <c r="AE228" s="4067"/>
      <c r="AF228" s="4067"/>
      <c r="AG228" s="4067"/>
      <c r="AH228" s="4068"/>
      <c r="AI228" s="3543"/>
    </row>
    <row r="229" ht="16.5" customHeight="1">
      <c r="A229" s="3535"/>
      <c r="B229" s="4061"/>
      <c r="C229" s="4054"/>
      <c r="D229" s="4062"/>
      <c r="E229" s="4075" t="s">
        <v>514</v>
      </c>
      <c r="F229" s="4076">
        <f t="array" ref="F229">IFERROR(VLOOKUP(E215,Dex!$B$3:$N1361,9,FALSE),"")</f>
        <v>120</v>
      </c>
      <c r="G229" s="4077" t="str">
        <f t="array" ref="G229">IFERROR(VLOOKUP(F229,Dex!$P$22:$Q$276,2,FALSE),"")</f>
        <v/>
      </c>
      <c r="H229" s="4078"/>
      <c r="I229" s="4062"/>
      <c r="J229" s="4075" t="s">
        <v>514</v>
      </c>
      <c r="K229" s="4076">
        <f t="array" ref="K229">IFERROR(VLOOKUP(J215,Dex!$B$3:$N1361,9,FALSE),"")</f>
        <v>44</v>
      </c>
      <c r="L229" s="4077" t="str">
        <f t="array" ref="L229">IFERROR(VLOOKUP(K229,Dex!$P$22:$Q$276,2,FALSE),"")</f>
        <v/>
      </c>
      <c r="M229" s="4078"/>
      <c r="N229" s="4062"/>
      <c r="O229" s="4075" t="s">
        <v>514</v>
      </c>
      <c r="P229" s="4076">
        <f t="array" ref="P229">IFERROR(VLOOKUP(O215,Dex!$B$3:$N1361,9,FALSE),"")</f>
        <v>60</v>
      </c>
      <c r="Q229" s="4077" t="str">
        <f t="array" ref="Q229">IFERROR(VLOOKUP(P229,Dex!$P$22:$Q$276,2,FALSE),"")</f>
        <v/>
      </c>
      <c r="R229" s="4078"/>
      <c r="S229" s="4073"/>
      <c r="T229" s="4062"/>
      <c r="U229" s="4062"/>
      <c r="V229" s="4079"/>
      <c r="W229" s="4067"/>
      <c r="X229" s="4067"/>
      <c r="Y229" s="4067"/>
      <c r="Z229" s="4062"/>
      <c r="AA229" s="4062"/>
      <c r="AB229" s="4067"/>
      <c r="AC229" s="4067"/>
      <c r="AD229" s="4067"/>
      <c r="AE229" s="4067"/>
      <c r="AF229" s="4067"/>
      <c r="AG229" s="4067"/>
      <c r="AH229" s="4068"/>
      <c r="AI229" s="3543"/>
    </row>
    <row r="230" ht="16.5" customHeight="1">
      <c r="A230" s="3535"/>
      <c r="B230" s="4061"/>
      <c r="C230" s="4054"/>
      <c r="D230" s="4062"/>
      <c r="E230" s="4075" t="s">
        <v>515</v>
      </c>
      <c r="F230" s="4076">
        <f t="array" ref="F230">IFERROR(VLOOKUP(E215,Dex!$B$3:$N1361,10,FALSE),"")</f>
        <v>90</v>
      </c>
      <c r="G230" s="4077" t="str">
        <f t="array" ref="G230">IFERROR(VLOOKUP(F230,Dex!$P$22:$Q$276,2,FALSE),"")</f>
        <v/>
      </c>
      <c r="H230" s="4078"/>
      <c r="I230" s="4062"/>
      <c r="J230" s="4075" t="s">
        <v>515</v>
      </c>
      <c r="K230" s="4076">
        <f t="array" ref="K230">IFERROR(VLOOKUP(J215,Dex!$B$3:$N1361,10,FALSE),"")</f>
        <v>40</v>
      </c>
      <c r="L230" s="4077" t="str">
        <f t="array" ref="L230">IFERROR(VLOOKUP(K230,Dex!$P$22:$Q$276,2,FALSE),"")</f>
        <v/>
      </c>
      <c r="M230" s="4078"/>
      <c r="N230" s="4062"/>
      <c r="O230" s="4075" t="s">
        <v>515</v>
      </c>
      <c r="P230" s="4076">
        <f t="array" ref="P230">IFERROR(VLOOKUP(O215,Dex!$B$3:$N1361,10,FALSE),"")</f>
        <v>60</v>
      </c>
      <c r="Q230" s="4077" t="str">
        <f t="array" ref="Q230">IFERROR(VLOOKUP(P230,Dex!$P$22:$Q$276,2,FALSE),"")</f>
        <v/>
      </c>
      <c r="R230" s="4078"/>
      <c r="S230" s="4073"/>
      <c r="T230" s="4062"/>
      <c r="U230" s="4062"/>
      <c r="V230" s="4080"/>
      <c r="W230" s="4067"/>
      <c r="X230" s="4067"/>
      <c r="Y230" s="4067"/>
      <c r="Z230" s="4062"/>
      <c r="AA230" s="4062"/>
      <c r="AB230" s="4067"/>
      <c r="AC230" s="4067"/>
      <c r="AD230" s="4067"/>
      <c r="AE230" s="4067"/>
      <c r="AF230" s="4067"/>
      <c r="AG230" s="4067"/>
      <c r="AH230" s="4068"/>
      <c r="AI230" s="3543"/>
    </row>
    <row r="231" ht="16.5" customHeight="1">
      <c r="A231" s="3535"/>
      <c r="B231" s="4061"/>
      <c r="C231" s="4054"/>
      <c r="D231" s="4062"/>
      <c r="E231" s="4075" t="s">
        <v>516</v>
      </c>
      <c r="F231" s="4076">
        <f t="array" ref="F231">IFERROR(VLOOKUP(E215,Dex!$B$3:$N1361,11,FALSE),"")</f>
        <v>60</v>
      </c>
      <c r="G231" s="4077" t="str">
        <f t="array" ref="G231">IFERROR(VLOOKUP(F231,Dex!$P$22:$Q$276,2,FALSE),"")</f>
        <v/>
      </c>
      <c r="H231" s="4078"/>
      <c r="I231" s="4062"/>
      <c r="J231" s="4075" t="s">
        <v>516</v>
      </c>
      <c r="K231" s="4076">
        <f t="array" ref="K231">IFERROR(VLOOKUP(J215,Dex!$B$3:$N1361,11,FALSE),"")</f>
        <v>71</v>
      </c>
      <c r="L231" s="4077" t="str">
        <f t="array" ref="L231">IFERROR(VLOOKUP(K231,Dex!$P$22:$Q$276,2,FALSE),"")</f>
        <v/>
      </c>
      <c r="M231" s="4078"/>
      <c r="N231" s="4062"/>
      <c r="O231" s="4075" t="s">
        <v>516</v>
      </c>
      <c r="P231" s="4076">
        <f t="array" ref="P231">IFERROR(VLOOKUP(O215,Dex!$B$3:$N1361,11,FALSE),"")</f>
        <v>85</v>
      </c>
      <c r="Q231" s="4077" t="str">
        <f t="array" ref="Q231">IFERROR(VLOOKUP(P231,Dex!$P$22:$Q$276,2,FALSE),"")</f>
        <v/>
      </c>
      <c r="R231" s="4078"/>
      <c r="S231" s="4073"/>
      <c r="T231" s="4062"/>
      <c r="U231" s="4062"/>
      <c r="V231" s="4014"/>
      <c r="W231" s="4067"/>
      <c r="X231" s="4067"/>
      <c r="Y231" s="4067"/>
      <c r="Z231" s="4062"/>
      <c r="AA231" s="4062"/>
      <c r="AB231" s="4067"/>
      <c r="AC231" s="4067"/>
      <c r="AD231" s="4067"/>
      <c r="AE231" s="4067"/>
      <c r="AF231" s="4067"/>
      <c r="AG231" s="4067"/>
      <c r="AH231" s="4068"/>
      <c r="AI231" s="3543"/>
    </row>
    <row r="232" ht="16.5" customHeight="1">
      <c r="A232" s="3535"/>
      <c r="B232" s="4061"/>
      <c r="C232" s="4054"/>
      <c r="D232" s="4062"/>
      <c r="E232" s="4075" t="s">
        <v>517</v>
      </c>
      <c r="F232" s="4076">
        <f t="array" ref="F232">IFERROR(VLOOKUP(E215,Dex!$B$3:$N1361,12,FALSE),"")</f>
        <v>70</v>
      </c>
      <c r="G232" s="4077" t="str">
        <f t="array" ref="G232">IFERROR(VLOOKUP(F232,Dex!$P$22:$Q$276,2,FALSE),"")</f>
        <v/>
      </c>
      <c r="H232" s="4078"/>
      <c r="I232" s="4062"/>
      <c r="J232" s="4075" t="s">
        <v>517</v>
      </c>
      <c r="K232" s="4076">
        <f t="array" ref="K232">IFERROR(VLOOKUP(J215,Dex!$B$3:$N1361,12,FALSE),"")</f>
        <v>40</v>
      </c>
      <c r="L232" s="4077" t="str">
        <f t="array" ref="L232">IFERROR(VLOOKUP(K232,Dex!$P$22:$Q$276,2,FALSE),"")</f>
        <v/>
      </c>
      <c r="M232" s="4078"/>
      <c r="N232" s="4062"/>
      <c r="O232" s="4075" t="s">
        <v>517</v>
      </c>
      <c r="P232" s="4076">
        <f t="array" ref="P232">IFERROR(VLOOKUP(O215,Dex!$B$3:$N1361,12,FALSE),"")</f>
        <v>85</v>
      </c>
      <c r="Q232" s="4077" t="str">
        <f t="array" ref="Q232">IFERROR(VLOOKUP(P232,Dex!$P$22:$Q$276,2,FALSE),"")</f>
        <v/>
      </c>
      <c r="R232" s="4078"/>
      <c r="S232" s="4073"/>
      <c r="T232" s="4062"/>
      <c r="U232" s="4062"/>
      <c r="V232" s="4014"/>
      <c r="W232" s="4067"/>
      <c r="X232" s="4067"/>
      <c r="Y232" s="4067"/>
      <c r="Z232" s="4062"/>
      <c r="AA232" s="4062"/>
      <c r="AB232" s="4067"/>
      <c r="AC232" s="4067"/>
      <c r="AD232" s="4067"/>
      <c r="AE232" s="4067"/>
      <c r="AF232" s="4067"/>
      <c r="AG232" s="4067"/>
      <c r="AH232" s="4068"/>
      <c r="AI232" s="3543"/>
    </row>
    <row r="233" ht="16.5" customHeight="1">
      <c r="A233" s="3535"/>
      <c r="B233" s="4061"/>
      <c r="C233" s="4054"/>
      <c r="D233" s="4062"/>
      <c r="E233" s="4081" t="s">
        <v>518</v>
      </c>
      <c r="F233" s="4082">
        <f t="array" ref="F233">IFERROR(VLOOKUP(E215,Dex!$B$3:$N1361,13,FALSE),"")</f>
        <v>85</v>
      </c>
      <c r="G233" s="4083" t="str">
        <f t="array" ref="G233">IFERROR(VLOOKUP(F233,Dex!$P$22:$Q$276,2,FALSE),"")</f>
        <v/>
      </c>
      <c r="H233" s="4084"/>
      <c r="I233" s="4062"/>
      <c r="J233" s="4081" t="s">
        <v>518</v>
      </c>
      <c r="K233" s="4082">
        <f t="array" ref="K233">IFERROR(VLOOKUP(J215,Dex!$B$3:$N1361,13,FALSE),"")</f>
        <v>77</v>
      </c>
      <c r="L233" s="4083" t="str">
        <f t="array" ref="L233">IFERROR(VLOOKUP(K233,Dex!$P$22:$Q$276,2,FALSE),"")</f>
        <v/>
      </c>
      <c r="M233" s="4084"/>
      <c r="N233" s="4062"/>
      <c r="O233" s="4081" t="s">
        <v>518</v>
      </c>
      <c r="P233" s="4082">
        <f t="array" ref="P233">IFERROR(VLOOKUP(O215,Dex!$B$3:$N1361,13,FALSE),"")</f>
        <v>85</v>
      </c>
      <c r="Q233" s="4083" t="str">
        <f t="array" ref="Q233">IFERROR(VLOOKUP(P233,Dex!$P$22:$Q$276,2,FALSE),"")</f>
        <v/>
      </c>
      <c r="R233" s="4084"/>
      <c r="S233" s="4073"/>
      <c r="T233" s="4062"/>
      <c r="U233" s="4062"/>
      <c r="V233" s="4014"/>
      <c r="W233" s="4067"/>
      <c r="X233" s="4067"/>
      <c r="Y233" s="4067"/>
      <c r="Z233" s="4062"/>
      <c r="AA233" s="4062"/>
      <c r="AB233" s="4067"/>
      <c r="AC233" s="4067"/>
      <c r="AD233" s="4067"/>
      <c r="AE233" s="4067"/>
      <c r="AF233" s="4067"/>
      <c r="AG233" s="4067"/>
      <c r="AH233" s="4068"/>
      <c r="AI233" s="3543"/>
    </row>
    <row r="234" ht="16.5" customHeight="1">
      <c r="A234" s="3535"/>
      <c r="B234" s="4061"/>
      <c r="C234" s="1426" t="s">
        <v>745</v>
      </c>
      <c r="D234" s="4062"/>
      <c r="E234" s="4085" t="s">
        <v>519</v>
      </c>
      <c r="F234" s="630"/>
      <c r="G234" s="631"/>
      <c r="H234" s="632">
        <f>ROUNDDOWN((ROUNDDOWN(((((2*F233+31)*26)/100+5)),0))*1,0)</f>
        <v>57</v>
      </c>
      <c r="I234" s="4064"/>
      <c r="J234" s="4085" t="s">
        <v>519</v>
      </c>
      <c r="K234" s="630"/>
      <c r="L234" s="631"/>
      <c r="M234" s="632">
        <f>ROUNDDOWN((ROUNDDOWN(((((2*K233+31)*26)/100+5)),0))*1.1,0)</f>
        <v>58</v>
      </c>
      <c r="N234" s="4064"/>
      <c r="O234" s="4085" t="s">
        <v>519</v>
      </c>
      <c r="P234" s="630"/>
      <c r="Q234" s="631"/>
      <c r="R234" s="632">
        <f>ROUNDDOWN((ROUNDDOWN(((((2*P233+31)*26)/100+5)),0))*1,0)</f>
        <v>57</v>
      </c>
      <c r="S234" s="4073"/>
      <c r="T234" s="4062"/>
      <c r="U234" s="4062"/>
      <c r="V234" s="4045"/>
      <c r="W234" s="4067"/>
      <c r="X234" s="4067"/>
      <c r="Y234" s="4067"/>
      <c r="Z234" s="4062"/>
      <c r="AA234" s="4062"/>
      <c r="AB234" s="4067"/>
      <c r="AC234" s="4067"/>
      <c r="AD234" s="4067"/>
      <c r="AE234" s="4067"/>
      <c r="AF234" s="4067"/>
      <c r="AG234" s="4067"/>
      <c r="AH234" s="4068"/>
      <c r="AI234" s="3543"/>
    </row>
    <row r="235" ht="16.5" customHeight="1">
      <c r="A235" s="3535"/>
      <c r="B235" s="4086"/>
      <c r="C235" s="1427" t="s">
        <v>836</v>
      </c>
      <c r="D235" s="4087"/>
      <c r="E235" s="4088" t="s">
        <v>1428</v>
      </c>
      <c r="F235" s="630"/>
      <c r="G235" s="631"/>
      <c r="H235" s="1715">
        <f>ROUNDDOWN(H234*1.5,0)</f>
        <v>85</v>
      </c>
      <c r="I235" s="4089"/>
      <c r="J235" s="4087"/>
      <c r="K235" s="4087"/>
      <c r="L235" s="4080"/>
      <c r="M235" s="4090"/>
      <c r="N235" s="4089"/>
      <c r="O235" s="4087"/>
      <c r="P235" s="4087"/>
      <c r="Q235" s="4080"/>
      <c r="R235" s="4090"/>
      <c r="S235" s="4091"/>
      <c r="T235" s="4087"/>
      <c r="U235" s="4087"/>
      <c r="V235" s="4080"/>
      <c r="W235" s="4090"/>
      <c r="X235" s="4090"/>
      <c r="Y235" s="4090"/>
      <c r="Z235" s="4087"/>
      <c r="AA235" s="4087"/>
      <c r="AB235" s="4090"/>
      <c r="AC235" s="4090"/>
      <c r="AD235" s="4090"/>
      <c r="AE235" s="4090"/>
      <c r="AF235" s="4090"/>
      <c r="AG235" s="4090"/>
      <c r="AH235" s="4092"/>
      <c r="AI235" s="3543"/>
    </row>
    <row r="236" ht="15.0" customHeight="1">
      <c r="A236" s="3446"/>
      <c r="B236" s="4093"/>
      <c r="C236" s="4094"/>
      <c r="D236" s="4095"/>
      <c r="E236" s="4096"/>
      <c r="F236" s="4096"/>
      <c r="G236" s="4096"/>
      <c r="H236" s="4096"/>
      <c r="I236" s="4097"/>
      <c r="J236" s="4095"/>
      <c r="K236" s="4095"/>
      <c r="L236" s="4095"/>
      <c r="M236" s="4095"/>
      <c r="N236" s="4097"/>
      <c r="O236" s="4095"/>
      <c r="P236" s="4095"/>
      <c r="Q236" s="4095"/>
      <c r="R236" s="4095"/>
      <c r="S236" s="4095"/>
      <c r="T236" s="4095"/>
      <c r="U236" s="4095"/>
      <c r="V236" s="4095"/>
      <c r="W236" s="4095"/>
      <c r="X236" s="4095"/>
      <c r="Y236" s="4095"/>
      <c r="Z236" s="4095"/>
      <c r="AA236" s="4095"/>
      <c r="AB236" s="4095"/>
      <c r="AC236" s="4095"/>
      <c r="AD236" s="4095"/>
      <c r="AE236" s="4095"/>
      <c r="AF236" s="4095"/>
      <c r="AG236" s="4095"/>
      <c r="AH236" s="4098"/>
      <c r="AI236" s="3452"/>
    </row>
    <row r="237" ht="15.0" customHeight="1">
      <c r="A237" s="3446"/>
      <c r="B237" s="3995"/>
      <c r="C237" s="3996"/>
      <c r="D237" s="3996"/>
      <c r="E237" s="4099"/>
      <c r="F237" s="4099"/>
      <c r="G237" s="4099"/>
      <c r="H237" s="4099"/>
      <c r="I237" s="3996"/>
      <c r="J237" s="4099"/>
      <c r="K237" s="4099"/>
      <c r="L237" s="4099"/>
      <c r="M237" s="4099"/>
      <c r="N237" s="3996"/>
      <c r="O237" s="4099"/>
      <c r="P237" s="4099"/>
      <c r="Q237" s="4099"/>
      <c r="R237" s="4099"/>
      <c r="S237" s="3996"/>
      <c r="T237" s="4099"/>
      <c r="U237" s="4099"/>
      <c r="V237" s="4099"/>
      <c r="W237" s="4099"/>
      <c r="X237" s="3996"/>
      <c r="Y237" s="4099"/>
      <c r="Z237" s="4099"/>
      <c r="AA237" s="4099"/>
      <c r="AB237" s="4099"/>
      <c r="AC237" s="3996"/>
      <c r="AD237" s="3996"/>
      <c r="AE237" s="3996"/>
      <c r="AF237" s="3996"/>
      <c r="AG237" s="3996"/>
      <c r="AH237" s="3997"/>
      <c r="AI237" s="3452"/>
    </row>
    <row r="238">
      <c r="A238" s="3446"/>
      <c r="B238" s="4061"/>
      <c r="C238" s="4054"/>
      <c r="D238" s="4054"/>
      <c r="E238" s="4100" t="s">
        <v>1429</v>
      </c>
      <c r="F238" s="4005"/>
      <c r="G238" s="4005"/>
      <c r="H238" s="4005"/>
      <c r="I238" s="4005"/>
      <c r="J238" s="4005"/>
      <c r="K238" s="4005"/>
      <c r="L238" s="4005"/>
      <c r="M238" s="4005"/>
      <c r="N238" s="4005"/>
      <c r="O238" s="4005"/>
      <c r="P238" s="4005"/>
      <c r="Q238" s="4005"/>
      <c r="R238" s="4005"/>
      <c r="S238" s="4005"/>
      <c r="T238" s="4005"/>
      <c r="U238" s="4005"/>
      <c r="V238" s="4005"/>
      <c r="W238" s="4005"/>
      <c r="X238" s="4005"/>
      <c r="Y238" s="4005"/>
      <c r="Z238" s="4005"/>
      <c r="AA238" s="4005"/>
      <c r="AB238" s="4005"/>
      <c r="AC238" s="4005"/>
      <c r="AD238" s="4005"/>
      <c r="AE238" s="4005"/>
      <c r="AF238" s="4005"/>
      <c r="AG238" s="4006"/>
      <c r="AH238" s="4101"/>
      <c r="AI238" s="3452"/>
    </row>
    <row r="239" ht="96.75" customHeight="1">
      <c r="A239" s="3446"/>
      <c r="B239" s="3998"/>
      <c r="C239" s="3999" t="str">
        <f>IMAGE("https://i.ibb.co/n7Pn1gb/Camper.png")</f>
        <v/>
      </c>
      <c r="D239" s="4102"/>
      <c r="E239" s="4001" t="str">
        <f t="array" ref="E239">IFERROR(VLOOKUP(E240,Dex!$B$3:$G1361,3,FALSE),"")</f>
        <v/>
      </c>
      <c r="F239" s="1945"/>
      <c r="G239" s="1945"/>
      <c r="H239" s="1946"/>
      <c r="I239" s="4103"/>
      <c r="J239" s="4001" t="str">
        <f t="array" ref="J239">IFERROR(VLOOKUP(J240,Dex!$B$3:$G1361,3,FALSE),"")</f>
        <v/>
      </c>
      <c r="K239" s="1945"/>
      <c r="L239" s="1945"/>
      <c r="M239" s="1946"/>
      <c r="N239" s="4103"/>
      <c r="O239" s="4001" t="str">
        <f t="array" ref="O239">IFERROR(VLOOKUP(O240,Dex!$B$3:$G1361,3,FALSE),"")</f>
        <v/>
      </c>
      <c r="P239" s="1945"/>
      <c r="Q239" s="1945"/>
      <c r="R239" s="1946"/>
      <c r="S239" s="4104"/>
      <c r="T239" s="4001" t="str">
        <f t="array" ref="T239">IFERROR(VLOOKUP(T240,Dex!$B$3:$G1361,3,FALSE),"")</f>
        <v/>
      </c>
      <c r="U239" s="1945"/>
      <c r="V239" s="1945"/>
      <c r="W239" s="1946"/>
      <c r="X239" s="4104"/>
      <c r="Y239" s="4001" t="str">
        <f t="array" ref="Y239">IFERROR(VLOOKUP(Y240,Dex!$B$3:$G1361,3,FALSE),"")</f>
        <v/>
      </c>
      <c r="Z239" s="1945"/>
      <c r="AA239" s="1945"/>
      <c r="AB239" s="1946"/>
      <c r="AC239" s="4105"/>
      <c r="AD239" s="4004"/>
      <c r="AE239" s="4005"/>
      <c r="AF239" s="4005"/>
      <c r="AG239" s="4006"/>
      <c r="AH239" s="4007"/>
      <c r="AI239" s="3452"/>
    </row>
    <row r="240" ht="18.75" customHeight="1">
      <c r="A240" s="3689"/>
      <c r="B240" s="4008"/>
      <c r="C240" s="4009" t="s">
        <v>1430</v>
      </c>
      <c r="D240" s="4106"/>
      <c r="E240" s="4011" t="s">
        <v>1431</v>
      </c>
      <c r="F240" s="4012"/>
      <c r="G240" s="4012"/>
      <c r="H240" s="4013"/>
      <c r="J240" s="4011" t="s">
        <v>1432</v>
      </c>
      <c r="K240" s="4012"/>
      <c r="L240" s="4012"/>
      <c r="M240" s="4013"/>
      <c r="O240" s="4011" t="s">
        <v>1433</v>
      </c>
      <c r="P240" s="4012"/>
      <c r="Q240" s="4012"/>
      <c r="R240" s="4013"/>
      <c r="T240" s="4011" t="s">
        <v>1434</v>
      </c>
      <c r="U240" s="4012"/>
      <c r="V240" s="4012"/>
      <c r="W240" s="4013"/>
      <c r="Y240" s="4011" t="s">
        <v>1435</v>
      </c>
      <c r="Z240" s="4012"/>
      <c r="AA240" s="4012"/>
      <c r="AB240" s="4013"/>
      <c r="AC240" s="4107"/>
      <c r="AD240" s="4015"/>
      <c r="AE240" s="4005"/>
      <c r="AF240" s="4005"/>
      <c r="AG240" s="4006"/>
      <c r="AH240" s="4016"/>
      <c r="AI240" s="3700"/>
    </row>
    <row r="241">
      <c r="A241" s="3701"/>
      <c r="B241" s="4017"/>
      <c r="C241" s="1638"/>
      <c r="D241" s="4108"/>
      <c r="E241" s="4019" t="s">
        <v>967</v>
      </c>
      <c r="F241" s="4020"/>
      <c r="G241" s="4020"/>
      <c r="H241" s="4021"/>
      <c r="J241" s="4019" t="s">
        <v>967</v>
      </c>
      <c r="K241" s="4020"/>
      <c r="L241" s="4020"/>
      <c r="M241" s="4021"/>
      <c r="O241" s="4019" t="s">
        <v>729</v>
      </c>
      <c r="P241" s="4020"/>
      <c r="Q241" s="4020"/>
      <c r="R241" s="4021"/>
      <c r="T241" s="4019" t="s">
        <v>967</v>
      </c>
      <c r="U241" s="4020"/>
      <c r="V241" s="4020"/>
      <c r="W241" s="4021"/>
      <c r="Y241" s="4019" t="s">
        <v>967</v>
      </c>
      <c r="Z241" s="4020"/>
      <c r="AA241" s="4020"/>
      <c r="AB241" s="4021"/>
      <c r="AC241" s="4107"/>
      <c r="AD241" s="4022"/>
      <c r="AE241" s="4005"/>
      <c r="AF241" s="4005"/>
      <c r="AG241" s="4006"/>
      <c r="AH241" s="4023"/>
      <c r="AI241" s="3709"/>
    </row>
    <row r="242" ht="25.5" customHeight="1">
      <c r="A242" s="3446"/>
      <c r="B242" s="3998"/>
      <c r="C242" s="1646"/>
      <c r="D242" s="4024"/>
      <c r="E242" s="4025"/>
      <c r="F242" s="4026" t="str">
        <f t="array" ref="F242">IFERROR(VLOOKUP(E240,Dex!$B$3:$H1361,5,FALSE),"")</f>
        <v/>
      </c>
      <c r="G242" s="4027"/>
      <c r="H242" s="4028"/>
      <c r="J242" s="4025"/>
      <c r="K242" s="4029" t="str">
        <f t="array" ref="K242">IFERROR(VLOOKUP(J240,Dex!$B$3:$H1361,5,FALSE),"")</f>
        <v/>
      </c>
      <c r="L242" s="4030" t="str">
        <f t="array" ref="L242">IFERROR(VLOOKUP(J240,Dex!$B$3:$H1361,7,FALSE),"")</f>
        <v/>
      </c>
      <c r="M242" s="4028"/>
      <c r="O242" s="4025"/>
      <c r="P242" s="4026" t="str">
        <f t="array" ref="P242">IFERROR(VLOOKUP(O240,Dex!$B$3:$H1361,5,FALSE),"")</f>
        <v/>
      </c>
      <c r="Q242" s="4027"/>
      <c r="R242" s="4028"/>
      <c r="T242" s="4025"/>
      <c r="U242" s="4026" t="str">
        <f t="array" ref="U242">IFERROR(VLOOKUP(T240,Dex!$B$3:$H1361,5,FALSE),"")</f>
        <v/>
      </c>
      <c r="V242" s="4027"/>
      <c r="W242" s="4028"/>
      <c r="Y242" s="4025"/>
      <c r="Z242" s="4029" t="str">
        <f t="array" ref="Z242">IFERROR(VLOOKUP(Y240,Dex!$B$3:$H1361,5,FALSE),"")</f>
        <v/>
      </c>
      <c r="AA242" s="4030" t="str">
        <f t="array" ref="AA242">IFERROR(VLOOKUP(Y240,Dex!$B$3:$H1361,7,FALSE),"")</f>
        <v/>
      </c>
      <c r="AB242" s="4028"/>
      <c r="AC242" s="4107"/>
      <c r="AD242" s="4004"/>
      <c r="AE242" s="4005"/>
      <c r="AF242" s="4005"/>
      <c r="AG242" s="4006"/>
      <c r="AH242" s="4007"/>
      <c r="AI242" s="3452"/>
    </row>
    <row r="243" ht="2.25" customHeight="1">
      <c r="A243" s="3446"/>
      <c r="B243" s="3998"/>
      <c r="C243" s="4031"/>
      <c r="D243" s="4024"/>
      <c r="E243" s="4032"/>
      <c r="F243" s="4033"/>
      <c r="G243" s="4033"/>
      <c r="H243" s="4034"/>
      <c r="J243" s="4032"/>
      <c r="K243" s="4033"/>
      <c r="L243" s="4033"/>
      <c r="M243" s="4034"/>
      <c r="O243" s="4032"/>
      <c r="P243" s="4033"/>
      <c r="Q243" s="4033"/>
      <c r="R243" s="4034"/>
      <c r="T243" s="4032"/>
      <c r="U243" s="4033"/>
      <c r="V243" s="4033"/>
      <c r="W243" s="4034"/>
      <c r="Y243" s="4032"/>
      <c r="Z243" s="4033"/>
      <c r="AA243" s="4033"/>
      <c r="AB243" s="4034"/>
      <c r="AC243" s="4107"/>
      <c r="AD243" s="4024"/>
      <c r="AE243" s="4024"/>
      <c r="AF243" s="4024"/>
      <c r="AG243" s="4024"/>
      <c r="AH243" s="4007"/>
      <c r="AI243" s="3452"/>
    </row>
    <row r="244" ht="20.25" customHeight="1">
      <c r="A244" s="3446"/>
      <c r="B244" s="3998"/>
      <c r="C244" s="4031"/>
      <c r="D244" s="4004"/>
      <c r="E244" s="4035" t="s">
        <v>532</v>
      </c>
      <c r="F244" s="4036"/>
      <c r="G244" s="4036"/>
      <c r="H244" s="4037"/>
      <c r="J244" s="4035" t="s">
        <v>564</v>
      </c>
      <c r="K244" s="4036"/>
      <c r="L244" s="4036"/>
      <c r="M244" s="4037"/>
      <c r="O244" s="4035" t="s">
        <v>566</v>
      </c>
      <c r="P244" s="4036"/>
      <c r="Q244" s="4036"/>
      <c r="R244" s="4037"/>
      <c r="T244" s="4035" t="s">
        <v>532</v>
      </c>
      <c r="U244" s="4036"/>
      <c r="V244" s="4036"/>
      <c r="W244" s="4037"/>
      <c r="Y244" s="4035" t="s">
        <v>566</v>
      </c>
      <c r="Z244" s="4036"/>
      <c r="AA244" s="4036"/>
      <c r="AB244" s="4037"/>
      <c r="AC244" s="4107"/>
      <c r="AD244" s="4004"/>
      <c r="AE244" s="4005"/>
      <c r="AF244" s="4005"/>
      <c r="AG244" s="4006"/>
      <c r="AH244" s="4007"/>
      <c r="AI244" s="3452"/>
    </row>
    <row r="245" ht="20.25" customHeight="1">
      <c r="A245" s="3446"/>
      <c r="B245" s="3998"/>
      <c r="C245" s="4038"/>
      <c r="D245" s="4004"/>
      <c r="E245" s="4039" t="s">
        <v>826</v>
      </c>
      <c r="F245" s="4005"/>
      <c r="G245" s="4005"/>
      <c r="H245" s="4040"/>
      <c r="J245" s="4039" t="s">
        <v>1229</v>
      </c>
      <c r="K245" s="4005"/>
      <c r="L245" s="4005"/>
      <c r="M245" s="4040"/>
      <c r="O245" s="4039" t="s">
        <v>1436</v>
      </c>
      <c r="P245" s="4005"/>
      <c r="Q245" s="4005"/>
      <c r="R245" s="4040"/>
      <c r="T245" s="4039" t="s">
        <v>1145</v>
      </c>
      <c r="U245" s="4005"/>
      <c r="V245" s="4005"/>
      <c r="W245" s="4040"/>
      <c r="Y245" s="4039" t="s">
        <v>60</v>
      </c>
      <c r="Z245" s="4005"/>
      <c r="AA245" s="4005"/>
      <c r="AB245" s="4040"/>
      <c r="AC245" s="4107"/>
      <c r="AD245" s="4004"/>
      <c r="AE245" s="4005"/>
      <c r="AF245" s="4005"/>
      <c r="AG245" s="4006"/>
      <c r="AH245" s="4007"/>
      <c r="AI245" s="3452"/>
    </row>
    <row r="246" ht="20.25" customHeight="1">
      <c r="A246" s="3446"/>
      <c r="B246" s="3998"/>
      <c r="C246" s="4014"/>
      <c r="D246" s="4004"/>
      <c r="E246" s="4041" t="s">
        <v>870</v>
      </c>
      <c r="F246" s="4042"/>
      <c r="G246" s="4043"/>
      <c r="H246" s="4044" t="str">
        <f>IMAGE("https://raw.githubusercontent.com/msikma/pokesprite/master/items/berry/chople.png",3)</f>
        <v/>
      </c>
      <c r="J246" s="4041" t="s">
        <v>489</v>
      </c>
      <c r="K246" s="4042"/>
      <c r="L246" s="4043"/>
      <c r="M246" s="4044" t="str">
        <f>IMAGE("https://raw.githubusercontent.com/msikma/pokesprite/master/items/hold-item/eviolite.png",3)</f>
        <v/>
      </c>
      <c r="O246" s="4041" t="s">
        <v>1437</v>
      </c>
      <c r="P246" s="4042"/>
      <c r="Q246" s="4043"/>
      <c r="R246" s="4044" t="str">
        <f>IMAGE("https://raw.githubusercontent.com/msikma/pokesprite/master/items/hold-item/metal-coat.png",3)</f>
        <v/>
      </c>
      <c r="T246" s="4041" t="s">
        <v>1174</v>
      </c>
      <c r="U246" s="4042"/>
      <c r="V246" s="4043"/>
      <c r="W246" s="4044" t="str">
        <f>IMAGE("https://raw.githubusercontent.com/msikma/pokesprite/master/items/hold-item/expert-belt.png",3)</f>
        <v/>
      </c>
      <c r="Y246" s="4041" t="s">
        <v>492</v>
      </c>
      <c r="Z246" s="4042"/>
      <c r="AA246" s="4043"/>
      <c r="AB246" s="4044" t="str">
        <f>IMAGE("https://raw.githubusercontent.com/msikma/pokesprite/master/items/berry/iapapa.png",3)</f>
        <v/>
      </c>
      <c r="AC246" s="4107"/>
      <c r="AD246" s="4004"/>
      <c r="AE246" s="4005"/>
      <c r="AF246" s="4005"/>
      <c r="AG246" s="4006"/>
      <c r="AH246" s="4007"/>
      <c r="AI246" s="3452"/>
    </row>
    <row r="247" ht="20.25" customHeight="1">
      <c r="A247" s="3446"/>
      <c r="B247" s="3998"/>
      <c r="C247" s="4045"/>
      <c r="D247" s="4004"/>
      <c r="E247" s="4035" t="s">
        <v>777</v>
      </c>
      <c r="F247" s="4036"/>
      <c r="G247" s="4046"/>
      <c r="H247" s="4047" t="str">
        <f>IMAGE("https://raw.githubusercontent.com/msikma/pokesprite/master/misc/types/gen8/normal.png",4,20,20)</f>
        <v/>
      </c>
      <c r="J247" s="4035" t="s">
        <v>586</v>
      </c>
      <c r="K247" s="4036"/>
      <c r="L247" s="4046"/>
      <c r="M247" s="4047" t="str">
        <f>IMAGE("https://raw.githubusercontent.com/msikma/pokesprite/master/misc/types/gen8/ice.png",4,20,20)</f>
        <v/>
      </c>
      <c r="O247" s="4035" t="s">
        <v>777</v>
      </c>
      <c r="P247" s="4036"/>
      <c r="Q247" s="4046"/>
      <c r="R247" s="4047" t="str">
        <f>IMAGE("https://raw.githubusercontent.com/msikma/pokesprite/master/misc/types/gen8/normal.png",4,20,20)</f>
        <v/>
      </c>
      <c r="T247" s="4035" t="s">
        <v>1011</v>
      </c>
      <c r="U247" s="4036"/>
      <c r="V247" s="4046"/>
      <c r="W247" s="4047" t="str">
        <f>IMAGE("https://raw.githubusercontent.com/msikma/pokesprite/master/misc/types/gen8/electric.png",4,20,20)</f>
        <v/>
      </c>
      <c r="Y247" s="4035" t="s">
        <v>1023</v>
      </c>
      <c r="Z247" s="4036"/>
      <c r="AA247" s="4046"/>
      <c r="AB247" s="4047" t="str">
        <f>IMAGE("https://raw.githubusercontent.com/msikma/pokesprite/master/misc/types/gen8/fighting.png",4,20,20)</f>
        <v/>
      </c>
      <c r="AC247" s="4107"/>
      <c r="AD247" s="4004"/>
      <c r="AE247" s="4005"/>
      <c r="AF247" s="4005"/>
      <c r="AG247" s="4006"/>
      <c r="AH247" s="4007"/>
      <c r="AI247" s="3452"/>
    </row>
    <row r="248" ht="20.25" customHeight="1">
      <c r="A248" s="3446"/>
      <c r="B248" s="3998"/>
      <c r="C248" s="4031"/>
      <c r="D248" s="4004"/>
      <c r="E248" s="4039" t="s">
        <v>1438</v>
      </c>
      <c r="F248" s="4005"/>
      <c r="G248" s="4006"/>
      <c r="H248" s="4048" t="str">
        <f>IMAGE("https://raw.githubusercontent.com/msikma/pokesprite/master/misc/types/gen8/dark.png",4,20,20)</f>
        <v/>
      </c>
      <c r="J248" s="4039" t="s">
        <v>552</v>
      </c>
      <c r="K248" s="4005"/>
      <c r="L248" s="4006"/>
      <c r="M248" s="4048" t="str">
        <f>IMAGE("https://raw.githubusercontent.com/msikma/pokesprite/master/misc/types/gen8/psychic.png",4,20,20)</f>
        <v/>
      </c>
      <c r="O248" s="4039" t="s">
        <v>612</v>
      </c>
      <c r="P248" s="4005"/>
      <c r="Q248" s="4006"/>
      <c r="R248" s="4048" t="str">
        <f>IMAGE("https://raw.githubusercontent.com/msikma/pokesprite/master/misc/types/gen8/bug.png",4,20,20)</f>
        <v/>
      </c>
      <c r="T248" s="4039" t="s">
        <v>1149</v>
      </c>
      <c r="U248" s="4005"/>
      <c r="V248" s="4006"/>
      <c r="W248" s="4048" t="str">
        <f>IMAGE("https://raw.githubusercontent.com/msikma/pokesprite/master/misc/types/gen8/ice.png",4,20,20)</f>
        <v/>
      </c>
      <c r="Y248" s="4039" t="s">
        <v>959</v>
      </c>
      <c r="Z248" s="4005"/>
      <c r="AA248" s="4006"/>
      <c r="AB248" s="4048" t="str">
        <f>IMAGE("https://raw.githubusercontent.com/msikma/pokesprite/master/misc/types/gen8/fairy.png",4,20,20)</f>
        <v/>
      </c>
      <c r="AC248" s="4107"/>
      <c r="AD248" s="4004"/>
      <c r="AE248" s="4005"/>
      <c r="AF248" s="4005"/>
      <c r="AG248" s="4006"/>
      <c r="AH248" s="4007"/>
      <c r="AI248" s="3452"/>
    </row>
    <row r="249" ht="20.25" customHeight="1">
      <c r="A249" s="3446"/>
      <c r="B249" s="3998"/>
      <c r="C249" s="4031"/>
      <c r="D249" s="4004"/>
      <c r="E249" s="4039" t="s">
        <v>1439</v>
      </c>
      <c r="F249" s="4005"/>
      <c r="G249" s="4006"/>
      <c r="H249" s="4048" t="str">
        <f>IMAGE("https://raw.githubusercontent.com/msikma/pokesprite/master/misc/types/gen8/fighting.png",4,20,20)</f>
        <v/>
      </c>
      <c r="J249" s="4039" t="s">
        <v>647</v>
      </c>
      <c r="K249" s="4005"/>
      <c r="L249" s="4006"/>
      <c r="M249" s="4048" t="str">
        <f>IMAGE("https://raw.githubusercontent.com/msikma/pokesprite/master/misc/types/gen8/ghost.png",4,20,20)</f>
        <v/>
      </c>
      <c r="O249" s="4039" t="s">
        <v>831</v>
      </c>
      <c r="P249" s="4005"/>
      <c r="Q249" s="4006"/>
      <c r="R249" s="4048" t="str">
        <f t="shared" ref="R249:R250" si="6">IMAGE("https://raw.githubusercontent.com/msikma/pokesprite/master/misc/types/gen8/steel.png",4,20,20)</f>
        <v/>
      </c>
      <c r="T249" s="4039" t="s">
        <v>975</v>
      </c>
      <c r="U249" s="4005"/>
      <c r="V249" s="4006"/>
      <c r="W249" s="4048" t="str">
        <f>IMAGE("https://raw.githubusercontent.com/msikma/pokesprite/master/misc/types/gen8/fire.png",4,20,20)</f>
        <v/>
      </c>
      <c r="Y249" s="4039" t="s">
        <v>1020</v>
      </c>
      <c r="Z249" s="4005"/>
      <c r="AA249" s="4006"/>
      <c r="AB249" s="4048" t="str">
        <f>IMAGE("https://raw.githubusercontent.com/msikma/pokesprite/master/misc/types/gen8/fire.png",4,20,20)</f>
        <v/>
      </c>
      <c r="AC249" s="4107"/>
      <c r="AD249" s="4004"/>
      <c r="AE249" s="4005"/>
      <c r="AF249" s="4005"/>
      <c r="AG249" s="4006"/>
      <c r="AH249" s="4007"/>
      <c r="AI249" s="3452"/>
    </row>
    <row r="250" ht="21.0" customHeight="1">
      <c r="A250" s="3446"/>
      <c r="B250" s="3998"/>
      <c r="C250" s="4031"/>
      <c r="D250" s="4004"/>
      <c r="E250" s="4049" t="s">
        <v>1440</v>
      </c>
      <c r="F250" s="4050"/>
      <c r="G250" s="4051"/>
      <c r="H250" s="4052" t="str">
        <f>IMAGE("https://raw.githubusercontent.com/msikma/pokesprite/master/misc/types/gen8/normal.png",4,20,20)</f>
        <v/>
      </c>
      <c r="I250" s="4109"/>
      <c r="J250" s="4049" t="s">
        <v>671</v>
      </c>
      <c r="K250" s="4050"/>
      <c r="L250" s="4051"/>
      <c r="M250" s="4052" t="str">
        <f>IMAGE("https://raw.githubusercontent.com/msikma/pokesprite/master/misc/types/gen8/fire.png",4,20,20)</f>
        <v/>
      </c>
      <c r="N250" s="4109"/>
      <c r="O250" s="4049" t="s">
        <v>739</v>
      </c>
      <c r="P250" s="4050"/>
      <c r="Q250" s="4051"/>
      <c r="R250" s="4052" t="str">
        <f t="shared" si="6"/>
        <v/>
      </c>
      <c r="S250" s="4109"/>
      <c r="T250" s="4049" t="s">
        <v>939</v>
      </c>
      <c r="U250" s="4050"/>
      <c r="V250" s="4051"/>
      <c r="W250" s="4052" t="str">
        <f>IMAGE("https://raw.githubusercontent.com/msikma/pokesprite/master/misc/types/gen8/psychic.png",4,20,20)</f>
        <v/>
      </c>
      <c r="X250" s="4109"/>
      <c r="Y250" s="4049" t="s">
        <v>504</v>
      </c>
      <c r="Z250" s="4050"/>
      <c r="AA250" s="4051"/>
      <c r="AB250" s="4052" t="str">
        <f>IMAGE("https://raw.githubusercontent.com/msikma/pokesprite/master/misc/types/gen8/electric.png",4,20,20)</f>
        <v/>
      </c>
      <c r="AC250" s="4110"/>
      <c r="AD250" s="4004"/>
      <c r="AE250" s="4005"/>
      <c r="AF250" s="4005"/>
      <c r="AG250" s="4006"/>
      <c r="AH250" s="4007"/>
      <c r="AI250" s="3452"/>
    </row>
    <row r="251" ht="3.0" customHeight="1">
      <c r="A251" s="3524"/>
      <c r="B251" s="4053"/>
      <c r="C251" s="4054"/>
      <c r="D251" s="4055"/>
      <c r="E251" s="4111"/>
      <c r="F251" s="4111"/>
      <c r="G251" s="4111"/>
      <c r="H251" s="4056"/>
      <c r="I251" s="4055"/>
      <c r="J251" s="4112"/>
      <c r="K251" s="4112"/>
      <c r="L251" s="4112"/>
      <c r="M251" s="4056"/>
      <c r="N251" s="4055"/>
      <c r="O251" s="4112"/>
      <c r="P251" s="4112"/>
      <c r="Q251" s="4112"/>
      <c r="R251" s="4056"/>
      <c r="S251" s="4056"/>
      <c r="T251" s="4112"/>
      <c r="U251" s="4112"/>
      <c r="V251" s="4112"/>
      <c r="W251" s="4056"/>
      <c r="X251" s="4055"/>
      <c r="Y251" s="4112"/>
      <c r="Z251" s="4112"/>
      <c r="AA251" s="4112"/>
      <c r="AB251" s="4056"/>
      <c r="AC251" s="4059"/>
      <c r="AD251" s="4059"/>
      <c r="AE251" s="4059"/>
      <c r="AF251" s="4059"/>
      <c r="AG251" s="4059"/>
      <c r="AH251" s="4060"/>
      <c r="AI251" s="3534"/>
    </row>
    <row r="252" ht="16.5" customHeight="1">
      <c r="A252" s="3535"/>
      <c r="B252" s="4061"/>
      <c r="C252" s="4054"/>
      <c r="D252" s="4062"/>
      <c r="E252" s="4063" t="s">
        <v>512</v>
      </c>
      <c r="F252" s="606"/>
      <c r="G252" s="606"/>
      <c r="H252" s="607"/>
      <c r="I252" s="4064"/>
      <c r="J252" s="4063" t="s">
        <v>512</v>
      </c>
      <c r="K252" s="606"/>
      <c r="L252" s="606"/>
      <c r="M252" s="607"/>
      <c r="N252" s="4064"/>
      <c r="O252" s="4063" t="s">
        <v>512</v>
      </c>
      <c r="P252" s="606"/>
      <c r="Q252" s="606"/>
      <c r="R252" s="607"/>
      <c r="S252" s="4065"/>
      <c r="T252" s="4063" t="s">
        <v>512</v>
      </c>
      <c r="U252" s="606"/>
      <c r="V252" s="606"/>
      <c r="W252" s="607"/>
      <c r="X252" s="4067"/>
      <c r="Y252" s="4063" t="s">
        <v>512</v>
      </c>
      <c r="Z252" s="606"/>
      <c r="AA252" s="606"/>
      <c r="AB252" s="607"/>
      <c r="AC252" s="4067"/>
      <c r="AD252" s="4067"/>
      <c r="AE252" s="4067"/>
      <c r="AF252" s="4067"/>
      <c r="AG252" s="4067"/>
      <c r="AH252" s="4068"/>
      <c r="AI252" s="3543"/>
    </row>
    <row r="253" ht="16.5" customHeight="1">
      <c r="A253" s="3535"/>
      <c r="B253" s="4061"/>
      <c r="C253" s="4054"/>
      <c r="D253" s="4062"/>
      <c r="E253" s="4069" t="s">
        <v>513</v>
      </c>
      <c r="F253" s="4070">
        <f t="array" ref="F253">IFERROR(VLOOKUP(E240,Dex!$B$3:$N1361,8,FALSE),"")</f>
        <v>75</v>
      </c>
      <c r="G253" s="4071" t="str">
        <f t="array" ref="G253">IFERROR(VLOOKUP(F253,Dex!$P$22:$Q$276,2,FALSE),"")</f>
        <v/>
      </c>
      <c r="H253" s="4072"/>
      <c r="I253" s="4062"/>
      <c r="J253" s="4069" t="s">
        <v>513</v>
      </c>
      <c r="K253" s="4070">
        <f t="array" ref="K253">IFERROR(VLOOKUP(J240,Dex!$B$3:$N1361,8,FALSE),"")</f>
        <v>50</v>
      </c>
      <c r="L253" s="4071" t="str">
        <f t="array" ref="L253">IFERROR(VLOOKUP(K253,Dex!$P$22:$Q$276,2,FALSE),"")</f>
        <v/>
      </c>
      <c r="M253" s="4072"/>
      <c r="N253" s="4062"/>
      <c r="O253" s="4069" t="s">
        <v>513</v>
      </c>
      <c r="P253" s="4070">
        <f t="array" ref="P253">IFERROR(VLOOKUP(O240,Dex!$B$3:$N1361,8,FALSE),"")</f>
        <v>90</v>
      </c>
      <c r="Q253" s="4071" t="str">
        <f t="array" ref="Q253">IFERROR(VLOOKUP(P253,Dex!$P$22:$Q$276,2,FALSE),"")</f>
        <v/>
      </c>
      <c r="R253" s="4072"/>
      <c r="S253" s="4073"/>
      <c r="T253" s="4069" t="s">
        <v>513</v>
      </c>
      <c r="U253" s="4070">
        <f t="array" ref="U253">IFERROR(VLOOKUP(T240,Dex!$B$3:$N1361,8,FALSE),"")</f>
        <v>69</v>
      </c>
      <c r="V253" s="4071" t="str">
        <f t="array" ref="V253">IFERROR(VLOOKUP(U253,Dex!$P$22:$Q$276,2,FALSE),"")</f>
        <v/>
      </c>
      <c r="W253" s="4072"/>
      <c r="X253" s="4067"/>
      <c r="Y253" s="4069" t="s">
        <v>513</v>
      </c>
      <c r="Z253" s="4070">
        <f t="array" ref="Z253">IFERROR(VLOOKUP(Y240,Dex!$B$3:$N1361,8,FALSE),"")</f>
        <v>100</v>
      </c>
      <c r="AA253" s="4071" t="str">
        <f t="array" ref="AA253">IFERROR(VLOOKUP(Z253,Dex!$P$22:$Q$276,2,FALSE),"")</f>
        <v/>
      </c>
      <c r="AB253" s="4072"/>
      <c r="AC253" s="4067"/>
      <c r="AD253" s="4067"/>
      <c r="AE253" s="4067"/>
      <c r="AF253" s="4067"/>
      <c r="AG253" s="4067"/>
      <c r="AH253" s="4068"/>
      <c r="AI253" s="3543"/>
    </row>
    <row r="254" ht="16.5" customHeight="1">
      <c r="A254" s="3535"/>
      <c r="B254" s="4061"/>
      <c r="C254" s="4054"/>
      <c r="D254" s="4062"/>
      <c r="E254" s="4075" t="s">
        <v>514</v>
      </c>
      <c r="F254" s="4076">
        <f t="array" ref="F254">IFERROR(VLOOKUP(E240,Dex!$B$3:$N1361,9,FALSE),"")</f>
        <v>100</v>
      </c>
      <c r="G254" s="4077" t="str">
        <f t="array" ref="G254">IFERROR(VLOOKUP(F254,Dex!$P$22:$Q$276,2,FALSE),"")</f>
        <v/>
      </c>
      <c r="H254" s="4078"/>
      <c r="I254" s="4062"/>
      <c r="J254" s="4075" t="s">
        <v>514</v>
      </c>
      <c r="K254" s="4076">
        <f t="array" ref="K254">IFERROR(VLOOKUP(J240,Dex!$B$3:$N1361,9,FALSE),"")</f>
        <v>65</v>
      </c>
      <c r="L254" s="4077" t="str">
        <f t="array" ref="L254">IFERROR(VLOOKUP(K254,Dex!$P$22:$Q$276,2,FALSE),"")</f>
        <v/>
      </c>
      <c r="M254" s="4078"/>
      <c r="N254" s="4062"/>
      <c r="O254" s="4075" t="s">
        <v>514</v>
      </c>
      <c r="P254" s="4076">
        <f t="array" ref="P254">IFERROR(VLOOKUP(O240,Dex!$B$3:$N1361,9,FALSE),"")</f>
        <v>110</v>
      </c>
      <c r="Q254" s="4077" t="str">
        <f t="array" ref="Q254">IFERROR(VLOOKUP(P254,Dex!$P$22:$Q$276,2,FALSE),"")</f>
        <v/>
      </c>
      <c r="R254" s="4078"/>
      <c r="S254" s="4073"/>
      <c r="T254" s="4075" t="s">
        <v>514</v>
      </c>
      <c r="U254" s="4076">
        <f t="array" ref="U254">IFERROR(VLOOKUP(T240,Dex!$B$3:$N1361,9,FALSE),"")</f>
        <v>100</v>
      </c>
      <c r="V254" s="4077" t="str">
        <f t="array" ref="V254">IFERROR(VLOOKUP(U254,Dex!$P$22:$Q$276,2,FALSE),"")</f>
        <v/>
      </c>
      <c r="W254" s="4078"/>
      <c r="X254" s="4067"/>
      <c r="Y254" s="4075" t="s">
        <v>514</v>
      </c>
      <c r="Z254" s="4076">
        <f t="array" ref="Z254">IFERROR(VLOOKUP(Y240,Dex!$B$3:$N1361,9,FALSE),"")</f>
        <v>120</v>
      </c>
      <c r="AA254" s="4077" t="str">
        <f t="array" ref="AA254">IFERROR(VLOOKUP(Z254,Dex!$P$22:$Q$276,2,FALSE),"")</f>
        <v/>
      </c>
      <c r="AB254" s="4078"/>
      <c r="AC254" s="4067"/>
      <c r="AD254" s="4067"/>
      <c r="AE254" s="4067"/>
      <c r="AF254" s="4067"/>
      <c r="AG254" s="4067"/>
      <c r="AH254" s="4068"/>
      <c r="AI254" s="3543"/>
    </row>
    <row r="255" ht="16.5" customHeight="1">
      <c r="A255" s="3535"/>
      <c r="B255" s="4061"/>
      <c r="C255" s="4054"/>
      <c r="D255" s="4062"/>
      <c r="E255" s="4075" t="s">
        <v>515</v>
      </c>
      <c r="F255" s="4076">
        <f t="array" ref="F255">IFERROR(VLOOKUP(E240,Dex!$B$3:$N1361,10,FALSE),"")</f>
        <v>66</v>
      </c>
      <c r="G255" s="4077" t="str">
        <f t="array" ref="G255">IFERROR(VLOOKUP(F255,Dex!$P$22:$Q$276,2,FALSE),"")</f>
        <v/>
      </c>
      <c r="H255" s="4078"/>
      <c r="I255" s="4062"/>
      <c r="J255" s="4075" t="s">
        <v>515</v>
      </c>
      <c r="K255" s="4076">
        <f t="array" ref="K255">IFERROR(VLOOKUP(J240,Dex!$B$3:$N1361,10,FALSE),"")</f>
        <v>65</v>
      </c>
      <c r="L255" s="4077" t="str">
        <f t="array" ref="L255">IFERROR(VLOOKUP(K255,Dex!$P$22:$Q$276,2,FALSE),"")</f>
        <v/>
      </c>
      <c r="M255" s="4078"/>
      <c r="N255" s="4062"/>
      <c r="O255" s="4075" t="s">
        <v>515</v>
      </c>
      <c r="P255" s="4076">
        <f t="array" ref="P255">IFERROR(VLOOKUP(O240,Dex!$B$3:$N1361,10,FALSE),"")</f>
        <v>100</v>
      </c>
      <c r="Q255" s="4077" t="str">
        <f t="array" ref="Q255">IFERROR(VLOOKUP(P255,Dex!$P$22:$Q$276,2,FALSE),"")</f>
        <v/>
      </c>
      <c r="R255" s="4078"/>
      <c r="S255" s="4073"/>
      <c r="T255" s="4075" t="s">
        <v>515</v>
      </c>
      <c r="U255" s="4076">
        <f t="array" ref="U255">IFERROR(VLOOKUP(T240,Dex!$B$3:$N1361,10,FALSE),"")</f>
        <v>60</v>
      </c>
      <c r="V255" s="4077" t="str">
        <f t="array" ref="V255">IFERROR(VLOOKUP(U255,Dex!$P$22:$Q$276,2,FALSE),"")</f>
        <v/>
      </c>
      <c r="W255" s="4078"/>
      <c r="X255" s="4067"/>
      <c r="Y255" s="4075" t="s">
        <v>515</v>
      </c>
      <c r="Z255" s="4076">
        <f t="array" ref="Z255">IFERROR(VLOOKUP(Y240,Dex!$B$3:$N1361,10,FALSE),"")</f>
        <v>75</v>
      </c>
      <c r="AA255" s="4077" t="str">
        <f t="array" ref="AA255">IFERROR(VLOOKUP(Z255,Dex!$P$22:$Q$276,2,FALSE),"")</f>
        <v/>
      </c>
      <c r="AB255" s="4078"/>
      <c r="AC255" s="4067"/>
      <c r="AD255" s="4067"/>
      <c r="AE255" s="4067"/>
      <c r="AF255" s="4067"/>
      <c r="AG255" s="4067"/>
      <c r="AH255" s="4068"/>
      <c r="AI255" s="3543"/>
    </row>
    <row r="256" ht="16.5" customHeight="1">
      <c r="A256" s="3535"/>
      <c r="B256" s="4061"/>
      <c r="C256" s="4054"/>
      <c r="D256" s="4062"/>
      <c r="E256" s="4075" t="s">
        <v>516</v>
      </c>
      <c r="F256" s="4076">
        <f t="array" ref="F256">IFERROR(VLOOKUP(E240,Dex!$B$3:$N1361,11,FALSE),"")</f>
        <v>60</v>
      </c>
      <c r="G256" s="4077" t="str">
        <f t="array" ref="G256">IFERROR(VLOOKUP(F256,Dex!$P$22:$Q$276,2,FALSE),"")</f>
        <v/>
      </c>
      <c r="H256" s="4078"/>
      <c r="I256" s="4062"/>
      <c r="J256" s="4075" t="s">
        <v>516</v>
      </c>
      <c r="K256" s="4076">
        <f t="array" ref="K256">IFERROR(VLOOKUP(J240,Dex!$B$3:$N1361,11,FALSE),"")</f>
        <v>90</v>
      </c>
      <c r="L256" s="4077" t="str">
        <f t="array" ref="L256">IFERROR(VLOOKUP(K256,Dex!$P$22:$Q$276,2,FALSE),"")</f>
        <v/>
      </c>
      <c r="M256" s="4078"/>
      <c r="N256" s="4062"/>
      <c r="O256" s="4075" t="s">
        <v>516</v>
      </c>
      <c r="P256" s="4076">
        <f t="array" ref="P256">IFERROR(VLOOKUP(O240,Dex!$B$3:$N1361,11,FALSE),"")</f>
        <v>30</v>
      </c>
      <c r="Q256" s="4077" t="str">
        <f t="array" ref="Q256">IFERROR(VLOOKUP(P256,Dex!$P$22:$Q$276,2,FALSE),"")</f>
        <v/>
      </c>
      <c r="R256" s="4078"/>
      <c r="S256" s="4073"/>
      <c r="T256" s="4075" t="s">
        <v>516</v>
      </c>
      <c r="U256" s="4076">
        <f t="array" ref="U256">IFERROR(VLOOKUP(T240,Dex!$B$3:$N1361,11,FALSE),"")</f>
        <v>80</v>
      </c>
      <c r="V256" s="4077" t="str">
        <f t="array" ref="V256">IFERROR(VLOOKUP(U256,Dex!$P$22:$Q$276,2,FALSE),"")</f>
        <v/>
      </c>
      <c r="W256" s="4078"/>
      <c r="X256" s="4067"/>
      <c r="Y256" s="4075" t="s">
        <v>516</v>
      </c>
      <c r="Z256" s="4076">
        <f t="array" ref="Z256">IFERROR(VLOOKUP(Y240,Dex!$B$3:$N1361,11,FALSE),"")</f>
        <v>60</v>
      </c>
      <c r="AA256" s="4077" t="str">
        <f t="array" ref="AA256">IFERROR(VLOOKUP(Z256,Dex!$P$22:$Q$276,2,FALSE),"")</f>
        <v/>
      </c>
      <c r="AB256" s="4078"/>
      <c r="AC256" s="4067"/>
      <c r="AD256" s="4067"/>
      <c r="AE256" s="4067"/>
      <c r="AF256" s="4067"/>
      <c r="AG256" s="4067"/>
      <c r="AH256" s="4068"/>
      <c r="AI256" s="3543"/>
    </row>
    <row r="257" ht="16.5" customHeight="1">
      <c r="A257" s="3535"/>
      <c r="B257" s="4061"/>
      <c r="C257" s="4054"/>
      <c r="D257" s="4062"/>
      <c r="E257" s="4075" t="s">
        <v>517</v>
      </c>
      <c r="F257" s="4076">
        <f t="array" ref="F257">IFERROR(VLOOKUP(E240,Dex!$B$3:$N1361,12,FALSE),"")</f>
        <v>66</v>
      </c>
      <c r="G257" s="4077" t="str">
        <f t="array" ref="G257">IFERROR(VLOOKUP(F257,Dex!$P$22:$Q$276,2,FALSE),"")</f>
        <v/>
      </c>
      <c r="H257" s="4078"/>
      <c r="I257" s="4062"/>
      <c r="J257" s="4075" t="s">
        <v>517</v>
      </c>
      <c r="K257" s="4076">
        <f t="array" ref="K257">IFERROR(VLOOKUP(J240,Dex!$B$3:$N1361,12,FALSE),"")</f>
        <v>90</v>
      </c>
      <c r="L257" s="4077" t="str">
        <f t="array" ref="L257">IFERROR(VLOOKUP(K257,Dex!$P$22:$Q$276,2,FALSE),"")</f>
        <v/>
      </c>
      <c r="M257" s="4078"/>
      <c r="N257" s="4062"/>
      <c r="O257" s="4075" t="s">
        <v>517</v>
      </c>
      <c r="P257" s="4076">
        <f t="array" ref="P257">IFERROR(VLOOKUP(O240,Dex!$B$3:$N1361,12,FALSE),"")</f>
        <v>60</v>
      </c>
      <c r="Q257" s="4077" t="str">
        <f t="array" ref="Q257">IFERROR(VLOOKUP(P257,Dex!$P$22:$Q$276,2,FALSE),"")</f>
        <v/>
      </c>
      <c r="R257" s="4078"/>
      <c r="S257" s="4073"/>
      <c r="T257" s="4075" t="s">
        <v>517</v>
      </c>
      <c r="U257" s="4076">
        <f t="array" ref="U257">IFERROR(VLOOKUP(T240,Dex!$B$3:$N1361,12,FALSE),"")</f>
        <v>60</v>
      </c>
      <c r="V257" s="4077" t="str">
        <f t="array" ref="V257">IFERROR(VLOOKUP(U257,Dex!$P$22:$Q$276,2,FALSE),"")</f>
        <v/>
      </c>
      <c r="W257" s="4078"/>
      <c r="X257" s="4067"/>
      <c r="Y257" s="4075" t="s">
        <v>517</v>
      </c>
      <c r="Z257" s="4076">
        <f t="array" ref="Z257">IFERROR(VLOOKUP(Y240,Dex!$B$3:$N1361,12,FALSE),"")</f>
        <v>60</v>
      </c>
      <c r="AA257" s="4077" t="str">
        <f t="array" ref="AA257">IFERROR(VLOOKUP(Z257,Dex!$P$22:$Q$276,2,FALSE),"")</f>
        <v/>
      </c>
      <c r="AB257" s="4078"/>
      <c r="AC257" s="4067"/>
      <c r="AD257" s="4067"/>
      <c r="AE257" s="4067"/>
      <c r="AF257" s="4067"/>
      <c r="AG257" s="4067"/>
      <c r="AH257" s="4068"/>
      <c r="AI257" s="3543"/>
    </row>
    <row r="258" ht="16.5" customHeight="1">
      <c r="A258" s="3535"/>
      <c r="B258" s="4061"/>
      <c r="C258" s="1426" t="s">
        <v>745</v>
      </c>
      <c r="D258" s="4062"/>
      <c r="E258" s="4081" t="s">
        <v>518</v>
      </c>
      <c r="F258" s="4082">
        <f t="array" ref="F258">IFERROR(VLOOKUP(E240,Dex!$B$3:$N1361,13,FALSE),"")</f>
        <v>115</v>
      </c>
      <c r="G258" s="4083" t="str">
        <f t="array" ref="G258">IFERROR(VLOOKUP(F258,Dex!$P$22:$Q$276,2,FALSE),"")</f>
        <v/>
      </c>
      <c r="H258" s="4084"/>
      <c r="I258" s="4062"/>
      <c r="J258" s="4081" t="s">
        <v>518</v>
      </c>
      <c r="K258" s="4082">
        <f t="array" ref="K258">IFERROR(VLOOKUP(J240,Dex!$B$3:$N1361,13,FALSE),"")</f>
        <v>100</v>
      </c>
      <c r="L258" s="4083" t="str">
        <f t="array" ref="L258">IFERROR(VLOOKUP(K258,Dex!$P$22:$Q$276,2,FALSE),"")</f>
        <v/>
      </c>
      <c r="M258" s="4084"/>
      <c r="N258" s="4062"/>
      <c r="O258" s="4081" t="s">
        <v>518</v>
      </c>
      <c r="P258" s="4082">
        <f t="array" ref="P258">IFERROR(VLOOKUP(O240,Dex!$B$3:$N1361,13,FALSE),"")</f>
        <v>50</v>
      </c>
      <c r="Q258" s="4083" t="str">
        <f t="array" ref="Q258">IFERROR(VLOOKUP(P258,Dex!$P$22:$Q$276,2,FALSE),"")</f>
        <v/>
      </c>
      <c r="R258" s="4084"/>
      <c r="S258" s="4073"/>
      <c r="T258" s="4081" t="s">
        <v>518</v>
      </c>
      <c r="U258" s="4082">
        <f t="array" ref="U258">IFERROR(VLOOKUP(T240,Dex!$B$3:$N1361,13,FALSE),"")</f>
        <v>121</v>
      </c>
      <c r="V258" s="4083" t="str">
        <f t="array" ref="V258">IFERROR(VLOOKUP(U258,Dex!$P$22:$Q$276,2,FALSE),"")</f>
        <v/>
      </c>
      <c r="W258" s="4084"/>
      <c r="X258" s="4067"/>
      <c r="Y258" s="4081" t="s">
        <v>518</v>
      </c>
      <c r="Z258" s="4082">
        <f t="array" ref="Z258">IFERROR(VLOOKUP(Y240,Dex!$B$3:$N1361,13,FALSE),"")</f>
        <v>45</v>
      </c>
      <c r="AA258" s="4083" t="str">
        <f t="array" ref="AA258">IFERROR(VLOOKUP(Z258,Dex!$P$22:$Q$276,2,FALSE),"")</f>
        <v/>
      </c>
      <c r="AB258" s="4084"/>
      <c r="AC258" s="4067"/>
      <c r="AD258" s="4067"/>
      <c r="AE258" s="4067"/>
      <c r="AF258" s="4067"/>
      <c r="AG258" s="4067"/>
      <c r="AH258" s="4068"/>
      <c r="AI258" s="3543"/>
    </row>
    <row r="259" ht="16.5" customHeight="1">
      <c r="A259" s="3535"/>
      <c r="B259" s="4061"/>
      <c r="C259" s="1427" t="s">
        <v>836</v>
      </c>
      <c r="D259" s="4062"/>
      <c r="E259" s="4085" t="s">
        <v>519</v>
      </c>
      <c r="F259" s="630"/>
      <c r="G259" s="631"/>
      <c r="H259" s="632">
        <f>ROUNDDOWN((ROUNDDOWN(((((2*F258+31)*27)/100+5)),0))*1.1,0)</f>
        <v>82</v>
      </c>
      <c r="I259" s="4064"/>
      <c r="J259" s="4085" t="s">
        <v>519</v>
      </c>
      <c r="K259" s="630"/>
      <c r="L259" s="631"/>
      <c r="M259" s="632">
        <f>ROUNDDOWN((ROUNDDOWN(((((2*K258+31)*27)/100+5)),0))*1.1,0)</f>
        <v>73</v>
      </c>
      <c r="N259" s="4064"/>
      <c r="O259" s="4085" t="s">
        <v>519</v>
      </c>
      <c r="P259" s="630"/>
      <c r="Q259" s="631"/>
      <c r="R259" s="632">
        <f>ROUNDDOWN((ROUNDDOWN(((((2*P258+31)*28)/100+5)),0))*1,0)</f>
        <v>41</v>
      </c>
      <c r="S259" s="4073"/>
      <c r="T259" s="4085" t="s">
        <v>519</v>
      </c>
      <c r="U259" s="630"/>
      <c r="V259" s="631"/>
      <c r="W259" s="632">
        <f>ROUNDDOWN((ROUNDDOWN(((((2*U258+31)*27)/100+5)),0))*1.1,0)</f>
        <v>85</v>
      </c>
      <c r="X259" s="4067"/>
      <c r="Y259" s="4085" t="s">
        <v>519</v>
      </c>
      <c r="Z259" s="630"/>
      <c r="AA259" s="631"/>
      <c r="AB259" s="632">
        <f>ROUNDDOWN((ROUNDDOWN(((((2*Z258+31)*27)/100+5)),0))*1,0)</f>
        <v>37</v>
      </c>
      <c r="AC259" s="4067"/>
      <c r="AD259" s="4067"/>
      <c r="AE259" s="4067"/>
      <c r="AF259" s="4067"/>
      <c r="AG259" s="4067"/>
      <c r="AH259" s="4068"/>
      <c r="AI259" s="3543"/>
    </row>
    <row r="260" ht="15.0" customHeight="1">
      <c r="A260" s="3446"/>
      <c r="B260" s="4093"/>
      <c r="C260" s="4094"/>
      <c r="D260" s="4095"/>
      <c r="E260" s="4096"/>
      <c r="F260" s="4096"/>
      <c r="G260" s="4096"/>
      <c r="H260" s="4096"/>
      <c r="I260" s="4097"/>
      <c r="J260" s="4113"/>
      <c r="K260" s="4113"/>
      <c r="L260" s="4113"/>
      <c r="M260" s="4096"/>
      <c r="N260" s="4097"/>
      <c r="O260" s="4113"/>
      <c r="P260" s="4113"/>
      <c r="Q260" s="4113"/>
      <c r="R260" s="4096"/>
      <c r="S260" s="4095"/>
      <c r="T260" s="4095"/>
      <c r="U260" s="4095"/>
      <c r="V260" s="4095"/>
      <c r="W260" s="4095"/>
      <c r="X260" s="4095"/>
      <c r="Y260" s="4095"/>
      <c r="Z260" s="4095"/>
      <c r="AA260" s="4095"/>
      <c r="AB260" s="4095"/>
      <c r="AC260" s="4095"/>
      <c r="AD260" s="4095"/>
      <c r="AE260" s="4095"/>
      <c r="AF260" s="4095"/>
      <c r="AG260" s="4095"/>
      <c r="AH260" s="4098"/>
      <c r="AI260" s="3452"/>
    </row>
    <row r="261" ht="15.0" customHeight="1">
      <c r="A261" s="3446"/>
      <c r="B261" s="4114"/>
      <c r="C261" s="4115"/>
      <c r="D261" s="4115"/>
      <c r="E261" s="4115"/>
      <c r="F261" s="4115"/>
      <c r="G261" s="4115"/>
      <c r="H261" s="4115"/>
      <c r="I261" s="4115"/>
      <c r="J261" s="4115"/>
      <c r="K261" s="4115"/>
      <c r="L261" s="4115"/>
      <c r="M261" s="4115"/>
      <c r="N261" s="4115"/>
      <c r="O261" s="4115"/>
      <c r="P261" s="4115"/>
      <c r="Q261" s="4115"/>
      <c r="R261" s="4115"/>
      <c r="S261" s="4115"/>
      <c r="T261" s="4115"/>
      <c r="U261" s="4115"/>
      <c r="V261" s="4115"/>
      <c r="W261" s="4115"/>
      <c r="X261" s="4115"/>
      <c r="Y261" s="4115"/>
      <c r="Z261" s="4115"/>
      <c r="AA261" s="4115"/>
      <c r="AB261" s="4115"/>
      <c r="AC261" s="4115"/>
      <c r="AD261" s="4115"/>
      <c r="AE261" s="4115"/>
      <c r="AF261" s="4115"/>
      <c r="AG261" s="4115"/>
      <c r="AH261" s="4116"/>
      <c r="AI261" s="3452"/>
    </row>
    <row r="262">
      <c r="A262" s="3446"/>
      <c r="B262" s="4117"/>
      <c r="C262" s="4118"/>
      <c r="D262" s="4119"/>
      <c r="E262" s="4120" t="s">
        <v>1441</v>
      </c>
      <c r="F262" s="4121"/>
      <c r="G262" s="4121"/>
      <c r="H262" s="4121"/>
      <c r="I262" s="4121"/>
      <c r="J262" s="4121"/>
      <c r="K262" s="4121"/>
      <c r="L262" s="4121"/>
      <c r="M262" s="4121"/>
      <c r="N262" s="4121"/>
      <c r="O262" s="4121"/>
      <c r="P262" s="4121"/>
      <c r="Q262" s="4121"/>
      <c r="R262" s="4121"/>
      <c r="S262" s="4121"/>
      <c r="T262" s="4121"/>
      <c r="U262" s="4121"/>
      <c r="V262" s="4121"/>
      <c r="W262" s="4121"/>
      <c r="X262" s="4121"/>
      <c r="Y262" s="4121"/>
      <c r="Z262" s="4121"/>
      <c r="AA262" s="4121"/>
      <c r="AB262" s="4121"/>
      <c r="AC262" s="4121"/>
      <c r="AD262" s="4121"/>
      <c r="AE262" s="4121"/>
      <c r="AF262" s="4121"/>
      <c r="AG262" s="4122"/>
      <c r="AH262" s="4123"/>
      <c r="AI262" s="3452"/>
    </row>
    <row r="263" ht="96.75" customHeight="1">
      <c r="A263" s="3446"/>
      <c r="B263" s="4117"/>
      <c r="C263" s="3999" t="str">
        <f>IMAGE("https://i.ibb.co/mGsbFtG/Lass-Gentleman.png",2)</f>
        <v/>
      </c>
      <c r="D263" s="4124"/>
      <c r="E263" s="3457" t="str">
        <f t="array" ref="E263">IFERROR(VLOOKUP(E264,Dex!$B$3:$G1361,3,FALSE),"")</f>
        <v/>
      </c>
      <c r="F263" s="606"/>
      <c r="G263" s="606"/>
      <c r="H263" s="607"/>
      <c r="I263" s="4125"/>
      <c r="J263" s="3457" t="str">
        <f t="array" ref="J263">IFERROR(VLOOKUP(J264,Dex!$B$3:$G1361,3,FALSE),"")</f>
        <v/>
      </c>
      <c r="K263" s="606"/>
      <c r="L263" s="606"/>
      <c r="M263" s="607"/>
      <c r="N263" s="4125"/>
      <c r="O263" s="4126" t="str">
        <f t="array" ref="O263">IFERROR(VLOOKUP(O264,Dex!$B$3:$G1361,3,FALSE),"")</f>
        <v/>
      </c>
      <c r="P263" s="1945"/>
      <c r="Q263" s="1945"/>
      <c r="R263" s="1946"/>
      <c r="S263" s="4125"/>
      <c r="T263" s="4126" t="str">
        <f t="array" ref="T263">IFERROR(VLOOKUP(T264,Dex!$B$3:$G1361,3,FALSE),"")</f>
        <v/>
      </c>
      <c r="U263" s="1945"/>
      <c r="V263" s="1945"/>
      <c r="W263" s="1946"/>
      <c r="X263" s="4125"/>
      <c r="Y263" s="4126" t="str">
        <f t="array" ref="Y263">IFERROR(VLOOKUP(Y264,Dex!$B$3:$G1361,3,FALSE),"")</f>
        <v/>
      </c>
      <c r="Z263" s="1945"/>
      <c r="AA263" s="1945"/>
      <c r="AB263" s="1946"/>
      <c r="AC263" s="4127"/>
      <c r="AD263" s="4128"/>
      <c r="AE263" s="4129"/>
      <c r="AF263" s="4129"/>
      <c r="AG263" s="4130"/>
      <c r="AH263" s="4123"/>
      <c r="AI263" s="3452"/>
    </row>
    <row r="264" ht="18.75" customHeight="1">
      <c r="A264" s="3689"/>
      <c r="B264" s="4131"/>
      <c r="C264" s="4132" t="s">
        <v>1442</v>
      </c>
      <c r="D264" s="4133"/>
      <c r="E264" s="3471" t="s">
        <v>1443</v>
      </c>
      <c r="F264" s="3472"/>
      <c r="G264" s="3472"/>
      <c r="H264" s="3473"/>
      <c r="J264" s="3471" t="s">
        <v>999</v>
      </c>
      <c r="K264" s="3472"/>
      <c r="L264" s="3472"/>
      <c r="M264" s="3473"/>
      <c r="O264" s="4134" t="s">
        <v>1444</v>
      </c>
      <c r="P264" s="4135"/>
      <c r="Q264" s="4135"/>
      <c r="R264" s="4136"/>
      <c r="T264" s="4134" t="s">
        <v>1016</v>
      </c>
      <c r="U264" s="4135"/>
      <c r="V264" s="4135"/>
      <c r="W264" s="4136"/>
      <c r="Y264" s="4134" t="s">
        <v>172</v>
      </c>
      <c r="Z264" s="4135"/>
      <c r="AA264" s="4135"/>
      <c r="AB264" s="4136"/>
      <c r="AC264" s="4137"/>
      <c r="AD264" s="4138"/>
      <c r="AE264" s="4138"/>
      <c r="AF264" s="4138"/>
      <c r="AG264" s="4138"/>
      <c r="AH264" s="4139"/>
      <c r="AI264" s="3700"/>
    </row>
    <row r="265">
      <c r="A265" s="3701"/>
      <c r="B265" s="4140"/>
      <c r="C265" s="3095"/>
      <c r="D265" s="4141"/>
      <c r="E265" s="3482" t="s">
        <v>729</v>
      </c>
      <c r="F265" s="3483"/>
      <c r="G265" s="3483"/>
      <c r="H265" s="3484"/>
      <c r="J265" s="3482" t="s">
        <v>729</v>
      </c>
      <c r="K265" s="3483"/>
      <c r="L265" s="3483"/>
      <c r="M265" s="3484"/>
      <c r="O265" s="4142" t="s">
        <v>729</v>
      </c>
      <c r="P265" s="4143"/>
      <c r="Q265" s="4143"/>
      <c r="R265" s="4144"/>
      <c r="T265" s="4142" t="s">
        <v>729</v>
      </c>
      <c r="U265" s="4143"/>
      <c r="V265" s="4143"/>
      <c r="W265" s="4144"/>
      <c r="Y265" s="4142" t="s">
        <v>729</v>
      </c>
      <c r="Z265" s="4143"/>
      <c r="AA265" s="4143"/>
      <c r="AB265" s="4144"/>
      <c r="AC265" s="4137"/>
      <c r="AD265" s="4145"/>
      <c r="AE265" s="4129"/>
      <c r="AF265" s="4129"/>
      <c r="AG265" s="4130"/>
      <c r="AH265" s="4146"/>
      <c r="AI265" s="3709"/>
    </row>
    <row r="266" ht="25.5" customHeight="1">
      <c r="A266" s="3446"/>
      <c r="B266" s="4117"/>
      <c r="C266" s="3095"/>
      <c r="D266" s="4119"/>
      <c r="E266" s="3489"/>
      <c r="F266" s="3490" t="str">
        <f t="array" ref="F266">IFERROR(VLOOKUP(E264,Dex!$B$3:$H1361,5,FALSE),"")</f>
        <v/>
      </c>
      <c r="G266" s="3491" t="str">
        <f t="array" ref="G266">IFERROR(VLOOKUP(E264,Dex!$B$3:$H1361,7,FALSE),"")</f>
        <v/>
      </c>
      <c r="H266" s="3492"/>
      <c r="J266" s="3489"/>
      <c r="K266" s="3493" t="str">
        <f t="array" ref="K266">IFERROR(VLOOKUP(J264,Dex!$B$3:$H1361,5,FALSE),"")</f>
        <v/>
      </c>
      <c r="L266" s="3494"/>
      <c r="M266" s="3492"/>
      <c r="O266" s="4147"/>
      <c r="P266" s="4148" t="str">
        <f t="array" ref="P266">IFERROR(VLOOKUP(O264,Dex!$B$3:$H1361,5,FALSE),"")</f>
        <v/>
      </c>
      <c r="Q266" s="4149" t="str">
        <f t="array" ref="Q266">IFERROR(VLOOKUP(O264,Dex!$B$3:$H1361,7,FALSE),"")</f>
        <v/>
      </c>
      <c r="R266" s="4150"/>
      <c r="T266" s="4147"/>
      <c r="U266" s="4151" t="str">
        <f t="array" ref="U266">IFERROR(VLOOKUP(T264,Dex!$B$3:$H1361,5,FALSE),"")</f>
        <v/>
      </c>
      <c r="V266" s="4152"/>
      <c r="W266" s="4150"/>
      <c r="Y266" s="4147"/>
      <c r="Z266" s="4148" t="str">
        <f t="array" ref="Z266">IFERROR(VLOOKUP(Y264,Dex!$B$3:$H1361,5,FALSE),"")</f>
        <v/>
      </c>
      <c r="AA266" s="4149" t="str">
        <f t="array" ref="AA266">IFERROR(VLOOKUP(Y264,Dex!$B$3:$H1361,7,FALSE),"")</f>
        <v/>
      </c>
      <c r="AB266" s="4150"/>
      <c r="AC266" s="4137"/>
      <c r="AD266" s="4128"/>
      <c r="AE266" s="4129"/>
      <c r="AF266" s="4129"/>
      <c r="AG266" s="4130"/>
      <c r="AH266" s="4123"/>
      <c r="AI266" s="3452"/>
    </row>
    <row r="267" ht="2.25" customHeight="1">
      <c r="A267" s="3446"/>
      <c r="B267" s="4117"/>
      <c r="C267" s="3095"/>
      <c r="D267" s="4119"/>
      <c r="E267" s="3497"/>
      <c r="F267" s="3498"/>
      <c r="G267" s="3498"/>
      <c r="H267" s="3499"/>
      <c r="J267" s="3497"/>
      <c r="K267" s="3498"/>
      <c r="L267" s="3498"/>
      <c r="M267" s="3499"/>
      <c r="O267" s="4153"/>
      <c r="P267" s="4154"/>
      <c r="Q267" s="4154"/>
      <c r="R267" s="4155"/>
      <c r="T267" s="4153"/>
      <c r="U267" s="4154"/>
      <c r="V267" s="4154"/>
      <c r="W267" s="4155"/>
      <c r="Y267" s="4153"/>
      <c r="Z267" s="4154"/>
      <c r="AA267" s="4154"/>
      <c r="AB267" s="4155"/>
      <c r="AC267" s="4137"/>
      <c r="AD267" s="4128"/>
      <c r="AE267" s="4129"/>
      <c r="AF267" s="4129"/>
      <c r="AG267" s="4130"/>
      <c r="AH267" s="4123"/>
      <c r="AI267" s="3452"/>
    </row>
    <row r="268" ht="20.25" customHeight="1">
      <c r="A268" s="3446"/>
      <c r="B268" s="4117"/>
      <c r="C268" s="3095"/>
      <c r="D268" s="4128"/>
      <c r="E268" s="3501" t="s">
        <v>481</v>
      </c>
      <c r="F268" s="3502"/>
      <c r="G268" s="3502"/>
      <c r="H268" s="3503"/>
      <c r="J268" s="3501" t="s">
        <v>564</v>
      </c>
      <c r="K268" s="3502"/>
      <c r="L268" s="3502"/>
      <c r="M268" s="3503"/>
      <c r="O268" s="4156" t="s">
        <v>481</v>
      </c>
      <c r="P268" s="4157"/>
      <c r="Q268" s="4157"/>
      <c r="R268" s="4158"/>
      <c r="T268" s="4156" t="s">
        <v>564</v>
      </c>
      <c r="U268" s="4157"/>
      <c r="V268" s="4157"/>
      <c r="W268" s="4158"/>
      <c r="Y268" s="4156" t="s">
        <v>531</v>
      </c>
      <c r="Z268" s="4157"/>
      <c r="AA268" s="4157"/>
      <c r="AB268" s="4158"/>
      <c r="AC268" s="4137"/>
      <c r="AD268" s="4128"/>
      <c r="AE268" s="4129"/>
      <c r="AF268" s="4129"/>
      <c r="AG268" s="4130"/>
      <c r="AH268" s="4123"/>
      <c r="AI268" s="3452"/>
    </row>
    <row r="269" ht="20.25" customHeight="1">
      <c r="A269" s="3446"/>
      <c r="B269" s="4117"/>
      <c r="C269" s="3112"/>
      <c r="D269" s="4128"/>
      <c r="E269" s="3505" t="s">
        <v>1333</v>
      </c>
      <c r="F269" s="3462"/>
      <c r="G269" s="3462"/>
      <c r="H269" s="3506"/>
      <c r="J269" s="3505" t="s">
        <v>1002</v>
      </c>
      <c r="K269" s="3462"/>
      <c r="L269" s="3462"/>
      <c r="M269" s="3506"/>
      <c r="O269" s="4159" t="s">
        <v>827</v>
      </c>
      <c r="P269" s="4160"/>
      <c r="Q269" s="4160"/>
      <c r="R269" s="4161"/>
      <c r="T269" s="4159" t="s">
        <v>1002</v>
      </c>
      <c r="U269" s="4160"/>
      <c r="V269" s="4160"/>
      <c r="W269" s="4161"/>
      <c r="Y269" s="4159" t="s">
        <v>56</v>
      </c>
      <c r="Z269" s="4160"/>
      <c r="AA269" s="4160"/>
      <c r="AB269" s="4161"/>
      <c r="AC269" s="4137"/>
      <c r="AD269" s="4128"/>
      <c r="AE269" s="4129"/>
      <c r="AF269" s="4129"/>
      <c r="AG269" s="4130"/>
      <c r="AH269" s="4123"/>
      <c r="AI269" s="3452"/>
    </row>
    <row r="270" ht="20.25" customHeight="1">
      <c r="A270" s="3446"/>
      <c r="B270" s="4117"/>
      <c r="C270" s="4162"/>
      <c r="D270" s="4128"/>
      <c r="E270" s="3507" t="s">
        <v>490</v>
      </c>
      <c r="F270" s="3508"/>
      <c r="G270" s="3509"/>
      <c r="H270" s="3510" t="str">
        <f>IMAGE("https://raw.githubusercontent.com/msikma/pokesprite/master/items/berry/lum.png",3)</f>
        <v/>
      </c>
      <c r="J270" s="3507" t="s">
        <v>1445</v>
      </c>
      <c r="K270" s="3508"/>
      <c r="L270" s="3509"/>
      <c r="M270" s="3510" t="str">
        <f>IMAGE("https://raw.githubusercontent.com/msikma/pokesprite/master/items/hold-item/choice-scarf.png",3)</f>
        <v/>
      </c>
      <c r="O270" s="4163" t="s">
        <v>1019</v>
      </c>
      <c r="P270" s="4164"/>
      <c r="Q270" s="4165"/>
      <c r="R270" s="4166" t="str">
        <f>IMAGE("https://raw.githubusercontent.com/msikma/pokesprite/master/items/hold-item/miracle-seed.png",3)</f>
        <v/>
      </c>
      <c r="T270" s="4163" t="s">
        <v>1445</v>
      </c>
      <c r="U270" s="4164"/>
      <c r="V270" s="4165"/>
      <c r="W270" s="4166" t="str">
        <f>IMAGE("https://raw.githubusercontent.com/msikma/pokesprite/master/items/hold-item/choice-scarf.png",3)</f>
        <v/>
      </c>
      <c r="Y270" s="4163" t="s">
        <v>541</v>
      </c>
      <c r="Z270" s="4164"/>
      <c r="AA270" s="4165"/>
      <c r="AB270" s="4166" t="str">
        <f>IMAGE("https://raw.githubusercontent.com/msikma/pokesprite/master/items/hold-item/life-orb.png",3)</f>
        <v/>
      </c>
      <c r="AC270" s="4137"/>
      <c r="AD270" s="4128"/>
      <c r="AE270" s="4129"/>
      <c r="AF270" s="4129"/>
      <c r="AG270" s="4130"/>
      <c r="AH270" s="4123"/>
      <c r="AI270" s="3452"/>
    </row>
    <row r="271" ht="20.25" customHeight="1">
      <c r="A271" s="3446"/>
      <c r="B271" s="4117"/>
      <c r="C271" s="4162"/>
      <c r="D271" s="4128"/>
      <c r="E271" s="3501" t="s">
        <v>1446</v>
      </c>
      <c r="F271" s="3502"/>
      <c r="G271" s="3513"/>
      <c r="H271" s="3514" t="str">
        <f>IMAGE("https://raw.githubusercontent.com/msikma/pokesprite/master/misc/types/gen8/water.png",4,20,20)</f>
        <v/>
      </c>
      <c r="J271" s="3501" t="s">
        <v>1447</v>
      </c>
      <c r="K271" s="3502"/>
      <c r="L271" s="3513"/>
      <c r="M271" s="3514" t="str">
        <f>IMAGE("https://raw.githubusercontent.com/msikma/pokesprite/master/misc/types/gen8/fire.png",4,20,20)</f>
        <v/>
      </c>
      <c r="O271" s="4156" t="s">
        <v>1347</v>
      </c>
      <c r="P271" s="4157"/>
      <c r="Q271" s="4167"/>
      <c r="R271" s="4168" t="str">
        <f>IMAGE("https://raw.githubusercontent.com/msikma/pokesprite/master/misc/types/gen8/ghost.png",4,20,20)</f>
        <v/>
      </c>
      <c r="T271" s="4156" t="s">
        <v>1448</v>
      </c>
      <c r="U271" s="4157"/>
      <c r="V271" s="4167"/>
      <c r="W271" s="4168" t="str">
        <f>IMAGE("https://raw.githubusercontent.com/msikma/pokesprite/master/misc/types/gen8/grass.png",4,20,20)</f>
        <v/>
      </c>
      <c r="Y271" s="4156" t="s">
        <v>641</v>
      </c>
      <c r="Z271" s="4157"/>
      <c r="AA271" s="4167"/>
      <c r="AB271" s="4168" t="str">
        <f>IMAGE("https://raw.githubusercontent.com/msikma/pokesprite/master/misc/types/gen8/fairy.png",4,20,20)</f>
        <v/>
      </c>
      <c r="AC271" s="4137"/>
      <c r="AD271" s="4128"/>
      <c r="AE271" s="4129"/>
      <c r="AF271" s="4129"/>
      <c r="AG271" s="4130"/>
      <c r="AH271" s="4123"/>
      <c r="AI271" s="3452"/>
    </row>
    <row r="272" ht="20.25" customHeight="1">
      <c r="A272" s="3446"/>
      <c r="B272" s="4117"/>
      <c r="C272" s="4118"/>
      <c r="D272" s="4128"/>
      <c r="E272" s="3505" t="s">
        <v>646</v>
      </c>
      <c r="F272" s="3462"/>
      <c r="G272" s="3463"/>
      <c r="H272" s="3516" t="str">
        <f>IMAGE("https://raw.githubusercontent.com/msikma/pokesprite/master/misc/types/gen8/steel.png",4,20,20)</f>
        <v/>
      </c>
      <c r="J272" s="3505" t="s">
        <v>590</v>
      </c>
      <c r="K272" s="3462"/>
      <c r="L272" s="3463"/>
      <c r="M272" s="3516" t="str">
        <f>IMAGE("https://raw.githubusercontent.com/msikma/pokesprite/master/misc/types/gen8/fighting.png",4,20,20)</f>
        <v/>
      </c>
      <c r="O272" s="4159" t="s">
        <v>1448</v>
      </c>
      <c r="P272" s="4160"/>
      <c r="Q272" s="4169"/>
      <c r="R272" s="4170" t="str">
        <f>IMAGE("https://raw.githubusercontent.com/msikma/pokesprite/master/misc/types/gen8/grass.png",4,20,20)</f>
        <v/>
      </c>
      <c r="T272" s="4159" t="s">
        <v>590</v>
      </c>
      <c r="U272" s="4160"/>
      <c r="V272" s="4169"/>
      <c r="W272" s="4170" t="str">
        <f>IMAGE("https://raw.githubusercontent.com/msikma/pokesprite/master/misc/types/gen8/fighting.png",4,20,20)</f>
        <v/>
      </c>
      <c r="Y272" s="4159" t="s">
        <v>547</v>
      </c>
      <c r="Z272" s="4160"/>
      <c r="AA272" s="4169"/>
      <c r="AB272" s="4170" t="str">
        <f>IMAGE("https://raw.githubusercontent.com/msikma/pokesprite/master/misc/types/gen8/electric.png",4,20,20)</f>
        <v/>
      </c>
      <c r="AC272" s="4137"/>
      <c r="AD272" s="4128"/>
      <c r="AE272" s="4129"/>
      <c r="AF272" s="4129"/>
      <c r="AG272" s="4130"/>
      <c r="AH272" s="4123"/>
      <c r="AI272" s="3452"/>
    </row>
    <row r="273" ht="20.25" customHeight="1">
      <c r="A273" s="3446"/>
      <c r="B273" s="4117"/>
      <c r="C273" s="4118"/>
      <c r="D273" s="4128"/>
      <c r="E273" s="3505" t="s">
        <v>670</v>
      </c>
      <c r="F273" s="3462"/>
      <c r="G273" s="3463"/>
      <c r="H273" s="3516" t="str">
        <f>IMAGE("https://raw.githubusercontent.com/msikma/pokesprite/master/misc/types/gen8/ice.png",4,20,20)</f>
        <v/>
      </c>
      <c r="J273" s="3505" t="s">
        <v>742</v>
      </c>
      <c r="K273" s="3462"/>
      <c r="L273" s="3463"/>
      <c r="M273" s="3516" t="str">
        <f>IMAGE("https://raw.githubusercontent.com/msikma/pokesprite/master/misc/types/gen8/grass.png",4,20,20)</f>
        <v/>
      </c>
      <c r="O273" s="4159" t="s">
        <v>805</v>
      </c>
      <c r="P273" s="4160"/>
      <c r="Q273" s="4169"/>
      <c r="R273" s="4170" t="str">
        <f>IMAGE("https://raw.githubusercontent.com/msikma/pokesprite/master/misc/types/gen8/flying.png",4,20,20)</f>
        <v/>
      </c>
      <c r="T273" s="4159" t="s">
        <v>671</v>
      </c>
      <c r="U273" s="4160"/>
      <c r="V273" s="4169"/>
      <c r="W273" s="4170" t="str">
        <f>IMAGE("https://raw.githubusercontent.com/msikma/pokesprite/master/misc/types/gen8/fire.png",4,20,20)</f>
        <v/>
      </c>
      <c r="Y273" s="4159" t="s">
        <v>619</v>
      </c>
      <c r="Z273" s="4160"/>
      <c r="AA273" s="4169"/>
      <c r="AB273" s="4170" t="str">
        <f>IMAGE("https://raw.githubusercontent.com/msikma/pokesprite/master/misc/types/gen8/fire.png",4,20,20)</f>
        <v/>
      </c>
      <c r="AC273" s="4137"/>
      <c r="AD273" s="4128"/>
      <c r="AE273" s="4129"/>
      <c r="AF273" s="4129"/>
      <c r="AG273" s="4130"/>
      <c r="AH273" s="4123"/>
      <c r="AI273" s="3452"/>
    </row>
    <row r="274" ht="21.0" customHeight="1">
      <c r="A274" s="3446"/>
      <c r="B274" s="4117"/>
      <c r="C274" s="4118"/>
      <c r="D274" s="4128"/>
      <c r="E274" s="3517" t="s">
        <v>553</v>
      </c>
      <c r="F274" s="3518"/>
      <c r="G274" s="3521"/>
      <c r="H274" s="3522" t="str">
        <f>IMAGE("https://raw.githubusercontent.com/msikma/pokesprite/master/misc/types/gen8/grass.png",4,20,20)</f>
        <v/>
      </c>
      <c r="I274" s="4171"/>
      <c r="J274" s="3517" t="s">
        <v>587</v>
      </c>
      <c r="K274" s="3518"/>
      <c r="L274" s="3521"/>
      <c r="M274" s="3522" t="str">
        <f>IMAGE("https://raw.githubusercontent.com/msikma/pokesprite/master/misc/types/gen8/ice.png",4,20,20)</f>
        <v/>
      </c>
      <c r="N274" s="4171"/>
      <c r="O274" s="4172" t="s">
        <v>671</v>
      </c>
      <c r="P274" s="4173"/>
      <c r="Q274" s="4174"/>
      <c r="R274" s="4175" t="str">
        <f>IMAGE("https://raw.githubusercontent.com/msikma/pokesprite/master/misc/types/gen8/fire.png",4,20,20)</f>
        <v/>
      </c>
      <c r="S274" s="4171"/>
      <c r="T274" s="4172" t="s">
        <v>1021</v>
      </c>
      <c r="U274" s="4173"/>
      <c r="V274" s="4174"/>
      <c r="W274" s="4175" t="str">
        <f>IMAGE("https://raw.githubusercontent.com/msikma/pokesprite/master/misc/types/gen8/rock.png",4,20,20)</f>
        <v/>
      </c>
      <c r="X274" s="4171"/>
      <c r="Y274" s="4172" t="s">
        <v>670</v>
      </c>
      <c r="Z274" s="4173"/>
      <c r="AA274" s="4174"/>
      <c r="AB274" s="4175" t="str">
        <f>IMAGE("https://raw.githubusercontent.com/msikma/pokesprite/master/misc/types/gen8/ice.png",4,20,20)</f>
        <v/>
      </c>
      <c r="AC274" s="4176"/>
      <c r="AD274" s="4128"/>
      <c r="AE274" s="4129"/>
      <c r="AF274" s="4129"/>
      <c r="AG274" s="4130"/>
      <c r="AH274" s="4123"/>
      <c r="AI274" s="3452"/>
    </row>
    <row r="275" ht="3.0" customHeight="1">
      <c r="A275" s="3524"/>
      <c r="B275" s="4177"/>
      <c r="C275" s="4178"/>
      <c r="D275" s="4179"/>
      <c r="E275" s="4180"/>
      <c r="F275" s="4180"/>
      <c r="G275" s="4180"/>
      <c r="H275" s="4181"/>
      <c r="I275" s="4179"/>
      <c r="J275" s="4180"/>
      <c r="K275" s="4180"/>
      <c r="L275" s="4180"/>
      <c r="M275" s="4181"/>
      <c r="N275" s="4179"/>
      <c r="O275" s="4180"/>
      <c r="P275" s="4180"/>
      <c r="Q275" s="4180"/>
      <c r="R275" s="4182"/>
      <c r="S275" s="4181"/>
      <c r="T275" s="4180"/>
      <c r="U275" s="4180"/>
      <c r="V275" s="4180"/>
      <c r="W275" s="4181"/>
      <c r="X275" s="4179"/>
      <c r="Y275" s="4183"/>
      <c r="Z275" s="4184"/>
      <c r="AA275" s="4184"/>
      <c r="AB275" s="4185"/>
      <c r="AC275" s="4186"/>
      <c r="AD275" s="4186"/>
      <c r="AE275" s="4186"/>
      <c r="AF275" s="4186"/>
      <c r="AG275" s="4186"/>
      <c r="AH275" s="4187"/>
      <c r="AI275" s="3534"/>
    </row>
    <row r="276" ht="16.5" customHeight="1">
      <c r="A276" s="4188"/>
      <c r="B276" s="4189"/>
      <c r="C276" s="4190"/>
      <c r="D276" s="4191"/>
      <c r="E276" s="3538" t="s">
        <v>512</v>
      </c>
      <c r="F276" s="606"/>
      <c r="G276" s="606"/>
      <c r="H276" s="607"/>
      <c r="I276" s="4191"/>
      <c r="J276" s="3538" t="s">
        <v>512</v>
      </c>
      <c r="K276" s="606"/>
      <c r="L276" s="606"/>
      <c r="M276" s="607"/>
      <c r="N276" s="4191"/>
      <c r="O276" s="4192" t="s">
        <v>512</v>
      </c>
      <c r="P276" s="606"/>
      <c r="Q276" s="606"/>
      <c r="R276" s="607"/>
      <c r="S276" s="4193"/>
      <c r="T276" s="4192" t="s">
        <v>512</v>
      </c>
      <c r="U276" s="606"/>
      <c r="V276" s="606"/>
      <c r="W276" s="607"/>
      <c r="X276" s="4194"/>
      <c r="Y276" s="4192" t="s">
        <v>512</v>
      </c>
      <c r="Z276" s="606"/>
      <c r="AA276" s="606"/>
      <c r="AB276" s="607"/>
      <c r="AC276" s="4195"/>
      <c r="AD276" s="4196"/>
      <c r="AE276" s="4197"/>
      <c r="AF276" s="4198"/>
      <c r="AG276" s="4198"/>
      <c r="AH276" s="4199"/>
      <c r="AI276" s="4200"/>
    </row>
    <row r="277" ht="16.5" customHeight="1">
      <c r="A277" s="4188"/>
      <c r="B277" s="4189"/>
      <c r="C277" s="4190"/>
      <c r="D277" s="4201"/>
      <c r="E277" s="3544" t="s">
        <v>513</v>
      </c>
      <c r="F277" s="3545">
        <f t="array" ref="F277">IFERROR(VLOOKUP(E264,Dex!$B$3:$N1361,8,FALSE),"")</f>
        <v>95</v>
      </c>
      <c r="G277" s="3546" t="str">
        <f t="array" ref="G277">IFERROR(VLOOKUP(F277,Dex!$P$22:$Q$276,2,FALSE),"")</f>
        <v/>
      </c>
      <c r="H277" s="3547"/>
      <c r="I277" s="4201"/>
      <c r="J277" s="3544" t="s">
        <v>513</v>
      </c>
      <c r="K277" s="3545">
        <f t="array" ref="K277">IFERROR(VLOOKUP(J264,Dex!$B$3:$N1361,8,FALSE),"")</f>
        <v>75</v>
      </c>
      <c r="L277" s="3546" t="str">
        <f t="array" ref="L277">IFERROR(VLOOKUP(K277,Dex!$P$22:$Q$276,2,FALSE),"")</f>
        <v/>
      </c>
      <c r="M277" s="3547"/>
      <c r="N277" s="4201"/>
      <c r="O277" s="4202" t="s">
        <v>513</v>
      </c>
      <c r="P277" s="4203">
        <f t="array" ref="P277">IFERROR(VLOOKUP(O264,Dex!$B$3:$N1361,8,FALSE),"")</f>
        <v>78</v>
      </c>
      <c r="Q277" s="4204" t="str">
        <f t="array" ref="Q277">IFERROR(VLOOKUP(P277,Dex!$P$22:$Q$276,2,FALSE),"")</f>
        <v/>
      </c>
      <c r="R277" s="4205"/>
      <c r="S277" s="4201"/>
      <c r="T277" s="4202" t="s">
        <v>513</v>
      </c>
      <c r="U277" s="4203">
        <f t="array" ref="U277">IFERROR(VLOOKUP(T264,Dex!$B$3:$N1361,8,FALSE),"")</f>
        <v>75</v>
      </c>
      <c r="V277" s="4204" t="str">
        <f t="array" ref="V277">IFERROR(VLOOKUP(U277,Dex!$P$22:$Q$276,2,FALSE),"")</f>
        <v/>
      </c>
      <c r="W277" s="4205"/>
      <c r="X277" s="4195"/>
      <c r="Y277" s="4202" t="s">
        <v>513</v>
      </c>
      <c r="Z277" s="4203">
        <f t="array" ref="Z277">IFERROR(VLOOKUP(Y264,Dex!$B$3:$N1361,8,FALSE),"")</f>
        <v>140</v>
      </c>
      <c r="AA277" s="4204" t="str">
        <f t="array" ref="AA277">IFERROR(VLOOKUP(Z277,Dex!$P$22:$Q$276,2,FALSE),"")</f>
        <v/>
      </c>
      <c r="AB277" s="4205"/>
      <c r="AC277" s="4195"/>
      <c r="AD277" s="4206"/>
      <c r="AE277" s="4206"/>
      <c r="AF277" s="4198"/>
      <c r="AG277" s="4198"/>
      <c r="AH277" s="4199"/>
      <c r="AI277" s="4200"/>
    </row>
    <row r="278" ht="16.5" customHeight="1">
      <c r="A278" s="4188"/>
      <c r="B278" s="4189"/>
      <c r="C278" s="4190"/>
      <c r="D278" s="4201"/>
      <c r="E278" s="3549" t="s">
        <v>514</v>
      </c>
      <c r="F278" s="3550">
        <f t="array" ref="F278">IFERROR(VLOOKUP(E264,Dex!$B$3:$N1361,9,FALSE),"")</f>
        <v>108</v>
      </c>
      <c r="G278" s="3551" t="str">
        <f t="array" ref="G278">IFERROR(VLOOKUP(F278,Dex!$P$22:$Q$276,2,FALSE),"")</f>
        <v/>
      </c>
      <c r="H278" s="3552"/>
      <c r="I278" s="4201"/>
      <c r="J278" s="3549" t="s">
        <v>514</v>
      </c>
      <c r="K278" s="3550">
        <f t="array" ref="K278">IFERROR(VLOOKUP(J264,Dex!$B$3:$N1361,9,FALSE),"")</f>
        <v>98</v>
      </c>
      <c r="L278" s="3551" t="str">
        <f t="array" ref="L278">IFERROR(VLOOKUP(K278,Dex!$P$22:$Q$276,2,FALSE),"")</f>
        <v/>
      </c>
      <c r="M278" s="3552"/>
      <c r="N278" s="4201"/>
      <c r="O278" s="4207" t="s">
        <v>514</v>
      </c>
      <c r="P278" s="4208">
        <f t="array" ref="P278">IFERROR(VLOOKUP(O264,Dex!$B$3:$N1361,9,FALSE),"")</f>
        <v>107</v>
      </c>
      <c r="Q278" s="4209" t="str">
        <f t="array" ref="Q278">IFERROR(VLOOKUP(P278,Dex!$P$22:$Q$276,2,FALSE),"")</f>
        <v/>
      </c>
      <c r="R278" s="4210"/>
      <c r="S278" s="4201"/>
      <c r="T278" s="4207" t="s">
        <v>514</v>
      </c>
      <c r="U278" s="4208">
        <f t="array" ref="U278">IFERROR(VLOOKUP(T264,Dex!$B$3:$N1361,9,FALSE),"")</f>
        <v>98</v>
      </c>
      <c r="V278" s="4209" t="str">
        <f t="array" ref="V278">IFERROR(VLOOKUP(U278,Dex!$P$22:$Q$276,2,FALSE),"")</f>
        <v/>
      </c>
      <c r="W278" s="4210"/>
      <c r="X278" s="4195"/>
      <c r="Y278" s="4207" t="s">
        <v>514</v>
      </c>
      <c r="Z278" s="4208">
        <f t="array" ref="Z278">IFERROR(VLOOKUP(Y264,Dex!$B$3:$N1361,9,FALSE),"")</f>
        <v>70</v>
      </c>
      <c r="AA278" s="4209" t="str">
        <f t="array" ref="AA278">IFERROR(VLOOKUP(Z278,Dex!$P$22:$Q$276,2,FALSE),"")</f>
        <v/>
      </c>
      <c r="AB278" s="4210"/>
      <c r="AC278" s="4195"/>
      <c r="AD278" s="4211"/>
      <c r="AE278" s="4212"/>
      <c r="AF278" s="4198"/>
      <c r="AG278" s="4198"/>
      <c r="AH278" s="4199"/>
      <c r="AI278" s="4200"/>
    </row>
    <row r="279" ht="16.5" customHeight="1">
      <c r="A279" s="4188"/>
      <c r="B279" s="4189"/>
      <c r="C279" s="4190"/>
      <c r="D279" s="4201"/>
      <c r="E279" s="3549" t="s">
        <v>515</v>
      </c>
      <c r="F279" s="3550">
        <f t="array" ref="F279">IFERROR(VLOOKUP(E264,Dex!$B$3:$N1361,10,FALSE),"")</f>
        <v>85</v>
      </c>
      <c r="G279" s="3551" t="str">
        <f t="array" ref="G279">IFERROR(VLOOKUP(F279,Dex!$P$22:$Q$276,2,FALSE),"")</f>
        <v/>
      </c>
      <c r="H279" s="3552"/>
      <c r="I279" s="4201"/>
      <c r="J279" s="3549" t="s">
        <v>515</v>
      </c>
      <c r="K279" s="3550">
        <f t="array" ref="K279">IFERROR(VLOOKUP(J264,Dex!$B$3:$N1361,10,FALSE),"")</f>
        <v>63</v>
      </c>
      <c r="L279" s="3551" t="str">
        <f t="array" ref="L279">IFERROR(VLOOKUP(K279,Dex!$P$22:$Q$276,2,FALSE),"")</f>
        <v/>
      </c>
      <c r="M279" s="3552"/>
      <c r="N279" s="4201"/>
      <c r="O279" s="4207" t="s">
        <v>515</v>
      </c>
      <c r="P279" s="4208">
        <f t="array" ref="P279">IFERROR(VLOOKUP(O264,Dex!$B$3:$N1361,10,FALSE),"")</f>
        <v>75</v>
      </c>
      <c r="Q279" s="4209" t="str">
        <f t="array" ref="Q279">IFERROR(VLOOKUP(P279,Dex!$P$22:$Q$276,2,FALSE),"")</f>
        <v/>
      </c>
      <c r="R279" s="4210"/>
      <c r="S279" s="4201"/>
      <c r="T279" s="4207" t="s">
        <v>515</v>
      </c>
      <c r="U279" s="4208">
        <f t="array" ref="U279">IFERROR(VLOOKUP(T264,Dex!$B$3:$N1361,10,FALSE),"")</f>
        <v>63</v>
      </c>
      <c r="V279" s="4209" t="str">
        <f t="array" ref="V279">IFERROR(VLOOKUP(U279,Dex!$P$22:$Q$276,2,FALSE),"")</f>
        <v/>
      </c>
      <c r="W279" s="4210"/>
      <c r="X279" s="4195"/>
      <c r="Y279" s="4207" t="s">
        <v>515</v>
      </c>
      <c r="Z279" s="4208">
        <f t="array" ref="Z279">IFERROR(VLOOKUP(Y264,Dex!$B$3:$N1361,10,FALSE),"")</f>
        <v>45</v>
      </c>
      <c r="AA279" s="4209" t="str">
        <f t="array" ref="AA279">IFERROR(VLOOKUP(Z279,Dex!$P$22:$Q$276,2,FALSE),"")</f>
        <v/>
      </c>
      <c r="AB279" s="4210"/>
      <c r="AC279" s="4195"/>
      <c r="AD279" s="4213"/>
      <c r="AE279" s="4213"/>
      <c r="AF279" s="4198"/>
      <c r="AG279" s="4198"/>
      <c r="AH279" s="4199"/>
      <c r="AI279" s="4200"/>
    </row>
    <row r="280" ht="16.5" customHeight="1">
      <c r="A280" s="4188"/>
      <c r="B280" s="4189"/>
      <c r="C280" s="4190"/>
      <c r="D280" s="4201"/>
      <c r="E280" s="3549" t="s">
        <v>516</v>
      </c>
      <c r="F280" s="3550">
        <f t="array" ref="F280">IFERROR(VLOOKUP(E264,Dex!$B$3:$N1361,11,FALSE),"")</f>
        <v>95</v>
      </c>
      <c r="G280" s="3551" t="str">
        <f t="array" ref="G280">IFERROR(VLOOKUP(F280,Dex!$P$22:$Q$276,2,FALSE),"")</f>
        <v/>
      </c>
      <c r="H280" s="3552"/>
      <c r="I280" s="4201"/>
      <c r="J280" s="3549" t="s">
        <v>516</v>
      </c>
      <c r="K280" s="3550">
        <f t="array" ref="K280">IFERROR(VLOOKUP(J264,Dex!$B$3:$N1361,11,FALSE),"")</f>
        <v>98</v>
      </c>
      <c r="L280" s="3551" t="str">
        <f t="array" ref="L280">IFERROR(VLOOKUP(K280,Dex!$P$22:$Q$276,2,FALSE),"")</f>
        <v/>
      </c>
      <c r="M280" s="3552"/>
      <c r="N280" s="4201"/>
      <c r="O280" s="4207" t="s">
        <v>516</v>
      </c>
      <c r="P280" s="4208">
        <f t="array" ref="P280">IFERROR(VLOOKUP(O264,Dex!$B$3:$N1361,11,FALSE),"")</f>
        <v>95</v>
      </c>
      <c r="Q280" s="4209" t="str">
        <f t="array" ref="Q280">IFERROR(VLOOKUP(P280,Dex!$P$22:$Q$276,2,FALSE),"")</f>
        <v/>
      </c>
      <c r="R280" s="4210"/>
      <c r="S280" s="4201"/>
      <c r="T280" s="4207" t="s">
        <v>516</v>
      </c>
      <c r="U280" s="4208">
        <f t="array" ref="U280">IFERROR(VLOOKUP(T264,Dex!$B$3:$N1361,11,FALSE),"")</f>
        <v>98</v>
      </c>
      <c r="V280" s="4209" t="str">
        <f t="array" ref="V280">IFERROR(VLOOKUP(U280,Dex!$P$22:$Q$276,2,FALSE),"")</f>
        <v/>
      </c>
      <c r="W280" s="4210"/>
      <c r="X280" s="4195"/>
      <c r="Y280" s="4207" t="s">
        <v>516</v>
      </c>
      <c r="Z280" s="4208">
        <f t="array" ref="Z280">IFERROR(VLOOKUP(Y264,Dex!$B$3:$N1361,11,FALSE),"")</f>
        <v>85</v>
      </c>
      <c r="AA280" s="4209" t="str">
        <f t="array" ref="AA280">IFERROR(VLOOKUP(Z280,Dex!$P$22:$Q$276,2,FALSE),"")</f>
        <v/>
      </c>
      <c r="AB280" s="4210"/>
      <c r="AC280" s="4195"/>
      <c r="AD280" s="4214"/>
      <c r="AE280" s="4213"/>
      <c r="AF280" s="4198"/>
      <c r="AG280" s="4198"/>
      <c r="AH280" s="4199"/>
      <c r="AI280" s="4200"/>
    </row>
    <row r="281" ht="16.5" customHeight="1">
      <c r="A281" s="4188"/>
      <c r="B281" s="4189"/>
      <c r="C281" s="4190"/>
      <c r="D281" s="4201"/>
      <c r="E281" s="3549" t="s">
        <v>517</v>
      </c>
      <c r="F281" s="3550">
        <f t="array" ref="F281">IFERROR(VLOOKUP(E264,Dex!$B$3:$N1361,12,FALSE),"")</f>
        <v>70</v>
      </c>
      <c r="G281" s="3551" t="str">
        <f t="array" ref="G281">IFERROR(VLOOKUP(F281,Dex!$P$22:$Q$276,2,FALSE),"")</f>
        <v/>
      </c>
      <c r="H281" s="3552"/>
      <c r="I281" s="4201"/>
      <c r="J281" s="3549" t="s">
        <v>517</v>
      </c>
      <c r="K281" s="3550">
        <f t="array" ref="K281">IFERROR(VLOOKUP(J264,Dex!$B$3:$N1361,12,FALSE),"")</f>
        <v>63</v>
      </c>
      <c r="L281" s="3551" t="str">
        <f t="array" ref="L281">IFERROR(VLOOKUP(K281,Dex!$P$22:$Q$276,2,FALSE),"")</f>
        <v/>
      </c>
      <c r="M281" s="3552"/>
      <c r="N281" s="4201"/>
      <c r="O281" s="4207" t="s">
        <v>517</v>
      </c>
      <c r="P281" s="4208">
        <f t="array" ref="P281">IFERROR(VLOOKUP(O264,Dex!$B$3:$N1361,12,FALSE),"")</f>
        <v>85</v>
      </c>
      <c r="Q281" s="4209" t="str">
        <f t="array" ref="Q281">IFERROR(VLOOKUP(P281,Dex!$P$22:$Q$276,2,FALSE),"")</f>
        <v/>
      </c>
      <c r="R281" s="4210"/>
      <c r="S281" s="4201"/>
      <c r="T281" s="4207" t="s">
        <v>517</v>
      </c>
      <c r="U281" s="4208">
        <f t="array" ref="U281">IFERROR(VLOOKUP(T264,Dex!$B$3:$N1361,12,FALSE),"")</f>
        <v>63</v>
      </c>
      <c r="V281" s="4209" t="str">
        <f t="array" ref="V281">IFERROR(VLOOKUP(U281,Dex!$P$22:$Q$276,2,FALSE),"")</f>
        <v/>
      </c>
      <c r="W281" s="4210"/>
      <c r="X281" s="4195"/>
      <c r="Y281" s="4207" t="s">
        <v>517</v>
      </c>
      <c r="Z281" s="4208">
        <f t="array" ref="Z281">IFERROR(VLOOKUP(Y264,Dex!$B$3:$N1361,12,FALSE),"")</f>
        <v>50</v>
      </c>
      <c r="AA281" s="4209" t="str">
        <f t="array" ref="AA281">IFERROR(VLOOKUP(Z281,Dex!$P$22:$Q$276,2,FALSE),"")</f>
        <v/>
      </c>
      <c r="AB281" s="4210"/>
      <c r="AC281" s="4195"/>
      <c r="AD281" s="4198"/>
      <c r="AE281" s="4214"/>
      <c r="AF281" s="4198"/>
      <c r="AG281" s="4198"/>
      <c r="AH281" s="4199"/>
      <c r="AI281" s="4200"/>
    </row>
    <row r="282" ht="16.5" customHeight="1">
      <c r="A282" s="4188"/>
      <c r="B282" s="4189"/>
      <c r="C282" s="1426" t="s">
        <v>745</v>
      </c>
      <c r="D282" s="4201"/>
      <c r="E282" s="3553" t="s">
        <v>518</v>
      </c>
      <c r="F282" s="3554">
        <f t="array" ref="F282">IFERROR(VLOOKUP(E264,Dex!$B$3:$N1361,13,FALSE),"")</f>
        <v>90</v>
      </c>
      <c r="G282" s="3555" t="str">
        <f t="array" ref="G282">IFERROR(VLOOKUP(F282,Dex!$P$22:$Q$276,2,FALSE),"")</f>
        <v/>
      </c>
      <c r="H282" s="3556"/>
      <c r="I282" s="4201"/>
      <c r="J282" s="3553" t="s">
        <v>518</v>
      </c>
      <c r="K282" s="3554">
        <f t="array" ref="K282">IFERROR(VLOOKUP(J264,Dex!$B$3:$N1361,13,FALSE),"")</f>
        <v>101</v>
      </c>
      <c r="L282" s="3555" t="str">
        <f t="array" ref="L282">IFERROR(VLOOKUP(K282,Dex!$P$22:$Q$276,2,FALSE),"")</f>
        <v/>
      </c>
      <c r="M282" s="3556"/>
      <c r="N282" s="4201"/>
      <c r="O282" s="4215" t="s">
        <v>518</v>
      </c>
      <c r="P282" s="4216">
        <f t="array" ref="P282">IFERROR(VLOOKUP(O264,Dex!$B$3:$N1361,13,FALSE),"")</f>
        <v>100</v>
      </c>
      <c r="Q282" s="4217" t="str">
        <f t="array" ref="Q282">IFERROR(VLOOKUP(P282,Dex!$P$22:$Q$276,2,FALSE),"")</f>
        <v/>
      </c>
      <c r="R282" s="4218"/>
      <c r="S282" s="4201"/>
      <c r="T282" s="4215" t="s">
        <v>518</v>
      </c>
      <c r="U282" s="4216">
        <f t="array" ref="U282">IFERROR(VLOOKUP(T264,Dex!$B$3:$N1361,13,FALSE),"")</f>
        <v>101</v>
      </c>
      <c r="V282" s="4217" t="str">
        <f t="array" ref="V282">IFERROR(VLOOKUP(U282,Dex!$P$22:$Q$276,2,FALSE),"")</f>
        <v/>
      </c>
      <c r="W282" s="4218"/>
      <c r="X282" s="4195"/>
      <c r="Y282" s="4215" t="s">
        <v>518</v>
      </c>
      <c r="Z282" s="4216">
        <f t="array" ref="Z282">IFERROR(VLOOKUP(Y264,Dex!$B$3:$N1361,13,FALSE),"")</f>
        <v>45</v>
      </c>
      <c r="AA282" s="4217" t="str">
        <f t="array" ref="AA282">IFERROR(VLOOKUP(Z282,Dex!$P$22:$Q$276,2,FALSE),"")</f>
        <v/>
      </c>
      <c r="AB282" s="4218"/>
      <c r="AC282" s="4195"/>
      <c r="AD282" s="4198"/>
      <c r="AE282" s="4198"/>
      <c r="AF282" s="4198"/>
      <c r="AG282" s="4198"/>
      <c r="AH282" s="4199"/>
      <c r="AI282" s="4200"/>
    </row>
    <row r="283" ht="16.5" customHeight="1">
      <c r="A283" s="4188"/>
      <c r="B283" s="4189"/>
      <c r="C283" s="1427" t="s">
        <v>836</v>
      </c>
      <c r="D283" s="4191"/>
      <c r="E283" s="3557" t="s">
        <v>519</v>
      </c>
      <c r="F283" s="630"/>
      <c r="G283" s="631"/>
      <c r="H283" s="632">
        <f>ROUNDDOWN((ROUNDDOWN(((((2*F282+31)*28)/100+5)),0))*1,0)</f>
        <v>64</v>
      </c>
      <c r="I283" s="4191"/>
      <c r="J283" s="4219" t="s">
        <v>519</v>
      </c>
      <c r="K283" s="635"/>
      <c r="L283" s="636"/>
      <c r="M283" s="632">
        <f>ROUNDDOWN((ROUNDDOWN(((((2*K282+31)*28)/100+5)),0))*1.1,0)</f>
        <v>77</v>
      </c>
      <c r="N283" s="4191"/>
      <c r="O283" s="4220" t="s">
        <v>519</v>
      </c>
      <c r="P283" s="630"/>
      <c r="Q283" s="631"/>
      <c r="R283" s="632">
        <f>ROUNDDOWN((ROUNDDOWN(((((2*P282+31)*28)/100+5)),0))*1,0)</f>
        <v>69</v>
      </c>
      <c r="S283" s="4191"/>
      <c r="T283" s="4221" t="s">
        <v>519</v>
      </c>
      <c r="U283" s="635"/>
      <c r="V283" s="636"/>
      <c r="W283" s="632">
        <f>ROUNDDOWN((ROUNDDOWN(((((2*U282+31)*28)/100+5)),0))*1.1,0)</f>
        <v>77</v>
      </c>
      <c r="X283" s="4194"/>
      <c r="Y283" s="4220" t="s">
        <v>519</v>
      </c>
      <c r="Z283" s="630"/>
      <c r="AA283" s="631"/>
      <c r="AB283" s="632">
        <f>ROUNDDOWN((ROUNDDOWN(((((2*Z282+31)*28)/100+5)),0))*1,0)</f>
        <v>38</v>
      </c>
      <c r="AC283" s="4198"/>
      <c r="AD283" s="4198"/>
      <c r="AE283" s="4198"/>
      <c r="AF283" s="4198"/>
      <c r="AG283" s="4198"/>
      <c r="AH283" s="4199"/>
      <c r="AI283" s="4200"/>
    </row>
    <row r="284" ht="16.5" customHeight="1">
      <c r="A284" s="4188"/>
      <c r="B284" s="4222"/>
      <c r="C284" s="4190"/>
      <c r="D284" s="4223"/>
      <c r="E284" s="4190"/>
      <c r="F284" s="4190"/>
      <c r="G284" s="4190"/>
      <c r="H284" s="4190"/>
      <c r="I284" s="4223"/>
      <c r="J284" s="4224" t="s">
        <v>1449</v>
      </c>
      <c r="K284" s="643"/>
      <c r="L284" s="644"/>
      <c r="M284" s="1715">
        <f>ROUNDDOWN(M283*1.5,0)</f>
        <v>115</v>
      </c>
      <c r="N284" s="4223"/>
      <c r="O284" s="4190"/>
      <c r="P284" s="4190"/>
      <c r="Q284" s="4190"/>
      <c r="R284" s="4190"/>
      <c r="S284" s="4225"/>
      <c r="T284" s="4226" t="s">
        <v>1449</v>
      </c>
      <c r="U284" s="643"/>
      <c r="V284" s="644"/>
      <c r="W284" s="1715">
        <f>ROUNDDOWN(W283*1.5,0)</f>
        <v>115</v>
      </c>
      <c r="X284" s="4227"/>
      <c r="Y284" s="4228"/>
      <c r="Z284" s="4228"/>
      <c r="AA284" s="4228"/>
      <c r="AB284" s="4190"/>
      <c r="AC284" s="4229"/>
      <c r="AD284" s="4229"/>
      <c r="AE284" s="4229"/>
      <c r="AF284" s="4229"/>
      <c r="AG284" s="4229"/>
      <c r="AH284" s="4230"/>
      <c r="AI284" s="4200"/>
    </row>
    <row r="285" ht="15.0" customHeight="1">
      <c r="A285" s="3446"/>
      <c r="B285" s="4231"/>
      <c r="C285" s="4232"/>
      <c r="D285" s="4233"/>
      <c r="E285" s="4232"/>
      <c r="F285" s="4232"/>
      <c r="G285" s="4232"/>
      <c r="H285" s="4232"/>
      <c r="I285" s="4234"/>
      <c r="J285" s="4235"/>
      <c r="K285" s="4235"/>
      <c r="L285" s="4235"/>
      <c r="M285" s="4236"/>
      <c r="N285" s="4234"/>
      <c r="O285" s="4235"/>
      <c r="P285" s="4235"/>
      <c r="Q285" s="4235"/>
      <c r="R285" s="4237"/>
      <c r="S285" s="4234"/>
      <c r="T285" s="4237"/>
      <c r="U285" s="4237"/>
      <c r="V285" s="4237"/>
      <c r="W285" s="4237"/>
      <c r="X285" s="4234"/>
      <c r="Y285" s="4235"/>
      <c r="Z285" s="4235"/>
      <c r="AA285" s="4235"/>
      <c r="AB285" s="4237"/>
      <c r="AC285" s="4233"/>
      <c r="AD285" s="4233"/>
      <c r="AE285" s="4233"/>
      <c r="AF285" s="4233"/>
      <c r="AG285" s="4233"/>
      <c r="AH285" s="4238"/>
      <c r="AI285" s="3452"/>
    </row>
    <row r="286" ht="15.0" customHeight="1">
      <c r="A286" s="3446"/>
      <c r="B286" s="4239"/>
      <c r="C286" s="4240"/>
      <c r="D286" s="4240"/>
      <c r="E286" s="4240"/>
      <c r="F286" s="4240"/>
      <c r="G286" s="4240"/>
      <c r="H286" s="4240"/>
      <c r="I286" s="4240"/>
      <c r="J286" s="4240"/>
      <c r="K286" s="4240"/>
      <c r="L286" s="4240"/>
      <c r="M286" s="4240"/>
      <c r="N286" s="4240"/>
      <c r="O286" s="4240"/>
      <c r="P286" s="4240"/>
      <c r="Q286" s="4240"/>
      <c r="R286" s="4240"/>
      <c r="S286" s="4240"/>
      <c r="T286" s="4240"/>
      <c r="U286" s="4240"/>
      <c r="V286" s="4240"/>
      <c r="W286" s="4240"/>
      <c r="X286" s="4240"/>
      <c r="Y286" s="4240"/>
      <c r="Z286" s="4240"/>
      <c r="AA286" s="4240"/>
      <c r="AB286" s="4240"/>
      <c r="AC286" s="4240"/>
      <c r="AD286" s="4240"/>
      <c r="AE286" s="4240"/>
      <c r="AF286" s="4240"/>
      <c r="AG286" s="4240"/>
      <c r="AH286" s="4241"/>
      <c r="AI286" s="3452"/>
    </row>
    <row r="287">
      <c r="A287" s="3446"/>
      <c r="B287" s="4242"/>
      <c r="C287" s="4243"/>
      <c r="D287" s="4244"/>
      <c r="E287" s="4245" t="s">
        <v>1450</v>
      </c>
      <c r="F287" s="4246"/>
      <c r="G287" s="4246"/>
      <c r="H287" s="4246"/>
      <c r="I287" s="4246"/>
      <c r="J287" s="4246"/>
      <c r="K287" s="4246"/>
      <c r="L287" s="4246"/>
      <c r="M287" s="4246"/>
      <c r="N287" s="4246"/>
      <c r="O287" s="4246"/>
      <c r="P287" s="4246"/>
      <c r="Q287" s="4246"/>
      <c r="R287" s="4246"/>
      <c r="S287" s="4246"/>
      <c r="T287" s="4246"/>
      <c r="U287" s="4246"/>
      <c r="V287" s="4246"/>
      <c r="W287" s="4246"/>
      <c r="X287" s="4246"/>
      <c r="Y287" s="4246"/>
      <c r="Z287" s="4246"/>
      <c r="AA287" s="4246"/>
      <c r="AB287" s="4246"/>
      <c r="AC287" s="4246"/>
      <c r="AD287" s="4246"/>
      <c r="AE287" s="4246"/>
      <c r="AF287" s="4246"/>
      <c r="AG287" s="4247"/>
      <c r="AH287" s="4248"/>
      <c r="AI287" s="3452"/>
    </row>
    <row r="288" ht="96.75" customHeight="1">
      <c r="A288" s="3446"/>
      <c r="B288" s="4242"/>
      <c r="C288" s="4249" t="str">
        <f>IMAGE("https://i.ibb.co/vj4rHpy/Sailors.png",2)</f>
        <v/>
      </c>
      <c r="D288" s="4250"/>
      <c r="E288" s="4251" t="str">
        <f t="array" ref="E288">IFERROR(VLOOKUP(E289,Dex!$B$3:$G1361,3,FALSE),"")</f>
        <v/>
      </c>
      <c r="F288" s="1945"/>
      <c r="G288" s="1945"/>
      <c r="H288" s="1946"/>
      <c r="I288" s="4252"/>
      <c r="J288" s="4251" t="str">
        <f t="array" ref="J288">IFERROR(VLOOKUP(J289,Dex!$B$3:$G1361,3,FALSE),"")</f>
        <v/>
      </c>
      <c r="K288" s="1945"/>
      <c r="L288" s="1945"/>
      <c r="M288" s="1946"/>
      <c r="N288" s="4252"/>
      <c r="O288" s="4251" t="str">
        <f t="array" ref="O288">IFERROR(VLOOKUP(O289,Dex!$B$3:$G1361,3,FALSE),"")</f>
        <v/>
      </c>
      <c r="P288" s="1945"/>
      <c r="Q288" s="1945"/>
      <c r="R288" s="1946"/>
      <c r="S288" s="4252"/>
      <c r="T288" s="4253" t="str">
        <f t="array" ref="T288">IFERROR(VLOOKUP(T289,Dex!$B$3:$G1361,3,FALSE),"")</f>
        <v/>
      </c>
      <c r="U288" s="1945"/>
      <c r="V288" s="1945"/>
      <c r="W288" s="1946"/>
      <c r="X288" s="4252"/>
      <c r="Y288" s="4253" t="str">
        <f t="array" ref="Y288">IFERROR(VLOOKUP(Y289,Dex!$B$3:$G1361,3,FALSE),"")</f>
        <v/>
      </c>
      <c r="Z288" s="1945"/>
      <c r="AA288" s="1945"/>
      <c r="AB288" s="1946"/>
      <c r="AC288" s="4254"/>
      <c r="AD288" s="4253" t="str">
        <f t="array" ref="AD288">IFERROR(VLOOKUP(AD289,Dex!$B$3:$G1361,3,FALSE),"")</f>
        <v/>
      </c>
      <c r="AE288" s="1945"/>
      <c r="AF288" s="1945"/>
      <c r="AG288" s="1946"/>
      <c r="AH288" s="4255"/>
      <c r="AI288" s="3452"/>
    </row>
    <row r="289" ht="18.75" customHeight="1">
      <c r="A289" s="3689"/>
      <c r="B289" s="4256"/>
      <c r="C289" s="4257" t="s">
        <v>1451</v>
      </c>
      <c r="D289" s="4258"/>
      <c r="E289" s="4259" t="s">
        <v>1452</v>
      </c>
      <c r="F289" s="4260"/>
      <c r="G289" s="4260"/>
      <c r="H289" s="4261"/>
      <c r="J289" s="4259" t="s">
        <v>242</v>
      </c>
      <c r="K289" s="4260"/>
      <c r="L289" s="4260"/>
      <c r="M289" s="4261"/>
      <c r="O289" s="4259" t="s">
        <v>1453</v>
      </c>
      <c r="P289" s="4260"/>
      <c r="Q289" s="4260"/>
      <c r="R289" s="4261"/>
      <c r="T289" s="4262" t="s">
        <v>1454</v>
      </c>
      <c r="U289" s="4263"/>
      <c r="V289" s="4263"/>
      <c r="W289" s="4264"/>
      <c r="Y289" s="4262" t="s">
        <v>1455</v>
      </c>
      <c r="Z289" s="4263"/>
      <c r="AA289" s="4263"/>
      <c r="AB289" s="4264"/>
      <c r="AD289" s="4262" t="s">
        <v>269</v>
      </c>
      <c r="AE289" s="4263"/>
      <c r="AF289" s="4263"/>
      <c r="AG289" s="4264"/>
      <c r="AH289" s="4265"/>
      <c r="AI289" s="3700"/>
    </row>
    <row r="290">
      <c r="A290" s="3701"/>
      <c r="B290" s="4266"/>
      <c r="C290" s="3095"/>
      <c r="D290" s="4267"/>
      <c r="E290" s="4268" t="s">
        <v>796</v>
      </c>
      <c r="F290" s="4269"/>
      <c r="G290" s="4269"/>
      <c r="H290" s="4270"/>
      <c r="J290" s="4268" t="s">
        <v>729</v>
      </c>
      <c r="K290" s="4269"/>
      <c r="L290" s="4269"/>
      <c r="M290" s="4270"/>
      <c r="O290" s="4268" t="s">
        <v>967</v>
      </c>
      <c r="P290" s="4269"/>
      <c r="Q290" s="4269"/>
      <c r="R290" s="4270"/>
      <c r="T290" s="4271" t="s">
        <v>967</v>
      </c>
      <c r="U290" s="4272"/>
      <c r="V290" s="4272"/>
      <c r="W290" s="4273"/>
      <c r="Y290" s="4271" t="s">
        <v>967</v>
      </c>
      <c r="Z290" s="4272"/>
      <c r="AA290" s="4272"/>
      <c r="AB290" s="4273"/>
      <c r="AD290" s="4271" t="s">
        <v>729</v>
      </c>
      <c r="AE290" s="4272"/>
      <c r="AF290" s="4272"/>
      <c r="AG290" s="4273"/>
      <c r="AH290" s="4274"/>
      <c r="AI290" s="3709"/>
    </row>
    <row r="291" ht="25.5" customHeight="1">
      <c r="A291" s="3446"/>
      <c r="B291" s="4242"/>
      <c r="C291" s="3095"/>
      <c r="D291" s="4244"/>
      <c r="E291" s="4275"/>
      <c r="F291" s="4276" t="str">
        <f t="array" ref="F291">IFERROR(VLOOKUP(E289,Dex!$B$3:$H1361,5,FALSE),"")</f>
        <v/>
      </c>
      <c r="G291" s="4277" t="str">
        <f t="array" ref="G291">IFERROR(VLOOKUP(E289,Dex!$B$3:$H1361,7,FALSE),"")</f>
        <v/>
      </c>
      <c r="H291" s="4278"/>
      <c r="J291" s="4275"/>
      <c r="K291" s="4279" t="str">
        <f t="array" ref="K291">IFERROR(VLOOKUP(J289,Dex!$B$3:$H1361,5,FALSE),"")</f>
        <v/>
      </c>
      <c r="L291" s="4280"/>
      <c r="M291" s="4278"/>
      <c r="O291" s="4275"/>
      <c r="P291" s="4276" t="str">
        <f t="array" ref="P291">IFERROR(VLOOKUP(O289,Dex!$B$3:$H1361,5,FALSE),"")</f>
        <v/>
      </c>
      <c r="Q291" s="4277" t="str">
        <f t="array" ref="Q291">IFERROR(VLOOKUP(O289,Dex!$B$3:$H1361,7,FALSE),"")</f>
        <v/>
      </c>
      <c r="R291" s="4278"/>
      <c r="T291" s="4281"/>
      <c r="U291" s="4282" t="str">
        <f t="array" ref="U291">IFERROR(VLOOKUP(T289,Dex!$B$3:$H1361,5,FALSE),"")</f>
        <v/>
      </c>
      <c r="V291" s="4283" t="str">
        <f t="array" ref="V291">IFERROR(VLOOKUP(T289,Dex!$B$3:$H1361,7,FALSE),"")</f>
        <v/>
      </c>
      <c r="W291" s="4284"/>
      <c r="Y291" s="4281"/>
      <c r="Z291" s="4282" t="str">
        <f t="array" ref="Z291">IFERROR(VLOOKUP(Y289,Dex!$B$3:$H1361,5,FALSE),"")</f>
        <v/>
      </c>
      <c r="AA291" s="4283" t="str">
        <f t="array" ref="AA291">IFERROR(VLOOKUP(Y289,Dex!$B$3:$H1361,7,FALSE),"")</f>
        <v/>
      </c>
      <c r="AB291" s="4284"/>
      <c r="AD291" s="4281"/>
      <c r="AE291" s="4282" t="str">
        <f t="array" ref="AE291">IFERROR(VLOOKUP(AD289,Dex!$B$3:$H1361,5,FALSE),"")</f>
        <v/>
      </c>
      <c r="AF291" s="4283" t="str">
        <f t="array" ref="AF291">IFERROR(VLOOKUP(AD289,Dex!$B$3:$H1361,7,FALSE),"")</f>
        <v/>
      </c>
      <c r="AG291" s="4284"/>
      <c r="AH291" s="4248"/>
      <c r="AI291" s="3452"/>
    </row>
    <row r="292" ht="2.25" customHeight="1">
      <c r="A292" s="3446"/>
      <c r="B292" s="4242"/>
      <c r="C292" s="3095"/>
      <c r="D292" s="4244"/>
      <c r="E292" s="4285"/>
      <c r="F292" s="4286"/>
      <c r="G292" s="4286"/>
      <c r="H292" s="4287"/>
      <c r="J292" s="4285"/>
      <c r="K292" s="4286"/>
      <c r="L292" s="4286"/>
      <c r="M292" s="4287"/>
      <c r="O292" s="4285"/>
      <c r="P292" s="4286"/>
      <c r="Q292" s="4286"/>
      <c r="R292" s="4287"/>
      <c r="T292" s="4288"/>
      <c r="U292" s="4289"/>
      <c r="V292" s="4289"/>
      <c r="W292" s="4290"/>
      <c r="Y292" s="4288"/>
      <c r="Z292" s="4289"/>
      <c r="AA292" s="4289"/>
      <c r="AB292" s="4290"/>
      <c r="AD292" s="4288"/>
      <c r="AE292" s="4289"/>
      <c r="AF292" s="4289"/>
      <c r="AG292" s="4290"/>
      <c r="AH292" s="4248"/>
      <c r="AI292" s="3452"/>
    </row>
    <row r="293" ht="20.25" customHeight="1">
      <c r="A293" s="3446"/>
      <c r="B293" s="4242"/>
      <c r="C293" s="3095"/>
      <c r="D293" s="4291"/>
      <c r="E293" s="4292" t="s">
        <v>531</v>
      </c>
      <c r="F293" s="4293"/>
      <c r="G293" s="4293"/>
      <c r="H293" s="4294"/>
      <c r="J293" s="4292" t="s">
        <v>564</v>
      </c>
      <c r="K293" s="4293"/>
      <c r="L293" s="4293"/>
      <c r="M293" s="4294"/>
      <c r="O293" s="4292" t="s">
        <v>754</v>
      </c>
      <c r="P293" s="4293"/>
      <c r="Q293" s="4293"/>
      <c r="R293" s="4294"/>
      <c r="T293" s="4295" t="s">
        <v>564</v>
      </c>
      <c r="U293" s="4296"/>
      <c r="V293" s="4296"/>
      <c r="W293" s="4297"/>
      <c r="Y293" s="4295" t="s">
        <v>564</v>
      </c>
      <c r="Z293" s="4296"/>
      <c r="AA293" s="4296"/>
      <c r="AB293" s="4297"/>
      <c r="AD293" s="4295" t="s">
        <v>564</v>
      </c>
      <c r="AE293" s="4296"/>
      <c r="AF293" s="4296"/>
      <c r="AG293" s="4297"/>
      <c r="AH293" s="4255"/>
      <c r="AI293" s="3452"/>
    </row>
    <row r="294" ht="20.25" customHeight="1">
      <c r="A294" s="3446"/>
      <c r="B294" s="4242"/>
      <c r="C294" s="3112"/>
      <c r="D294" s="4291"/>
      <c r="E294" s="4298" t="s">
        <v>485</v>
      </c>
      <c r="F294" s="4299"/>
      <c r="G294" s="4299"/>
      <c r="H294" s="4300"/>
      <c r="J294" s="4298" t="s">
        <v>485</v>
      </c>
      <c r="K294" s="4299"/>
      <c r="L294" s="4299"/>
      <c r="M294" s="4300"/>
      <c r="O294" s="4298" t="s">
        <v>485</v>
      </c>
      <c r="P294" s="4299"/>
      <c r="Q294" s="4299"/>
      <c r="R294" s="4300"/>
      <c r="T294" s="4301" t="s">
        <v>1456</v>
      </c>
      <c r="U294" s="4302"/>
      <c r="V294" s="4302"/>
      <c r="W294" s="4303"/>
      <c r="Y294" s="4301" t="s">
        <v>56</v>
      </c>
      <c r="Z294" s="4302"/>
      <c r="AA294" s="4302"/>
      <c r="AB294" s="4303"/>
      <c r="AD294" s="4301" t="s">
        <v>60</v>
      </c>
      <c r="AE294" s="4302"/>
      <c r="AF294" s="4302"/>
      <c r="AG294" s="4303"/>
      <c r="AH294" s="4255"/>
      <c r="AI294" s="3452"/>
    </row>
    <row r="295" ht="20.25" customHeight="1">
      <c r="A295" s="3446"/>
      <c r="B295" s="4242"/>
      <c r="C295" s="4304"/>
      <c r="D295" s="4291"/>
      <c r="E295" s="4305" t="s">
        <v>713</v>
      </c>
      <c r="F295" s="4306"/>
      <c r="G295" s="4307"/>
      <c r="H295" s="4308" t="str">
        <f>IMAGE("https://raw.githubusercontent.com/msikma/pokesprite/master/items/hold-item/assault-vest.png",3)</f>
        <v/>
      </c>
      <c r="J295" s="4305" t="s">
        <v>540</v>
      </c>
      <c r="K295" s="4306"/>
      <c r="L295" s="4307"/>
      <c r="M295" s="4308" t="str">
        <f>IMAGE("https://raw.githubusercontent.com/msikma/pokesprite/master/items/hold-item/mystic-water.png",3)</f>
        <v/>
      </c>
      <c r="O295" s="4305" t="s">
        <v>713</v>
      </c>
      <c r="P295" s="4306"/>
      <c r="Q295" s="4307"/>
      <c r="R295" s="4308" t="str">
        <f>IMAGE("https://raw.githubusercontent.com/msikma/pokesprite/master/items/hold-item/assault-vest.png",3)</f>
        <v/>
      </c>
      <c r="T295" s="4309" t="s">
        <v>573</v>
      </c>
      <c r="U295" s="4246"/>
      <c r="V295" s="4247"/>
      <c r="W295" s="4310" t="str">
        <f>IMAGE("https://raw.githubusercontent.com/msikma/pokesprite/master/items/hold-item/focus-sash.png",3)</f>
        <v/>
      </c>
      <c r="Y295" s="4309" t="s">
        <v>713</v>
      </c>
      <c r="Z295" s="4246"/>
      <c r="AA295" s="4247"/>
      <c r="AB295" s="4310" t="str">
        <f>IMAGE("https://raw.githubusercontent.com/msikma/pokesprite/master/items/hold-item/assault-vest.png",3)</f>
        <v/>
      </c>
      <c r="AD295" s="4309" t="s">
        <v>537</v>
      </c>
      <c r="AE295" s="4246"/>
      <c r="AF295" s="4247"/>
      <c r="AG295" s="4310" t="str">
        <f>IMAGE("https://raw.githubusercontent.com/msikma/pokesprite/master/items/berry/sitrus.png",3)</f>
        <v/>
      </c>
      <c r="AH295" s="4248"/>
      <c r="AI295" s="3452"/>
    </row>
    <row r="296" ht="20.25" customHeight="1">
      <c r="A296" s="3446"/>
      <c r="B296" s="4242"/>
      <c r="C296" s="4304"/>
      <c r="D296" s="4291"/>
      <c r="E296" s="4292" t="s">
        <v>1021</v>
      </c>
      <c r="F296" s="4293"/>
      <c r="G296" s="4311"/>
      <c r="H296" s="4312" t="str">
        <f>IMAGE("https://raw.githubusercontent.com/msikma/pokesprite/master/misc/types/gen8/rock.png",4,20,20)</f>
        <v/>
      </c>
      <c r="J296" s="4292" t="s">
        <v>649</v>
      </c>
      <c r="K296" s="4293"/>
      <c r="L296" s="4311"/>
      <c r="M296" s="4312" t="str">
        <f>IMAGE("https://raw.githubusercontent.com/msikma/pokesprite/master/misc/types/gen8/water.png",4,20,20)</f>
        <v/>
      </c>
      <c r="O296" s="4292" t="s">
        <v>544</v>
      </c>
      <c r="P296" s="4293"/>
      <c r="Q296" s="4311"/>
      <c r="R296" s="4312" t="str">
        <f>IMAGE("https://raw.githubusercontent.com/msikma/pokesprite/master/misc/types/gen8/water.png",4,20,20)</f>
        <v/>
      </c>
      <c r="T296" s="4295" t="s">
        <v>592</v>
      </c>
      <c r="U296" s="4296"/>
      <c r="V296" s="4313"/>
      <c r="W296" s="4314" t="str">
        <f>IMAGE("https://raw.githubusercontent.com/msikma/pokesprite/master/misc/types/gen8/water.png",4,20,20)</f>
        <v/>
      </c>
      <c r="Y296" s="4295" t="s">
        <v>592</v>
      </c>
      <c r="Z296" s="4296"/>
      <c r="AA296" s="4313"/>
      <c r="AB296" s="4314" t="str">
        <f>IMAGE("https://raw.githubusercontent.com/msikma/pokesprite/master/misc/types/gen8/water.png",4,20,20)</f>
        <v/>
      </c>
      <c r="AD296" s="4295" t="s">
        <v>592</v>
      </c>
      <c r="AE296" s="4296"/>
      <c r="AF296" s="4313"/>
      <c r="AG296" s="4314" t="str">
        <f>IMAGE("https://raw.githubusercontent.com/msikma/pokesprite/master/misc/types/gen8/water.png",4,20,20)</f>
        <v/>
      </c>
      <c r="AH296" s="4248"/>
      <c r="AI296" s="3452"/>
    </row>
    <row r="297" ht="20.25" customHeight="1">
      <c r="A297" s="3446"/>
      <c r="B297" s="4242"/>
      <c r="C297" s="4243"/>
      <c r="D297" s="4291"/>
      <c r="E297" s="4298" t="s">
        <v>543</v>
      </c>
      <c r="F297" s="4299"/>
      <c r="G297" s="4315"/>
      <c r="H297" s="4316" t="str">
        <f>IMAGE("https://raw.githubusercontent.com/msikma/pokesprite/master/misc/types/gen8/grass.png",4,20,20)</f>
        <v/>
      </c>
      <c r="J297" s="4298" t="s">
        <v>670</v>
      </c>
      <c r="K297" s="4299"/>
      <c r="L297" s="4315"/>
      <c r="M297" s="4316" t="str">
        <f>IMAGE("https://raw.githubusercontent.com/msikma/pokesprite/master/misc/types/gen8/ice.png",4,20,20)</f>
        <v/>
      </c>
      <c r="O297" s="4298" t="s">
        <v>585</v>
      </c>
      <c r="P297" s="4299"/>
      <c r="Q297" s="4315"/>
      <c r="R297" s="4316" t="str">
        <f>IMAGE("https://raw.githubusercontent.com/msikma/pokesprite/master/misc/types/gen8/dragon.png",4,20,20)</f>
        <v/>
      </c>
      <c r="T297" s="4301" t="s">
        <v>612</v>
      </c>
      <c r="U297" s="4302"/>
      <c r="V297" s="4317"/>
      <c r="W297" s="4318" t="str">
        <f>IMAGE("https://raw.githubusercontent.com/msikma/pokesprite/master/misc/types/gen8/bug.png",4,20,20)</f>
        <v/>
      </c>
      <c r="Y297" s="4301" t="s">
        <v>644</v>
      </c>
      <c r="Z297" s="4302"/>
      <c r="AA297" s="4317"/>
      <c r="AB297" s="4318" t="str">
        <f>IMAGE("https://raw.githubusercontent.com/msikma/pokesprite/master/misc/types/gen8/ground.png",4,20,20)</f>
        <v/>
      </c>
      <c r="AD297" s="4301" t="s">
        <v>846</v>
      </c>
      <c r="AE297" s="4302"/>
      <c r="AF297" s="4317"/>
      <c r="AG297" s="4318" t="str">
        <f>IMAGE("https://raw.githubusercontent.com/msikma/pokesprite/master/misc/types/gen8/bug.png",4,20,20)</f>
        <v/>
      </c>
      <c r="AH297" s="4248"/>
      <c r="AI297" s="3452"/>
    </row>
    <row r="298" ht="20.25" customHeight="1">
      <c r="A298" s="3446"/>
      <c r="B298" s="4242"/>
      <c r="C298" s="4243"/>
      <c r="D298" s="4291"/>
      <c r="E298" s="4298" t="s">
        <v>644</v>
      </c>
      <c r="F298" s="4299"/>
      <c r="G298" s="4315"/>
      <c r="H298" s="4316" t="str">
        <f>IMAGE("https://raw.githubusercontent.com/msikma/pokesprite/master/misc/types/gen8/ground.png",4,20,20)</f>
        <v/>
      </c>
      <c r="J298" s="4298" t="s">
        <v>553</v>
      </c>
      <c r="K298" s="4299"/>
      <c r="L298" s="4315"/>
      <c r="M298" s="4316" t="str">
        <f>IMAGE("https://raw.githubusercontent.com/msikma/pokesprite/master/misc/types/gen8/grass.png",4,20,20)</f>
        <v/>
      </c>
      <c r="O298" s="4298" t="s">
        <v>553</v>
      </c>
      <c r="P298" s="4299"/>
      <c r="Q298" s="4315"/>
      <c r="R298" s="4316" t="str">
        <f>IMAGE("https://raw.githubusercontent.com/msikma/pokesprite/master/misc/types/gen8/grass.png",4,20,20)</f>
        <v/>
      </c>
      <c r="T298" s="4301" t="s">
        <v>670</v>
      </c>
      <c r="U298" s="4302"/>
      <c r="V298" s="4317"/>
      <c r="W298" s="4318" t="str">
        <f>IMAGE("https://raw.githubusercontent.com/msikma/pokesprite/master/misc/types/gen8/ice.png",4,20,20)</f>
        <v/>
      </c>
      <c r="Y298" s="4301" t="s">
        <v>670</v>
      </c>
      <c r="Z298" s="4302"/>
      <c r="AA298" s="4317"/>
      <c r="AB298" s="4318" t="str">
        <f>IMAGE("https://raw.githubusercontent.com/msikma/pokesprite/master/misc/types/gen8/ice.png",4,20,20)</f>
        <v/>
      </c>
      <c r="AD298" s="4301" t="s">
        <v>775</v>
      </c>
      <c r="AE298" s="4302"/>
      <c r="AF298" s="4317"/>
      <c r="AG298" s="4318" t="str">
        <f>IMAGE("https://raw.githubusercontent.com/msikma/pokesprite/master/misc/types/gen8/grass.png",4,20,20)</f>
        <v/>
      </c>
      <c r="AH298" s="4248"/>
      <c r="AI298" s="3452"/>
    </row>
    <row r="299" ht="21.0" customHeight="1">
      <c r="A299" s="3446"/>
      <c r="B299" s="4242"/>
      <c r="C299" s="4243"/>
      <c r="D299" s="4291"/>
      <c r="E299" s="4319" t="s">
        <v>671</v>
      </c>
      <c r="F299" s="4320"/>
      <c r="G299" s="4321"/>
      <c r="H299" s="4322" t="str">
        <f>IMAGE("https://raw.githubusercontent.com/msikma/pokesprite/master/misc/types/gen8/fire.png",4,20,20)</f>
        <v/>
      </c>
      <c r="I299" s="4323"/>
      <c r="J299" s="4319" t="s">
        <v>542</v>
      </c>
      <c r="K299" s="4320"/>
      <c r="L299" s="4321"/>
      <c r="M299" s="4322" t="str">
        <f>IMAGE("https://raw.githubusercontent.com/msikma/pokesprite/master/misc/types/gen8/water.png",4,20,20)</f>
        <v/>
      </c>
      <c r="N299" s="4323"/>
      <c r="O299" s="4319" t="s">
        <v>509</v>
      </c>
      <c r="P299" s="4320"/>
      <c r="Q299" s="4321"/>
      <c r="R299" s="4322" t="str">
        <f>IMAGE("https://raw.githubusercontent.com/msikma/pokesprite/master/misc/types/gen8/ice.png",4,20,20)</f>
        <v/>
      </c>
      <c r="S299" s="4323"/>
      <c r="T299" s="4324" t="s">
        <v>1457</v>
      </c>
      <c r="U299" s="4325"/>
      <c r="V299" s="4326"/>
      <c r="W299" s="4327" t="str">
        <f>IMAGE("https://raw.githubusercontent.com/msikma/pokesprite/master/misc/types/gen8/normal.png",4,20,20)</f>
        <v/>
      </c>
      <c r="X299" s="4323"/>
      <c r="Y299" s="4324" t="s">
        <v>1305</v>
      </c>
      <c r="Z299" s="4325"/>
      <c r="AA299" s="4326"/>
      <c r="AB299" s="4327" t="str">
        <f>IMAGE("https://raw.githubusercontent.com/msikma/pokesprite/master/misc/types/gen8/psychic.png",4,20,20)</f>
        <v/>
      </c>
      <c r="AC299" s="4323"/>
      <c r="AD299" s="4324" t="s">
        <v>1457</v>
      </c>
      <c r="AE299" s="4325"/>
      <c r="AF299" s="4326"/>
      <c r="AG299" s="4327" t="str">
        <f>IMAGE("https://raw.githubusercontent.com/msikma/pokesprite/master/misc/types/gen8/normal.png",4,20,20)</f>
        <v/>
      </c>
      <c r="AH299" s="4248"/>
      <c r="AI299" s="3452"/>
    </row>
    <row r="300" ht="3.0" customHeight="1">
      <c r="A300" s="3524"/>
      <c r="B300" s="4328"/>
      <c r="C300" s="4329"/>
      <c r="D300" s="4330"/>
      <c r="E300" s="4331"/>
      <c r="F300" s="4331"/>
      <c r="G300" s="4331"/>
      <c r="H300" s="4332"/>
      <c r="I300" s="4330"/>
      <c r="J300" s="4333"/>
      <c r="K300" s="4333"/>
      <c r="L300" s="4333"/>
      <c r="M300" s="4332"/>
      <c r="N300" s="4330"/>
      <c r="O300" s="4333"/>
      <c r="P300" s="4333"/>
      <c r="Q300" s="4333"/>
      <c r="R300" s="4332"/>
      <c r="S300" s="4332"/>
      <c r="T300" s="4333"/>
      <c r="U300" s="4333"/>
      <c r="V300" s="4333"/>
      <c r="W300" s="4334"/>
      <c r="X300" s="4330"/>
      <c r="Y300" s="4335"/>
      <c r="Z300" s="4336"/>
      <c r="AA300" s="4336"/>
      <c r="AB300" s="4337"/>
      <c r="AC300" s="4338"/>
      <c r="AD300" s="4335"/>
      <c r="AE300" s="4336"/>
      <c r="AF300" s="4336"/>
      <c r="AG300" s="4337"/>
      <c r="AH300" s="4339"/>
      <c r="AI300" s="3534"/>
    </row>
    <row r="301" ht="16.5" customHeight="1">
      <c r="A301" s="4188"/>
      <c r="B301" s="4340"/>
      <c r="C301" s="4341"/>
      <c r="D301" s="4342"/>
      <c r="E301" s="4343" t="s">
        <v>512</v>
      </c>
      <c r="F301" s="606"/>
      <c r="G301" s="606"/>
      <c r="H301" s="607"/>
      <c r="I301" s="4344"/>
      <c r="J301" s="4343" t="s">
        <v>512</v>
      </c>
      <c r="K301" s="606"/>
      <c r="L301" s="606"/>
      <c r="M301" s="607"/>
      <c r="N301" s="4344"/>
      <c r="O301" s="4343" t="s">
        <v>512</v>
      </c>
      <c r="P301" s="606"/>
      <c r="Q301" s="606"/>
      <c r="R301" s="607"/>
      <c r="S301" s="4345"/>
      <c r="T301" s="4346" t="s">
        <v>512</v>
      </c>
      <c r="U301" s="606"/>
      <c r="V301" s="606"/>
      <c r="W301" s="607"/>
      <c r="X301" s="4347"/>
      <c r="Y301" s="4346" t="s">
        <v>512</v>
      </c>
      <c r="Z301" s="606"/>
      <c r="AA301" s="606"/>
      <c r="AB301" s="607"/>
      <c r="AC301" s="4347"/>
      <c r="AD301" s="4346" t="s">
        <v>512</v>
      </c>
      <c r="AE301" s="606"/>
      <c r="AF301" s="606"/>
      <c r="AG301" s="607"/>
      <c r="AH301" s="4348"/>
      <c r="AI301" s="4200"/>
    </row>
    <row r="302" ht="16.5" customHeight="1">
      <c r="A302" s="4188"/>
      <c r="B302" s="4340"/>
      <c r="C302" s="4341"/>
      <c r="D302" s="4342"/>
      <c r="E302" s="4349" t="s">
        <v>513</v>
      </c>
      <c r="F302" s="4350">
        <f t="array" ref="F302">IFERROR(VLOOKUP(E289,Dex!$B$3:$N1361,8,FALSE),"")</f>
        <v>86</v>
      </c>
      <c r="G302" s="4351" t="str">
        <f t="array" ref="G302">IFERROR(VLOOKUP(F302,Dex!$P$22:$Q$276,2,FALSE),"")</f>
        <v/>
      </c>
      <c r="H302" s="4352"/>
      <c r="I302" s="4342"/>
      <c r="J302" s="4349" t="s">
        <v>513</v>
      </c>
      <c r="K302" s="4350">
        <f t="array" ref="K302">IFERROR(VLOOKUP(J289,Dex!$B$3:$N1361,8,FALSE),"")</f>
        <v>79</v>
      </c>
      <c r="L302" s="4351" t="str">
        <f t="array" ref="L302">IFERROR(VLOOKUP(K302,Dex!$P$22:$Q$276,2,FALSE),"")</f>
        <v/>
      </c>
      <c r="M302" s="4352"/>
      <c r="N302" s="4342"/>
      <c r="O302" s="4349" t="s">
        <v>513</v>
      </c>
      <c r="P302" s="4350">
        <f t="array" ref="P302">IFERROR(VLOOKUP(O289,Dex!$B$3:$N1361,8,FALSE),"")</f>
        <v>78</v>
      </c>
      <c r="Q302" s="4351" t="str">
        <f t="array" ref="Q302">IFERROR(VLOOKUP(P302,Dex!$P$22:$Q$276,2,FALSE),"")</f>
        <v/>
      </c>
      <c r="R302" s="4352"/>
      <c r="S302" s="4342"/>
      <c r="T302" s="4353" t="s">
        <v>513</v>
      </c>
      <c r="U302" s="4354">
        <f t="array" ref="U302">IFERROR(VLOOKUP(T289,Dex!$B$3:$N1361,8,FALSE),"")</f>
        <v>85</v>
      </c>
      <c r="V302" s="4355" t="str">
        <f t="array" ref="V302">IFERROR(VLOOKUP(U302,Dex!$P$22:$Q$276,2,FALSE),"")</f>
        <v/>
      </c>
      <c r="W302" s="4356"/>
      <c r="X302" s="4357"/>
      <c r="Y302" s="4353" t="s">
        <v>513</v>
      </c>
      <c r="Z302" s="4354">
        <f t="array" ref="Z302">IFERROR(VLOOKUP(Y289,Dex!$B$3:$N1361,8,FALSE),"")</f>
        <v>90</v>
      </c>
      <c r="AA302" s="4355" t="str">
        <f t="array" ref="AA302">IFERROR(VLOOKUP(Z302,Dex!$P$22:$Q$276,2,FALSE),"")</f>
        <v/>
      </c>
      <c r="AB302" s="4356"/>
      <c r="AC302" s="4358"/>
      <c r="AD302" s="4353" t="s">
        <v>513</v>
      </c>
      <c r="AE302" s="4354">
        <f t="array" ref="AE302">IFERROR(VLOOKUP(AD289,Dex!$B$3:$N1361,8,FALSE),"")</f>
        <v>80</v>
      </c>
      <c r="AF302" s="4355" t="str">
        <f t="array" ref="AF302">IFERROR(VLOOKUP(AE302,Dex!$P$22:$Q$276,2,FALSE),"")</f>
        <v/>
      </c>
      <c r="AG302" s="4356"/>
      <c r="AH302" s="4348"/>
      <c r="AI302" s="4200"/>
    </row>
    <row r="303" ht="16.5" customHeight="1">
      <c r="A303" s="4188"/>
      <c r="B303" s="4340"/>
      <c r="C303" s="4341"/>
      <c r="D303" s="4342"/>
      <c r="E303" s="4359" t="s">
        <v>514</v>
      </c>
      <c r="F303" s="4360">
        <f t="array" ref="F303">IFERROR(VLOOKUP(E289,Dex!$B$3:$N1361,9,FALSE),"")</f>
        <v>81</v>
      </c>
      <c r="G303" s="4361" t="str">
        <f t="array" ref="G303">IFERROR(VLOOKUP(F303,Dex!$P$22:$Q$276,2,FALSE),"")</f>
        <v/>
      </c>
      <c r="H303" s="4362"/>
      <c r="I303" s="4342"/>
      <c r="J303" s="4359" t="s">
        <v>514</v>
      </c>
      <c r="K303" s="4360">
        <f t="array" ref="K303">IFERROR(VLOOKUP(J289,Dex!$B$3:$N1361,9,FALSE),"")</f>
        <v>59</v>
      </c>
      <c r="L303" s="4361" t="str">
        <f t="array" ref="L303">IFERROR(VLOOKUP(K303,Dex!$P$22:$Q$276,2,FALSE),"")</f>
        <v/>
      </c>
      <c r="M303" s="4362"/>
      <c r="N303" s="4342"/>
      <c r="O303" s="4359" t="s">
        <v>514</v>
      </c>
      <c r="P303" s="4360">
        <f t="array" ref="P303">IFERROR(VLOOKUP(O289,Dex!$B$3:$N1361,9,FALSE),"")</f>
        <v>50</v>
      </c>
      <c r="Q303" s="4361" t="str">
        <f t="array" ref="Q303">IFERROR(VLOOKUP(P303,Dex!$P$22:$Q$276,2,FALSE),"")</f>
        <v/>
      </c>
      <c r="R303" s="4362"/>
      <c r="S303" s="4342"/>
      <c r="T303" s="4363" t="s">
        <v>514</v>
      </c>
      <c r="U303" s="4364">
        <f t="array" ref="U303">IFERROR(VLOOKUP(T289,Dex!$B$3:$N1361,9,FALSE),"")</f>
        <v>85</v>
      </c>
      <c r="V303" s="4365" t="str">
        <f t="array" ref="V303">IFERROR(VLOOKUP(U303,Dex!$P$22:$Q$276,2,FALSE),"")</f>
        <v/>
      </c>
      <c r="W303" s="4366"/>
      <c r="X303" s="4357"/>
      <c r="Y303" s="4363" t="s">
        <v>514</v>
      </c>
      <c r="Z303" s="4364">
        <f t="array" ref="Z303">IFERROR(VLOOKUP(Y289,Dex!$B$3:$N1361,9,FALSE),"")</f>
        <v>92</v>
      </c>
      <c r="AA303" s="4365" t="str">
        <f t="array" ref="AA303">IFERROR(VLOOKUP(Z303,Dex!$P$22:$Q$276,2,FALSE),"")</f>
        <v/>
      </c>
      <c r="AB303" s="4366"/>
      <c r="AC303" s="4358"/>
      <c r="AD303" s="4363" t="s">
        <v>514</v>
      </c>
      <c r="AE303" s="4364">
        <f t="array" ref="AE303">IFERROR(VLOOKUP(AD289,Dex!$B$3:$N1361,9,FALSE),"")</f>
        <v>60</v>
      </c>
      <c r="AF303" s="4365" t="str">
        <f t="array" ref="AF303">IFERROR(VLOOKUP(AE303,Dex!$P$22:$Q$276,2,FALSE),"")</f>
        <v/>
      </c>
      <c r="AG303" s="4366"/>
      <c r="AH303" s="4348"/>
      <c r="AI303" s="4200"/>
    </row>
    <row r="304" ht="16.5" customHeight="1">
      <c r="A304" s="4188"/>
      <c r="B304" s="4340"/>
      <c r="C304" s="4341"/>
      <c r="D304" s="4342"/>
      <c r="E304" s="4359" t="s">
        <v>515</v>
      </c>
      <c r="F304" s="4360">
        <f t="array" ref="F304">IFERROR(VLOOKUP(E289,Dex!$B$3:$N1361,10,FALSE),"")</f>
        <v>97</v>
      </c>
      <c r="G304" s="4361" t="str">
        <f t="array" ref="G304">IFERROR(VLOOKUP(F304,Dex!$P$22:$Q$276,2,FALSE),"")</f>
        <v/>
      </c>
      <c r="H304" s="4362"/>
      <c r="I304" s="4342"/>
      <c r="J304" s="4359" t="s">
        <v>515</v>
      </c>
      <c r="K304" s="4360">
        <f t="array" ref="K304">IFERROR(VLOOKUP(J289,Dex!$B$3:$N1361,10,FALSE),"")</f>
        <v>76</v>
      </c>
      <c r="L304" s="4361" t="str">
        <f t="array" ref="L304">IFERROR(VLOOKUP(K304,Dex!$P$22:$Q$276,2,FALSE),"")</f>
        <v/>
      </c>
      <c r="M304" s="4362"/>
      <c r="N304" s="4342"/>
      <c r="O304" s="4359" t="s">
        <v>515</v>
      </c>
      <c r="P304" s="4360">
        <f t="array" ref="P304">IFERROR(VLOOKUP(O289,Dex!$B$3:$N1361,10,FALSE),"")</f>
        <v>70</v>
      </c>
      <c r="Q304" s="4361" t="str">
        <f t="array" ref="Q304">IFERROR(VLOOKUP(P304,Dex!$P$22:$Q$276,2,FALSE),"")</f>
        <v/>
      </c>
      <c r="R304" s="4362"/>
      <c r="S304" s="4342"/>
      <c r="T304" s="4363" t="s">
        <v>515</v>
      </c>
      <c r="U304" s="4364">
        <f t="array" ref="U304">IFERROR(VLOOKUP(T289,Dex!$B$3:$N1361,10,FALSE),"")</f>
        <v>65</v>
      </c>
      <c r="V304" s="4365" t="str">
        <f t="array" ref="V304">IFERROR(VLOOKUP(U304,Dex!$P$22:$Q$276,2,FALSE),"")</f>
        <v/>
      </c>
      <c r="W304" s="4366"/>
      <c r="X304" s="4357"/>
      <c r="Y304" s="4363" t="s">
        <v>515</v>
      </c>
      <c r="Z304" s="4364">
        <f t="array" ref="Z304">IFERROR(VLOOKUP(Y289,Dex!$B$3:$N1361,10,FALSE),"")</f>
        <v>87</v>
      </c>
      <c r="AA304" s="4365" t="str">
        <f t="array" ref="AA304">IFERROR(VLOOKUP(Z304,Dex!$P$22:$Q$276,2,FALSE),"")</f>
        <v/>
      </c>
      <c r="AB304" s="4366"/>
      <c r="AC304" s="4358"/>
      <c r="AD304" s="4363" t="s">
        <v>515</v>
      </c>
      <c r="AE304" s="4364">
        <f t="array" ref="AE304">IFERROR(VLOOKUP(AD289,Dex!$B$3:$N1361,10,FALSE),"")</f>
        <v>62</v>
      </c>
      <c r="AF304" s="4365" t="str">
        <f t="array" ref="AF304">IFERROR(VLOOKUP(AE304,Dex!$P$22:$Q$276,2,FALSE),"")</f>
        <v/>
      </c>
      <c r="AG304" s="4366"/>
      <c r="AH304" s="4348"/>
      <c r="AI304" s="4200"/>
    </row>
    <row r="305" ht="16.5" customHeight="1">
      <c r="A305" s="4188"/>
      <c r="B305" s="4340"/>
      <c r="C305" s="4341"/>
      <c r="D305" s="4342"/>
      <c r="E305" s="4359" t="s">
        <v>516</v>
      </c>
      <c r="F305" s="4360">
        <f t="array" ref="F305">IFERROR(VLOOKUP(E289,Dex!$B$3:$N1361,11,FALSE),"")</f>
        <v>81</v>
      </c>
      <c r="G305" s="4361" t="str">
        <f t="array" ref="G305">IFERROR(VLOOKUP(F305,Dex!$P$22:$Q$276,2,FALSE),"")</f>
        <v/>
      </c>
      <c r="H305" s="4362"/>
      <c r="I305" s="4342"/>
      <c r="J305" s="4359" t="s">
        <v>516</v>
      </c>
      <c r="K305" s="4360">
        <f t="array" ref="K305">IFERROR(VLOOKUP(J289,Dex!$B$3:$N1361,11,FALSE),"")</f>
        <v>96</v>
      </c>
      <c r="L305" s="4361" t="str">
        <f t="array" ref="L305">IFERROR(VLOOKUP(K305,Dex!$P$22:$Q$276,2,FALSE),"")</f>
        <v/>
      </c>
      <c r="M305" s="4362"/>
      <c r="N305" s="4342"/>
      <c r="O305" s="4359" t="s">
        <v>516</v>
      </c>
      <c r="P305" s="4360">
        <f t="array" ref="P305">IFERROR(VLOOKUP(O289,Dex!$B$3:$N1361,11,FALSE),"")</f>
        <v>120</v>
      </c>
      <c r="Q305" s="4361" t="str">
        <f t="array" ref="Q305">IFERROR(VLOOKUP(P305,Dex!$P$22:$Q$276,2,FALSE),"")</f>
        <v/>
      </c>
      <c r="R305" s="4362"/>
      <c r="S305" s="4342"/>
      <c r="T305" s="4363" t="s">
        <v>516</v>
      </c>
      <c r="U305" s="4364">
        <f t="array" ref="U305">IFERROR(VLOOKUP(T289,Dex!$B$3:$N1361,11,FALSE),"")</f>
        <v>100</v>
      </c>
      <c r="V305" s="4365" t="str">
        <f t="array" ref="V305">IFERROR(VLOOKUP(U305,Dex!$P$22:$Q$276,2,FALSE),"")</f>
        <v/>
      </c>
      <c r="W305" s="4366"/>
      <c r="X305" s="4357"/>
      <c r="Y305" s="4363" t="s">
        <v>516</v>
      </c>
      <c r="Z305" s="4364">
        <f t="array" ref="Z305">IFERROR(VLOOKUP(Y289,Dex!$B$3:$N1361,11,FALSE),"")</f>
        <v>75</v>
      </c>
      <c r="AA305" s="4365" t="str">
        <f t="array" ref="AA305">IFERROR(VLOOKUP(Z305,Dex!$P$22:$Q$276,2,FALSE),"")</f>
        <v/>
      </c>
      <c r="AB305" s="4366"/>
      <c r="AC305" s="4358"/>
      <c r="AD305" s="4363" t="s">
        <v>516</v>
      </c>
      <c r="AE305" s="4364">
        <f t="array" ref="AE305">IFERROR(VLOOKUP(AD289,Dex!$B$3:$N1361,11,FALSE),"")</f>
        <v>100</v>
      </c>
      <c r="AF305" s="4365" t="str">
        <f t="array" ref="AF305">IFERROR(VLOOKUP(AE305,Dex!$P$22:$Q$276,2,FALSE),"")</f>
        <v/>
      </c>
      <c r="AG305" s="4366"/>
      <c r="AH305" s="4348"/>
      <c r="AI305" s="4200"/>
    </row>
    <row r="306" ht="16.5" customHeight="1">
      <c r="A306" s="4188"/>
      <c r="B306" s="4340"/>
      <c r="C306" s="4341"/>
      <c r="D306" s="4342"/>
      <c r="E306" s="4359" t="s">
        <v>517</v>
      </c>
      <c r="F306" s="4360">
        <f t="array" ref="F306">IFERROR(VLOOKUP(E289,Dex!$B$3:$N1361,12,FALSE),"")</f>
        <v>107</v>
      </c>
      <c r="G306" s="4361" t="str">
        <f t="array" ref="G306">IFERROR(VLOOKUP(F306,Dex!$P$22:$Q$276,2,FALSE),"")</f>
        <v/>
      </c>
      <c r="H306" s="4362"/>
      <c r="I306" s="4342"/>
      <c r="J306" s="4359" t="s">
        <v>517</v>
      </c>
      <c r="K306" s="4360">
        <f t="array" ref="K306">IFERROR(VLOOKUP(J289,Dex!$B$3:$N1361,12,FALSE),"")</f>
        <v>69</v>
      </c>
      <c r="L306" s="4361" t="str">
        <f t="array" ref="L306">IFERROR(VLOOKUP(K306,Dex!$P$22:$Q$276,2,FALSE),"")</f>
        <v/>
      </c>
      <c r="M306" s="4362"/>
      <c r="N306" s="4342"/>
      <c r="O306" s="4359" t="s">
        <v>517</v>
      </c>
      <c r="P306" s="4360">
        <f t="array" ref="P306">IFERROR(VLOOKUP(O289,Dex!$B$3:$N1361,12,FALSE),"")</f>
        <v>95</v>
      </c>
      <c r="Q306" s="4361" t="str">
        <f t="array" ref="Q306">IFERROR(VLOOKUP(P306,Dex!$P$22:$Q$276,2,FALSE),"")</f>
        <v/>
      </c>
      <c r="R306" s="4362"/>
      <c r="S306" s="4342"/>
      <c r="T306" s="4363" t="s">
        <v>517</v>
      </c>
      <c r="U306" s="4364">
        <f t="array" ref="U306">IFERROR(VLOOKUP(T289,Dex!$B$3:$N1361,12,FALSE),"")</f>
        <v>95</v>
      </c>
      <c r="V306" s="4365" t="str">
        <f t="array" ref="V306">IFERROR(VLOOKUP(U306,Dex!$P$22:$Q$276,2,FALSE),"")</f>
        <v/>
      </c>
      <c r="W306" s="4366"/>
      <c r="X306" s="4357"/>
      <c r="Y306" s="4363" t="s">
        <v>517</v>
      </c>
      <c r="Z306" s="4364">
        <f t="array" ref="Z306">IFERROR(VLOOKUP(Y289,Dex!$B$3:$N1361,12,FALSE),"")</f>
        <v>85</v>
      </c>
      <c r="AA306" s="4365" t="str">
        <f t="array" ref="AA306">IFERROR(VLOOKUP(Z306,Dex!$P$22:$Q$276,2,FALSE),"")</f>
        <v/>
      </c>
      <c r="AB306" s="4366"/>
      <c r="AC306" s="4358"/>
      <c r="AD306" s="4363" t="s">
        <v>517</v>
      </c>
      <c r="AE306" s="4364">
        <f t="array" ref="AE306">IFERROR(VLOOKUP(AD289,Dex!$B$3:$N1361,12,FALSE),"")</f>
        <v>82</v>
      </c>
      <c r="AF306" s="4365" t="str">
        <f t="array" ref="AF306">IFERROR(VLOOKUP(AE306,Dex!$P$22:$Q$276,2,FALSE),"")</f>
        <v/>
      </c>
      <c r="AG306" s="4366"/>
      <c r="AH306" s="4348"/>
      <c r="AI306" s="4200"/>
    </row>
    <row r="307" ht="16.5" customHeight="1">
      <c r="A307" s="4188"/>
      <c r="B307" s="4340"/>
      <c r="C307" s="1426" t="s">
        <v>745</v>
      </c>
      <c r="D307" s="4342"/>
      <c r="E307" s="4367" t="s">
        <v>518</v>
      </c>
      <c r="F307" s="4368">
        <f t="array" ref="F307">IFERROR(VLOOKUP(E289,Dex!$B$3:$N1361,13,FALSE),"")</f>
        <v>43</v>
      </c>
      <c r="G307" s="4369" t="str">
        <f t="array" ref="G307">IFERROR(VLOOKUP(F307,Dex!$P$22:$Q$276,2,FALSE),"")</f>
        <v/>
      </c>
      <c r="H307" s="4370"/>
      <c r="I307" s="4342"/>
      <c r="J307" s="4367" t="s">
        <v>518</v>
      </c>
      <c r="K307" s="4368">
        <f t="array" ref="K307">IFERROR(VLOOKUP(J289,Dex!$B$3:$N1361,13,FALSE),"")</f>
        <v>101</v>
      </c>
      <c r="L307" s="4369" t="str">
        <f t="array" ref="L307">IFERROR(VLOOKUP(K307,Dex!$P$22:$Q$276,2,FALSE),"")</f>
        <v/>
      </c>
      <c r="M307" s="4370"/>
      <c r="N307" s="4342"/>
      <c r="O307" s="4367" t="s">
        <v>518</v>
      </c>
      <c r="P307" s="4368">
        <f t="array" ref="P307">IFERROR(VLOOKUP(O289,Dex!$B$3:$N1361,13,FALSE),"")</f>
        <v>82</v>
      </c>
      <c r="Q307" s="4369" t="str">
        <f t="array" ref="Q307">IFERROR(VLOOKUP(P307,Dex!$P$22:$Q$276,2,FALSE),"")</f>
        <v/>
      </c>
      <c r="R307" s="4370"/>
      <c r="S307" s="4342"/>
      <c r="T307" s="4371" t="s">
        <v>518</v>
      </c>
      <c r="U307" s="4372">
        <f t="array" ref="U307">IFERROR(VLOOKUP(T289,Dex!$B$3:$N1361,13,FALSE),"")</f>
        <v>105</v>
      </c>
      <c r="V307" s="4373" t="str">
        <f t="array" ref="V307">IFERROR(VLOOKUP(U307,Dex!$P$22:$Q$276,2,FALSE),"")</f>
        <v/>
      </c>
      <c r="W307" s="4374"/>
      <c r="X307" s="4357"/>
      <c r="Y307" s="4371" t="s">
        <v>518</v>
      </c>
      <c r="Z307" s="4372">
        <f t="array" ref="Z307">IFERROR(VLOOKUP(Y289,Dex!$B$3:$N1361,13,FALSE),"")</f>
        <v>76</v>
      </c>
      <c r="AA307" s="4373" t="str">
        <f t="array" ref="AA307">IFERROR(VLOOKUP(Z307,Dex!$P$22:$Q$276,2,FALSE),"")</f>
        <v/>
      </c>
      <c r="AB307" s="4374"/>
      <c r="AC307" s="4358"/>
      <c r="AD307" s="4371" t="s">
        <v>518</v>
      </c>
      <c r="AE307" s="4372">
        <f t="array" ref="AE307">IFERROR(VLOOKUP(AD289,Dex!$B$3:$N1361,13,FALSE),"")</f>
        <v>80</v>
      </c>
      <c r="AF307" s="4373" t="str">
        <f t="array" ref="AF307">IFERROR(VLOOKUP(AE307,Dex!$P$22:$Q$276,2,FALSE),"")</f>
        <v/>
      </c>
      <c r="AG307" s="4374"/>
      <c r="AH307" s="4348"/>
      <c r="AI307" s="4200"/>
    </row>
    <row r="308" ht="16.5" customHeight="1">
      <c r="A308" s="4188"/>
      <c r="B308" s="4340"/>
      <c r="C308" s="1427" t="s">
        <v>836</v>
      </c>
      <c r="D308" s="4342"/>
      <c r="E308" s="4375" t="s">
        <v>519</v>
      </c>
      <c r="F308" s="630"/>
      <c r="G308" s="631"/>
      <c r="H308" s="632">
        <f>ROUNDDOWN((ROUNDDOWN(((((2*F307+30)*26)/100+5)),0))*1,0)</f>
        <v>35</v>
      </c>
      <c r="I308" s="4344"/>
      <c r="J308" s="4375" t="s">
        <v>519</v>
      </c>
      <c r="K308" s="630"/>
      <c r="L308" s="631"/>
      <c r="M308" s="632">
        <f>ROUNDDOWN((ROUNDDOWN(((((2*K307+31)*28)/100+5)),0))*1.1,0)</f>
        <v>77</v>
      </c>
      <c r="N308" s="4344"/>
      <c r="O308" s="4375" t="s">
        <v>519</v>
      </c>
      <c r="P308" s="630"/>
      <c r="Q308" s="631"/>
      <c r="R308" s="632">
        <f>ROUNDDOWN((ROUNDDOWN(((((2*P307+31)*27)/100+5)),0))*1,0)</f>
        <v>57</v>
      </c>
      <c r="S308" s="4344"/>
      <c r="T308" s="4376" t="s">
        <v>519</v>
      </c>
      <c r="U308" s="630"/>
      <c r="V308" s="631"/>
      <c r="W308" s="632">
        <f>ROUNDDOWN((ROUNDDOWN(((((2*U307+31)*27)/100+5)),0))*1.1,0)</f>
        <v>77</v>
      </c>
      <c r="X308" s="4377"/>
      <c r="Y308" s="4376" t="s">
        <v>519</v>
      </c>
      <c r="Z308" s="630"/>
      <c r="AA308" s="631"/>
      <c r="AB308" s="632">
        <f>ROUNDDOWN((ROUNDDOWN(((((2*Z307+31)*27)/100+5)),0))*1.1,0)</f>
        <v>59</v>
      </c>
      <c r="AC308" s="4377"/>
      <c r="AD308" s="4376" t="s">
        <v>519</v>
      </c>
      <c r="AE308" s="630"/>
      <c r="AF308" s="631"/>
      <c r="AG308" s="632">
        <f>ROUNDDOWN((ROUNDDOWN(((((2*AE307+31)*28)/100+5)),0))*1.1,0)</f>
        <v>63</v>
      </c>
      <c r="AH308" s="4378"/>
      <c r="AI308" s="4200"/>
    </row>
    <row r="309" ht="15.0" customHeight="1">
      <c r="A309" s="3446"/>
      <c r="B309" s="4379"/>
      <c r="C309" s="4380"/>
      <c r="D309" s="4381"/>
      <c r="E309" s="4382"/>
      <c r="F309" s="4382"/>
      <c r="G309" s="4382"/>
      <c r="H309" s="4382"/>
      <c r="I309" s="4383"/>
      <c r="J309" s="4384"/>
      <c r="K309" s="4384"/>
      <c r="L309" s="4384"/>
      <c r="M309" s="4382"/>
      <c r="N309" s="4383"/>
      <c r="O309" s="4384"/>
      <c r="P309" s="4384"/>
      <c r="Q309" s="4384"/>
      <c r="R309" s="4382"/>
      <c r="S309" s="4383"/>
      <c r="T309" s="4384"/>
      <c r="U309" s="4384"/>
      <c r="V309" s="4384"/>
      <c r="W309" s="4382"/>
      <c r="X309" s="4383"/>
      <c r="Y309" s="4384"/>
      <c r="Z309" s="4384"/>
      <c r="AA309" s="4384"/>
      <c r="AB309" s="4382"/>
      <c r="AC309" s="4381"/>
      <c r="AD309" s="4385"/>
      <c r="AE309" s="4385"/>
      <c r="AF309" s="4385"/>
      <c r="AG309" s="4381"/>
      <c r="AH309" s="4386"/>
      <c r="AI309" s="3452"/>
    </row>
    <row r="310" ht="15.0" customHeight="1">
      <c r="A310" s="3446"/>
      <c r="B310" s="4387"/>
      <c r="C310" s="4388"/>
      <c r="D310" s="4389"/>
      <c r="E310" s="4390"/>
      <c r="F310" s="4390"/>
      <c r="G310" s="4390"/>
      <c r="H310" s="4390"/>
      <c r="I310" s="4389"/>
      <c r="J310" s="4390"/>
      <c r="K310" s="4390"/>
      <c r="L310" s="4390"/>
      <c r="M310" s="4390"/>
      <c r="N310" s="4389"/>
      <c r="O310" s="4390"/>
      <c r="P310" s="4390"/>
      <c r="Q310" s="4390"/>
      <c r="R310" s="4390"/>
      <c r="S310" s="4389"/>
      <c r="T310" s="4390"/>
      <c r="U310" s="4390"/>
      <c r="V310" s="4390"/>
      <c r="W310" s="4390"/>
      <c r="X310" s="4389"/>
      <c r="Y310" s="4390"/>
      <c r="Z310" s="4390"/>
      <c r="AA310" s="4390"/>
      <c r="AB310" s="4390"/>
      <c r="AC310" s="4389"/>
      <c r="AD310" s="4389"/>
      <c r="AE310" s="4389"/>
      <c r="AF310" s="4389"/>
      <c r="AG310" s="4389"/>
      <c r="AH310" s="4391"/>
      <c r="AI310" s="3452"/>
    </row>
    <row r="311" ht="96.75" customHeight="1">
      <c r="A311" s="3446"/>
      <c r="B311" s="4392"/>
      <c r="C311" s="4393" t="str">
        <f>IMAGE("https://i.ibb.co/HxxTWRJ/Gentleman.png")</f>
        <v/>
      </c>
      <c r="D311" s="4394"/>
      <c r="E311" s="4126" t="str">
        <f t="array" ref="E311">IFERROR(VLOOKUP(E312,Dex!$B$3:$G1361,3,FALSE),"")</f>
        <v/>
      </c>
      <c r="F311" s="1945"/>
      <c r="G311" s="1945"/>
      <c r="H311" s="1946"/>
      <c r="I311" s="4395"/>
      <c r="J311" s="4126" t="str">
        <f t="array" ref="J311">IFERROR(VLOOKUP(J312,Dex!$B$3:$G1361,3,FALSE),"")</f>
        <v/>
      </c>
      <c r="K311" s="1945"/>
      <c r="L311" s="1945"/>
      <c r="M311" s="1946"/>
      <c r="N311" s="4395"/>
      <c r="O311" s="4126" t="str">
        <f t="array" ref="O311">IFERROR(VLOOKUP(O312,Dex!$B$3:$G1361,3,FALSE),"")</f>
        <v/>
      </c>
      <c r="P311" s="1945"/>
      <c r="Q311" s="1945"/>
      <c r="R311" s="1946"/>
      <c r="S311" s="4395"/>
      <c r="T311" s="4126" t="str">
        <f t="array" ref="T311">IFERROR(VLOOKUP(T312,Dex!$B$3:$G1361,3,FALSE),"")</f>
        <v/>
      </c>
      <c r="U311" s="1945"/>
      <c r="V311" s="1945"/>
      <c r="W311" s="1946"/>
      <c r="X311" s="4396"/>
      <c r="Y311" s="4126" t="str">
        <f t="array" ref="Y311">IFERROR(VLOOKUP(Y312,Dex!$B$3:$G1361,3,FALSE),"")</f>
        <v/>
      </c>
      <c r="Z311" s="1945"/>
      <c r="AA311" s="1945"/>
      <c r="AB311" s="1946"/>
      <c r="AC311" s="4397"/>
      <c r="AD311" s="4398"/>
      <c r="AE311" s="4160"/>
      <c r="AF311" s="4160"/>
      <c r="AG311" s="4169"/>
      <c r="AH311" s="4399"/>
      <c r="AI311" s="3452"/>
    </row>
    <row r="312" ht="18.75" customHeight="1">
      <c r="A312" s="3689"/>
      <c r="B312" s="4400"/>
      <c r="C312" s="4401" t="s">
        <v>1458</v>
      </c>
      <c r="D312" s="4402"/>
      <c r="E312" s="4134" t="s">
        <v>1459</v>
      </c>
      <c r="F312" s="4135"/>
      <c r="G312" s="4135"/>
      <c r="H312" s="4136"/>
      <c r="I312" s="4403"/>
      <c r="J312" s="4134" t="s">
        <v>268</v>
      </c>
      <c r="K312" s="4135"/>
      <c r="L312" s="4135"/>
      <c r="M312" s="4136"/>
      <c r="N312" s="4403"/>
      <c r="O312" s="4134" t="s">
        <v>164</v>
      </c>
      <c r="P312" s="4135"/>
      <c r="Q312" s="4135"/>
      <c r="R312" s="4136"/>
      <c r="S312" s="4403"/>
      <c r="T312" s="4134" t="s">
        <v>1460</v>
      </c>
      <c r="U312" s="4135"/>
      <c r="V312" s="4135"/>
      <c r="W312" s="4136"/>
      <c r="Y312" s="4134" t="s">
        <v>210</v>
      </c>
      <c r="Z312" s="4135"/>
      <c r="AA312" s="4135"/>
      <c r="AB312" s="4136"/>
      <c r="AC312" s="4404"/>
      <c r="AD312" s="4405"/>
      <c r="AE312" s="4160"/>
      <c r="AF312" s="4160"/>
      <c r="AG312" s="4169"/>
      <c r="AH312" s="4406"/>
      <c r="AI312" s="3700"/>
    </row>
    <row r="313">
      <c r="A313" s="3701"/>
      <c r="B313" s="4407"/>
      <c r="C313" s="1638"/>
      <c r="D313" s="4408"/>
      <c r="E313" s="4142" t="s">
        <v>796</v>
      </c>
      <c r="F313" s="4143"/>
      <c r="G313" s="4143"/>
      <c r="H313" s="4144"/>
      <c r="I313" s="4409"/>
      <c r="J313" s="4142" t="s">
        <v>729</v>
      </c>
      <c r="K313" s="4143"/>
      <c r="L313" s="4143"/>
      <c r="M313" s="4144"/>
      <c r="N313" s="4409"/>
      <c r="O313" s="4142" t="s">
        <v>967</v>
      </c>
      <c r="P313" s="4143"/>
      <c r="Q313" s="4143"/>
      <c r="R313" s="4144"/>
      <c r="S313" s="4409"/>
      <c r="T313" s="4142" t="s">
        <v>967</v>
      </c>
      <c r="U313" s="4143"/>
      <c r="V313" s="4143"/>
      <c r="W313" s="4144"/>
      <c r="Y313" s="4142" t="s">
        <v>729</v>
      </c>
      <c r="Z313" s="4143"/>
      <c r="AA313" s="4143"/>
      <c r="AB313" s="4144"/>
      <c r="AC313" s="4404"/>
      <c r="AD313" s="4410"/>
      <c r="AE313" s="4160"/>
      <c r="AF313" s="4160"/>
      <c r="AG313" s="4169"/>
      <c r="AH313" s="4411"/>
      <c r="AI313" s="3709"/>
    </row>
    <row r="314" ht="25.5" customHeight="1">
      <c r="A314" s="3446"/>
      <c r="B314" s="4392"/>
      <c r="C314" s="1646"/>
      <c r="D314" s="4412"/>
      <c r="E314" s="4147"/>
      <c r="F314" s="4151" t="str">
        <f t="array" ref="F314">IFERROR(VLOOKUP(E312,Dex!$B$3:$H1361,5,FALSE),"")</f>
        <v/>
      </c>
      <c r="G314" s="4152"/>
      <c r="H314" s="4150"/>
      <c r="I314" s="4412"/>
      <c r="J314" s="4147"/>
      <c r="K314" s="4148" t="str">
        <f t="array" ref="K314">IFERROR(VLOOKUP(J312,Dex!$B$3:$H1361,5,FALSE),"")</f>
        <v/>
      </c>
      <c r="L314" s="4149" t="str">
        <f t="array" ref="L314">IFERROR(VLOOKUP(J312,Dex!$B$3:$H1361,7,FALSE),"")</f>
        <v/>
      </c>
      <c r="M314" s="4150"/>
      <c r="N314" s="4412"/>
      <c r="O314" s="4147"/>
      <c r="P314" s="4148" t="str">
        <f t="array" ref="P314">IFERROR(VLOOKUP(O312,Dex!$B$3:$H1361,5,FALSE),"")</f>
        <v/>
      </c>
      <c r="Q314" s="4149" t="str">
        <f t="array" ref="Q314">IFERROR(VLOOKUP(O312,Dex!$B$3:$H1361,7,FALSE),"")</f>
        <v/>
      </c>
      <c r="R314" s="4150"/>
      <c r="S314" s="4412"/>
      <c r="T314" s="4147"/>
      <c r="U314" s="4148" t="str">
        <f t="array" ref="U314">IFERROR(VLOOKUP(T312,Dex!$B$3:$H1361,5,FALSE),"")</f>
        <v/>
      </c>
      <c r="V314" s="4149" t="str">
        <f t="array" ref="V314">IFERROR(VLOOKUP(T312,Dex!$B$3:$H1361,7,FALSE),"")</f>
        <v/>
      </c>
      <c r="W314" s="4150"/>
      <c r="Y314" s="4147"/>
      <c r="Z314" s="4151" t="str">
        <f t="array" ref="Z314">IFERROR(VLOOKUP(Y312,Dex!$B$3:$H1361,5,FALSE),"")</f>
        <v/>
      </c>
      <c r="AA314" s="4152"/>
      <c r="AB314" s="4150"/>
      <c r="AC314" s="4404"/>
      <c r="AD314" s="4398"/>
      <c r="AE314" s="4160"/>
      <c r="AF314" s="4160"/>
      <c r="AG314" s="4169"/>
      <c r="AH314" s="4399"/>
      <c r="AI314" s="3452"/>
    </row>
    <row r="315" ht="2.25" customHeight="1">
      <c r="A315" s="3446"/>
      <c r="B315" s="4413"/>
      <c r="C315" s="4414"/>
      <c r="D315" s="4415"/>
      <c r="E315" s="4153"/>
      <c r="F315" s="4154"/>
      <c r="G315" s="4154"/>
      <c r="H315" s="4155"/>
      <c r="I315" s="4415"/>
      <c r="J315" s="4153"/>
      <c r="K315" s="4154"/>
      <c r="L315" s="4154"/>
      <c r="M315" s="4155"/>
      <c r="N315" s="4415"/>
      <c r="O315" s="4153"/>
      <c r="P315" s="4154"/>
      <c r="Q315" s="4154"/>
      <c r="R315" s="4155"/>
      <c r="S315" s="4415"/>
      <c r="T315" s="4153"/>
      <c r="U315" s="4154"/>
      <c r="V315" s="4154"/>
      <c r="W315" s="4155"/>
      <c r="Y315" s="4153"/>
      <c r="Z315" s="4154"/>
      <c r="AA315" s="4154"/>
      <c r="AB315" s="4155"/>
      <c r="AC315" s="4404"/>
      <c r="AD315" s="4416"/>
      <c r="AE315" s="4416"/>
      <c r="AF315" s="4416"/>
      <c r="AG315" s="4416"/>
      <c r="AH315" s="4399"/>
      <c r="AI315" s="3452"/>
    </row>
    <row r="316" ht="20.25" customHeight="1">
      <c r="A316" s="3446"/>
      <c r="B316" s="4413"/>
      <c r="C316" s="4417"/>
      <c r="D316" s="4398"/>
      <c r="E316" s="4156" t="s">
        <v>564</v>
      </c>
      <c r="F316" s="4157"/>
      <c r="G316" s="4157"/>
      <c r="H316" s="4158"/>
      <c r="I316" s="4418"/>
      <c r="J316" s="4156" t="s">
        <v>532</v>
      </c>
      <c r="K316" s="4157"/>
      <c r="L316" s="4157"/>
      <c r="M316" s="4158"/>
      <c r="N316" s="4418"/>
      <c r="O316" s="4156" t="s">
        <v>564</v>
      </c>
      <c r="P316" s="4157"/>
      <c r="Q316" s="4157"/>
      <c r="R316" s="4158"/>
      <c r="S316" s="4418"/>
      <c r="T316" s="4156" t="s">
        <v>565</v>
      </c>
      <c r="U316" s="4157"/>
      <c r="V316" s="4157"/>
      <c r="W316" s="4158"/>
      <c r="Y316" s="4156" t="s">
        <v>532</v>
      </c>
      <c r="Z316" s="4157"/>
      <c r="AA316" s="4157"/>
      <c r="AB316" s="4158"/>
      <c r="AC316" s="4404"/>
      <c r="AD316" s="4398"/>
      <c r="AE316" s="4160"/>
      <c r="AF316" s="4160"/>
      <c r="AG316" s="4169"/>
      <c r="AH316" s="4399"/>
      <c r="AI316" s="3452"/>
    </row>
    <row r="317" ht="20.25" customHeight="1">
      <c r="A317" s="3446"/>
      <c r="B317" s="4413"/>
      <c r="C317" s="4419"/>
      <c r="D317" s="4398"/>
      <c r="E317" s="4159" t="s">
        <v>76</v>
      </c>
      <c r="F317" s="4160"/>
      <c r="G317" s="4160"/>
      <c r="H317" s="4161"/>
      <c r="I317" s="4418"/>
      <c r="J317" s="4159" t="s">
        <v>825</v>
      </c>
      <c r="K317" s="4160"/>
      <c r="L317" s="4160"/>
      <c r="M317" s="4161"/>
      <c r="N317" s="4418"/>
      <c r="O317" s="4159" t="s">
        <v>1461</v>
      </c>
      <c r="P317" s="4160"/>
      <c r="Q317" s="4160"/>
      <c r="R317" s="4161"/>
      <c r="S317" s="4418"/>
      <c r="T317" s="4159" t="s">
        <v>1378</v>
      </c>
      <c r="U317" s="4160"/>
      <c r="V317" s="4160"/>
      <c r="W317" s="4161"/>
      <c r="Y317" s="4159" t="s">
        <v>1462</v>
      </c>
      <c r="Z317" s="4160"/>
      <c r="AA317" s="4160"/>
      <c r="AB317" s="4161"/>
      <c r="AC317" s="4404"/>
      <c r="AD317" s="4398"/>
      <c r="AE317" s="4160"/>
      <c r="AF317" s="4160"/>
      <c r="AG317" s="4169"/>
      <c r="AH317" s="4399"/>
      <c r="AI317" s="3452"/>
    </row>
    <row r="318" ht="20.25" customHeight="1">
      <c r="A318" s="3446"/>
      <c r="B318" s="4413"/>
      <c r="C318" s="4420"/>
      <c r="D318" s="4398"/>
      <c r="E318" s="4163" t="s">
        <v>573</v>
      </c>
      <c r="F318" s="4164"/>
      <c r="G318" s="4165"/>
      <c r="H318" s="4166" t="str">
        <f>IMAGE("https://raw.githubusercontent.com/msikma/pokesprite/master/items/hold-item/focus-sash.png",3)</f>
        <v/>
      </c>
      <c r="I318" s="4398"/>
      <c r="J318" s="4163" t="s">
        <v>801</v>
      </c>
      <c r="K318" s="4164"/>
      <c r="L318" s="4165"/>
      <c r="M318" s="4166" t="str">
        <f>IMAGE("https://raw.githubusercontent.com/msikma/pokesprite/master/items/curry-ingredient/large-leek.png",3)</f>
        <v/>
      </c>
      <c r="N318" s="4398"/>
      <c r="O318" s="4163" t="s">
        <v>1052</v>
      </c>
      <c r="P318" s="4164"/>
      <c r="Q318" s="4165"/>
      <c r="R318" s="4166" t="str">
        <f>IMAGE("https://raw.githubusercontent.com/msikma/pokesprite/master/items/hold-item/sharp-beak.png",3)</f>
        <v/>
      </c>
      <c r="S318" s="4398"/>
      <c r="T318" s="4163" t="s">
        <v>1380</v>
      </c>
      <c r="U318" s="4164"/>
      <c r="V318" s="4165"/>
      <c r="W318" s="4166" t="str">
        <f>IMAGE("https://raw.githubusercontent.com/msikma/pokesprite/master/items/hold-item/light-ball.png",3)</f>
        <v/>
      </c>
      <c r="Y318" s="4163" t="s">
        <v>541</v>
      </c>
      <c r="Z318" s="4164"/>
      <c r="AA318" s="4165"/>
      <c r="AB318" s="4166" t="str">
        <f>IMAGE("https://raw.githubusercontent.com/msikma/pokesprite/master/items/hold-item/life-orb.png",3)</f>
        <v/>
      </c>
      <c r="AC318" s="4404"/>
      <c r="AD318" s="4398"/>
      <c r="AE318" s="4160"/>
      <c r="AF318" s="4160"/>
      <c r="AG318" s="4169"/>
      <c r="AH318" s="4399"/>
      <c r="AI318" s="3452"/>
    </row>
    <row r="319" ht="20.25" customHeight="1">
      <c r="A319" s="3446"/>
      <c r="B319" s="4413"/>
      <c r="C319" s="4421"/>
      <c r="D319" s="4398"/>
      <c r="E319" s="4156" t="s">
        <v>552</v>
      </c>
      <c r="F319" s="4157"/>
      <c r="G319" s="4167"/>
      <c r="H319" s="4168" t="str">
        <f>IMAGE("https://raw.githubusercontent.com/msikma/pokesprite/master/misc/types/gen8/psychic.png",4,20,20)</f>
        <v/>
      </c>
      <c r="I319" s="4398"/>
      <c r="J319" s="4156" t="s">
        <v>624</v>
      </c>
      <c r="K319" s="4157"/>
      <c r="L319" s="4167"/>
      <c r="M319" s="4168" t="str">
        <f>IMAGE("https://raw.githubusercontent.com/msikma/pokesprite/master/misc/types/gen8/fighting.png",4,20,20)</f>
        <v/>
      </c>
      <c r="N319" s="4398"/>
      <c r="O319" s="4156" t="s">
        <v>546</v>
      </c>
      <c r="P319" s="4157"/>
      <c r="Q319" s="4167"/>
      <c r="R319" s="4168" t="str">
        <f>IMAGE("https://raw.githubusercontent.com/msikma/pokesprite/master/misc/types/gen8/flying.png",4,20,20)</f>
        <v/>
      </c>
      <c r="S319" s="4398"/>
      <c r="T319" s="4156" t="s">
        <v>1322</v>
      </c>
      <c r="U319" s="4157"/>
      <c r="V319" s="4167"/>
      <c r="W319" s="4168" t="str">
        <f>IMAGE("https://raw.githubusercontent.com/msikma/pokesprite/master/misc/types/gen8/water.png",4,20,20)</f>
        <v/>
      </c>
      <c r="Y319" s="4156" t="s">
        <v>549</v>
      </c>
      <c r="Z319" s="4157"/>
      <c r="AA319" s="4167"/>
      <c r="AB319" s="4168" t="str">
        <f>IMAGE("https://raw.githubusercontent.com/msikma/pokesprite/master/misc/types/gen8/ground.png",4,20,20)</f>
        <v/>
      </c>
      <c r="AC319" s="4404"/>
      <c r="AD319" s="4398"/>
      <c r="AE319" s="4160"/>
      <c r="AF319" s="4160"/>
      <c r="AG319" s="4169"/>
      <c r="AH319" s="4399"/>
      <c r="AI319" s="3452"/>
    </row>
    <row r="320" ht="20.25" customHeight="1">
      <c r="A320" s="3446"/>
      <c r="B320" s="4413"/>
      <c r="C320" s="4417"/>
      <c r="D320" s="4398"/>
      <c r="E320" s="4159" t="s">
        <v>647</v>
      </c>
      <c r="F320" s="4160"/>
      <c r="G320" s="4169"/>
      <c r="H320" s="4170" t="str">
        <f>IMAGE("https://raw.githubusercontent.com/msikma/pokesprite/master/misc/types/gen8/ghost.png",4,20,20)</f>
        <v/>
      </c>
      <c r="I320" s="4398"/>
      <c r="J320" s="4159" t="s">
        <v>835</v>
      </c>
      <c r="K320" s="4160"/>
      <c r="L320" s="4169"/>
      <c r="M320" s="4170" t="str">
        <f>IMAGE("https://raw.githubusercontent.com/msikma/pokesprite/master/misc/types/gen8/dark.png",4,20,20)</f>
        <v/>
      </c>
      <c r="N320" s="4398"/>
      <c r="O320" s="4159" t="s">
        <v>649</v>
      </c>
      <c r="P320" s="4160"/>
      <c r="Q320" s="4169"/>
      <c r="R320" s="4170" t="str">
        <f>IMAGE("https://raw.githubusercontent.com/msikma/pokesprite/master/misc/types/gen8/water.png",4,20,20)</f>
        <v/>
      </c>
      <c r="S320" s="4398"/>
      <c r="T320" s="4159" t="s">
        <v>1163</v>
      </c>
      <c r="U320" s="4160"/>
      <c r="V320" s="4169"/>
      <c r="W320" s="4170" t="str">
        <f>IMAGE("https://raw.githubusercontent.com/msikma/pokesprite/master/misc/types/gen8/electric.png",4,20,20)</f>
        <v/>
      </c>
      <c r="Y320" s="4159" t="s">
        <v>588</v>
      </c>
      <c r="Z320" s="4160"/>
      <c r="AA320" s="4169"/>
      <c r="AB320" s="4170" t="str">
        <f>IMAGE("https://raw.githubusercontent.com/msikma/pokesprite/master/misc/types/gen8/rock.png",4,20,20)</f>
        <v/>
      </c>
      <c r="AC320" s="4404"/>
      <c r="AD320" s="4398"/>
      <c r="AE320" s="4160"/>
      <c r="AF320" s="4160"/>
      <c r="AG320" s="4169"/>
      <c r="AH320" s="4399"/>
      <c r="AI320" s="3452"/>
    </row>
    <row r="321" ht="20.25" customHeight="1">
      <c r="A321" s="3446"/>
      <c r="B321" s="4413"/>
      <c r="C321" s="4417"/>
      <c r="D321" s="4398"/>
      <c r="E321" s="4159" t="s">
        <v>775</v>
      </c>
      <c r="F321" s="4160"/>
      <c r="G321" s="4169"/>
      <c r="H321" s="4170" t="str">
        <f>IMAGE("https://raw.githubusercontent.com/msikma/pokesprite/master/misc/types/gen8/grass.png",4,20,20)</f>
        <v/>
      </c>
      <c r="I321" s="4398"/>
      <c r="J321" s="4159" t="s">
        <v>620</v>
      </c>
      <c r="K321" s="4160"/>
      <c r="L321" s="4169"/>
      <c r="M321" s="4170" t="str">
        <f>IMAGE("https://raw.githubusercontent.com/msikma/pokesprite/master/misc/types/gen8/steel.png",4,20,20)</f>
        <v/>
      </c>
      <c r="N321" s="4398"/>
      <c r="O321" s="4159" t="s">
        <v>670</v>
      </c>
      <c r="P321" s="4160"/>
      <c r="Q321" s="4169"/>
      <c r="R321" s="4170" t="str">
        <f>IMAGE("https://raw.githubusercontent.com/msikma/pokesprite/master/misc/types/gen8/ice.png",4,20,20)</f>
        <v/>
      </c>
      <c r="S321" s="4398"/>
      <c r="T321" s="4159" t="s">
        <v>958</v>
      </c>
      <c r="U321" s="4160"/>
      <c r="V321" s="4169"/>
      <c r="W321" s="4170" t="str">
        <f>IMAGE("https://raw.githubusercontent.com/msikma/pokesprite/master/misc/types/gen8/normal.png",4,20,20)</f>
        <v/>
      </c>
      <c r="Y321" s="4159" t="s">
        <v>835</v>
      </c>
      <c r="Z321" s="4160"/>
      <c r="AA321" s="4169"/>
      <c r="AB321" s="4170" t="str">
        <f>IMAGE("https://raw.githubusercontent.com/msikma/pokesprite/master/misc/types/gen8/dark.png",4,20,20)</f>
        <v/>
      </c>
      <c r="AC321" s="4404"/>
      <c r="AD321" s="4398"/>
      <c r="AE321" s="4160"/>
      <c r="AF321" s="4160"/>
      <c r="AG321" s="4169"/>
      <c r="AH321" s="4399"/>
      <c r="AI321" s="3452"/>
    </row>
    <row r="322" ht="21.0" customHeight="1">
      <c r="A322" s="3446"/>
      <c r="B322" s="4413"/>
      <c r="C322" s="4417"/>
      <c r="D322" s="4398"/>
      <c r="E322" s="4172" t="s">
        <v>1463</v>
      </c>
      <c r="F322" s="4173"/>
      <c r="G322" s="4174"/>
      <c r="H322" s="4175" t="str">
        <f>IMAGE("https://raw.githubusercontent.com/msikma/pokesprite/master/misc/types/gen8/fighting.png",4,20,20)</f>
        <v/>
      </c>
      <c r="I322" s="4398"/>
      <c r="J322" s="4172" t="s">
        <v>693</v>
      </c>
      <c r="K322" s="4173"/>
      <c r="L322" s="4174"/>
      <c r="M322" s="4175" t="str">
        <f>IMAGE("https://raw.githubusercontent.com/msikma/pokesprite/master/misc/types/gen8/flying.png",4,20,20)</f>
        <v/>
      </c>
      <c r="N322" s="4398"/>
      <c r="O322" s="4172" t="s">
        <v>1165</v>
      </c>
      <c r="P322" s="4173"/>
      <c r="Q322" s="4173"/>
      <c r="R322" s="4422"/>
      <c r="S322" s="4398"/>
      <c r="T322" s="4172" t="s">
        <v>579</v>
      </c>
      <c r="U322" s="4173"/>
      <c r="V322" s="4174"/>
      <c r="W322" s="4175" t="str">
        <f>IMAGE("https://raw.githubusercontent.com/msikma/pokesprite/master/misc/types/gen8/dark.png",4,20,20)</f>
        <v/>
      </c>
      <c r="X322" s="4423"/>
      <c r="Y322" s="4172" t="s">
        <v>802</v>
      </c>
      <c r="Z322" s="4173"/>
      <c r="AA322" s="4174"/>
      <c r="AB322" s="4175" t="str">
        <f>IMAGE("https://raw.githubusercontent.com/msikma/pokesprite/master/misc/types/gen8/flying.png",4,20,20)</f>
        <v/>
      </c>
      <c r="AC322" s="4424"/>
      <c r="AD322" s="4398"/>
      <c r="AE322" s="4160"/>
      <c r="AF322" s="4160"/>
      <c r="AG322" s="4169"/>
      <c r="AH322" s="4399"/>
      <c r="AI322" s="3452"/>
    </row>
    <row r="323" ht="3.0" customHeight="1">
      <c r="A323" s="3524"/>
      <c r="B323" s="4425"/>
      <c r="C323" s="4426"/>
      <c r="D323" s="4427"/>
      <c r="E323" s="4428"/>
      <c r="F323" s="4428"/>
      <c r="G323" s="4428"/>
      <c r="H323" s="4429"/>
      <c r="I323" s="4427"/>
      <c r="J323" s="4428"/>
      <c r="K323" s="4428"/>
      <c r="L323" s="4428"/>
      <c r="M323" s="4430"/>
      <c r="N323" s="4427"/>
      <c r="O323" s="4428"/>
      <c r="P323" s="4428"/>
      <c r="Q323" s="4428"/>
      <c r="R323" s="4430"/>
      <c r="S323" s="4427"/>
      <c r="T323" s="4428"/>
      <c r="U323" s="4428"/>
      <c r="V323" s="4428"/>
      <c r="W323" s="4430"/>
      <c r="X323" s="4427"/>
      <c r="Y323" s="4428"/>
      <c r="Z323" s="4428"/>
      <c r="AA323" s="4428"/>
      <c r="AB323" s="4430"/>
      <c r="AC323" s="4431"/>
      <c r="AD323" s="4431"/>
      <c r="AE323" s="4431"/>
      <c r="AF323" s="4431"/>
      <c r="AG323" s="4431"/>
      <c r="AH323" s="4432"/>
      <c r="AI323" s="3534"/>
    </row>
    <row r="324" ht="16.5" customHeight="1">
      <c r="A324" s="3535"/>
      <c r="B324" s="4433"/>
      <c r="C324" s="4426"/>
      <c r="D324" s="4434"/>
      <c r="E324" s="4192" t="s">
        <v>512</v>
      </c>
      <c r="F324" s="606"/>
      <c r="G324" s="606"/>
      <c r="H324" s="607"/>
      <c r="I324" s="4434"/>
      <c r="J324" s="4192" t="s">
        <v>512</v>
      </c>
      <c r="K324" s="606"/>
      <c r="L324" s="606"/>
      <c r="M324" s="607"/>
      <c r="N324" s="4434"/>
      <c r="O324" s="4192" t="s">
        <v>512</v>
      </c>
      <c r="P324" s="606"/>
      <c r="Q324" s="606"/>
      <c r="R324" s="607"/>
      <c r="S324" s="4434"/>
      <c r="T324" s="4192" t="s">
        <v>512</v>
      </c>
      <c r="U324" s="606"/>
      <c r="V324" s="606"/>
      <c r="W324" s="607"/>
      <c r="X324" s="4435"/>
      <c r="Y324" s="4192" t="s">
        <v>512</v>
      </c>
      <c r="Z324" s="606"/>
      <c r="AA324" s="606"/>
      <c r="AB324" s="607"/>
      <c r="AC324" s="4436"/>
      <c r="AD324" s="4436"/>
      <c r="AE324" s="4436"/>
      <c r="AF324" s="4436"/>
      <c r="AG324" s="4436"/>
      <c r="AH324" s="4437"/>
      <c r="AI324" s="3543"/>
    </row>
    <row r="325" ht="16.5" customHeight="1">
      <c r="A325" s="3535"/>
      <c r="B325" s="4433"/>
      <c r="C325" s="4426"/>
      <c r="D325" s="4438"/>
      <c r="E325" s="4202" t="s">
        <v>513</v>
      </c>
      <c r="F325" s="4203">
        <f t="array" ref="F325">IFERROR(VLOOKUP(E312,Dex!$B$3:$N1361,8,FALSE),"")</f>
        <v>55</v>
      </c>
      <c r="G325" s="4204" t="str">
        <f t="array" ref="G325">IFERROR(VLOOKUP(F325,Dex!$P$22:$Q$276,2,FALSE),"")</f>
        <v/>
      </c>
      <c r="H325" s="4205"/>
      <c r="I325" s="4438"/>
      <c r="J325" s="4202" t="s">
        <v>513</v>
      </c>
      <c r="K325" s="4203">
        <f t="array" ref="K325">IFERROR(VLOOKUP(J312,Dex!$B$3:$N1361,8,FALSE),"")</f>
        <v>75</v>
      </c>
      <c r="L325" s="4204" t="str">
        <f t="array" ref="L325">IFERROR(VLOOKUP(K325,Dex!$P$22:$Q$276,2,FALSE),"")</f>
        <v/>
      </c>
      <c r="M325" s="4205"/>
      <c r="N325" s="4438"/>
      <c r="O325" s="4202" t="s">
        <v>513</v>
      </c>
      <c r="P325" s="4203">
        <f t="array" ref="P325">IFERROR(VLOOKUP(O312,Dex!$B$3:$N1361,8,FALSE),"")</f>
        <v>75</v>
      </c>
      <c r="Q325" s="4204" t="str">
        <f t="array" ref="Q325">IFERROR(VLOOKUP(P325,Dex!$P$22:$Q$276,2,FALSE),"")</f>
        <v/>
      </c>
      <c r="R325" s="4205"/>
      <c r="S325" s="4438"/>
      <c r="T325" s="4202" t="s">
        <v>513</v>
      </c>
      <c r="U325" s="4203">
        <f t="array" ref="U325">IFERROR(VLOOKUP(T312,Dex!$B$3:$N1361,8,FALSE),"")</f>
        <v>35</v>
      </c>
      <c r="V325" s="4204" t="str">
        <f t="array" ref="V325">IFERROR(VLOOKUP(U325,Dex!$P$22:$Q$276,2,FALSE),"")</f>
        <v/>
      </c>
      <c r="W325" s="4205"/>
      <c r="X325" s="4435"/>
      <c r="Y325" s="4202" t="s">
        <v>513</v>
      </c>
      <c r="Z325" s="4203">
        <f t="array" ref="Z325">IFERROR(VLOOKUP(Y312,Dex!$B$3:$N1361,8,FALSE),"")</f>
        <v>35</v>
      </c>
      <c r="AA325" s="4204" t="str">
        <f t="array" ref="AA325">IFERROR(VLOOKUP(Z325,Dex!$P$22:$Q$276,2,FALSE),"")</f>
        <v/>
      </c>
      <c r="AB325" s="4205"/>
      <c r="AC325" s="4436"/>
      <c r="AD325" s="4436"/>
      <c r="AE325" s="4436"/>
      <c r="AF325" s="4436"/>
      <c r="AG325" s="4436"/>
      <c r="AH325" s="4437"/>
      <c r="AI325" s="3543"/>
    </row>
    <row r="326" ht="16.5" customHeight="1">
      <c r="A326" s="3535"/>
      <c r="B326" s="4433"/>
      <c r="C326" s="4426"/>
      <c r="D326" s="4438"/>
      <c r="E326" s="4207" t="s">
        <v>514</v>
      </c>
      <c r="F326" s="4208">
        <f t="array" ref="F326">IFERROR(VLOOKUP(E312,Dex!$B$3:$N1361,9,FALSE),"")</f>
        <v>50</v>
      </c>
      <c r="G326" s="4209" t="str">
        <f t="array" ref="G326">IFERROR(VLOOKUP(F326,Dex!$P$22:$Q$276,2,FALSE),"")</f>
        <v/>
      </c>
      <c r="H326" s="4210"/>
      <c r="I326" s="4438"/>
      <c r="J326" s="4207" t="s">
        <v>514</v>
      </c>
      <c r="K326" s="4208">
        <f t="array" ref="K326">IFERROR(VLOOKUP(J312,Dex!$B$3:$N1361,9,FALSE),"")</f>
        <v>90</v>
      </c>
      <c r="L326" s="4209" t="str">
        <f t="array" ref="L326">IFERROR(VLOOKUP(K326,Dex!$P$22:$Q$276,2,FALSE),"")</f>
        <v/>
      </c>
      <c r="M326" s="4210"/>
      <c r="N326" s="4438"/>
      <c r="O326" s="4207" t="s">
        <v>514</v>
      </c>
      <c r="P326" s="4208">
        <f t="array" ref="P326">IFERROR(VLOOKUP(O312,Dex!$B$3:$N1361,9,FALSE),"")</f>
        <v>77</v>
      </c>
      <c r="Q326" s="4209" t="str">
        <f t="array" ref="Q326">IFERROR(VLOOKUP(P326,Dex!$P$22:$Q$276,2,FALSE),"")</f>
        <v/>
      </c>
      <c r="R326" s="4210"/>
      <c r="S326" s="4438"/>
      <c r="T326" s="4207" t="s">
        <v>514</v>
      </c>
      <c r="U326" s="4208">
        <f t="array" ref="U326">IFERROR(VLOOKUP(T312,Dex!$B$3:$N1361,9,FALSE),"")</f>
        <v>55</v>
      </c>
      <c r="V326" s="4209" t="str">
        <f t="array" ref="V326">IFERROR(VLOOKUP(U326,Dex!$P$22:$Q$276,2,FALSE),"")</f>
        <v/>
      </c>
      <c r="W326" s="4210"/>
      <c r="X326" s="4435"/>
      <c r="Y326" s="4207" t="s">
        <v>514</v>
      </c>
      <c r="Z326" s="4208">
        <f t="array" ref="Z326">IFERROR(VLOOKUP(Y312,Dex!$B$3:$N1361,9,FALSE),"")</f>
        <v>100</v>
      </c>
      <c r="AA326" s="4209" t="str">
        <f t="array" ref="AA326">IFERROR(VLOOKUP(Z326,Dex!$P$22:$Q$276,2,FALSE),"")</f>
        <v/>
      </c>
      <c r="AB326" s="4210"/>
      <c r="AC326" s="4436"/>
      <c r="AD326" s="4436"/>
      <c r="AE326" s="4436"/>
      <c r="AF326" s="4436"/>
      <c r="AG326" s="4436"/>
      <c r="AH326" s="4437"/>
      <c r="AI326" s="3543"/>
    </row>
    <row r="327" ht="16.5" customHeight="1">
      <c r="A327" s="3535"/>
      <c r="B327" s="4433"/>
      <c r="C327" s="4426"/>
      <c r="D327" s="4438"/>
      <c r="E327" s="4207" t="s">
        <v>515</v>
      </c>
      <c r="F327" s="4208">
        <f t="array" ref="F327">IFERROR(VLOOKUP(E312,Dex!$B$3:$N1361,10,FALSE),"")</f>
        <v>45</v>
      </c>
      <c r="G327" s="4209" t="str">
        <f t="array" ref="G327">IFERROR(VLOOKUP(F327,Dex!$P$22:$Q$276,2,FALSE),"")</f>
        <v/>
      </c>
      <c r="H327" s="4210"/>
      <c r="I327" s="4438"/>
      <c r="J327" s="4207" t="s">
        <v>515</v>
      </c>
      <c r="K327" s="4208">
        <f t="array" ref="K327">IFERROR(VLOOKUP(J312,Dex!$B$3:$N1361,10,FALSE),"")</f>
        <v>70</v>
      </c>
      <c r="L327" s="4209" t="str">
        <f t="array" ref="L327">IFERROR(VLOOKUP(K327,Dex!$P$22:$Q$276,2,FALSE),"")</f>
        <v/>
      </c>
      <c r="M327" s="4210"/>
      <c r="N327" s="4438"/>
      <c r="O327" s="4207" t="s">
        <v>515</v>
      </c>
      <c r="P327" s="4208">
        <f t="array" ref="P327">IFERROR(VLOOKUP(O312,Dex!$B$3:$N1361,10,FALSE),"")</f>
        <v>63</v>
      </c>
      <c r="Q327" s="4209" t="str">
        <f t="array" ref="Q327">IFERROR(VLOOKUP(P327,Dex!$P$22:$Q$276,2,FALSE),"")</f>
        <v/>
      </c>
      <c r="R327" s="4210"/>
      <c r="S327" s="4438"/>
      <c r="T327" s="4207" t="s">
        <v>515</v>
      </c>
      <c r="U327" s="4208">
        <f t="array" ref="U327">IFERROR(VLOOKUP(T312,Dex!$B$3:$N1361,10,FALSE),"")</f>
        <v>40</v>
      </c>
      <c r="V327" s="4209" t="str">
        <f t="array" ref="V327">IFERROR(VLOOKUP(U327,Dex!$P$22:$Q$276,2,FALSE),"")</f>
        <v/>
      </c>
      <c r="W327" s="4210"/>
      <c r="X327" s="4435"/>
      <c r="Y327" s="4207" t="s">
        <v>515</v>
      </c>
      <c r="Z327" s="4208">
        <f t="array" ref="Z327">IFERROR(VLOOKUP(Y312,Dex!$B$3:$N1361,10,FALSE),"")</f>
        <v>50</v>
      </c>
      <c r="AA327" s="4209" t="str">
        <f t="array" ref="AA327">IFERROR(VLOOKUP(Z327,Dex!$P$22:$Q$276,2,FALSE),"")</f>
        <v/>
      </c>
      <c r="AB327" s="4210"/>
      <c r="AC327" s="4436"/>
      <c r="AD327" s="4436"/>
      <c r="AE327" s="4436"/>
      <c r="AF327" s="4436"/>
      <c r="AG327" s="4436"/>
      <c r="AH327" s="4437"/>
      <c r="AI327" s="3543"/>
    </row>
    <row r="328" ht="16.5" customHeight="1">
      <c r="A328" s="3535"/>
      <c r="B328" s="4433"/>
      <c r="C328" s="4426"/>
      <c r="D328" s="4438"/>
      <c r="E328" s="4207" t="s">
        <v>516</v>
      </c>
      <c r="F328" s="4208">
        <f t="array" ref="F328">IFERROR(VLOOKUP(E312,Dex!$B$3:$N1361,11,FALSE),"")</f>
        <v>135</v>
      </c>
      <c r="G328" s="4209" t="str">
        <f t="array" ref="G328">IFERROR(VLOOKUP(F328,Dex!$P$22:$Q$276,2,FALSE),"")</f>
        <v/>
      </c>
      <c r="H328" s="4210"/>
      <c r="I328" s="4438"/>
      <c r="J328" s="4207" t="s">
        <v>516</v>
      </c>
      <c r="K328" s="4208">
        <f t="array" ref="K328">IFERROR(VLOOKUP(J312,Dex!$B$3:$N1361,11,FALSE),"")</f>
        <v>58</v>
      </c>
      <c r="L328" s="4209" t="str">
        <f t="array" ref="L328">IFERROR(VLOOKUP(K328,Dex!$P$22:$Q$276,2,FALSE),"")</f>
        <v/>
      </c>
      <c r="M328" s="4210"/>
      <c r="N328" s="4438"/>
      <c r="O328" s="4207" t="s">
        <v>516</v>
      </c>
      <c r="P328" s="4208">
        <f t="array" ref="P328">IFERROR(VLOOKUP(O312,Dex!$B$3:$N1361,11,FALSE),"")</f>
        <v>97</v>
      </c>
      <c r="Q328" s="4209" t="str">
        <f t="array" ref="Q328">IFERROR(VLOOKUP(P328,Dex!$P$22:$Q$276,2,FALSE),"")</f>
        <v/>
      </c>
      <c r="R328" s="4210"/>
      <c r="S328" s="4438"/>
      <c r="T328" s="4207" t="s">
        <v>516</v>
      </c>
      <c r="U328" s="4208">
        <f t="array" ref="U328">IFERROR(VLOOKUP(T312,Dex!$B$3:$N1361,11,FALSE),"")</f>
        <v>50</v>
      </c>
      <c r="V328" s="4209" t="str">
        <f t="array" ref="V328">IFERROR(VLOOKUP(U328,Dex!$P$22:$Q$276,2,FALSE),"")</f>
        <v/>
      </c>
      <c r="W328" s="4210"/>
      <c r="X328" s="4435"/>
      <c r="Y328" s="4207" t="s">
        <v>516</v>
      </c>
      <c r="Z328" s="4208">
        <f t="array" ref="Z328">IFERROR(VLOOKUP(Y312,Dex!$B$3:$N1361,11,FALSE),"")</f>
        <v>50</v>
      </c>
      <c r="AA328" s="4209" t="str">
        <f t="array" ref="AA328">IFERROR(VLOOKUP(Z328,Dex!$P$22:$Q$276,2,FALSE),"")</f>
        <v/>
      </c>
      <c r="AB328" s="4210"/>
      <c r="AC328" s="4436"/>
      <c r="AD328" s="4436"/>
      <c r="AE328" s="4436"/>
      <c r="AF328" s="4436"/>
      <c r="AG328" s="4436"/>
      <c r="AH328" s="4437"/>
      <c r="AI328" s="3543"/>
    </row>
    <row r="329" ht="16.5" customHeight="1">
      <c r="A329" s="3535"/>
      <c r="B329" s="4433"/>
      <c r="C329" s="4426"/>
      <c r="D329" s="4438"/>
      <c r="E329" s="4207" t="s">
        <v>517</v>
      </c>
      <c r="F329" s="4208">
        <f t="array" ref="F329">IFERROR(VLOOKUP(E312,Dex!$B$3:$N1361,12,FALSE),"")</f>
        <v>95</v>
      </c>
      <c r="G329" s="4209" t="str">
        <f t="array" ref="G329">IFERROR(VLOOKUP(F329,Dex!$P$22:$Q$276,2,FALSE),"")</f>
        <v/>
      </c>
      <c r="H329" s="4210"/>
      <c r="I329" s="4438"/>
      <c r="J329" s="4207" t="s">
        <v>517</v>
      </c>
      <c r="K329" s="4208">
        <f t="array" ref="K329">IFERROR(VLOOKUP(J312,Dex!$B$3:$N1361,12,FALSE),"")</f>
        <v>77</v>
      </c>
      <c r="L329" s="4209" t="str">
        <f t="array" ref="L329">IFERROR(VLOOKUP(K329,Dex!$P$22:$Q$276,2,FALSE),"")</f>
        <v/>
      </c>
      <c r="M329" s="4210"/>
      <c r="N329" s="4438"/>
      <c r="O329" s="4207" t="s">
        <v>517</v>
      </c>
      <c r="P329" s="4208">
        <f t="array" ref="P329">IFERROR(VLOOKUP(O312,Dex!$B$3:$N1361,12,FALSE),"")</f>
        <v>63</v>
      </c>
      <c r="Q329" s="4209" t="str">
        <f t="array" ref="Q329">IFERROR(VLOOKUP(P329,Dex!$P$22:$Q$276,2,FALSE),"")</f>
        <v/>
      </c>
      <c r="R329" s="4210"/>
      <c r="S329" s="4438"/>
      <c r="T329" s="4207" t="s">
        <v>517</v>
      </c>
      <c r="U329" s="4208">
        <f t="array" ref="U329">IFERROR(VLOOKUP(T312,Dex!$B$3:$N1361,12,FALSE),"")</f>
        <v>50</v>
      </c>
      <c r="V329" s="4209" t="str">
        <f t="array" ref="V329">IFERROR(VLOOKUP(U329,Dex!$P$22:$Q$276,2,FALSE),"")</f>
        <v/>
      </c>
      <c r="W329" s="4210"/>
      <c r="X329" s="4435"/>
      <c r="Y329" s="4207" t="s">
        <v>517</v>
      </c>
      <c r="Z329" s="4208">
        <f t="array" ref="Z329">IFERROR(VLOOKUP(Y312,Dex!$B$3:$N1361,12,FALSE),"")</f>
        <v>70</v>
      </c>
      <c r="AA329" s="4209" t="str">
        <f t="array" ref="AA329">IFERROR(VLOOKUP(Z329,Dex!$P$22:$Q$276,2,FALSE),"")</f>
        <v/>
      </c>
      <c r="AB329" s="4210"/>
      <c r="AC329" s="4436"/>
      <c r="AD329" s="4436"/>
      <c r="AE329" s="4436"/>
      <c r="AF329" s="4436"/>
      <c r="AG329" s="4436"/>
      <c r="AH329" s="4437"/>
      <c r="AI329" s="3543"/>
    </row>
    <row r="330" ht="15.75" customHeight="1">
      <c r="A330" s="3535"/>
      <c r="B330" s="4433"/>
      <c r="C330" s="1426" t="s">
        <v>745</v>
      </c>
      <c r="D330" s="4438"/>
      <c r="E330" s="4215" t="s">
        <v>518</v>
      </c>
      <c r="F330" s="4216">
        <f t="array" ref="F330">IFERROR(VLOOKUP(E312,Dex!$B$3:$N1361,13,FALSE),"")</f>
        <v>120</v>
      </c>
      <c r="G330" s="4217" t="str">
        <f t="array" ref="G330">IFERROR(VLOOKUP(F330,Dex!$P$22:$Q$276,2,FALSE),"")</f>
        <v/>
      </c>
      <c r="H330" s="4218"/>
      <c r="I330" s="4438"/>
      <c r="J330" s="4215" t="s">
        <v>518</v>
      </c>
      <c r="K330" s="4216">
        <f t="array" ref="K330">IFERROR(VLOOKUP(J312,Dex!$B$3:$N1361,13,FALSE),"")</f>
        <v>65</v>
      </c>
      <c r="L330" s="4217" t="str">
        <f t="array" ref="L330">IFERROR(VLOOKUP(K330,Dex!$P$22:$Q$276,2,FALSE),"")</f>
        <v/>
      </c>
      <c r="M330" s="4218"/>
      <c r="N330" s="4438"/>
      <c r="O330" s="4215" t="s">
        <v>518</v>
      </c>
      <c r="P330" s="4216">
        <f t="array" ref="P330">IFERROR(VLOOKUP(O312,Dex!$B$3:$N1361,13,FALSE),"")</f>
        <v>108</v>
      </c>
      <c r="Q330" s="4217" t="str">
        <f t="array" ref="Q330">IFERROR(VLOOKUP(P330,Dex!$P$22:$Q$276,2,FALSE),"")</f>
        <v/>
      </c>
      <c r="R330" s="4218"/>
      <c r="S330" s="4438"/>
      <c r="T330" s="4215" t="s">
        <v>518</v>
      </c>
      <c r="U330" s="4216">
        <f t="array" ref="U330">IFERROR(VLOOKUP(T312,Dex!$B$3:$N1361,13,FALSE),"")</f>
        <v>90</v>
      </c>
      <c r="V330" s="4217" t="str">
        <f t="array" ref="V330">IFERROR(VLOOKUP(U330,Dex!$P$22:$Q$276,2,FALSE),"")</f>
        <v/>
      </c>
      <c r="W330" s="4218"/>
      <c r="X330" s="4435"/>
      <c r="Y330" s="4215" t="s">
        <v>518</v>
      </c>
      <c r="Z330" s="4216">
        <f t="array" ref="Z330">IFERROR(VLOOKUP(Y312,Dex!$B$3:$N1361,13,FALSE),"")</f>
        <v>120</v>
      </c>
      <c r="AA330" s="4217" t="str">
        <f t="array" ref="AA330">IFERROR(VLOOKUP(Z330,Dex!$P$22:$Q$276,2,FALSE),"")</f>
        <v/>
      </c>
      <c r="AB330" s="4218"/>
      <c r="AC330" s="4436"/>
      <c r="AD330" s="4436"/>
      <c r="AE330" s="4436"/>
      <c r="AF330" s="4436"/>
      <c r="AG330" s="4436"/>
      <c r="AH330" s="4437"/>
      <c r="AI330" s="3543"/>
    </row>
    <row r="331" ht="16.5" customHeight="1">
      <c r="A331" s="3535"/>
      <c r="B331" s="4439"/>
      <c r="C331" s="1427" t="s">
        <v>880</v>
      </c>
      <c r="D331" s="4440"/>
      <c r="E331" s="4220" t="s">
        <v>519</v>
      </c>
      <c r="F331" s="630"/>
      <c r="G331" s="631"/>
      <c r="H331" s="632">
        <f>ROUNDDOWN((ROUNDDOWN(((((2*F330+30)*34)/100+5)),0))*1.1,0)</f>
        <v>105</v>
      </c>
      <c r="I331" s="4440"/>
      <c r="J331" s="4220" t="s">
        <v>519</v>
      </c>
      <c r="K331" s="630"/>
      <c r="L331" s="631"/>
      <c r="M331" s="632">
        <f>ROUNDDOWN((ROUNDDOWN(((((2*K330+31)*36)/100+5)),0))*1.1,0)</f>
        <v>68</v>
      </c>
      <c r="N331" s="4440"/>
      <c r="O331" s="4220" t="s">
        <v>519</v>
      </c>
      <c r="P331" s="630"/>
      <c r="Q331" s="631"/>
      <c r="R331" s="632">
        <f>ROUNDDOWN((ROUNDDOWN(((((2*P330+31)*35)/100+5)),0))*1.1,0)</f>
        <v>100</v>
      </c>
      <c r="S331" s="4440"/>
      <c r="T331" s="4220" t="s">
        <v>519</v>
      </c>
      <c r="U331" s="630"/>
      <c r="V331" s="631"/>
      <c r="W331" s="632">
        <f>ROUNDDOWN((ROUNDDOWN(((((2*U330+31)*35)/100+5)),0))*1.1,0)</f>
        <v>85</v>
      </c>
      <c r="X331" s="4435"/>
      <c r="Y331" s="4220" t="s">
        <v>519</v>
      </c>
      <c r="Z331" s="630"/>
      <c r="AA331" s="631"/>
      <c r="AB331" s="632">
        <f>ROUNDDOWN((ROUNDDOWN(((((2*Z330+31)*36)/100+5)),0))*1.1,0)</f>
        <v>112</v>
      </c>
      <c r="AC331" s="4436"/>
      <c r="AD331" s="4436"/>
      <c r="AE331" s="4436"/>
      <c r="AF331" s="4436"/>
      <c r="AG331" s="4436"/>
      <c r="AH331" s="4437"/>
      <c r="AI331" s="3543"/>
    </row>
    <row r="332" ht="16.5" customHeight="1">
      <c r="A332" s="3535"/>
      <c r="B332" s="4441"/>
      <c r="C332" s="4426"/>
      <c r="D332" s="4442"/>
      <c r="E332" s="4443"/>
      <c r="F332" s="4443"/>
      <c r="G332" s="4443"/>
      <c r="H332" s="4443"/>
      <c r="I332" s="4442"/>
      <c r="J332" s="4220" t="s">
        <v>815</v>
      </c>
      <c r="K332" s="630"/>
      <c r="L332" s="631"/>
      <c r="M332" s="1715">
        <f>ROUNDDOWN(M331*1.5,0)</f>
        <v>102</v>
      </c>
      <c r="N332" s="4442"/>
      <c r="O332" s="4443"/>
      <c r="P332" s="4443"/>
      <c r="Q332" s="4443"/>
      <c r="R332" s="4443"/>
      <c r="S332" s="4442"/>
      <c r="T332" s="4443"/>
      <c r="U332" s="4443"/>
      <c r="V332" s="4443"/>
      <c r="W332" s="4443"/>
      <c r="X332" s="4444"/>
      <c r="Y332" s="4443"/>
      <c r="Z332" s="4443"/>
      <c r="AA332" s="4443"/>
      <c r="AB332" s="4443"/>
      <c r="AC332" s="4443"/>
      <c r="AD332" s="4443"/>
      <c r="AE332" s="4443"/>
      <c r="AF332" s="4443"/>
      <c r="AG332" s="4443"/>
      <c r="AH332" s="4445"/>
      <c r="AI332" s="3543"/>
    </row>
    <row r="333" ht="15.0" customHeight="1">
      <c r="A333" s="3446"/>
      <c r="B333" s="4446"/>
      <c r="C333" s="4447"/>
      <c r="D333" s="4448"/>
      <c r="E333" s="4449"/>
      <c r="F333" s="4449"/>
      <c r="G333" s="4449"/>
      <c r="H333" s="4449"/>
      <c r="I333" s="4448"/>
      <c r="J333" s="4449"/>
      <c r="K333" s="4449"/>
      <c r="L333" s="4449"/>
      <c r="M333" s="4449"/>
      <c r="N333" s="4448"/>
      <c r="O333" s="4449"/>
      <c r="P333" s="4449"/>
      <c r="Q333" s="4449"/>
      <c r="R333" s="4449"/>
      <c r="S333" s="4448"/>
      <c r="T333" s="4448"/>
      <c r="U333" s="4448"/>
      <c r="V333" s="4448"/>
      <c r="W333" s="4448"/>
      <c r="X333" s="4448"/>
      <c r="Y333" s="4448"/>
      <c r="Z333" s="4448"/>
      <c r="AA333" s="4448"/>
      <c r="AB333" s="4448"/>
      <c r="AC333" s="4448"/>
      <c r="AD333" s="4448"/>
      <c r="AE333" s="4448"/>
      <c r="AF333" s="4448"/>
      <c r="AG333" s="4448"/>
      <c r="AH333" s="4450"/>
      <c r="AI333" s="3452"/>
    </row>
    <row r="334" ht="15.0" customHeight="1">
      <c r="A334" s="3446"/>
      <c r="B334" s="3995"/>
      <c r="C334" s="3996"/>
      <c r="D334" s="3996"/>
      <c r="E334" s="4099"/>
      <c r="F334" s="4099"/>
      <c r="G334" s="4099"/>
      <c r="H334" s="4099"/>
      <c r="I334" s="3996"/>
      <c r="J334" s="4099"/>
      <c r="K334" s="4099"/>
      <c r="L334" s="4099"/>
      <c r="M334" s="4099"/>
      <c r="N334" s="3996"/>
      <c r="O334" s="4099"/>
      <c r="P334" s="4099"/>
      <c r="Q334" s="4099"/>
      <c r="R334" s="4099"/>
      <c r="S334" s="3996"/>
      <c r="T334" s="4099"/>
      <c r="U334" s="4099"/>
      <c r="V334" s="4099"/>
      <c r="W334" s="4099"/>
      <c r="X334" s="3996"/>
      <c r="Y334" s="3996"/>
      <c r="Z334" s="3996"/>
      <c r="AA334" s="3996"/>
      <c r="AB334" s="3996"/>
      <c r="AC334" s="3996"/>
      <c r="AD334" s="3996"/>
      <c r="AE334" s="3996"/>
      <c r="AF334" s="3996"/>
      <c r="AG334" s="3996"/>
      <c r="AH334" s="3997"/>
      <c r="AI334" s="3452"/>
    </row>
    <row r="335" ht="96.75" customHeight="1">
      <c r="A335" s="3446"/>
      <c r="B335" s="3998"/>
      <c r="C335" s="3999" t="str">
        <f>IMAGE("https://i.ibb.co/LSRVQF1/Picnicker.png")</f>
        <v/>
      </c>
      <c r="D335" s="4102"/>
      <c r="E335" s="4451" t="str">
        <f t="array" ref="E335">IFERROR(VLOOKUP(E336,Dex!$B$3:$G1361,3,FALSE),"")</f>
        <v/>
      </c>
      <c r="F335" s="606"/>
      <c r="G335" s="606"/>
      <c r="H335" s="4452"/>
      <c r="I335" s="4103"/>
      <c r="J335" s="4451" t="str">
        <f t="array" ref="J335">IFERROR(VLOOKUP(J336,Dex!$B$3:$G1361,3,FALSE),"")</f>
        <v/>
      </c>
      <c r="K335" s="606"/>
      <c r="L335" s="606"/>
      <c r="M335" s="4452"/>
      <c r="N335" s="4103"/>
      <c r="O335" s="4451" t="str">
        <f t="array" ref="O335">IFERROR(VLOOKUP(O336,Dex!$B$3:$G1361,3,FALSE),"")</f>
        <v/>
      </c>
      <c r="P335" s="606"/>
      <c r="Q335" s="606"/>
      <c r="R335" s="4452"/>
      <c r="S335" s="4104"/>
      <c r="T335" s="4451" t="str">
        <f t="array" ref="T335">IFERROR(VLOOKUP(T336,Dex!$B$3:$G1361,3,FALSE),"")</f>
        <v/>
      </c>
      <c r="U335" s="606"/>
      <c r="V335" s="606"/>
      <c r="W335" s="4452"/>
      <c r="X335" s="4105"/>
      <c r="Y335" s="4004"/>
      <c r="Z335" s="4005"/>
      <c r="AA335" s="4005"/>
      <c r="AB335" s="4006"/>
      <c r="AC335" s="4003"/>
      <c r="AD335" s="4004"/>
      <c r="AE335" s="4005"/>
      <c r="AF335" s="4005"/>
      <c r="AG335" s="4006"/>
      <c r="AH335" s="4007"/>
      <c r="AI335" s="3452"/>
    </row>
    <row r="336" ht="18.75" customHeight="1">
      <c r="A336" s="3689"/>
      <c r="B336" s="4008"/>
      <c r="C336" s="4009" t="s">
        <v>1464</v>
      </c>
      <c r="D336" s="4106"/>
      <c r="E336" s="4011" t="s">
        <v>1465</v>
      </c>
      <c r="F336" s="4012"/>
      <c r="G336" s="4012"/>
      <c r="H336" s="4013"/>
      <c r="J336" s="4011" t="s">
        <v>1466</v>
      </c>
      <c r="K336" s="4012"/>
      <c r="L336" s="4012"/>
      <c r="M336" s="4013"/>
      <c r="O336" s="4011" t="s">
        <v>1467</v>
      </c>
      <c r="P336" s="4012"/>
      <c r="Q336" s="4012"/>
      <c r="R336" s="4013"/>
      <c r="T336" s="4011" t="s">
        <v>223</v>
      </c>
      <c r="U336" s="4012"/>
      <c r="V336" s="4012"/>
      <c r="W336" s="4013"/>
      <c r="X336" s="4107"/>
      <c r="Y336" s="4015"/>
      <c r="Z336" s="4005"/>
      <c r="AA336" s="4005"/>
      <c r="AB336" s="4006"/>
      <c r="AC336" s="4014"/>
      <c r="AD336" s="4015"/>
      <c r="AE336" s="4005"/>
      <c r="AF336" s="4005"/>
      <c r="AG336" s="4006"/>
      <c r="AH336" s="4016"/>
      <c r="AI336" s="3700"/>
    </row>
    <row r="337">
      <c r="A337" s="3701"/>
      <c r="B337" s="4017"/>
      <c r="C337" s="1638"/>
      <c r="D337" s="4108"/>
      <c r="E337" s="4019" t="s">
        <v>796</v>
      </c>
      <c r="F337" s="4020"/>
      <c r="G337" s="4020"/>
      <c r="H337" s="4021"/>
      <c r="J337" s="4019" t="s">
        <v>967</v>
      </c>
      <c r="K337" s="4020"/>
      <c r="L337" s="4020"/>
      <c r="M337" s="4021"/>
      <c r="O337" s="4019" t="s">
        <v>729</v>
      </c>
      <c r="P337" s="4020"/>
      <c r="Q337" s="4020"/>
      <c r="R337" s="4021"/>
      <c r="T337" s="4019" t="s">
        <v>729</v>
      </c>
      <c r="U337" s="4020"/>
      <c r="V337" s="4020"/>
      <c r="W337" s="4021"/>
      <c r="X337" s="4107"/>
      <c r="Y337" s="4022"/>
      <c r="Z337" s="4005"/>
      <c r="AA337" s="4005"/>
      <c r="AB337" s="4006"/>
      <c r="AC337" s="4014"/>
      <c r="AD337" s="4022"/>
      <c r="AE337" s="4005"/>
      <c r="AF337" s="4005"/>
      <c r="AG337" s="4006"/>
      <c r="AH337" s="4023"/>
      <c r="AI337" s="3709"/>
    </row>
    <row r="338" ht="25.5" customHeight="1">
      <c r="A338" s="3446"/>
      <c r="B338" s="3998"/>
      <c r="C338" s="1646"/>
      <c r="D338" s="4024"/>
      <c r="E338" s="4025"/>
      <c r="F338" s="4029" t="str">
        <f t="array" ref="F338">IFERROR(VLOOKUP(E336,Dex!$B$3:$H1361,5,FALSE),"")</f>
        <v/>
      </c>
      <c r="G338" s="4030" t="str">
        <f t="array" ref="G338">IFERROR(VLOOKUP(E336,Dex!$B$3:$H1361,7,FALSE),"")</f>
        <v/>
      </c>
      <c r="H338" s="4028"/>
      <c r="J338" s="4025"/>
      <c r="K338" s="4029" t="str">
        <f t="array" ref="K338">IFERROR(VLOOKUP(J336,Dex!$B$3:$H1361,5,FALSE),"")</f>
        <v/>
      </c>
      <c r="L338" s="4030" t="str">
        <f t="array" ref="L338">IFERROR(VLOOKUP(J336,Dex!$B$3:$H1361,7,FALSE),"")</f>
        <v/>
      </c>
      <c r="M338" s="4028"/>
      <c r="O338" s="4025"/>
      <c r="P338" s="4026" t="str">
        <f t="array" ref="P338">IFERROR(VLOOKUP(O336,Dex!$B$3:$H1361,5,FALSE),"")</f>
        <v/>
      </c>
      <c r="Q338" s="4027"/>
      <c r="R338" s="4028"/>
      <c r="T338" s="4025"/>
      <c r="U338" s="4029" t="str">
        <f t="array" ref="U338">IFERROR(VLOOKUP(T336,Dex!$B$3:$H1361,5,FALSE),"")</f>
        <v/>
      </c>
      <c r="V338" s="4030" t="str">
        <f t="array" ref="V338">IFERROR(VLOOKUP(T336,Dex!$B$3:$H1361,7,FALSE),"")</f>
        <v/>
      </c>
      <c r="W338" s="4028"/>
      <c r="X338" s="4107"/>
      <c r="Y338" s="4004"/>
      <c r="Z338" s="4005"/>
      <c r="AA338" s="4005"/>
      <c r="AB338" s="4006"/>
      <c r="AC338" s="4014"/>
      <c r="AD338" s="4004"/>
      <c r="AE338" s="4005"/>
      <c r="AF338" s="4005"/>
      <c r="AG338" s="4006"/>
      <c r="AH338" s="4007"/>
      <c r="AI338" s="3452"/>
    </row>
    <row r="339" ht="2.25" customHeight="1">
      <c r="A339" s="3446"/>
      <c r="B339" s="3998"/>
      <c r="C339" s="4031"/>
      <c r="D339" s="4024"/>
      <c r="E339" s="4032"/>
      <c r="F339" s="4033"/>
      <c r="G339" s="4033"/>
      <c r="H339" s="4034"/>
      <c r="J339" s="4032"/>
      <c r="K339" s="4033"/>
      <c r="L339" s="4033"/>
      <c r="M339" s="4034"/>
      <c r="O339" s="4032"/>
      <c r="P339" s="4033"/>
      <c r="Q339" s="4033"/>
      <c r="R339" s="4034"/>
      <c r="T339" s="4032"/>
      <c r="U339" s="4033"/>
      <c r="V339" s="4033"/>
      <c r="W339" s="4034"/>
      <c r="X339" s="4107"/>
      <c r="Y339" s="4024"/>
      <c r="Z339" s="4024"/>
      <c r="AA339" s="4024"/>
      <c r="AB339" s="4024"/>
      <c r="AC339" s="4014"/>
      <c r="AD339" s="4024"/>
      <c r="AE339" s="4024"/>
      <c r="AF339" s="4024"/>
      <c r="AG339" s="4024"/>
      <c r="AH339" s="4007"/>
      <c r="AI339" s="3452"/>
    </row>
    <row r="340" ht="20.25" customHeight="1">
      <c r="A340" s="3446"/>
      <c r="B340" s="3998"/>
      <c r="C340" s="4031"/>
      <c r="D340" s="4004"/>
      <c r="E340" s="4035" t="s">
        <v>564</v>
      </c>
      <c r="F340" s="4036"/>
      <c r="G340" s="4036"/>
      <c r="H340" s="4037"/>
      <c r="J340" s="4035" t="s">
        <v>532</v>
      </c>
      <c r="K340" s="4036"/>
      <c r="L340" s="4036"/>
      <c r="M340" s="4037"/>
      <c r="O340" s="4035" t="s">
        <v>532</v>
      </c>
      <c r="P340" s="4036"/>
      <c r="Q340" s="4036"/>
      <c r="R340" s="4037"/>
      <c r="T340" s="4035" t="s">
        <v>564</v>
      </c>
      <c r="U340" s="4036"/>
      <c r="V340" s="4036"/>
      <c r="W340" s="4037"/>
      <c r="X340" s="4107"/>
      <c r="Y340" s="4004"/>
      <c r="Z340" s="4005"/>
      <c r="AA340" s="4005"/>
      <c r="AB340" s="4006"/>
      <c r="AC340" s="4014"/>
      <c r="AD340" s="4004"/>
      <c r="AE340" s="4005"/>
      <c r="AF340" s="4005"/>
      <c r="AG340" s="4006"/>
      <c r="AH340" s="4007"/>
      <c r="AI340" s="3452"/>
    </row>
    <row r="341" ht="20.25" customHeight="1">
      <c r="A341" s="3446"/>
      <c r="B341" s="3998"/>
      <c r="C341" s="4038"/>
      <c r="D341" s="4004"/>
      <c r="E341" s="4039" t="s">
        <v>826</v>
      </c>
      <c r="F341" s="4005"/>
      <c r="G341" s="4005"/>
      <c r="H341" s="4040"/>
      <c r="J341" s="4039" t="s">
        <v>1145</v>
      </c>
      <c r="K341" s="4005"/>
      <c r="L341" s="4005"/>
      <c r="M341" s="4040"/>
      <c r="O341" s="4039" t="s">
        <v>1468</v>
      </c>
      <c r="P341" s="4005"/>
      <c r="Q341" s="4005"/>
      <c r="R341" s="4040"/>
      <c r="T341" s="4039" t="s">
        <v>605</v>
      </c>
      <c r="U341" s="4005"/>
      <c r="V341" s="4005"/>
      <c r="W341" s="4040"/>
      <c r="X341" s="4107"/>
      <c r="Y341" s="4004"/>
      <c r="Z341" s="4005"/>
      <c r="AA341" s="4005"/>
      <c r="AB341" s="4006"/>
      <c r="AC341" s="4014"/>
      <c r="AD341" s="4004"/>
      <c r="AE341" s="4005"/>
      <c r="AF341" s="4005"/>
      <c r="AG341" s="4006"/>
      <c r="AH341" s="4007"/>
      <c r="AI341" s="3452"/>
    </row>
    <row r="342" ht="20.25" customHeight="1">
      <c r="A342" s="3446"/>
      <c r="B342" s="3998"/>
      <c r="C342" s="4014"/>
      <c r="D342" s="4004"/>
      <c r="E342" s="4041" t="s">
        <v>573</v>
      </c>
      <c r="F342" s="4042"/>
      <c r="G342" s="4043"/>
      <c r="H342" s="4044" t="str">
        <f>IMAGE("https://raw.githubusercontent.com/msikma/pokesprite/master/items/hold-item/focus-sash.png",3)</f>
        <v/>
      </c>
      <c r="J342" s="4041" t="s">
        <v>541</v>
      </c>
      <c r="K342" s="4042"/>
      <c r="L342" s="4043"/>
      <c r="M342" s="4044" t="str">
        <f>IMAGE("https://raw.githubusercontent.com/msikma/pokesprite/master/items/hold-item/life-orb.png",3)</f>
        <v/>
      </c>
      <c r="O342" s="4041" t="s">
        <v>956</v>
      </c>
      <c r="P342" s="4042"/>
      <c r="Q342" s="4043"/>
      <c r="R342" s="4044" t="str">
        <f>IMAGE("https://raw.githubusercontent.com/msikma/pokesprite/master/items/hold-item/toxic-orb.png",3)</f>
        <v/>
      </c>
      <c r="T342" s="4041" t="s">
        <v>1160</v>
      </c>
      <c r="U342" s="4042"/>
      <c r="V342" s="4043"/>
      <c r="W342" s="4044" t="str">
        <f>IMAGE("https://raw.githubusercontent.com/msikma/pokesprite/master/items/hold-item/silk-scarf.png",3)</f>
        <v/>
      </c>
      <c r="X342" s="4107"/>
      <c r="Y342" s="4004"/>
      <c r="Z342" s="4005"/>
      <c r="AA342" s="4005"/>
      <c r="AB342" s="4006"/>
      <c r="AC342" s="4014"/>
      <c r="AD342" s="4004"/>
      <c r="AE342" s="4005"/>
      <c r="AF342" s="4005"/>
      <c r="AG342" s="4006"/>
      <c r="AH342" s="4007"/>
      <c r="AI342" s="3452"/>
    </row>
    <row r="343" ht="20.25" customHeight="1">
      <c r="A343" s="3446"/>
      <c r="B343" s="3998"/>
      <c r="C343" s="4045"/>
      <c r="D343" s="4004"/>
      <c r="E343" s="4035" t="s">
        <v>1368</v>
      </c>
      <c r="F343" s="4036"/>
      <c r="G343" s="4046"/>
      <c r="H343" s="4047" t="str">
        <f>IMAGE("https://raw.githubusercontent.com/msikma/pokesprite/master/misc/types/gen8/poison.png",4,20,20)</f>
        <v/>
      </c>
      <c r="J343" s="4035" t="s">
        <v>1306</v>
      </c>
      <c r="K343" s="4036"/>
      <c r="L343" s="4046"/>
      <c r="M343" s="4047" t="str">
        <f>IMAGE("https://raw.githubusercontent.com/msikma/pokesprite/master/misc/types/gen8/water.png",4,20,20)</f>
        <v/>
      </c>
      <c r="O343" s="4035" t="s">
        <v>141</v>
      </c>
      <c r="P343" s="4036"/>
      <c r="Q343" s="4046"/>
      <c r="R343" s="4047" t="str">
        <f t="shared" ref="R343:R344" si="7">IMAGE("https://raw.githubusercontent.com/msikma/pokesprite/master/misc/types/gen8/fire.png",4,20,20)</f>
        <v/>
      </c>
      <c r="T343" s="4035" t="s">
        <v>1469</v>
      </c>
      <c r="U343" s="4036"/>
      <c r="V343" s="4046"/>
      <c r="W343" s="4047" t="str">
        <f>IMAGE("https://raw.githubusercontent.com/msikma/pokesprite/master/misc/types/gen8/flying.png",4,20,20)</f>
        <v/>
      </c>
      <c r="X343" s="4107"/>
      <c r="Y343" s="4004"/>
      <c r="Z343" s="4005"/>
      <c r="AA343" s="4005"/>
      <c r="AB343" s="4006"/>
      <c r="AC343" s="4014"/>
      <c r="AD343" s="4004"/>
      <c r="AE343" s="4005"/>
      <c r="AF343" s="4005"/>
      <c r="AG343" s="4006"/>
      <c r="AH343" s="4007"/>
      <c r="AI343" s="3452"/>
    </row>
    <row r="344" ht="20.25" customHeight="1">
      <c r="A344" s="3446"/>
      <c r="B344" s="3998"/>
      <c r="C344" s="4031"/>
      <c r="D344" s="4004"/>
      <c r="E344" s="4039" t="s">
        <v>510</v>
      </c>
      <c r="F344" s="4005"/>
      <c r="G344" s="4006"/>
      <c r="H344" s="4048" t="str">
        <f>IMAGE("https://raw.githubusercontent.com/msikma/pokesprite/master/misc/types/gen8/grass.png",4,20,20)</f>
        <v/>
      </c>
      <c r="J344" s="4039" t="s">
        <v>939</v>
      </c>
      <c r="K344" s="4005"/>
      <c r="L344" s="4006"/>
      <c r="M344" s="4048" t="str">
        <f>IMAGE("https://raw.githubusercontent.com/msikma/pokesprite/master/misc/types/gen8/psychic.png",4,20,20)</f>
        <v/>
      </c>
      <c r="O344" s="4039" t="s">
        <v>690</v>
      </c>
      <c r="P344" s="4005"/>
      <c r="Q344" s="4006"/>
      <c r="R344" s="4048" t="str">
        <f t="shared" si="7"/>
        <v/>
      </c>
      <c r="T344" s="4039" t="s">
        <v>610</v>
      </c>
      <c r="U344" s="4005"/>
      <c r="V344" s="4006"/>
      <c r="W344" s="4048" t="str">
        <f>IMAGE("https://raw.githubusercontent.com/msikma/pokesprite/master/misc/types/gen8/normal.png",4,20,20)</f>
        <v/>
      </c>
      <c r="X344" s="4107"/>
      <c r="Y344" s="4004"/>
      <c r="Z344" s="4005"/>
      <c r="AA344" s="4005"/>
      <c r="AB344" s="4006"/>
      <c r="AC344" s="4014"/>
      <c r="AD344" s="4004"/>
      <c r="AE344" s="4005"/>
      <c r="AF344" s="4005"/>
      <c r="AG344" s="4006"/>
      <c r="AH344" s="4007"/>
      <c r="AI344" s="3452"/>
    </row>
    <row r="345" ht="20.25" customHeight="1">
      <c r="A345" s="3446"/>
      <c r="B345" s="3998"/>
      <c r="C345" s="4031"/>
      <c r="D345" s="4004"/>
      <c r="E345" s="4039" t="s">
        <v>671</v>
      </c>
      <c r="F345" s="4005"/>
      <c r="G345" s="4006"/>
      <c r="H345" s="4048" t="str">
        <f>IMAGE("https://raw.githubusercontent.com/msikma/pokesprite/master/misc/types/gen8/fire.png",4,20,20)</f>
        <v/>
      </c>
      <c r="J345" s="4039" t="s">
        <v>762</v>
      </c>
      <c r="K345" s="4005"/>
      <c r="L345" s="4006"/>
      <c r="M345" s="4048" t="str">
        <f>IMAGE("https://raw.githubusercontent.com/msikma/pokesprite/master/misc/types/gen8/dark.png",4,20,20)</f>
        <v/>
      </c>
      <c r="O345" s="4039" t="s">
        <v>511</v>
      </c>
      <c r="P345" s="4005"/>
      <c r="Q345" s="4006"/>
      <c r="R345" s="4048" t="str">
        <f>IMAGE("https://raw.githubusercontent.com/msikma/pokesprite/master/misc/types/gen8/normal.png",4,20,20)</f>
        <v/>
      </c>
      <c r="T345" s="4039" t="s">
        <v>1243</v>
      </c>
      <c r="U345" s="4005"/>
      <c r="V345" s="4006"/>
      <c r="W345" s="4048" t="str">
        <f>IMAGE("https://raw.githubusercontent.com/msikma/pokesprite/master/misc/types/gen8/fire.png",4,20,20)</f>
        <v/>
      </c>
      <c r="X345" s="4107"/>
      <c r="Y345" s="4004"/>
      <c r="Z345" s="4005"/>
      <c r="AA345" s="4005"/>
      <c r="AB345" s="4006"/>
      <c r="AC345" s="4014"/>
      <c r="AD345" s="4004"/>
      <c r="AE345" s="4005"/>
      <c r="AF345" s="4005"/>
      <c r="AG345" s="4006"/>
      <c r="AH345" s="4007"/>
      <c r="AI345" s="3452"/>
    </row>
    <row r="346" ht="21.0" customHeight="1">
      <c r="A346" s="3446"/>
      <c r="B346" s="3998"/>
      <c r="C346" s="4031"/>
      <c r="D346" s="4004"/>
      <c r="E346" s="4049" t="s">
        <v>987</v>
      </c>
      <c r="F346" s="4050"/>
      <c r="G346" s="4051"/>
      <c r="H346" s="4052" t="str">
        <f>IMAGE("https://raw.githubusercontent.com/msikma/pokesprite/master/misc/types/gen8/grass.png",4,20,20)</f>
        <v/>
      </c>
      <c r="I346" s="4109"/>
      <c r="J346" s="4049" t="s">
        <v>974</v>
      </c>
      <c r="K346" s="4050"/>
      <c r="L346" s="4051"/>
      <c r="M346" s="4052" t="str">
        <f>IMAGE("https://raw.githubusercontent.com/msikma/pokesprite/master/misc/types/gen8/water.png",4,20,20)</f>
        <v/>
      </c>
      <c r="N346" s="4109"/>
      <c r="O346" s="4049" t="s">
        <v>1177</v>
      </c>
      <c r="P346" s="4050"/>
      <c r="Q346" s="4051"/>
      <c r="R346" s="4052" t="str">
        <f>IMAGE("https://raw.githubusercontent.com/msikma/pokesprite/master/misc/types/gen8/ground.png",4,20,20)</f>
        <v/>
      </c>
      <c r="S346" s="4109"/>
      <c r="T346" s="4049" t="s">
        <v>612</v>
      </c>
      <c r="U346" s="4050"/>
      <c r="V346" s="4051"/>
      <c r="W346" s="4052" t="str">
        <f>IMAGE("https://raw.githubusercontent.com/msikma/pokesprite/master/misc/types/gen8/bug.png",4,20,20)</f>
        <v/>
      </c>
      <c r="X346" s="4110"/>
      <c r="Y346" s="4004"/>
      <c r="Z346" s="4005"/>
      <c r="AA346" s="4005"/>
      <c r="AB346" s="4006"/>
      <c r="AC346" s="4045"/>
      <c r="AD346" s="4004"/>
      <c r="AE346" s="4005"/>
      <c r="AF346" s="4005"/>
      <c r="AG346" s="4006"/>
      <c r="AH346" s="4007"/>
      <c r="AI346" s="3452"/>
    </row>
    <row r="347" ht="3.0" customHeight="1">
      <c r="A347" s="3524"/>
      <c r="B347" s="4053"/>
      <c r="C347" s="4054"/>
      <c r="D347" s="4055"/>
      <c r="E347" s="4112"/>
      <c r="F347" s="4112"/>
      <c r="G347" s="4112"/>
      <c r="H347" s="4056"/>
      <c r="I347" s="4055"/>
      <c r="J347" s="4112"/>
      <c r="K347" s="4112"/>
      <c r="L347" s="4112"/>
      <c r="M347" s="4111"/>
      <c r="N347" s="4055"/>
      <c r="O347" s="4112"/>
      <c r="P347" s="4112"/>
      <c r="Q347" s="4112"/>
      <c r="R347" s="4111"/>
      <c r="S347" s="4056"/>
      <c r="T347" s="4112"/>
      <c r="U347" s="4112"/>
      <c r="V347" s="4112"/>
      <c r="W347" s="4111"/>
      <c r="X347" s="4055"/>
      <c r="Y347" s="4055"/>
      <c r="Z347" s="4058"/>
      <c r="AA347" s="4058"/>
      <c r="AB347" s="4059"/>
      <c r="AC347" s="4059"/>
      <c r="AD347" s="4059"/>
      <c r="AE347" s="4059"/>
      <c r="AF347" s="4059"/>
      <c r="AG347" s="4059"/>
      <c r="AH347" s="4060"/>
      <c r="AI347" s="3534"/>
    </row>
    <row r="348" ht="16.5" customHeight="1">
      <c r="A348" s="3535"/>
      <c r="B348" s="4061"/>
      <c r="C348" s="4054"/>
      <c r="D348" s="4064"/>
      <c r="E348" s="4063" t="s">
        <v>512</v>
      </c>
      <c r="F348" s="606"/>
      <c r="G348" s="606"/>
      <c r="H348" s="607"/>
      <c r="I348" s="4064"/>
      <c r="J348" s="4063" t="s">
        <v>512</v>
      </c>
      <c r="K348" s="606"/>
      <c r="L348" s="606"/>
      <c r="M348" s="607"/>
      <c r="N348" s="4064"/>
      <c r="O348" s="4063" t="s">
        <v>512</v>
      </c>
      <c r="P348" s="606"/>
      <c r="Q348" s="606"/>
      <c r="R348" s="607"/>
      <c r="S348" s="4453"/>
      <c r="T348" s="4063" t="s">
        <v>512</v>
      </c>
      <c r="U348" s="606"/>
      <c r="V348" s="606"/>
      <c r="W348" s="607"/>
      <c r="X348" s="4067"/>
      <c r="Y348" s="4067"/>
      <c r="Z348" s="4062"/>
      <c r="AA348" s="4062"/>
      <c r="AB348" s="4067"/>
      <c r="AC348" s="4067"/>
      <c r="AD348" s="4067"/>
      <c r="AE348" s="4067"/>
      <c r="AF348" s="4067"/>
      <c r="AG348" s="4067"/>
      <c r="AH348" s="4068"/>
      <c r="AI348" s="3543"/>
    </row>
    <row r="349" ht="16.5" customHeight="1">
      <c r="A349" s="3535"/>
      <c r="B349" s="4061"/>
      <c r="C349" s="4054"/>
      <c r="D349" s="4062"/>
      <c r="E349" s="4069" t="s">
        <v>513</v>
      </c>
      <c r="F349" s="4070">
        <f t="array" ref="F349">IFERROR(VLOOKUP(E336,Dex!$B$3:$N1361,8,FALSE),"")</f>
        <v>60</v>
      </c>
      <c r="G349" s="4071" t="str">
        <f t="array" ref="G349">IFERROR(VLOOKUP(F349,Dex!$P$22:$Q$276,2,FALSE),"")</f>
        <v/>
      </c>
      <c r="H349" s="4072"/>
      <c r="I349" s="4062"/>
      <c r="J349" s="4069" t="s">
        <v>513</v>
      </c>
      <c r="K349" s="4070">
        <f t="array" ref="K349">IFERROR(VLOOKUP(J336,Dex!$B$3:$N1361,8,FALSE),"")</f>
        <v>68</v>
      </c>
      <c r="L349" s="4071" t="str">
        <f t="array" ref="L349">IFERROR(VLOOKUP(K349,Dex!$P$22:$Q$276,2,FALSE),"")</f>
        <v/>
      </c>
      <c r="M349" s="4072"/>
      <c r="N349" s="4062"/>
      <c r="O349" s="4069" t="s">
        <v>513</v>
      </c>
      <c r="P349" s="4070">
        <f t="array" ref="P349">IFERROR(VLOOKUP(O336,Dex!$B$3:$N1361,8,FALSE),"")</f>
        <v>65</v>
      </c>
      <c r="Q349" s="4071" t="str">
        <f t="array" ref="Q349">IFERROR(VLOOKUP(P349,Dex!$P$22:$Q$276,2,FALSE),"")</f>
        <v/>
      </c>
      <c r="R349" s="4072"/>
      <c r="S349" s="4073"/>
      <c r="T349" s="4069" t="s">
        <v>513</v>
      </c>
      <c r="U349" s="4070">
        <f t="array" ref="U349">IFERROR(VLOOKUP(T336,Dex!$B$3:$N1361,8,FALSE),"")</f>
        <v>76</v>
      </c>
      <c r="V349" s="4071" t="str">
        <f t="array" ref="V349">IFERROR(VLOOKUP(U349,Dex!$P$22:$Q$276,2,FALSE),"")</f>
        <v/>
      </c>
      <c r="W349" s="4072"/>
      <c r="X349" s="4067"/>
      <c r="Y349" s="4067"/>
      <c r="Z349" s="4062"/>
      <c r="AA349" s="4062"/>
      <c r="AB349" s="4067"/>
      <c r="AC349" s="4067"/>
      <c r="AD349" s="4067"/>
      <c r="AE349" s="4067"/>
      <c r="AF349" s="4067"/>
      <c r="AG349" s="4067"/>
      <c r="AH349" s="4068"/>
      <c r="AI349" s="3543"/>
    </row>
    <row r="350" ht="16.5" customHeight="1">
      <c r="A350" s="3535"/>
      <c r="B350" s="4061"/>
      <c r="C350" s="4054"/>
      <c r="D350" s="4062"/>
      <c r="E350" s="4075" t="s">
        <v>514</v>
      </c>
      <c r="F350" s="4076">
        <f t="array" ref="F350">IFERROR(VLOOKUP(E336,Dex!$B$3:$N1361,9,FALSE),"")</f>
        <v>70</v>
      </c>
      <c r="G350" s="4077" t="str">
        <f t="array" ref="G350">IFERROR(VLOOKUP(F350,Dex!$P$22:$Q$276,2,FALSE),"")</f>
        <v/>
      </c>
      <c r="H350" s="4078"/>
      <c r="I350" s="4062"/>
      <c r="J350" s="4075" t="s">
        <v>514</v>
      </c>
      <c r="K350" s="4076">
        <f t="array" ref="K350">IFERROR(VLOOKUP(J336,Dex!$B$3:$N1361,9,FALSE),"")</f>
        <v>105</v>
      </c>
      <c r="L350" s="4077" t="str">
        <f t="array" ref="L350">IFERROR(VLOOKUP(K350,Dex!$P$22:$Q$276,2,FALSE),"")</f>
        <v/>
      </c>
      <c r="M350" s="4078"/>
      <c r="N350" s="4062"/>
      <c r="O350" s="4075" t="s">
        <v>514</v>
      </c>
      <c r="P350" s="4076">
        <f t="array" ref="P350">IFERROR(VLOOKUP(O336,Dex!$B$3:$N1361,9,FALSE),"")</f>
        <v>130</v>
      </c>
      <c r="Q350" s="4077" t="str">
        <f t="array" ref="Q350">IFERROR(VLOOKUP(P350,Dex!$P$22:$Q$276,2,FALSE),"")</f>
        <v/>
      </c>
      <c r="R350" s="4078"/>
      <c r="S350" s="4073"/>
      <c r="T350" s="4075" t="s">
        <v>514</v>
      </c>
      <c r="U350" s="4076">
        <f t="array" ref="U350">IFERROR(VLOOKUP(T336,Dex!$B$3:$N1361,9,FALSE),"")</f>
        <v>65</v>
      </c>
      <c r="V350" s="4077" t="str">
        <f t="array" ref="V350">IFERROR(VLOOKUP(U350,Dex!$P$22:$Q$276,2,FALSE),"")</f>
        <v/>
      </c>
      <c r="W350" s="4078"/>
      <c r="X350" s="4067"/>
      <c r="Y350" s="4067"/>
      <c r="Z350" s="4062"/>
      <c r="AA350" s="4062"/>
      <c r="AB350" s="4067"/>
      <c r="AC350" s="4067"/>
      <c r="AD350" s="4067"/>
      <c r="AE350" s="4067"/>
      <c r="AF350" s="4067"/>
      <c r="AG350" s="4067"/>
      <c r="AH350" s="4068"/>
      <c r="AI350" s="3543"/>
    </row>
    <row r="351" ht="16.5" customHeight="1">
      <c r="A351" s="3535"/>
      <c r="B351" s="4061"/>
      <c r="C351" s="4054"/>
      <c r="D351" s="4062"/>
      <c r="E351" s="4075" t="s">
        <v>515</v>
      </c>
      <c r="F351" s="4076">
        <f t="array" ref="F351">IFERROR(VLOOKUP(E336,Dex!$B$3:$N1361,10,FALSE),"")</f>
        <v>65</v>
      </c>
      <c r="G351" s="4077" t="str">
        <f t="array" ref="G351">IFERROR(VLOOKUP(F351,Dex!$P$22:$Q$276,2,FALSE),"")</f>
        <v/>
      </c>
      <c r="H351" s="4078"/>
      <c r="I351" s="4062"/>
      <c r="J351" s="4075" t="s">
        <v>515</v>
      </c>
      <c r="K351" s="4076">
        <f t="array" ref="K351">IFERROR(VLOOKUP(J336,Dex!$B$3:$N1361,10,FALSE),"")</f>
        <v>70</v>
      </c>
      <c r="L351" s="4077" t="str">
        <f t="array" ref="L351">IFERROR(VLOOKUP(K351,Dex!$P$22:$Q$276,2,FALSE),"")</f>
        <v/>
      </c>
      <c r="M351" s="4078"/>
      <c r="N351" s="4062"/>
      <c r="O351" s="4075" t="s">
        <v>515</v>
      </c>
      <c r="P351" s="4076">
        <f t="array" ref="P351">IFERROR(VLOOKUP(O336,Dex!$B$3:$N1361,10,FALSE),"")</f>
        <v>70</v>
      </c>
      <c r="Q351" s="4077" t="str">
        <f t="array" ref="Q351">IFERROR(VLOOKUP(P351,Dex!$P$22:$Q$276,2,FALSE),"")</f>
        <v/>
      </c>
      <c r="R351" s="4078"/>
      <c r="S351" s="4073"/>
      <c r="T351" s="4075" t="s">
        <v>515</v>
      </c>
      <c r="U351" s="4076">
        <f t="array" ref="U351">IFERROR(VLOOKUP(T336,Dex!$B$3:$N1361,10,FALSE),"")</f>
        <v>45</v>
      </c>
      <c r="V351" s="4077" t="str">
        <f t="array" ref="V351">IFERROR(VLOOKUP(U351,Dex!$P$22:$Q$276,2,FALSE),"")</f>
        <v/>
      </c>
      <c r="W351" s="4078"/>
      <c r="X351" s="4067"/>
      <c r="Y351" s="4067"/>
      <c r="Z351" s="4062"/>
      <c r="AA351" s="4062"/>
      <c r="AB351" s="4067"/>
      <c r="AC351" s="4067"/>
      <c r="AD351" s="4067"/>
      <c r="AE351" s="4067"/>
      <c r="AF351" s="4067"/>
      <c r="AG351" s="4067"/>
      <c r="AH351" s="4068"/>
      <c r="AI351" s="3543"/>
    </row>
    <row r="352" ht="16.5" customHeight="1">
      <c r="A352" s="3535"/>
      <c r="B352" s="4061"/>
      <c r="C352" s="4054"/>
      <c r="D352" s="4062"/>
      <c r="E352" s="4075" t="s">
        <v>516</v>
      </c>
      <c r="F352" s="4076">
        <f t="array" ref="F352">IFERROR(VLOOKUP(E336,Dex!$B$3:$N1361,11,FALSE),"")</f>
        <v>125</v>
      </c>
      <c r="G352" s="4077" t="str">
        <f t="array" ref="G352">IFERROR(VLOOKUP(F352,Dex!$P$22:$Q$276,2,FALSE),"")</f>
        <v/>
      </c>
      <c r="H352" s="4078"/>
      <c r="I352" s="4062"/>
      <c r="J352" s="4075" t="s">
        <v>516</v>
      </c>
      <c r="K352" s="4076">
        <f t="array" ref="K352">IFERROR(VLOOKUP(J336,Dex!$B$3:$N1361,11,FALSE),"")</f>
        <v>70</v>
      </c>
      <c r="L352" s="4077" t="str">
        <f t="array" ref="L352">IFERROR(VLOOKUP(K352,Dex!$P$22:$Q$276,2,FALSE),"")</f>
        <v/>
      </c>
      <c r="M352" s="4078"/>
      <c r="N352" s="4062"/>
      <c r="O352" s="4075" t="s">
        <v>516</v>
      </c>
      <c r="P352" s="4076">
        <f t="array" ref="P352">IFERROR(VLOOKUP(O336,Dex!$B$3:$N1361,11,FALSE),"")</f>
        <v>65</v>
      </c>
      <c r="Q352" s="4077" t="str">
        <f t="array" ref="Q352">IFERROR(VLOOKUP(P352,Dex!$P$22:$Q$276,2,FALSE),"")</f>
        <v/>
      </c>
      <c r="R352" s="4078"/>
      <c r="S352" s="4073"/>
      <c r="T352" s="4075" t="s">
        <v>516</v>
      </c>
      <c r="U352" s="4076">
        <f t="array" ref="U352">IFERROR(VLOOKUP(T336,Dex!$B$3:$N1361,11,FALSE),"")</f>
        <v>92</v>
      </c>
      <c r="V352" s="4077" t="str">
        <f t="array" ref="V352">IFERROR(VLOOKUP(U352,Dex!$P$22:$Q$276,2,FALSE),"")</f>
        <v/>
      </c>
      <c r="W352" s="4078"/>
      <c r="X352" s="4067"/>
      <c r="Y352" s="4067"/>
      <c r="Z352" s="4062"/>
      <c r="AA352" s="4062"/>
      <c r="AB352" s="4067"/>
      <c r="AC352" s="4067"/>
      <c r="AD352" s="4067"/>
      <c r="AE352" s="4067"/>
      <c r="AF352" s="4067"/>
      <c r="AG352" s="4067"/>
      <c r="AH352" s="4068"/>
      <c r="AI352" s="3543"/>
    </row>
    <row r="353" ht="16.5" customHeight="1">
      <c r="A353" s="3535"/>
      <c r="B353" s="4061"/>
      <c r="C353" s="4054"/>
      <c r="D353" s="4062"/>
      <c r="E353" s="4075" t="s">
        <v>517</v>
      </c>
      <c r="F353" s="4076">
        <f t="array" ref="F353">IFERROR(VLOOKUP(E336,Dex!$B$3:$N1361,12,FALSE),"")</f>
        <v>105</v>
      </c>
      <c r="G353" s="4077" t="str">
        <f t="array" ref="G353">IFERROR(VLOOKUP(F353,Dex!$P$22:$Q$276,2,FALSE),"")</f>
        <v/>
      </c>
      <c r="H353" s="4078"/>
      <c r="I353" s="4062"/>
      <c r="J353" s="4075" t="s">
        <v>517</v>
      </c>
      <c r="K353" s="4076">
        <f t="array" ref="K353">IFERROR(VLOOKUP(J336,Dex!$B$3:$N1361,12,FALSE),"")</f>
        <v>70</v>
      </c>
      <c r="L353" s="4077" t="str">
        <f t="array" ref="L353">IFERROR(VLOOKUP(K353,Dex!$P$22:$Q$276,2,FALSE),"")</f>
        <v/>
      </c>
      <c r="M353" s="4078"/>
      <c r="N353" s="4062"/>
      <c r="O353" s="4075" t="s">
        <v>517</v>
      </c>
      <c r="P353" s="4076">
        <f t="array" ref="P353">IFERROR(VLOOKUP(O336,Dex!$B$3:$N1361,12,FALSE),"")</f>
        <v>100</v>
      </c>
      <c r="Q353" s="4077" t="str">
        <f t="array" ref="Q353">IFERROR(VLOOKUP(P353,Dex!$P$22:$Q$276,2,FALSE),"")</f>
        <v/>
      </c>
      <c r="R353" s="4078"/>
      <c r="S353" s="4073"/>
      <c r="T353" s="4075" t="s">
        <v>517</v>
      </c>
      <c r="U353" s="4076">
        <f t="array" ref="U353">IFERROR(VLOOKUP(T336,Dex!$B$3:$N1361,12,FALSE),"")</f>
        <v>42</v>
      </c>
      <c r="V353" s="4077" t="str">
        <f t="array" ref="V353">IFERROR(VLOOKUP(U353,Dex!$P$22:$Q$276,2,FALSE),"")</f>
        <v/>
      </c>
      <c r="W353" s="4078"/>
      <c r="X353" s="4067"/>
      <c r="Y353" s="4067"/>
      <c r="Z353" s="4062"/>
      <c r="AA353" s="4062"/>
      <c r="AB353" s="4067"/>
      <c r="AC353" s="4067"/>
      <c r="AD353" s="4067"/>
      <c r="AE353" s="4067"/>
      <c r="AF353" s="4067"/>
      <c r="AG353" s="4067"/>
      <c r="AH353" s="4068"/>
      <c r="AI353" s="3543"/>
    </row>
    <row r="354" ht="16.5" customHeight="1">
      <c r="A354" s="3535"/>
      <c r="B354" s="4061"/>
      <c r="C354" s="1426" t="s">
        <v>745</v>
      </c>
      <c r="D354" s="4062"/>
      <c r="E354" s="4081" t="s">
        <v>518</v>
      </c>
      <c r="F354" s="4082">
        <f t="array" ref="F354">IFERROR(VLOOKUP(E336,Dex!$B$3:$N1361,13,FALSE),"")</f>
        <v>90</v>
      </c>
      <c r="G354" s="4083" t="str">
        <f t="array" ref="G354">IFERROR(VLOOKUP(F354,Dex!$P$22:$Q$276,2,FALSE),"")</f>
        <v/>
      </c>
      <c r="H354" s="4084"/>
      <c r="I354" s="4062"/>
      <c r="J354" s="4081" t="s">
        <v>518</v>
      </c>
      <c r="K354" s="4082">
        <f t="array" ref="K354">IFERROR(VLOOKUP(J336,Dex!$B$3:$N1361,13,FALSE),"")</f>
        <v>92</v>
      </c>
      <c r="L354" s="4083" t="str">
        <f t="array" ref="L354">IFERROR(VLOOKUP(K354,Dex!$P$22:$Q$276,2,FALSE),"")</f>
        <v/>
      </c>
      <c r="M354" s="4084"/>
      <c r="N354" s="4062"/>
      <c r="O354" s="4081" t="s">
        <v>518</v>
      </c>
      <c r="P354" s="4082">
        <f t="array" ref="P354">IFERROR(VLOOKUP(O336,Dex!$B$3:$N1361,13,FALSE),"")</f>
        <v>95</v>
      </c>
      <c r="Q354" s="4083" t="str">
        <f t="array" ref="Q354">IFERROR(VLOOKUP(P354,Dex!$P$22:$Q$276,2,FALSE),"")</f>
        <v/>
      </c>
      <c r="R354" s="4084"/>
      <c r="S354" s="4073"/>
      <c r="T354" s="4081" t="s">
        <v>518</v>
      </c>
      <c r="U354" s="4082">
        <f t="array" ref="U354">IFERROR(VLOOKUP(T336,Dex!$B$3:$N1361,13,FALSE),"")</f>
        <v>101</v>
      </c>
      <c r="V354" s="4083" t="str">
        <f t="array" ref="V354">IFERROR(VLOOKUP(U354,Dex!$P$22:$Q$276,2,FALSE),"")</f>
        <v/>
      </c>
      <c r="W354" s="4084"/>
      <c r="X354" s="4067"/>
      <c r="Y354" s="4067"/>
      <c r="Z354" s="4062"/>
      <c r="AA354" s="4062"/>
      <c r="AB354" s="4067"/>
      <c r="AC354" s="4067"/>
      <c r="AD354" s="4067"/>
      <c r="AE354" s="4067"/>
      <c r="AF354" s="4067"/>
      <c r="AG354" s="4067"/>
      <c r="AH354" s="4068"/>
      <c r="AI354" s="3543"/>
    </row>
    <row r="355" ht="16.5" customHeight="1">
      <c r="A355" s="3535"/>
      <c r="B355" s="4061"/>
      <c r="C355" s="1427" t="s">
        <v>880</v>
      </c>
      <c r="D355" s="4064"/>
      <c r="E355" s="4085" t="s">
        <v>519</v>
      </c>
      <c r="F355" s="630"/>
      <c r="G355" s="631"/>
      <c r="H355" s="632">
        <f>ROUNDDOWN((ROUNDDOWN(((((2*F354+30)*34)/100+5)),0))*1.1,0)</f>
        <v>83</v>
      </c>
      <c r="I355" s="4064"/>
      <c r="J355" s="4085" t="s">
        <v>519</v>
      </c>
      <c r="K355" s="630"/>
      <c r="L355" s="631"/>
      <c r="M355" s="632">
        <f>ROUNDDOWN((ROUNDDOWN(((((2*K354+31)*35)/100+5)),0))*1.1,0)</f>
        <v>88</v>
      </c>
      <c r="N355" s="4064"/>
      <c r="O355" s="4085" t="s">
        <v>519</v>
      </c>
      <c r="P355" s="630"/>
      <c r="Q355" s="631"/>
      <c r="R355" s="632">
        <f>ROUNDDOWN((ROUNDDOWN(((((2*P354+31)*35)/100+5)),0))*1.1,0)</f>
        <v>90</v>
      </c>
      <c r="S355" s="4454"/>
      <c r="T355" s="4085" t="s">
        <v>519</v>
      </c>
      <c r="U355" s="630"/>
      <c r="V355" s="631"/>
      <c r="W355" s="632">
        <f>ROUNDDOWN((ROUNDDOWN(((((2*U354+31)*36)/100+5)),0))*1.1,0)</f>
        <v>96</v>
      </c>
      <c r="X355" s="4067"/>
      <c r="Y355" s="4067"/>
      <c r="Z355" s="4062"/>
      <c r="AA355" s="4062"/>
      <c r="AB355" s="4067"/>
      <c r="AC355" s="4067"/>
      <c r="AD355" s="4067"/>
      <c r="AE355" s="4067"/>
      <c r="AF355" s="4067"/>
      <c r="AG355" s="4067"/>
      <c r="AH355" s="4068"/>
      <c r="AI355" s="3543"/>
    </row>
    <row r="356" ht="16.5" customHeight="1">
      <c r="A356" s="3535"/>
      <c r="B356" s="4086"/>
      <c r="C356" s="4054"/>
      <c r="D356" s="4089"/>
      <c r="E356" s="4455"/>
      <c r="F356" s="4456"/>
      <c r="G356" s="4456"/>
      <c r="H356" s="4090"/>
      <c r="I356" s="4091"/>
      <c r="J356" s="4455"/>
      <c r="K356" s="4456"/>
      <c r="L356" s="4456"/>
      <c r="M356" s="4090"/>
      <c r="N356" s="4087"/>
      <c r="O356" s="4457" t="s">
        <v>1470</v>
      </c>
      <c r="P356" s="643"/>
      <c r="Q356" s="644"/>
      <c r="R356" s="645">
        <f>ROUNDDOWN(R355*1.5,0)</f>
        <v>135</v>
      </c>
      <c r="S356" s="4091"/>
      <c r="T356" s="4455"/>
      <c r="U356" s="4456"/>
      <c r="V356" s="4456"/>
      <c r="W356" s="4090"/>
      <c r="X356" s="4090"/>
      <c r="Y356" s="4090"/>
      <c r="Z356" s="4087"/>
      <c r="AA356" s="4087"/>
      <c r="AB356" s="4090"/>
      <c r="AC356" s="4090"/>
      <c r="AD356" s="4090"/>
      <c r="AE356" s="4090"/>
      <c r="AF356" s="4090"/>
      <c r="AG356" s="4090"/>
      <c r="AH356" s="4092"/>
      <c r="AI356" s="3543"/>
    </row>
    <row r="357" ht="15.0" customHeight="1">
      <c r="A357" s="3446"/>
      <c r="B357" s="4093"/>
      <c r="C357" s="4094"/>
      <c r="D357" s="4095"/>
      <c r="E357" s="4096"/>
      <c r="F357" s="4096"/>
      <c r="G357" s="4096"/>
      <c r="H357" s="4096"/>
      <c r="I357" s="4095"/>
      <c r="J357" s="4095"/>
      <c r="K357" s="4095"/>
      <c r="L357" s="4095"/>
      <c r="M357" s="4095"/>
      <c r="N357" s="4097"/>
      <c r="O357" s="4096"/>
      <c r="P357" s="4096"/>
      <c r="Q357" s="4096"/>
      <c r="R357" s="4096"/>
      <c r="S357" s="4095"/>
      <c r="T357" s="4095"/>
      <c r="U357" s="4095"/>
      <c r="V357" s="4095"/>
      <c r="W357" s="4095"/>
      <c r="X357" s="4095"/>
      <c r="Y357" s="4095"/>
      <c r="Z357" s="4095"/>
      <c r="AA357" s="4095"/>
      <c r="AB357" s="4095"/>
      <c r="AC357" s="4095"/>
      <c r="AD357" s="4095"/>
      <c r="AE357" s="4095"/>
      <c r="AF357" s="4095"/>
      <c r="AG357" s="4095"/>
      <c r="AH357" s="4098"/>
      <c r="AI357" s="3452"/>
    </row>
    <row r="358" ht="15.0" customHeight="1">
      <c r="A358" s="3446"/>
      <c r="B358" s="3995"/>
      <c r="C358" s="3996"/>
      <c r="D358" s="3996"/>
      <c r="E358" s="4099"/>
      <c r="F358" s="4099"/>
      <c r="G358" s="4099"/>
      <c r="H358" s="4099"/>
      <c r="I358" s="3996"/>
      <c r="J358" s="4099"/>
      <c r="K358" s="4099"/>
      <c r="L358" s="4099"/>
      <c r="M358" s="4099"/>
      <c r="N358" s="3996"/>
      <c r="O358" s="4099"/>
      <c r="P358" s="4099"/>
      <c r="Q358" s="4099"/>
      <c r="R358" s="4099"/>
      <c r="S358" s="3996"/>
      <c r="T358" s="4099"/>
      <c r="U358" s="4099"/>
      <c r="V358" s="4099"/>
      <c r="W358" s="4099"/>
      <c r="X358" s="3996"/>
      <c r="Y358" s="3996"/>
      <c r="Z358" s="3996"/>
      <c r="AA358" s="3996"/>
      <c r="AB358" s="3996"/>
      <c r="AC358" s="3996"/>
      <c r="AD358" s="3996"/>
      <c r="AE358" s="3996"/>
      <c r="AF358" s="3996"/>
      <c r="AG358" s="3996"/>
      <c r="AH358" s="3997"/>
      <c r="AI358" s="3452"/>
    </row>
    <row r="359" ht="96.75" customHeight="1">
      <c r="A359" s="3446"/>
      <c r="B359" s="3998"/>
      <c r="C359" s="3999" t="str">
        <f>IMAGE("https://i.ibb.co/LSRVQF1/Picnicker.png")</f>
        <v/>
      </c>
      <c r="D359" s="4102"/>
      <c r="E359" s="4451" t="str">
        <f t="array" ref="E359">IFERROR(VLOOKUP(E360,Dex!$B$3:$G1361,3,FALSE),"")</f>
        <v/>
      </c>
      <c r="F359" s="606"/>
      <c r="G359" s="606"/>
      <c r="H359" s="4452"/>
      <c r="I359" s="4103"/>
      <c r="J359" s="4451" t="str">
        <f t="array" ref="J359">IFERROR(VLOOKUP(J360,Dex!$B$3:$G1361,3,FALSE),"")</f>
        <v/>
      </c>
      <c r="K359" s="606"/>
      <c r="L359" s="606"/>
      <c r="M359" s="4452"/>
      <c r="N359" s="4103"/>
      <c r="O359" s="4451" t="str">
        <f t="array" ref="O359">IFERROR(VLOOKUP(O360,Dex!$B$3:$G1361,3,FALSE),"")</f>
        <v/>
      </c>
      <c r="P359" s="606"/>
      <c r="Q359" s="606"/>
      <c r="R359" s="4452"/>
      <c r="S359" s="4104"/>
      <c r="T359" s="4451" t="str">
        <f t="array" ref="T359">IFERROR(VLOOKUP(T360,Dex!$B$3:$G1361,3,FALSE),"")</f>
        <v/>
      </c>
      <c r="U359" s="606"/>
      <c r="V359" s="606"/>
      <c r="W359" s="4452"/>
      <c r="X359" s="4105"/>
      <c r="Y359" s="4004"/>
      <c r="Z359" s="4005"/>
      <c r="AA359" s="4005"/>
      <c r="AB359" s="4006"/>
      <c r="AC359" s="4003"/>
      <c r="AD359" s="4004"/>
      <c r="AE359" s="4005"/>
      <c r="AF359" s="4005"/>
      <c r="AG359" s="4006"/>
      <c r="AH359" s="4007"/>
      <c r="AI359" s="3452"/>
    </row>
    <row r="360" ht="18.75" customHeight="1">
      <c r="A360" s="3689"/>
      <c r="B360" s="4008"/>
      <c r="C360" s="4009" t="s">
        <v>1471</v>
      </c>
      <c r="D360" s="4106"/>
      <c r="E360" s="4011" t="s">
        <v>1472</v>
      </c>
      <c r="F360" s="4012"/>
      <c r="G360" s="4012"/>
      <c r="H360" s="4013"/>
      <c r="J360" s="4011" t="s">
        <v>241</v>
      </c>
      <c r="K360" s="4012"/>
      <c r="L360" s="4012"/>
      <c r="M360" s="4013"/>
      <c r="O360" s="4011" t="s">
        <v>1473</v>
      </c>
      <c r="P360" s="4012"/>
      <c r="Q360" s="4012"/>
      <c r="R360" s="4013"/>
      <c r="T360" s="4011" t="s">
        <v>284</v>
      </c>
      <c r="U360" s="4012"/>
      <c r="V360" s="4012"/>
      <c r="W360" s="4013"/>
      <c r="X360" s="4107"/>
      <c r="Y360" s="4015"/>
      <c r="Z360" s="4005"/>
      <c r="AA360" s="4005"/>
      <c r="AB360" s="4006"/>
      <c r="AC360" s="4014"/>
      <c r="AD360" s="4015"/>
      <c r="AE360" s="4005"/>
      <c r="AF360" s="4005"/>
      <c r="AG360" s="4006"/>
      <c r="AH360" s="4016"/>
      <c r="AI360" s="3700"/>
    </row>
    <row r="361">
      <c r="A361" s="3701"/>
      <c r="B361" s="4017"/>
      <c r="C361" s="1638"/>
      <c r="D361" s="4108"/>
      <c r="E361" s="4019" t="s">
        <v>729</v>
      </c>
      <c r="F361" s="4020"/>
      <c r="G361" s="4020"/>
      <c r="H361" s="4021"/>
      <c r="J361" s="4019" t="s">
        <v>729</v>
      </c>
      <c r="K361" s="4020"/>
      <c r="L361" s="4020"/>
      <c r="M361" s="4021"/>
      <c r="O361" s="4019" t="s">
        <v>967</v>
      </c>
      <c r="P361" s="4020"/>
      <c r="Q361" s="4020"/>
      <c r="R361" s="4021"/>
      <c r="T361" s="4019" t="s">
        <v>967</v>
      </c>
      <c r="U361" s="4020"/>
      <c r="V361" s="4020"/>
      <c r="W361" s="4021"/>
      <c r="X361" s="4107"/>
      <c r="Y361" s="4022"/>
      <c r="Z361" s="4005"/>
      <c r="AA361" s="4005"/>
      <c r="AB361" s="4006"/>
      <c r="AC361" s="4014"/>
      <c r="AD361" s="4022"/>
      <c r="AE361" s="4005"/>
      <c r="AF361" s="4005"/>
      <c r="AG361" s="4006"/>
      <c r="AH361" s="4023"/>
      <c r="AI361" s="3709"/>
    </row>
    <row r="362" ht="25.5" customHeight="1">
      <c r="A362" s="3446"/>
      <c r="B362" s="3998"/>
      <c r="C362" s="1646"/>
      <c r="D362" s="4024"/>
      <c r="E362" s="4025"/>
      <c r="F362" s="4026" t="str">
        <f t="array" ref="F362">IFERROR(VLOOKUP(E360,Dex!$B$3:$H1361,5,FALSE),"")</f>
        <v/>
      </c>
      <c r="G362" s="4027"/>
      <c r="H362" s="4028"/>
      <c r="J362" s="4025"/>
      <c r="K362" s="4026" t="str">
        <f t="array" ref="K362">IFERROR(VLOOKUP(J360,Dex!$B$3:$H1361,5,FALSE),"")</f>
        <v/>
      </c>
      <c r="L362" s="4027"/>
      <c r="M362" s="4028"/>
      <c r="O362" s="4025"/>
      <c r="P362" s="4029" t="str">
        <f t="array" ref="P362">IFERROR(VLOOKUP(O360,Dex!$B$3:$H1361,5,FALSE),"")</f>
        <v/>
      </c>
      <c r="Q362" s="4030" t="str">
        <f t="array" ref="Q362">IFERROR(VLOOKUP(O360,Dex!$B$3:$H1361,7,FALSE),"")</f>
        <v/>
      </c>
      <c r="R362" s="4028"/>
      <c r="T362" s="4025"/>
      <c r="U362" s="4026" t="str">
        <f t="array" ref="U362">IFERROR(VLOOKUP(T360,Dex!$B$3:$H1361,5,FALSE),"")</f>
        <v/>
      </c>
      <c r="V362" s="4027"/>
      <c r="W362" s="4028"/>
      <c r="X362" s="4107"/>
      <c r="Y362" s="4004"/>
      <c r="Z362" s="4005"/>
      <c r="AA362" s="4005"/>
      <c r="AB362" s="4006"/>
      <c r="AC362" s="4014"/>
      <c r="AD362" s="4004"/>
      <c r="AE362" s="4005"/>
      <c r="AF362" s="4005"/>
      <c r="AG362" s="4006"/>
      <c r="AH362" s="4007"/>
      <c r="AI362" s="3452"/>
    </row>
    <row r="363" ht="2.25" customHeight="1">
      <c r="A363" s="3446"/>
      <c r="B363" s="3998"/>
      <c r="C363" s="4031"/>
      <c r="D363" s="4024"/>
      <c r="E363" s="4032"/>
      <c r="F363" s="4033"/>
      <c r="G363" s="4033"/>
      <c r="H363" s="4034"/>
      <c r="J363" s="4032"/>
      <c r="K363" s="4033"/>
      <c r="L363" s="4033"/>
      <c r="M363" s="4034"/>
      <c r="O363" s="4032"/>
      <c r="P363" s="4033"/>
      <c r="Q363" s="4033"/>
      <c r="R363" s="4034"/>
      <c r="T363" s="4032"/>
      <c r="U363" s="4033"/>
      <c r="V363" s="4033"/>
      <c r="W363" s="4034"/>
      <c r="X363" s="4107"/>
      <c r="Y363" s="4024"/>
      <c r="Z363" s="4024"/>
      <c r="AA363" s="4024"/>
      <c r="AB363" s="4024"/>
      <c r="AC363" s="4014"/>
      <c r="AD363" s="4024"/>
      <c r="AE363" s="4024"/>
      <c r="AF363" s="4024"/>
      <c r="AG363" s="4024"/>
      <c r="AH363" s="4007"/>
      <c r="AI363" s="3452"/>
    </row>
    <row r="364" ht="20.25" customHeight="1">
      <c r="A364" s="3446"/>
      <c r="B364" s="3998"/>
      <c r="C364" s="4031"/>
      <c r="D364" s="4004"/>
      <c r="E364" s="4035" t="s">
        <v>532</v>
      </c>
      <c r="F364" s="4036"/>
      <c r="G364" s="4036"/>
      <c r="H364" s="4037"/>
      <c r="J364" s="4035" t="s">
        <v>532</v>
      </c>
      <c r="K364" s="4036"/>
      <c r="L364" s="4036"/>
      <c r="M364" s="4037"/>
      <c r="O364" s="4035" t="s">
        <v>481</v>
      </c>
      <c r="P364" s="4036"/>
      <c r="Q364" s="4036"/>
      <c r="R364" s="4037"/>
      <c r="T364" s="4035" t="s">
        <v>566</v>
      </c>
      <c r="U364" s="4036"/>
      <c r="V364" s="4036"/>
      <c r="W364" s="4037"/>
      <c r="X364" s="4107"/>
      <c r="Y364" s="4004"/>
      <c r="Z364" s="4005"/>
      <c r="AA364" s="4005"/>
      <c r="AB364" s="4006"/>
      <c r="AC364" s="4014"/>
      <c r="AD364" s="4004"/>
      <c r="AE364" s="4005"/>
      <c r="AF364" s="4005"/>
      <c r="AG364" s="4006"/>
      <c r="AH364" s="4007"/>
      <c r="AI364" s="3452"/>
    </row>
    <row r="365" ht="20.25" customHeight="1">
      <c r="A365" s="3446"/>
      <c r="B365" s="3998"/>
      <c r="C365" s="4038"/>
      <c r="D365" s="4004"/>
      <c r="E365" s="4039" t="s">
        <v>1185</v>
      </c>
      <c r="F365" s="4005"/>
      <c r="G365" s="4005"/>
      <c r="H365" s="4040"/>
      <c r="J365" s="4039" t="s">
        <v>98</v>
      </c>
      <c r="K365" s="4005"/>
      <c r="L365" s="4005"/>
      <c r="M365" s="4040"/>
      <c r="O365" s="4039" t="s">
        <v>94</v>
      </c>
      <c r="P365" s="4005"/>
      <c r="Q365" s="4005"/>
      <c r="R365" s="4040"/>
      <c r="T365" s="4039" t="s">
        <v>1239</v>
      </c>
      <c r="U365" s="4005"/>
      <c r="V365" s="4005"/>
      <c r="W365" s="4040"/>
      <c r="X365" s="4107"/>
      <c r="Y365" s="4004"/>
      <c r="Z365" s="4005"/>
      <c r="AA365" s="4005"/>
      <c r="AB365" s="4006"/>
      <c r="AC365" s="4014"/>
      <c r="AD365" s="4004"/>
      <c r="AE365" s="4005"/>
      <c r="AF365" s="4005"/>
      <c r="AG365" s="4006"/>
      <c r="AH365" s="4007"/>
      <c r="AI365" s="3452"/>
    </row>
    <row r="366" ht="20.25" customHeight="1">
      <c r="A366" s="3446"/>
      <c r="B366" s="3998"/>
      <c r="C366" s="4014"/>
      <c r="D366" s="4004"/>
      <c r="E366" s="4041" t="s">
        <v>1445</v>
      </c>
      <c r="F366" s="4042"/>
      <c r="G366" s="4043"/>
      <c r="H366" s="4044" t="str">
        <f>IMAGE("https://raw.githubusercontent.com/msikma/pokesprite/master/items/hold-item/choice-scarf.png",3)</f>
        <v/>
      </c>
      <c r="J366" s="4041" t="s">
        <v>1445</v>
      </c>
      <c r="K366" s="4042"/>
      <c r="L366" s="4043"/>
      <c r="M366" s="4044" t="str">
        <f>IMAGE("https://raw.githubusercontent.com/msikma/pokesprite/master/items/hold-item/choice-scarf.png",3)</f>
        <v/>
      </c>
      <c r="O366" s="4041" t="s">
        <v>489</v>
      </c>
      <c r="P366" s="4042"/>
      <c r="Q366" s="4043"/>
      <c r="R366" s="4044" t="str">
        <f>IMAGE("https://raw.githubusercontent.com/msikma/pokesprite/master/items/hold-item/eviolite.png",3)</f>
        <v/>
      </c>
      <c r="T366" s="4041" t="s">
        <v>573</v>
      </c>
      <c r="U366" s="4042"/>
      <c r="V366" s="4043"/>
      <c r="W366" s="4044" t="str">
        <f>IMAGE("https://raw.githubusercontent.com/msikma/pokesprite/master/items/hold-item/focus-sash.png",3)</f>
        <v/>
      </c>
      <c r="X366" s="4107"/>
      <c r="Y366" s="4004"/>
      <c r="Z366" s="4005"/>
      <c r="AA366" s="4005"/>
      <c r="AB366" s="4006"/>
      <c r="AC366" s="4014"/>
      <c r="AD366" s="4004"/>
      <c r="AE366" s="4005"/>
      <c r="AF366" s="4005"/>
      <c r="AG366" s="4006"/>
      <c r="AH366" s="4007"/>
      <c r="AI366" s="3452"/>
    </row>
    <row r="367" ht="20.25" customHeight="1">
      <c r="A367" s="3446"/>
      <c r="B367" s="3998"/>
      <c r="C367" s="4045"/>
      <c r="D367" s="4004"/>
      <c r="E367" s="4035" t="s">
        <v>1474</v>
      </c>
      <c r="F367" s="4036"/>
      <c r="G367" s="4046"/>
      <c r="H367" s="4047" t="str">
        <f>IMAGE("https://raw.githubusercontent.com/msikma/pokesprite/master/misc/types/gen8/fire.png",4,20,20)</f>
        <v/>
      </c>
      <c r="J367" s="4035" t="s">
        <v>1475</v>
      </c>
      <c r="K367" s="4036"/>
      <c r="L367" s="4046"/>
      <c r="M367" s="4047" t="str">
        <f>IMAGE("https://raw.githubusercontent.com/msikma/pokesprite/master/misc/types/gen8/normal.png",4,20,20)</f>
        <v/>
      </c>
      <c r="O367" s="4035" t="s">
        <v>1475</v>
      </c>
      <c r="P367" s="4036"/>
      <c r="Q367" s="4046"/>
      <c r="R367" s="4047" t="str">
        <f>IMAGE("https://raw.githubusercontent.com/msikma/pokesprite/master/misc/types/gen8/normal.png",4,20,20)</f>
        <v/>
      </c>
      <c r="T367" s="4035" t="s">
        <v>1475</v>
      </c>
      <c r="U367" s="4036"/>
      <c r="V367" s="4046"/>
      <c r="W367" s="4047" t="str">
        <f>IMAGE("https://raw.githubusercontent.com/msikma/pokesprite/master/misc/types/gen8/normal.png",4,20,20)</f>
        <v/>
      </c>
      <c r="X367" s="4107"/>
      <c r="Y367" s="4004"/>
      <c r="Z367" s="4005"/>
      <c r="AA367" s="4005"/>
      <c r="AB367" s="4006"/>
      <c r="AC367" s="4014"/>
      <c r="AD367" s="4004"/>
      <c r="AE367" s="4005"/>
      <c r="AF367" s="4005"/>
      <c r="AG367" s="4006"/>
      <c r="AH367" s="4007"/>
      <c r="AI367" s="3452"/>
    </row>
    <row r="368" ht="20.25" customHeight="1">
      <c r="A368" s="3446"/>
      <c r="B368" s="3998"/>
      <c r="C368" s="4031"/>
      <c r="D368" s="4004"/>
      <c r="E368" s="4039" t="s">
        <v>1476</v>
      </c>
      <c r="F368" s="4005"/>
      <c r="G368" s="4006"/>
      <c r="H368" s="4048" t="str">
        <f>IMAGE("https://raw.githubusercontent.com/msikma/pokesprite/master/misc/types/gen8/flying.png",4,20,20)</f>
        <v/>
      </c>
      <c r="J368" s="4039" t="s">
        <v>1165</v>
      </c>
      <c r="K368" s="4005"/>
      <c r="L368" s="4005"/>
      <c r="M368" s="4040"/>
      <c r="O368" s="4039" t="s">
        <v>1165</v>
      </c>
      <c r="P368" s="4005"/>
      <c r="Q368" s="4005"/>
      <c r="R368" s="4040"/>
      <c r="T368" s="4039" t="s">
        <v>1165</v>
      </c>
      <c r="U368" s="4005"/>
      <c r="V368" s="4005"/>
      <c r="W368" s="4040"/>
      <c r="X368" s="4107"/>
      <c r="Y368" s="4004"/>
      <c r="Z368" s="4005"/>
      <c r="AA368" s="4005"/>
      <c r="AB368" s="4006"/>
      <c r="AC368" s="4014"/>
      <c r="AD368" s="4004"/>
      <c r="AE368" s="4005"/>
      <c r="AF368" s="4005"/>
      <c r="AG368" s="4006"/>
      <c r="AH368" s="4007"/>
      <c r="AI368" s="3452"/>
    </row>
    <row r="369" ht="20.25" customHeight="1">
      <c r="A369" s="3446"/>
      <c r="B369" s="3998"/>
      <c r="C369" s="4031"/>
      <c r="D369" s="4004"/>
      <c r="E369" s="4039" t="s">
        <v>1477</v>
      </c>
      <c r="F369" s="4005"/>
      <c r="G369" s="4006"/>
      <c r="H369" s="4048" t="str">
        <f>IMAGE("https://raw.githubusercontent.com/msikma/pokesprite/master/misc/types/gen8/psychic.png",4,20,20)</f>
        <v/>
      </c>
      <c r="J369" s="4039" t="s">
        <v>1165</v>
      </c>
      <c r="K369" s="4005"/>
      <c r="L369" s="4005"/>
      <c r="M369" s="4040"/>
      <c r="O369" s="4039" t="s">
        <v>1165</v>
      </c>
      <c r="P369" s="4005"/>
      <c r="Q369" s="4005"/>
      <c r="R369" s="4040"/>
      <c r="T369" s="4039" t="s">
        <v>1165</v>
      </c>
      <c r="U369" s="4005"/>
      <c r="V369" s="4005"/>
      <c r="W369" s="4040"/>
      <c r="X369" s="4107"/>
      <c r="Y369" s="4004"/>
      <c r="Z369" s="4005"/>
      <c r="AA369" s="4005"/>
      <c r="AB369" s="4006"/>
      <c r="AC369" s="4014"/>
      <c r="AD369" s="4004"/>
      <c r="AE369" s="4005"/>
      <c r="AF369" s="4005"/>
      <c r="AG369" s="4006"/>
      <c r="AH369" s="4007"/>
      <c r="AI369" s="3452"/>
    </row>
    <row r="370" ht="21.0" customHeight="1">
      <c r="A370" s="3446"/>
      <c r="B370" s="3998"/>
      <c r="C370" s="4031"/>
      <c r="D370" s="4004"/>
      <c r="E370" s="4049" t="s">
        <v>583</v>
      </c>
      <c r="F370" s="4050"/>
      <c r="G370" s="4051"/>
      <c r="H370" s="4052" t="str">
        <f>IMAGE("https://raw.githubusercontent.com/msikma/pokesprite/master/misc/types/gen8/fighting.png",4,20,20)</f>
        <v/>
      </c>
      <c r="I370" s="4109"/>
      <c r="J370" s="4049" t="s">
        <v>1165</v>
      </c>
      <c r="K370" s="4050"/>
      <c r="L370" s="4050"/>
      <c r="M370" s="4458"/>
      <c r="N370" s="4109"/>
      <c r="O370" s="4049" t="s">
        <v>1165</v>
      </c>
      <c r="P370" s="4050"/>
      <c r="Q370" s="4050"/>
      <c r="R370" s="4458"/>
      <c r="S370" s="4109"/>
      <c r="T370" s="4049" t="s">
        <v>1165</v>
      </c>
      <c r="U370" s="4050"/>
      <c r="V370" s="4050"/>
      <c r="W370" s="4458"/>
      <c r="X370" s="4110"/>
      <c r="Y370" s="4004"/>
      <c r="Z370" s="4005"/>
      <c r="AA370" s="4005"/>
      <c r="AB370" s="4006"/>
      <c r="AC370" s="4045"/>
      <c r="AD370" s="4004"/>
      <c r="AE370" s="4005"/>
      <c r="AF370" s="4005"/>
      <c r="AG370" s="4006"/>
      <c r="AH370" s="4007"/>
      <c r="AI370" s="3452"/>
    </row>
    <row r="371" ht="3.0" customHeight="1">
      <c r="A371" s="3524"/>
      <c r="B371" s="4053"/>
      <c r="C371" s="4054"/>
      <c r="D371" s="4055"/>
      <c r="E371" s="4112"/>
      <c r="F371" s="4112"/>
      <c r="G371" s="4112"/>
      <c r="H371" s="4056"/>
      <c r="I371" s="4055"/>
      <c r="J371" s="4112"/>
      <c r="K371" s="4112"/>
      <c r="L371" s="4112"/>
      <c r="M371" s="4056"/>
      <c r="N371" s="4055"/>
      <c r="O371" s="4112"/>
      <c r="P371" s="4112"/>
      <c r="Q371" s="4112"/>
      <c r="R371" s="4056"/>
      <c r="S371" s="4056"/>
      <c r="T371" s="4112"/>
      <c r="U371" s="4112"/>
      <c r="V371" s="4112"/>
      <c r="W371" s="4056"/>
      <c r="X371" s="4055"/>
      <c r="Y371" s="4055"/>
      <c r="Z371" s="4058"/>
      <c r="AA371" s="4058"/>
      <c r="AB371" s="4059"/>
      <c r="AC371" s="4059"/>
      <c r="AD371" s="4059"/>
      <c r="AE371" s="4059"/>
      <c r="AF371" s="4059"/>
      <c r="AG371" s="4059"/>
      <c r="AH371" s="4060"/>
      <c r="AI371" s="3534"/>
    </row>
    <row r="372" ht="16.5" customHeight="1">
      <c r="A372" s="3535"/>
      <c r="B372" s="4061"/>
      <c r="C372" s="4054"/>
      <c r="D372" s="4064"/>
      <c r="E372" s="4063" t="s">
        <v>512</v>
      </c>
      <c r="F372" s="606"/>
      <c r="G372" s="606"/>
      <c r="H372" s="607"/>
      <c r="I372" s="4064"/>
      <c r="J372" s="4063" t="s">
        <v>512</v>
      </c>
      <c r="K372" s="606"/>
      <c r="L372" s="606"/>
      <c r="M372" s="607"/>
      <c r="N372" s="4064"/>
      <c r="O372" s="4063" t="s">
        <v>512</v>
      </c>
      <c r="P372" s="606"/>
      <c r="Q372" s="606"/>
      <c r="R372" s="607"/>
      <c r="S372" s="4453"/>
      <c r="T372" s="4063" t="s">
        <v>512</v>
      </c>
      <c r="U372" s="606"/>
      <c r="V372" s="606"/>
      <c r="W372" s="607"/>
      <c r="X372" s="4067"/>
      <c r="Y372" s="4067"/>
      <c r="Z372" s="4062"/>
      <c r="AA372" s="4062"/>
      <c r="AB372" s="4067"/>
      <c r="AC372" s="4067"/>
      <c r="AD372" s="4067"/>
      <c r="AE372" s="4067"/>
      <c r="AF372" s="4067"/>
      <c r="AG372" s="4067"/>
      <c r="AH372" s="4068"/>
      <c r="AI372" s="3543"/>
    </row>
    <row r="373" ht="16.5" customHeight="1">
      <c r="A373" s="3535"/>
      <c r="B373" s="4061"/>
      <c r="C373" s="4054"/>
      <c r="D373" s="4062"/>
      <c r="E373" s="4069" t="s">
        <v>513</v>
      </c>
      <c r="F373" s="4070">
        <f t="array" ref="F373">IFERROR(VLOOKUP(E360,Dex!$B$3:$N1361,8,FALSE),"")</f>
        <v>55</v>
      </c>
      <c r="G373" s="4071" t="str">
        <f t="array" ref="G373">IFERROR(VLOOKUP(F373,Dex!$P$22:$Q$276,2,FALSE),"")</f>
        <v/>
      </c>
      <c r="H373" s="4072"/>
      <c r="I373" s="4062"/>
      <c r="J373" s="4069" t="s">
        <v>513</v>
      </c>
      <c r="K373" s="4070">
        <f t="array" ref="K373">IFERROR(VLOOKUP(J360,Dex!$B$3:$N1361,8,FALSE),"")</f>
        <v>80</v>
      </c>
      <c r="L373" s="4071" t="str">
        <f t="array" ref="L373">IFERROR(VLOOKUP(K373,Dex!$P$22:$Q$276,2,FALSE),"")</f>
        <v/>
      </c>
      <c r="M373" s="4072"/>
      <c r="N373" s="4062"/>
      <c r="O373" s="4069" t="s">
        <v>513</v>
      </c>
      <c r="P373" s="4070">
        <f t="array" ref="P373">IFERROR(VLOOKUP(O360,Dex!$B$3:$N1361,8,FALSE),"")</f>
        <v>55</v>
      </c>
      <c r="Q373" s="4071" t="str">
        <f t="array" ref="Q373">IFERROR(VLOOKUP(P373,Dex!$P$22:$Q$276,2,FALSE),"")</f>
        <v/>
      </c>
      <c r="R373" s="4072"/>
      <c r="S373" s="4073"/>
      <c r="T373" s="4069" t="s">
        <v>513</v>
      </c>
      <c r="U373" s="4070">
        <f t="array" ref="U373">IFERROR(VLOOKUP(T360,Dex!$B$3:$N1361,8,FALSE),"")</f>
        <v>64</v>
      </c>
      <c r="V373" s="4071" t="str">
        <f t="array" ref="V373">IFERROR(VLOOKUP(U373,Dex!$P$22:$Q$276,2,FALSE),"")</f>
        <v/>
      </c>
      <c r="W373" s="4072"/>
      <c r="X373" s="4067"/>
      <c r="Y373" s="4067"/>
      <c r="Z373" s="4062"/>
      <c r="AA373" s="4062"/>
      <c r="AB373" s="4067"/>
      <c r="AC373" s="4067"/>
      <c r="AD373" s="4067"/>
      <c r="AE373" s="4067"/>
      <c r="AF373" s="4067"/>
      <c r="AG373" s="4067"/>
      <c r="AH373" s="4068"/>
      <c r="AI373" s="3543"/>
    </row>
    <row r="374" ht="16.5" customHeight="1">
      <c r="A374" s="3535"/>
      <c r="B374" s="4061"/>
      <c r="C374" s="4054"/>
      <c r="D374" s="4062"/>
      <c r="E374" s="4075" t="s">
        <v>514</v>
      </c>
      <c r="F374" s="4076">
        <f t="array" ref="F374">IFERROR(VLOOKUP(E360,Dex!$B$3:$N1361,9,FALSE),"")</f>
        <v>20</v>
      </c>
      <c r="G374" s="4077" t="str">
        <f t="array" ref="G374">IFERROR(VLOOKUP(F374,Dex!$P$22:$Q$276,2,FALSE),"")</f>
        <v/>
      </c>
      <c r="H374" s="4078"/>
      <c r="I374" s="4062"/>
      <c r="J374" s="4075" t="s">
        <v>514</v>
      </c>
      <c r="K374" s="4076">
        <f t="array" ref="K374">IFERROR(VLOOKUP(J360,Dex!$B$3:$N1361,9,FALSE),"")</f>
        <v>80</v>
      </c>
      <c r="L374" s="4077" t="str">
        <f t="array" ref="L374">IFERROR(VLOOKUP(K374,Dex!$P$22:$Q$276,2,FALSE),"")</f>
        <v/>
      </c>
      <c r="M374" s="4078"/>
      <c r="N374" s="4062"/>
      <c r="O374" s="4075" t="s">
        <v>514</v>
      </c>
      <c r="P374" s="4076">
        <f t="array" ref="P374">IFERROR(VLOOKUP(O360,Dex!$B$3:$N1361,9,FALSE),"")</f>
        <v>95</v>
      </c>
      <c r="Q374" s="4077" t="str">
        <f t="array" ref="Q374">IFERROR(VLOOKUP(P374,Dex!$P$22:$Q$276,2,FALSE),"")</f>
        <v/>
      </c>
      <c r="R374" s="4078"/>
      <c r="S374" s="4073"/>
      <c r="T374" s="4075" t="s">
        <v>514</v>
      </c>
      <c r="U374" s="4076">
        <f t="array" ref="U374">IFERROR(VLOOKUP(T360,Dex!$B$3:$N1361,9,FALSE),"")</f>
        <v>98</v>
      </c>
      <c r="V374" s="4077" t="str">
        <f t="array" ref="V374">IFERROR(VLOOKUP(U374,Dex!$P$22:$Q$276,2,FALSE),"")</f>
        <v/>
      </c>
      <c r="W374" s="4078"/>
      <c r="X374" s="4067"/>
      <c r="Y374" s="4067"/>
      <c r="Z374" s="4062"/>
      <c r="AA374" s="4062"/>
      <c r="AB374" s="4067"/>
      <c r="AC374" s="4067"/>
      <c r="AD374" s="4067"/>
      <c r="AE374" s="4067"/>
      <c r="AF374" s="4067"/>
      <c r="AG374" s="4067"/>
      <c r="AH374" s="4068"/>
      <c r="AI374" s="3543"/>
    </row>
    <row r="375" ht="16.5" customHeight="1">
      <c r="A375" s="3535"/>
      <c r="B375" s="4061"/>
      <c r="C375" s="4054"/>
      <c r="D375" s="4062"/>
      <c r="E375" s="4075" t="s">
        <v>515</v>
      </c>
      <c r="F375" s="4076">
        <f t="array" ref="F375">IFERROR(VLOOKUP(E360,Dex!$B$3:$N1361,10,FALSE),"")</f>
        <v>35</v>
      </c>
      <c r="G375" s="4077" t="str">
        <f t="array" ref="G375">IFERROR(VLOOKUP(F375,Dex!$P$22:$Q$276,2,FALSE),"")</f>
        <v/>
      </c>
      <c r="H375" s="4078"/>
      <c r="I375" s="4062"/>
      <c r="J375" s="4075" t="s">
        <v>515</v>
      </c>
      <c r="K375" s="4076">
        <f t="array" ref="K375">IFERROR(VLOOKUP(J360,Dex!$B$3:$N1361,10,FALSE),"")</f>
        <v>80</v>
      </c>
      <c r="L375" s="4077" t="str">
        <f t="array" ref="L375">IFERROR(VLOOKUP(K375,Dex!$P$22:$Q$276,2,FALSE),"")</f>
        <v/>
      </c>
      <c r="M375" s="4078"/>
      <c r="N375" s="4062"/>
      <c r="O375" s="4075" t="s">
        <v>515</v>
      </c>
      <c r="P375" s="4076">
        <f t="array" ref="P375">IFERROR(VLOOKUP(O360,Dex!$B$3:$N1361,10,FALSE),"")</f>
        <v>55</v>
      </c>
      <c r="Q375" s="4077" t="str">
        <f t="array" ref="Q375">IFERROR(VLOOKUP(P375,Dex!$P$22:$Q$276,2,FALSE),"")</f>
        <v/>
      </c>
      <c r="R375" s="4078"/>
      <c r="S375" s="4073"/>
      <c r="T375" s="4075" t="s">
        <v>515</v>
      </c>
      <c r="U375" s="4076">
        <f t="array" ref="U375">IFERROR(VLOOKUP(T360,Dex!$B$3:$N1361,10,FALSE),"")</f>
        <v>50</v>
      </c>
      <c r="V375" s="4077" t="str">
        <f t="array" ref="V375">IFERROR(VLOOKUP(U375,Dex!$P$22:$Q$276,2,FALSE),"")</f>
        <v/>
      </c>
      <c r="W375" s="4078"/>
      <c r="X375" s="4067"/>
      <c r="Y375" s="4067"/>
      <c r="Z375" s="4062"/>
      <c r="AA375" s="4062"/>
      <c r="AB375" s="4067"/>
      <c r="AC375" s="4067"/>
      <c r="AD375" s="4067"/>
      <c r="AE375" s="4067"/>
      <c r="AF375" s="4067"/>
      <c r="AG375" s="4067"/>
      <c r="AH375" s="4068"/>
      <c r="AI375" s="3543"/>
    </row>
    <row r="376" ht="16.5" customHeight="1">
      <c r="A376" s="3535"/>
      <c r="B376" s="4061"/>
      <c r="C376" s="4054"/>
      <c r="D376" s="4062"/>
      <c r="E376" s="4075" t="s">
        <v>516</v>
      </c>
      <c r="F376" s="4076">
        <f t="array" ref="F376">IFERROR(VLOOKUP(E360,Dex!$B$3:$N1361,11,FALSE),"")</f>
        <v>20</v>
      </c>
      <c r="G376" s="4077" t="str">
        <f t="array" ref="G376">IFERROR(VLOOKUP(F376,Dex!$P$22:$Q$276,2,FALSE),"")</f>
        <v/>
      </c>
      <c r="H376" s="4078"/>
      <c r="I376" s="4062"/>
      <c r="J376" s="4075" t="s">
        <v>516</v>
      </c>
      <c r="K376" s="4076">
        <f t="array" ref="K376">IFERROR(VLOOKUP(J360,Dex!$B$3:$N1361,11,FALSE),"")</f>
        <v>80</v>
      </c>
      <c r="L376" s="4077" t="str">
        <f t="array" ref="L376">IFERROR(VLOOKUP(K376,Dex!$P$22:$Q$276,2,FALSE),"")</f>
        <v/>
      </c>
      <c r="M376" s="4078"/>
      <c r="N376" s="4062"/>
      <c r="O376" s="4075" t="s">
        <v>516</v>
      </c>
      <c r="P376" s="4076">
        <f t="array" ref="P376">IFERROR(VLOOKUP(O360,Dex!$B$3:$N1361,11,FALSE),"")</f>
        <v>35</v>
      </c>
      <c r="Q376" s="4077" t="str">
        <f t="array" ref="Q376">IFERROR(VLOOKUP(P376,Dex!$P$22:$Q$276,2,FALSE),"")</f>
        <v/>
      </c>
      <c r="R376" s="4078"/>
      <c r="S376" s="4073"/>
      <c r="T376" s="4075" t="s">
        <v>516</v>
      </c>
      <c r="U376" s="4076">
        <f t="array" ref="U376">IFERROR(VLOOKUP(T360,Dex!$B$3:$N1361,11,FALSE),"")</f>
        <v>78</v>
      </c>
      <c r="V376" s="4077" t="str">
        <f t="array" ref="V376">IFERROR(VLOOKUP(U376,Dex!$P$22:$Q$276,2,FALSE),"")</f>
        <v/>
      </c>
      <c r="W376" s="4078"/>
      <c r="X376" s="4067"/>
      <c r="Y376" s="4067"/>
      <c r="Z376" s="4062"/>
      <c r="AA376" s="4062"/>
      <c r="AB376" s="4067"/>
      <c r="AC376" s="4067"/>
      <c r="AD376" s="4067"/>
      <c r="AE376" s="4067"/>
      <c r="AF376" s="4067"/>
      <c r="AG376" s="4067"/>
      <c r="AH376" s="4068"/>
      <c r="AI376" s="3543"/>
    </row>
    <row r="377" ht="16.5" customHeight="1">
      <c r="A377" s="3535"/>
      <c r="B377" s="4061"/>
      <c r="C377" s="4054"/>
      <c r="D377" s="4062"/>
      <c r="E377" s="4075" t="s">
        <v>517</v>
      </c>
      <c r="F377" s="4076">
        <f t="array" ref="F377">IFERROR(VLOOKUP(E360,Dex!$B$3:$N1361,12,FALSE),"")</f>
        <v>45</v>
      </c>
      <c r="G377" s="4077" t="str">
        <f t="array" ref="G377">IFERROR(VLOOKUP(F377,Dex!$P$22:$Q$276,2,FALSE),"")</f>
        <v/>
      </c>
      <c r="H377" s="4078"/>
      <c r="I377" s="4062"/>
      <c r="J377" s="4075" t="s">
        <v>517</v>
      </c>
      <c r="K377" s="4076">
        <f t="array" ref="K377">IFERROR(VLOOKUP(J360,Dex!$B$3:$N1361,12,FALSE),"")</f>
        <v>80</v>
      </c>
      <c r="L377" s="4077" t="str">
        <f t="array" ref="L377">IFERROR(VLOOKUP(K377,Dex!$P$22:$Q$276,2,FALSE),"")</f>
        <v/>
      </c>
      <c r="M377" s="4078"/>
      <c r="N377" s="4062"/>
      <c r="O377" s="4075" t="s">
        <v>517</v>
      </c>
      <c r="P377" s="4076">
        <f t="array" ref="P377">IFERROR(VLOOKUP(O360,Dex!$B$3:$N1361,12,FALSE),"")</f>
        <v>75</v>
      </c>
      <c r="Q377" s="4077" t="str">
        <f t="array" ref="Q377">IFERROR(VLOOKUP(P377,Dex!$P$22:$Q$276,2,FALSE),"")</f>
        <v/>
      </c>
      <c r="R377" s="4078"/>
      <c r="S377" s="4073"/>
      <c r="T377" s="4075" t="s">
        <v>517</v>
      </c>
      <c r="U377" s="4076">
        <f t="array" ref="U377">IFERROR(VLOOKUP(T360,Dex!$B$3:$N1361,12,FALSE),"")</f>
        <v>50</v>
      </c>
      <c r="V377" s="4077" t="str">
        <f t="array" ref="V377">IFERROR(VLOOKUP(U377,Dex!$P$22:$Q$276,2,FALSE),"")</f>
        <v/>
      </c>
      <c r="W377" s="4078"/>
      <c r="X377" s="4067"/>
      <c r="Y377" s="4067"/>
      <c r="Z377" s="4062"/>
      <c r="AA377" s="4062"/>
      <c r="AB377" s="4067"/>
      <c r="AC377" s="4067"/>
      <c r="AD377" s="4067"/>
      <c r="AE377" s="4067"/>
      <c r="AF377" s="4067"/>
      <c r="AG377" s="4067"/>
      <c r="AH377" s="4068"/>
      <c r="AI377" s="3543"/>
    </row>
    <row r="378" ht="16.5" customHeight="1">
      <c r="A378" s="3535"/>
      <c r="B378" s="4061"/>
      <c r="C378" s="1426" t="s">
        <v>745</v>
      </c>
      <c r="D378" s="4062"/>
      <c r="E378" s="4081" t="s">
        <v>518</v>
      </c>
      <c r="F378" s="4082">
        <f t="array" ref="F378">IFERROR(VLOOKUP(E360,Dex!$B$3:$N1361,13,FALSE),"")</f>
        <v>75</v>
      </c>
      <c r="G378" s="4083" t="str">
        <f t="array" ref="G378">IFERROR(VLOOKUP(F378,Dex!$P$22:$Q$276,2,FALSE),"")</f>
        <v/>
      </c>
      <c r="H378" s="4084"/>
      <c r="I378" s="4062"/>
      <c r="J378" s="4081" t="s">
        <v>518</v>
      </c>
      <c r="K378" s="4082">
        <f t="array" ref="K378">IFERROR(VLOOKUP(J360,Dex!$B$3:$N1361,13,FALSE),"")</f>
        <v>80</v>
      </c>
      <c r="L378" s="4459" t="str">
        <f t="array" ref="L378">IFERROR(VLOOKUP(K378,Dex!$P$22:$Q$276,2,FALSE),"")</f>
        <v/>
      </c>
      <c r="M378" s="4460"/>
      <c r="N378" s="4062"/>
      <c r="O378" s="4081" t="s">
        <v>518</v>
      </c>
      <c r="P378" s="4082">
        <f t="array" ref="P378">IFERROR(VLOOKUP(O360,Dex!$B$3:$N1361,13,FALSE),"")</f>
        <v>115</v>
      </c>
      <c r="Q378" s="4083" t="str">
        <f t="array" ref="Q378">IFERROR(VLOOKUP(P378,Dex!$P$22:$Q$276,2,FALSE),"")</f>
        <v/>
      </c>
      <c r="R378" s="4084"/>
      <c r="S378" s="4073"/>
      <c r="T378" s="4081" t="s">
        <v>518</v>
      </c>
      <c r="U378" s="4082">
        <f t="array" ref="U378">IFERROR(VLOOKUP(T360,Dex!$B$3:$N1361,13,FALSE),"")</f>
        <v>106</v>
      </c>
      <c r="V378" s="4083" t="str">
        <f t="array" ref="V378">IFERROR(VLOOKUP(U378,Dex!$P$22:$Q$276,2,FALSE),"")</f>
        <v/>
      </c>
      <c r="W378" s="4084"/>
      <c r="X378" s="4067"/>
      <c r="Y378" s="4067"/>
      <c r="Z378" s="4062"/>
      <c r="AA378" s="4062"/>
      <c r="AB378" s="4067"/>
      <c r="AC378" s="4067"/>
      <c r="AD378" s="4067"/>
      <c r="AE378" s="4067"/>
      <c r="AF378" s="4067"/>
      <c r="AG378" s="4067"/>
      <c r="AH378" s="4068"/>
      <c r="AI378" s="3543"/>
    </row>
    <row r="379" ht="16.5" customHeight="1">
      <c r="A379" s="3535"/>
      <c r="B379" s="4061"/>
      <c r="C379" s="1427" t="s">
        <v>880</v>
      </c>
      <c r="D379" s="4064"/>
      <c r="E379" s="4461" t="s">
        <v>519</v>
      </c>
      <c r="F379" s="635"/>
      <c r="G379" s="636"/>
      <c r="H379" s="632">
        <f>ROUNDDOWN((ROUNDDOWN(((((2*F378+31)*36)/100+5)),0))*1.1,0)</f>
        <v>77</v>
      </c>
      <c r="I379" s="4064"/>
      <c r="J379" s="4461" t="s">
        <v>519</v>
      </c>
      <c r="K379" s="635"/>
      <c r="L379" s="636"/>
      <c r="M379" s="632">
        <f>ROUNDDOWN((ROUNDDOWN(((((2*K378+31)*36)/100+5)),0))*1.1,0)</f>
        <v>80</v>
      </c>
      <c r="N379" s="4064"/>
      <c r="O379" s="4085" t="s">
        <v>519</v>
      </c>
      <c r="P379" s="630"/>
      <c r="Q379" s="631"/>
      <c r="R379" s="632">
        <f>ROUNDDOWN((ROUNDDOWN(((((2*P378+31)*35)/100+5)),0))*1,0)</f>
        <v>96</v>
      </c>
      <c r="S379" s="4454"/>
      <c r="T379" s="4085" t="s">
        <v>519</v>
      </c>
      <c r="U379" s="630"/>
      <c r="V379" s="631"/>
      <c r="W379" s="632">
        <f>ROUNDDOWN((ROUNDDOWN(((((2*U378+31)*35)/100+5)),0))*1,0)</f>
        <v>90</v>
      </c>
      <c r="X379" s="4067"/>
      <c r="Y379" s="4067"/>
      <c r="Z379" s="4062"/>
      <c r="AA379" s="4062"/>
      <c r="AB379" s="4067"/>
      <c r="AC379" s="4067"/>
      <c r="AD379" s="4067"/>
      <c r="AE379" s="4067"/>
      <c r="AF379" s="4067"/>
      <c r="AG379" s="4067"/>
      <c r="AH379" s="4068"/>
      <c r="AI379" s="3543"/>
    </row>
    <row r="380" ht="16.5" customHeight="1">
      <c r="A380" s="3535"/>
      <c r="B380" s="4086"/>
      <c r="C380" s="4054"/>
      <c r="D380" s="4089"/>
      <c r="E380" s="4462" t="s">
        <v>1449</v>
      </c>
      <c r="F380" s="643"/>
      <c r="G380" s="644"/>
      <c r="H380" s="645">
        <f>ROUNDDOWN(H379*1.5,0)</f>
        <v>115</v>
      </c>
      <c r="I380" s="4087"/>
      <c r="J380" s="4462" t="s">
        <v>1449</v>
      </c>
      <c r="K380" s="643"/>
      <c r="L380" s="644"/>
      <c r="M380" s="645">
        <f>ROUNDDOWN(M379*1.5,0)</f>
        <v>120</v>
      </c>
      <c r="N380" s="4087"/>
      <c r="O380" s="4455"/>
      <c r="P380" s="4456"/>
      <c r="Q380" s="4456"/>
      <c r="R380" s="4090"/>
      <c r="S380" s="4091"/>
      <c r="T380" s="4455"/>
      <c r="U380" s="4456"/>
      <c r="V380" s="4456"/>
      <c r="W380" s="4090"/>
      <c r="X380" s="4090"/>
      <c r="Y380" s="4090"/>
      <c r="Z380" s="4087"/>
      <c r="AA380" s="4087"/>
      <c r="AB380" s="4090"/>
      <c r="AC380" s="4090"/>
      <c r="AD380" s="4090"/>
      <c r="AE380" s="4090"/>
      <c r="AF380" s="4090"/>
      <c r="AG380" s="4090"/>
      <c r="AH380" s="4092"/>
      <c r="AI380" s="3543"/>
    </row>
    <row r="381" ht="15.0" customHeight="1">
      <c r="A381" s="3446"/>
      <c r="B381" s="4093"/>
      <c r="C381" s="4094"/>
      <c r="D381" s="4095"/>
      <c r="E381" s="4113"/>
      <c r="F381" s="4113"/>
      <c r="G381" s="4113"/>
      <c r="H381" s="4096"/>
      <c r="I381" s="4097"/>
      <c r="J381" s="4096"/>
      <c r="K381" s="4096"/>
      <c r="L381" s="4096"/>
      <c r="M381" s="4096"/>
      <c r="N381" s="4097"/>
      <c r="O381" s="4096"/>
      <c r="P381" s="4096"/>
      <c r="Q381" s="4096"/>
      <c r="R381" s="4096"/>
      <c r="S381" s="4095"/>
      <c r="T381" s="4095"/>
      <c r="U381" s="4095"/>
      <c r="V381" s="4095"/>
      <c r="W381" s="4095"/>
      <c r="X381" s="4095"/>
      <c r="Y381" s="4095"/>
      <c r="Z381" s="4095"/>
      <c r="AA381" s="4095"/>
      <c r="AB381" s="4095"/>
      <c r="AC381" s="4095"/>
      <c r="AD381" s="4095"/>
      <c r="AE381" s="4095"/>
      <c r="AF381" s="4095"/>
      <c r="AG381" s="4095"/>
      <c r="AH381" s="4098"/>
      <c r="AI381" s="3452"/>
    </row>
    <row r="382" ht="15.0" customHeight="1">
      <c r="A382" s="3446"/>
      <c r="B382" s="3995"/>
      <c r="C382" s="3996"/>
      <c r="D382" s="3996"/>
      <c r="E382" s="4099"/>
      <c r="F382" s="4099"/>
      <c r="G382" s="4099"/>
      <c r="H382" s="4099"/>
      <c r="I382" s="3996"/>
      <c r="J382" s="4099"/>
      <c r="K382" s="4099"/>
      <c r="L382" s="4099"/>
      <c r="M382" s="4099"/>
      <c r="N382" s="3996"/>
      <c r="O382" s="4099"/>
      <c r="P382" s="4099"/>
      <c r="Q382" s="4099"/>
      <c r="R382" s="4099"/>
      <c r="S382" s="3996"/>
      <c r="T382" s="4099"/>
      <c r="U382" s="4099"/>
      <c r="V382" s="4099"/>
      <c r="W382" s="4099"/>
      <c r="X382" s="3996"/>
      <c r="Y382" s="4099"/>
      <c r="Z382" s="4099"/>
      <c r="AA382" s="4099"/>
      <c r="AB382" s="4099"/>
      <c r="AC382" s="3996"/>
      <c r="AD382" s="3996"/>
      <c r="AE382" s="3996"/>
      <c r="AF382" s="3996"/>
      <c r="AG382" s="3996"/>
      <c r="AH382" s="3997"/>
      <c r="AI382" s="3452"/>
    </row>
    <row r="383" ht="96.75" customHeight="1">
      <c r="A383" s="3446"/>
      <c r="B383" s="3998"/>
      <c r="C383" s="3999" t="str">
        <f>IMAGE("https://i.ibb.co/LSRVQF1/Picnicker.png")</f>
        <v/>
      </c>
      <c r="D383" s="4102"/>
      <c r="E383" s="4451" t="str">
        <f t="array" ref="E383">IFERROR(VLOOKUP(E384,Dex!$B$3:$G1361,3,FALSE),"")</f>
        <v/>
      </c>
      <c r="F383" s="606"/>
      <c r="G383" s="606"/>
      <c r="H383" s="4452"/>
      <c r="I383" s="4103"/>
      <c r="J383" s="4451" t="str">
        <f t="array" ref="J383">IFERROR(VLOOKUP(J384,Dex!$B$3:$G1361,3,FALSE),"")</f>
        <v/>
      </c>
      <c r="K383" s="606"/>
      <c r="L383" s="606"/>
      <c r="M383" s="4452"/>
      <c r="N383" s="4103"/>
      <c r="O383" s="4451" t="str">
        <f t="array" ref="O383">IFERROR(VLOOKUP(O384,Dex!$B$3:$G1361,3,FALSE),"")</f>
        <v/>
      </c>
      <c r="P383" s="606"/>
      <c r="Q383" s="606"/>
      <c r="R383" s="4452"/>
      <c r="S383" s="4104"/>
      <c r="T383" s="4451" t="str">
        <f t="array" ref="T383">IFERROR(VLOOKUP(T384,Dex!$B$3:$G1361,3,FALSE),"")</f>
        <v/>
      </c>
      <c r="U383" s="606"/>
      <c r="V383" s="606"/>
      <c r="W383" s="4452"/>
      <c r="X383" s="4104"/>
      <c r="Y383" s="4451" t="str">
        <f t="array" ref="Y383">IFERROR(VLOOKUP(Y384,Dex!$B$3:$G1361,3,FALSE),"")</f>
        <v/>
      </c>
      <c r="Z383" s="606"/>
      <c r="AA383" s="606"/>
      <c r="AB383" s="4452"/>
      <c r="AC383" s="4105"/>
      <c r="AD383" s="4004"/>
      <c r="AE383" s="4005"/>
      <c r="AF383" s="4005"/>
      <c r="AG383" s="4006"/>
      <c r="AH383" s="4007"/>
      <c r="AI383" s="3452"/>
    </row>
    <row r="384" ht="18.75" customHeight="1">
      <c r="A384" s="3689"/>
      <c r="B384" s="4008"/>
      <c r="C384" s="4009" t="s">
        <v>1478</v>
      </c>
      <c r="D384" s="4106"/>
      <c r="E384" s="4011" t="s">
        <v>303</v>
      </c>
      <c r="F384" s="4012"/>
      <c r="G384" s="4012"/>
      <c r="H384" s="4013"/>
      <c r="J384" s="4011" t="s">
        <v>1479</v>
      </c>
      <c r="K384" s="4012"/>
      <c r="L384" s="4012"/>
      <c r="M384" s="4013"/>
      <c r="O384" s="4011" t="s">
        <v>1480</v>
      </c>
      <c r="P384" s="4012"/>
      <c r="Q384" s="4012"/>
      <c r="R384" s="4013"/>
      <c r="T384" s="4011" t="s">
        <v>1481</v>
      </c>
      <c r="U384" s="4012"/>
      <c r="V384" s="4012"/>
      <c r="W384" s="4013"/>
      <c r="Y384" s="4011" t="s">
        <v>1482</v>
      </c>
      <c r="Z384" s="4012"/>
      <c r="AA384" s="4012"/>
      <c r="AB384" s="4013"/>
      <c r="AC384" s="4107"/>
      <c r="AD384" s="4015"/>
      <c r="AE384" s="4005"/>
      <c r="AF384" s="4005"/>
      <c r="AG384" s="4006"/>
      <c r="AH384" s="4016"/>
      <c r="AI384" s="3700"/>
    </row>
    <row r="385">
      <c r="A385" s="3701"/>
      <c r="B385" s="4017"/>
      <c r="C385" s="1638"/>
      <c r="D385" s="4108"/>
      <c r="E385" s="4019" t="s">
        <v>796</v>
      </c>
      <c r="F385" s="4020"/>
      <c r="G385" s="4020"/>
      <c r="H385" s="4021"/>
      <c r="J385" s="4019" t="s">
        <v>967</v>
      </c>
      <c r="K385" s="4020"/>
      <c r="L385" s="4020"/>
      <c r="M385" s="4021"/>
      <c r="O385" s="4019" t="s">
        <v>729</v>
      </c>
      <c r="P385" s="4020"/>
      <c r="Q385" s="4020"/>
      <c r="R385" s="4021"/>
      <c r="T385" s="4019" t="s">
        <v>729</v>
      </c>
      <c r="U385" s="4020"/>
      <c r="V385" s="4020"/>
      <c r="W385" s="4021"/>
      <c r="Y385" s="4019" t="s">
        <v>729</v>
      </c>
      <c r="Z385" s="4020"/>
      <c r="AA385" s="4020"/>
      <c r="AB385" s="4021"/>
      <c r="AC385" s="4107"/>
      <c r="AD385" s="4022"/>
      <c r="AE385" s="4005"/>
      <c r="AF385" s="4005"/>
      <c r="AG385" s="4006"/>
      <c r="AH385" s="4023"/>
      <c r="AI385" s="3709"/>
    </row>
    <row r="386" ht="25.5" customHeight="1">
      <c r="A386" s="3446"/>
      <c r="B386" s="3998"/>
      <c r="C386" s="1646"/>
      <c r="D386" s="4024"/>
      <c r="E386" s="4025"/>
      <c r="F386" s="4029" t="str">
        <f t="array" ref="F386">IFERROR(VLOOKUP(E384,Dex!$B$3:$H1361,5,FALSE),"")</f>
        <v/>
      </c>
      <c r="G386" s="4030" t="str">
        <f t="array" ref="G386">IFERROR(VLOOKUP(E384,Dex!$B$3:$H1361,7,FALSE),"")</f>
        <v/>
      </c>
      <c r="H386" s="4028"/>
      <c r="J386" s="4025"/>
      <c r="K386" s="4026" t="str">
        <f t="array" ref="K386">IFERROR(VLOOKUP(J384,Dex!$B$3:$H1361,5,FALSE),"")</f>
        <v/>
      </c>
      <c r="L386" s="4027"/>
      <c r="M386" s="4028"/>
      <c r="O386" s="4025"/>
      <c r="P386" s="4026" t="str">
        <f t="array" ref="P386">IFERROR(VLOOKUP(O384,Dex!$B$3:$H1361,5,FALSE),"")</f>
        <v/>
      </c>
      <c r="Q386" s="4027"/>
      <c r="R386" s="4028"/>
      <c r="T386" s="4025"/>
      <c r="U386" s="4026" t="str">
        <f t="array" ref="U386">IFERROR(VLOOKUP(T384,Dex!$B$3:$H1361,5,FALSE),"")</f>
        <v/>
      </c>
      <c r="V386" s="4027"/>
      <c r="W386" s="4028"/>
      <c r="Y386" s="4025"/>
      <c r="Z386" s="4026" t="str">
        <f t="array" ref="Z386">IFERROR(VLOOKUP(Y384,Dex!$B$3:$H1361,5,FALSE),"")</f>
        <v/>
      </c>
      <c r="AA386" s="4027"/>
      <c r="AB386" s="4028"/>
      <c r="AC386" s="4107"/>
      <c r="AD386" s="4004"/>
      <c r="AE386" s="4005"/>
      <c r="AF386" s="4005"/>
      <c r="AG386" s="4006"/>
      <c r="AH386" s="4007"/>
      <c r="AI386" s="3452"/>
    </row>
    <row r="387" ht="2.25" customHeight="1">
      <c r="A387" s="3446"/>
      <c r="B387" s="3998"/>
      <c r="C387" s="4031"/>
      <c r="D387" s="4024"/>
      <c r="E387" s="4032"/>
      <c r="F387" s="4033"/>
      <c r="G387" s="4033"/>
      <c r="H387" s="4034"/>
      <c r="J387" s="4032"/>
      <c r="K387" s="4033"/>
      <c r="L387" s="4033"/>
      <c r="M387" s="4034"/>
      <c r="O387" s="4032"/>
      <c r="P387" s="4033"/>
      <c r="Q387" s="4033"/>
      <c r="R387" s="4034"/>
      <c r="T387" s="4032"/>
      <c r="U387" s="4033"/>
      <c r="V387" s="4033"/>
      <c r="W387" s="4034"/>
      <c r="Y387" s="4032"/>
      <c r="Z387" s="4033"/>
      <c r="AA387" s="4033"/>
      <c r="AB387" s="4034"/>
      <c r="AC387" s="4107"/>
      <c r="AD387" s="4024"/>
      <c r="AE387" s="4024"/>
      <c r="AF387" s="4024"/>
      <c r="AG387" s="4024"/>
      <c r="AH387" s="4007"/>
      <c r="AI387" s="3452"/>
    </row>
    <row r="388" ht="20.25" customHeight="1">
      <c r="A388" s="3446"/>
      <c r="B388" s="3998"/>
      <c r="C388" s="4031"/>
      <c r="D388" s="4004"/>
      <c r="E388" s="4035" t="s">
        <v>565</v>
      </c>
      <c r="F388" s="4036"/>
      <c r="G388" s="4036"/>
      <c r="H388" s="4037"/>
      <c r="J388" s="4035" t="s">
        <v>532</v>
      </c>
      <c r="K388" s="4036"/>
      <c r="L388" s="4036"/>
      <c r="M388" s="4037"/>
      <c r="O388" s="4035" t="s">
        <v>564</v>
      </c>
      <c r="P388" s="4036"/>
      <c r="Q388" s="4036"/>
      <c r="R388" s="4037"/>
      <c r="T388" s="4035" t="s">
        <v>532</v>
      </c>
      <c r="U388" s="4036"/>
      <c r="V388" s="4036"/>
      <c r="W388" s="4037"/>
      <c r="Y388" s="4035" t="s">
        <v>564</v>
      </c>
      <c r="Z388" s="4036"/>
      <c r="AA388" s="4036"/>
      <c r="AB388" s="4037"/>
      <c r="AC388" s="4107"/>
      <c r="AD388" s="4004"/>
      <c r="AE388" s="4005"/>
      <c r="AF388" s="4005"/>
      <c r="AG388" s="4006"/>
      <c r="AH388" s="4007"/>
      <c r="AI388" s="3452"/>
    </row>
    <row r="389" ht="20.25" customHeight="1">
      <c r="A389" s="3446"/>
      <c r="B389" s="3998"/>
      <c r="C389" s="4038"/>
      <c r="D389" s="4004"/>
      <c r="E389" s="4039" t="s">
        <v>1371</v>
      </c>
      <c r="F389" s="4005"/>
      <c r="G389" s="4005"/>
      <c r="H389" s="4040"/>
      <c r="J389" s="4039" t="s">
        <v>1483</v>
      </c>
      <c r="K389" s="4005"/>
      <c r="L389" s="4005"/>
      <c r="M389" s="4040"/>
      <c r="O389" s="4039" t="s">
        <v>1484</v>
      </c>
      <c r="P389" s="4005"/>
      <c r="Q389" s="4005"/>
      <c r="R389" s="4040"/>
      <c r="T389" s="4039" t="s">
        <v>755</v>
      </c>
      <c r="U389" s="4005"/>
      <c r="V389" s="4005"/>
      <c r="W389" s="4040"/>
      <c r="Y389" s="4039" t="s">
        <v>1484</v>
      </c>
      <c r="Z389" s="4005"/>
      <c r="AA389" s="4005"/>
      <c r="AB389" s="4040"/>
      <c r="AC389" s="4107"/>
      <c r="AD389" s="4004"/>
      <c r="AE389" s="4005"/>
      <c r="AF389" s="4005"/>
      <c r="AG389" s="4006"/>
      <c r="AH389" s="4007"/>
      <c r="AI389" s="3452"/>
    </row>
    <row r="390" ht="20.25" customHeight="1">
      <c r="A390" s="3446"/>
      <c r="B390" s="3998"/>
      <c r="C390" s="4014"/>
      <c r="D390" s="4004"/>
      <c r="E390" s="4041" t="s">
        <v>573</v>
      </c>
      <c r="F390" s="4042"/>
      <c r="G390" s="4043"/>
      <c r="H390" s="4044" t="str">
        <f>IMAGE("https://raw.githubusercontent.com/msikma/pokesprite/master/items/hold-item/focus-sash.png",3)</f>
        <v/>
      </c>
      <c r="J390" s="4041" t="s">
        <v>1160</v>
      </c>
      <c r="K390" s="4042"/>
      <c r="L390" s="4043"/>
      <c r="M390" s="4044" t="str">
        <f>IMAGE("https://raw.githubusercontent.com/msikma/pokesprite/master/items/hold-item/silk-scarf.png",3)</f>
        <v/>
      </c>
      <c r="O390" s="4041" t="s">
        <v>1174</v>
      </c>
      <c r="P390" s="4042"/>
      <c r="Q390" s="4043"/>
      <c r="R390" s="4044" t="str">
        <f>IMAGE("https://raw.githubusercontent.com/msikma/pokesprite/master/items/hold-item/expert-belt.png",3)</f>
        <v/>
      </c>
      <c r="T390" s="4041" t="s">
        <v>1485</v>
      </c>
      <c r="U390" s="4042"/>
      <c r="V390" s="4043"/>
      <c r="W390" s="4044" t="str">
        <f>IMAGE("https://raw.githubusercontent.com/msikma/pokesprite/master/items/hold-item/hard-stone.png",3)</f>
        <v/>
      </c>
      <c r="Y390" s="4041" t="s">
        <v>1486</v>
      </c>
      <c r="Z390" s="4042"/>
      <c r="AA390" s="4043"/>
      <c r="AB390" s="4044" t="str">
        <f>IMAGE("https://raw.githubusercontent.com/msikma/pokesprite/master/items/evo-item/magmarizer.png",3)</f>
        <v/>
      </c>
      <c r="AC390" s="4107"/>
      <c r="AD390" s="4004"/>
      <c r="AE390" s="4005"/>
      <c r="AF390" s="4005"/>
      <c r="AG390" s="4006"/>
      <c r="AH390" s="4007"/>
      <c r="AI390" s="3452"/>
    </row>
    <row r="391" ht="20.25" customHeight="1">
      <c r="A391" s="3446"/>
      <c r="B391" s="3998"/>
      <c r="C391" s="4045"/>
      <c r="D391" s="4004"/>
      <c r="E391" s="4035" t="s">
        <v>195</v>
      </c>
      <c r="F391" s="4036"/>
      <c r="G391" s="4046"/>
      <c r="H391" s="4047" t="str">
        <f t="shared" ref="H391:H392" si="8">IMAGE("https://raw.githubusercontent.com/msikma/pokesprite/master/misc/types/gen8/bug.png",4,20,20)</f>
        <v/>
      </c>
      <c r="J391" s="4035" t="s">
        <v>1487</v>
      </c>
      <c r="K391" s="4036"/>
      <c r="L391" s="4046"/>
      <c r="M391" s="4047" t="str">
        <f>IMAGE("https://raw.githubusercontent.com/msikma/pokesprite/master/misc/types/gen8/normal.png",4,20,20)</f>
        <v/>
      </c>
      <c r="O391" s="4035" t="s">
        <v>981</v>
      </c>
      <c r="P391" s="4036"/>
      <c r="Q391" s="4046"/>
      <c r="R391" s="4047" t="str">
        <f>IMAGE("https://raw.githubusercontent.com/msikma/pokesprite/master/misc/types/gen8/water.png",4,20,20)</f>
        <v/>
      </c>
      <c r="T391" s="4035" t="s">
        <v>495</v>
      </c>
      <c r="U391" s="4036"/>
      <c r="V391" s="4046"/>
      <c r="W391" s="4047" t="str">
        <f>IMAGE("https://raw.githubusercontent.com/msikma/pokesprite/master/misc/types/gen8/fighting.png",4,20,20)</f>
        <v/>
      </c>
      <c r="Y391" s="4035" t="s">
        <v>619</v>
      </c>
      <c r="Z391" s="4036"/>
      <c r="AA391" s="4046"/>
      <c r="AB391" s="4047" t="str">
        <f>IMAGE("https://raw.githubusercontent.com/msikma/pokesprite/master/misc/types/gen8/fire.png",4,20,20)</f>
        <v/>
      </c>
      <c r="AC391" s="4107"/>
      <c r="AD391" s="4004"/>
      <c r="AE391" s="4005"/>
      <c r="AF391" s="4005"/>
      <c r="AG391" s="4006"/>
      <c r="AH391" s="4007"/>
      <c r="AI391" s="3452"/>
    </row>
    <row r="392" ht="20.25" customHeight="1">
      <c r="A392" s="3446"/>
      <c r="B392" s="3998"/>
      <c r="C392" s="4031"/>
      <c r="D392" s="4004"/>
      <c r="E392" s="4039" t="s">
        <v>612</v>
      </c>
      <c r="F392" s="4005"/>
      <c r="G392" s="4006"/>
      <c r="H392" s="4048" t="str">
        <f t="shared" si="8"/>
        <v/>
      </c>
      <c r="J392" s="4039" t="s">
        <v>1232</v>
      </c>
      <c r="K392" s="4005"/>
      <c r="L392" s="4006"/>
      <c r="M392" s="4048" t="str">
        <f>IMAGE("https://raw.githubusercontent.com/msikma/pokesprite/master/misc/types/gen8/dark.png",4,20,20)</f>
        <v/>
      </c>
      <c r="O392" s="4039" t="s">
        <v>666</v>
      </c>
      <c r="P392" s="4005"/>
      <c r="Q392" s="4006"/>
      <c r="R392" s="4048" t="str">
        <f>IMAGE("https://raw.githubusercontent.com/msikma/pokesprite/master/misc/types/gen8/dark.png",4,20,20)</f>
        <v/>
      </c>
      <c r="T392" s="4039" t="s">
        <v>1488</v>
      </c>
      <c r="U392" s="4005"/>
      <c r="V392" s="4006"/>
      <c r="W392" s="4048" t="str">
        <f>IMAGE("https://raw.githubusercontent.com/msikma/pokesprite/master/misc/types/gen8/rock.png",4,20,20)</f>
        <v/>
      </c>
      <c r="Y392" s="4039" t="s">
        <v>718</v>
      </c>
      <c r="Z392" s="4005"/>
      <c r="AA392" s="4006"/>
      <c r="AB392" s="4048" t="str">
        <f>IMAGE("https://raw.githubusercontent.com/msikma/pokesprite/master/misc/types/gen8/fighting.png",4,20,20)</f>
        <v/>
      </c>
      <c r="AC392" s="4107"/>
      <c r="AD392" s="4004"/>
      <c r="AE392" s="4005"/>
      <c r="AF392" s="4005"/>
      <c r="AG392" s="4006"/>
      <c r="AH392" s="4007"/>
      <c r="AI392" s="3452"/>
    </row>
    <row r="393" ht="20.25" customHeight="1">
      <c r="A393" s="3446"/>
      <c r="B393" s="3998"/>
      <c r="C393" s="4031"/>
      <c r="D393" s="4004"/>
      <c r="E393" s="4039" t="s">
        <v>641</v>
      </c>
      <c r="F393" s="4005"/>
      <c r="G393" s="4006"/>
      <c r="H393" s="4048" t="str">
        <f>IMAGE("https://raw.githubusercontent.com/msikma/pokesprite/master/misc/types/gen8/fairy.png",4,20,20)</f>
        <v/>
      </c>
      <c r="J393" s="4039" t="s">
        <v>549</v>
      </c>
      <c r="K393" s="4005"/>
      <c r="L393" s="4006"/>
      <c r="M393" s="4048" t="str">
        <f>IMAGE("https://raw.githubusercontent.com/msikma/pokesprite/master/misc/types/gen8/ground.png",4,20,20)</f>
        <v/>
      </c>
      <c r="O393" s="4039" t="s">
        <v>718</v>
      </c>
      <c r="P393" s="4005"/>
      <c r="Q393" s="4006"/>
      <c r="R393" s="4048" t="str">
        <f>IMAGE("https://raw.githubusercontent.com/msikma/pokesprite/master/misc/types/gen8/fighting.png",4,20,20)</f>
        <v/>
      </c>
      <c r="T393" s="4039" t="s">
        <v>549</v>
      </c>
      <c r="U393" s="4005"/>
      <c r="V393" s="4006"/>
      <c r="W393" s="4048" t="str">
        <f>IMAGE("https://raw.githubusercontent.com/msikma/pokesprite/master/misc/types/gen8/ground.png",4,20,20)</f>
        <v/>
      </c>
      <c r="Y393" s="4039" t="s">
        <v>547</v>
      </c>
      <c r="Z393" s="4005"/>
      <c r="AA393" s="4006"/>
      <c r="AB393" s="4048" t="str">
        <f>IMAGE("https://raw.githubusercontent.com/msikma/pokesprite/master/misc/types/gen8/electric.png",4,20,20)</f>
        <v/>
      </c>
      <c r="AC393" s="4107"/>
      <c r="AD393" s="4004"/>
      <c r="AE393" s="4005"/>
      <c r="AF393" s="4005"/>
      <c r="AG393" s="4006"/>
      <c r="AH393" s="4007"/>
      <c r="AI393" s="3452"/>
    </row>
    <row r="394" ht="21.0" customHeight="1">
      <c r="A394" s="3446"/>
      <c r="B394" s="3998"/>
      <c r="C394" s="4031"/>
      <c r="D394" s="4004"/>
      <c r="E394" s="4049" t="s">
        <v>1271</v>
      </c>
      <c r="F394" s="4050"/>
      <c r="G394" s="4051"/>
      <c r="H394" s="4052" t="str">
        <f>IMAGE("https://raw.githubusercontent.com/msikma/pokesprite/master/misc/types/gen8/grass.png",4,20,20)</f>
        <v/>
      </c>
      <c r="I394" s="4109"/>
      <c r="J394" s="4049" t="s">
        <v>588</v>
      </c>
      <c r="K394" s="4050"/>
      <c r="L394" s="4051"/>
      <c r="M394" s="4052" t="str">
        <f>IMAGE("https://raw.githubusercontent.com/msikma/pokesprite/master/misc/types/gen8/rock.png",4,20,20)</f>
        <v/>
      </c>
      <c r="N394" s="4109"/>
      <c r="O394" s="4049" t="s">
        <v>670</v>
      </c>
      <c r="P394" s="4050"/>
      <c r="Q394" s="4051"/>
      <c r="R394" s="4052" t="str">
        <f>IMAGE("https://raw.githubusercontent.com/msikma/pokesprite/master/misc/types/gen8/ice.png",4,20,20)</f>
        <v/>
      </c>
      <c r="S394" s="4109"/>
      <c r="T394" s="4049" t="s">
        <v>1137</v>
      </c>
      <c r="U394" s="4050"/>
      <c r="V394" s="4051"/>
      <c r="W394" s="4052" t="str">
        <f>IMAGE("https://raw.githubusercontent.com/msikma/pokesprite/master/misc/types/gen8/rock.png",4,20,20)</f>
        <v/>
      </c>
      <c r="X394" s="4109"/>
      <c r="Y394" s="4049" t="s">
        <v>666</v>
      </c>
      <c r="Z394" s="4050"/>
      <c r="AA394" s="4051"/>
      <c r="AB394" s="4052" t="str">
        <f>IMAGE("https://raw.githubusercontent.com/msikma/pokesprite/master/misc/types/gen8/dark.png",4,20,20)</f>
        <v/>
      </c>
      <c r="AC394" s="4110"/>
      <c r="AD394" s="4004"/>
      <c r="AE394" s="4005"/>
      <c r="AF394" s="4005"/>
      <c r="AG394" s="4006"/>
      <c r="AH394" s="4007"/>
      <c r="AI394" s="3452"/>
    </row>
    <row r="395" ht="3.0" customHeight="1">
      <c r="A395" s="3524"/>
      <c r="B395" s="4053"/>
      <c r="C395" s="4054"/>
      <c r="D395" s="4055"/>
      <c r="E395" s="4112"/>
      <c r="F395" s="4112"/>
      <c r="G395" s="4112"/>
      <c r="H395" s="4056"/>
      <c r="I395" s="4055"/>
      <c r="J395" s="4112"/>
      <c r="K395" s="4112"/>
      <c r="L395" s="4112"/>
      <c r="M395" s="4111"/>
      <c r="N395" s="4055"/>
      <c r="O395" s="4112"/>
      <c r="P395" s="4112"/>
      <c r="Q395" s="4112"/>
      <c r="R395" s="4111"/>
      <c r="S395" s="4056"/>
      <c r="T395" s="4112"/>
      <c r="U395" s="4112"/>
      <c r="V395" s="4112"/>
      <c r="W395" s="4111"/>
      <c r="X395" s="4055"/>
      <c r="Y395" s="4112"/>
      <c r="Z395" s="4112"/>
      <c r="AA395" s="4112"/>
      <c r="AB395" s="4111"/>
      <c r="AC395" s="4059"/>
      <c r="AD395" s="4059"/>
      <c r="AE395" s="4059"/>
      <c r="AF395" s="4059"/>
      <c r="AG395" s="4059"/>
      <c r="AH395" s="4060"/>
      <c r="AI395" s="3534"/>
    </row>
    <row r="396" ht="16.5" customHeight="1">
      <c r="A396" s="3535"/>
      <c r="B396" s="4061"/>
      <c r="C396" s="4054"/>
      <c r="D396" s="4064"/>
      <c r="E396" s="4063" t="s">
        <v>512</v>
      </c>
      <c r="F396" s="606"/>
      <c r="G396" s="606"/>
      <c r="H396" s="607"/>
      <c r="I396" s="4064"/>
      <c r="J396" s="4063" t="s">
        <v>512</v>
      </c>
      <c r="K396" s="606"/>
      <c r="L396" s="606"/>
      <c r="M396" s="607"/>
      <c r="N396" s="4064"/>
      <c r="O396" s="4063" t="s">
        <v>512</v>
      </c>
      <c r="P396" s="606"/>
      <c r="Q396" s="606"/>
      <c r="R396" s="607"/>
      <c r="S396" s="4453"/>
      <c r="T396" s="4063" t="s">
        <v>512</v>
      </c>
      <c r="U396" s="606"/>
      <c r="V396" s="606"/>
      <c r="W396" s="607"/>
      <c r="X396" s="4067"/>
      <c r="Y396" s="4063" t="s">
        <v>512</v>
      </c>
      <c r="Z396" s="606"/>
      <c r="AA396" s="606"/>
      <c r="AB396" s="607"/>
      <c r="AC396" s="4067"/>
      <c r="AD396" s="4067"/>
      <c r="AE396" s="4067"/>
      <c r="AF396" s="4067"/>
      <c r="AG396" s="4067"/>
      <c r="AH396" s="4068"/>
      <c r="AI396" s="3543"/>
    </row>
    <row r="397" ht="16.5" customHeight="1">
      <c r="A397" s="3535"/>
      <c r="B397" s="4061"/>
      <c r="C397" s="4054"/>
      <c r="D397" s="4062"/>
      <c r="E397" s="4069" t="s">
        <v>513</v>
      </c>
      <c r="F397" s="4070">
        <f t="array" ref="F397">IFERROR(VLOOKUP(E384,Dex!$B$3:$N1361,8,FALSE),"")</f>
        <v>60</v>
      </c>
      <c r="G397" s="4071" t="str">
        <f t="array" ref="G397">IFERROR(VLOOKUP(F397,Dex!$P$22:$Q$276,2,FALSE),"")</f>
        <v/>
      </c>
      <c r="H397" s="4072"/>
      <c r="I397" s="4062"/>
      <c r="J397" s="4069" t="s">
        <v>513</v>
      </c>
      <c r="K397" s="4070">
        <f t="array" ref="K397">IFERROR(VLOOKUP(J384,Dex!$B$3:$N1361,8,FALSE),"")</f>
        <v>100</v>
      </c>
      <c r="L397" s="4071" t="str">
        <f t="array" ref="L397">IFERROR(VLOOKUP(K397,Dex!$P$22:$Q$276,2,FALSE),"")</f>
        <v/>
      </c>
      <c r="M397" s="4072"/>
      <c r="N397" s="4062"/>
      <c r="O397" s="4069" t="s">
        <v>513</v>
      </c>
      <c r="P397" s="4070">
        <f t="array" ref="P397">IFERROR(VLOOKUP(O384,Dex!$B$3:$N1361,8,FALSE),"")</f>
        <v>71</v>
      </c>
      <c r="Q397" s="4071" t="str">
        <f t="array" ref="Q397">IFERROR(VLOOKUP(P397,Dex!$P$22:$Q$276,2,FALSE),"")</f>
        <v/>
      </c>
      <c r="R397" s="4072"/>
      <c r="S397" s="4073"/>
      <c r="T397" s="4069" t="s">
        <v>513</v>
      </c>
      <c r="U397" s="4070">
        <f t="array" ref="U397">IFERROR(VLOOKUP(T384,Dex!$B$3:$N1361,8,FALSE),"")</f>
        <v>97</v>
      </c>
      <c r="V397" s="4071" t="str">
        <f t="array" ref="V397">IFERROR(VLOOKUP(U397,Dex!$P$22:$Q$276,2,FALSE),"")</f>
        <v/>
      </c>
      <c r="W397" s="4072"/>
      <c r="X397" s="4067"/>
      <c r="Y397" s="4069" t="s">
        <v>513</v>
      </c>
      <c r="Z397" s="4070">
        <f t="array" ref="Z397">IFERROR(VLOOKUP(Y384,Dex!$B$3:$N1361,8,FALSE),"")</f>
        <v>75</v>
      </c>
      <c r="AA397" s="4071" t="str">
        <f t="array" ref="AA397">IFERROR(VLOOKUP(Z397,Dex!$P$22:$Q$276,2,FALSE),"")</f>
        <v/>
      </c>
      <c r="AB397" s="4072"/>
      <c r="AC397" s="4067"/>
      <c r="AD397" s="4067"/>
      <c r="AE397" s="4067"/>
      <c r="AF397" s="4067"/>
      <c r="AG397" s="4067"/>
      <c r="AH397" s="4068"/>
      <c r="AI397" s="3543"/>
    </row>
    <row r="398" ht="16.5" customHeight="1">
      <c r="A398" s="3535"/>
      <c r="B398" s="4061"/>
      <c r="C398" s="4054"/>
      <c r="D398" s="4062"/>
      <c r="E398" s="4075" t="s">
        <v>514</v>
      </c>
      <c r="F398" s="4076">
        <f t="array" ref="F398">IFERROR(VLOOKUP(E384,Dex!$B$3:$N1361,9,FALSE),"")</f>
        <v>55</v>
      </c>
      <c r="G398" s="4077" t="str">
        <f t="array" ref="G398">IFERROR(VLOOKUP(F398,Dex!$P$22:$Q$276,2,FALSE),"")</f>
        <v/>
      </c>
      <c r="H398" s="4078"/>
      <c r="I398" s="4062"/>
      <c r="J398" s="4075" t="s">
        <v>514</v>
      </c>
      <c r="K398" s="4076">
        <f t="array" ref="K398">IFERROR(VLOOKUP(J384,Dex!$B$3:$N1361,9,FALSE),"")</f>
        <v>110</v>
      </c>
      <c r="L398" s="4077" t="str">
        <f t="array" ref="L398">IFERROR(VLOOKUP(K398,Dex!$P$22:$Q$276,2,FALSE),"")</f>
        <v/>
      </c>
      <c r="M398" s="4078"/>
      <c r="N398" s="4062"/>
      <c r="O398" s="4075" t="s">
        <v>514</v>
      </c>
      <c r="P398" s="4076">
        <f t="array" ref="P398">IFERROR(VLOOKUP(O384,Dex!$B$3:$N1361,9,FALSE),"")</f>
        <v>73</v>
      </c>
      <c r="Q398" s="4077" t="str">
        <f t="array" ref="Q398">IFERROR(VLOOKUP(P398,Dex!$P$22:$Q$276,2,FALSE),"")</f>
        <v/>
      </c>
      <c r="R398" s="4078"/>
      <c r="S398" s="4073"/>
      <c r="T398" s="4075" t="s">
        <v>514</v>
      </c>
      <c r="U398" s="4076">
        <f t="array" ref="U398">IFERROR(VLOOKUP(T384,Dex!$B$3:$N1361,9,FALSE),"")</f>
        <v>165</v>
      </c>
      <c r="V398" s="4077" t="str">
        <f t="array" ref="V398">IFERROR(VLOOKUP(U398,Dex!$P$22:$Q$276,2,FALSE),"")</f>
        <v/>
      </c>
      <c r="W398" s="4078"/>
      <c r="X398" s="4067"/>
      <c r="Y398" s="4075" t="s">
        <v>514</v>
      </c>
      <c r="Z398" s="4076">
        <f t="array" ref="Z398">IFERROR(VLOOKUP(Y384,Dex!$B$3:$N1361,9,FALSE),"")</f>
        <v>80</v>
      </c>
      <c r="AA398" s="4077" t="str">
        <f t="array" ref="AA398">IFERROR(VLOOKUP(Z398,Dex!$P$22:$Q$276,2,FALSE),"")</f>
        <v/>
      </c>
      <c r="AB398" s="4078"/>
      <c r="AC398" s="4067"/>
      <c r="AD398" s="4067"/>
      <c r="AE398" s="4067"/>
      <c r="AF398" s="4067"/>
      <c r="AG398" s="4067"/>
      <c r="AH398" s="4068"/>
      <c r="AI398" s="3543"/>
    </row>
    <row r="399" ht="16.5" customHeight="1">
      <c r="A399" s="3535"/>
      <c r="B399" s="4061"/>
      <c r="C399" s="4054"/>
      <c r="D399" s="4062"/>
      <c r="E399" s="4075" t="s">
        <v>515</v>
      </c>
      <c r="F399" s="4076">
        <f t="array" ref="F399">IFERROR(VLOOKUP(E384,Dex!$B$3:$N1361,10,FALSE),"")</f>
        <v>60</v>
      </c>
      <c r="G399" s="4077" t="str">
        <f t="array" ref="G399">IFERROR(VLOOKUP(F399,Dex!$P$22:$Q$276,2,FALSE),"")</f>
        <v/>
      </c>
      <c r="H399" s="4078"/>
      <c r="I399" s="4062"/>
      <c r="J399" s="4075" t="s">
        <v>515</v>
      </c>
      <c r="K399" s="4076">
        <f t="array" ref="K399">IFERROR(VLOOKUP(J384,Dex!$B$3:$N1361,10,FALSE),"")</f>
        <v>95</v>
      </c>
      <c r="L399" s="4077" t="str">
        <f t="array" ref="L399">IFERROR(VLOOKUP(K399,Dex!$P$22:$Q$276,2,FALSE),"")</f>
        <v/>
      </c>
      <c r="M399" s="4078"/>
      <c r="N399" s="4062"/>
      <c r="O399" s="4075" t="s">
        <v>515</v>
      </c>
      <c r="P399" s="4076">
        <f t="array" ref="P399">IFERROR(VLOOKUP(O384,Dex!$B$3:$N1361,10,FALSE),"")</f>
        <v>88</v>
      </c>
      <c r="Q399" s="4077" t="str">
        <f t="array" ref="Q399">IFERROR(VLOOKUP(P399,Dex!$P$22:$Q$276,2,FALSE),"")</f>
        <v/>
      </c>
      <c r="R399" s="4078"/>
      <c r="S399" s="4073"/>
      <c r="T399" s="4075" t="s">
        <v>515</v>
      </c>
      <c r="U399" s="4076">
        <f t="array" ref="U399">IFERROR(VLOOKUP(T384,Dex!$B$3:$N1361,10,FALSE),"")</f>
        <v>60</v>
      </c>
      <c r="V399" s="4077" t="str">
        <f t="array" ref="V399">IFERROR(VLOOKUP(U399,Dex!$P$22:$Q$276,2,FALSE),"")</f>
        <v/>
      </c>
      <c r="W399" s="4078"/>
      <c r="X399" s="4067"/>
      <c r="Y399" s="4075" t="s">
        <v>515</v>
      </c>
      <c r="Z399" s="4076">
        <f t="array" ref="Z399">IFERROR(VLOOKUP(Y384,Dex!$B$3:$N1361,10,FALSE),"")</f>
        <v>67</v>
      </c>
      <c r="AA399" s="4077" t="str">
        <f t="array" ref="AA399">IFERROR(VLOOKUP(Z399,Dex!$P$22:$Q$276,2,FALSE),"")</f>
        <v/>
      </c>
      <c r="AB399" s="4078"/>
      <c r="AC399" s="4067"/>
      <c r="AD399" s="4067"/>
      <c r="AE399" s="4067"/>
      <c r="AF399" s="4067"/>
      <c r="AG399" s="4067"/>
      <c r="AH399" s="4068"/>
      <c r="AI399" s="3543"/>
    </row>
    <row r="400" ht="16.5" customHeight="1">
      <c r="A400" s="3535"/>
      <c r="B400" s="4061"/>
      <c r="C400" s="4054"/>
      <c r="D400" s="4062"/>
      <c r="E400" s="4075" t="s">
        <v>516</v>
      </c>
      <c r="F400" s="4076">
        <f t="array" ref="F400">IFERROR(VLOOKUP(E384,Dex!$B$3:$N1361,11,FALSE),"")</f>
        <v>95</v>
      </c>
      <c r="G400" s="4077" t="str">
        <f t="array" ref="G400">IFERROR(VLOOKUP(F400,Dex!$P$22:$Q$276,2,FALSE),"")</f>
        <v/>
      </c>
      <c r="H400" s="4078"/>
      <c r="I400" s="4062"/>
      <c r="J400" s="4075" t="s">
        <v>516</v>
      </c>
      <c r="K400" s="4076">
        <f t="array" ref="K400">IFERROR(VLOOKUP(J384,Dex!$B$3:$N1361,11,FALSE),"")</f>
        <v>40</v>
      </c>
      <c r="L400" s="4077" t="str">
        <f t="array" ref="L400">IFERROR(VLOOKUP(K400,Dex!$P$22:$Q$276,2,FALSE),"")</f>
        <v/>
      </c>
      <c r="M400" s="4078"/>
      <c r="N400" s="4062"/>
      <c r="O400" s="4075" t="s">
        <v>516</v>
      </c>
      <c r="P400" s="4076">
        <f t="array" ref="P400">IFERROR(VLOOKUP(O384,Dex!$B$3:$N1361,11,FALSE),"")</f>
        <v>120</v>
      </c>
      <c r="Q400" s="4077" t="str">
        <f t="array" ref="Q400">IFERROR(VLOOKUP(P400,Dex!$P$22:$Q$276,2,FALSE),"")</f>
        <v/>
      </c>
      <c r="R400" s="4078"/>
      <c r="S400" s="4073"/>
      <c r="T400" s="4075" t="s">
        <v>516</v>
      </c>
      <c r="U400" s="4076">
        <f t="array" ref="U400">IFERROR(VLOOKUP(T384,Dex!$B$3:$N1361,11,FALSE),"")</f>
        <v>65</v>
      </c>
      <c r="V400" s="4077" t="str">
        <f t="array" ref="V400">IFERROR(VLOOKUP(U400,Dex!$P$22:$Q$276,2,FALSE),"")</f>
        <v/>
      </c>
      <c r="W400" s="4078"/>
      <c r="X400" s="4067"/>
      <c r="Y400" s="4075" t="s">
        <v>516</v>
      </c>
      <c r="Z400" s="4076">
        <f t="array" ref="Z400">IFERROR(VLOOKUP(Y384,Dex!$B$3:$N1361,11,FALSE),"")</f>
        <v>125</v>
      </c>
      <c r="AA400" s="4077" t="str">
        <f t="array" ref="AA400">IFERROR(VLOOKUP(Z400,Dex!$P$22:$Q$276,2,FALSE),"")</f>
        <v/>
      </c>
      <c r="AB400" s="4078"/>
      <c r="AC400" s="4067"/>
      <c r="AD400" s="4067"/>
      <c r="AE400" s="4067"/>
      <c r="AF400" s="4067"/>
      <c r="AG400" s="4067"/>
      <c r="AH400" s="4068"/>
      <c r="AI400" s="3543"/>
    </row>
    <row r="401" ht="16.5" customHeight="1">
      <c r="A401" s="3535"/>
      <c r="B401" s="4061"/>
      <c r="C401" s="4054"/>
      <c r="D401" s="4062"/>
      <c r="E401" s="4075" t="s">
        <v>517</v>
      </c>
      <c r="F401" s="4076">
        <f t="array" ref="F401">IFERROR(VLOOKUP(E384,Dex!$B$3:$N1361,12,FALSE),"")</f>
        <v>70</v>
      </c>
      <c r="G401" s="4077" t="str">
        <f t="array" ref="G401">IFERROR(VLOOKUP(F401,Dex!$P$22:$Q$276,2,FALSE),"")</f>
        <v/>
      </c>
      <c r="H401" s="4078"/>
      <c r="I401" s="4062"/>
      <c r="J401" s="4075" t="s">
        <v>517</v>
      </c>
      <c r="K401" s="4076">
        <f t="array" ref="K401">IFERROR(VLOOKUP(J384,Dex!$B$3:$N1361,12,FALSE),"")</f>
        <v>95</v>
      </c>
      <c r="L401" s="4077" t="str">
        <f t="array" ref="L401">IFERROR(VLOOKUP(K401,Dex!$P$22:$Q$276,2,FALSE),"")</f>
        <v/>
      </c>
      <c r="M401" s="4078"/>
      <c r="N401" s="4062"/>
      <c r="O401" s="4075" t="s">
        <v>517</v>
      </c>
      <c r="P401" s="4076">
        <f t="array" ref="P401">IFERROR(VLOOKUP(O384,Dex!$B$3:$N1361,12,FALSE),"")</f>
        <v>89</v>
      </c>
      <c r="Q401" s="4077" t="str">
        <f t="array" ref="Q401">IFERROR(VLOOKUP(P401,Dex!$P$22:$Q$276,2,FALSE),"")</f>
        <v/>
      </c>
      <c r="R401" s="4078"/>
      <c r="S401" s="4073"/>
      <c r="T401" s="4075" t="s">
        <v>517</v>
      </c>
      <c r="U401" s="4076">
        <f t="array" ref="U401">IFERROR(VLOOKUP(T384,Dex!$B$3:$N1361,12,FALSE),"")</f>
        <v>50</v>
      </c>
      <c r="V401" s="4077" t="str">
        <f t="array" ref="V401">IFERROR(VLOOKUP(U401,Dex!$P$22:$Q$276,2,FALSE),"")</f>
        <v/>
      </c>
      <c r="W401" s="4078"/>
      <c r="X401" s="4067"/>
      <c r="Y401" s="4075" t="s">
        <v>517</v>
      </c>
      <c r="Z401" s="4076">
        <f t="array" ref="Z401">IFERROR(VLOOKUP(Y384,Dex!$B$3:$N1361,12,FALSE),"")</f>
        <v>95</v>
      </c>
      <c r="AA401" s="4077" t="str">
        <f t="array" ref="AA401">IFERROR(VLOOKUP(Z401,Dex!$P$22:$Q$276,2,FALSE),"")</f>
        <v/>
      </c>
      <c r="AB401" s="4078"/>
      <c r="AC401" s="4067"/>
      <c r="AD401" s="4067"/>
      <c r="AE401" s="4067"/>
      <c r="AF401" s="4067"/>
      <c r="AG401" s="4067"/>
      <c r="AH401" s="4068"/>
      <c r="AI401" s="3543"/>
    </row>
    <row r="402" ht="16.5" customHeight="1">
      <c r="A402" s="3535"/>
      <c r="B402" s="4061"/>
      <c r="C402" s="1426" t="s">
        <v>745</v>
      </c>
      <c r="D402" s="4062"/>
      <c r="E402" s="4081" t="s">
        <v>518</v>
      </c>
      <c r="F402" s="4082">
        <f t="array" ref="F402">IFERROR(VLOOKUP(E384,Dex!$B$3:$N1361,13,FALSE),"")</f>
        <v>124</v>
      </c>
      <c r="G402" s="4459" t="str">
        <f t="array" ref="G402">IFERROR(VLOOKUP(F402,Dex!$P$22:$Q$276,2,FALSE),"")</f>
        <v/>
      </c>
      <c r="H402" s="4460"/>
      <c r="I402" s="4062"/>
      <c r="J402" s="4081" t="s">
        <v>518</v>
      </c>
      <c r="K402" s="4082">
        <f t="array" ref="K402">IFERROR(VLOOKUP(J384,Dex!$B$3:$N1361,13,FALSE),"")</f>
        <v>65</v>
      </c>
      <c r="L402" s="4459" t="str">
        <f t="array" ref="L402">IFERROR(VLOOKUP(K402,Dex!$P$22:$Q$276,2,FALSE),"")</f>
        <v/>
      </c>
      <c r="M402" s="4460"/>
      <c r="N402" s="4062"/>
      <c r="O402" s="4081" t="s">
        <v>518</v>
      </c>
      <c r="P402" s="4082">
        <f t="array" ref="P402">IFERROR(VLOOKUP(O384,Dex!$B$3:$N1361,13,FALSE),"")</f>
        <v>72</v>
      </c>
      <c r="Q402" s="4083" t="str">
        <f t="array" ref="Q402">IFERROR(VLOOKUP(P402,Dex!$P$22:$Q$276,2,FALSE),"")</f>
        <v/>
      </c>
      <c r="R402" s="4084"/>
      <c r="S402" s="4073"/>
      <c r="T402" s="4081" t="s">
        <v>518</v>
      </c>
      <c r="U402" s="4082">
        <f t="array" ref="U402">IFERROR(VLOOKUP(T384,Dex!$B$3:$N1361,13,FALSE),"")</f>
        <v>58</v>
      </c>
      <c r="V402" s="4083" t="str">
        <f t="array" ref="V402">IFERROR(VLOOKUP(U402,Dex!$P$22:$Q$276,2,FALSE),"")</f>
        <v/>
      </c>
      <c r="W402" s="4084"/>
      <c r="X402" s="4067"/>
      <c r="Y402" s="4081" t="s">
        <v>518</v>
      </c>
      <c r="Z402" s="4082">
        <f t="array" ref="Z402">IFERROR(VLOOKUP(Y384,Dex!$B$3:$N1361,13,FALSE),"")</f>
        <v>98</v>
      </c>
      <c r="AA402" s="4083" t="str">
        <f t="array" ref="AA402">IFERROR(VLOOKUP(Z402,Dex!$P$22:$Q$276,2,FALSE),"")</f>
        <v/>
      </c>
      <c r="AB402" s="4084"/>
      <c r="AC402" s="4067"/>
      <c r="AD402" s="4067"/>
      <c r="AE402" s="4067"/>
      <c r="AF402" s="4067"/>
      <c r="AG402" s="4067"/>
      <c r="AH402" s="4068"/>
      <c r="AI402" s="3543"/>
    </row>
    <row r="403" ht="16.5" customHeight="1">
      <c r="A403" s="3535"/>
      <c r="B403" s="4061"/>
      <c r="C403" s="1427" t="s">
        <v>880</v>
      </c>
      <c r="D403" s="4064"/>
      <c r="E403" s="4085" t="s">
        <v>519</v>
      </c>
      <c r="F403" s="630"/>
      <c r="G403" s="631"/>
      <c r="H403" s="632">
        <f>ROUNDDOWN((ROUNDDOWN(((((2*F402+31)*34)/100+5)),0))*1.1,0)</f>
        <v>108</v>
      </c>
      <c r="I403" s="4064"/>
      <c r="J403" s="4461" t="s">
        <v>519</v>
      </c>
      <c r="K403" s="635"/>
      <c r="L403" s="636"/>
      <c r="M403" s="632">
        <f>ROUNDDOWN((ROUNDDOWN(((((2*K402+31)*35)/100+5)),0))*1.1,0)</f>
        <v>67</v>
      </c>
      <c r="N403" s="4064"/>
      <c r="O403" s="4085" t="s">
        <v>519</v>
      </c>
      <c r="P403" s="630"/>
      <c r="Q403" s="631"/>
      <c r="R403" s="632">
        <f>ROUNDDOWN((ROUNDDOWN(((((2*P402+31)*36)/100+5)),0))*1.1,0)</f>
        <v>74</v>
      </c>
      <c r="S403" s="4454"/>
      <c r="T403" s="4085" t="s">
        <v>519</v>
      </c>
      <c r="U403" s="630"/>
      <c r="V403" s="631"/>
      <c r="W403" s="632">
        <f>ROUNDDOWN((ROUNDDOWN(((((2*U402+31)*36)/100+5)),0))*1.1,0)</f>
        <v>62</v>
      </c>
      <c r="X403" s="4067"/>
      <c r="Y403" s="4085" t="s">
        <v>519</v>
      </c>
      <c r="Z403" s="630"/>
      <c r="AA403" s="631"/>
      <c r="AB403" s="632">
        <f>ROUNDDOWN((ROUNDDOWN(((((2*Z402+31)*36)/100+5)),0))*1.1,0)</f>
        <v>94</v>
      </c>
      <c r="AC403" s="4067"/>
      <c r="AD403" s="4067"/>
      <c r="AE403" s="4067"/>
      <c r="AF403" s="4067"/>
      <c r="AG403" s="4067"/>
      <c r="AH403" s="4068"/>
      <c r="AI403" s="3543"/>
    </row>
    <row r="404" ht="16.5" customHeight="1">
      <c r="A404" s="3535"/>
      <c r="B404" s="4086"/>
      <c r="C404" s="4054"/>
      <c r="D404" s="4089"/>
      <c r="E404" s="4054"/>
      <c r="F404" s="4054"/>
      <c r="G404" s="4054"/>
      <c r="H404" s="4090"/>
      <c r="I404" s="4087"/>
      <c r="J404" s="4462" t="s">
        <v>1489</v>
      </c>
      <c r="K404" s="643"/>
      <c r="L404" s="644"/>
      <c r="M404" s="645">
        <f>ROUNDDOWN(M403*1.5,0)</f>
        <v>100</v>
      </c>
      <c r="N404" s="4087"/>
      <c r="O404" s="4455"/>
      <c r="P404" s="4456"/>
      <c r="Q404" s="4456"/>
      <c r="R404" s="4090"/>
      <c r="S404" s="4091"/>
      <c r="T404" s="4455"/>
      <c r="U404" s="4456"/>
      <c r="V404" s="4456"/>
      <c r="W404" s="4090"/>
      <c r="X404" s="4090"/>
      <c r="Y404" s="4090"/>
      <c r="Z404" s="4087"/>
      <c r="AA404" s="4087"/>
      <c r="AB404" s="4090"/>
      <c r="AC404" s="4090"/>
      <c r="AD404" s="4090"/>
      <c r="AE404" s="4090"/>
      <c r="AF404" s="4090"/>
      <c r="AG404" s="4090"/>
      <c r="AH404" s="4092"/>
      <c r="AI404" s="3543"/>
    </row>
    <row r="405" ht="15.0" customHeight="1">
      <c r="A405" s="3446"/>
      <c r="B405" s="4093"/>
      <c r="C405" s="4094"/>
      <c r="D405" s="4095"/>
      <c r="E405" s="4094"/>
      <c r="F405" s="4094"/>
      <c r="G405" s="4094"/>
      <c r="H405" s="4096"/>
      <c r="I405" s="4097"/>
      <c r="J405" s="4096"/>
      <c r="K405" s="4096"/>
      <c r="L405" s="4096"/>
      <c r="M405" s="4096"/>
      <c r="N405" s="4097"/>
      <c r="O405" s="4096"/>
      <c r="P405" s="4096"/>
      <c r="Q405" s="4096"/>
      <c r="R405" s="4096"/>
      <c r="S405" s="4095"/>
      <c r="T405" s="4095"/>
      <c r="U405" s="4095"/>
      <c r="V405" s="4095"/>
      <c r="W405" s="4095"/>
      <c r="X405" s="4095"/>
      <c r="Y405" s="4095"/>
      <c r="Z405" s="4095"/>
      <c r="AA405" s="4095"/>
      <c r="AB405" s="4095"/>
      <c r="AC405" s="4095"/>
      <c r="AD405" s="4095"/>
      <c r="AE405" s="4095"/>
      <c r="AF405" s="4095"/>
      <c r="AG405" s="4095"/>
      <c r="AH405" s="4098"/>
      <c r="AI405" s="3452"/>
    </row>
    <row r="406" ht="15.0" customHeight="1">
      <c r="A406" s="3446"/>
      <c r="B406" s="4463"/>
      <c r="C406" s="4464"/>
      <c r="D406" s="4465"/>
      <c r="E406" s="4464"/>
      <c r="F406" s="4464"/>
      <c r="G406" s="4464"/>
      <c r="H406" s="4464"/>
      <c r="I406" s="4465"/>
      <c r="J406" s="4464"/>
      <c r="K406" s="4464"/>
      <c r="L406" s="4464"/>
      <c r="M406" s="4464"/>
      <c r="N406" s="4465"/>
      <c r="O406" s="4464"/>
      <c r="P406" s="4464"/>
      <c r="Q406" s="4464"/>
      <c r="R406" s="4464"/>
      <c r="S406" s="4465"/>
      <c r="T406" s="4464"/>
      <c r="U406" s="4464"/>
      <c r="V406" s="4464"/>
      <c r="W406" s="4464"/>
      <c r="X406" s="4465"/>
      <c r="Y406" s="4464"/>
      <c r="Z406" s="4464"/>
      <c r="AA406" s="4464"/>
      <c r="AB406" s="4464"/>
      <c r="AC406" s="4465"/>
      <c r="AD406" s="4465"/>
      <c r="AE406" s="4465"/>
      <c r="AF406" s="4465"/>
      <c r="AG406" s="4465"/>
      <c r="AH406" s="4466"/>
      <c r="AI406" s="3452"/>
    </row>
    <row r="407">
      <c r="A407" s="3446"/>
      <c r="B407" s="4463"/>
      <c r="C407" s="4467"/>
      <c r="D407" s="4467"/>
      <c r="E407" s="4468" t="s">
        <v>1490</v>
      </c>
      <c r="F407" s="4469"/>
      <c r="G407" s="4469"/>
      <c r="H407" s="4469"/>
      <c r="I407" s="4469"/>
      <c r="J407" s="4469"/>
      <c r="K407" s="4469"/>
      <c r="L407" s="4469"/>
      <c r="M407" s="4469"/>
      <c r="N407" s="4469"/>
      <c r="O407" s="4469"/>
      <c r="P407" s="4469"/>
      <c r="Q407" s="4469"/>
      <c r="R407" s="4469"/>
      <c r="S407" s="4469"/>
      <c r="T407" s="4469"/>
      <c r="U407" s="4469"/>
      <c r="V407" s="4469"/>
      <c r="W407" s="4469"/>
      <c r="X407" s="4469"/>
      <c r="Y407" s="4469"/>
      <c r="Z407" s="4469"/>
      <c r="AA407" s="4469"/>
      <c r="AB407" s="4469"/>
      <c r="AC407" s="4469"/>
      <c r="AD407" s="4469"/>
      <c r="AE407" s="4469"/>
      <c r="AF407" s="4469"/>
      <c r="AG407" s="4470"/>
      <c r="AH407" s="4466"/>
      <c r="AI407" s="3452"/>
    </row>
    <row r="408" ht="96.75" customHeight="1">
      <c r="A408" s="3446"/>
      <c r="B408" s="4471"/>
      <c r="C408" s="4472" t="str">
        <f>IMAGE("https://i.ibb.co/zx5YWZc/Poke-Maniac.png")</f>
        <v/>
      </c>
      <c r="D408" s="4473"/>
      <c r="E408" s="4474" t="str">
        <f t="array" ref="E408">IFERROR(VLOOKUP(E409,Dex!$B$3:$G1361,3,FALSE),"")</f>
        <v/>
      </c>
      <c r="F408" s="606"/>
      <c r="G408" s="606"/>
      <c r="H408" s="4452"/>
      <c r="I408" s="4475"/>
      <c r="J408" s="4474" t="str">
        <f t="array" ref="J408">IFERROR(VLOOKUP(J409,Dex!$B$3:$G1361,3,FALSE),"")</f>
        <v/>
      </c>
      <c r="K408" s="606"/>
      <c r="L408" s="606"/>
      <c r="M408" s="4452"/>
      <c r="N408" s="4475"/>
      <c r="O408" s="4474" t="str">
        <f t="array" ref="O408">IFERROR(VLOOKUP(O409,Dex!$B$3:$G1361,3,FALSE),"")</f>
        <v/>
      </c>
      <c r="P408" s="606"/>
      <c r="Q408" s="606"/>
      <c r="R408" s="4452"/>
      <c r="S408" s="4475"/>
      <c r="T408" s="4474" t="str">
        <f t="array" ref="T408">IFERROR(VLOOKUP(T409,Dex!$B$3:$G1361,3,FALSE),"")</f>
        <v/>
      </c>
      <c r="U408" s="606"/>
      <c r="V408" s="606"/>
      <c r="W408" s="4452"/>
      <c r="X408" s="4475"/>
      <c r="Y408" s="4476"/>
      <c r="Z408" s="4469"/>
      <c r="AA408" s="4469"/>
      <c r="AB408" s="4470"/>
      <c r="AC408" s="4477"/>
      <c r="AD408" s="4476"/>
      <c r="AE408" s="4469"/>
      <c r="AF408" s="4469"/>
      <c r="AG408" s="4470"/>
      <c r="AH408" s="4466"/>
      <c r="AI408" s="3452"/>
    </row>
    <row r="409" ht="18.75" customHeight="1">
      <c r="A409" s="3689"/>
      <c r="B409" s="4478"/>
      <c r="C409" s="4479" t="s">
        <v>1491</v>
      </c>
      <c r="D409" s="4480"/>
      <c r="E409" s="4481" t="s">
        <v>282</v>
      </c>
      <c r="F409" s="4482"/>
      <c r="G409" s="4482"/>
      <c r="H409" s="4483"/>
      <c r="I409" s="4484"/>
      <c r="J409" s="4481" t="s">
        <v>261</v>
      </c>
      <c r="K409" s="4482"/>
      <c r="L409" s="4482"/>
      <c r="M409" s="4483"/>
      <c r="N409" s="4484"/>
      <c r="O409" s="4481" t="s">
        <v>187</v>
      </c>
      <c r="P409" s="4482"/>
      <c r="Q409" s="4482"/>
      <c r="R409" s="4483"/>
      <c r="S409" s="4484"/>
      <c r="T409" s="4481" t="s">
        <v>1492</v>
      </c>
      <c r="U409" s="4482"/>
      <c r="V409" s="4482"/>
      <c r="W409" s="4483"/>
      <c r="X409" s="4484"/>
      <c r="Y409" s="4485"/>
      <c r="Z409" s="4469"/>
      <c r="AA409" s="4469"/>
      <c r="AB409" s="4470"/>
      <c r="AC409" s="4486"/>
      <c r="AD409" s="4485"/>
      <c r="AE409" s="4469"/>
      <c r="AF409" s="4469"/>
      <c r="AG409" s="4470"/>
      <c r="AH409" s="4487"/>
      <c r="AI409" s="3700"/>
    </row>
    <row r="410">
      <c r="A410" s="3701"/>
      <c r="B410" s="4488"/>
      <c r="C410" s="1638"/>
      <c r="D410" s="4489"/>
      <c r="E410" s="4490" t="s">
        <v>796</v>
      </c>
      <c r="F410" s="4491"/>
      <c r="G410" s="4491"/>
      <c r="H410" s="4492"/>
      <c r="I410" s="4493"/>
      <c r="J410" s="4490" t="s">
        <v>967</v>
      </c>
      <c r="K410" s="4491"/>
      <c r="L410" s="4491"/>
      <c r="M410" s="4492"/>
      <c r="N410" s="4493"/>
      <c r="O410" s="4490" t="s">
        <v>729</v>
      </c>
      <c r="P410" s="4491"/>
      <c r="Q410" s="4491"/>
      <c r="R410" s="4492"/>
      <c r="S410" s="4493"/>
      <c r="T410" s="4490" t="s">
        <v>729</v>
      </c>
      <c r="U410" s="4491"/>
      <c r="V410" s="4491"/>
      <c r="W410" s="4492"/>
      <c r="X410" s="4493"/>
      <c r="Y410" s="4494"/>
      <c r="Z410" s="4469"/>
      <c r="AA410" s="4469"/>
      <c r="AB410" s="4470"/>
      <c r="AC410" s="4486"/>
      <c r="AD410" s="4494"/>
      <c r="AE410" s="4469"/>
      <c r="AF410" s="4469"/>
      <c r="AG410" s="4470"/>
      <c r="AH410" s="4495"/>
      <c r="AI410" s="3709"/>
    </row>
    <row r="411" ht="25.5" customHeight="1">
      <c r="A411" s="3446"/>
      <c r="B411" s="4471"/>
      <c r="C411" s="1646"/>
      <c r="D411" s="4496"/>
      <c r="E411" s="4497"/>
      <c r="F411" s="4498" t="str">
        <f t="array" ref="F411">IFERROR(VLOOKUP(E409,Dex!$B$3:$H1361,5,FALSE),"")</f>
        <v/>
      </c>
      <c r="G411" s="4499"/>
      <c r="H411" s="4500"/>
      <c r="I411" s="4496"/>
      <c r="J411" s="4497"/>
      <c r="K411" s="4501" t="str">
        <f t="array" ref="K411">IFERROR(VLOOKUP(J409,Dex!$B$3:$H1361,5,FALSE),"")</f>
        <v/>
      </c>
      <c r="L411" s="4502" t="str">
        <f t="array" ref="L411">IFERROR(VLOOKUP(J409,Dex!$B$3:$H1361,7,FALSE),"")</f>
        <v/>
      </c>
      <c r="M411" s="4500"/>
      <c r="N411" s="4496"/>
      <c r="O411" s="4497"/>
      <c r="P411" s="4498" t="str">
        <f t="array" ref="P411">IFERROR(VLOOKUP(O409,Dex!$B$3:$H1361,5,FALSE),"")</f>
        <v/>
      </c>
      <c r="Q411" s="4499"/>
      <c r="R411" s="4500"/>
      <c r="S411" s="4496"/>
      <c r="T411" s="4497"/>
      <c r="U411" s="4498" t="str">
        <f t="array" ref="U411">IFERROR(VLOOKUP(T409,Dex!$B$3:$H1361,5,FALSE),"")</f>
        <v/>
      </c>
      <c r="V411" s="4499"/>
      <c r="W411" s="4500"/>
      <c r="X411" s="4496"/>
      <c r="Y411" s="4476"/>
      <c r="Z411" s="4469"/>
      <c r="AA411" s="4469"/>
      <c r="AB411" s="4470"/>
      <c r="AC411" s="4486"/>
      <c r="AD411" s="4476"/>
      <c r="AE411" s="4469"/>
      <c r="AF411" s="4469"/>
      <c r="AG411" s="4470"/>
      <c r="AH411" s="4466"/>
      <c r="AI411" s="3452"/>
    </row>
    <row r="412" ht="2.25" customHeight="1">
      <c r="A412" s="3446"/>
      <c r="B412" s="4463"/>
      <c r="C412" s="4503"/>
      <c r="D412" s="4504"/>
      <c r="E412" s="4505"/>
      <c r="F412" s="4506"/>
      <c r="G412" s="4506"/>
      <c r="H412" s="4507"/>
      <c r="I412" s="4504"/>
      <c r="J412" s="4505"/>
      <c r="K412" s="4506"/>
      <c r="L412" s="4506"/>
      <c r="M412" s="4507"/>
      <c r="N412" s="4504"/>
      <c r="O412" s="4505"/>
      <c r="P412" s="4506"/>
      <c r="Q412" s="4506"/>
      <c r="R412" s="4507"/>
      <c r="S412" s="4504"/>
      <c r="T412" s="4505"/>
      <c r="U412" s="4506"/>
      <c r="V412" s="4506"/>
      <c r="W412" s="4507"/>
      <c r="X412" s="4504"/>
      <c r="Y412" s="4508"/>
      <c r="Z412" s="4508"/>
      <c r="AA412" s="4508"/>
      <c r="AB412" s="4508"/>
      <c r="AC412" s="4486"/>
      <c r="AD412" s="4508"/>
      <c r="AE412" s="4508"/>
      <c r="AF412" s="4508"/>
      <c r="AG412" s="4508"/>
      <c r="AH412" s="4466"/>
      <c r="AI412" s="3452"/>
    </row>
    <row r="413" ht="20.25" customHeight="1">
      <c r="A413" s="3446"/>
      <c r="B413" s="4463"/>
      <c r="C413" s="4467"/>
      <c r="D413" s="4476"/>
      <c r="E413" s="4509" t="s">
        <v>564</v>
      </c>
      <c r="F413" s="4510"/>
      <c r="G413" s="4510"/>
      <c r="H413" s="4511"/>
      <c r="I413" s="4512"/>
      <c r="J413" s="4509" t="s">
        <v>658</v>
      </c>
      <c r="K413" s="4510"/>
      <c r="L413" s="4510"/>
      <c r="M413" s="4511"/>
      <c r="N413" s="4512"/>
      <c r="O413" s="4509" t="s">
        <v>917</v>
      </c>
      <c r="P413" s="4510"/>
      <c r="Q413" s="4510"/>
      <c r="R413" s="4511"/>
      <c r="S413" s="4512"/>
      <c r="T413" s="4509" t="s">
        <v>531</v>
      </c>
      <c r="U413" s="4510"/>
      <c r="V413" s="4510"/>
      <c r="W413" s="4511"/>
      <c r="X413" s="4512"/>
      <c r="Y413" s="4476"/>
      <c r="Z413" s="4469"/>
      <c r="AA413" s="4469"/>
      <c r="AB413" s="4470"/>
      <c r="AC413" s="4486"/>
      <c r="AD413" s="4476"/>
      <c r="AE413" s="4469"/>
      <c r="AF413" s="4469"/>
      <c r="AG413" s="4470"/>
      <c r="AH413" s="4466"/>
      <c r="AI413" s="3452"/>
    </row>
    <row r="414" ht="20.25" customHeight="1">
      <c r="A414" s="3446"/>
      <c r="B414" s="4463"/>
      <c r="C414" s="4513"/>
      <c r="D414" s="4476"/>
      <c r="E414" s="4514" t="s">
        <v>55</v>
      </c>
      <c r="F414" s="4469"/>
      <c r="G414" s="4469"/>
      <c r="H414" s="4515"/>
      <c r="I414" s="4512"/>
      <c r="J414" s="4514" t="s">
        <v>681</v>
      </c>
      <c r="K414" s="4469"/>
      <c r="L414" s="4469"/>
      <c r="M414" s="4515"/>
      <c r="N414" s="4512"/>
      <c r="O414" s="4514" t="s">
        <v>1493</v>
      </c>
      <c r="P414" s="4469"/>
      <c r="Q414" s="4469"/>
      <c r="R414" s="4515"/>
      <c r="S414" s="4512"/>
      <c r="T414" s="4514" t="s">
        <v>1494</v>
      </c>
      <c r="U414" s="4469"/>
      <c r="V414" s="4469"/>
      <c r="W414" s="4515"/>
      <c r="X414" s="4512"/>
      <c r="Y414" s="4476"/>
      <c r="Z414" s="4469"/>
      <c r="AA414" s="4469"/>
      <c r="AB414" s="4470"/>
      <c r="AC414" s="4486"/>
      <c r="AD414" s="4476"/>
      <c r="AE414" s="4469"/>
      <c r="AF414" s="4469"/>
      <c r="AG414" s="4470"/>
      <c r="AH414" s="4466"/>
      <c r="AI414" s="3452"/>
    </row>
    <row r="415" ht="20.25" customHeight="1">
      <c r="A415" s="3446"/>
      <c r="B415" s="4463"/>
      <c r="C415" s="4516"/>
      <c r="D415" s="4476"/>
      <c r="E415" s="4517" t="s">
        <v>493</v>
      </c>
      <c r="F415" s="4518"/>
      <c r="G415" s="4519"/>
      <c r="H415" s="4520" t="str">
        <f>IMAGE("https://raw.githubusercontent.com/msikma/pokesprite/master/items/hold-item/air-balloon.png",3)</f>
        <v/>
      </c>
      <c r="I415" s="4476"/>
      <c r="J415" s="4517" t="s">
        <v>541</v>
      </c>
      <c r="K415" s="4518"/>
      <c r="L415" s="4519"/>
      <c r="M415" s="4520" t="str">
        <f>IMAGE("https://raw.githubusercontent.com/msikma/pokesprite/master/items/hold-item/life-orb.png",3)</f>
        <v/>
      </c>
      <c r="N415" s="4476"/>
      <c r="O415" s="4517" t="s">
        <v>1019</v>
      </c>
      <c r="P415" s="4518"/>
      <c r="Q415" s="4519"/>
      <c r="R415" s="4520" t="str">
        <f>IMAGE("https://raw.githubusercontent.com/msikma/pokesprite/master/items/hold-item/miracle-seed.png",3)</f>
        <v/>
      </c>
      <c r="S415" s="4476"/>
      <c r="T415" s="4517" t="s">
        <v>1495</v>
      </c>
      <c r="U415" s="4518"/>
      <c r="V415" s="4519"/>
      <c r="W415" s="4520" t="str">
        <f>IMAGE("https://raw.githubusercontent.com/msikma/pokesprite/master/items/plate/pixie.png",3)</f>
        <v/>
      </c>
      <c r="X415" s="4476"/>
      <c r="Y415" s="4476"/>
      <c r="Z415" s="4469"/>
      <c r="AA415" s="4469"/>
      <c r="AB415" s="4470"/>
      <c r="AC415" s="4486"/>
      <c r="AD415" s="4476"/>
      <c r="AE415" s="4469"/>
      <c r="AF415" s="4469"/>
      <c r="AG415" s="4470"/>
      <c r="AH415" s="4466"/>
      <c r="AI415" s="3452"/>
    </row>
    <row r="416" ht="20.25" customHeight="1">
      <c r="A416" s="3446"/>
      <c r="B416" s="4463"/>
      <c r="C416" s="4521"/>
      <c r="D416" s="4476"/>
      <c r="E416" s="4509" t="s">
        <v>1243</v>
      </c>
      <c r="F416" s="4510"/>
      <c r="G416" s="4522"/>
      <c r="H416" s="4523" t="str">
        <f>IMAGE("https://raw.githubusercontent.com/msikma/pokesprite/master/misc/types/gen8/fire.png",4,20,20)</f>
        <v/>
      </c>
      <c r="I416" s="4476"/>
      <c r="J416" s="4509" t="s">
        <v>543</v>
      </c>
      <c r="K416" s="4510"/>
      <c r="L416" s="4522"/>
      <c r="M416" s="4523" t="str">
        <f>IMAGE("https://raw.githubusercontent.com/msikma/pokesprite/master/misc/types/gen8/grass.png",4,20,20)</f>
        <v/>
      </c>
      <c r="N416" s="4476"/>
      <c r="O416" s="4509" t="s">
        <v>1496</v>
      </c>
      <c r="P416" s="4510"/>
      <c r="Q416" s="4522"/>
      <c r="R416" s="4523" t="str">
        <f>IMAGE("https://raw.githubusercontent.com/msikma/pokesprite/master/misc/types/gen8/grass.png",4,20,20)</f>
        <v/>
      </c>
      <c r="S416" s="4476"/>
      <c r="T416" s="4509" t="s">
        <v>743</v>
      </c>
      <c r="U416" s="4510"/>
      <c r="V416" s="4522"/>
      <c r="W416" s="4523" t="str">
        <f>IMAGE("https://raw.githubusercontent.com/msikma/pokesprite/master/misc/types/gen8/fairy.png",4,20,20)</f>
        <v/>
      </c>
      <c r="X416" s="4476"/>
      <c r="Y416" s="4476"/>
      <c r="Z416" s="4469"/>
      <c r="AA416" s="4469"/>
      <c r="AB416" s="4470"/>
      <c r="AC416" s="4486"/>
      <c r="AD416" s="4476"/>
      <c r="AE416" s="4469"/>
      <c r="AF416" s="4469"/>
      <c r="AG416" s="4470"/>
      <c r="AH416" s="4466"/>
      <c r="AI416" s="3452"/>
    </row>
    <row r="417" ht="20.25" customHeight="1">
      <c r="A417" s="3446"/>
      <c r="B417" s="4463"/>
      <c r="C417" s="4467"/>
      <c r="D417" s="4476"/>
      <c r="E417" s="4514" t="s">
        <v>692</v>
      </c>
      <c r="F417" s="4469"/>
      <c r="G417" s="4470"/>
      <c r="H417" s="4524" t="str">
        <f>IMAGE("https://raw.githubusercontent.com/msikma/pokesprite/master/misc/types/gen8/grass.png",4,20,20)</f>
        <v/>
      </c>
      <c r="I417" s="4476"/>
      <c r="J417" s="4514" t="s">
        <v>614</v>
      </c>
      <c r="K417" s="4469"/>
      <c r="L417" s="4470"/>
      <c r="M417" s="4524" t="str">
        <f>IMAGE("https://raw.githubusercontent.com/msikma/pokesprite/master/misc/types/gen8/poison.png",4,20,20)</f>
        <v/>
      </c>
      <c r="N417" s="4476"/>
      <c r="O417" s="4514" t="s">
        <v>830</v>
      </c>
      <c r="P417" s="4469"/>
      <c r="Q417" s="4470"/>
      <c r="R417" s="4524" t="str">
        <f>IMAGE("https://raw.githubusercontent.com/msikma/pokesprite/master/misc/types/gen8/bug.png",4,20,20)</f>
        <v/>
      </c>
      <c r="S417" s="4476"/>
      <c r="T417" s="4514" t="s">
        <v>699</v>
      </c>
      <c r="U417" s="4469"/>
      <c r="V417" s="4470"/>
      <c r="W417" s="4524" t="str">
        <f>IMAGE("https://raw.githubusercontent.com/msikma/pokesprite/master/misc/types/gen8/fire.png",4,20,20)</f>
        <v/>
      </c>
      <c r="X417" s="4476"/>
      <c r="Y417" s="4476"/>
      <c r="Z417" s="4469"/>
      <c r="AA417" s="4469"/>
      <c r="AB417" s="4470"/>
      <c r="AC417" s="4486"/>
      <c r="AD417" s="4476"/>
      <c r="AE417" s="4469"/>
      <c r="AF417" s="4469"/>
      <c r="AG417" s="4470"/>
      <c r="AH417" s="4466"/>
      <c r="AI417" s="3452"/>
    </row>
    <row r="418" ht="20.25" customHeight="1">
      <c r="A418" s="3446"/>
      <c r="B418" s="4463"/>
      <c r="C418" s="4467"/>
      <c r="D418" s="4476"/>
      <c r="E418" s="4514" t="s">
        <v>1265</v>
      </c>
      <c r="F418" s="4469"/>
      <c r="G418" s="4470"/>
      <c r="H418" s="4524" t="str">
        <f>IMAGE("https://raw.githubusercontent.com/msikma/pokesprite/master/misc/types/gen8/ground.png",4,20,20)</f>
        <v/>
      </c>
      <c r="I418" s="4476"/>
      <c r="J418" s="4514" t="s">
        <v>1496</v>
      </c>
      <c r="K418" s="4469"/>
      <c r="L418" s="4470"/>
      <c r="M418" s="4524" t="str">
        <f>IMAGE("https://raw.githubusercontent.com/msikma/pokesprite/master/misc/types/gen8/grass.png",4,20,20)</f>
        <v/>
      </c>
      <c r="N418" s="4476"/>
      <c r="O418" s="4514" t="s">
        <v>699</v>
      </c>
      <c r="P418" s="4469"/>
      <c r="Q418" s="4470"/>
      <c r="R418" s="4524" t="str">
        <f>IMAGE("https://raw.githubusercontent.com/msikma/pokesprite/master/misc/types/gen8/fire.png",4,20,20)</f>
        <v/>
      </c>
      <c r="S418" s="4476"/>
      <c r="T418" s="4514" t="s">
        <v>1247</v>
      </c>
      <c r="U418" s="4469"/>
      <c r="V418" s="4470"/>
      <c r="W418" s="4524" t="str">
        <f>IMAGE("https://raw.githubusercontent.com/msikma/pokesprite/master/misc/types/gen8/fairy.png",4,20,20)</f>
        <v/>
      </c>
      <c r="X418" s="4476"/>
      <c r="Y418" s="4476"/>
      <c r="Z418" s="4469"/>
      <c r="AA418" s="4469"/>
      <c r="AB418" s="4470"/>
      <c r="AC418" s="4486"/>
      <c r="AD418" s="4476"/>
      <c r="AE418" s="4469"/>
      <c r="AF418" s="4469"/>
      <c r="AG418" s="4470"/>
      <c r="AH418" s="4466"/>
      <c r="AI418" s="3452"/>
    </row>
    <row r="419" ht="21.0" customHeight="1">
      <c r="A419" s="3446"/>
      <c r="B419" s="4463"/>
      <c r="C419" s="4467"/>
      <c r="D419" s="4476"/>
      <c r="E419" s="4525" t="s">
        <v>552</v>
      </c>
      <c r="F419" s="4526"/>
      <c r="G419" s="4527"/>
      <c r="H419" s="4528" t="str">
        <f>IMAGE("https://raw.githubusercontent.com/msikma/pokesprite/master/misc/types/gen8/psychic.png",4,20,20)</f>
        <v/>
      </c>
      <c r="I419" s="4476"/>
      <c r="J419" s="4525" t="s">
        <v>699</v>
      </c>
      <c r="K419" s="4526"/>
      <c r="L419" s="4527"/>
      <c r="M419" s="4528" t="str">
        <f>IMAGE("https://raw.githubusercontent.com/msikma/pokesprite/master/misc/types/gen8/fire.png",4,20,20)</f>
        <v/>
      </c>
      <c r="N419" s="4476"/>
      <c r="O419" s="4525" t="s">
        <v>1497</v>
      </c>
      <c r="P419" s="4526"/>
      <c r="Q419" s="4527"/>
      <c r="R419" s="4528" t="str">
        <f>IMAGE("https://raw.githubusercontent.com/msikma/pokesprite/master/misc/types/gen8/normal.png",4,20,20)</f>
        <v/>
      </c>
      <c r="S419" s="4476"/>
      <c r="T419" s="4525" t="s">
        <v>552</v>
      </c>
      <c r="U419" s="4526"/>
      <c r="V419" s="4527"/>
      <c r="W419" s="4528" t="str">
        <f>IMAGE("https://raw.githubusercontent.com/msikma/pokesprite/master/misc/types/gen8/psychic.png",4,20,20)</f>
        <v/>
      </c>
      <c r="X419" s="4476"/>
      <c r="Y419" s="4476"/>
      <c r="Z419" s="4469"/>
      <c r="AA419" s="4469"/>
      <c r="AB419" s="4470"/>
      <c r="AC419" s="4529"/>
      <c r="AD419" s="4476"/>
      <c r="AE419" s="4469"/>
      <c r="AF419" s="4469"/>
      <c r="AG419" s="4470"/>
      <c r="AH419" s="4466"/>
      <c r="AI419" s="3452"/>
    </row>
    <row r="420" ht="3.0" customHeight="1">
      <c r="A420" s="3524"/>
      <c r="B420" s="4530"/>
      <c r="C420" s="4531"/>
      <c r="D420" s="4532"/>
      <c r="E420" s="4533"/>
      <c r="F420" s="4533"/>
      <c r="G420" s="4533"/>
      <c r="H420" s="4534"/>
      <c r="I420" s="4532"/>
      <c r="J420" s="4533"/>
      <c r="K420" s="4533"/>
      <c r="L420" s="4533"/>
      <c r="M420" s="4535"/>
      <c r="N420" s="4532"/>
      <c r="O420" s="4533"/>
      <c r="P420" s="4533"/>
      <c r="Q420" s="4533"/>
      <c r="R420" s="4533"/>
      <c r="S420" s="4532"/>
      <c r="T420" s="4533"/>
      <c r="U420" s="4533"/>
      <c r="V420" s="4533"/>
      <c r="W420" s="4533"/>
      <c r="X420" s="4532"/>
      <c r="Y420" s="4536"/>
      <c r="Z420" s="4536"/>
      <c r="AA420" s="4536"/>
      <c r="AB420" s="4536"/>
      <c r="AC420" s="4536"/>
      <c r="AD420" s="4536"/>
      <c r="AE420" s="4536"/>
      <c r="AF420" s="4536"/>
      <c r="AG420" s="4536"/>
      <c r="AH420" s="4537"/>
      <c r="AI420" s="3534"/>
    </row>
    <row r="421" ht="16.5" customHeight="1">
      <c r="A421" s="3535"/>
      <c r="B421" s="4538"/>
      <c r="C421" s="4531"/>
      <c r="D421" s="4539"/>
      <c r="E421" s="4540" t="s">
        <v>512</v>
      </c>
      <c r="F421" s="606"/>
      <c r="G421" s="606"/>
      <c r="H421" s="607"/>
      <c r="I421" s="4539"/>
      <c r="J421" s="4540" t="s">
        <v>512</v>
      </c>
      <c r="K421" s="606"/>
      <c r="L421" s="606"/>
      <c r="M421" s="607"/>
      <c r="N421" s="4539"/>
      <c r="O421" s="4540" t="s">
        <v>512</v>
      </c>
      <c r="P421" s="606"/>
      <c r="Q421" s="606"/>
      <c r="R421" s="607"/>
      <c r="S421" s="4539"/>
      <c r="T421" s="4540" t="s">
        <v>512</v>
      </c>
      <c r="U421" s="606"/>
      <c r="V421" s="606"/>
      <c r="W421" s="607"/>
      <c r="X421" s="4539"/>
      <c r="Y421" s="4541"/>
      <c r="Z421" s="4541"/>
      <c r="AA421" s="4541"/>
      <c r="AB421" s="4541"/>
      <c r="AC421" s="4542"/>
      <c r="AD421" s="4541"/>
      <c r="AE421" s="4541"/>
      <c r="AF421" s="4541"/>
      <c r="AG421" s="4541"/>
      <c r="AH421" s="4543"/>
      <c r="AI421" s="3543"/>
    </row>
    <row r="422" ht="16.5" customHeight="1">
      <c r="A422" s="3535"/>
      <c r="B422" s="4538"/>
      <c r="C422" s="4531"/>
      <c r="D422" s="4544"/>
      <c r="E422" s="4545" t="s">
        <v>513</v>
      </c>
      <c r="F422" s="4546">
        <f t="array" ref="F422">IFERROR(VLOOKUP(E409,Dex!$B$3:$N1361,8,FALSE),"")</f>
        <v>73</v>
      </c>
      <c r="G422" s="4547" t="str">
        <f t="array" ref="G422">IFERROR(VLOOKUP(F422,Dex!$P$22:$Q$276,2,FALSE),"")</f>
        <v/>
      </c>
      <c r="H422" s="4548"/>
      <c r="I422" s="4544"/>
      <c r="J422" s="4545" t="s">
        <v>513</v>
      </c>
      <c r="K422" s="4546">
        <f t="array" ref="K422">IFERROR(VLOOKUP(J409,Dex!$B$3:$N1361,8,FALSE),"")</f>
        <v>80</v>
      </c>
      <c r="L422" s="4547" t="str">
        <f t="array" ref="L422">IFERROR(VLOOKUP(K422,Dex!$P$22:$Q$276,2,FALSE),"")</f>
        <v/>
      </c>
      <c r="M422" s="4548"/>
      <c r="N422" s="4544"/>
      <c r="O422" s="4545" t="s">
        <v>513</v>
      </c>
      <c r="P422" s="4546">
        <f t="array" ref="P422">IFERROR(VLOOKUP(O409,Dex!$B$3:$N1361,8,FALSE),"")</f>
        <v>70</v>
      </c>
      <c r="Q422" s="4547" t="str">
        <f t="array" ref="Q422">IFERROR(VLOOKUP(P422,Dex!$P$22:$Q$276,2,FALSE),"")</f>
        <v/>
      </c>
      <c r="R422" s="4548"/>
      <c r="S422" s="4544"/>
      <c r="T422" s="4545" t="s">
        <v>513</v>
      </c>
      <c r="U422" s="4546">
        <f t="array" ref="U422">IFERROR(VLOOKUP(T409,Dex!$B$3:$N1361,8,FALSE),"")</f>
        <v>95</v>
      </c>
      <c r="V422" s="4547" t="str">
        <f t="array" ref="V422">IFERROR(VLOOKUP(U422,Dex!$P$22:$Q$276,2,FALSE),"")</f>
        <v/>
      </c>
      <c r="W422" s="4548"/>
      <c r="X422" s="4544"/>
      <c r="Y422" s="4541"/>
      <c r="Z422" s="4541"/>
      <c r="AA422" s="4541"/>
      <c r="AB422" s="4541"/>
      <c r="AC422" s="4542"/>
      <c r="AD422" s="4541"/>
      <c r="AE422" s="4541"/>
      <c r="AF422" s="4541"/>
      <c r="AG422" s="4541"/>
      <c r="AH422" s="4543"/>
      <c r="AI422" s="3543"/>
    </row>
    <row r="423" ht="16.5" customHeight="1">
      <c r="A423" s="3535"/>
      <c r="B423" s="4538"/>
      <c r="C423" s="4531"/>
      <c r="D423" s="4544"/>
      <c r="E423" s="4549" t="s">
        <v>514</v>
      </c>
      <c r="F423" s="4550">
        <f t="array" ref="F423">IFERROR(VLOOKUP(E409,Dex!$B$3:$N1361,9,FALSE),"")</f>
        <v>76</v>
      </c>
      <c r="G423" s="4551" t="str">
        <f t="array" ref="G423">IFERROR(VLOOKUP(F423,Dex!$P$22:$Q$276,2,FALSE),"")</f>
        <v/>
      </c>
      <c r="H423" s="4552"/>
      <c r="I423" s="4544"/>
      <c r="J423" s="4549" t="s">
        <v>514</v>
      </c>
      <c r="K423" s="4550">
        <f t="array" ref="K423">IFERROR(VLOOKUP(J409,Dex!$B$3:$N1361,9,FALSE),"")</f>
        <v>105</v>
      </c>
      <c r="L423" s="4551" t="str">
        <f t="array" ref="L423">IFERROR(VLOOKUP(K423,Dex!$P$22:$Q$276,2,FALSE),"")</f>
        <v/>
      </c>
      <c r="M423" s="4552"/>
      <c r="N423" s="4544"/>
      <c r="O423" s="4549" t="s">
        <v>514</v>
      </c>
      <c r="P423" s="4550">
        <f t="array" ref="P423">IFERROR(VLOOKUP(O409,Dex!$B$3:$N1361,9,FALSE),"")</f>
        <v>100</v>
      </c>
      <c r="Q423" s="4551" t="str">
        <f t="array" ref="Q423">IFERROR(VLOOKUP(P423,Dex!$P$22:$Q$276,2,FALSE),"")</f>
        <v/>
      </c>
      <c r="R423" s="4552"/>
      <c r="S423" s="4544"/>
      <c r="T423" s="4549" t="s">
        <v>514</v>
      </c>
      <c r="U423" s="4550">
        <f t="array" ref="U423">IFERROR(VLOOKUP(T409,Dex!$B$3:$N1361,9,FALSE),"")</f>
        <v>65</v>
      </c>
      <c r="V423" s="4551" t="str">
        <f t="array" ref="V423">IFERROR(VLOOKUP(U423,Dex!$P$22:$Q$276,2,FALSE),"")</f>
        <v/>
      </c>
      <c r="W423" s="4552"/>
      <c r="X423" s="4544"/>
      <c r="Y423" s="4541"/>
      <c r="Z423" s="4541"/>
      <c r="AA423" s="4541"/>
      <c r="AB423" s="4541"/>
      <c r="AC423" s="4542"/>
      <c r="AD423" s="4541"/>
      <c r="AE423" s="4541"/>
      <c r="AF423" s="4541"/>
      <c r="AG423" s="4541"/>
      <c r="AH423" s="4543"/>
      <c r="AI423" s="3543"/>
    </row>
    <row r="424" ht="16.5" customHeight="1">
      <c r="A424" s="3535"/>
      <c r="B424" s="4538"/>
      <c r="C424" s="4531"/>
      <c r="D424" s="4544"/>
      <c r="E424" s="4549" t="s">
        <v>515</v>
      </c>
      <c r="F424" s="4550">
        <f t="array" ref="F424">IFERROR(VLOOKUP(E409,Dex!$B$3:$N1361,10,FALSE),"")</f>
        <v>75</v>
      </c>
      <c r="G424" s="4551" t="str">
        <f t="array" ref="G424">IFERROR(VLOOKUP(F424,Dex!$P$22:$Q$276,2,FALSE),"")</f>
        <v/>
      </c>
      <c r="H424" s="4552"/>
      <c r="I424" s="4544"/>
      <c r="J424" s="4549" t="s">
        <v>515</v>
      </c>
      <c r="K424" s="4550">
        <f t="array" ref="K424">IFERROR(VLOOKUP(J409,Dex!$B$3:$N1361,10,FALSE),"")</f>
        <v>70</v>
      </c>
      <c r="L424" s="4551" t="str">
        <f t="array" ref="L424">IFERROR(VLOOKUP(K424,Dex!$P$22:$Q$276,2,FALSE),"")</f>
        <v/>
      </c>
      <c r="M424" s="4552"/>
      <c r="N424" s="4544"/>
      <c r="O424" s="4549" t="s">
        <v>515</v>
      </c>
      <c r="P424" s="4550">
        <f t="array" ref="P424">IFERROR(VLOOKUP(O409,Dex!$B$3:$N1361,10,FALSE),"")</f>
        <v>70</v>
      </c>
      <c r="Q424" s="4551" t="str">
        <f t="array" ref="Q424">IFERROR(VLOOKUP(P424,Dex!$P$22:$Q$276,2,FALSE),"")</f>
        <v/>
      </c>
      <c r="R424" s="4552"/>
      <c r="S424" s="4544"/>
      <c r="T424" s="4549" t="s">
        <v>515</v>
      </c>
      <c r="U424" s="4550">
        <f t="array" ref="U424">IFERROR(VLOOKUP(T409,Dex!$B$3:$N1361,10,FALSE),"")</f>
        <v>65</v>
      </c>
      <c r="V424" s="4551" t="str">
        <f t="array" ref="V424">IFERROR(VLOOKUP(U424,Dex!$P$22:$Q$276,2,FALSE),"")</f>
        <v/>
      </c>
      <c r="W424" s="4552"/>
      <c r="X424" s="4544"/>
      <c r="Y424" s="4541"/>
      <c r="Z424" s="4541"/>
      <c r="AA424" s="4541"/>
      <c r="AB424" s="4541"/>
      <c r="AC424" s="4542"/>
      <c r="AD424" s="4541"/>
      <c r="AE424" s="4541"/>
      <c r="AF424" s="4541"/>
      <c r="AG424" s="4541"/>
      <c r="AH424" s="4543"/>
      <c r="AI424" s="3543"/>
    </row>
    <row r="425" ht="16.5" customHeight="1">
      <c r="A425" s="3535"/>
      <c r="B425" s="4538"/>
      <c r="C425" s="4531"/>
      <c r="D425" s="4544"/>
      <c r="E425" s="4549" t="s">
        <v>516</v>
      </c>
      <c r="F425" s="4550">
        <f t="array" ref="F425">IFERROR(VLOOKUP(E409,Dex!$B$3:$N1361,11,FALSE),"")</f>
        <v>81</v>
      </c>
      <c r="G425" s="4551" t="str">
        <f t="array" ref="G425">IFERROR(VLOOKUP(F425,Dex!$P$22:$Q$276,2,FALSE),"")</f>
        <v/>
      </c>
      <c r="H425" s="4552"/>
      <c r="I425" s="4544"/>
      <c r="J425" s="4549" t="s">
        <v>516</v>
      </c>
      <c r="K425" s="4550">
        <f t="array" ref="K425">IFERROR(VLOOKUP(J409,Dex!$B$3:$N1361,11,FALSE),"")</f>
        <v>100</v>
      </c>
      <c r="L425" s="4551" t="str">
        <f t="array" ref="L425">IFERROR(VLOOKUP(K425,Dex!$P$22:$Q$276,2,FALSE),"")</f>
        <v/>
      </c>
      <c r="M425" s="4552"/>
      <c r="N425" s="4544"/>
      <c r="O425" s="4549" t="s">
        <v>516</v>
      </c>
      <c r="P425" s="4550">
        <f t="array" ref="P425">IFERROR(VLOOKUP(O409,Dex!$B$3:$N1361,11,FALSE),"")</f>
        <v>60</v>
      </c>
      <c r="Q425" s="4551" t="str">
        <f t="array" ref="Q425">IFERROR(VLOOKUP(P425,Dex!$P$22:$Q$276,2,FALSE),"")</f>
        <v/>
      </c>
      <c r="R425" s="4552"/>
      <c r="S425" s="4544"/>
      <c r="T425" s="4549" t="s">
        <v>516</v>
      </c>
      <c r="U425" s="4550">
        <f t="array" ref="U425">IFERROR(VLOOKUP(T409,Dex!$B$3:$N1361,11,FALSE),"")</f>
        <v>110</v>
      </c>
      <c r="V425" s="4551" t="str">
        <f t="array" ref="V425">IFERROR(VLOOKUP(U425,Dex!$P$22:$Q$276,2,FALSE),"")</f>
        <v/>
      </c>
      <c r="W425" s="4552"/>
      <c r="X425" s="4544"/>
      <c r="Y425" s="4541"/>
      <c r="Z425" s="4541"/>
      <c r="AA425" s="4541"/>
      <c r="AB425" s="4541"/>
      <c r="AC425" s="4542"/>
      <c r="AD425" s="4541"/>
      <c r="AE425" s="4541"/>
      <c r="AF425" s="4541"/>
      <c r="AG425" s="4541"/>
      <c r="AH425" s="4543"/>
      <c r="AI425" s="3543"/>
    </row>
    <row r="426" ht="16.5" customHeight="1">
      <c r="A426" s="3535"/>
      <c r="B426" s="4538"/>
      <c r="C426" s="4531"/>
      <c r="D426" s="4544"/>
      <c r="E426" s="4549" t="s">
        <v>517</v>
      </c>
      <c r="F426" s="4550">
        <f t="array" ref="F426">IFERROR(VLOOKUP(E409,Dex!$B$3:$N1361,12,FALSE),"")</f>
        <v>100</v>
      </c>
      <c r="G426" s="4551" t="str">
        <f t="array" ref="G426">IFERROR(VLOOKUP(F426,Dex!$P$22:$Q$276,2,FALSE),"")</f>
        <v/>
      </c>
      <c r="H426" s="4552"/>
      <c r="I426" s="4544"/>
      <c r="J426" s="4549" t="s">
        <v>517</v>
      </c>
      <c r="K426" s="4550">
        <f t="array" ref="K426">IFERROR(VLOOKUP(J409,Dex!$B$3:$N1361,12,FALSE),"")</f>
        <v>75</v>
      </c>
      <c r="L426" s="4551" t="str">
        <f t="array" ref="L426">IFERROR(VLOOKUP(K426,Dex!$P$22:$Q$276,2,FALSE),"")</f>
        <v/>
      </c>
      <c r="M426" s="4552"/>
      <c r="N426" s="4544"/>
      <c r="O426" s="4549" t="s">
        <v>517</v>
      </c>
      <c r="P426" s="4550">
        <f t="array" ref="P426">IFERROR(VLOOKUP(O409,Dex!$B$3:$N1361,12,FALSE),"")</f>
        <v>78</v>
      </c>
      <c r="Q426" s="4551" t="str">
        <f t="array" ref="Q426">IFERROR(VLOOKUP(P426,Dex!$P$22:$Q$276,2,FALSE),"")</f>
        <v/>
      </c>
      <c r="R426" s="4552"/>
      <c r="S426" s="4544"/>
      <c r="T426" s="4549" t="s">
        <v>517</v>
      </c>
      <c r="U426" s="4550">
        <f t="array" ref="U426">IFERROR(VLOOKUP(T409,Dex!$B$3:$N1361,12,FALSE),"")</f>
        <v>130</v>
      </c>
      <c r="V426" s="4551" t="str">
        <f t="array" ref="V426">IFERROR(VLOOKUP(U426,Dex!$P$22:$Q$276,2,FALSE),"")</f>
        <v/>
      </c>
      <c r="W426" s="4552"/>
      <c r="X426" s="4544"/>
      <c r="Y426" s="4541"/>
      <c r="Z426" s="4541"/>
      <c r="AA426" s="4541"/>
      <c r="AB426" s="4541"/>
      <c r="AC426" s="4542"/>
      <c r="AD426" s="4541"/>
      <c r="AE426" s="4541"/>
      <c r="AF426" s="4541"/>
      <c r="AG426" s="4541"/>
      <c r="AH426" s="4543"/>
      <c r="AI426" s="3543"/>
    </row>
    <row r="427" ht="16.5" customHeight="1">
      <c r="A427" s="3535"/>
      <c r="B427" s="4538"/>
      <c r="C427" s="1426" t="s">
        <v>745</v>
      </c>
      <c r="D427" s="4544"/>
      <c r="E427" s="4553" t="s">
        <v>518</v>
      </c>
      <c r="F427" s="4554">
        <f t="array" ref="F427">IFERROR(VLOOKUP(E409,Dex!$B$3:$N1361,13,FALSE),"")</f>
        <v>100</v>
      </c>
      <c r="G427" s="4555" t="str">
        <f t="array" ref="G427">IFERROR(VLOOKUP(F427,Dex!$P$22:$Q$276,2,FALSE),"")</f>
        <v/>
      </c>
      <c r="H427" s="4556"/>
      <c r="I427" s="4544"/>
      <c r="J427" s="4553" t="s">
        <v>518</v>
      </c>
      <c r="K427" s="4554">
        <f t="array" ref="K427">IFERROR(VLOOKUP(J409,Dex!$B$3:$N1361,13,FALSE),"")</f>
        <v>70</v>
      </c>
      <c r="L427" s="4555" t="str">
        <f t="array" ref="L427">IFERROR(VLOOKUP(K427,Dex!$P$22:$Q$276,2,FALSE),"")</f>
        <v/>
      </c>
      <c r="M427" s="4556"/>
      <c r="N427" s="4544"/>
      <c r="O427" s="4553" t="s">
        <v>518</v>
      </c>
      <c r="P427" s="4554">
        <f t="array" ref="P427">IFERROR(VLOOKUP(O409,Dex!$B$3:$N1361,13,FALSE),"")</f>
        <v>85</v>
      </c>
      <c r="Q427" s="4555" t="str">
        <f t="array" ref="Q427">IFERROR(VLOOKUP(P427,Dex!$P$22:$Q$276,2,FALSE),"")</f>
        <v/>
      </c>
      <c r="R427" s="4556"/>
      <c r="S427" s="4544"/>
      <c r="T427" s="4553" t="s">
        <v>518</v>
      </c>
      <c r="U427" s="4554">
        <f t="array" ref="U427">IFERROR(VLOOKUP(T409,Dex!$B$3:$N1361,13,FALSE),"")</f>
        <v>60</v>
      </c>
      <c r="V427" s="4555" t="str">
        <f t="array" ref="V427">IFERROR(VLOOKUP(U427,Dex!$P$22:$Q$276,2,FALSE),"")</f>
        <v/>
      </c>
      <c r="W427" s="4556"/>
      <c r="X427" s="4544"/>
      <c r="Y427" s="4541"/>
      <c r="Z427" s="4541"/>
      <c r="AA427" s="4541"/>
      <c r="AB427" s="4541"/>
      <c r="AC427" s="4542"/>
      <c r="AD427" s="4541"/>
      <c r="AE427" s="4541"/>
      <c r="AF427" s="4541"/>
      <c r="AG427" s="4541"/>
      <c r="AH427" s="4543"/>
      <c r="AI427" s="3543"/>
    </row>
    <row r="428" ht="16.5" customHeight="1">
      <c r="A428" s="3535"/>
      <c r="B428" s="4538"/>
      <c r="C428" s="1427" t="s">
        <v>880</v>
      </c>
      <c r="D428" s="4539"/>
      <c r="E428" s="4557" t="s">
        <v>519</v>
      </c>
      <c r="F428" s="630"/>
      <c r="G428" s="631"/>
      <c r="H428" s="632">
        <f>ROUNDDOWN((ROUNDDOWN(((((2*F427+31)*34)/100+5)),0))*1.1,0)</f>
        <v>91</v>
      </c>
      <c r="I428" s="4539"/>
      <c r="J428" s="4558" t="s">
        <v>519</v>
      </c>
      <c r="K428" s="635"/>
      <c r="L428" s="636"/>
      <c r="M428" s="632">
        <f>ROUNDDOWN((ROUNDDOWN(((((2*K427+31)*35)/100+5)),0))*1,0)</f>
        <v>64</v>
      </c>
      <c r="N428" s="4539"/>
      <c r="O428" s="4557" t="s">
        <v>519</v>
      </c>
      <c r="P428" s="630"/>
      <c r="Q428" s="631"/>
      <c r="R428" s="632">
        <f>ROUNDDOWN((ROUNDDOWN(((((2*P427+31)*36)/100+5)),0))*1,0)</f>
        <v>77</v>
      </c>
      <c r="S428" s="4539"/>
      <c r="T428" s="4557" t="s">
        <v>519</v>
      </c>
      <c r="U428" s="630"/>
      <c r="V428" s="631"/>
      <c r="W428" s="632">
        <f>ROUNDDOWN((ROUNDDOWN(((((2*U427+31)*36)/100+5)),0))*1,0)</f>
        <v>59</v>
      </c>
      <c r="X428" s="4539"/>
      <c r="Y428" s="4541"/>
      <c r="Z428" s="4541"/>
      <c r="AA428" s="4541"/>
      <c r="AB428" s="4541"/>
      <c r="AC428" s="4559"/>
      <c r="AD428" s="4541"/>
      <c r="AE428" s="4541"/>
      <c r="AF428" s="4541"/>
      <c r="AG428" s="4541"/>
      <c r="AH428" s="4543"/>
      <c r="AI428" s="3543"/>
    </row>
    <row r="429" ht="16.5" customHeight="1">
      <c r="A429" s="3535"/>
      <c r="B429" s="4538"/>
      <c r="C429" s="4531"/>
      <c r="D429" s="4539"/>
      <c r="E429" s="4531"/>
      <c r="F429" s="4531"/>
      <c r="G429" s="4531"/>
      <c r="H429" s="4531"/>
      <c r="I429" s="4539"/>
      <c r="J429" s="4560" t="s">
        <v>700</v>
      </c>
      <c r="K429" s="643"/>
      <c r="L429" s="644"/>
      <c r="M429" s="3064">
        <f>M428*2</f>
        <v>128</v>
      </c>
      <c r="N429" s="4539"/>
      <c r="O429" s="4560" t="s">
        <v>1498</v>
      </c>
      <c r="P429" s="643"/>
      <c r="Q429" s="644"/>
      <c r="R429" s="645">
        <f>ROUNDDOWN(R428*1.5,0)</f>
        <v>115</v>
      </c>
      <c r="S429" s="4539"/>
      <c r="T429" s="4531"/>
      <c r="U429" s="4531"/>
      <c r="V429" s="4531"/>
      <c r="W429" s="4531"/>
      <c r="X429" s="4539"/>
      <c r="Y429" s="4561"/>
      <c r="Z429" s="4561"/>
      <c r="AA429" s="4561"/>
      <c r="AB429" s="4531"/>
      <c r="AC429" s="4531"/>
      <c r="AD429" s="4531"/>
      <c r="AE429" s="4541"/>
      <c r="AF429" s="4541"/>
      <c r="AG429" s="4541"/>
      <c r="AH429" s="4543"/>
      <c r="AI429" s="3543"/>
    </row>
    <row r="430" ht="15.0" customHeight="1">
      <c r="A430" s="3446"/>
      <c r="B430" s="4562"/>
      <c r="C430" s="4563"/>
      <c r="D430" s="4564"/>
      <c r="E430" s="4563"/>
      <c r="F430" s="4563"/>
      <c r="G430" s="4563"/>
      <c r="H430" s="4563"/>
      <c r="I430" s="4564"/>
      <c r="J430" s="4565"/>
      <c r="K430" s="4565"/>
      <c r="L430" s="4565"/>
      <c r="M430" s="4565"/>
      <c r="N430" s="4564"/>
      <c r="O430" s="4563"/>
      <c r="P430" s="4563"/>
      <c r="Q430" s="4563"/>
      <c r="R430" s="4563"/>
      <c r="S430" s="4564"/>
      <c r="T430" s="4563"/>
      <c r="U430" s="4563"/>
      <c r="V430" s="4563"/>
      <c r="W430" s="4563"/>
      <c r="X430" s="4564"/>
      <c r="Y430" s="4563"/>
      <c r="Z430" s="4563"/>
      <c r="AA430" s="4563"/>
      <c r="AB430" s="4563"/>
      <c r="AC430" s="4564"/>
      <c r="AD430" s="4564"/>
      <c r="AE430" s="4564"/>
      <c r="AF430" s="4564"/>
      <c r="AG430" s="4564"/>
      <c r="AH430" s="4566"/>
      <c r="AI430" s="3452"/>
    </row>
    <row r="431" ht="15.0" customHeight="1">
      <c r="A431" s="3453"/>
      <c r="B431" s="3777"/>
      <c r="C431" s="3778"/>
      <c r="D431" s="3779"/>
      <c r="E431" s="3780"/>
      <c r="F431" s="3780"/>
      <c r="G431" s="3780"/>
      <c r="H431" s="3781"/>
      <c r="I431" s="3781"/>
      <c r="J431" s="3780"/>
      <c r="K431" s="3780"/>
      <c r="L431" s="3780"/>
      <c r="M431" s="3781"/>
      <c r="N431" s="3782"/>
      <c r="O431" s="3783"/>
      <c r="P431" s="3783"/>
      <c r="Q431" s="3783"/>
      <c r="R431" s="3783"/>
      <c r="S431" s="3783"/>
      <c r="T431" s="3783"/>
      <c r="U431" s="3783"/>
      <c r="V431" s="3783"/>
      <c r="W431" s="3783"/>
      <c r="X431" s="3782"/>
      <c r="Y431" s="3783"/>
      <c r="Z431" s="3783"/>
      <c r="AA431" s="3783"/>
      <c r="AB431" s="3783"/>
      <c r="AC431" s="3783"/>
      <c r="AD431" s="3783"/>
      <c r="AE431" s="3783"/>
      <c r="AF431" s="3783"/>
      <c r="AG431" s="3783"/>
      <c r="AH431" s="3784"/>
      <c r="AI431" s="3466"/>
    </row>
    <row r="432">
      <c r="A432" s="3446"/>
      <c r="B432" s="3785"/>
      <c r="C432" s="3786"/>
      <c r="D432" s="3787"/>
      <c r="E432" s="3788" t="s">
        <v>1499</v>
      </c>
      <c r="F432" s="3789"/>
      <c r="G432" s="3789"/>
      <c r="H432" s="3789"/>
      <c r="I432" s="3789"/>
      <c r="J432" s="3789"/>
      <c r="K432" s="3789"/>
      <c r="L432" s="3789"/>
      <c r="M432" s="3789"/>
      <c r="N432" s="3789"/>
      <c r="O432" s="3789"/>
      <c r="P432" s="3789"/>
      <c r="Q432" s="3789"/>
      <c r="R432" s="3789"/>
      <c r="S432" s="3789"/>
      <c r="T432" s="3789"/>
      <c r="U432" s="3789"/>
      <c r="V432" s="3789"/>
      <c r="W432" s="3789"/>
      <c r="X432" s="3789"/>
      <c r="Y432" s="3789"/>
      <c r="Z432" s="3789"/>
      <c r="AA432" s="3789"/>
      <c r="AB432" s="3789"/>
      <c r="AC432" s="3789"/>
      <c r="AD432" s="3789"/>
      <c r="AE432" s="3789"/>
      <c r="AF432" s="3789"/>
      <c r="AG432" s="3790"/>
      <c r="AH432" s="3791"/>
      <c r="AI432" s="3452"/>
    </row>
    <row r="433" ht="96.75" customHeight="1">
      <c r="A433" s="3446"/>
      <c r="B433" s="3785"/>
      <c r="C433" s="3792" t="str">
        <f>IMAGE("https://i.ibb.co/vsXQ7g7/Super-Nerd.png")</f>
        <v/>
      </c>
      <c r="D433" s="3793"/>
      <c r="E433" s="3794" t="str">
        <f t="array" ref="E433">IFERROR(VLOOKUP(E434,Dex!$B$3:$G1361,3,FALSE),"")</f>
        <v/>
      </c>
      <c r="F433" s="606"/>
      <c r="G433" s="606"/>
      <c r="H433" s="607"/>
      <c r="I433" s="3795"/>
      <c r="J433" s="3794" t="str">
        <f t="array" ref="J433">IFERROR(VLOOKUP(J434,Dex!$B$3:$G1361,3,FALSE),"")</f>
        <v/>
      </c>
      <c r="K433" s="606"/>
      <c r="L433" s="606"/>
      <c r="M433" s="607"/>
      <c r="N433" s="3795"/>
      <c r="O433" s="3794" t="str">
        <f t="array" ref="O433">IFERROR(VLOOKUP(O434,Dex!$B$3:$G1361,3,FALSE),"")</f>
        <v/>
      </c>
      <c r="P433" s="606"/>
      <c r="Q433" s="606"/>
      <c r="R433" s="607"/>
      <c r="S433" s="3795"/>
      <c r="T433" s="3794" t="str">
        <f t="array" ref="T433">IFERROR(VLOOKUP(T434,Dex!$B$3:$G1361,3,FALSE),"")</f>
        <v/>
      </c>
      <c r="U433" s="606"/>
      <c r="V433" s="606"/>
      <c r="W433" s="607"/>
      <c r="X433" s="3796"/>
      <c r="Y433" s="3794" t="str">
        <f t="array" ref="Y433">IFERROR(VLOOKUP(Y434,Dex!$B$3:$G1361,3,FALSE),"")</f>
        <v/>
      </c>
      <c r="Z433" s="606"/>
      <c r="AA433" s="606"/>
      <c r="AB433" s="607"/>
      <c r="AC433" s="3797"/>
      <c r="AD433" s="3798"/>
      <c r="AE433" s="3799"/>
      <c r="AF433" s="3799"/>
      <c r="AG433" s="3800"/>
      <c r="AH433" s="3791"/>
      <c r="AI433" s="3452"/>
    </row>
    <row r="434" ht="18.75" customHeight="1">
      <c r="A434" s="3689"/>
      <c r="B434" s="3801"/>
      <c r="C434" s="3802" t="s">
        <v>1500</v>
      </c>
      <c r="D434" s="3803"/>
      <c r="E434" s="3804" t="s">
        <v>1501</v>
      </c>
      <c r="F434" s="3805"/>
      <c r="G434" s="3805"/>
      <c r="H434" s="3806"/>
      <c r="J434" s="3804" t="s">
        <v>1502</v>
      </c>
      <c r="K434" s="3805"/>
      <c r="L434" s="3805"/>
      <c r="M434" s="3806"/>
      <c r="O434" s="3804" t="s">
        <v>1503</v>
      </c>
      <c r="P434" s="3805"/>
      <c r="Q434" s="3805"/>
      <c r="R434" s="3806"/>
      <c r="T434" s="3804" t="s">
        <v>1504</v>
      </c>
      <c r="U434" s="3805"/>
      <c r="V434" s="3805"/>
      <c r="W434" s="3806"/>
      <c r="Y434" s="3804" t="s">
        <v>1505</v>
      </c>
      <c r="Z434" s="3805"/>
      <c r="AA434" s="3805"/>
      <c r="AB434" s="3806"/>
      <c r="AC434" s="3807"/>
      <c r="AD434" s="3808"/>
      <c r="AE434" s="3799"/>
      <c r="AF434" s="3799"/>
      <c r="AG434" s="3800"/>
      <c r="AH434" s="3809"/>
      <c r="AI434" s="3700"/>
    </row>
    <row r="435">
      <c r="A435" s="3701"/>
      <c r="B435" s="3810"/>
      <c r="C435" s="1638"/>
      <c r="D435" s="3811"/>
      <c r="E435" s="3812" t="s">
        <v>967</v>
      </c>
      <c r="F435" s="3813"/>
      <c r="G435" s="3813"/>
      <c r="H435" s="3814"/>
      <c r="J435" s="3812" t="s">
        <v>967</v>
      </c>
      <c r="K435" s="3813"/>
      <c r="L435" s="3813"/>
      <c r="M435" s="3814"/>
      <c r="O435" s="3812" t="s">
        <v>967</v>
      </c>
      <c r="P435" s="3813"/>
      <c r="Q435" s="3813"/>
      <c r="R435" s="3814"/>
      <c r="T435" s="3812" t="s">
        <v>729</v>
      </c>
      <c r="U435" s="3813"/>
      <c r="V435" s="3813"/>
      <c r="W435" s="3814"/>
      <c r="Y435" s="3812" t="s">
        <v>729</v>
      </c>
      <c r="Z435" s="3813"/>
      <c r="AA435" s="3813"/>
      <c r="AB435" s="3814"/>
      <c r="AC435" s="3807"/>
      <c r="AD435" s="3815"/>
      <c r="AE435" s="3799"/>
      <c r="AF435" s="3799"/>
      <c r="AG435" s="3800"/>
      <c r="AH435" s="3816"/>
      <c r="AI435" s="3709"/>
    </row>
    <row r="436" ht="25.5" customHeight="1">
      <c r="A436" s="3446"/>
      <c r="B436" s="3785"/>
      <c r="C436" s="1646"/>
      <c r="D436" s="3787"/>
      <c r="E436" s="3817"/>
      <c r="F436" s="3821" t="str">
        <f t="array" ref="F436">IFERROR(VLOOKUP(E434,Dex!$B$3:$H1361,5,FALSE),"")</f>
        <v/>
      </c>
      <c r="G436" s="3822" t="str">
        <f t="array" ref="G436">IFERROR(VLOOKUP(E434,Dex!$B$3:$H1361,7,FALSE),"")</f>
        <v/>
      </c>
      <c r="H436" s="3820"/>
      <c r="J436" s="3817"/>
      <c r="K436" s="3818" t="str">
        <f t="array" ref="K436">IFERROR(VLOOKUP(J434,Dex!$B$3:$H1361,5,FALSE),"")</f>
        <v/>
      </c>
      <c r="L436" s="3819"/>
      <c r="M436" s="3820"/>
      <c r="O436" s="3817"/>
      <c r="P436" s="3821" t="str">
        <f t="array" ref="P436">IFERROR(VLOOKUP(O434,Dex!$B$3:$H1361,5,FALSE),"")</f>
        <v/>
      </c>
      <c r="Q436" s="3822" t="str">
        <f t="array" ref="Q436">IFERROR(VLOOKUP(O434,Dex!$B$3:$H1361,7,FALSE),"")</f>
        <v/>
      </c>
      <c r="R436" s="3820"/>
      <c r="T436" s="3817"/>
      <c r="U436" s="3821" t="str">
        <f t="array" ref="U436">IFERROR(VLOOKUP(T434,Dex!$B$3:$H1361,5,FALSE),"")</f>
        <v/>
      </c>
      <c r="V436" s="3822" t="str">
        <f t="array" ref="V436">IFERROR(VLOOKUP(T434,Dex!$B$3:$H1361,7,FALSE),"")</f>
        <v/>
      </c>
      <c r="W436" s="3820"/>
      <c r="Y436" s="3817"/>
      <c r="Z436" s="3821" t="str">
        <f t="array" ref="Z436">IFERROR(VLOOKUP(Y434,Dex!$B$3:$H1361,5,FALSE),"")</f>
        <v/>
      </c>
      <c r="AA436" s="3822" t="str">
        <f t="array" ref="AA436">IFERROR(VLOOKUP(Y434,Dex!$B$3:$H1361,7,FALSE),"")</f>
        <v/>
      </c>
      <c r="AB436" s="3820"/>
      <c r="AC436" s="3807"/>
      <c r="AD436" s="3798"/>
      <c r="AE436" s="3799"/>
      <c r="AF436" s="3799"/>
      <c r="AG436" s="3800"/>
      <c r="AH436" s="3791"/>
      <c r="AI436" s="3452"/>
    </row>
    <row r="437" ht="2.25" customHeight="1">
      <c r="A437" s="3446"/>
      <c r="B437" s="3785"/>
      <c r="C437" s="3786"/>
      <c r="D437" s="3787"/>
      <c r="E437" s="3823"/>
      <c r="F437" s="3824"/>
      <c r="G437" s="3824"/>
      <c r="H437" s="3825"/>
      <c r="J437" s="3823"/>
      <c r="K437" s="3824"/>
      <c r="L437" s="3824"/>
      <c r="M437" s="3825"/>
      <c r="O437" s="3823"/>
      <c r="P437" s="3824"/>
      <c r="Q437" s="3824"/>
      <c r="R437" s="3825"/>
      <c r="T437" s="3823"/>
      <c r="U437" s="3824"/>
      <c r="V437" s="3824"/>
      <c r="W437" s="3825"/>
      <c r="Y437" s="3823"/>
      <c r="Z437" s="3824"/>
      <c r="AA437" s="3824"/>
      <c r="AB437" s="3825"/>
      <c r="AC437" s="3807"/>
      <c r="AD437" s="3787"/>
      <c r="AE437" s="3787"/>
      <c r="AF437" s="3787"/>
      <c r="AG437" s="3787"/>
      <c r="AH437" s="3791"/>
      <c r="AI437" s="3452"/>
    </row>
    <row r="438" ht="20.25" customHeight="1">
      <c r="A438" s="3446"/>
      <c r="B438" s="3785"/>
      <c r="C438" s="3786"/>
      <c r="D438" s="3798"/>
      <c r="E438" s="3826" t="s">
        <v>531</v>
      </c>
      <c r="F438" s="3827"/>
      <c r="G438" s="3827"/>
      <c r="H438" s="3828"/>
      <c r="J438" s="3826" t="s">
        <v>566</v>
      </c>
      <c r="K438" s="3827"/>
      <c r="L438" s="3827"/>
      <c r="M438" s="3828"/>
      <c r="O438" s="3826" t="s">
        <v>532</v>
      </c>
      <c r="P438" s="3827"/>
      <c r="Q438" s="3827"/>
      <c r="R438" s="3828"/>
      <c r="T438" s="3826" t="s">
        <v>565</v>
      </c>
      <c r="U438" s="3827"/>
      <c r="V438" s="3827"/>
      <c r="W438" s="3828"/>
      <c r="Y438" s="3826" t="s">
        <v>531</v>
      </c>
      <c r="Z438" s="3827"/>
      <c r="AA438" s="3827"/>
      <c r="AB438" s="3828"/>
      <c r="AC438" s="3807"/>
      <c r="AD438" s="3798"/>
      <c r="AE438" s="3799"/>
      <c r="AF438" s="3799"/>
      <c r="AG438" s="3800"/>
      <c r="AH438" s="3791"/>
      <c r="AI438" s="3452"/>
    </row>
    <row r="439" ht="20.25" customHeight="1">
      <c r="A439" s="3446"/>
      <c r="B439" s="3785"/>
      <c r="C439" s="3829"/>
      <c r="D439" s="3798"/>
      <c r="E439" s="3830" t="s">
        <v>1506</v>
      </c>
      <c r="F439" s="3799"/>
      <c r="G439" s="3799"/>
      <c r="H439" s="3831"/>
      <c r="J439" s="3830" t="s">
        <v>1507</v>
      </c>
      <c r="K439" s="3799"/>
      <c r="L439" s="3799"/>
      <c r="M439" s="3831"/>
      <c r="O439" s="3830" t="s">
        <v>1132</v>
      </c>
      <c r="P439" s="3799"/>
      <c r="Q439" s="3799"/>
      <c r="R439" s="3831"/>
      <c r="T439" s="3830" t="s">
        <v>84</v>
      </c>
      <c r="U439" s="3799"/>
      <c r="V439" s="3799"/>
      <c r="W439" s="3831"/>
      <c r="Y439" s="3830" t="s">
        <v>56</v>
      </c>
      <c r="Z439" s="3799"/>
      <c r="AA439" s="3799"/>
      <c r="AB439" s="3831"/>
      <c r="AC439" s="3807"/>
      <c r="AD439" s="3798"/>
      <c r="AE439" s="3799"/>
      <c r="AF439" s="3799"/>
      <c r="AG439" s="3800"/>
      <c r="AH439" s="3791"/>
      <c r="AI439" s="3452"/>
    </row>
    <row r="440" ht="20.25" customHeight="1">
      <c r="A440" s="3446"/>
      <c r="B440" s="3785"/>
      <c r="C440" s="3832"/>
      <c r="D440" s="3798"/>
      <c r="E440" s="3833" t="s">
        <v>710</v>
      </c>
      <c r="F440" s="3789"/>
      <c r="G440" s="3790"/>
      <c r="H440" s="3834" t="str">
        <f>IMAGE("https://raw.githubusercontent.com/msikma/pokesprite/master/items/hold-item/weakness-policy.png",3)</f>
        <v/>
      </c>
      <c r="J440" s="3833" t="s">
        <v>1445</v>
      </c>
      <c r="K440" s="3789"/>
      <c r="L440" s="3790"/>
      <c r="M440" s="3834" t="str">
        <f>IMAGE("https://raw.githubusercontent.com/msikma/pokesprite/master/items/hold-item/choice-scarf.png",3)</f>
        <v/>
      </c>
      <c r="O440" s="3833" t="s">
        <v>573</v>
      </c>
      <c r="P440" s="3789"/>
      <c r="Q440" s="3790"/>
      <c r="R440" s="3834" t="str">
        <f>IMAGE("https://raw.githubusercontent.com/msikma/pokesprite/master/items/hold-item/focus-sash.png",3)</f>
        <v/>
      </c>
      <c r="T440" s="3833" t="s">
        <v>710</v>
      </c>
      <c r="U440" s="3789"/>
      <c r="V440" s="3790"/>
      <c r="W440" s="3834" t="str">
        <f>IMAGE("https://raw.githubusercontent.com/msikma/pokesprite/master/items/hold-item/weakness-policy.png",3)</f>
        <v/>
      </c>
      <c r="Y440" s="3833" t="s">
        <v>541</v>
      </c>
      <c r="Z440" s="3789"/>
      <c r="AA440" s="3790"/>
      <c r="AB440" s="3834" t="str">
        <f>IMAGE("https://raw.githubusercontent.com/msikma/pokesprite/master/items/hold-item/life-orb.png",3)</f>
        <v/>
      </c>
      <c r="AC440" s="3807"/>
      <c r="AD440" s="3798"/>
      <c r="AE440" s="3799"/>
      <c r="AF440" s="3799"/>
      <c r="AG440" s="3800"/>
      <c r="AH440" s="3791"/>
      <c r="AI440" s="3452"/>
    </row>
    <row r="441" ht="20.25" customHeight="1">
      <c r="A441" s="3446"/>
      <c r="B441" s="3785"/>
      <c r="C441" s="3835"/>
      <c r="D441" s="3798"/>
      <c r="E441" s="3826" t="s">
        <v>619</v>
      </c>
      <c r="F441" s="3827"/>
      <c r="G441" s="3836"/>
      <c r="H441" s="3837" t="str">
        <f>IMAGE("https://raw.githubusercontent.com/msikma/pokesprite/master/misc/types/gen8/fire.png",4,20,20)</f>
        <v/>
      </c>
      <c r="J441" s="3826" t="s">
        <v>810</v>
      </c>
      <c r="K441" s="3827"/>
      <c r="L441" s="3836"/>
      <c r="M441" s="3837" t="str">
        <f>IMAGE("https://raw.githubusercontent.com/msikma/pokesprite/master/misc/types/gen8/dark.png",4,20,20)</f>
        <v/>
      </c>
      <c r="O441" s="3826" t="s">
        <v>694</v>
      </c>
      <c r="P441" s="3827"/>
      <c r="Q441" s="3836"/>
      <c r="R441" s="3837" t="str">
        <f>IMAGE("https://raw.githubusercontent.com/msikma/pokesprite/master/misc/types/gen8/fire.png",4,20,20)</f>
        <v/>
      </c>
      <c r="T441" s="3826" t="s">
        <v>647</v>
      </c>
      <c r="U441" s="3827"/>
      <c r="V441" s="3836"/>
      <c r="W441" s="3837" t="str">
        <f>IMAGE("https://raw.githubusercontent.com/msikma/pokesprite/master/misc/types/gen8/ghost.png",4,20,20)</f>
        <v/>
      </c>
      <c r="Y441" s="3826" t="s">
        <v>669</v>
      </c>
      <c r="Z441" s="3827"/>
      <c r="AA441" s="3836"/>
      <c r="AB441" s="3837" t="str">
        <f>IMAGE("https://raw.githubusercontent.com/msikma/pokesprite/master/misc/types/gen8/psychic.png",4,20,20)</f>
        <v/>
      </c>
      <c r="AC441" s="3807"/>
      <c r="AD441" s="3798"/>
      <c r="AE441" s="3799"/>
      <c r="AF441" s="3799"/>
      <c r="AG441" s="3800"/>
      <c r="AH441" s="3791"/>
      <c r="AI441" s="3452"/>
    </row>
    <row r="442" ht="20.25" customHeight="1">
      <c r="A442" s="3446"/>
      <c r="B442" s="3785"/>
      <c r="C442" s="3786"/>
      <c r="D442" s="3798"/>
      <c r="E442" s="3830" t="s">
        <v>788</v>
      </c>
      <c r="F442" s="3799"/>
      <c r="G442" s="3800"/>
      <c r="H442" s="3838" t="str">
        <f>IMAGE("https://raw.githubusercontent.com/msikma/pokesprite/master/misc/types/gen8/psychic.png",4,20,20)</f>
        <v/>
      </c>
      <c r="J442" s="3830" t="s">
        <v>616</v>
      </c>
      <c r="K442" s="3799"/>
      <c r="L442" s="3800"/>
      <c r="M442" s="3838" t="str">
        <f>IMAGE("https://raw.githubusercontent.com/msikma/pokesprite/master/misc/types/gen8/grass.png",4,20,20)</f>
        <v/>
      </c>
      <c r="O442" s="3830" t="s">
        <v>1137</v>
      </c>
      <c r="P442" s="3799"/>
      <c r="Q442" s="3800"/>
      <c r="R442" s="3838" t="str">
        <f t="shared" ref="R442:R443" si="9">IMAGE("https://raw.githubusercontent.com/msikma/pokesprite/master/misc/types/gen8/rock.png",4,20,20)</f>
        <v/>
      </c>
      <c r="T442" s="3830" t="s">
        <v>649</v>
      </c>
      <c r="U442" s="3799"/>
      <c r="V442" s="3800"/>
      <c r="W442" s="3838" t="str">
        <f>IMAGE("https://raw.githubusercontent.com/msikma/pokesprite/master/misc/types/gen8/water.png",4,20,20)</f>
        <v/>
      </c>
      <c r="Y442" s="3830" t="s">
        <v>1243</v>
      </c>
      <c r="Z442" s="3799"/>
      <c r="AA442" s="3800"/>
      <c r="AB442" s="3838" t="str">
        <f>IMAGE("https://raw.githubusercontent.com/msikma/pokesprite/master/misc/types/gen8/fire.png",4,20,20)</f>
        <v/>
      </c>
      <c r="AC442" s="3807"/>
      <c r="AD442" s="3798"/>
      <c r="AE442" s="3799"/>
      <c r="AF442" s="3799"/>
      <c r="AG442" s="3800"/>
      <c r="AH442" s="3791"/>
      <c r="AI442" s="3452"/>
    </row>
    <row r="443" ht="20.25" customHeight="1">
      <c r="A443" s="3446"/>
      <c r="B443" s="3785"/>
      <c r="C443" s="3786"/>
      <c r="D443" s="3798"/>
      <c r="E443" s="3830" t="s">
        <v>647</v>
      </c>
      <c r="F443" s="3799"/>
      <c r="G443" s="3800"/>
      <c r="H443" s="3838" t="str">
        <f>IMAGE("https://raw.githubusercontent.com/msikma/pokesprite/master/misc/types/gen8/ghost.png",4,20,20)</f>
        <v/>
      </c>
      <c r="J443" s="3830" t="s">
        <v>579</v>
      </c>
      <c r="K443" s="3799"/>
      <c r="L443" s="3800"/>
      <c r="M443" s="3838" t="str">
        <f>IMAGE("https://raw.githubusercontent.com/msikma/pokesprite/master/misc/types/gen8/dark.png",4,20,20)</f>
        <v/>
      </c>
      <c r="O443" s="3830" t="s">
        <v>1488</v>
      </c>
      <c r="P443" s="3799"/>
      <c r="Q443" s="3800"/>
      <c r="R443" s="3838" t="str">
        <f t="shared" si="9"/>
        <v/>
      </c>
      <c r="T443" s="3830" t="s">
        <v>670</v>
      </c>
      <c r="U443" s="3799"/>
      <c r="V443" s="3800"/>
      <c r="W443" s="3838" t="str">
        <f>IMAGE("https://raw.githubusercontent.com/msikma/pokesprite/master/misc/types/gen8/ice.png",4,20,20)</f>
        <v/>
      </c>
      <c r="Y443" s="3830" t="s">
        <v>805</v>
      </c>
      <c r="Z443" s="3799"/>
      <c r="AA443" s="3800"/>
      <c r="AB443" s="3838" t="str">
        <f>IMAGE("https://raw.githubusercontent.com/msikma/pokesprite/master/misc/types/gen8/flying.png",4,20,20)</f>
        <v/>
      </c>
      <c r="AC443" s="3807"/>
      <c r="AD443" s="3798"/>
      <c r="AE443" s="3799"/>
      <c r="AF443" s="3799"/>
      <c r="AG443" s="3800"/>
      <c r="AH443" s="3791"/>
      <c r="AI443" s="3452"/>
    </row>
    <row r="444" ht="21.0" customHeight="1">
      <c r="A444" s="3446"/>
      <c r="B444" s="3785"/>
      <c r="C444" s="3786"/>
      <c r="D444" s="3798"/>
      <c r="E444" s="3839" t="s">
        <v>718</v>
      </c>
      <c r="F444" s="3840"/>
      <c r="G444" s="3841"/>
      <c r="H444" s="3842" t="str">
        <f>IMAGE("https://raw.githubusercontent.com/msikma/pokesprite/master/misc/types/gen8/fighting.png",4,20,20)</f>
        <v/>
      </c>
      <c r="I444" s="3843"/>
      <c r="J444" s="3839" t="s">
        <v>612</v>
      </c>
      <c r="K444" s="3840"/>
      <c r="L444" s="3841"/>
      <c r="M444" s="3842" t="str">
        <f>IMAGE("https://raw.githubusercontent.com/msikma/pokesprite/master/misc/types/gen8/bug.png",4,20,20)</f>
        <v/>
      </c>
      <c r="N444" s="3843"/>
      <c r="O444" s="3839" t="s">
        <v>905</v>
      </c>
      <c r="P444" s="3840"/>
      <c r="Q444" s="3841"/>
      <c r="R444" s="3842" t="str">
        <f>IMAGE("https://raw.githubusercontent.com/msikma/pokesprite/master/misc/types/gen8/electric.png",4,20,20)</f>
        <v/>
      </c>
      <c r="S444" s="3843"/>
      <c r="T444" s="3839" t="s">
        <v>875</v>
      </c>
      <c r="U444" s="3840"/>
      <c r="V444" s="3841"/>
      <c r="W444" s="3842" t="str">
        <f>IMAGE("https://raw.githubusercontent.com/msikma/pokesprite/master/misc/types/gen8/ghost.png",4,20,20)</f>
        <v/>
      </c>
      <c r="X444" s="3843"/>
      <c r="Y444" s="3839" t="s">
        <v>142</v>
      </c>
      <c r="Z444" s="3840"/>
      <c r="AA444" s="3841"/>
      <c r="AB444" s="3842" t="str">
        <f>IMAGE("https://raw.githubusercontent.com/msikma/pokesprite/master/misc/types/gen8/psychic.png",4,20,20)</f>
        <v/>
      </c>
      <c r="AC444" s="3844"/>
      <c r="AD444" s="3798"/>
      <c r="AE444" s="3799"/>
      <c r="AF444" s="3799"/>
      <c r="AG444" s="3800"/>
      <c r="AH444" s="3791"/>
      <c r="AI444" s="3452"/>
    </row>
    <row r="445" ht="3.0" customHeight="1">
      <c r="A445" s="3524"/>
      <c r="B445" s="3845"/>
      <c r="C445" s="3846"/>
      <c r="D445" s="3847"/>
      <c r="E445" s="3848"/>
      <c r="F445" s="3848"/>
      <c r="G445" s="3848"/>
      <c r="H445" s="3849"/>
      <c r="I445" s="3847"/>
      <c r="J445" s="3850"/>
      <c r="K445" s="3850"/>
      <c r="L445" s="3850"/>
      <c r="M445" s="3849"/>
      <c r="N445" s="3847"/>
      <c r="O445" s="3850"/>
      <c r="P445" s="3850"/>
      <c r="Q445" s="3850"/>
      <c r="R445" s="3849"/>
      <c r="S445" s="3849"/>
      <c r="T445" s="3850"/>
      <c r="U445" s="3850"/>
      <c r="V445" s="3850"/>
      <c r="W445" s="3849"/>
      <c r="X445" s="3847"/>
      <c r="Y445" s="3850"/>
      <c r="Z445" s="3850"/>
      <c r="AA445" s="3850"/>
      <c r="AB445" s="3849"/>
      <c r="AC445" s="3851"/>
      <c r="AD445" s="3851"/>
      <c r="AE445" s="3851"/>
      <c r="AF445" s="3851"/>
      <c r="AG445" s="3851"/>
      <c r="AH445" s="3852"/>
      <c r="AI445" s="3534"/>
    </row>
    <row r="446" ht="16.5" customHeight="1">
      <c r="A446" s="3535"/>
      <c r="B446" s="3853"/>
      <c r="C446" s="3846"/>
      <c r="D446" s="3854"/>
      <c r="E446" s="3855" t="s">
        <v>512</v>
      </c>
      <c r="F446" s="606"/>
      <c r="G446" s="606"/>
      <c r="H446" s="607"/>
      <c r="I446" s="3856"/>
      <c r="J446" s="3855" t="s">
        <v>512</v>
      </c>
      <c r="K446" s="606"/>
      <c r="L446" s="606"/>
      <c r="M446" s="607"/>
      <c r="N446" s="3856"/>
      <c r="O446" s="3855" t="s">
        <v>512</v>
      </c>
      <c r="P446" s="606"/>
      <c r="Q446" s="606"/>
      <c r="R446" s="607"/>
      <c r="S446" s="3856"/>
      <c r="T446" s="3855" t="s">
        <v>512</v>
      </c>
      <c r="U446" s="606"/>
      <c r="V446" s="606"/>
      <c r="W446" s="607"/>
      <c r="X446" s="3857"/>
      <c r="Y446" s="3855" t="s">
        <v>512</v>
      </c>
      <c r="Z446" s="606"/>
      <c r="AA446" s="606"/>
      <c r="AB446" s="607"/>
      <c r="AC446" s="3858"/>
      <c r="AD446" s="3858"/>
      <c r="AE446" s="3858"/>
      <c r="AF446" s="3858"/>
      <c r="AG446" s="3858"/>
      <c r="AH446" s="3859"/>
      <c r="AI446" s="3543"/>
    </row>
    <row r="447" ht="16.5" customHeight="1">
      <c r="A447" s="3535"/>
      <c r="B447" s="3853"/>
      <c r="C447" s="3846"/>
      <c r="D447" s="3854"/>
      <c r="E447" s="3860" t="s">
        <v>513</v>
      </c>
      <c r="F447" s="3861">
        <f t="array" ref="F447">IFERROR(VLOOKUP(E434,Dex!$B$3:$N1361,8,FALSE),"")</f>
        <v>85</v>
      </c>
      <c r="G447" s="3862" t="str">
        <f t="array" ref="G447">IFERROR(VLOOKUP(F447,Dex!$P$22:$Q$276,2,FALSE),"")</f>
        <v/>
      </c>
      <c r="H447" s="3863"/>
      <c r="I447" s="3864"/>
      <c r="J447" s="3860" t="s">
        <v>513</v>
      </c>
      <c r="K447" s="3861">
        <f t="array" ref="K447">IFERROR(VLOOKUP(J434,Dex!$B$3:$N1361,8,FALSE),"")</f>
        <v>72</v>
      </c>
      <c r="L447" s="3862" t="str">
        <f t="array" ref="L447">IFERROR(VLOOKUP(K447,Dex!$P$22:$Q$276,2,FALSE),"")</f>
        <v/>
      </c>
      <c r="M447" s="3863"/>
      <c r="N447" s="3864"/>
      <c r="O447" s="3860" t="s">
        <v>513</v>
      </c>
      <c r="P447" s="3861">
        <f t="array" ref="P447">IFERROR(VLOOKUP(O434,Dex!$B$3:$N1361,8,FALSE),"")</f>
        <v>95</v>
      </c>
      <c r="Q447" s="3862" t="str">
        <f t="array" ref="Q447">IFERROR(VLOOKUP(P447,Dex!$P$22:$Q$276,2,FALSE),"")</f>
        <v/>
      </c>
      <c r="R447" s="3863"/>
      <c r="S447" s="3865"/>
      <c r="T447" s="3860" t="s">
        <v>513</v>
      </c>
      <c r="U447" s="3861">
        <f t="array" ref="U447">IFERROR(VLOOKUP(T434,Dex!$B$3:$N1361,8,FALSE),"")</f>
        <v>120</v>
      </c>
      <c r="V447" s="3862" t="str">
        <f t="array" ref="V447">IFERROR(VLOOKUP(U447,Dex!$P$22:$Q$276,2,FALSE),"")</f>
        <v/>
      </c>
      <c r="W447" s="3863"/>
      <c r="X447" s="3858"/>
      <c r="Y447" s="3860" t="s">
        <v>513</v>
      </c>
      <c r="Z447" s="3861">
        <f t="array" ref="Z447">IFERROR(VLOOKUP(Y434,Dex!$B$3:$N1361,8,FALSE),"")</f>
        <v>115</v>
      </c>
      <c r="AA447" s="3862" t="str">
        <f t="array" ref="AA447">IFERROR(VLOOKUP(Z447,Dex!$P$22:$Q$276,2,FALSE),"")</f>
        <v/>
      </c>
      <c r="AB447" s="3863"/>
      <c r="AC447" s="3858"/>
      <c r="AD447" s="3858"/>
      <c r="AE447" s="3858"/>
      <c r="AF447" s="3858"/>
      <c r="AG447" s="3858"/>
      <c r="AH447" s="3859"/>
      <c r="AI447" s="3543"/>
    </row>
    <row r="448" ht="16.5" customHeight="1">
      <c r="A448" s="3535"/>
      <c r="B448" s="3853"/>
      <c r="C448" s="3846"/>
      <c r="D448" s="3854"/>
      <c r="E448" s="3866" t="s">
        <v>514</v>
      </c>
      <c r="F448" s="3867">
        <f t="array" ref="F448">IFERROR(VLOOKUP(E434,Dex!$B$3:$N1361,9,FALSE),"")</f>
        <v>60</v>
      </c>
      <c r="G448" s="3868" t="str">
        <f t="array" ref="G448">IFERROR(VLOOKUP(F448,Dex!$P$22:$Q$276,2,FALSE),"")</f>
        <v/>
      </c>
      <c r="H448" s="3869"/>
      <c r="I448" s="3870"/>
      <c r="J448" s="3866" t="s">
        <v>514</v>
      </c>
      <c r="K448" s="3867">
        <f t="array" ref="K448">IFERROR(VLOOKUP(J434,Dex!$B$3:$N1361,9,FALSE),"")</f>
        <v>120</v>
      </c>
      <c r="L448" s="3868" t="str">
        <f t="array" ref="L448">IFERROR(VLOOKUP(K448,Dex!$P$22:$Q$276,2,FALSE),"")</f>
        <v/>
      </c>
      <c r="M448" s="3869"/>
      <c r="N448" s="3864"/>
      <c r="O448" s="3866" t="s">
        <v>514</v>
      </c>
      <c r="P448" s="3867">
        <f t="array" ref="P448">IFERROR(VLOOKUP(O434,Dex!$B$3:$N1361,9,FALSE),"")</f>
        <v>125</v>
      </c>
      <c r="Q448" s="3868" t="str">
        <f t="array" ref="Q448">IFERROR(VLOOKUP(P448,Dex!$P$22:$Q$276,2,FALSE),"")</f>
        <v/>
      </c>
      <c r="R448" s="3869"/>
      <c r="S448" s="3865"/>
      <c r="T448" s="3866" t="s">
        <v>514</v>
      </c>
      <c r="U448" s="3867">
        <f t="array" ref="U448">IFERROR(VLOOKUP(T434,Dex!$B$3:$N1361,9,FALSE),"")</f>
        <v>92</v>
      </c>
      <c r="V448" s="3868" t="str">
        <f t="array" ref="V448">IFERROR(VLOOKUP(U448,Dex!$P$22:$Q$276,2,FALSE),"")</f>
        <v/>
      </c>
      <c r="W448" s="3869"/>
      <c r="X448" s="3858"/>
      <c r="Y448" s="3866" t="s">
        <v>514</v>
      </c>
      <c r="Z448" s="3867">
        <f t="array" ref="Z448">IFERROR(VLOOKUP(Y434,Dex!$B$3:$N1361,9,FALSE),"")</f>
        <v>58</v>
      </c>
      <c r="AA448" s="3868" t="str">
        <f t="array" ref="AA448">IFERROR(VLOOKUP(Z448,Dex!$P$22:$Q$276,2,FALSE),"")</f>
        <v/>
      </c>
      <c r="AB448" s="3869"/>
      <c r="AC448" s="3858"/>
      <c r="AD448" s="3858"/>
      <c r="AE448" s="3858"/>
      <c r="AF448" s="3858"/>
      <c r="AG448" s="3858"/>
      <c r="AH448" s="3859"/>
      <c r="AI448" s="3543"/>
    </row>
    <row r="449" ht="16.5" customHeight="1">
      <c r="A449" s="3535"/>
      <c r="B449" s="3853"/>
      <c r="C449" s="3846"/>
      <c r="D449" s="3854"/>
      <c r="E449" s="3866" t="s">
        <v>515</v>
      </c>
      <c r="F449" s="3867">
        <f t="array" ref="F449">IFERROR(VLOOKUP(E434,Dex!$B$3:$N1361,10,FALSE),"")</f>
        <v>100</v>
      </c>
      <c r="G449" s="3868" t="str">
        <f t="array" ref="G449">IFERROR(VLOOKUP(F449,Dex!$P$22:$Q$276,2,FALSE),"")</f>
        <v/>
      </c>
      <c r="H449" s="3869"/>
      <c r="I449" s="3864"/>
      <c r="J449" s="3866" t="s">
        <v>515</v>
      </c>
      <c r="K449" s="3867">
        <f t="array" ref="K449">IFERROR(VLOOKUP(J434,Dex!$B$3:$N1361,10,FALSE),"")</f>
        <v>98</v>
      </c>
      <c r="L449" s="3868" t="str">
        <f t="array" ref="L449">IFERROR(VLOOKUP(K449,Dex!$P$22:$Q$276,2,FALSE),"")</f>
        <v/>
      </c>
      <c r="M449" s="3869"/>
      <c r="N449" s="3864"/>
      <c r="O449" s="3866" t="s">
        <v>515</v>
      </c>
      <c r="P449" s="3867">
        <f t="array" ref="P449">IFERROR(VLOOKUP(O434,Dex!$B$3:$N1361,10,FALSE),"")</f>
        <v>80</v>
      </c>
      <c r="Q449" s="3868" t="str">
        <f t="array" ref="Q449">IFERROR(VLOOKUP(P449,Dex!$P$22:$Q$276,2,FALSE),"")</f>
        <v/>
      </c>
      <c r="R449" s="3869"/>
      <c r="S449" s="3865"/>
      <c r="T449" s="3866" t="s">
        <v>515</v>
      </c>
      <c r="U449" s="3867">
        <f t="array" ref="U449">IFERROR(VLOOKUP(T434,Dex!$B$3:$N1361,10,FALSE),"")</f>
        <v>65</v>
      </c>
      <c r="V449" s="3868" t="str">
        <f t="array" ref="V449">IFERROR(VLOOKUP(U449,Dex!$P$22:$Q$276,2,FALSE),"")</f>
        <v/>
      </c>
      <c r="W449" s="3869"/>
      <c r="X449" s="3858"/>
      <c r="Y449" s="3866" t="s">
        <v>515</v>
      </c>
      <c r="Z449" s="3867">
        <f t="array" ref="Z449">IFERROR(VLOOKUP(Y434,Dex!$B$3:$N1361,10,FALSE),"")</f>
        <v>80</v>
      </c>
      <c r="AA449" s="3868" t="str">
        <f t="array" ref="AA449">IFERROR(VLOOKUP(Z449,Dex!$P$22:$Q$276,2,FALSE),"")</f>
        <v/>
      </c>
      <c r="AB449" s="3869"/>
      <c r="AC449" s="3858"/>
      <c r="AD449" s="3858"/>
      <c r="AE449" s="3858"/>
      <c r="AF449" s="3858"/>
      <c r="AG449" s="3858"/>
      <c r="AH449" s="3859"/>
      <c r="AI449" s="3543"/>
    </row>
    <row r="450" ht="16.5" customHeight="1">
      <c r="A450" s="3535"/>
      <c r="B450" s="3853"/>
      <c r="C450" s="3846"/>
      <c r="D450" s="3854"/>
      <c r="E450" s="3866" t="s">
        <v>516</v>
      </c>
      <c r="F450" s="3867">
        <f t="array" ref="F450">IFERROR(VLOOKUP(E434,Dex!$B$3:$N1361,11,FALSE),"")</f>
        <v>125</v>
      </c>
      <c r="G450" s="3868" t="str">
        <f t="array" ref="G450">IFERROR(VLOOKUP(F450,Dex!$P$22:$Q$276,2,FALSE),"")</f>
        <v/>
      </c>
      <c r="H450" s="3869"/>
      <c r="I450" s="3864"/>
      <c r="J450" s="3866" t="s">
        <v>516</v>
      </c>
      <c r="K450" s="3867">
        <f t="array" ref="K450">IFERROR(VLOOKUP(J434,Dex!$B$3:$N1361,11,FALSE),"")</f>
        <v>50</v>
      </c>
      <c r="L450" s="3868" t="str">
        <f t="array" ref="L450">IFERROR(VLOOKUP(K450,Dex!$P$22:$Q$276,2,FALSE),"")</f>
        <v/>
      </c>
      <c r="M450" s="3869"/>
      <c r="N450" s="3864"/>
      <c r="O450" s="3866" t="s">
        <v>516</v>
      </c>
      <c r="P450" s="3867">
        <f t="array" ref="P450">IFERROR(VLOOKUP(O434,Dex!$B$3:$N1361,11,FALSE),"")</f>
        <v>85</v>
      </c>
      <c r="Q450" s="3868" t="str">
        <f t="array" ref="Q450">IFERROR(VLOOKUP(P450,Dex!$P$22:$Q$276,2,FALSE),"")</f>
        <v/>
      </c>
      <c r="R450" s="3869"/>
      <c r="S450" s="3865"/>
      <c r="T450" s="3866" t="s">
        <v>516</v>
      </c>
      <c r="U450" s="3867">
        <f t="array" ref="U450">IFERROR(VLOOKUP(T434,Dex!$B$3:$N1361,11,FALSE),"")</f>
        <v>100</v>
      </c>
      <c r="V450" s="3868" t="str">
        <f t="array" ref="V450">IFERROR(VLOOKUP(U450,Dex!$P$22:$Q$276,2,FALSE),"")</f>
        <v/>
      </c>
      <c r="W450" s="3869"/>
      <c r="X450" s="3858"/>
      <c r="Y450" s="3866" t="s">
        <v>516</v>
      </c>
      <c r="Z450" s="3867">
        <f t="array" ref="Z450">IFERROR(VLOOKUP(Y434,Dex!$B$3:$N1361,11,FALSE),"")</f>
        <v>112</v>
      </c>
      <c r="AA450" s="3868" t="str">
        <f t="array" ref="AA450">IFERROR(VLOOKUP(Z450,Dex!$P$22:$Q$276,2,FALSE),"")</f>
        <v/>
      </c>
      <c r="AB450" s="3869"/>
      <c r="AC450" s="3858"/>
      <c r="AD450" s="3858"/>
      <c r="AE450" s="3858"/>
      <c r="AF450" s="3858"/>
      <c r="AG450" s="3858"/>
      <c r="AH450" s="3859"/>
      <c r="AI450" s="3543"/>
    </row>
    <row r="451" ht="16.5" customHeight="1">
      <c r="A451" s="3535"/>
      <c r="B451" s="3853"/>
      <c r="C451" s="3846"/>
      <c r="D451" s="3854"/>
      <c r="E451" s="3866" t="s">
        <v>517</v>
      </c>
      <c r="F451" s="3867">
        <f t="array" ref="F451">IFERROR(VLOOKUP(E434,Dex!$B$3:$N1361,12,FALSE),"")</f>
        <v>80</v>
      </c>
      <c r="G451" s="3868" t="str">
        <f t="array" ref="G451">IFERROR(VLOOKUP(F451,Dex!$P$22:$Q$276,2,FALSE),"")</f>
        <v/>
      </c>
      <c r="H451" s="3869"/>
      <c r="I451" s="3864"/>
      <c r="J451" s="3866" t="s">
        <v>517</v>
      </c>
      <c r="K451" s="3867">
        <f t="array" ref="K451">IFERROR(VLOOKUP(J434,Dex!$B$3:$N1361,12,FALSE),"")</f>
        <v>98</v>
      </c>
      <c r="L451" s="3868" t="str">
        <f t="array" ref="L451">IFERROR(VLOOKUP(K451,Dex!$P$22:$Q$276,2,FALSE),"")</f>
        <v/>
      </c>
      <c r="M451" s="3869"/>
      <c r="N451" s="3864"/>
      <c r="O451" s="3866" t="s">
        <v>517</v>
      </c>
      <c r="P451" s="3867">
        <f t="array" ref="P451">IFERROR(VLOOKUP(O434,Dex!$B$3:$N1361,12,FALSE),"")</f>
        <v>80</v>
      </c>
      <c r="Q451" s="3868" t="str">
        <f t="array" ref="Q451">IFERROR(VLOOKUP(P451,Dex!$P$22:$Q$276,2,FALSE),"")</f>
        <v/>
      </c>
      <c r="R451" s="3869"/>
      <c r="S451" s="3865"/>
      <c r="T451" s="3866" t="s">
        <v>517</v>
      </c>
      <c r="U451" s="3867">
        <f t="array" ref="U451">IFERROR(VLOOKUP(T434,Dex!$B$3:$N1361,12,FALSE),"")</f>
        <v>75</v>
      </c>
      <c r="V451" s="3868" t="str">
        <f t="array" ref="V451">IFERROR(VLOOKUP(U451,Dex!$P$22:$Q$276,2,FALSE),"")</f>
        <v/>
      </c>
      <c r="W451" s="3869"/>
      <c r="X451" s="3858"/>
      <c r="Y451" s="3866" t="s">
        <v>517</v>
      </c>
      <c r="Z451" s="3867">
        <f t="array" ref="Z451">IFERROR(VLOOKUP(Y434,Dex!$B$3:$N1361,12,FALSE),"")</f>
        <v>80</v>
      </c>
      <c r="AA451" s="3868" t="str">
        <f t="array" ref="AA451">IFERROR(VLOOKUP(Z451,Dex!$P$22:$Q$276,2,FALSE),"")</f>
        <v/>
      </c>
      <c r="AB451" s="3869"/>
      <c r="AC451" s="3858"/>
      <c r="AD451" s="3858"/>
      <c r="AE451" s="3858"/>
      <c r="AF451" s="3858"/>
      <c r="AG451" s="3858"/>
      <c r="AH451" s="3859"/>
      <c r="AI451" s="3543"/>
    </row>
    <row r="452" ht="16.5" customHeight="1">
      <c r="A452" s="3535"/>
      <c r="B452" s="3853"/>
      <c r="C452" s="1426" t="s">
        <v>745</v>
      </c>
      <c r="D452" s="3854"/>
      <c r="E452" s="3871" t="s">
        <v>518</v>
      </c>
      <c r="F452" s="3872">
        <f t="array" ref="F452">IFERROR(VLOOKUP(E434,Dex!$B$3:$N1361,13,FALSE),"")</f>
        <v>75</v>
      </c>
      <c r="G452" s="4567" t="str">
        <f t="array" ref="G452">IFERROR(VLOOKUP(F452,Dex!$P$22:$Q$276,2,FALSE),"")</f>
        <v/>
      </c>
      <c r="H452" s="4568"/>
      <c r="I452" s="3864"/>
      <c r="J452" s="3871" t="s">
        <v>518</v>
      </c>
      <c r="K452" s="3872">
        <f t="array" ref="K452">IFERROR(VLOOKUP(J434,Dex!$B$3:$N1361,13,FALSE),"")</f>
        <v>72</v>
      </c>
      <c r="L452" s="4567" t="str">
        <f t="array" ref="L452">IFERROR(VLOOKUP(K452,Dex!$P$22:$Q$276,2,FALSE),"")</f>
        <v/>
      </c>
      <c r="M452" s="4568"/>
      <c r="N452" s="3864"/>
      <c r="O452" s="3871" t="s">
        <v>518</v>
      </c>
      <c r="P452" s="3872">
        <f t="array" ref="P452">IFERROR(VLOOKUP(O434,Dex!$B$3:$N1361,13,FALSE),"")</f>
        <v>90</v>
      </c>
      <c r="Q452" s="3868" t="str">
        <f t="array" ref="Q452">IFERROR(VLOOKUP(P452,Dex!$P$22:$Q$276,2,FALSE),"")</f>
        <v/>
      </c>
      <c r="R452" s="3869"/>
      <c r="S452" s="3865"/>
      <c r="T452" s="3871" t="s">
        <v>518</v>
      </c>
      <c r="U452" s="3872">
        <f t="array" ref="U452">IFERROR(VLOOKUP(T434,Dex!$B$3:$N1361,13,FALSE),"")</f>
        <v>78</v>
      </c>
      <c r="V452" s="3868" t="str">
        <f t="array" ref="V452">IFERROR(VLOOKUP(U452,Dex!$P$22:$Q$276,2,FALSE),"")</f>
        <v/>
      </c>
      <c r="W452" s="3869"/>
      <c r="X452" s="3858"/>
      <c r="Y452" s="3871" t="s">
        <v>518</v>
      </c>
      <c r="Z452" s="3872">
        <f t="array" ref="Z452">IFERROR(VLOOKUP(Y434,Dex!$B$3:$N1361,13,FALSE),"")</f>
        <v>65</v>
      </c>
      <c r="AA452" s="3868" t="str">
        <f t="array" ref="AA452">IFERROR(VLOOKUP(Z452,Dex!$P$22:$Q$276,2,FALSE),"")</f>
        <v/>
      </c>
      <c r="AB452" s="3869"/>
      <c r="AC452" s="3858"/>
      <c r="AD452" s="3858"/>
      <c r="AE452" s="3858"/>
      <c r="AF452" s="3858"/>
      <c r="AG452" s="3858"/>
      <c r="AH452" s="3859"/>
      <c r="AI452" s="3543"/>
    </row>
    <row r="453" ht="16.5" customHeight="1">
      <c r="A453" s="3535"/>
      <c r="B453" s="3853"/>
      <c r="C453" s="1427" t="s">
        <v>880</v>
      </c>
      <c r="D453" s="4569"/>
      <c r="E453" s="4570" t="s">
        <v>519</v>
      </c>
      <c r="F453" s="635"/>
      <c r="G453" s="636"/>
      <c r="H453" s="632">
        <f>ROUNDDOWN((ROUNDDOWN(((((2*F452+31)*35)/100+5)),0))*1,0)</f>
        <v>68</v>
      </c>
      <c r="I453" s="3856"/>
      <c r="J453" s="4570" t="s">
        <v>519</v>
      </c>
      <c r="K453" s="635"/>
      <c r="L453" s="636"/>
      <c r="M453" s="632">
        <f>ROUNDDOWN((ROUNDDOWN(((((2*K452+31)*35)/100+5)),0))*1,0)</f>
        <v>66</v>
      </c>
      <c r="N453" s="3856"/>
      <c r="O453" s="3873" t="s">
        <v>519</v>
      </c>
      <c r="P453" s="630"/>
      <c r="Q453" s="631"/>
      <c r="R453" s="632">
        <f>ROUNDDOWN((ROUNDDOWN(((((2*P452+31)*35)/100+5)),0))*1.1,0)</f>
        <v>85</v>
      </c>
      <c r="S453" s="3874"/>
      <c r="T453" s="3873" t="s">
        <v>519</v>
      </c>
      <c r="U453" s="630"/>
      <c r="V453" s="631"/>
      <c r="W453" s="632">
        <f>ROUNDDOWN((ROUNDDOWN(((((2*U452+31)*36)/100+5)),0))*1.1,0)</f>
        <v>79</v>
      </c>
      <c r="X453" s="3857"/>
      <c r="Y453" s="3873" t="s">
        <v>519</v>
      </c>
      <c r="Z453" s="630"/>
      <c r="AA453" s="631"/>
      <c r="AB453" s="632">
        <f>ROUNDDOWN((ROUNDDOWN(((((2*Z452+31)*36)/100+5)),0))*1,0)</f>
        <v>62</v>
      </c>
      <c r="AC453" s="3858"/>
      <c r="AD453" s="3858"/>
      <c r="AE453" s="3858"/>
      <c r="AF453" s="3858"/>
      <c r="AG453" s="3858"/>
      <c r="AH453" s="3859"/>
      <c r="AI453" s="3543"/>
    </row>
    <row r="454" ht="16.5" customHeight="1">
      <c r="A454" s="3535"/>
      <c r="B454" s="4571"/>
      <c r="C454" s="3846"/>
      <c r="D454" s="4572"/>
      <c r="E454" s="4573" t="s">
        <v>1508</v>
      </c>
      <c r="F454" s="643"/>
      <c r="G454" s="644"/>
      <c r="H454" s="3064">
        <f>H453*2</f>
        <v>136</v>
      </c>
      <c r="I454" s="4574"/>
      <c r="J454" s="4573" t="s">
        <v>1449</v>
      </c>
      <c r="K454" s="643"/>
      <c r="L454" s="644"/>
      <c r="M454" s="645">
        <f>ROUNDDOWN(M453*1.5,0)</f>
        <v>99</v>
      </c>
      <c r="N454" s="4574"/>
      <c r="O454" s="3846"/>
      <c r="P454" s="3846"/>
      <c r="Q454" s="3846"/>
      <c r="R454" s="3846"/>
      <c r="S454" s="4575"/>
      <c r="T454" s="3846"/>
      <c r="U454" s="3846"/>
      <c r="V454" s="3846"/>
      <c r="W454" s="3846"/>
      <c r="X454" s="4576"/>
      <c r="Y454" s="3846"/>
      <c r="Z454" s="3846"/>
      <c r="AA454" s="3846"/>
      <c r="AB454" s="3846"/>
      <c r="AC454" s="4577"/>
      <c r="AD454" s="4577"/>
      <c r="AE454" s="4577"/>
      <c r="AF454" s="4577"/>
      <c r="AG454" s="4577"/>
      <c r="AH454" s="4578"/>
      <c r="AI454" s="3543"/>
    </row>
    <row r="455" ht="15.0" customHeight="1">
      <c r="A455" s="3446"/>
      <c r="B455" s="3875"/>
      <c r="C455" s="3876"/>
      <c r="D455" s="3877"/>
      <c r="E455" s="3876"/>
      <c r="F455" s="3876"/>
      <c r="G455" s="3876"/>
      <c r="H455" s="3876"/>
      <c r="I455" s="3877"/>
      <c r="J455" s="3878"/>
      <c r="K455" s="3878"/>
      <c r="L455" s="3878"/>
      <c r="M455" s="3877"/>
      <c r="N455" s="3877"/>
      <c r="O455" s="3876"/>
      <c r="P455" s="3876"/>
      <c r="Q455" s="3876"/>
      <c r="R455" s="3876"/>
      <c r="S455" s="3877"/>
      <c r="T455" s="3876"/>
      <c r="U455" s="3876"/>
      <c r="V455" s="3876"/>
      <c r="W455" s="3876"/>
      <c r="X455" s="3877"/>
      <c r="Y455" s="3876"/>
      <c r="Z455" s="3876"/>
      <c r="AA455" s="3876"/>
      <c r="AB455" s="3876"/>
      <c r="AC455" s="3877"/>
      <c r="AD455" s="3877"/>
      <c r="AE455" s="3877"/>
      <c r="AF455" s="3877"/>
      <c r="AG455" s="3877"/>
      <c r="AH455" s="3879"/>
      <c r="AI455" s="3452"/>
    </row>
    <row r="456" ht="15.0" customHeight="1">
      <c r="A456" s="3446"/>
      <c r="B456" s="3567"/>
      <c r="C456" s="3568"/>
      <c r="D456" s="3569"/>
      <c r="E456" s="3569"/>
      <c r="F456" s="3569"/>
      <c r="G456" s="3569"/>
      <c r="H456" s="3569"/>
      <c r="I456" s="3569"/>
      <c r="J456" s="3569"/>
      <c r="K456" s="3569"/>
      <c r="L456" s="3569"/>
      <c r="M456" s="3569"/>
      <c r="N456" s="3569"/>
      <c r="O456" s="3569"/>
      <c r="P456" s="3569"/>
      <c r="Q456" s="3569"/>
      <c r="R456" s="3569"/>
      <c r="S456" s="3569"/>
      <c r="T456" s="3569"/>
      <c r="U456" s="3569"/>
      <c r="V456" s="3569"/>
      <c r="W456" s="3569"/>
      <c r="X456" s="3569"/>
      <c r="Y456" s="3569"/>
      <c r="Z456" s="3569"/>
      <c r="AA456" s="3569"/>
      <c r="AB456" s="3569"/>
      <c r="AC456" s="3569"/>
      <c r="AD456" s="3569"/>
      <c r="AE456" s="3569"/>
      <c r="AF456" s="3569"/>
      <c r="AG456" s="3569"/>
      <c r="AH456" s="3571"/>
      <c r="AI456" s="3452"/>
    </row>
    <row r="457">
      <c r="A457" s="3446"/>
      <c r="B457" s="4579"/>
      <c r="C457" s="4580"/>
      <c r="D457" s="3581"/>
      <c r="E457" s="4581" t="s">
        <v>1509</v>
      </c>
      <c r="F457" s="3617"/>
      <c r="G457" s="3617"/>
      <c r="H457" s="3617"/>
      <c r="I457" s="3617"/>
      <c r="J457" s="3617"/>
      <c r="K457" s="3617"/>
      <c r="L457" s="3617"/>
      <c r="M457" s="3617"/>
      <c r="N457" s="3617"/>
      <c r="O457" s="3617"/>
      <c r="P457" s="3617"/>
      <c r="Q457" s="3617"/>
      <c r="R457" s="3617"/>
      <c r="S457" s="3617"/>
      <c r="T457" s="3617"/>
      <c r="U457" s="3617"/>
      <c r="V457" s="3617"/>
      <c r="W457" s="3617"/>
      <c r="X457" s="3617"/>
      <c r="Y457" s="3617"/>
      <c r="Z457" s="3617"/>
      <c r="AA457" s="3617"/>
      <c r="AB457" s="3617"/>
      <c r="AC457" s="3617"/>
      <c r="AD457" s="3617"/>
      <c r="AE457" s="3617"/>
      <c r="AF457" s="3617"/>
      <c r="AG457" s="3618"/>
      <c r="AH457" s="4582"/>
      <c r="AI457" s="3452"/>
    </row>
    <row r="458" ht="96.75" customHeight="1">
      <c r="A458" s="3453"/>
      <c r="B458" s="3572"/>
      <c r="C458" s="3573" t="str">
        <f>IMAGE("https://i.ibb.co/26kF6WW/Ace-Trainer-F.png")</f>
        <v/>
      </c>
      <c r="D458" s="3574"/>
      <c r="E458" s="3575" t="str">
        <f t="array" ref="E458">IFERROR(VLOOKUP(E459,Dex!$B$3:$G1361,3,FALSE),"")</f>
        <v/>
      </c>
      <c r="F458" s="606"/>
      <c r="G458" s="606"/>
      <c r="H458" s="607"/>
      <c r="I458" s="3576"/>
      <c r="J458" s="3575" t="str">
        <f t="array" ref="J458">IFERROR(VLOOKUP(J459,Dex!$B$3:$G1361,3,FALSE),"")</f>
        <v/>
      </c>
      <c r="K458" s="606"/>
      <c r="L458" s="606"/>
      <c r="M458" s="607"/>
      <c r="N458" s="4583"/>
      <c r="O458" s="3575" t="str">
        <f t="array" ref="O458">IFERROR(VLOOKUP(O459,Dex!$B$3:$G1361,3,FALSE),"")</f>
        <v/>
      </c>
      <c r="P458" s="606"/>
      <c r="Q458" s="606"/>
      <c r="R458" s="607"/>
      <c r="S458" s="4584"/>
      <c r="T458" s="3575" t="str">
        <f t="array" ref="T458">IFERROR(VLOOKUP(T459,Dex!$B$3:$G1361,3,FALSE),"")</f>
        <v/>
      </c>
      <c r="U458" s="606"/>
      <c r="V458" s="606"/>
      <c r="W458" s="607"/>
      <c r="X458" s="4583"/>
      <c r="Y458" s="3578"/>
      <c r="Z458" s="3579"/>
      <c r="AA458" s="3579"/>
      <c r="AB458" s="3580"/>
      <c r="AC458" s="4585"/>
      <c r="AD458" s="3578"/>
      <c r="AE458" s="3579"/>
      <c r="AF458" s="3579"/>
      <c r="AG458" s="3580"/>
      <c r="AH458" s="3583"/>
      <c r="AI458" s="3466"/>
    </row>
    <row r="459" ht="18.75" customHeight="1">
      <c r="A459" s="3467"/>
      <c r="B459" s="3584"/>
      <c r="C459" s="3585" t="s">
        <v>1510</v>
      </c>
      <c r="D459" s="3586"/>
      <c r="E459" s="3587" t="s">
        <v>867</v>
      </c>
      <c r="F459" s="3588"/>
      <c r="G459" s="3588"/>
      <c r="H459" s="3589"/>
      <c r="J459" s="3587" t="s">
        <v>225</v>
      </c>
      <c r="K459" s="3588"/>
      <c r="L459" s="3588"/>
      <c r="M459" s="3589"/>
      <c r="O459" s="3587" t="s">
        <v>139</v>
      </c>
      <c r="P459" s="3588"/>
      <c r="Q459" s="3588"/>
      <c r="R459" s="3589"/>
      <c r="T459" s="3587" t="s">
        <v>1511</v>
      </c>
      <c r="U459" s="3588"/>
      <c r="V459" s="3588"/>
      <c r="W459" s="3589"/>
      <c r="Y459" s="3591"/>
      <c r="Z459" s="3579"/>
      <c r="AA459" s="3579"/>
      <c r="AB459" s="3580"/>
      <c r="AC459" s="3590"/>
      <c r="AD459" s="3591"/>
      <c r="AE459" s="3579"/>
      <c r="AF459" s="3579"/>
      <c r="AG459" s="3580"/>
      <c r="AH459" s="3593"/>
      <c r="AI459" s="3478"/>
    </row>
    <row r="460">
      <c r="A460" s="3479"/>
      <c r="B460" s="3594"/>
      <c r="C460" s="1638"/>
      <c r="D460" s="3595"/>
      <c r="E460" s="4586" t="s">
        <v>967</v>
      </c>
      <c r="F460" s="3597"/>
      <c r="G460" s="3597"/>
      <c r="H460" s="4587"/>
      <c r="J460" s="4586" t="s">
        <v>729</v>
      </c>
      <c r="K460" s="3597"/>
      <c r="L460" s="3597"/>
      <c r="M460" s="4587"/>
      <c r="O460" s="4586" t="s">
        <v>967</v>
      </c>
      <c r="P460" s="3597"/>
      <c r="Q460" s="3597"/>
      <c r="R460" s="4587"/>
      <c r="T460" s="4586" t="s">
        <v>729</v>
      </c>
      <c r="U460" s="3597"/>
      <c r="V460" s="3597"/>
      <c r="W460" s="4587"/>
      <c r="Y460" s="3599"/>
      <c r="Z460" s="3579"/>
      <c r="AA460" s="3579"/>
      <c r="AB460" s="3580"/>
      <c r="AC460" s="3590"/>
      <c r="AD460" s="3599"/>
      <c r="AE460" s="3579"/>
      <c r="AF460" s="3579"/>
      <c r="AG460" s="3580"/>
      <c r="AH460" s="3600"/>
      <c r="AI460" s="3487"/>
    </row>
    <row r="461" ht="25.5" customHeight="1">
      <c r="A461" s="3453"/>
      <c r="B461" s="3572"/>
      <c r="C461" s="1646"/>
      <c r="D461" s="3574"/>
      <c r="E461" s="3601"/>
      <c r="F461" s="4588" t="str">
        <f t="array" ref="F461">IFERROR(VLOOKUP(E459,Dex!$B$3:$H1361,5,FALSE),"")</f>
        <v/>
      </c>
      <c r="G461" s="4589" t="str">
        <f t="array" ref="G461">IFERROR(VLOOKUP(E459,Dex!$B$3:$H1361,7,FALSE),"")</f>
        <v/>
      </c>
      <c r="H461" s="3604"/>
      <c r="J461" s="3601"/>
      <c r="K461" s="4588" t="str">
        <f t="array" ref="K461">IFERROR(VLOOKUP(J459,Dex!$B$3:$H1361,5,FALSE),"")</f>
        <v/>
      </c>
      <c r="L461" s="4589" t="str">
        <f t="array" ref="L461">IFERROR(VLOOKUP(J459,Dex!$B$3:$H1361,7,FALSE),"")</f>
        <v/>
      </c>
      <c r="M461" s="3604"/>
      <c r="O461" s="3601"/>
      <c r="P461" s="3602" t="str">
        <f t="array" ref="P461">IFERROR(VLOOKUP(O459,Dex!$B$3:$H1361,5,FALSE),"")</f>
        <v/>
      </c>
      <c r="Q461" s="3603"/>
      <c r="R461" s="3604"/>
      <c r="T461" s="3601"/>
      <c r="U461" s="3602" t="str">
        <f t="array" ref="U461">IFERROR(VLOOKUP(T459,Dex!$B$3:$H1361,5,FALSE),"")</f>
        <v/>
      </c>
      <c r="V461" s="3603"/>
      <c r="W461" s="3604"/>
      <c r="Y461" s="3578"/>
      <c r="Z461" s="3579"/>
      <c r="AA461" s="3579"/>
      <c r="AB461" s="3580"/>
      <c r="AC461" s="3590"/>
      <c r="AD461" s="3578"/>
      <c r="AE461" s="3579"/>
      <c r="AF461" s="3579"/>
      <c r="AG461" s="3580"/>
      <c r="AH461" s="3583"/>
      <c r="AI461" s="3466"/>
    </row>
    <row r="462" ht="2.25" customHeight="1">
      <c r="A462" s="3453"/>
      <c r="B462" s="3572"/>
      <c r="C462" s="3605"/>
      <c r="D462" s="3574"/>
      <c r="E462" s="3606"/>
      <c r="F462" s="3607"/>
      <c r="G462" s="3607"/>
      <c r="H462" s="3608"/>
      <c r="J462" s="3606"/>
      <c r="K462" s="3607"/>
      <c r="L462" s="3607"/>
      <c r="M462" s="3608"/>
      <c r="O462" s="3606"/>
      <c r="P462" s="3607"/>
      <c r="Q462" s="3607"/>
      <c r="R462" s="3608"/>
      <c r="T462" s="3606"/>
      <c r="U462" s="3607"/>
      <c r="V462" s="3607"/>
      <c r="W462" s="3608"/>
      <c r="Y462" s="3609"/>
      <c r="Z462" s="3609"/>
      <c r="AA462" s="3609"/>
      <c r="AB462" s="3609"/>
      <c r="AC462" s="3590"/>
      <c r="AD462" s="3609"/>
      <c r="AE462" s="3609"/>
      <c r="AF462" s="3609"/>
      <c r="AG462" s="3609"/>
      <c r="AH462" s="3583"/>
      <c r="AI462" s="3466"/>
    </row>
    <row r="463" ht="20.25" customHeight="1">
      <c r="A463" s="3453"/>
      <c r="B463" s="3572"/>
      <c r="C463" s="3605"/>
      <c r="D463" s="3574"/>
      <c r="E463" s="3610" t="s">
        <v>532</v>
      </c>
      <c r="F463" s="3611"/>
      <c r="G463" s="3611"/>
      <c r="H463" s="3612"/>
      <c r="J463" s="3610" t="s">
        <v>1332</v>
      </c>
      <c r="K463" s="3611"/>
      <c r="L463" s="3611"/>
      <c r="M463" s="3612"/>
      <c r="O463" s="3610" t="s">
        <v>566</v>
      </c>
      <c r="P463" s="3611"/>
      <c r="Q463" s="3611"/>
      <c r="R463" s="3612"/>
      <c r="T463" s="3610" t="s">
        <v>566</v>
      </c>
      <c r="U463" s="3611"/>
      <c r="V463" s="3611"/>
      <c r="W463" s="3612"/>
      <c r="Y463" s="3578"/>
      <c r="Z463" s="3579"/>
      <c r="AA463" s="3579"/>
      <c r="AB463" s="3580"/>
      <c r="AC463" s="3590"/>
      <c r="AD463" s="3578"/>
      <c r="AE463" s="3579"/>
      <c r="AF463" s="3579"/>
      <c r="AG463" s="3580"/>
      <c r="AH463" s="3583"/>
      <c r="AI463" s="3466"/>
    </row>
    <row r="464" ht="20.25" customHeight="1">
      <c r="A464" s="3453"/>
      <c r="B464" s="3572"/>
      <c r="C464" s="3613"/>
      <c r="D464" s="3574"/>
      <c r="E464" s="3614" t="s">
        <v>68</v>
      </c>
      <c r="F464" s="3579"/>
      <c r="G464" s="3579"/>
      <c r="H464" s="3615"/>
      <c r="J464" s="3614" t="s">
        <v>1512</v>
      </c>
      <c r="K464" s="3579"/>
      <c r="L464" s="3579"/>
      <c r="M464" s="3615"/>
      <c r="O464" s="3614" t="s">
        <v>65</v>
      </c>
      <c r="P464" s="3579"/>
      <c r="Q464" s="3579"/>
      <c r="R464" s="3615"/>
      <c r="T464" s="3614" t="s">
        <v>1513</v>
      </c>
      <c r="U464" s="3579"/>
      <c r="V464" s="3579"/>
      <c r="W464" s="3615"/>
      <c r="Y464" s="3578"/>
      <c r="Z464" s="3579"/>
      <c r="AA464" s="3579"/>
      <c r="AB464" s="3580"/>
      <c r="AC464" s="3590"/>
      <c r="AD464" s="3578"/>
      <c r="AE464" s="3579"/>
      <c r="AF464" s="3579"/>
      <c r="AG464" s="3580"/>
      <c r="AH464" s="3583"/>
      <c r="AI464" s="3466"/>
    </row>
    <row r="465" ht="20.25" customHeight="1">
      <c r="A465" s="3453"/>
      <c r="B465" s="3572"/>
      <c r="C465" s="3592"/>
      <c r="D465" s="3574"/>
      <c r="E465" s="3616" t="s">
        <v>573</v>
      </c>
      <c r="F465" s="3617"/>
      <c r="G465" s="3618"/>
      <c r="H465" s="3619" t="str">
        <f>IMAGE("https://raw.githubusercontent.com/msikma/pokesprite/master/items/hold-item/focus-sash.png",3)</f>
        <v/>
      </c>
      <c r="J465" s="3616" t="s">
        <v>710</v>
      </c>
      <c r="K465" s="3617"/>
      <c r="L465" s="3618"/>
      <c r="M465" s="3619" t="str">
        <f>IMAGE("https://raw.githubusercontent.com/msikma/pokesprite/master/items/hold-item/weakness-policy.png",3)</f>
        <v/>
      </c>
      <c r="O465" s="3616" t="s">
        <v>541</v>
      </c>
      <c r="P465" s="3617"/>
      <c r="Q465" s="3618"/>
      <c r="R465" s="3619" t="str">
        <f>IMAGE("https://raw.githubusercontent.com/msikma/pokesprite/master/items/hold-item/life-orb.png",3)</f>
        <v/>
      </c>
      <c r="T465" s="3616" t="s">
        <v>607</v>
      </c>
      <c r="U465" s="3617"/>
      <c r="V465" s="3618"/>
      <c r="W465" s="3619" t="str">
        <f>IMAGE("https://raw.githubusercontent.com/msikma/pokesprite/master/items/hold-item/grassy-seed.png",3)</f>
        <v/>
      </c>
      <c r="Y465" s="3578"/>
      <c r="Z465" s="3579"/>
      <c r="AA465" s="3579"/>
      <c r="AB465" s="3580"/>
      <c r="AC465" s="3590"/>
      <c r="AD465" s="3578"/>
      <c r="AE465" s="3579"/>
      <c r="AF465" s="3579"/>
      <c r="AG465" s="3580"/>
      <c r="AH465" s="3583"/>
      <c r="AI465" s="3466"/>
    </row>
    <row r="466" ht="20.25" customHeight="1">
      <c r="A466" s="3453"/>
      <c r="B466" s="3572"/>
      <c r="C466" s="3620"/>
      <c r="D466" s="3574"/>
      <c r="E466" s="3610" t="s">
        <v>592</v>
      </c>
      <c r="F466" s="3611"/>
      <c r="G466" s="3621"/>
      <c r="H466" s="3622" t="str">
        <f>IMAGE("https://raw.githubusercontent.com/msikma/pokesprite/master/misc/types/gen8/water.png",4,20,20)</f>
        <v/>
      </c>
      <c r="J466" s="3610" t="s">
        <v>1243</v>
      </c>
      <c r="K466" s="3611"/>
      <c r="L466" s="3621"/>
      <c r="M466" s="3622" t="str">
        <f>IMAGE("https://raw.githubusercontent.com/msikma/pokesprite/master/misc/types/gen8/fire.png",4,20,20)</f>
        <v/>
      </c>
      <c r="O466" s="3610" t="s">
        <v>615</v>
      </c>
      <c r="P466" s="3611"/>
      <c r="Q466" s="3621"/>
      <c r="R466" s="3622" t="str">
        <f>IMAGE("https://raw.githubusercontent.com/msikma/pokesprite/master/misc/types/gen8/grass.png",4,20,20)</f>
        <v/>
      </c>
      <c r="T466" s="3610" t="s">
        <v>961</v>
      </c>
      <c r="U466" s="3611"/>
      <c r="V466" s="3621"/>
      <c r="W466" s="3622" t="str">
        <f>IMAGE("https://raw.githubusercontent.com/msikma/pokesprite/master/misc/types/gen8/steel.png",4,20,20)</f>
        <v/>
      </c>
      <c r="Y466" s="3578"/>
      <c r="Z466" s="3579"/>
      <c r="AA466" s="3579"/>
      <c r="AB466" s="3580"/>
      <c r="AC466" s="3590"/>
      <c r="AD466" s="3578"/>
      <c r="AE466" s="3579"/>
      <c r="AF466" s="3579"/>
      <c r="AG466" s="3580"/>
      <c r="AH466" s="3583"/>
      <c r="AI466" s="3466"/>
    </row>
    <row r="467" ht="20.25" customHeight="1">
      <c r="A467" s="3453"/>
      <c r="B467" s="3572"/>
      <c r="C467" s="3605"/>
      <c r="D467" s="3574"/>
      <c r="E467" s="3614" t="s">
        <v>579</v>
      </c>
      <c r="F467" s="3579"/>
      <c r="G467" s="3580"/>
      <c r="H467" s="3623" t="str">
        <f>IMAGE("https://raw.githubusercontent.com/msikma/pokesprite/master/misc/types/gen8/dark.png",4,20,20)</f>
        <v/>
      </c>
      <c r="J467" s="3614" t="s">
        <v>588</v>
      </c>
      <c r="K467" s="3579"/>
      <c r="L467" s="3580"/>
      <c r="M467" s="3623" t="str">
        <f>IMAGE("https://raw.githubusercontent.com/msikma/pokesprite/master/misc/types/gen8/rock.png",4,20,20)</f>
        <v/>
      </c>
      <c r="O467" s="3614" t="s">
        <v>548</v>
      </c>
      <c r="P467" s="3579"/>
      <c r="Q467" s="3580"/>
      <c r="R467" s="3623" t="str">
        <f>IMAGE("https://raw.githubusercontent.com/msikma/pokesprite/master/misc/types/gen8/fighting.png",4,20,20)</f>
        <v/>
      </c>
      <c r="T467" s="3614" t="s">
        <v>720</v>
      </c>
      <c r="U467" s="3579"/>
      <c r="V467" s="3580"/>
      <c r="W467" s="3623" t="str">
        <f>IMAGE("https://raw.githubusercontent.com/msikma/pokesprite/master/misc/types/gen8/fighting.png",4,20,20)</f>
        <v/>
      </c>
      <c r="Y467" s="3578"/>
      <c r="Z467" s="3579"/>
      <c r="AA467" s="3579"/>
      <c r="AB467" s="3580"/>
      <c r="AC467" s="3590"/>
      <c r="AD467" s="3578"/>
      <c r="AE467" s="3579"/>
      <c r="AF467" s="3579"/>
      <c r="AG467" s="3580"/>
      <c r="AH467" s="3583"/>
      <c r="AI467" s="3466"/>
    </row>
    <row r="468" ht="20.25" customHeight="1">
      <c r="A468" s="3453"/>
      <c r="B468" s="3572"/>
      <c r="C468" s="3605"/>
      <c r="D468" s="3574"/>
      <c r="E468" s="3614" t="s">
        <v>925</v>
      </c>
      <c r="F468" s="3579"/>
      <c r="G468" s="3580"/>
      <c r="H468" s="3623" t="str">
        <f>IMAGE("https://raw.githubusercontent.com/msikma/pokesprite/master/misc/types/gen8/ice.png",4,20,20)</f>
        <v/>
      </c>
      <c r="J468" s="3614" t="s">
        <v>644</v>
      </c>
      <c r="K468" s="3579"/>
      <c r="L468" s="3580"/>
      <c r="M468" s="3623" t="str">
        <f>IMAGE("https://raw.githubusercontent.com/msikma/pokesprite/master/misc/types/gen8/ground.png",4,20,20)</f>
        <v/>
      </c>
      <c r="O468" s="3614" t="s">
        <v>1514</v>
      </c>
      <c r="P468" s="3579"/>
      <c r="Q468" s="3580"/>
      <c r="R468" s="3623" t="str">
        <f>IMAGE("https://raw.githubusercontent.com/msikma/pokesprite/master/misc/types/gen8/grass.png",4,20,20)</f>
        <v/>
      </c>
      <c r="T468" s="3614" t="s">
        <v>1088</v>
      </c>
      <c r="U468" s="3579"/>
      <c r="V468" s="3580"/>
      <c r="W468" s="3623" t="str">
        <f>IMAGE("https://raw.githubusercontent.com/msikma/pokesprite/master/misc/types/gen8/fire.png",4,20,20)</f>
        <v/>
      </c>
      <c r="Y468" s="3578"/>
      <c r="Z468" s="3579"/>
      <c r="AA468" s="3579"/>
      <c r="AB468" s="3580"/>
      <c r="AC468" s="3590"/>
      <c r="AD468" s="3578"/>
      <c r="AE468" s="3579"/>
      <c r="AF468" s="3579"/>
      <c r="AG468" s="3580"/>
      <c r="AH468" s="3583"/>
      <c r="AI468" s="3466"/>
    </row>
    <row r="469" ht="21.0" customHeight="1">
      <c r="A469" s="3453"/>
      <c r="B469" s="3572"/>
      <c r="C469" s="3605"/>
      <c r="D469" s="3574"/>
      <c r="E469" s="3624" t="s">
        <v>1305</v>
      </c>
      <c r="F469" s="3625"/>
      <c r="G469" s="3626"/>
      <c r="H469" s="3627" t="str">
        <f>IMAGE("https://raw.githubusercontent.com/msikma/pokesprite/master/misc/types/gen8/psychic.png",4,20,20)</f>
        <v/>
      </c>
      <c r="I469" s="3628"/>
      <c r="J469" s="3624" t="s">
        <v>544</v>
      </c>
      <c r="K469" s="3625"/>
      <c r="L469" s="3626"/>
      <c r="M469" s="3627" t="str">
        <f>IMAGE("https://raw.githubusercontent.com/msikma/pokesprite/master/misc/types/gen8/water.png",4,20,20)</f>
        <v/>
      </c>
      <c r="N469" s="3628"/>
      <c r="O469" s="3624" t="s">
        <v>554</v>
      </c>
      <c r="P469" s="3625"/>
      <c r="Q469" s="3626"/>
      <c r="R469" s="3627" t="str">
        <f>IMAGE("https://raw.githubusercontent.com/msikma/pokesprite/master/misc/types/gen8/dark.png",4,20,20)</f>
        <v/>
      </c>
      <c r="S469" s="3628"/>
      <c r="T469" s="3624" t="s">
        <v>616</v>
      </c>
      <c r="U469" s="3625"/>
      <c r="V469" s="3626"/>
      <c r="W469" s="3627" t="str">
        <f>IMAGE("https://raw.githubusercontent.com/msikma/pokesprite/master/misc/types/gen8/grass.png",4,20,20)</f>
        <v/>
      </c>
      <c r="X469" s="3628"/>
      <c r="Y469" s="3578"/>
      <c r="Z469" s="3579"/>
      <c r="AA469" s="3579"/>
      <c r="AB469" s="3580"/>
      <c r="AC469" s="3629"/>
      <c r="AD469" s="3578"/>
      <c r="AE469" s="3579"/>
      <c r="AF469" s="3579"/>
      <c r="AG469" s="3580"/>
      <c r="AH469" s="3583"/>
      <c r="AI469" s="3466"/>
    </row>
    <row r="470" ht="3.0" customHeight="1">
      <c r="A470" s="3524"/>
      <c r="B470" s="3630"/>
      <c r="C470" s="3631"/>
      <c r="D470" s="3632"/>
      <c r="E470" s="3634"/>
      <c r="F470" s="3634"/>
      <c r="G470" s="3634"/>
      <c r="H470" s="3633"/>
      <c r="I470" s="3632"/>
      <c r="J470" s="3634"/>
      <c r="K470" s="3634"/>
      <c r="L470" s="3634"/>
      <c r="M470" s="3633"/>
      <c r="N470" s="3632"/>
      <c r="O470" s="3634"/>
      <c r="P470" s="3634"/>
      <c r="Q470" s="3634"/>
      <c r="R470" s="3633"/>
      <c r="S470" s="3635"/>
      <c r="T470" s="3634"/>
      <c r="U470" s="3634"/>
      <c r="V470" s="3634"/>
      <c r="W470" s="3633"/>
      <c r="X470" s="3632"/>
      <c r="Y470" s="3637"/>
      <c r="Z470" s="3637"/>
      <c r="AA470" s="3637"/>
      <c r="AB470" s="3637"/>
      <c r="AC470" s="3637"/>
      <c r="AD470" s="3637"/>
      <c r="AE470" s="3637"/>
      <c r="AF470" s="3637"/>
      <c r="AG470" s="3637"/>
      <c r="AH470" s="3638"/>
      <c r="AI470" s="3534"/>
    </row>
    <row r="471" ht="16.5" customHeight="1">
      <c r="A471" s="3535"/>
      <c r="B471" s="3639"/>
      <c r="C471" s="3631"/>
      <c r="D471" s="4590"/>
      <c r="E471" s="3641" t="s">
        <v>512</v>
      </c>
      <c r="F471" s="606"/>
      <c r="G471" s="606"/>
      <c r="H471" s="607"/>
      <c r="I471" s="3642"/>
      <c r="J471" s="3641" t="s">
        <v>512</v>
      </c>
      <c r="K471" s="606"/>
      <c r="L471" s="606"/>
      <c r="M471" s="607"/>
      <c r="N471" s="4590"/>
      <c r="O471" s="3641" t="s">
        <v>512</v>
      </c>
      <c r="P471" s="606"/>
      <c r="Q471" s="606"/>
      <c r="R471" s="607"/>
      <c r="S471" s="4591"/>
      <c r="T471" s="3641" t="s">
        <v>512</v>
      </c>
      <c r="U471" s="606"/>
      <c r="V471" s="606"/>
      <c r="W471" s="607"/>
      <c r="X471" s="4592"/>
      <c r="Y471" s="3644"/>
      <c r="Z471" s="3644"/>
      <c r="AA471" s="3644"/>
      <c r="AB471" s="3644"/>
      <c r="AC471" s="3644"/>
      <c r="AD471" s="3644"/>
      <c r="AE471" s="3644"/>
      <c r="AF471" s="3644"/>
      <c r="AG471" s="3644"/>
      <c r="AH471" s="3645"/>
      <c r="AI471" s="3543"/>
    </row>
    <row r="472" ht="16.5" customHeight="1">
      <c r="A472" s="3535"/>
      <c r="B472" s="3639"/>
      <c r="C472" s="3631"/>
      <c r="D472" s="3640"/>
      <c r="E472" s="3646" t="s">
        <v>513</v>
      </c>
      <c r="F472" s="3647">
        <f t="array" ref="F472">IFERROR(VLOOKUP(E459,Dex!$B$3:$N1361,8,FALSE),"")</f>
        <v>70</v>
      </c>
      <c r="G472" s="3648" t="str">
        <f t="array" ref="G472">IFERROR(VLOOKUP(F472,Dex!$P$22:$Q$276,2,FALSE),"")</f>
        <v/>
      </c>
      <c r="H472" s="3649"/>
      <c r="I472" s="3650"/>
      <c r="J472" s="3646" t="s">
        <v>513</v>
      </c>
      <c r="K472" s="3647">
        <f t="array" ref="K472">IFERROR(VLOOKUP(J459,Dex!$B$3:$N1361,8,FALSE),"")</f>
        <v>110</v>
      </c>
      <c r="L472" s="3648" t="str">
        <f t="array" ref="L472">IFERROR(VLOOKUP(K472,Dex!$P$22:$Q$276,2,FALSE),"")</f>
        <v/>
      </c>
      <c r="M472" s="3649"/>
      <c r="N472" s="3640"/>
      <c r="O472" s="3646" t="s">
        <v>513</v>
      </c>
      <c r="P472" s="3647">
        <f t="array" ref="P472">IFERROR(VLOOKUP(O459,Dex!$B$3:$N1361,8,FALSE),"")</f>
        <v>75</v>
      </c>
      <c r="Q472" s="3648" t="str">
        <f t="array" ref="Q472">IFERROR(VLOOKUP(P472,Dex!$P$22:$Q$276,2,FALSE),"")</f>
        <v/>
      </c>
      <c r="R472" s="3649"/>
      <c r="S472" s="3644"/>
      <c r="T472" s="3646" t="s">
        <v>513</v>
      </c>
      <c r="U472" s="3647">
        <f t="array" ref="U472">IFERROR(VLOOKUP(T459,Dex!$B$3:$N1361,8,FALSE),"")</f>
        <v>122</v>
      </c>
      <c r="V472" s="3648" t="str">
        <f t="array" ref="V472">IFERROR(VLOOKUP(U472,Dex!$P$22:$Q$276,2,FALSE),"")</f>
        <v/>
      </c>
      <c r="W472" s="3649"/>
      <c r="X472" s="3644"/>
      <c r="Y472" s="3644"/>
      <c r="Z472" s="3644"/>
      <c r="AA472" s="3644"/>
      <c r="AB472" s="3644"/>
      <c r="AC472" s="3644"/>
      <c r="AD472" s="3644"/>
      <c r="AE472" s="3644"/>
      <c r="AF472" s="3644"/>
      <c r="AG472" s="3644"/>
      <c r="AH472" s="3645"/>
      <c r="AI472" s="3543"/>
    </row>
    <row r="473" ht="16.5" customHeight="1">
      <c r="A473" s="3535"/>
      <c r="B473" s="3639"/>
      <c r="C473" s="3631"/>
      <c r="D473" s="3640"/>
      <c r="E473" s="3652" t="s">
        <v>514</v>
      </c>
      <c r="F473" s="3653">
        <f t="array" ref="F473">IFERROR(VLOOKUP(E459,Dex!$B$3:$N1361,9,FALSE),"")</f>
        <v>120</v>
      </c>
      <c r="G473" s="3654" t="str">
        <f t="array" ref="G473">IFERROR(VLOOKUP(F473,Dex!$P$22:$Q$276,2,FALSE),"")</f>
        <v/>
      </c>
      <c r="H473" s="3655"/>
      <c r="I473" s="3650"/>
      <c r="J473" s="3652" t="s">
        <v>514</v>
      </c>
      <c r="K473" s="3653">
        <f t="array" ref="K473">IFERROR(VLOOKUP(J459,Dex!$B$3:$N1361,9,FALSE),"")</f>
        <v>80</v>
      </c>
      <c r="L473" s="3654" t="str">
        <f t="array" ref="L473">IFERROR(VLOOKUP(K473,Dex!$P$22:$Q$276,2,FALSE),"")</f>
        <v/>
      </c>
      <c r="M473" s="3655"/>
      <c r="N473" s="3640"/>
      <c r="O473" s="3652" t="s">
        <v>514</v>
      </c>
      <c r="P473" s="3653">
        <f t="array" ref="P473">IFERROR(VLOOKUP(O459,Dex!$B$3:$N1361,9,FALSE),"")</f>
        <v>106</v>
      </c>
      <c r="Q473" s="3654" t="str">
        <f t="array" ref="Q473">IFERROR(VLOOKUP(P473,Dex!$P$22:$Q$276,2,FALSE),"")</f>
        <v/>
      </c>
      <c r="R473" s="3655"/>
      <c r="S473" s="3644"/>
      <c r="T473" s="3652" t="s">
        <v>514</v>
      </c>
      <c r="U473" s="3653">
        <f t="array" ref="U473">IFERROR(VLOOKUP(T459,Dex!$B$3:$N1361,9,FALSE),"")</f>
        <v>130</v>
      </c>
      <c r="V473" s="3654" t="str">
        <f t="array" ref="V473">IFERROR(VLOOKUP(U473,Dex!$P$22:$Q$276,2,FALSE),"")</f>
        <v/>
      </c>
      <c r="W473" s="3655"/>
      <c r="X473" s="3644"/>
      <c r="Y473" s="3644"/>
      <c r="Z473" s="3644"/>
      <c r="AA473" s="3644"/>
      <c r="AB473" s="3644"/>
      <c r="AC473" s="3644"/>
      <c r="AD473" s="3644"/>
      <c r="AE473" s="3644"/>
      <c r="AF473" s="3644"/>
      <c r="AG473" s="3644"/>
      <c r="AH473" s="3645"/>
      <c r="AI473" s="3543"/>
    </row>
    <row r="474" ht="16.5" customHeight="1">
      <c r="A474" s="3535"/>
      <c r="B474" s="3639"/>
      <c r="C474" s="3631"/>
      <c r="D474" s="3640"/>
      <c r="E474" s="3652" t="s">
        <v>515</v>
      </c>
      <c r="F474" s="3653">
        <f t="array" ref="F474">IFERROR(VLOOKUP(E459,Dex!$B$3:$N1361,10,FALSE),"")</f>
        <v>65</v>
      </c>
      <c r="G474" s="3654" t="str">
        <f t="array" ref="G474">IFERROR(VLOOKUP(F474,Dex!$P$22:$Q$276,2,FALSE),"")</f>
        <v/>
      </c>
      <c r="H474" s="3655"/>
      <c r="I474" s="3650"/>
      <c r="J474" s="3652" t="s">
        <v>515</v>
      </c>
      <c r="K474" s="3653">
        <f t="array" ref="K474">IFERROR(VLOOKUP(J459,Dex!$B$3:$N1361,10,FALSE),"")</f>
        <v>120</v>
      </c>
      <c r="L474" s="3654" t="str">
        <f t="array" ref="L474">IFERROR(VLOOKUP(K474,Dex!$P$22:$Q$276,2,FALSE),"")</f>
        <v/>
      </c>
      <c r="M474" s="3655"/>
      <c r="N474" s="3640"/>
      <c r="O474" s="3652" t="s">
        <v>515</v>
      </c>
      <c r="P474" s="3653">
        <f t="array" ref="P474">IFERROR(VLOOKUP(O459,Dex!$B$3:$N1361,10,FALSE),"")</f>
        <v>67</v>
      </c>
      <c r="Q474" s="3654" t="str">
        <f t="array" ref="Q474">IFERROR(VLOOKUP(P474,Dex!$P$22:$Q$276,2,FALSE),"")</f>
        <v/>
      </c>
      <c r="R474" s="3655"/>
      <c r="S474" s="3644"/>
      <c r="T474" s="3652" t="s">
        <v>515</v>
      </c>
      <c r="U474" s="3653">
        <f t="array" ref="U474">IFERROR(VLOOKUP(T459,Dex!$B$3:$N1361,10,FALSE),"")</f>
        <v>79</v>
      </c>
      <c r="V474" s="3654" t="str">
        <f t="array" ref="V474">IFERROR(VLOOKUP(U474,Dex!$P$22:$Q$276,2,FALSE),"")</f>
        <v/>
      </c>
      <c r="W474" s="3655"/>
      <c r="X474" s="3644"/>
      <c r="Y474" s="3644"/>
      <c r="Z474" s="3644"/>
      <c r="AA474" s="3644"/>
      <c r="AB474" s="3644"/>
      <c r="AC474" s="3644"/>
      <c r="AD474" s="3644"/>
      <c r="AE474" s="3644"/>
      <c r="AF474" s="3644"/>
      <c r="AG474" s="3644"/>
      <c r="AH474" s="3645"/>
      <c r="AI474" s="3543"/>
    </row>
    <row r="475" ht="16.5" customHeight="1">
      <c r="A475" s="3535"/>
      <c r="B475" s="3639"/>
      <c r="C475" s="3631"/>
      <c r="D475" s="3640"/>
      <c r="E475" s="3652" t="s">
        <v>516</v>
      </c>
      <c r="F475" s="3653">
        <f t="array" ref="F475">IFERROR(VLOOKUP(E459,Dex!$B$3:$N1361,11,FALSE),"")</f>
        <v>45</v>
      </c>
      <c r="G475" s="3654" t="str">
        <f t="array" ref="G475">IFERROR(VLOOKUP(F475,Dex!$P$22:$Q$276,2,FALSE),"")</f>
        <v/>
      </c>
      <c r="H475" s="3655"/>
      <c r="I475" s="3650"/>
      <c r="J475" s="3652" t="s">
        <v>516</v>
      </c>
      <c r="K475" s="3653">
        <f t="array" ref="K475">IFERROR(VLOOKUP(J459,Dex!$B$3:$N1361,11,FALSE),"")</f>
        <v>80</v>
      </c>
      <c r="L475" s="3654" t="str">
        <f t="array" ref="L475">IFERROR(VLOOKUP(K475,Dex!$P$22:$Q$276,2,FALSE),"")</f>
        <v/>
      </c>
      <c r="M475" s="3655"/>
      <c r="N475" s="3640"/>
      <c r="O475" s="3652" t="s">
        <v>516</v>
      </c>
      <c r="P475" s="3653">
        <f t="array" ref="P475">IFERROR(VLOOKUP(O459,Dex!$B$3:$N1361,11,FALSE),"")</f>
        <v>85</v>
      </c>
      <c r="Q475" s="3654" t="str">
        <f t="array" ref="Q475">IFERROR(VLOOKUP(P475,Dex!$P$22:$Q$276,2,FALSE),"")</f>
        <v/>
      </c>
      <c r="R475" s="3655"/>
      <c r="S475" s="3644"/>
      <c r="T475" s="3652" t="s">
        <v>516</v>
      </c>
      <c r="U475" s="3653">
        <f t="array" ref="U475">IFERROR(VLOOKUP(T459,Dex!$B$3:$N1361,11,FALSE),"")</f>
        <v>80</v>
      </c>
      <c r="V475" s="3654" t="str">
        <f t="array" ref="V475">IFERROR(VLOOKUP(U475,Dex!$P$22:$Q$276,2,FALSE),"")</f>
        <v/>
      </c>
      <c r="W475" s="3655"/>
      <c r="X475" s="3644"/>
      <c r="Y475" s="3644"/>
      <c r="Z475" s="3644"/>
      <c r="AA475" s="3644"/>
      <c r="AB475" s="3644"/>
      <c r="AC475" s="3644"/>
      <c r="AD475" s="3644"/>
      <c r="AE475" s="3644"/>
      <c r="AF475" s="3644"/>
      <c r="AG475" s="3644"/>
      <c r="AH475" s="3645"/>
      <c r="AI475" s="3543"/>
    </row>
    <row r="476" ht="16.5" customHeight="1">
      <c r="A476" s="3535"/>
      <c r="B476" s="3639"/>
      <c r="C476" s="3631"/>
      <c r="D476" s="3640"/>
      <c r="E476" s="3652" t="s">
        <v>517</v>
      </c>
      <c r="F476" s="3653">
        <f t="array" ref="F476">IFERROR(VLOOKUP(E459,Dex!$B$3:$N1361,12,FALSE),"")</f>
        <v>85</v>
      </c>
      <c r="G476" s="3654" t="str">
        <f t="array" ref="G476">IFERROR(VLOOKUP(F476,Dex!$P$22:$Q$276,2,FALSE),"")</f>
        <v/>
      </c>
      <c r="H476" s="3655"/>
      <c r="I476" s="3650"/>
      <c r="J476" s="3652" t="s">
        <v>517</v>
      </c>
      <c r="K476" s="3653">
        <f t="array" ref="K476">IFERROR(VLOOKUP(J459,Dex!$B$3:$N1361,12,FALSE),"")</f>
        <v>90</v>
      </c>
      <c r="L476" s="3654" t="str">
        <f t="array" ref="L476">IFERROR(VLOOKUP(K476,Dex!$P$22:$Q$276,2,FALSE),"")</f>
        <v/>
      </c>
      <c r="M476" s="3655"/>
      <c r="N476" s="3640"/>
      <c r="O476" s="3652" t="s">
        <v>517</v>
      </c>
      <c r="P476" s="3653">
        <f t="array" ref="P476">IFERROR(VLOOKUP(O459,Dex!$B$3:$N1361,12,FALSE),"")</f>
        <v>67</v>
      </c>
      <c r="Q476" s="3654" t="str">
        <f t="array" ref="Q476">IFERROR(VLOOKUP(P476,Dex!$P$22:$Q$276,2,FALSE),"")</f>
        <v/>
      </c>
      <c r="R476" s="3655"/>
      <c r="S476" s="3644"/>
      <c r="T476" s="3652" t="s">
        <v>517</v>
      </c>
      <c r="U476" s="3653">
        <f t="array" ref="U476">IFERROR(VLOOKUP(T459,Dex!$B$3:$N1361,12,FALSE),"")</f>
        <v>79</v>
      </c>
      <c r="V476" s="3654" t="str">
        <f t="array" ref="V476">IFERROR(VLOOKUP(U476,Dex!$P$22:$Q$276,2,FALSE),"")</f>
        <v/>
      </c>
      <c r="W476" s="3655"/>
      <c r="X476" s="3644"/>
      <c r="Y476" s="3644"/>
      <c r="Z476" s="3644"/>
      <c r="AA476" s="3644"/>
      <c r="AB476" s="3644"/>
      <c r="AC476" s="3644"/>
      <c r="AD476" s="3644"/>
      <c r="AE476" s="3644"/>
      <c r="AF476" s="3644"/>
      <c r="AG476" s="3644"/>
      <c r="AH476" s="3645"/>
      <c r="AI476" s="3543"/>
    </row>
    <row r="477" ht="16.5" customHeight="1">
      <c r="A477" s="3535"/>
      <c r="B477" s="3639"/>
      <c r="C477" s="1426" t="s">
        <v>745</v>
      </c>
      <c r="D477" s="3640"/>
      <c r="E477" s="3658" t="s">
        <v>518</v>
      </c>
      <c r="F477" s="3659">
        <f t="array" ref="F477">IFERROR(VLOOKUP(E459,Dex!$B$3:$N1361,13,FALSE),"")</f>
        <v>125</v>
      </c>
      <c r="G477" s="3660" t="str">
        <f t="array" ref="G477">IFERROR(VLOOKUP(F477,Dex!$P$22:$Q$276,2,FALSE),"")</f>
        <v/>
      </c>
      <c r="H477" s="3661"/>
      <c r="I477" s="3650"/>
      <c r="J477" s="3658" t="s">
        <v>518</v>
      </c>
      <c r="K477" s="3659">
        <f t="array" ref="K477">IFERROR(VLOOKUP(J459,Dex!$B$3:$N1361,13,FALSE),"")</f>
        <v>30</v>
      </c>
      <c r="L477" s="3660" t="str">
        <f t="array" ref="L477">IFERROR(VLOOKUP(K477,Dex!$P$22:$Q$276,2,FALSE),"")</f>
        <v/>
      </c>
      <c r="M477" s="3661"/>
      <c r="N477" s="3640"/>
      <c r="O477" s="3658" t="s">
        <v>518</v>
      </c>
      <c r="P477" s="3659">
        <f t="array" ref="P477">IFERROR(VLOOKUP(O459,Dex!$B$3:$N1361,13,FALSE),"")</f>
        <v>60</v>
      </c>
      <c r="Q477" s="3660" t="str">
        <f t="array" ref="Q477">IFERROR(VLOOKUP(P477,Dex!$P$22:$Q$276,2,FALSE),"")</f>
        <v/>
      </c>
      <c r="R477" s="3661"/>
      <c r="S477" s="3644"/>
      <c r="T477" s="3658" t="s">
        <v>518</v>
      </c>
      <c r="U477" s="3659">
        <f t="array" ref="U477">IFERROR(VLOOKUP(T459,Dex!$B$3:$N1361,13,FALSE),"")</f>
        <v>30</v>
      </c>
      <c r="V477" s="3660" t="str">
        <f t="array" ref="V477">IFERROR(VLOOKUP(U477,Dex!$P$22:$Q$276,2,FALSE),"")</f>
        <v/>
      </c>
      <c r="W477" s="3661"/>
      <c r="X477" s="3644"/>
      <c r="Y477" s="3644"/>
      <c r="Z477" s="3644"/>
      <c r="AA477" s="3644"/>
      <c r="AB477" s="3644"/>
      <c r="AC477" s="3644"/>
      <c r="AD477" s="3644"/>
      <c r="AE477" s="3644"/>
      <c r="AF477" s="3644"/>
      <c r="AG477" s="3644"/>
      <c r="AH477" s="3645"/>
      <c r="AI477" s="3543"/>
    </row>
    <row r="478" ht="16.5" customHeight="1">
      <c r="A478" s="3535"/>
      <c r="B478" s="3639"/>
      <c r="C478" s="1427" t="s">
        <v>847</v>
      </c>
      <c r="D478" s="4590"/>
      <c r="E478" s="3662" t="s">
        <v>519</v>
      </c>
      <c r="F478" s="630"/>
      <c r="G478" s="631"/>
      <c r="H478" s="632">
        <f>ROUNDDOWN((ROUNDDOWN(((((2*F477+31)*43)/100+5)),0))*1.1,0)</f>
        <v>137</v>
      </c>
      <c r="I478" s="3642"/>
      <c r="J478" s="4593" t="s">
        <v>519</v>
      </c>
      <c r="K478" s="635"/>
      <c r="L478" s="636"/>
      <c r="M478" s="632">
        <f>ROUNDDOWN((ROUNDDOWN(((((2*K477+31)*44)/100+5)),0))*1.1,0)</f>
        <v>49</v>
      </c>
      <c r="N478" s="4590"/>
      <c r="O478" s="3662" t="s">
        <v>519</v>
      </c>
      <c r="P478" s="630"/>
      <c r="Q478" s="631"/>
      <c r="R478" s="632">
        <f>ROUNDDOWN((ROUNDDOWN(((((2*P477+31)*43)/100+5)),0))*1,0)</f>
        <v>69</v>
      </c>
      <c r="S478" s="4592"/>
      <c r="T478" s="3662" t="s">
        <v>519</v>
      </c>
      <c r="U478" s="630"/>
      <c r="V478" s="631"/>
      <c r="W478" s="632">
        <f>ROUNDDOWN((ROUNDDOWN(((((2*U477+31)*44)/100+5)),0))*1,0)</f>
        <v>45</v>
      </c>
      <c r="X478" s="4592"/>
      <c r="Y478" s="3644"/>
      <c r="Z478" s="3644"/>
      <c r="AA478" s="3644"/>
      <c r="AB478" s="3644"/>
      <c r="AC478" s="3644"/>
      <c r="AD478" s="3644"/>
      <c r="AE478" s="3644"/>
      <c r="AF478" s="3644"/>
      <c r="AG478" s="3644"/>
      <c r="AH478" s="3645"/>
      <c r="AI478" s="3543"/>
    </row>
    <row r="479" ht="16.5" customHeight="1">
      <c r="A479" s="3535"/>
      <c r="B479" s="4594"/>
      <c r="C479" s="3631"/>
      <c r="D479" s="4595"/>
      <c r="E479" s="3631"/>
      <c r="F479" s="3631"/>
      <c r="G479" s="3631"/>
      <c r="H479" s="3631"/>
      <c r="I479" s="4596"/>
      <c r="J479" s="4597" t="s">
        <v>1515</v>
      </c>
      <c r="K479" s="643"/>
      <c r="L479" s="644"/>
      <c r="M479" s="3064">
        <f>M478*4</f>
        <v>196</v>
      </c>
      <c r="N479" s="4595"/>
      <c r="O479" s="3631"/>
      <c r="P479" s="3631"/>
      <c r="Q479" s="3631"/>
      <c r="R479" s="3631"/>
      <c r="S479" s="4598"/>
      <c r="T479" s="3631"/>
      <c r="U479" s="3631"/>
      <c r="V479" s="3631"/>
      <c r="W479" s="3631"/>
      <c r="X479" s="4598"/>
      <c r="Y479" s="3644"/>
      <c r="Z479" s="3644"/>
      <c r="AA479" s="3644"/>
      <c r="AB479" s="4599"/>
      <c r="AC479" s="4599"/>
      <c r="AD479" s="4599"/>
      <c r="AE479" s="4599"/>
      <c r="AF479" s="4599"/>
      <c r="AG479" s="4599"/>
      <c r="AH479" s="4600"/>
      <c r="AI479" s="3543"/>
    </row>
    <row r="480" ht="15.0" customHeight="1">
      <c r="A480" s="3535"/>
      <c r="B480" s="3663"/>
      <c r="C480" s="3664"/>
      <c r="D480" s="3665"/>
      <c r="E480" s="3664"/>
      <c r="F480" s="3664"/>
      <c r="G480" s="3664"/>
      <c r="H480" s="3664"/>
      <c r="I480" s="3667"/>
      <c r="J480" s="3668"/>
      <c r="K480" s="3668"/>
      <c r="L480" s="3668"/>
      <c r="M480" s="3667"/>
      <c r="N480" s="3669"/>
      <c r="O480" s="3664"/>
      <c r="P480" s="3664"/>
      <c r="Q480" s="3664"/>
      <c r="R480" s="3664"/>
      <c r="S480" s="3671"/>
      <c r="T480" s="3664"/>
      <c r="U480" s="3664"/>
      <c r="V480" s="3664"/>
      <c r="W480" s="3664"/>
      <c r="X480" s="3669"/>
      <c r="Y480" s="4601"/>
      <c r="Z480" s="4601"/>
      <c r="AA480" s="4601"/>
      <c r="AB480" s="3672"/>
      <c r="AC480" s="3672"/>
      <c r="AD480" s="3672"/>
      <c r="AE480" s="3672"/>
      <c r="AF480" s="3672"/>
      <c r="AG480" s="3672"/>
      <c r="AH480" s="3673"/>
      <c r="AI480" s="3543"/>
    </row>
    <row r="481" ht="18.75" customHeight="1">
      <c r="A481" s="3535"/>
      <c r="B481" s="4602"/>
      <c r="C481" s="4603"/>
      <c r="D481" s="4603"/>
      <c r="E481" s="4603"/>
      <c r="F481" s="4603"/>
      <c r="G481" s="4603"/>
      <c r="H481" s="4603"/>
      <c r="I481" s="4603"/>
      <c r="J481" s="4603"/>
      <c r="K481" s="4603"/>
      <c r="L481" s="4603"/>
      <c r="M481" s="4603"/>
      <c r="N481" s="4603"/>
      <c r="O481" s="4603"/>
      <c r="P481" s="4603"/>
      <c r="Q481" s="4603"/>
      <c r="R481" s="4603"/>
      <c r="S481" s="4603"/>
      <c r="T481" s="4603"/>
      <c r="U481" s="4603"/>
      <c r="V481" s="4603"/>
      <c r="W481" s="4603"/>
      <c r="X481" s="4603"/>
      <c r="Y481" s="4603"/>
      <c r="Z481" s="4603"/>
      <c r="AA481" s="4603"/>
      <c r="AB481" s="4603"/>
      <c r="AC481" s="4603"/>
      <c r="AD481" s="4603"/>
      <c r="AE481" s="4603"/>
      <c r="AF481" s="4603"/>
      <c r="AG481" s="4603"/>
      <c r="AH481" s="4604"/>
      <c r="AI481" s="3543"/>
    </row>
    <row r="482">
      <c r="A482" s="3535"/>
      <c r="B482" s="4605"/>
      <c r="C482" s="4606"/>
      <c r="D482" s="4606"/>
      <c r="E482" s="4607" t="s">
        <v>1516</v>
      </c>
      <c r="F482" s="4608"/>
      <c r="G482" s="4608"/>
      <c r="H482" s="4608"/>
      <c r="I482" s="4608"/>
      <c r="J482" s="4608"/>
      <c r="K482" s="4608"/>
      <c r="L482" s="4608"/>
      <c r="M482" s="4608"/>
      <c r="N482" s="4608"/>
      <c r="O482" s="4608"/>
      <c r="P482" s="4608"/>
      <c r="Q482" s="4608"/>
      <c r="R482" s="4608"/>
      <c r="S482" s="4608"/>
      <c r="T482" s="4608"/>
      <c r="U482" s="4608"/>
      <c r="V482" s="4608"/>
      <c r="W482" s="4608"/>
      <c r="X482" s="4608"/>
      <c r="Y482" s="4608"/>
      <c r="Z482" s="4608"/>
      <c r="AA482" s="4608"/>
      <c r="AB482" s="4608"/>
      <c r="AC482" s="4608"/>
      <c r="AD482" s="4608"/>
      <c r="AE482" s="4608"/>
      <c r="AF482" s="4608"/>
      <c r="AG482" s="4609"/>
      <c r="AH482" s="4604"/>
      <c r="AI482" s="3543"/>
    </row>
    <row r="483" ht="96.75" customHeight="1">
      <c r="A483" s="3535"/>
      <c r="B483" s="4610"/>
      <c r="C483" s="4611" t="str">
        <f>IMAGE("https://i.ibb.co/DDVMpxR/Channeler.png")</f>
        <v/>
      </c>
      <c r="D483" s="4612"/>
      <c r="E483" s="4613" t="str">
        <f t="array" ref="E483">IFERROR(VLOOKUP(E484,Dex!$B$3:$G1361,3,FALSE),"")</f>
        <v/>
      </c>
      <c r="F483" s="1945"/>
      <c r="G483" s="1945"/>
      <c r="H483" s="1946"/>
      <c r="I483" s="4614"/>
      <c r="J483" s="4613" t="str">
        <f t="array" ref="J483">IFERROR(VLOOKUP(J484,Dex!$B$3:$G1361,3,FALSE),"")</f>
        <v/>
      </c>
      <c r="K483" s="1945"/>
      <c r="L483" s="1945"/>
      <c r="M483" s="1946"/>
      <c r="N483" s="4614"/>
      <c r="O483" s="4613" t="str">
        <f t="array" ref="O483">IFERROR(VLOOKUP(O484,Dex!$B$3:$G1361,3,FALSE),"")</f>
        <v/>
      </c>
      <c r="P483" s="1945"/>
      <c r="Q483" s="1945"/>
      <c r="R483" s="1946"/>
      <c r="S483" s="4614"/>
      <c r="T483" s="4613" t="str">
        <f t="array" ref="T483">IFERROR(VLOOKUP(T484,Dex!$B$3:$G1361,3,FALSE),"")</f>
        <v/>
      </c>
      <c r="U483" s="1945"/>
      <c r="V483" s="1945"/>
      <c r="W483" s="1946"/>
      <c r="X483" s="4614"/>
      <c r="Y483" s="4613" t="str">
        <f t="array" ref="Y483">IFERROR(VLOOKUP(Y484,Dex!$B$3:$G1361,3,FALSE),"")</f>
        <v/>
      </c>
      <c r="Z483" s="1945"/>
      <c r="AA483" s="1945"/>
      <c r="AB483" s="1946"/>
      <c r="AC483" s="4615"/>
      <c r="AD483" s="4616"/>
      <c r="AE483" s="4617"/>
      <c r="AF483" s="4617"/>
      <c r="AG483" s="4618"/>
      <c r="AH483" s="4619"/>
      <c r="AI483" s="3543"/>
    </row>
    <row r="484" ht="18.75" customHeight="1">
      <c r="A484" s="3535"/>
      <c r="B484" s="4620"/>
      <c r="C484" s="4621" t="s">
        <v>1517</v>
      </c>
      <c r="D484" s="4622"/>
      <c r="E484" s="4623" t="s">
        <v>244</v>
      </c>
      <c r="F484" s="4624"/>
      <c r="G484" s="4624"/>
      <c r="H484" s="4625"/>
      <c r="I484" s="4614"/>
      <c r="J484" s="4623" t="s">
        <v>1298</v>
      </c>
      <c r="K484" s="4624"/>
      <c r="L484" s="4624"/>
      <c r="M484" s="4625"/>
      <c r="N484" s="4614"/>
      <c r="O484" s="4623" t="s">
        <v>1518</v>
      </c>
      <c r="P484" s="4624"/>
      <c r="Q484" s="4624"/>
      <c r="R484" s="4625"/>
      <c r="S484" s="4614"/>
      <c r="T484" s="4623" t="s">
        <v>1519</v>
      </c>
      <c r="U484" s="4624"/>
      <c r="V484" s="4624"/>
      <c r="W484" s="4625"/>
      <c r="X484" s="4614"/>
      <c r="Y484" s="4623" t="s">
        <v>1520</v>
      </c>
      <c r="Z484" s="4624"/>
      <c r="AA484" s="4624"/>
      <c r="AB484" s="4625"/>
      <c r="AC484" s="4614"/>
      <c r="AD484" s="4616"/>
      <c r="AE484" s="4617"/>
      <c r="AF484" s="4617"/>
      <c r="AG484" s="4618"/>
      <c r="AH484" s="4626"/>
      <c r="AI484" s="3543"/>
    </row>
    <row r="485">
      <c r="A485" s="3535"/>
      <c r="B485" s="4610"/>
      <c r="C485" s="1638"/>
      <c r="D485" s="4627"/>
      <c r="E485" s="4628" t="s">
        <v>967</v>
      </c>
      <c r="F485" s="4629"/>
      <c r="G485" s="4629"/>
      <c r="H485" s="4630"/>
      <c r="I485" s="4614"/>
      <c r="J485" s="4628" t="s">
        <v>729</v>
      </c>
      <c r="K485" s="4629"/>
      <c r="L485" s="4629"/>
      <c r="M485" s="4630"/>
      <c r="N485" s="4614"/>
      <c r="O485" s="4628" t="s">
        <v>729</v>
      </c>
      <c r="P485" s="4629"/>
      <c r="Q485" s="4629"/>
      <c r="R485" s="4630"/>
      <c r="S485" s="4614"/>
      <c r="T485" s="4628" t="s">
        <v>729</v>
      </c>
      <c r="U485" s="4629"/>
      <c r="V485" s="4629"/>
      <c r="W485" s="4630"/>
      <c r="X485" s="4614"/>
      <c r="Y485" s="4628" t="s">
        <v>729</v>
      </c>
      <c r="Z485" s="4629"/>
      <c r="AA485" s="4629"/>
      <c r="AB485" s="4630"/>
      <c r="AC485" s="4614"/>
      <c r="AD485" s="4616"/>
      <c r="AE485" s="4617"/>
      <c r="AF485" s="4617"/>
      <c r="AG485" s="4618"/>
      <c r="AH485" s="4631"/>
      <c r="AI485" s="3543"/>
    </row>
    <row r="486" ht="25.5" customHeight="1">
      <c r="A486" s="3535"/>
      <c r="B486" s="4610"/>
      <c r="C486" s="1646"/>
      <c r="D486" s="4632"/>
      <c r="E486" s="4633"/>
      <c r="F486" s="4634" t="str">
        <f t="array" ref="F486">IFERROR(VLOOKUP(E484,Dex!$B$3:$H1361,5,FALSE),"")</f>
        <v/>
      </c>
      <c r="G486" s="4635" t="str">
        <f t="array" ref="G486">IFERROR(VLOOKUP(E484,Dex!$B$3:$H1361,7,FALSE),"")</f>
        <v/>
      </c>
      <c r="H486" s="4636"/>
      <c r="I486" s="4637"/>
      <c r="J486" s="4633"/>
      <c r="K486" s="4634" t="str">
        <f t="array" ref="K486">IFERROR(VLOOKUP(J484,Dex!$B$3:$H1361,5,FALSE),"")</f>
        <v/>
      </c>
      <c r="L486" s="4635" t="str">
        <f t="array" ref="L486">IFERROR(VLOOKUP(J484,Dex!$B$3:$H1361,7,FALSE),"")</f>
        <v/>
      </c>
      <c r="M486" s="4636"/>
      <c r="N486" s="4637"/>
      <c r="O486" s="4633"/>
      <c r="P486" s="4634" t="str">
        <f t="array" ref="P486">IFERROR(VLOOKUP(O484,Dex!$B$3:$H1361,5,FALSE),"")</f>
        <v/>
      </c>
      <c r="Q486" s="4635" t="str">
        <f t="array" ref="Q486">IFERROR(VLOOKUP(O484,Dex!$B$3:$H1361,7,FALSE),"")</f>
        <v/>
      </c>
      <c r="R486" s="4636"/>
      <c r="S486" s="4637"/>
      <c r="T486" s="4633"/>
      <c r="U486" s="4638" t="str">
        <f t="array" ref="U486">IFERROR(VLOOKUP(T484,Dex!$B$3:$H1361,5,FALSE),"")</f>
        <v/>
      </c>
      <c r="V486" s="4639"/>
      <c r="W486" s="4636"/>
      <c r="X486" s="4637"/>
      <c r="Y486" s="4633"/>
      <c r="Z486" s="4638" t="str">
        <f t="array" ref="Z486">IFERROR(VLOOKUP(Y484,Dex!$B$3:$H1361,5,FALSE),"")</f>
        <v/>
      </c>
      <c r="AA486" s="4639"/>
      <c r="AB486" s="4636"/>
      <c r="AC486" s="4637"/>
      <c r="AD486" s="4616"/>
      <c r="AE486" s="4617"/>
      <c r="AF486" s="4617"/>
      <c r="AG486" s="4618"/>
      <c r="AH486" s="4619"/>
      <c r="AI486" s="3543"/>
    </row>
    <row r="487" ht="2.25" customHeight="1">
      <c r="A487" s="3535"/>
      <c r="B487" s="4610"/>
      <c r="C487" s="4640"/>
      <c r="D487" s="4632"/>
      <c r="E487" s="4641"/>
      <c r="F487" s="4642"/>
      <c r="G487" s="4642"/>
      <c r="H487" s="4643"/>
      <c r="I487" s="4637"/>
      <c r="J487" s="4641"/>
      <c r="K487" s="4642"/>
      <c r="L487" s="4642"/>
      <c r="M487" s="4643"/>
      <c r="N487" s="4637"/>
      <c r="O487" s="4641"/>
      <c r="P487" s="4642"/>
      <c r="Q487" s="4642"/>
      <c r="R487" s="4643"/>
      <c r="S487" s="4637"/>
      <c r="T487" s="4641"/>
      <c r="U487" s="4642"/>
      <c r="V487" s="4642"/>
      <c r="W487" s="4643"/>
      <c r="X487" s="4637"/>
      <c r="Y487" s="4641"/>
      <c r="Z487" s="4642"/>
      <c r="AA487" s="4642"/>
      <c r="AB487" s="4643"/>
      <c r="AC487" s="4637"/>
      <c r="AD487" s="4616"/>
      <c r="AE487" s="4617"/>
      <c r="AF487" s="4617"/>
      <c r="AG487" s="4618"/>
      <c r="AH487" s="4619"/>
      <c r="AI487" s="3543"/>
    </row>
    <row r="488" ht="20.25" customHeight="1">
      <c r="A488" s="3535"/>
      <c r="B488" s="4610"/>
      <c r="C488" s="4644"/>
      <c r="D488" s="4645"/>
      <c r="E488" s="4646" t="s">
        <v>531</v>
      </c>
      <c r="F488" s="4647"/>
      <c r="G488" s="4647"/>
      <c r="H488" s="4648"/>
      <c r="I488" s="4614"/>
      <c r="J488" s="4646" t="s">
        <v>480</v>
      </c>
      <c r="K488" s="4647"/>
      <c r="L488" s="4647"/>
      <c r="M488" s="4648"/>
      <c r="N488" s="4614"/>
      <c r="O488" s="4646" t="s">
        <v>531</v>
      </c>
      <c r="P488" s="4647"/>
      <c r="Q488" s="4647"/>
      <c r="R488" s="4648"/>
      <c r="S488" s="4614"/>
      <c r="T488" s="4646" t="s">
        <v>564</v>
      </c>
      <c r="U488" s="4647"/>
      <c r="V488" s="4647"/>
      <c r="W488" s="4648"/>
      <c r="X488" s="4614"/>
      <c r="Y488" s="4646" t="s">
        <v>564</v>
      </c>
      <c r="Z488" s="4647"/>
      <c r="AA488" s="4647"/>
      <c r="AB488" s="4648"/>
      <c r="AC488" s="4614"/>
      <c r="AD488" s="4616"/>
      <c r="AE488" s="4617"/>
      <c r="AF488" s="4617"/>
      <c r="AG488" s="4618"/>
      <c r="AH488" s="4631"/>
      <c r="AI488" s="3543"/>
    </row>
    <row r="489" ht="20.25" customHeight="1">
      <c r="A489" s="3535"/>
      <c r="B489" s="4610"/>
      <c r="C489" s="4644"/>
      <c r="D489" s="4645"/>
      <c r="E489" s="4649" t="s">
        <v>105</v>
      </c>
      <c r="F489" s="4617"/>
      <c r="G489" s="4617"/>
      <c r="H489" s="4650"/>
      <c r="I489" s="4614"/>
      <c r="J489" s="4649" t="s">
        <v>1239</v>
      </c>
      <c r="K489" s="4617"/>
      <c r="L489" s="4617"/>
      <c r="M489" s="4650"/>
      <c r="N489" s="4614"/>
      <c r="O489" s="4649" t="s">
        <v>569</v>
      </c>
      <c r="P489" s="4617"/>
      <c r="Q489" s="4617"/>
      <c r="R489" s="4650"/>
      <c r="S489" s="4614"/>
      <c r="T489" s="4649" t="s">
        <v>484</v>
      </c>
      <c r="U489" s="4617"/>
      <c r="V489" s="4617"/>
      <c r="W489" s="4650"/>
      <c r="X489" s="4614"/>
      <c r="Y489" s="4649" t="s">
        <v>1521</v>
      </c>
      <c r="Z489" s="4617"/>
      <c r="AA489" s="4617"/>
      <c r="AB489" s="4650"/>
      <c r="AC489" s="4614"/>
      <c r="AD489" s="4616"/>
      <c r="AE489" s="4617"/>
      <c r="AF489" s="4617"/>
      <c r="AG489" s="4618"/>
      <c r="AH489" s="4631"/>
      <c r="AI489" s="3543"/>
    </row>
    <row r="490" ht="20.25" customHeight="1">
      <c r="A490" s="3535"/>
      <c r="B490" s="4610"/>
      <c r="C490" s="4644"/>
      <c r="D490" s="4645"/>
      <c r="E490" s="4651" t="s">
        <v>537</v>
      </c>
      <c r="F490" s="4608"/>
      <c r="G490" s="4609"/>
      <c r="H490" s="4652" t="str">
        <f>IMAGE("https://raw.githubusercontent.com/msikma/pokesprite/master/items/berry/sitrus.png",3)</f>
        <v/>
      </c>
      <c r="I490" s="4653"/>
      <c r="J490" s="4651" t="s">
        <v>1303</v>
      </c>
      <c r="K490" s="4608"/>
      <c r="L490" s="4609"/>
      <c r="M490" s="4652" t="str">
        <f>IMAGE("https://raw.githubusercontent.com/msikma/pokesprite/master/items/hold-item/light-clay.png",3)</f>
        <v/>
      </c>
      <c r="N490" s="4653"/>
      <c r="O490" s="4651" t="s">
        <v>574</v>
      </c>
      <c r="P490" s="4608"/>
      <c r="Q490" s="4609"/>
      <c r="R490" s="4652" t="str">
        <f>IMAGE("https://raw.githubusercontent.com/msikma/pokesprite/master/items/hold-item/electric-seed.png",3)</f>
        <v/>
      </c>
      <c r="S490" s="4653"/>
      <c r="T490" s="4651" t="s">
        <v>574</v>
      </c>
      <c r="U490" s="4608"/>
      <c r="V490" s="4609"/>
      <c r="W490" s="4652" t="str">
        <f>IMAGE("https://raw.githubusercontent.com/msikma/pokesprite/master/items/hold-item/electric-seed.png",3)</f>
        <v/>
      </c>
      <c r="X490" s="4653"/>
      <c r="Y490" s="4651" t="s">
        <v>920</v>
      </c>
      <c r="Z490" s="4608"/>
      <c r="AA490" s="4609"/>
      <c r="AB490" s="4652" t="str">
        <f>IMAGE("https://raw.githubusercontent.com/msikma/pokesprite/master/items/hold-item/white-herb.png",3)</f>
        <v/>
      </c>
      <c r="AC490" s="4653"/>
      <c r="AD490" s="4616"/>
      <c r="AE490" s="4617"/>
      <c r="AF490" s="4617"/>
      <c r="AG490" s="4618"/>
      <c r="AH490" s="4619"/>
      <c r="AI490" s="3543"/>
    </row>
    <row r="491" ht="20.25" customHeight="1">
      <c r="A491" s="3535"/>
      <c r="B491" s="4610"/>
      <c r="C491" s="4654"/>
      <c r="D491" s="4645"/>
      <c r="E491" s="4646" t="s">
        <v>578</v>
      </c>
      <c r="F491" s="4647"/>
      <c r="G491" s="4655"/>
      <c r="H491" s="4656" t="str">
        <f>IMAGE("https://raw.githubusercontent.com/msikma/pokesprite/master/misc/types/gen8/electric.png",4,20,20)</f>
        <v/>
      </c>
      <c r="I491" s="4653"/>
      <c r="J491" s="4646" t="s">
        <v>1308</v>
      </c>
      <c r="K491" s="4647"/>
      <c r="L491" s="4655"/>
      <c r="M491" s="4656" t="str">
        <f>IMAGE("https://raw.githubusercontent.com/msikma/pokesprite/master/misc/types/gen8/fairy.png",4,20,20)</f>
        <v/>
      </c>
      <c r="N491" s="4653"/>
      <c r="O491" s="4646" t="s">
        <v>170</v>
      </c>
      <c r="P491" s="4647"/>
      <c r="Q491" s="4655"/>
      <c r="R491" s="4656" t="str">
        <f>IMAGE("https://raw.githubusercontent.com/msikma/pokesprite/master/misc/types/gen8/psychic.png",4,20,20)</f>
        <v/>
      </c>
      <c r="S491" s="4653"/>
      <c r="T491" s="4646" t="s">
        <v>170</v>
      </c>
      <c r="U491" s="4647"/>
      <c r="V491" s="4655"/>
      <c r="W491" s="4656" t="str">
        <f t="shared" ref="W491:W492" si="10">IMAGE("https://raw.githubusercontent.com/msikma/pokesprite/master/misc/types/gen8/psychic.png",4,20,20)</f>
        <v/>
      </c>
      <c r="X491" s="4653"/>
      <c r="Y491" s="4646" t="s">
        <v>273</v>
      </c>
      <c r="Z491" s="4647"/>
      <c r="AA491" s="4655"/>
      <c r="AB491" s="4656" t="str">
        <f>IMAGE("https://raw.githubusercontent.com/msikma/pokesprite/master/misc/types/gen8/normal.png",4,20,20)</f>
        <v/>
      </c>
      <c r="AC491" s="4653"/>
      <c r="AD491" s="4616"/>
      <c r="AE491" s="4617"/>
      <c r="AF491" s="4617"/>
      <c r="AG491" s="4618"/>
      <c r="AH491" s="4619"/>
      <c r="AI491" s="3543"/>
    </row>
    <row r="492" ht="20.25" customHeight="1">
      <c r="A492" s="3535"/>
      <c r="B492" s="4610"/>
      <c r="C492" s="4657"/>
      <c r="D492" s="4645"/>
      <c r="E492" s="4649" t="s">
        <v>1322</v>
      </c>
      <c r="F492" s="4617"/>
      <c r="G492" s="4618"/>
      <c r="H492" s="4658" t="str">
        <f>IMAGE("https://raw.githubusercontent.com/msikma/pokesprite/master/misc/types/gen8/water.png",4,20,20)</f>
        <v/>
      </c>
      <c r="I492" s="4653"/>
      <c r="J492" s="4649" t="s">
        <v>1307</v>
      </c>
      <c r="K492" s="4617"/>
      <c r="L492" s="4618"/>
      <c r="M492" s="4658" t="str">
        <f t="shared" ref="M492:M493" si="11">IMAGE("https://raw.githubusercontent.com/msikma/pokesprite/master/misc/types/gen8/psychic.png",4,20,20)</f>
        <v/>
      </c>
      <c r="N492" s="4653"/>
      <c r="O492" s="4649" t="s">
        <v>647</v>
      </c>
      <c r="P492" s="4617"/>
      <c r="Q492" s="4618"/>
      <c r="R492" s="4658" t="str">
        <f>IMAGE("https://raw.githubusercontent.com/msikma/pokesprite/master/misc/types/gen8/ghost.png",4,20,20)</f>
        <v/>
      </c>
      <c r="S492" s="4653"/>
      <c r="T492" s="4649" t="s">
        <v>552</v>
      </c>
      <c r="U492" s="4617"/>
      <c r="V492" s="4618"/>
      <c r="W492" s="4658" t="str">
        <f t="shared" si="10"/>
        <v/>
      </c>
      <c r="X492" s="4653"/>
      <c r="Y492" s="4649" t="s">
        <v>647</v>
      </c>
      <c r="Z492" s="4617"/>
      <c r="AA492" s="4618"/>
      <c r="AB492" s="4658" t="str">
        <f>IMAGE("https://raw.githubusercontent.com/msikma/pokesprite/master/misc/types/gen8/ghost.png",4,20,20)</f>
        <v/>
      </c>
      <c r="AC492" s="4653"/>
      <c r="AD492" s="4616"/>
      <c r="AE492" s="4617"/>
      <c r="AF492" s="4617"/>
      <c r="AG492" s="4618"/>
      <c r="AH492" s="4619"/>
      <c r="AI492" s="3543"/>
    </row>
    <row r="493" ht="20.25" customHeight="1">
      <c r="A493" s="3535"/>
      <c r="B493" s="4610"/>
      <c r="C493" s="4657"/>
      <c r="D493" s="4645"/>
      <c r="E493" s="4649" t="s">
        <v>581</v>
      </c>
      <c r="F493" s="4617"/>
      <c r="G493" s="4618"/>
      <c r="H493" s="4658" t="str">
        <f>IMAGE("https://raw.githubusercontent.com/msikma/pokesprite/master/misc/types/gen8/electric.png",4,20,20)</f>
        <v/>
      </c>
      <c r="I493" s="4653"/>
      <c r="J493" s="4649" t="s">
        <v>1305</v>
      </c>
      <c r="K493" s="4617"/>
      <c r="L493" s="4618"/>
      <c r="M493" s="4658" t="str">
        <f t="shared" si="11"/>
        <v/>
      </c>
      <c r="N493" s="4653"/>
      <c r="O493" s="4649" t="s">
        <v>805</v>
      </c>
      <c r="P493" s="4617"/>
      <c r="Q493" s="4618"/>
      <c r="R493" s="4658" t="str">
        <f>IMAGE("https://raw.githubusercontent.com/msikma/pokesprite/master/misc/types/gen8/flying.png",4,20,20)</f>
        <v/>
      </c>
      <c r="S493" s="4653"/>
      <c r="T493" s="4649" t="s">
        <v>641</v>
      </c>
      <c r="U493" s="4617"/>
      <c r="V493" s="4618"/>
      <c r="W493" s="4658" t="str">
        <f t="shared" ref="W493:W494" si="12">IMAGE("https://raw.githubusercontent.com/msikma/pokesprite/master/misc/types/gen8/fairy.png",4,20,20)</f>
        <v/>
      </c>
      <c r="X493" s="4653"/>
      <c r="Y493" s="4649" t="s">
        <v>788</v>
      </c>
      <c r="Z493" s="4617"/>
      <c r="AA493" s="4618"/>
      <c r="AB493" s="4658" t="str">
        <f>IMAGE("https://raw.githubusercontent.com/msikma/pokesprite/master/misc/types/gen8/psychic.png",4,20,20)</f>
        <v/>
      </c>
      <c r="AC493" s="4653"/>
      <c r="AD493" s="4616"/>
      <c r="AE493" s="4617"/>
      <c r="AF493" s="4617"/>
      <c r="AG493" s="4618"/>
      <c r="AH493" s="4619"/>
      <c r="AI493" s="3543"/>
    </row>
    <row r="494" ht="21.0" customHeight="1">
      <c r="A494" s="3535"/>
      <c r="B494" s="4610"/>
      <c r="C494" s="4657"/>
      <c r="D494" s="4645"/>
      <c r="E494" s="4659" t="s">
        <v>182</v>
      </c>
      <c r="F494" s="4660"/>
      <c r="G494" s="4661"/>
      <c r="H494" s="4662" t="str">
        <f>IMAGE("https://raw.githubusercontent.com/msikma/pokesprite/master/misc/types/gen8/ground.png",4,20,20)</f>
        <v/>
      </c>
      <c r="I494" s="4653"/>
      <c r="J494" s="4659" t="s">
        <v>1087</v>
      </c>
      <c r="K494" s="4660"/>
      <c r="L494" s="4661"/>
      <c r="M494" s="4662" t="str">
        <f>IMAGE("https://raw.githubusercontent.com/msikma/pokesprite/master/misc/types/gen8/dark.png",4,20,20)</f>
        <v/>
      </c>
      <c r="N494" s="4653"/>
      <c r="O494" s="4659" t="s">
        <v>209</v>
      </c>
      <c r="P494" s="4660"/>
      <c r="Q494" s="4661"/>
      <c r="R494" s="4662" t="str">
        <f>IMAGE("https://raw.githubusercontent.com/msikma/pokesprite/master/misc/types/gen8/grass.png",4,20,20)</f>
        <v/>
      </c>
      <c r="S494" s="4653"/>
      <c r="T494" s="4659" t="s">
        <v>1522</v>
      </c>
      <c r="U494" s="4660"/>
      <c r="V494" s="4661"/>
      <c r="W494" s="4662" t="str">
        <f t="shared" si="12"/>
        <v/>
      </c>
      <c r="X494" s="4653"/>
      <c r="Y494" s="4659" t="s">
        <v>1463</v>
      </c>
      <c r="Z494" s="4660"/>
      <c r="AA494" s="4661"/>
      <c r="AB494" s="4662" t="str">
        <f>IMAGE("https://raw.githubusercontent.com/msikma/pokesprite/master/misc/types/gen8/fighting.png",4,20,20)</f>
        <v/>
      </c>
      <c r="AC494" s="4653"/>
      <c r="AD494" s="4616"/>
      <c r="AE494" s="4617"/>
      <c r="AF494" s="4617"/>
      <c r="AG494" s="4618"/>
      <c r="AH494" s="4619"/>
      <c r="AI494" s="3543"/>
    </row>
    <row r="495" ht="3.0" customHeight="1">
      <c r="A495" s="3535"/>
      <c r="B495" s="4663"/>
      <c r="C495" s="4606"/>
      <c r="D495" s="4664"/>
      <c r="E495" s="4665"/>
      <c r="F495" s="4665"/>
      <c r="G495" s="4665"/>
      <c r="H495" s="4666"/>
      <c r="I495" s="4664"/>
      <c r="J495" s="4667"/>
      <c r="K495" s="4667"/>
      <c r="L495" s="4667"/>
      <c r="M495" s="4666"/>
      <c r="N495" s="4664"/>
      <c r="O495" s="4667"/>
      <c r="P495" s="4667"/>
      <c r="Q495" s="4667"/>
      <c r="R495" s="4666"/>
      <c r="S495" s="4666"/>
      <c r="T495" s="4667"/>
      <c r="U495" s="4667"/>
      <c r="V495" s="4667"/>
      <c r="W495" s="4666"/>
      <c r="X495" s="4664"/>
      <c r="Y495" s="4667"/>
      <c r="Z495" s="4667"/>
      <c r="AA495" s="4667"/>
      <c r="AB495" s="4666"/>
      <c r="AC495" s="4668"/>
      <c r="AD495" s="4616"/>
      <c r="AE495" s="4617"/>
      <c r="AF495" s="4617"/>
      <c r="AG495" s="4618"/>
      <c r="AH495" s="4669"/>
      <c r="AI495" s="3543"/>
    </row>
    <row r="496" ht="16.5" customHeight="1">
      <c r="A496" s="3535"/>
      <c r="B496" s="4605"/>
      <c r="C496" s="4606"/>
      <c r="D496" s="4670"/>
      <c r="E496" s="4671" t="s">
        <v>512</v>
      </c>
      <c r="F496" s="606"/>
      <c r="G496" s="606"/>
      <c r="H496" s="607"/>
      <c r="I496" s="4672"/>
      <c r="J496" s="4671" t="s">
        <v>512</v>
      </c>
      <c r="K496" s="606"/>
      <c r="L496" s="606"/>
      <c r="M496" s="607"/>
      <c r="N496" s="4673"/>
      <c r="O496" s="4671" t="s">
        <v>512</v>
      </c>
      <c r="P496" s="606"/>
      <c r="Q496" s="606"/>
      <c r="R496" s="607"/>
      <c r="S496" s="4674"/>
      <c r="T496" s="4671" t="s">
        <v>512</v>
      </c>
      <c r="U496" s="606"/>
      <c r="V496" s="606"/>
      <c r="W496" s="607"/>
      <c r="X496" s="4675"/>
      <c r="Y496" s="4671" t="s">
        <v>512</v>
      </c>
      <c r="Z496" s="606"/>
      <c r="AA496" s="606"/>
      <c r="AB496" s="607"/>
      <c r="AC496" s="4675"/>
      <c r="AD496" s="4616"/>
      <c r="AE496" s="4617"/>
      <c r="AF496" s="4617"/>
      <c r="AG496" s="4618"/>
      <c r="AH496" s="4676"/>
      <c r="AI496" s="3543"/>
    </row>
    <row r="497" ht="16.5" customHeight="1">
      <c r="A497" s="3535"/>
      <c r="B497" s="4605"/>
      <c r="C497" s="4606"/>
      <c r="D497" s="4670"/>
      <c r="E497" s="4677" t="s">
        <v>513</v>
      </c>
      <c r="F497" s="4678">
        <f t="array" ref="F497">IFERROR(VLOOKUP(E484,Dex!$B$3:$N1361,8,FALSE),"")</f>
        <v>68</v>
      </c>
      <c r="G497" s="4679" t="str">
        <f t="array" ref="G497">IFERROR(VLOOKUP(F497,Dex!$P$22:$Q$276,2,FALSE),"")</f>
        <v/>
      </c>
      <c r="H497" s="4680"/>
      <c r="I497" s="4681"/>
      <c r="J497" s="4677" t="s">
        <v>513</v>
      </c>
      <c r="K497" s="4678">
        <f t="array" ref="K497">IFERROR(VLOOKUP(J484,Dex!$B$3:$N1361,8,FALSE),"")</f>
        <v>95</v>
      </c>
      <c r="L497" s="4679" t="str">
        <f t="array" ref="L497">IFERROR(VLOOKUP(K497,Dex!$P$22:$Q$276,2,FALSE),"")</f>
        <v/>
      </c>
      <c r="M497" s="4680"/>
      <c r="N497" s="4670"/>
      <c r="O497" s="4677" t="s">
        <v>513</v>
      </c>
      <c r="P497" s="4678">
        <f t="array" ref="P497">IFERROR(VLOOKUP(O484,Dex!$B$3:$N1361,8,FALSE),"")</f>
        <v>150</v>
      </c>
      <c r="Q497" s="4679" t="str">
        <f t="array" ref="Q497">IFERROR(VLOOKUP(P497,Dex!$P$22:$Q$276,2,FALSE),"")</f>
        <v/>
      </c>
      <c r="R497" s="4680"/>
      <c r="S497" s="4682"/>
      <c r="T497" s="4677" t="s">
        <v>513</v>
      </c>
      <c r="U497" s="4678">
        <f t="array" ref="U497">IFERROR(VLOOKUP(T484,Dex!$B$3:$N1361,8,FALSE),"")</f>
        <v>120</v>
      </c>
      <c r="V497" s="4679" t="str">
        <f t="array" ref="V497">IFERROR(VLOOKUP(U497,Dex!$P$22:$Q$276,2,FALSE),"")</f>
        <v/>
      </c>
      <c r="W497" s="4680"/>
      <c r="X497" s="4682"/>
      <c r="Y497" s="4677" t="s">
        <v>513</v>
      </c>
      <c r="Z497" s="4678">
        <f t="array" ref="Z497">IFERROR(VLOOKUP(Y484,Dex!$B$3:$N1361,8,FALSE),"")</f>
        <v>60</v>
      </c>
      <c r="AA497" s="4679" t="str">
        <f t="array" ref="AA497">IFERROR(VLOOKUP(Z497,Dex!$P$22:$Q$276,2,FALSE),"")</f>
        <v/>
      </c>
      <c r="AB497" s="4680"/>
      <c r="AC497" s="4682"/>
      <c r="AD497" s="4616"/>
      <c r="AE497" s="4617"/>
      <c r="AF497" s="4617"/>
      <c r="AG497" s="4618"/>
      <c r="AH497" s="4676"/>
      <c r="AI497" s="3543"/>
    </row>
    <row r="498" ht="16.5" customHeight="1">
      <c r="A498" s="3535"/>
      <c r="B498" s="4605"/>
      <c r="C498" s="4606"/>
      <c r="D498" s="4670"/>
      <c r="E498" s="4683" t="s">
        <v>514</v>
      </c>
      <c r="F498" s="4684">
        <f t="array" ref="F498">IFERROR(VLOOKUP(E484,Dex!$B$3:$N1361,9,FALSE),"")</f>
        <v>81</v>
      </c>
      <c r="G498" s="4685" t="str">
        <f t="array" ref="G498">IFERROR(VLOOKUP(F498,Dex!$P$22:$Q$276,2,FALSE),"")</f>
        <v/>
      </c>
      <c r="H498" s="4686"/>
      <c r="I498" s="4681"/>
      <c r="J498" s="4683" t="s">
        <v>514</v>
      </c>
      <c r="K498" s="4684">
        <f t="array" ref="K498">IFERROR(VLOOKUP(J484,Dex!$B$3:$N1361,9,FALSE),"")</f>
        <v>120</v>
      </c>
      <c r="L498" s="4685" t="str">
        <f t="array" ref="L498">IFERROR(VLOOKUP(K498,Dex!$P$22:$Q$276,2,FALSE),"")</f>
        <v/>
      </c>
      <c r="M498" s="4686"/>
      <c r="N498" s="4670"/>
      <c r="O498" s="4683" t="s">
        <v>514</v>
      </c>
      <c r="P498" s="4684">
        <f t="array" ref="P498">IFERROR(VLOOKUP(O484,Dex!$B$3:$N1361,9,FALSE),"")</f>
        <v>80</v>
      </c>
      <c r="Q498" s="4685" t="str">
        <f t="array" ref="Q498">IFERROR(VLOOKUP(P498,Dex!$P$22:$Q$276,2,FALSE),"")</f>
        <v/>
      </c>
      <c r="R498" s="4686"/>
      <c r="S498" s="4682"/>
      <c r="T498" s="4683" t="s">
        <v>514</v>
      </c>
      <c r="U498" s="4684">
        <f t="array" ref="U498">IFERROR(VLOOKUP(T484,Dex!$B$3:$N1361,9,FALSE),"")</f>
        <v>70</v>
      </c>
      <c r="V498" s="4685" t="str">
        <f t="array" ref="V498">IFERROR(VLOOKUP(U498,Dex!$P$22:$Q$276,2,FALSE),"")</f>
        <v/>
      </c>
      <c r="W498" s="4686"/>
      <c r="X498" s="4682"/>
      <c r="Y498" s="4683" t="s">
        <v>514</v>
      </c>
      <c r="Z498" s="4684">
        <f t="array" ref="Z498">IFERROR(VLOOKUP(Y484,Dex!$B$3:$N1361,9,FALSE),"")</f>
        <v>65</v>
      </c>
      <c r="AA498" s="4685" t="str">
        <f t="array" ref="AA498">IFERROR(VLOOKUP(Z498,Dex!$P$22:$Q$276,2,FALSE),"")</f>
        <v/>
      </c>
      <c r="AB498" s="4686"/>
      <c r="AC498" s="4682"/>
      <c r="AD498" s="4616"/>
      <c r="AE498" s="4617"/>
      <c r="AF498" s="4617"/>
      <c r="AG498" s="4618"/>
      <c r="AH498" s="4676"/>
      <c r="AI498" s="3543"/>
    </row>
    <row r="499" ht="16.5" customHeight="1">
      <c r="A499" s="3535"/>
      <c r="B499" s="4605"/>
      <c r="C499" s="4606"/>
      <c r="D499" s="4670"/>
      <c r="E499" s="4683" t="s">
        <v>515</v>
      </c>
      <c r="F499" s="4684">
        <f t="array" ref="F499">IFERROR(VLOOKUP(E484,Dex!$B$3:$N1361,10,FALSE),"")</f>
        <v>95</v>
      </c>
      <c r="G499" s="4685" t="str">
        <f t="array" ref="G499">IFERROR(VLOOKUP(F499,Dex!$P$22:$Q$276,2,FALSE),"")</f>
        <v/>
      </c>
      <c r="H499" s="4686"/>
      <c r="I499" s="4681"/>
      <c r="J499" s="4683" t="s">
        <v>515</v>
      </c>
      <c r="K499" s="4684">
        <f t="array" ref="K499">IFERROR(VLOOKUP(J484,Dex!$B$3:$N1361,10,FALSE),"")</f>
        <v>65</v>
      </c>
      <c r="L499" s="4685" t="str">
        <f t="array" ref="L499">IFERROR(VLOOKUP(K499,Dex!$P$22:$Q$276,2,FALSE),"")</f>
        <v/>
      </c>
      <c r="M499" s="4686"/>
      <c r="N499" s="4670"/>
      <c r="O499" s="4683" t="s">
        <v>515</v>
      </c>
      <c r="P499" s="4684">
        <f t="array" ref="P499">IFERROR(VLOOKUP(O484,Dex!$B$3:$N1361,10,FALSE),"")</f>
        <v>44</v>
      </c>
      <c r="Q499" s="4685" t="str">
        <f t="array" ref="Q499">IFERROR(VLOOKUP(P499,Dex!$P$22:$Q$276,2,FALSE),"")</f>
        <v/>
      </c>
      <c r="R499" s="4686"/>
      <c r="S499" s="4682"/>
      <c r="T499" s="4683" t="s">
        <v>515</v>
      </c>
      <c r="U499" s="4684">
        <f t="array" ref="U499">IFERROR(VLOOKUP(T484,Dex!$B$3:$N1361,10,FALSE),"")</f>
        <v>120</v>
      </c>
      <c r="V499" s="4685" t="str">
        <f t="array" ref="V499">IFERROR(VLOOKUP(U499,Dex!$P$22:$Q$276,2,FALSE),"")</f>
        <v/>
      </c>
      <c r="W499" s="4686"/>
      <c r="X499" s="4682"/>
      <c r="Y499" s="4683" t="s">
        <v>515</v>
      </c>
      <c r="Z499" s="4684">
        <f t="array" ref="Z499">IFERROR(VLOOKUP(Y484,Dex!$B$3:$N1361,10,FALSE),"")</f>
        <v>65</v>
      </c>
      <c r="AA499" s="4685" t="str">
        <f t="array" ref="AA499">IFERROR(VLOOKUP(Z499,Dex!$P$22:$Q$276,2,FALSE),"")</f>
        <v/>
      </c>
      <c r="AB499" s="4686"/>
      <c r="AC499" s="4682"/>
      <c r="AD499" s="4616"/>
      <c r="AE499" s="4617"/>
      <c r="AF499" s="4617"/>
      <c r="AG499" s="4618"/>
      <c r="AH499" s="4676"/>
      <c r="AI499" s="3543"/>
    </row>
    <row r="500" ht="16.5" customHeight="1">
      <c r="A500" s="3535"/>
      <c r="B500" s="4605"/>
      <c r="C500" s="4606"/>
      <c r="D500" s="4670"/>
      <c r="E500" s="4683" t="s">
        <v>516</v>
      </c>
      <c r="F500" s="4684">
        <f t="array" ref="F500">IFERROR(VLOOKUP(E484,Dex!$B$3:$N1361,11,FALSE),"")</f>
        <v>91</v>
      </c>
      <c r="G500" s="4685" t="str">
        <f t="array" ref="G500">IFERROR(VLOOKUP(F500,Dex!$P$22:$Q$276,2,FALSE),"")</f>
        <v/>
      </c>
      <c r="H500" s="4686"/>
      <c r="I500" s="4681"/>
      <c r="J500" s="4683" t="s">
        <v>516</v>
      </c>
      <c r="K500" s="4684">
        <f t="array" ref="K500">IFERROR(VLOOKUP(J484,Dex!$B$3:$N1361,11,FALSE),"")</f>
        <v>95</v>
      </c>
      <c r="L500" s="4685" t="str">
        <f t="array" ref="L500">IFERROR(VLOOKUP(K500,Dex!$P$22:$Q$276,2,FALSE),"")</f>
        <v/>
      </c>
      <c r="M500" s="4686"/>
      <c r="N500" s="4670"/>
      <c r="O500" s="4683" t="s">
        <v>516</v>
      </c>
      <c r="P500" s="4684">
        <f t="array" ref="P500">IFERROR(VLOOKUP(O484,Dex!$B$3:$N1361,11,FALSE),"")</f>
        <v>90</v>
      </c>
      <c r="Q500" s="4685" t="str">
        <f t="array" ref="Q500">IFERROR(VLOOKUP(P500,Dex!$P$22:$Q$276,2,FALSE),"")</f>
        <v/>
      </c>
      <c r="R500" s="4686"/>
      <c r="S500" s="4682"/>
      <c r="T500" s="4683" t="s">
        <v>516</v>
      </c>
      <c r="U500" s="4684">
        <f t="array" ref="U500">IFERROR(VLOOKUP(T484,Dex!$B$3:$N1361,11,FALSE),"")</f>
        <v>75</v>
      </c>
      <c r="V500" s="4685" t="str">
        <f t="array" ref="V500">IFERROR(VLOOKUP(U500,Dex!$P$22:$Q$276,2,FALSE),"")</f>
        <v/>
      </c>
      <c r="W500" s="4686"/>
      <c r="X500" s="4682"/>
      <c r="Y500" s="4683" t="s">
        <v>516</v>
      </c>
      <c r="Z500" s="4684">
        <f t="array" ref="Z500">IFERROR(VLOOKUP(Y484,Dex!$B$3:$N1361,11,FALSE),"")</f>
        <v>134</v>
      </c>
      <c r="AA500" s="4685" t="str">
        <f t="array" ref="AA500">IFERROR(VLOOKUP(Z500,Dex!$P$22:$Q$276,2,FALSE),"")</f>
        <v/>
      </c>
      <c r="AB500" s="4686"/>
      <c r="AC500" s="4682"/>
      <c r="AD500" s="4616"/>
      <c r="AE500" s="4617"/>
      <c r="AF500" s="4617"/>
      <c r="AG500" s="4618"/>
      <c r="AH500" s="4676"/>
      <c r="AI500" s="3543"/>
    </row>
    <row r="501" ht="16.5" customHeight="1">
      <c r="A501" s="3535"/>
      <c r="B501" s="4605"/>
      <c r="C501" s="4606"/>
      <c r="D501" s="4670"/>
      <c r="E501" s="4683" t="s">
        <v>517</v>
      </c>
      <c r="F501" s="4684">
        <f t="array" ref="F501">IFERROR(VLOOKUP(E484,Dex!$B$3:$N1361,12,FALSE),"")</f>
        <v>85</v>
      </c>
      <c r="G501" s="4685" t="str">
        <f t="array" ref="G501">IFERROR(VLOOKUP(F501,Dex!$P$22:$Q$276,2,FALSE),"")</f>
        <v/>
      </c>
      <c r="H501" s="4686"/>
      <c r="I501" s="4681"/>
      <c r="J501" s="4683" t="s">
        <v>517</v>
      </c>
      <c r="K501" s="4684">
        <f t="array" ref="K501">IFERROR(VLOOKUP(J484,Dex!$B$3:$N1361,12,FALSE),"")</f>
        <v>75</v>
      </c>
      <c r="L501" s="4685" t="str">
        <f t="array" ref="L501">IFERROR(VLOOKUP(K501,Dex!$P$22:$Q$276,2,FALSE),"")</f>
        <v/>
      </c>
      <c r="M501" s="4686"/>
      <c r="N501" s="4670"/>
      <c r="O501" s="4683" t="s">
        <v>517</v>
      </c>
      <c r="P501" s="4684">
        <f t="array" ref="P501">IFERROR(VLOOKUP(O484,Dex!$B$3:$N1361,12,FALSE),"")</f>
        <v>54</v>
      </c>
      <c r="Q501" s="4685" t="str">
        <f t="array" ref="Q501">IFERROR(VLOOKUP(P501,Dex!$P$22:$Q$276,2,FALSE),"")</f>
        <v/>
      </c>
      <c r="R501" s="4686"/>
      <c r="S501" s="4682"/>
      <c r="T501" s="4683" t="s">
        <v>517</v>
      </c>
      <c r="U501" s="4684">
        <f t="array" ref="U501">IFERROR(VLOOKUP(T484,Dex!$B$3:$N1361,12,FALSE),"")</f>
        <v>130</v>
      </c>
      <c r="V501" s="4685" t="str">
        <f t="array" ref="V501">IFERROR(VLOOKUP(U501,Dex!$P$22:$Q$276,2,FALSE),"")</f>
        <v/>
      </c>
      <c r="W501" s="4686"/>
      <c r="X501" s="4682"/>
      <c r="Y501" s="4683" t="s">
        <v>517</v>
      </c>
      <c r="Z501" s="4684">
        <f t="array" ref="Z501">IFERROR(VLOOKUP(Y484,Dex!$B$3:$N1361,12,FALSE),"")</f>
        <v>114</v>
      </c>
      <c r="AA501" s="4685" t="str">
        <f t="array" ref="AA501">IFERROR(VLOOKUP(Z501,Dex!$P$22:$Q$276,2,FALSE),"")</f>
        <v/>
      </c>
      <c r="AB501" s="4686"/>
      <c r="AC501" s="4682"/>
      <c r="AD501" s="4616"/>
      <c r="AE501" s="4617"/>
      <c r="AF501" s="4617"/>
      <c r="AG501" s="4618"/>
      <c r="AH501" s="4676"/>
      <c r="AI501" s="3543"/>
    </row>
    <row r="502" ht="16.5" customHeight="1">
      <c r="A502" s="3535"/>
      <c r="B502" s="4605"/>
      <c r="C502" s="1426" t="s">
        <v>745</v>
      </c>
      <c r="D502" s="4670"/>
      <c r="E502" s="4687" t="s">
        <v>518</v>
      </c>
      <c r="F502" s="4688">
        <f t="array" ref="F502">IFERROR(VLOOKUP(E484,Dex!$B$3:$N1361,13,FALSE),"")</f>
        <v>15</v>
      </c>
      <c r="G502" s="4685" t="str">
        <f t="array" ref="G502">IFERROR(VLOOKUP(F502,Dex!$P$22:$Q$276,2,FALSE),"")</f>
        <v/>
      </c>
      <c r="H502" s="4686"/>
      <c r="I502" s="4681"/>
      <c r="J502" s="4687" t="s">
        <v>518</v>
      </c>
      <c r="K502" s="4688">
        <f t="array" ref="K502">IFERROR(VLOOKUP(J484,Dex!$B$3:$N1361,13,FALSE),"")</f>
        <v>60</v>
      </c>
      <c r="L502" s="4685" t="str">
        <f t="array" ref="L502">IFERROR(VLOOKUP(K502,Dex!$P$22:$Q$276,2,FALSE),"")</f>
        <v/>
      </c>
      <c r="M502" s="4686"/>
      <c r="N502" s="4670"/>
      <c r="O502" s="4687" t="s">
        <v>518</v>
      </c>
      <c r="P502" s="4688">
        <f t="array" ref="P502">IFERROR(VLOOKUP(O484,Dex!$B$3:$N1361,13,FALSE),"")</f>
        <v>80</v>
      </c>
      <c r="Q502" s="4685" t="str">
        <f t="array" ref="Q502">IFERROR(VLOOKUP(P502,Dex!$P$22:$Q$276,2,FALSE),"")</f>
        <v/>
      </c>
      <c r="R502" s="4686"/>
      <c r="S502" s="4682"/>
      <c r="T502" s="4687" t="s">
        <v>518</v>
      </c>
      <c r="U502" s="4688">
        <f t="array" ref="U502">IFERROR(VLOOKUP(T484,Dex!$B$3:$N1361,13,FALSE),"")</f>
        <v>85</v>
      </c>
      <c r="V502" s="4685" t="str">
        <f t="array" ref="V502">IFERROR(VLOOKUP(U502,Dex!$P$22:$Q$276,2,FALSE),"")</f>
        <v/>
      </c>
      <c r="W502" s="4686"/>
      <c r="X502" s="4682"/>
      <c r="Y502" s="4687" t="s">
        <v>518</v>
      </c>
      <c r="Z502" s="4688">
        <f t="array" ref="Z502">IFERROR(VLOOKUP(Y484,Dex!$B$3:$N1361,13,FALSE),"")</f>
        <v>70</v>
      </c>
      <c r="AA502" s="4685" t="str">
        <f t="array" ref="AA502">IFERROR(VLOOKUP(Z502,Dex!$P$22:$Q$276,2,FALSE),"")</f>
        <v/>
      </c>
      <c r="AB502" s="4686"/>
      <c r="AC502" s="4682"/>
      <c r="AD502" s="4616"/>
      <c r="AE502" s="4617"/>
      <c r="AF502" s="4617"/>
      <c r="AG502" s="4618"/>
      <c r="AH502" s="4676"/>
      <c r="AI502" s="3543"/>
    </row>
    <row r="503" ht="16.5" customHeight="1">
      <c r="A503" s="3535"/>
      <c r="B503" s="4605"/>
      <c r="C503" s="1427" t="s">
        <v>880</v>
      </c>
      <c r="D503" s="4670"/>
      <c r="E503" s="4689" t="s">
        <v>519</v>
      </c>
      <c r="F503" s="630"/>
      <c r="G503" s="631"/>
      <c r="H503" s="632">
        <f>ROUNDDOWN((ROUNDDOWN(((((2*F502+31)*35)/100+5)),0))*1,0)</f>
        <v>26</v>
      </c>
      <c r="I503" s="4672"/>
      <c r="J503" s="4689" t="s">
        <v>519</v>
      </c>
      <c r="K503" s="630"/>
      <c r="L503" s="631"/>
      <c r="M503" s="632">
        <f>ROUNDDOWN((ROUNDDOWN(((((2*K502+31)*36)/100+5)),0))*1,0)</f>
        <v>59</v>
      </c>
      <c r="N503" s="4673"/>
      <c r="O503" s="4690" t="s">
        <v>519</v>
      </c>
      <c r="P503" s="635"/>
      <c r="Q503" s="636"/>
      <c r="R503" s="632">
        <f>ROUNDDOWN((ROUNDDOWN(((((2*P502+31)*36)/100+5)),0))*1,0)</f>
        <v>73</v>
      </c>
      <c r="S503" s="4675"/>
      <c r="T503" s="4689" t="s">
        <v>519</v>
      </c>
      <c r="U503" s="630"/>
      <c r="V503" s="631"/>
      <c r="W503" s="632">
        <f>ROUNDDOWN((ROUNDDOWN(((((2*U502+31)*36)/100+5)),0))*1.1,0)</f>
        <v>84</v>
      </c>
      <c r="X503" s="4675"/>
      <c r="Y503" s="4689" t="s">
        <v>519</v>
      </c>
      <c r="Z503" s="630"/>
      <c r="AA503" s="631"/>
      <c r="AB503" s="632">
        <f>ROUNDDOWN((ROUNDDOWN(((((2*Z502+30)*36)/100+5)),0))*1.1,0)</f>
        <v>72</v>
      </c>
      <c r="AC503" s="4675"/>
      <c r="AD503" s="4616"/>
      <c r="AE503" s="4617"/>
      <c r="AF503" s="4617"/>
      <c r="AG503" s="4618"/>
      <c r="AH503" s="4676"/>
      <c r="AI503" s="3543"/>
    </row>
    <row r="504" ht="16.5" customHeight="1">
      <c r="A504" s="3535"/>
      <c r="B504" s="4605"/>
      <c r="C504" s="4606"/>
      <c r="D504" s="4670"/>
      <c r="E504" s="4606"/>
      <c r="F504" s="4606"/>
      <c r="G504" s="4606"/>
      <c r="H504" s="4606"/>
      <c r="I504" s="4681"/>
      <c r="J504" s="4691"/>
      <c r="K504" s="4691"/>
      <c r="L504" s="4691"/>
      <c r="M504" s="4606"/>
      <c r="N504" s="4673"/>
      <c r="O504" s="4692" t="s">
        <v>594</v>
      </c>
      <c r="P504" s="643"/>
      <c r="Q504" s="644"/>
      <c r="R504" s="3064">
        <f>R503*2</f>
        <v>146</v>
      </c>
      <c r="S504" s="4682"/>
      <c r="T504" s="4691"/>
      <c r="U504" s="4691"/>
      <c r="V504" s="4691"/>
      <c r="W504" s="4606"/>
      <c r="X504" s="4682"/>
      <c r="Y504" s="4691"/>
      <c r="Z504" s="4691"/>
      <c r="AA504" s="4691"/>
      <c r="AB504" s="4606"/>
      <c r="AC504" s="4682"/>
      <c r="AD504" s="4691"/>
      <c r="AE504" s="4691"/>
      <c r="AF504" s="4691"/>
      <c r="AG504" s="4606"/>
      <c r="AH504" s="4676"/>
      <c r="AI504" s="3543"/>
    </row>
    <row r="505" ht="15.0" customHeight="1">
      <c r="A505" s="3535"/>
      <c r="B505" s="4693"/>
      <c r="C505" s="4694"/>
      <c r="D505" s="4695"/>
      <c r="E505" s="4696"/>
      <c r="F505" s="4696"/>
      <c r="G505" s="4696"/>
      <c r="H505" s="4696"/>
      <c r="I505" s="4695"/>
      <c r="J505" s="4696"/>
      <c r="K505" s="4696"/>
      <c r="L505" s="4696"/>
      <c r="M505" s="4696"/>
      <c r="N505" s="4695"/>
      <c r="O505" s="4696"/>
      <c r="P505" s="4696"/>
      <c r="Q505" s="4696"/>
      <c r="R505" s="4696"/>
      <c r="S505" s="4695"/>
      <c r="T505" s="4696"/>
      <c r="U505" s="4696"/>
      <c r="V505" s="4696"/>
      <c r="W505" s="4696"/>
      <c r="X505" s="4695"/>
      <c r="Y505" s="4696"/>
      <c r="Z505" s="4696"/>
      <c r="AA505" s="4696"/>
      <c r="AB505" s="4696"/>
      <c r="AC505" s="4695"/>
      <c r="AD505" s="4696"/>
      <c r="AE505" s="4696"/>
      <c r="AF505" s="4696"/>
      <c r="AG505" s="4696"/>
      <c r="AH505" s="4697"/>
      <c r="AI505" s="3543"/>
    </row>
    <row r="506" ht="15.0" customHeight="1">
      <c r="A506" s="3535"/>
      <c r="B506" s="4698"/>
      <c r="C506" s="4699"/>
      <c r="D506" s="4699"/>
      <c r="E506" s="4699"/>
      <c r="F506" s="4699"/>
      <c r="G506" s="4699"/>
      <c r="H506" s="4699"/>
      <c r="I506" s="4699"/>
      <c r="J506" s="4699"/>
      <c r="K506" s="4699"/>
      <c r="L506" s="4699"/>
      <c r="M506" s="4699"/>
      <c r="N506" s="4699"/>
      <c r="O506" s="4699"/>
      <c r="P506" s="4699"/>
      <c r="Q506" s="4699"/>
      <c r="R506" s="4699"/>
      <c r="S506" s="4699"/>
      <c r="T506" s="4699"/>
      <c r="U506" s="4699"/>
      <c r="V506" s="4699"/>
      <c r="W506" s="4699"/>
      <c r="X506" s="4699"/>
      <c r="Y506" s="4699"/>
      <c r="Z506" s="4699"/>
      <c r="AA506" s="4699"/>
      <c r="AB506" s="4699"/>
      <c r="AC506" s="4699"/>
      <c r="AD506" s="4699"/>
      <c r="AE506" s="4699"/>
      <c r="AF506" s="4699"/>
      <c r="AG506" s="4699"/>
      <c r="AH506" s="4700"/>
      <c r="AI506" s="3543"/>
    </row>
    <row r="507">
      <c r="A507" s="3535"/>
      <c r="B507" s="4701"/>
      <c r="C507" s="4702"/>
      <c r="D507" s="4703"/>
      <c r="E507" s="4704" t="s">
        <v>1523</v>
      </c>
      <c r="F507" s="4705"/>
      <c r="G507" s="4705"/>
      <c r="H507" s="4705"/>
      <c r="I507" s="4705"/>
      <c r="J507" s="4705"/>
      <c r="K507" s="4705"/>
      <c r="L507" s="4705"/>
      <c r="M507" s="4705"/>
      <c r="N507" s="4705"/>
      <c r="O507" s="4705"/>
      <c r="P507" s="4705"/>
      <c r="Q507" s="4705"/>
      <c r="R507" s="4705"/>
      <c r="S507" s="4705"/>
      <c r="T507" s="4705"/>
      <c r="U507" s="4705"/>
      <c r="V507" s="4705"/>
      <c r="W507" s="4705"/>
      <c r="X507" s="4705"/>
      <c r="Y507" s="4705"/>
      <c r="Z507" s="4705"/>
      <c r="AA507" s="4705"/>
      <c r="AB507" s="4705"/>
      <c r="AC507" s="4705"/>
      <c r="AD507" s="4705"/>
      <c r="AE507" s="4705"/>
      <c r="AF507" s="4705"/>
      <c r="AG507" s="4706"/>
      <c r="AH507" s="4707"/>
      <c r="AI507" s="3543"/>
    </row>
    <row r="508" ht="96.75" customHeight="1">
      <c r="A508" s="3535"/>
      <c r="B508" s="4701"/>
      <c r="C508" s="4708" t="str">
        <f>IMAGE("https://i.ibb.co/26DXmkJ/Ghost.png")</f>
        <v/>
      </c>
      <c r="D508" s="4709"/>
      <c r="E508" s="4710" t="str">
        <f t="array" ref="E508">IFERROR(VLOOKUP(E509,Dex!$B$3:$G1361,3,FALSE),"")</f>
        <v/>
      </c>
      <c r="F508" s="606"/>
      <c r="G508" s="606"/>
      <c r="H508" s="4452"/>
      <c r="I508" s="4711"/>
      <c r="J508" s="4712"/>
      <c r="K508" s="4705"/>
      <c r="L508" s="4705"/>
      <c r="M508" s="4706"/>
      <c r="N508" s="4711"/>
      <c r="O508" s="4712"/>
      <c r="P508" s="4705"/>
      <c r="Q508" s="4705"/>
      <c r="R508" s="4706"/>
      <c r="S508" s="4711"/>
      <c r="T508" s="4712"/>
      <c r="U508" s="4705"/>
      <c r="V508" s="4705"/>
      <c r="W508" s="4706"/>
      <c r="X508" s="4711"/>
      <c r="Y508" s="4712"/>
      <c r="Z508" s="4705"/>
      <c r="AA508" s="4705"/>
      <c r="AB508" s="4706"/>
      <c r="AC508" s="4711"/>
      <c r="AD508" s="4712"/>
      <c r="AE508" s="4705"/>
      <c r="AF508" s="4705"/>
      <c r="AG508" s="4706"/>
      <c r="AH508" s="4707"/>
      <c r="AI508" s="3543"/>
    </row>
    <row r="509" ht="18.75" customHeight="1">
      <c r="A509" s="3689"/>
      <c r="B509" s="4713"/>
      <c r="C509" s="4714" t="s">
        <v>1524</v>
      </c>
      <c r="D509" s="4715"/>
      <c r="E509" s="4716" t="s">
        <v>1130</v>
      </c>
      <c r="F509" s="4717"/>
      <c r="G509" s="4717"/>
      <c r="H509" s="4718"/>
      <c r="I509" s="4719"/>
      <c r="J509" s="4720"/>
      <c r="K509" s="4705"/>
      <c r="L509" s="4705"/>
      <c r="M509" s="4706"/>
      <c r="N509" s="4719"/>
      <c r="O509" s="4720"/>
      <c r="P509" s="4705"/>
      <c r="Q509" s="4705"/>
      <c r="R509" s="4706"/>
      <c r="S509" s="4719"/>
      <c r="T509" s="4720"/>
      <c r="U509" s="4705"/>
      <c r="V509" s="4705"/>
      <c r="W509" s="4706"/>
      <c r="X509" s="4719"/>
      <c r="Y509" s="4720"/>
      <c r="Z509" s="4705"/>
      <c r="AA509" s="4705"/>
      <c r="AB509" s="4706"/>
      <c r="AC509" s="4719"/>
      <c r="AD509" s="4720"/>
      <c r="AE509" s="4705"/>
      <c r="AF509" s="4705"/>
      <c r="AG509" s="4706"/>
      <c r="AH509" s="4721"/>
      <c r="AI509" s="3700"/>
    </row>
    <row r="510">
      <c r="A510" s="3701"/>
      <c r="B510" s="4722"/>
      <c r="C510" s="556"/>
      <c r="D510" s="4723"/>
      <c r="E510" s="4724">
        <v>58.0</v>
      </c>
      <c r="F510" s="4705"/>
      <c r="G510" s="4705"/>
      <c r="H510" s="4725"/>
      <c r="I510" s="4719"/>
      <c r="J510" s="4726"/>
      <c r="K510" s="4705"/>
      <c r="L510" s="4705"/>
      <c r="M510" s="4706"/>
      <c r="N510" s="4719"/>
      <c r="O510" s="4726"/>
      <c r="P510" s="4705"/>
      <c r="Q510" s="4705"/>
      <c r="R510" s="4706"/>
      <c r="S510" s="4719"/>
      <c r="T510" s="4726"/>
      <c r="U510" s="4705"/>
      <c r="V510" s="4705"/>
      <c r="W510" s="4706"/>
      <c r="X510" s="4719"/>
      <c r="Y510" s="4726"/>
      <c r="Z510" s="4705"/>
      <c r="AA510" s="4705"/>
      <c r="AB510" s="4706"/>
      <c r="AC510" s="4719"/>
      <c r="AD510" s="4726"/>
      <c r="AE510" s="4705"/>
      <c r="AF510" s="4705"/>
      <c r="AG510" s="4706"/>
      <c r="AH510" s="4727"/>
      <c r="AI510" s="3709"/>
    </row>
    <row r="511" ht="25.5" customHeight="1">
      <c r="A511" s="3446"/>
      <c r="B511" s="4701"/>
      <c r="C511" s="4728"/>
      <c r="D511" s="4703"/>
      <c r="E511" s="4729"/>
      <c r="F511" s="4730" t="str">
        <f t="array" ref="F511">IFERROR(VLOOKUP(E509,Dex!$B$3:$H1361,5,FALSE),"")</f>
        <v/>
      </c>
      <c r="G511" s="4731" t="str">
        <f t="array" ref="G511">IFERROR(VLOOKUP(E509,Dex!$B$3:$H1361,7,FALSE),"")</f>
        <v/>
      </c>
      <c r="H511" s="4732"/>
      <c r="I511" s="4719"/>
      <c r="J511" s="4712"/>
      <c r="K511" s="4705"/>
      <c r="L511" s="4705"/>
      <c r="M511" s="4706"/>
      <c r="N511" s="4719"/>
      <c r="O511" s="4712"/>
      <c r="P511" s="4705"/>
      <c r="Q511" s="4705"/>
      <c r="R511" s="4706"/>
      <c r="S511" s="4719"/>
      <c r="T511" s="4712"/>
      <c r="U511" s="4705"/>
      <c r="V511" s="4705"/>
      <c r="W511" s="4706"/>
      <c r="X511" s="4719"/>
      <c r="Y511" s="4712"/>
      <c r="Z511" s="4705"/>
      <c r="AA511" s="4705"/>
      <c r="AB511" s="4706"/>
      <c r="AC511" s="4719"/>
      <c r="AD511" s="4712"/>
      <c r="AE511" s="4705"/>
      <c r="AF511" s="4705"/>
      <c r="AG511" s="4706"/>
      <c r="AH511" s="4707"/>
      <c r="AI511" s="3452"/>
    </row>
    <row r="512" ht="2.25" customHeight="1">
      <c r="A512" s="3446"/>
      <c r="B512" s="4701"/>
      <c r="C512" s="4719"/>
      <c r="D512" s="4703"/>
      <c r="E512" s="4733"/>
      <c r="F512" s="4734"/>
      <c r="G512" s="4734"/>
      <c r="H512" s="4735"/>
      <c r="I512" s="4719"/>
      <c r="J512" s="4703"/>
      <c r="K512" s="4703"/>
      <c r="L512" s="4703"/>
      <c r="M512" s="4703"/>
      <c r="N512" s="4719"/>
      <c r="O512" s="4703"/>
      <c r="P512" s="4703"/>
      <c r="Q512" s="4703"/>
      <c r="R512" s="4703"/>
      <c r="S512" s="4719"/>
      <c r="T512" s="4703"/>
      <c r="U512" s="4703"/>
      <c r="V512" s="4703"/>
      <c r="W512" s="4703"/>
      <c r="X512" s="4719"/>
      <c r="Y512" s="4703"/>
      <c r="Z512" s="4703"/>
      <c r="AA512" s="4703"/>
      <c r="AB512" s="4703"/>
      <c r="AC512" s="4719"/>
      <c r="AD512" s="4703"/>
      <c r="AE512" s="4703"/>
      <c r="AF512" s="4703"/>
      <c r="AG512" s="4703"/>
      <c r="AH512" s="4707"/>
      <c r="AI512" s="3452"/>
    </row>
    <row r="513" ht="20.25" customHeight="1">
      <c r="A513" s="3446"/>
      <c r="B513" s="4701"/>
      <c r="C513" s="4736"/>
      <c r="D513" s="4703"/>
      <c r="E513" s="4737" t="s">
        <v>532</v>
      </c>
      <c r="F513" s="4738"/>
      <c r="G513" s="4738"/>
      <c r="H513" s="4739"/>
      <c r="I513" s="4719"/>
      <c r="J513" s="4712"/>
      <c r="K513" s="4705"/>
      <c r="L513" s="4705"/>
      <c r="M513" s="4706"/>
      <c r="N513" s="4719"/>
      <c r="O513" s="4712"/>
      <c r="P513" s="4705"/>
      <c r="Q513" s="4705"/>
      <c r="R513" s="4706"/>
      <c r="S513" s="4719"/>
      <c r="T513" s="4712"/>
      <c r="U513" s="4705"/>
      <c r="V513" s="4705"/>
      <c r="W513" s="4706"/>
      <c r="X513" s="4719"/>
      <c r="Y513" s="4712"/>
      <c r="Z513" s="4705"/>
      <c r="AA513" s="4705"/>
      <c r="AB513" s="4706"/>
      <c r="AC513" s="4719"/>
      <c r="AD513" s="4712"/>
      <c r="AE513" s="4705"/>
      <c r="AF513" s="4705"/>
      <c r="AG513" s="4706"/>
      <c r="AH513" s="4707"/>
      <c r="AI513" s="3452"/>
    </row>
    <row r="514" ht="20.25" customHeight="1">
      <c r="A514" s="3446"/>
      <c r="B514" s="4701"/>
      <c r="C514" s="4728"/>
      <c r="D514" s="4703"/>
      <c r="E514" s="4740" t="s">
        <v>1133</v>
      </c>
      <c r="F514" s="4705"/>
      <c r="G514" s="4705"/>
      <c r="H514" s="4725"/>
      <c r="I514" s="4719"/>
      <c r="J514" s="4712"/>
      <c r="K514" s="4705"/>
      <c r="L514" s="4705"/>
      <c r="M514" s="4706"/>
      <c r="N514" s="4719"/>
      <c r="O514" s="4712"/>
      <c r="P514" s="4705"/>
      <c r="Q514" s="4705"/>
      <c r="R514" s="4706"/>
      <c r="S514" s="4719"/>
      <c r="T514" s="4712"/>
      <c r="U514" s="4705"/>
      <c r="V514" s="4705"/>
      <c r="W514" s="4706"/>
      <c r="X514" s="4719"/>
      <c r="Y514" s="4712"/>
      <c r="Z514" s="4705"/>
      <c r="AA514" s="4705"/>
      <c r="AB514" s="4706"/>
      <c r="AC514" s="4719"/>
      <c r="AD514" s="4712"/>
      <c r="AE514" s="4705"/>
      <c r="AF514" s="4705"/>
      <c r="AG514" s="4706"/>
      <c r="AH514" s="4707"/>
      <c r="AI514" s="3452"/>
    </row>
    <row r="515" ht="20.25" customHeight="1">
      <c r="A515" s="3446"/>
      <c r="B515" s="4701"/>
      <c r="C515" s="4719"/>
      <c r="D515" s="4703"/>
      <c r="E515" s="4741" t="s">
        <v>1135</v>
      </c>
      <c r="F515" s="4742"/>
      <c r="G515" s="4743"/>
      <c r="H515" s="4744" t="str">
        <f>IMAGE("https://raw.githubusercontent.com/msikma/pokesprite/master/items/hold-item/thick-club.png",3)</f>
        <v/>
      </c>
      <c r="I515" s="4719"/>
      <c r="J515" s="4712"/>
      <c r="K515" s="4705"/>
      <c r="L515" s="4705"/>
      <c r="M515" s="4706"/>
      <c r="N515" s="4719"/>
      <c r="O515" s="4712"/>
      <c r="P515" s="4705"/>
      <c r="Q515" s="4705"/>
      <c r="R515" s="4706"/>
      <c r="S515" s="4719"/>
      <c r="T515" s="4712"/>
      <c r="U515" s="4705"/>
      <c r="V515" s="4705"/>
      <c r="W515" s="4706"/>
      <c r="X515" s="4719"/>
      <c r="Y515" s="4712"/>
      <c r="Z515" s="4705"/>
      <c r="AA515" s="4705"/>
      <c r="AB515" s="4706"/>
      <c r="AC515" s="4719"/>
      <c r="AD515" s="4712"/>
      <c r="AE515" s="4705"/>
      <c r="AF515" s="4705"/>
      <c r="AG515" s="4706"/>
      <c r="AH515" s="4707"/>
      <c r="AI515" s="3452"/>
    </row>
    <row r="516" ht="20.25" customHeight="1">
      <c r="A516" s="3446"/>
      <c r="B516" s="4701"/>
      <c r="C516" s="4736"/>
      <c r="D516" s="4703"/>
      <c r="E516" s="4745" t="s">
        <v>1138</v>
      </c>
      <c r="F516" s="4738"/>
      <c r="G516" s="4746"/>
      <c r="H516" s="4747" t="str">
        <f>IMAGE("https://raw.githubusercontent.com/msikma/pokesprite/master/misc/types/gen8/ground.png",4,20,20)</f>
        <v/>
      </c>
      <c r="I516" s="4719"/>
      <c r="J516" s="4712"/>
      <c r="K516" s="4705"/>
      <c r="L516" s="4705"/>
      <c r="M516" s="4706"/>
      <c r="N516" s="4719"/>
      <c r="O516" s="4712"/>
      <c r="P516" s="4705"/>
      <c r="Q516" s="4705"/>
      <c r="R516" s="4706"/>
      <c r="S516" s="4719"/>
      <c r="T516" s="4712"/>
      <c r="U516" s="4705"/>
      <c r="V516" s="4705"/>
      <c r="W516" s="4706"/>
      <c r="X516" s="4719"/>
      <c r="Y516" s="4712"/>
      <c r="Z516" s="4705"/>
      <c r="AA516" s="4705"/>
      <c r="AB516" s="4706"/>
      <c r="AC516" s="4719"/>
      <c r="AD516" s="4712"/>
      <c r="AE516" s="4705"/>
      <c r="AF516" s="4705"/>
      <c r="AG516" s="4706"/>
      <c r="AH516" s="4707"/>
      <c r="AI516" s="3452"/>
    </row>
    <row r="517" ht="20.25" customHeight="1">
      <c r="A517" s="3446"/>
      <c r="B517" s="4701"/>
      <c r="C517" s="4702"/>
      <c r="D517" s="4703"/>
      <c r="E517" s="4748" t="s">
        <v>1136</v>
      </c>
      <c r="F517" s="4705"/>
      <c r="G517" s="4706"/>
      <c r="H517" s="4749" t="str">
        <f>IMAGE("https://raw.githubusercontent.com/msikma/pokesprite/master/misc/types/gen8/ghost.png",4,20,20)</f>
        <v/>
      </c>
      <c r="I517" s="4719"/>
      <c r="J517" s="4712"/>
      <c r="K517" s="4705"/>
      <c r="L517" s="4705"/>
      <c r="M517" s="4706"/>
      <c r="N517" s="4719"/>
      <c r="O517" s="4712"/>
      <c r="P517" s="4705"/>
      <c r="Q517" s="4705"/>
      <c r="R517" s="4706"/>
      <c r="S517" s="4719"/>
      <c r="T517" s="4712"/>
      <c r="U517" s="4705"/>
      <c r="V517" s="4705"/>
      <c r="W517" s="4706"/>
      <c r="X517" s="4719"/>
      <c r="Y517" s="4712"/>
      <c r="Z517" s="4705"/>
      <c r="AA517" s="4705"/>
      <c r="AB517" s="4706"/>
      <c r="AC517" s="4719"/>
      <c r="AD517" s="4712"/>
      <c r="AE517" s="4705"/>
      <c r="AF517" s="4705"/>
      <c r="AG517" s="4706"/>
      <c r="AH517" s="4707"/>
      <c r="AI517" s="3452"/>
    </row>
    <row r="518" ht="20.25" customHeight="1">
      <c r="A518" s="3446"/>
      <c r="B518" s="4701"/>
      <c r="C518" s="4702"/>
      <c r="D518" s="4703"/>
      <c r="E518" s="4748" t="s">
        <v>1020</v>
      </c>
      <c r="F518" s="4705"/>
      <c r="G518" s="4706"/>
      <c r="H518" s="4749" t="str">
        <f>IMAGE("https://raw.githubusercontent.com/msikma/pokesprite/master/misc/types/gen8/fire.png",4,20,20)</f>
        <v/>
      </c>
      <c r="I518" s="4719"/>
      <c r="J518" s="4712"/>
      <c r="K518" s="4705"/>
      <c r="L518" s="4705"/>
      <c r="M518" s="4706"/>
      <c r="N518" s="4719"/>
      <c r="O518" s="4712"/>
      <c r="P518" s="4705"/>
      <c r="Q518" s="4705"/>
      <c r="R518" s="4706"/>
      <c r="S518" s="4719"/>
      <c r="T518" s="4712"/>
      <c r="U518" s="4705"/>
      <c r="V518" s="4705"/>
      <c r="W518" s="4706"/>
      <c r="X518" s="4719"/>
      <c r="Y518" s="4712"/>
      <c r="Z518" s="4705"/>
      <c r="AA518" s="4705"/>
      <c r="AB518" s="4706"/>
      <c r="AC518" s="4719"/>
      <c r="AD518" s="4712"/>
      <c r="AE518" s="4705"/>
      <c r="AF518" s="4705"/>
      <c r="AG518" s="4706"/>
      <c r="AH518" s="4707"/>
      <c r="AI518" s="3452"/>
    </row>
    <row r="519" ht="21.0" customHeight="1">
      <c r="A519" s="3446"/>
      <c r="B519" s="4701"/>
      <c r="C519" s="4702"/>
      <c r="D519" s="4703"/>
      <c r="E519" s="4750" t="s">
        <v>504</v>
      </c>
      <c r="F519" s="4751"/>
      <c r="G519" s="4752"/>
      <c r="H519" s="4753" t="str">
        <f>IMAGE("https://raw.githubusercontent.com/msikma/pokesprite/master/misc/types/gen8/electric.png",4,20,20)</f>
        <v/>
      </c>
      <c r="I519" s="4736"/>
      <c r="J519" s="4712"/>
      <c r="K519" s="4705"/>
      <c r="L519" s="4705"/>
      <c r="M519" s="4706"/>
      <c r="N519" s="4736"/>
      <c r="O519" s="4712"/>
      <c r="P519" s="4705"/>
      <c r="Q519" s="4705"/>
      <c r="R519" s="4706"/>
      <c r="S519" s="4736"/>
      <c r="T519" s="4712"/>
      <c r="U519" s="4705"/>
      <c r="V519" s="4705"/>
      <c r="W519" s="4706"/>
      <c r="X519" s="4736"/>
      <c r="Y519" s="4712"/>
      <c r="Z519" s="4705"/>
      <c r="AA519" s="4705"/>
      <c r="AB519" s="4706"/>
      <c r="AC519" s="4736"/>
      <c r="AD519" s="4712"/>
      <c r="AE519" s="4705"/>
      <c r="AF519" s="4705"/>
      <c r="AG519" s="4706"/>
      <c r="AH519" s="4707"/>
      <c r="AI519" s="3452"/>
    </row>
    <row r="520" ht="3.0" customHeight="1">
      <c r="A520" s="3524"/>
      <c r="B520" s="4754"/>
      <c r="C520" s="4755"/>
      <c r="D520" s="4756"/>
      <c r="E520" s="4757"/>
      <c r="F520" s="4757"/>
      <c r="G520" s="4757"/>
      <c r="H520" s="4757"/>
      <c r="I520" s="4756"/>
      <c r="J520" s="4757"/>
      <c r="K520" s="4757"/>
      <c r="L520" s="4757"/>
      <c r="M520" s="4757"/>
      <c r="N520" s="4756"/>
      <c r="O520" s="4757"/>
      <c r="P520" s="4757"/>
      <c r="Q520" s="4757"/>
      <c r="R520" s="4757"/>
      <c r="S520" s="4757"/>
      <c r="T520" s="4757"/>
      <c r="U520" s="4757"/>
      <c r="V520" s="4757"/>
      <c r="W520" s="4757"/>
      <c r="X520" s="4756"/>
      <c r="Y520" s="4756"/>
      <c r="Z520" s="4758"/>
      <c r="AA520" s="4758"/>
      <c r="AB520" s="4759"/>
      <c r="AC520" s="4759"/>
      <c r="AD520" s="4759"/>
      <c r="AE520" s="4759"/>
      <c r="AF520" s="4759"/>
      <c r="AG520" s="4759"/>
      <c r="AH520" s="4760"/>
      <c r="AI520" s="3534"/>
    </row>
    <row r="521" ht="16.5" customHeight="1">
      <c r="A521" s="3535"/>
      <c r="B521" s="4761"/>
      <c r="C521" s="4755"/>
      <c r="D521" s="4762"/>
      <c r="E521" s="4763" t="s">
        <v>512</v>
      </c>
      <c r="F521" s="606"/>
      <c r="G521" s="606"/>
      <c r="H521" s="607"/>
      <c r="I521" s="4762"/>
      <c r="J521" s="4764"/>
      <c r="K521" s="4762"/>
      <c r="L521" s="4762"/>
      <c r="M521" s="4764"/>
      <c r="N521" s="4764"/>
      <c r="O521" s="4764"/>
      <c r="P521" s="4764"/>
      <c r="Q521" s="4762"/>
      <c r="R521" s="4762"/>
      <c r="S521" s="4764"/>
      <c r="T521" s="4764"/>
      <c r="U521" s="4764"/>
      <c r="V521" s="4762"/>
      <c r="W521" s="4762"/>
      <c r="X521" s="4764"/>
      <c r="Y521" s="4764"/>
      <c r="Z521" s="4764"/>
      <c r="AA521" s="4762"/>
      <c r="AB521" s="4764"/>
      <c r="AC521" s="4764"/>
      <c r="AD521" s="4764"/>
      <c r="AE521" s="4764"/>
      <c r="AF521" s="4764"/>
      <c r="AG521" s="4764"/>
      <c r="AH521" s="4765"/>
      <c r="AI521" s="3543"/>
    </row>
    <row r="522" ht="16.5" customHeight="1">
      <c r="A522" s="3535"/>
      <c r="B522" s="4761"/>
      <c r="C522" s="4755"/>
      <c r="D522" s="4762"/>
      <c r="E522" s="4766" t="s">
        <v>513</v>
      </c>
      <c r="F522" s="4767">
        <f t="array" ref="F522">IFERROR(VLOOKUP(E509,Dex!$B$3:$N1361,8,FALSE),"")</f>
        <v>60</v>
      </c>
      <c r="G522" s="4768" t="str">
        <f t="array" ref="G522">IFERROR(VLOOKUP(F522,Dex!$P$22:$Q$276,2,FALSE),"")</f>
        <v/>
      </c>
      <c r="H522" s="4769"/>
      <c r="I522" s="4762"/>
      <c r="J522" s="4764"/>
      <c r="K522" s="4762"/>
      <c r="L522" s="4762"/>
      <c r="M522" s="4764"/>
      <c r="N522" s="4764"/>
      <c r="O522" s="4764"/>
      <c r="P522" s="4764"/>
      <c r="Q522" s="4762"/>
      <c r="R522" s="4762"/>
      <c r="S522" s="4764"/>
      <c r="T522" s="4764"/>
      <c r="U522" s="4764"/>
      <c r="V522" s="4762"/>
      <c r="W522" s="4762"/>
      <c r="X522" s="4764"/>
      <c r="Y522" s="4764"/>
      <c r="Z522" s="4764"/>
      <c r="AA522" s="4762"/>
      <c r="AB522" s="4764"/>
      <c r="AC522" s="4764"/>
      <c r="AD522" s="4764"/>
      <c r="AE522" s="4764"/>
      <c r="AF522" s="4764"/>
      <c r="AG522" s="4764"/>
      <c r="AH522" s="4765"/>
      <c r="AI522" s="3543"/>
    </row>
    <row r="523" ht="16.5" customHeight="1">
      <c r="A523" s="3535"/>
      <c r="B523" s="4761"/>
      <c r="C523" s="4755"/>
      <c r="D523" s="4762"/>
      <c r="E523" s="4770" t="s">
        <v>514</v>
      </c>
      <c r="F523" s="4771">
        <f t="array" ref="F523">IFERROR(VLOOKUP(E509,Dex!$B$3:$N1361,9,FALSE),"")</f>
        <v>80</v>
      </c>
      <c r="G523" s="4772" t="str">
        <f t="array" ref="G523">IFERROR(VLOOKUP(F523,Dex!$P$22:$Q$276,2,FALSE),"")</f>
        <v/>
      </c>
      <c r="H523" s="4773"/>
      <c r="I523" s="4762"/>
      <c r="J523" s="4764"/>
      <c r="K523" s="4762"/>
      <c r="L523" s="4762"/>
      <c r="M523" s="4764"/>
      <c r="N523" s="4764"/>
      <c r="O523" s="4764"/>
      <c r="P523" s="4764"/>
      <c r="Q523" s="4762"/>
      <c r="R523" s="4762"/>
      <c r="S523" s="4764"/>
      <c r="T523" s="4764"/>
      <c r="U523" s="4764"/>
      <c r="V523" s="4762"/>
      <c r="W523" s="4762"/>
      <c r="X523" s="4764"/>
      <c r="Y523" s="4764"/>
      <c r="Z523" s="4764"/>
      <c r="AA523" s="4762"/>
      <c r="AB523" s="4764"/>
      <c r="AC523" s="4764"/>
      <c r="AD523" s="4764"/>
      <c r="AE523" s="4764"/>
      <c r="AF523" s="4764"/>
      <c r="AG523" s="4764"/>
      <c r="AH523" s="4765"/>
      <c r="AI523" s="3543"/>
    </row>
    <row r="524" ht="16.5" customHeight="1">
      <c r="A524" s="3535"/>
      <c r="B524" s="4761"/>
      <c r="C524" s="4755"/>
      <c r="D524" s="4762"/>
      <c r="E524" s="4770" t="s">
        <v>515</v>
      </c>
      <c r="F524" s="4771">
        <f t="array" ref="F524">IFERROR(VLOOKUP(E509,Dex!$B$3:$N1361,10,FALSE),"")</f>
        <v>110</v>
      </c>
      <c r="G524" s="4772" t="str">
        <f t="array" ref="G524">IFERROR(VLOOKUP(F524,Dex!$P$22:$Q$276,2,FALSE),"")</f>
        <v/>
      </c>
      <c r="H524" s="4773"/>
      <c r="I524" s="4762"/>
      <c r="J524" s="4764"/>
      <c r="K524" s="4762"/>
      <c r="L524" s="4762"/>
      <c r="M524" s="4764"/>
      <c r="N524" s="4764"/>
      <c r="O524" s="4764"/>
      <c r="P524" s="4764"/>
      <c r="Q524" s="4762"/>
      <c r="R524" s="4762"/>
      <c r="S524" s="4764"/>
      <c r="T524" s="4764"/>
      <c r="U524" s="4764"/>
      <c r="V524" s="4762"/>
      <c r="W524" s="4762"/>
      <c r="X524" s="4764"/>
      <c r="Y524" s="4764"/>
      <c r="Z524" s="4764"/>
      <c r="AA524" s="4762"/>
      <c r="AB524" s="4764"/>
      <c r="AC524" s="4764"/>
      <c r="AD524" s="4764"/>
      <c r="AE524" s="4764"/>
      <c r="AF524" s="4764"/>
      <c r="AG524" s="4764"/>
      <c r="AH524" s="4765"/>
      <c r="AI524" s="3543"/>
    </row>
    <row r="525" ht="16.5" customHeight="1">
      <c r="A525" s="3535"/>
      <c r="B525" s="4761"/>
      <c r="C525" s="4755"/>
      <c r="D525" s="4762"/>
      <c r="E525" s="4770" t="s">
        <v>516</v>
      </c>
      <c r="F525" s="4771">
        <f t="array" ref="F525">IFERROR(VLOOKUP(E509,Dex!$B$3:$N1361,11,FALSE),"")</f>
        <v>50</v>
      </c>
      <c r="G525" s="4772" t="str">
        <f t="array" ref="G525">IFERROR(VLOOKUP(F525,Dex!$P$22:$Q$276,2,FALSE),"")</f>
        <v/>
      </c>
      <c r="H525" s="4773"/>
      <c r="I525" s="4762"/>
      <c r="J525" s="4764"/>
      <c r="K525" s="4762"/>
      <c r="L525" s="4762"/>
      <c r="M525" s="4764"/>
      <c r="N525" s="4764"/>
      <c r="O525" s="4764"/>
      <c r="P525" s="4764"/>
      <c r="Q525" s="4762"/>
      <c r="R525" s="4762"/>
      <c r="S525" s="4764"/>
      <c r="T525" s="4764"/>
      <c r="U525" s="4764"/>
      <c r="V525" s="4762"/>
      <c r="W525" s="4762"/>
      <c r="X525" s="4764"/>
      <c r="Y525" s="4764"/>
      <c r="Z525" s="4764"/>
      <c r="AA525" s="4762"/>
      <c r="AB525" s="4764"/>
      <c r="AC525" s="4764"/>
      <c r="AD525" s="4764"/>
      <c r="AE525" s="4764"/>
      <c r="AF525" s="4764"/>
      <c r="AG525" s="4764"/>
      <c r="AH525" s="4765"/>
      <c r="AI525" s="3543"/>
    </row>
    <row r="526" ht="16.5" customHeight="1">
      <c r="A526" s="3535"/>
      <c r="B526" s="4761"/>
      <c r="C526" s="4755"/>
      <c r="D526" s="4762"/>
      <c r="E526" s="4770" t="s">
        <v>517</v>
      </c>
      <c r="F526" s="4771">
        <f t="array" ref="F526">IFERROR(VLOOKUP(E509,Dex!$B$3:$N1361,12,FALSE),"")</f>
        <v>80</v>
      </c>
      <c r="G526" s="4772" t="str">
        <f t="array" ref="G526">IFERROR(VLOOKUP(F526,Dex!$P$22:$Q$276,2,FALSE),"")</f>
        <v/>
      </c>
      <c r="H526" s="4773"/>
      <c r="I526" s="4762"/>
      <c r="J526" s="4764"/>
      <c r="K526" s="4762"/>
      <c r="L526" s="4762"/>
      <c r="M526" s="4764"/>
      <c r="N526" s="4764"/>
      <c r="O526" s="4764"/>
      <c r="P526" s="4764"/>
      <c r="Q526" s="4762"/>
      <c r="R526" s="4762"/>
      <c r="S526" s="4764"/>
      <c r="T526" s="4764"/>
      <c r="U526" s="4764"/>
      <c r="V526" s="4762"/>
      <c r="W526" s="4762"/>
      <c r="X526" s="4764"/>
      <c r="Y526" s="4764"/>
      <c r="Z526" s="4764"/>
      <c r="AA526" s="4762"/>
      <c r="AB526" s="4764"/>
      <c r="AC526" s="4764"/>
      <c r="AD526" s="4764"/>
      <c r="AE526" s="4764"/>
      <c r="AF526" s="4764"/>
      <c r="AG526" s="4764"/>
      <c r="AH526" s="4765"/>
      <c r="AI526" s="3543"/>
    </row>
    <row r="527" ht="16.5" customHeight="1">
      <c r="A527" s="3535"/>
      <c r="B527" s="4761"/>
      <c r="C527" s="4755"/>
      <c r="D527" s="4762"/>
      <c r="E527" s="4774" t="s">
        <v>518</v>
      </c>
      <c r="F527" s="4775">
        <f t="array" ref="F527">IFERROR(VLOOKUP(E509,Dex!$B$3:$N1361,13,FALSE),"")</f>
        <v>45</v>
      </c>
      <c r="G527" s="4772" t="str">
        <f t="array" ref="G527">IFERROR(VLOOKUP(F527,Dex!$P$22:$Q$276,2,FALSE),"")</f>
        <v/>
      </c>
      <c r="H527" s="4773"/>
      <c r="I527" s="4762"/>
      <c r="J527" s="4764"/>
      <c r="K527" s="4762"/>
      <c r="L527" s="4762"/>
      <c r="M527" s="4764"/>
      <c r="N527" s="4764"/>
      <c r="O527" s="4764"/>
      <c r="P527" s="4764"/>
      <c r="Q527" s="4762"/>
      <c r="R527" s="4762"/>
      <c r="S527" s="4764"/>
      <c r="T527" s="4764"/>
      <c r="U527" s="4764"/>
      <c r="V527" s="4762"/>
      <c r="W527" s="4762"/>
      <c r="X527" s="4764"/>
      <c r="Y527" s="4764"/>
      <c r="Z527" s="4764"/>
      <c r="AA527" s="4762"/>
      <c r="AB527" s="4764"/>
      <c r="AC527" s="4764"/>
      <c r="AD527" s="4764"/>
      <c r="AE527" s="4764"/>
      <c r="AF527" s="4764"/>
      <c r="AG527" s="4764"/>
      <c r="AH527" s="4765"/>
      <c r="AI527" s="3543"/>
    </row>
    <row r="528" ht="16.5" customHeight="1">
      <c r="A528" s="3535"/>
      <c r="B528" s="4761"/>
      <c r="C528" s="4755"/>
      <c r="D528" s="4762"/>
      <c r="E528" s="4776" t="s">
        <v>519</v>
      </c>
      <c r="F528" s="630"/>
      <c r="G528" s="631"/>
      <c r="H528" s="632">
        <f>ROUNDDOWN((ROUNDDOWN(((((2*F527+31)*58)/100+5)),0))*1.1,0)</f>
        <v>82</v>
      </c>
      <c r="I528" s="4762"/>
      <c r="J528" s="4764"/>
      <c r="K528" s="4762"/>
      <c r="L528" s="4762"/>
      <c r="M528" s="4764"/>
      <c r="N528" s="4764"/>
      <c r="O528" s="4764"/>
      <c r="P528" s="4764"/>
      <c r="Q528" s="4762"/>
      <c r="R528" s="4762"/>
      <c r="S528" s="4764"/>
      <c r="T528" s="4764"/>
      <c r="U528" s="4764"/>
      <c r="V528" s="4762"/>
      <c r="W528" s="4762"/>
      <c r="X528" s="4764"/>
      <c r="Y528" s="4764"/>
      <c r="Z528" s="4764"/>
      <c r="AA528" s="4762"/>
      <c r="AB528" s="4764"/>
      <c r="AC528" s="4764"/>
      <c r="AD528" s="4764"/>
      <c r="AE528" s="4764"/>
      <c r="AF528" s="4764"/>
      <c r="AG528" s="4764"/>
      <c r="AH528" s="4765"/>
      <c r="AI528" s="3543"/>
    </row>
    <row r="529" ht="16.5" customHeight="1">
      <c r="A529" s="3535"/>
      <c r="B529" s="4777"/>
      <c r="C529" s="4778"/>
      <c r="D529" s="4779"/>
      <c r="E529" s="4780" t="s">
        <v>1525</v>
      </c>
      <c r="F529" s="643"/>
      <c r="G529" s="644"/>
      <c r="H529" s="645">
        <f>ROUNDDOWN(H528*1.5,0)</f>
        <v>123</v>
      </c>
      <c r="I529" s="4779"/>
      <c r="J529" s="4781"/>
      <c r="K529" s="4779"/>
      <c r="L529" s="4779"/>
      <c r="M529" s="4781"/>
      <c r="N529" s="4781"/>
      <c r="O529" s="4781"/>
      <c r="P529" s="4781"/>
      <c r="Q529" s="4779"/>
      <c r="R529" s="4779"/>
      <c r="S529" s="4781"/>
      <c r="T529" s="4781"/>
      <c r="U529" s="4781"/>
      <c r="V529" s="4779"/>
      <c r="W529" s="4779"/>
      <c r="X529" s="4781"/>
      <c r="Y529" s="4781"/>
      <c r="Z529" s="4781"/>
      <c r="AA529" s="4779"/>
      <c r="AB529" s="4781"/>
      <c r="AC529" s="4781"/>
      <c r="AD529" s="4781"/>
      <c r="AE529" s="4781"/>
      <c r="AF529" s="4781"/>
      <c r="AG529" s="4781"/>
      <c r="AH529" s="4782"/>
      <c r="AI529" s="3543"/>
    </row>
    <row r="530" ht="15.0" customHeight="1">
      <c r="A530" s="3446"/>
      <c r="B530" s="4783"/>
      <c r="C530" s="4784"/>
      <c r="D530" s="4785"/>
      <c r="E530" s="4786"/>
      <c r="F530" s="4786"/>
      <c r="G530" s="4786"/>
      <c r="H530" s="4786"/>
      <c r="I530" s="4785"/>
      <c r="J530" s="4785"/>
      <c r="K530" s="4785"/>
      <c r="L530" s="4785"/>
      <c r="M530" s="4785"/>
      <c r="N530" s="4785"/>
      <c r="O530" s="4785"/>
      <c r="P530" s="4785"/>
      <c r="Q530" s="4785"/>
      <c r="R530" s="4785"/>
      <c r="S530" s="4785"/>
      <c r="T530" s="4785"/>
      <c r="U530" s="4785"/>
      <c r="V530" s="4785"/>
      <c r="W530" s="4785"/>
      <c r="X530" s="4785"/>
      <c r="Y530" s="4785"/>
      <c r="Z530" s="4785"/>
      <c r="AA530" s="4785"/>
      <c r="AB530" s="4785"/>
      <c r="AC530" s="4785"/>
      <c r="AD530" s="4785"/>
      <c r="AE530" s="4785"/>
      <c r="AF530" s="4785"/>
      <c r="AG530" s="4785"/>
      <c r="AH530" s="4787"/>
      <c r="AI530" s="3452"/>
    </row>
    <row r="531" ht="15.0" customHeight="1">
      <c r="A531" s="3446"/>
      <c r="B531" s="4788"/>
      <c r="C531" s="4789"/>
      <c r="D531" s="4789"/>
      <c r="E531" s="4789"/>
      <c r="F531" s="4789"/>
      <c r="G531" s="4789"/>
      <c r="H531" s="4789"/>
      <c r="I531" s="4789"/>
      <c r="J531" s="4789"/>
      <c r="K531" s="4789"/>
      <c r="L531" s="4789"/>
      <c r="M531" s="4789"/>
      <c r="N531" s="4789"/>
      <c r="O531" s="4789"/>
      <c r="P531" s="4789"/>
      <c r="Q531" s="4789"/>
      <c r="R531" s="4789"/>
      <c r="S531" s="4789"/>
      <c r="T531" s="4789"/>
      <c r="U531" s="4789"/>
      <c r="V531" s="4789"/>
      <c r="W531" s="4789"/>
      <c r="X531" s="4789"/>
      <c r="Y531" s="4789"/>
      <c r="Z531" s="4789"/>
      <c r="AA531" s="4789"/>
      <c r="AB531" s="4789"/>
      <c r="AC531" s="4789"/>
      <c r="AD531" s="4789"/>
      <c r="AE531" s="4789"/>
      <c r="AF531" s="4789"/>
      <c r="AG531" s="4789"/>
      <c r="AH531" s="4790"/>
      <c r="AI531" s="3452"/>
    </row>
    <row r="532">
      <c r="A532" s="3446"/>
      <c r="B532" s="4791"/>
      <c r="C532" s="4792"/>
      <c r="D532" s="4793"/>
      <c r="E532" s="4794" t="s">
        <v>1526</v>
      </c>
      <c r="F532" s="4795"/>
      <c r="G532" s="4795"/>
      <c r="H532" s="4795"/>
      <c r="I532" s="4795"/>
      <c r="J532" s="4795"/>
      <c r="K532" s="4795"/>
      <c r="L532" s="4795"/>
      <c r="M532" s="4795"/>
      <c r="N532" s="4795"/>
      <c r="O532" s="4795"/>
      <c r="P532" s="4795"/>
      <c r="Q532" s="4795"/>
      <c r="R532" s="4795"/>
      <c r="S532" s="4795"/>
      <c r="T532" s="4795"/>
      <c r="U532" s="4795"/>
      <c r="V532" s="4795"/>
      <c r="W532" s="4795"/>
      <c r="X532" s="4795"/>
      <c r="Y532" s="4795"/>
      <c r="Z532" s="4795"/>
      <c r="AA532" s="4795"/>
      <c r="AB532" s="4795"/>
      <c r="AC532" s="4795"/>
      <c r="AD532" s="4795"/>
      <c r="AE532" s="4795"/>
      <c r="AF532" s="4795"/>
      <c r="AG532" s="4796"/>
      <c r="AH532" s="4797"/>
      <c r="AI532" s="3452"/>
    </row>
    <row r="533" ht="96.75" customHeight="1">
      <c r="A533" s="3446"/>
      <c r="B533" s="4791"/>
      <c r="C533" s="4798" t="str">
        <f>IMAGE("https://i.ibb.co/3hYCYv8/Rocker.png")</f>
        <v/>
      </c>
      <c r="D533" s="4799"/>
      <c r="E533" s="4800" t="str">
        <f t="array" ref="E533">IFERROR(VLOOKUP(E534,Dex!$B$3:$G1361,3,FALSE),"")</f>
        <v/>
      </c>
      <c r="F533" s="1945"/>
      <c r="G533" s="1945"/>
      <c r="H533" s="1946"/>
      <c r="I533" s="4801"/>
      <c r="J533" s="4800" t="str">
        <f t="array" ref="J533">IFERROR(VLOOKUP(J534,Dex!$B$3:$G1361,3,FALSE),"")</f>
        <v/>
      </c>
      <c r="K533" s="1945"/>
      <c r="L533" s="1945"/>
      <c r="M533" s="1946"/>
      <c r="N533" s="4801"/>
      <c r="O533" s="4800" t="str">
        <f t="array" ref="O533">IFERROR(VLOOKUP(O534,Dex!$B$3:$G1361,3,FALSE),"")</f>
        <v/>
      </c>
      <c r="P533" s="1945"/>
      <c r="Q533" s="1945"/>
      <c r="R533" s="1946"/>
      <c r="S533" s="4801"/>
      <c r="T533" s="4800" t="str">
        <f t="array" ref="T533">IFERROR(VLOOKUP(T534,Dex!$B$3:$G1361,3,FALSE),"")</f>
        <v/>
      </c>
      <c r="U533" s="1945"/>
      <c r="V533" s="1945"/>
      <c r="W533" s="1946"/>
      <c r="X533" s="4801"/>
      <c r="Y533" s="4800" t="str">
        <f t="array" ref="Y533">IFERROR(VLOOKUP(Y534,Dex!$B$3:$G1361,3,FALSE),"")</f>
        <v/>
      </c>
      <c r="Z533" s="1945"/>
      <c r="AA533" s="1945"/>
      <c r="AB533" s="1946"/>
      <c r="AC533" s="4802"/>
      <c r="AD533" s="4800" t="str">
        <f t="array" ref="AD533">IFERROR(VLOOKUP(AD534,Dex!$B$3:$G1361,3,FALSE),"")</f>
        <v/>
      </c>
      <c r="AE533" s="1945"/>
      <c r="AF533" s="1945"/>
      <c r="AG533" s="1946"/>
      <c r="AH533" s="4803"/>
      <c r="AI533" s="3452"/>
    </row>
    <row r="534" ht="18.75" customHeight="1">
      <c r="A534" s="3689"/>
      <c r="B534" s="4804"/>
      <c r="C534" s="4805" t="s">
        <v>1527</v>
      </c>
      <c r="D534" s="4806"/>
      <c r="E534" s="4807" t="s">
        <v>558</v>
      </c>
      <c r="F534" s="4808"/>
      <c r="G534" s="4808"/>
      <c r="H534" s="4809"/>
      <c r="J534" s="4807" t="s">
        <v>1528</v>
      </c>
      <c r="K534" s="4808"/>
      <c r="L534" s="4808"/>
      <c r="M534" s="4809"/>
      <c r="O534" s="4807" t="s">
        <v>1455</v>
      </c>
      <c r="P534" s="4808"/>
      <c r="Q534" s="4808"/>
      <c r="R534" s="4809"/>
      <c r="T534" s="4807" t="s">
        <v>1529</v>
      </c>
      <c r="U534" s="4808"/>
      <c r="V534" s="4808"/>
      <c r="W534" s="4809"/>
      <c r="Y534" s="4807" t="s">
        <v>1048</v>
      </c>
      <c r="Z534" s="4808"/>
      <c r="AA534" s="4808"/>
      <c r="AB534" s="4809"/>
      <c r="AD534" s="4807" t="s">
        <v>1530</v>
      </c>
      <c r="AE534" s="4808"/>
      <c r="AF534" s="4808"/>
      <c r="AG534" s="4809"/>
      <c r="AH534" s="4810"/>
      <c r="AI534" s="3700"/>
    </row>
    <row r="535">
      <c r="A535" s="3701"/>
      <c r="B535" s="4811"/>
      <c r="C535" s="1638"/>
      <c r="D535" s="4812"/>
      <c r="E535" s="4813" t="s">
        <v>796</v>
      </c>
      <c r="F535" s="4814"/>
      <c r="G535" s="4814"/>
      <c r="H535" s="4815"/>
      <c r="J535" s="4813" t="s">
        <v>796</v>
      </c>
      <c r="K535" s="4814"/>
      <c r="L535" s="4814"/>
      <c r="M535" s="4815"/>
      <c r="O535" s="4813" t="s">
        <v>796</v>
      </c>
      <c r="P535" s="4814"/>
      <c r="Q535" s="4814"/>
      <c r="R535" s="4815"/>
      <c r="T535" s="4813" t="s">
        <v>796</v>
      </c>
      <c r="U535" s="4814"/>
      <c r="V535" s="4814"/>
      <c r="W535" s="4815"/>
      <c r="Y535" s="4813" t="s">
        <v>796</v>
      </c>
      <c r="Z535" s="4814"/>
      <c r="AA535" s="4814"/>
      <c r="AB535" s="4815"/>
      <c r="AD535" s="4813" t="s">
        <v>796</v>
      </c>
      <c r="AE535" s="4814"/>
      <c r="AF535" s="4814"/>
      <c r="AG535" s="4815"/>
      <c r="AH535" s="4816"/>
      <c r="AI535" s="3709"/>
    </row>
    <row r="536" ht="25.5" customHeight="1">
      <c r="A536" s="3446"/>
      <c r="B536" s="4791"/>
      <c r="C536" s="1646"/>
      <c r="D536" s="4793"/>
      <c r="E536" s="4817"/>
      <c r="F536" s="4818" t="str">
        <f t="array" ref="F536">IFERROR(VLOOKUP(E534,Dex!$B$3:$H1361,5,FALSE),"")</f>
        <v/>
      </c>
      <c r="G536" s="4819" t="str">
        <f t="array" ref="G536">IFERROR(VLOOKUP(E534,Dex!$B$3:$H1361,7,FALSE),"")</f>
        <v/>
      </c>
      <c r="H536" s="4820"/>
      <c r="J536" s="4817"/>
      <c r="K536" s="4821" t="str">
        <f t="array" ref="K536">IFERROR(VLOOKUP(J534,Dex!$B$3:$H1361,5,FALSE),"")</f>
        <v/>
      </c>
      <c r="L536" s="4822"/>
      <c r="M536" s="4820"/>
      <c r="O536" s="4817"/>
      <c r="P536" s="4818" t="str">
        <f t="array" ref="P536">IFERROR(VLOOKUP(O534,Dex!$B$3:$H1361,5,FALSE),"")</f>
        <v/>
      </c>
      <c r="Q536" s="4819" t="str">
        <f t="array" ref="Q536">IFERROR(VLOOKUP(O534,Dex!$B$3:$H1361,7,FALSE),"")</f>
        <v/>
      </c>
      <c r="R536" s="4820"/>
      <c r="T536" s="4817"/>
      <c r="U536" s="4818" t="str">
        <f t="array" ref="U536">IFERROR(VLOOKUP(T534,Dex!$B$3:$H1361,5,FALSE),"")</f>
        <v/>
      </c>
      <c r="V536" s="4819" t="str">
        <f t="array" ref="V536">IFERROR(VLOOKUP(T534,Dex!$B$3:$H1361,7,FALSE),"")</f>
        <v/>
      </c>
      <c r="W536" s="4820"/>
      <c r="Y536" s="4817"/>
      <c r="Z536" s="4821" t="str">
        <f t="array" ref="Z536">IFERROR(VLOOKUP(Y534,Dex!$B$3:$H1361,5,FALSE),"")</f>
        <v/>
      </c>
      <c r="AA536" s="4822"/>
      <c r="AB536" s="4820"/>
      <c r="AD536" s="4817"/>
      <c r="AE536" s="4818" t="str">
        <f t="array" ref="AE536">IFERROR(VLOOKUP(AD534,Dex!$B$3:$H1361,5,FALSE),"")</f>
        <v/>
      </c>
      <c r="AF536" s="4819" t="str">
        <f t="array" ref="AF536">IFERROR(VLOOKUP(AD534,Dex!$B$3:$H1361,7,FALSE),"")</f>
        <v/>
      </c>
      <c r="AG536" s="4820"/>
      <c r="AH536" s="4797"/>
      <c r="AI536" s="3452"/>
    </row>
    <row r="537" ht="2.25" customHeight="1">
      <c r="A537" s="3446"/>
      <c r="B537" s="4791"/>
      <c r="C537" s="4792"/>
      <c r="D537" s="4793"/>
      <c r="E537" s="4823"/>
      <c r="F537" s="4824"/>
      <c r="G537" s="4824"/>
      <c r="H537" s="4825"/>
      <c r="J537" s="4823"/>
      <c r="K537" s="4824"/>
      <c r="L537" s="4824"/>
      <c r="M537" s="4825"/>
      <c r="O537" s="4823"/>
      <c r="P537" s="4824"/>
      <c r="Q537" s="4824"/>
      <c r="R537" s="4825"/>
      <c r="T537" s="4823"/>
      <c r="U537" s="4824"/>
      <c r="V537" s="4824"/>
      <c r="W537" s="4825"/>
      <c r="Y537" s="4823"/>
      <c r="Z537" s="4824"/>
      <c r="AA537" s="4824"/>
      <c r="AB537" s="4825"/>
      <c r="AD537" s="4823"/>
      <c r="AE537" s="4824"/>
      <c r="AF537" s="4824"/>
      <c r="AG537" s="4825"/>
      <c r="AH537" s="4797"/>
      <c r="AI537" s="3452"/>
    </row>
    <row r="538" ht="20.25" customHeight="1">
      <c r="A538" s="3446"/>
      <c r="B538" s="4791"/>
      <c r="C538" s="4792"/>
      <c r="D538" s="4826"/>
      <c r="E538" s="4827" t="s">
        <v>564</v>
      </c>
      <c r="F538" s="4828"/>
      <c r="G538" s="4828"/>
      <c r="H538" s="4829"/>
      <c r="J538" s="4827" t="s">
        <v>532</v>
      </c>
      <c r="K538" s="4828"/>
      <c r="L538" s="4828"/>
      <c r="M538" s="4829"/>
      <c r="O538" s="4827" t="s">
        <v>564</v>
      </c>
      <c r="P538" s="4828"/>
      <c r="Q538" s="4828"/>
      <c r="R538" s="4829"/>
      <c r="T538" s="4827" t="s">
        <v>564</v>
      </c>
      <c r="U538" s="4828"/>
      <c r="V538" s="4828"/>
      <c r="W538" s="4829"/>
      <c r="Y538" s="4827" t="s">
        <v>564</v>
      </c>
      <c r="Z538" s="4828"/>
      <c r="AA538" s="4828"/>
      <c r="AB538" s="4829"/>
      <c r="AD538" s="4827" t="s">
        <v>482</v>
      </c>
      <c r="AE538" s="4828"/>
      <c r="AF538" s="4828"/>
      <c r="AG538" s="4829"/>
      <c r="AH538" s="4803"/>
      <c r="AI538" s="3452"/>
    </row>
    <row r="539">
      <c r="A539" s="3446"/>
      <c r="B539" s="4791"/>
      <c r="C539" s="4792"/>
      <c r="D539" s="4826"/>
      <c r="E539" s="4830" t="s">
        <v>484</v>
      </c>
      <c r="F539" s="4831"/>
      <c r="G539" s="4831"/>
      <c r="H539" s="4832"/>
      <c r="J539" s="4830" t="s">
        <v>91</v>
      </c>
      <c r="K539" s="4831"/>
      <c r="L539" s="4831"/>
      <c r="M539" s="4832"/>
      <c r="O539" s="4830" t="s">
        <v>56</v>
      </c>
      <c r="P539" s="4831"/>
      <c r="Q539" s="4831"/>
      <c r="R539" s="4832"/>
      <c r="T539" s="4830" t="s">
        <v>827</v>
      </c>
      <c r="U539" s="4831"/>
      <c r="V539" s="4831"/>
      <c r="W539" s="4832"/>
      <c r="Y539" s="4830" t="s">
        <v>1531</v>
      </c>
      <c r="Z539" s="4831"/>
      <c r="AA539" s="4831"/>
      <c r="AB539" s="4832"/>
      <c r="AD539" s="4830" t="s">
        <v>1229</v>
      </c>
      <c r="AE539" s="4831"/>
      <c r="AF539" s="4831"/>
      <c r="AG539" s="4832"/>
      <c r="AH539" s="4803"/>
      <c r="AI539" s="3452"/>
    </row>
    <row r="540" ht="20.25" customHeight="1">
      <c r="A540" s="3446"/>
      <c r="B540" s="4791"/>
      <c r="C540" s="4792"/>
      <c r="D540" s="4826"/>
      <c r="E540" s="4833" t="s">
        <v>572</v>
      </c>
      <c r="F540" s="4795"/>
      <c r="G540" s="4796"/>
      <c r="H540" s="4834" t="str">
        <f>IMAGE("https://raw.githubusercontent.com/msikma/pokesprite/master/items/z-crystals/icium-z--held.png",3)</f>
        <v/>
      </c>
      <c r="J540" s="4833" t="s">
        <v>1084</v>
      </c>
      <c r="K540" s="4795"/>
      <c r="L540" s="4796"/>
      <c r="M540" s="4834" t="str">
        <f>IMAGE("https://raw.githubusercontent.com/msikma/pokesprite/master/items/gem/flying.png",3)</f>
        <v/>
      </c>
      <c r="O540" s="4833" t="s">
        <v>541</v>
      </c>
      <c r="P540" s="4795"/>
      <c r="Q540" s="4796"/>
      <c r="R540" s="4834" t="str">
        <f>IMAGE("https://raw.githubusercontent.com/msikma/pokesprite/master/items/hold-item/life-orb.png",3)</f>
        <v/>
      </c>
      <c r="T540" s="4833" t="s">
        <v>1230</v>
      </c>
      <c r="U540" s="4795"/>
      <c r="V540" s="4796"/>
      <c r="W540" s="4834" t="str">
        <f>IMAGE("https://raw.githubusercontent.com/msikma/pokesprite/master/items/hold-item/choice-specs.png",3)</f>
        <v/>
      </c>
      <c r="Y540" s="4833" t="s">
        <v>1053</v>
      </c>
      <c r="Z540" s="4795"/>
      <c r="AA540" s="4796"/>
      <c r="AB540" s="4834" t="str">
        <f>IMAGE("https://raw.githubusercontent.com/msikma/pokesprite/master/items/mega-stone/blastoisinite.png",3)</f>
        <v/>
      </c>
      <c r="AD540" s="4833" t="s">
        <v>733</v>
      </c>
      <c r="AE540" s="4795"/>
      <c r="AF540" s="4796"/>
      <c r="AG540" s="4834" t="str">
        <f>IMAGE("https://raw.githubusercontent.com/msikma/pokesprite/master/items/hold-item/leftovers.png",3)</f>
        <v/>
      </c>
      <c r="AH540" s="4797"/>
      <c r="AI540" s="3452"/>
    </row>
    <row r="541" ht="20.25" customHeight="1">
      <c r="A541" s="3446"/>
      <c r="B541" s="4791"/>
      <c r="C541" s="4835"/>
      <c r="D541" s="4826"/>
      <c r="E541" s="4827" t="s">
        <v>582</v>
      </c>
      <c r="F541" s="4828"/>
      <c r="G541" s="4836"/>
      <c r="H541" s="4837" t="str">
        <f>IMAGE("https://raw.githubusercontent.com/msikma/pokesprite/master/misc/types/gen8/ice.png",4,20,20)</f>
        <v/>
      </c>
      <c r="J541" s="4827" t="s">
        <v>168</v>
      </c>
      <c r="K541" s="4828"/>
      <c r="L541" s="4836"/>
      <c r="M541" s="4837" t="str">
        <f>IMAGE("https://raw.githubusercontent.com/msikma/pokesprite/master/misc/types/gen8/fighting.png",4,20,20)</f>
        <v/>
      </c>
      <c r="O541" s="4827" t="s">
        <v>644</v>
      </c>
      <c r="P541" s="4828"/>
      <c r="Q541" s="4836"/>
      <c r="R541" s="4837" t="str">
        <f>IMAGE("https://raw.githubusercontent.com/msikma/pokesprite/master/misc/types/gen8/ground.png",4,20,20)</f>
        <v/>
      </c>
      <c r="T541" s="4827" t="s">
        <v>846</v>
      </c>
      <c r="U541" s="4828"/>
      <c r="V541" s="4836"/>
      <c r="W541" s="4837" t="str">
        <f>IMAGE("https://raw.githubusercontent.com/msikma/pokesprite/master/misc/types/gen8/bug.png",4,20,20)</f>
        <v/>
      </c>
      <c r="Y541" s="4827" t="s">
        <v>273</v>
      </c>
      <c r="Z541" s="4828"/>
      <c r="AA541" s="4836"/>
      <c r="AB541" s="4837" t="str">
        <f>IMAGE("https://raw.githubusercontent.com/msikma/pokesprite/master/misc/types/gen8/normal.png",4,20,20)</f>
        <v/>
      </c>
      <c r="AD541" s="4827" t="s">
        <v>582</v>
      </c>
      <c r="AE541" s="4828"/>
      <c r="AF541" s="4836"/>
      <c r="AG541" s="4837" t="str">
        <f>IMAGE("https://raw.githubusercontent.com/msikma/pokesprite/master/misc/types/gen8/ice.png",4,20,20)</f>
        <v/>
      </c>
      <c r="AH541" s="4797"/>
      <c r="AI541" s="3452"/>
    </row>
    <row r="542" ht="20.25" customHeight="1">
      <c r="A542" s="3446"/>
      <c r="B542" s="4791"/>
      <c r="C542" s="4835"/>
      <c r="D542" s="4826"/>
      <c r="E542" s="4830" t="s">
        <v>581</v>
      </c>
      <c r="F542" s="4831"/>
      <c r="G542" s="4838"/>
      <c r="H542" s="4839" t="str">
        <f t="shared" ref="H542:H544" si="13">IMAGE("https://raw.githubusercontent.com/msikma/pokesprite/master/misc/types/gen8/electric.png",4,20,20)</f>
        <v/>
      </c>
      <c r="J542" s="4830" t="s">
        <v>613</v>
      </c>
      <c r="K542" s="4831"/>
      <c r="L542" s="4838"/>
      <c r="M542" s="4839" t="str">
        <f>IMAGE("https://raw.githubusercontent.com/msikma/pokesprite/master/misc/types/gen8/flying.png",4,20,20)</f>
        <v/>
      </c>
      <c r="O542" s="4830" t="s">
        <v>582</v>
      </c>
      <c r="P542" s="4831"/>
      <c r="Q542" s="4838"/>
      <c r="R542" s="4839" t="str">
        <f>IMAGE("https://raw.githubusercontent.com/msikma/pokesprite/master/misc/types/gen8/ice.png",4,20,20)</f>
        <v/>
      </c>
      <c r="T542" s="4830" t="s">
        <v>805</v>
      </c>
      <c r="U542" s="4831"/>
      <c r="V542" s="4838"/>
      <c r="W542" s="4839" t="str">
        <f>IMAGE("https://raw.githubusercontent.com/msikma/pokesprite/master/misc/types/gen8/flying.png",4,20,20)</f>
        <v/>
      </c>
      <c r="Y542" s="4830" t="s">
        <v>582</v>
      </c>
      <c r="Z542" s="4831"/>
      <c r="AA542" s="4838"/>
      <c r="AB542" s="4839" t="str">
        <f>IMAGE("https://raw.githubusercontent.com/msikma/pokesprite/master/misc/types/gen8/ice.png",4,20,20)</f>
        <v/>
      </c>
      <c r="AD542" s="4830" t="s">
        <v>217</v>
      </c>
      <c r="AE542" s="4831"/>
      <c r="AF542" s="4838"/>
      <c r="AG542" s="4839" t="str">
        <f t="shared" ref="AG542:AG543" si="14">IMAGE("https://raw.githubusercontent.com/msikma/pokesprite/master/misc/types/gen8/normal.png",4,20,20)</f>
        <v/>
      </c>
      <c r="AH542" s="4797"/>
      <c r="AI542" s="3452"/>
    </row>
    <row r="543" ht="20.25" customHeight="1">
      <c r="A543" s="3446"/>
      <c r="B543" s="4791"/>
      <c r="C543" s="4835"/>
      <c r="D543" s="4826"/>
      <c r="E543" s="4830" t="s">
        <v>611</v>
      </c>
      <c r="F543" s="4831"/>
      <c r="G543" s="4838"/>
      <c r="H543" s="4839" t="str">
        <f t="shared" si="13"/>
        <v/>
      </c>
      <c r="J543" s="4830" t="s">
        <v>579</v>
      </c>
      <c r="K543" s="4831"/>
      <c r="L543" s="4838"/>
      <c r="M543" s="4839" t="str">
        <f>IMAGE("https://raw.githubusercontent.com/msikma/pokesprite/master/misc/types/gen8/dark.png",4,20,20)</f>
        <v/>
      </c>
      <c r="O543" s="4830" t="s">
        <v>1211</v>
      </c>
      <c r="P543" s="4831"/>
      <c r="Q543" s="4838"/>
      <c r="R543" s="4839" t="str">
        <f>IMAGE("https://raw.githubusercontent.com/msikma/pokesprite/master/misc/types/gen8/fire.png",4,20,20)</f>
        <v/>
      </c>
      <c r="T543" s="4830" t="s">
        <v>612</v>
      </c>
      <c r="U543" s="4831"/>
      <c r="V543" s="4838"/>
      <c r="W543" s="4839" t="str">
        <f>IMAGE("https://raw.githubusercontent.com/msikma/pokesprite/master/misc/types/gen8/bug.png",4,20,20)</f>
        <v/>
      </c>
      <c r="Y543" s="4830" t="s">
        <v>718</v>
      </c>
      <c r="Z543" s="4831"/>
      <c r="AA543" s="4838"/>
      <c r="AB543" s="4839" t="str">
        <f>IMAGE("https://raw.githubusercontent.com/msikma/pokesprite/master/misc/types/gen8/fighting.png",4,20,20)</f>
        <v/>
      </c>
      <c r="AD543" s="4830" t="s">
        <v>184</v>
      </c>
      <c r="AE543" s="4831"/>
      <c r="AF543" s="4838"/>
      <c r="AG543" s="4839" t="str">
        <f t="shared" si="14"/>
        <v/>
      </c>
      <c r="AH543" s="4797"/>
      <c r="AI543" s="3452"/>
    </row>
    <row r="544" ht="21.0" customHeight="1">
      <c r="A544" s="3446"/>
      <c r="B544" s="4791"/>
      <c r="C544" s="4835"/>
      <c r="D544" s="4826"/>
      <c r="E544" s="4840" t="s">
        <v>547</v>
      </c>
      <c r="F544" s="4841"/>
      <c r="G544" s="4842"/>
      <c r="H544" s="4843" t="str">
        <f t="shared" si="13"/>
        <v/>
      </c>
      <c r="I544" s="4844"/>
      <c r="J544" s="4840" t="s">
        <v>1532</v>
      </c>
      <c r="K544" s="4841"/>
      <c r="L544" s="4842"/>
      <c r="M544" s="4843" t="str">
        <f>IMAGE("https://raw.githubusercontent.com/msikma/pokesprite/master/misc/types/gen8/fighting.png",4,20,20)</f>
        <v/>
      </c>
      <c r="N544" s="4844"/>
      <c r="O544" s="4840" t="s">
        <v>547</v>
      </c>
      <c r="P544" s="4841"/>
      <c r="Q544" s="4842"/>
      <c r="R544" s="4843" t="str">
        <f>IMAGE("https://raw.githubusercontent.com/msikma/pokesprite/master/misc/types/gen8/electric.png",4,20,20)</f>
        <v/>
      </c>
      <c r="S544" s="4844"/>
      <c r="T544" s="4840" t="s">
        <v>543</v>
      </c>
      <c r="U544" s="4841"/>
      <c r="V544" s="4842"/>
      <c r="W544" s="4843" t="str">
        <f>IMAGE("https://raw.githubusercontent.com/msikma/pokesprite/master/misc/types/gen8/grass.png",4,20,20)</f>
        <v/>
      </c>
      <c r="X544" s="4844"/>
      <c r="Y544" s="4840" t="s">
        <v>666</v>
      </c>
      <c r="Z544" s="4841"/>
      <c r="AA544" s="4842"/>
      <c r="AB544" s="4843" t="str">
        <f>IMAGE("https://raw.githubusercontent.com/msikma/pokesprite/master/misc/types/gen8/dark.png",4,20,20)</f>
        <v/>
      </c>
      <c r="AC544" s="4844"/>
      <c r="AD544" s="4840" t="s">
        <v>503</v>
      </c>
      <c r="AE544" s="4841"/>
      <c r="AF544" s="4842"/>
      <c r="AG544" s="4843" t="str">
        <f>IMAGE("https://raw.githubusercontent.com/msikma/pokesprite/master/misc/types/gen8/poison.png",4,20,20)</f>
        <v/>
      </c>
      <c r="AH544" s="4797"/>
      <c r="AI544" s="3452"/>
    </row>
    <row r="545" ht="3.0" customHeight="1">
      <c r="A545" s="3524"/>
      <c r="B545" s="4845"/>
      <c r="C545" s="4835"/>
      <c r="D545" s="4846"/>
      <c r="E545" s="4847"/>
      <c r="F545" s="4847"/>
      <c r="G545" s="4847"/>
      <c r="H545" s="4848"/>
      <c r="I545" s="4846"/>
      <c r="J545" s="4849"/>
      <c r="K545" s="4849"/>
      <c r="L545" s="4849"/>
      <c r="M545" s="4848"/>
      <c r="N545" s="4846"/>
      <c r="O545" s="4849"/>
      <c r="P545" s="4849"/>
      <c r="Q545" s="4849"/>
      <c r="R545" s="4848"/>
      <c r="S545" s="4848"/>
      <c r="T545" s="4849"/>
      <c r="U545" s="4849"/>
      <c r="V545" s="4849"/>
      <c r="W545" s="4848"/>
      <c r="X545" s="4846"/>
      <c r="Y545" s="4850"/>
      <c r="Z545" s="4851"/>
      <c r="AA545" s="4851"/>
      <c r="AB545" s="4852"/>
      <c r="AC545" s="4852"/>
      <c r="AD545" s="4850"/>
      <c r="AE545" s="4851"/>
      <c r="AF545" s="4851"/>
      <c r="AG545" s="4852"/>
      <c r="AH545" s="4853"/>
      <c r="AI545" s="3534"/>
    </row>
    <row r="546" ht="16.5" customHeight="1">
      <c r="A546" s="3535"/>
      <c r="B546" s="4854"/>
      <c r="C546" s="4835"/>
      <c r="D546" s="4855"/>
      <c r="E546" s="4856" t="s">
        <v>512</v>
      </c>
      <c r="F546" s="606"/>
      <c r="G546" s="606"/>
      <c r="H546" s="607"/>
      <c r="I546" s="4857"/>
      <c r="J546" s="4856" t="s">
        <v>512</v>
      </c>
      <c r="K546" s="606"/>
      <c r="L546" s="606"/>
      <c r="M546" s="607"/>
      <c r="N546" s="4858"/>
      <c r="O546" s="4856" t="s">
        <v>512</v>
      </c>
      <c r="P546" s="606"/>
      <c r="Q546" s="606"/>
      <c r="R546" s="607"/>
      <c r="S546" s="4858"/>
      <c r="T546" s="4856" t="s">
        <v>512</v>
      </c>
      <c r="U546" s="606"/>
      <c r="V546" s="606"/>
      <c r="W546" s="607"/>
      <c r="X546" s="4858"/>
      <c r="Y546" s="4856" t="s">
        <v>512</v>
      </c>
      <c r="Z546" s="606"/>
      <c r="AA546" s="606"/>
      <c r="AB546" s="607"/>
      <c r="AC546" s="4858"/>
      <c r="AD546" s="4856" t="s">
        <v>512</v>
      </c>
      <c r="AE546" s="606"/>
      <c r="AF546" s="606"/>
      <c r="AG546" s="607"/>
      <c r="AH546" s="4859"/>
      <c r="AI546" s="3543"/>
    </row>
    <row r="547" ht="16.5" customHeight="1">
      <c r="A547" s="3535"/>
      <c r="B547" s="4854"/>
      <c r="C547" s="4835"/>
      <c r="D547" s="4855"/>
      <c r="E547" s="4860" t="s">
        <v>513</v>
      </c>
      <c r="F547" s="4861">
        <f t="array" ref="F547">IFERROR(VLOOKUP(E534,Dex!$B$3:$N1361,8,FALSE),"")</f>
        <v>50</v>
      </c>
      <c r="G547" s="4862" t="str">
        <f t="array" ref="G547">IFERROR(VLOOKUP(F547,Dex!$P$22:$Q$276,2,FALSE),"")</f>
        <v/>
      </c>
      <c r="H547" s="4863"/>
      <c r="I547" s="4855"/>
      <c r="J547" s="4860" t="s">
        <v>513</v>
      </c>
      <c r="K547" s="4861">
        <f t="array" ref="K547">IFERROR(VLOOKUP(J534,Dex!$B$3:$N1361,8,FALSE),"")</f>
        <v>79</v>
      </c>
      <c r="L547" s="4862" t="str">
        <f t="array" ref="L547">IFERROR(VLOOKUP(K547,Dex!$P$22:$Q$276,2,FALSE),"")</f>
        <v/>
      </c>
      <c r="M547" s="4863"/>
      <c r="N547" s="4864"/>
      <c r="O547" s="4860" t="s">
        <v>513</v>
      </c>
      <c r="P547" s="4861">
        <f t="array" ref="P547">IFERROR(VLOOKUP(O534,Dex!$B$3:$N1361,8,FALSE),"")</f>
        <v>90</v>
      </c>
      <c r="Q547" s="4862" t="str">
        <f t="array" ref="Q547">IFERROR(VLOOKUP(P547,Dex!$P$22:$Q$276,2,FALSE),"")</f>
        <v/>
      </c>
      <c r="R547" s="4863"/>
      <c r="S547" s="4864"/>
      <c r="T547" s="4860" t="s">
        <v>513</v>
      </c>
      <c r="U547" s="4861">
        <f t="array" ref="U547">IFERROR(VLOOKUP(T534,Dex!$B$3:$N1361,8,FALSE),"")</f>
        <v>86</v>
      </c>
      <c r="V547" s="4862" t="str">
        <f t="array" ref="V547">IFERROR(VLOOKUP(U547,Dex!$P$22:$Q$276,2,FALSE),"")</f>
        <v/>
      </c>
      <c r="W547" s="4863"/>
      <c r="X547" s="4864"/>
      <c r="Y547" s="4860" t="s">
        <v>513</v>
      </c>
      <c r="Z547" s="4861">
        <f t="array" ref="Z547">IFERROR(VLOOKUP(Y534,Dex!$B$3:$N1361,8,FALSE),"")</f>
        <v>79</v>
      </c>
      <c r="AA547" s="4862" t="str">
        <f t="array" ref="AA547">IFERROR(VLOOKUP(Z547,Dex!$P$22:$Q$276,2,FALSE),"")</f>
        <v/>
      </c>
      <c r="AB547" s="4863"/>
      <c r="AC547" s="4864"/>
      <c r="AD547" s="4860" t="s">
        <v>513</v>
      </c>
      <c r="AE547" s="4861">
        <f t="array" ref="AE547">IFERROR(VLOOKUP(AD534,Dex!$B$3:$N1361,8,FALSE),"")</f>
        <v>90</v>
      </c>
      <c r="AF547" s="4862" t="str">
        <f t="array" ref="AF547">IFERROR(VLOOKUP(AE547,Dex!$P$22:$Q$276,2,FALSE),"")</f>
        <v/>
      </c>
      <c r="AG547" s="4863"/>
      <c r="AH547" s="4859"/>
      <c r="AI547" s="3543"/>
    </row>
    <row r="548" ht="16.5" customHeight="1">
      <c r="A548" s="3535"/>
      <c r="B548" s="4854"/>
      <c r="C548" s="4835"/>
      <c r="D548" s="4855"/>
      <c r="E548" s="4865" t="s">
        <v>514</v>
      </c>
      <c r="F548" s="4866">
        <f t="array" ref="F548">IFERROR(VLOOKUP(E534,Dex!$B$3:$N1361,9,FALSE),"")</f>
        <v>65</v>
      </c>
      <c r="G548" s="4867" t="str">
        <f t="array" ref="G548">IFERROR(VLOOKUP(F548,Dex!$P$22:$Q$276,2,FALSE),"")</f>
        <v/>
      </c>
      <c r="H548" s="4868"/>
      <c r="I548" s="4855"/>
      <c r="J548" s="4865" t="s">
        <v>514</v>
      </c>
      <c r="K548" s="4866">
        <f t="array" ref="K548">IFERROR(VLOOKUP(J534,Dex!$B$3:$N1361,9,FALSE),"")</f>
        <v>115</v>
      </c>
      <c r="L548" s="4867" t="str">
        <f t="array" ref="L548">IFERROR(VLOOKUP(K548,Dex!$P$22:$Q$276,2,FALSE),"")</f>
        <v/>
      </c>
      <c r="M548" s="4868"/>
      <c r="N548" s="4864"/>
      <c r="O548" s="4865" t="s">
        <v>514</v>
      </c>
      <c r="P548" s="4866">
        <f t="array" ref="P548">IFERROR(VLOOKUP(O534,Dex!$B$3:$N1361,9,FALSE),"")</f>
        <v>92</v>
      </c>
      <c r="Q548" s="4867" t="str">
        <f t="array" ref="Q548">IFERROR(VLOOKUP(P548,Dex!$P$22:$Q$276,2,FALSE),"")</f>
        <v/>
      </c>
      <c r="R548" s="4868"/>
      <c r="S548" s="4864"/>
      <c r="T548" s="4865" t="s">
        <v>514</v>
      </c>
      <c r="U548" s="4866">
        <f t="array" ref="U548">IFERROR(VLOOKUP(T534,Dex!$B$3:$N1361,9,FALSE),"")</f>
        <v>76</v>
      </c>
      <c r="V548" s="4867" t="str">
        <f t="array" ref="V548">IFERROR(VLOOKUP(U548,Dex!$P$22:$Q$276,2,FALSE),"")</f>
        <v/>
      </c>
      <c r="W548" s="4868"/>
      <c r="X548" s="4864"/>
      <c r="Y548" s="4865" t="s">
        <v>514</v>
      </c>
      <c r="Z548" s="4866">
        <f t="array" ref="Z548">IFERROR(VLOOKUP(Y534,Dex!$B$3:$N1361,9,FALSE),"")</f>
        <v>103</v>
      </c>
      <c r="AA548" s="4867" t="str">
        <f t="array" ref="AA548">IFERROR(VLOOKUP(Z548,Dex!$P$22:$Q$276,2,FALSE),"")</f>
        <v/>
      </c>
      <c r="AB548" s="4868"/>
      <c r="AC548" s="4864"/>
      <c r="AD548" s="4865" t="s">
        <v>514</v>
      </c>
      <c r="AE548" s="4866">
        <f t="array" ref="AE548">IFERROR(VLOOKUP(AD534,Dex!$B$3:$N1361,9,FALSE),"")</f>
        <v>80</v>
      </c>
      <c r="AF548" s="4867" t="str">
        <f t="array" ref="AF548">IFERROR(VLOOKUP(AE548,Dex!$P$22:$Q$276,2,FALSE),"")</f>
        <v/>
      </c>
      <c r="AG548" s="4868"/>
      <c r="AH548" s="4859"/>
      <c r="AI548" s="3543"/>
    </row>
    <row r="549" ht="16.5" customHeight="1">
      <c r="A549" s="3535"/>
      <c r="B549" s="4854"/>
      <c r="C549" s="4835"/>
      <c r="D549" s="4855"/>
      <c r="E549" s="4865" t="s">
        <v>515</v>
      </c>
      <c r="F549" s="4866">
        <f t="array" ref="F549">IFERROR(VLOOKUP(E534,Dex!$B$3:$N1361,10,FALSE),"")</f>
        <v>107</v>
      </c>
      <c r="G549" s="4867" t="str">
        <f t="array" ref="G549">IFERROR(VLOOKUP(F549,Dex!$P$22:$Q$276,2,FALSE),"")</f>
        <v/>
      </c>
      <c r="H549" s="4868"/>
      <c r="I549" s="4855"/>
      <c r="J549" s="4865" t="s">
        <v>515</v>
      </c>
      <c r="K549" s="4866">
        <f t="array" ref="K549">IFERROR(VLOOKUP(J534,Dex!$B$3:$N1361,10,FALSE),"")</f>
        <v>70</v>
      </c>
      <c r="L549" s="4867" t="str">
        <f t="array" ref="L549">IFERROR(VLOOKUP(K549,Dex!$P$22:$Q$276,2,FALSE),"")</f>
        <v/>
      </c>
      <c r="M549" s="4868"/>
      <c r="N549" s="4864"/>
      <c r="O549" s="4865" t="s">
        <v>515</v>
      </c>
      <c r="P549" s="4866">
        <f t="array" ref="P549">IFERROR(VLOOKUP(O534,Dex!$B$3:$N1361,10,FALSE),"")</f>
        <v>87</v>
      </c>
      <c r="Q549" s="4867" t="str">
        <f t="array" ref="Q549">IFERROR(VLOOKUP(P549,Dex!$P$22:$Q$276,2,FALSE),"")</f>
        <v/>
      </c>
      <c r="R549" s="4868"/>
      <c r="S549" s="4864"/>
      <c r="T549" s="4865" t="s">
        <v>515</v>
      </c>
      <c r="U549" s="4866">
        <f t="array" ref="U549">IFERROR(VLOOKUP(T534,Dex!$B$3:$N1361,10,FALSE),"")</f>
        <v>86</v>
      </c>
      <c r="V549" s="4867" t="str">
        <f t="array" ref="V549">IFERROR(VLOOKUP(U549,Dex!$P$22:$Q$276,2,FALSE),"")</f>
        <v/>
      </c>
      <c r="W549" s="4868"/>
      <c r="X549" s="4864"/>
      <c r="Y549" s="4865" t="s">
        <v>515</v>
      </c>
      <c r="Z549" s="4866">
        <f t="array" ref="Z549">IFERROR(VLOOKUP(Y534,Dex!$B$3:$N1361,10,FALSE),"")</f>
        <v>120</v>
      </c>
      <c r="AA549" s="4867" t="str">
        <f t="array" ref="AA549">IFERROR(VLOOKUP(Z549,Dex!$P$22:$Q$276,2,FALSE),"")</f>
        <v/>
      </c>
      <c r="AB549" s="4868"/>
      <c r="AC549" s="4864"/>
      <c r="AD549" s="4865" t="s">
        <v>515</v>
      </c>
      <c r="AE549" s="4866">
        <f t="array" ref="AE549">IFERROR(VLOOKUP(AD534,Dex!$B$3:$N1361,10,FALSE),"")</f>
        <v>90</v>
      </c>
      <c r="AF549" s="4867" t="str">
        <f t="array" ref="AF549">IFERROR(VLOOKUP(AE549,Dex!$P$22:$Q$276,2,FALSE),"")</f>
        <v/>
      </c>
      <c r="AG549" s="4868"/>
      <c r="AH549" s="4859"/>
      <c r="AI549" s="3543"/>
    </row>
    <row r="550" ht="16.5" customHeight="1">
      <c r="A550" s="3535"/>
      <c r="B550" s="4854"/>
      <c r="C550" s="4835"/>
      <c r="D550" s="4855"/>
      <c r="E550" s="4865" t="s">
        <v>516</v>
      </c>
      <c r="F550" s="4866">
        <f t="array" ref="F550">IFERROR(VLOOKUP(E534,Dex!$B$3:$N1361,11,FALSE),"")</f>
        <v>105</v>
      </c>
      <c r="G550" s="4867" t="str">
        <f t="array" ref="G550">IFERROR(VLOOKUP(F550,Dex!$P$22:$Q$276,2,FALSE),"")</f>
        <v/>
      </c>
      <c r="H550" s="4868"/>
      <c r="I550" s="4855"/>
      <c r="J550" s="4865" t="s">
        <v>516</v>
      </c>
      <c r="K550" s="4866">
        <f t="array" ref="K550">IFERROR(VLOOKUP(J534,Dex!$B$3:$N1361,11,FALSE),"")</f>
        <v>125</v>
      </c>
      <c r="L550" s="4867" t="str">
        <f t="array" ref="L550">IFERROR(VLOOKUP(K550,Dex!$P$22:$Q$276,2,FALSE),"")</f>
        <v/>
      </c>
      <c r="M550" s="4868"/>
      <c r="N550" s="4864"/>
      <c r="O550" s="4865" t="s">
        <v>516</v>
      </c>
      <c r="P550" s="4866">
        <f t="array" ref="P550">IFERROR(VLOOKUP(O534,Dex!$B$3:$N1361,11,FALSE),"")</f>
        <v>75</v>
      </c>
      <c r="Q550" s="4867" t="str">
        <f t="array" ref="Q550">IFERROR(VLOOKUP(P550,Dex!$P$22:$Q$276,2,FALSE),"")</f>
        <v/>
      </c>
      <c r="R550" s="4868"/>
      <c r="S550" s="4864"/>
      <c r="T550" s="4865" t="s">
        <v>516</v>
      </c>
      <c r="U550" s="4866">
        <f t="array" ref="U550">IFERROR(VLOOKUP(T534,Dex!$B$3:$N1361,11,FALSE),"")</f>
        <v>116</v>
      </c>
      <c r="V550" s="4867" t="str">
        <f t="array" ref="V550">IFERROR(VLOOKUP(U550,Dex!$P$22:$Q$276,2,FALSE),"")</f>
        <v/>
      </c>
      <c r="W550" s="4868"/>
      <c r="X550" s="4864"/>
      <c r="Y550" s="4865" t="s">
        <v>516</v>
      </c>
      <c r="Z550" s="4866">
        <f t="array" ref="Z550">IFERROR(VLOOKUP(Y534,Dex!$B$3:$N1361,11,FALSE),"")</f>
        <v>135</v>
      </c>
      <c r="AA550" s="4867" t="str">
        <f t="array" ref="AA550">IFERROR(VLOOKUP(Z550,Dex!$P$22:$Q$276,2,FALSE),"")</f>
        <v/>
      </c>
      <c r="AB550" s="4868"/>
      <c r="AC550" s="4864"/>
      <c r="AD550" s="4865" t="s">
        <v>516</v>
      </c>
      <c r="AE550" s="4866">
        <f t="array" ref="AE550">IFERROR(VLOOKUP(AD534,Dex!$B$3:$N1361,11,FALSE),"")</f>
        <v>95</v>
      </c>
      <c r="AF550" s="4867" t="str">
        <f t="array" ref="AF550">IFERROR(VLOOKUP(AE550,Dex!$P$22:$Q$276,2,FALSE),"")</f>
        <v/>
      </c>
      <c r="AG550" s="4868"/>
      <c r="AH550" s="4859"/>
      <c r="AI550" s="3543"/>
    </row>
    <row r="551" ht="16.5" customHeight="1">
      <c r="A551" s="3535"/>
      <c r="B551" s="4854"/>
      <c r="C551" s="4835"/>
      <c r="D551" s="4855"/>
      <c r="E551" s="4865" t="s">
        <v>517</v>
      </c>
      <c r="F551" s="4866">
        <f t="array" ref="F551">IFERROR(VLOOKUP(E534,Dex!$B$3:$N1361,12,FALSE),"")</f>
        <v>107</v>
      </c>
      <c r="G551" s="4867" t="str">
        <f t="array" ref="G551">IFERROR(VLOOKUP(F551,Dex!$P$22:$Q$276,2,FALSE),"")</f>
        <v/>
      </c>
      <c r="H551" s="4868"/>
      <c r="I551" s="4855"/>
      <c r="J551" s="4865" t="s">
        <v>517</v>
      </c>
      <c r="K551" s="4866">
        <f t="array" ref="K551">IFERROR(VLOOKUP(J534,Dex!$B$3:$N1361,12,FALSE),"")</f>
        <v>80</v>
      </c>
      <c r="L551" s="4867" t="str">
        <f t="array" ref="L551">IFERROR(VLOOKUP(K551,Dex!$P$22:$Q$276,2,FALSE),"")</f>
        <v/>
      </c>
      <c r="M551" s="4868"/>
      <c r="N551" s="4864"/>
      <c r="O551" s="4865" t="s">
        <v>517</v>
      </c>
      <c r="P551" s="4866">
        <f t="array" ref="P551">IFERROR(VLOOKUP(O534,Dex!$B$3:$N1361,12,FALSE),"")</f>
        <v>85</v>
      </c>
      <c r="Q551" s="4867" t="str">
        <f t="array" ref="Q551">IFERROR(VLOOKUP(P551,Dex!$P$22:$Q$276,2,FALSE),"")</f>
        <v/>
      </c>
      <c r="R551" s="4868"/>
      <c r="S551" s="4864"/>
      <c r="T551" s="4865" t="s">
        <v>517</v>
      </c>
      <c r="U551" s="4866">
        <f t="array" ref="U551">IFERROR(VLOOKUP(T534,Dex!$B$3:$N1361,12,FALSE),"")</f>
        <v>56</v>
      </c>
      <c r="V551" s="4867" t="str">
        <f t="array" ref="V551">IFERROR(VLOOKUP(U551,Dex!$P$22:$Q$276,2,FALSE),"")</f>
        <v/>
      </c>
      <c r="W551" s="4868"/>
      <c r="X551" s="4864"/>
      <c r="Y551" s="4865" t="s">
        <v>517</v>
      </c>
      <c r="Z551" s="4866">
        <f t="array" ref="Z551">IFERROR(VLOOKUP(Y534,Dex!$B$3:$N1361,12,FALSE),"")</f>
        <v>115</v>
      </c>
      <c r="AA551" s="4867" t="str">
        <f t="array" ref="AA551">IFERROR(VLOOKUP(Z551,Dex!$P$22:$Q$276,2,FALSE),"")</f>
        <v/>
      </c>
      <c r="AB551" s="4868"/>
      <c r="AC551" s="4864"/>
      <c r="AD551" s="4865" t="s">
        <v>517</v>
      </c>
      <c r="AE551" s="4866">
        <f t="array" ref="AE551">IFERROR(VLOOKUP(AD534,Dex!$B$3:$N1361,12,FALSE),"")</f>
        <v>90</v>
      </c>
      <c r="AF551" s="4867" t="str">
        <f t="array" ref="AF551">IFERROR(VLOOKUP(AE551,Dex!$P$22:$Q$276,2,FALSE),"")</f>
        <v/>
      </c>
      <c r="AG551" s="4868"/>
      <c r="AH551" s="4859"/>
      <c r="AI551" s="3543"/>
    </row>
    <row r="552" ht="16.5" customHeight="1">
      <c r="A552" s="3535"/>
      <c r="B552" s="4854"/>
      <c r="C552" s="1426" t="s">
        <v>745</v>
      </c>
      <c r="D552" s="4855"/>
      <c r="E552" s="4869" t="s">
        <v>518</v>
      </c>
      <c r="F552" s="4870">
        <f t="array" ref="F552">IFERROR(VLOOKUP(E534,Dex!$B$3:$N1361,13,FALSE),"")</f>
        <v>86</v>
      </c>
      <c r="G552" s="4867" t="str">
        <f t="array" ref="G552">IFERROR(VLOOKUP(F552,Dex!$P$22:$Q$276,2,FALSE),"")</f>
        <v/>
      </c>
      <c r="H552" s="4868"/>
      <c r="I552" s="4855"/>
      <c r="J552" s="4869" t="s">
        <v>518</v>
      </c>
      <c r="K552" s="4870">
        <f t="array" ref="K552">IFERROR(VLOOKUP(J534,Dex!$B$3:$N1361,13,FALSE),"")</f>
        <v>111</v>
      </c>
      <c r="L552" s="4867" t="str">
        <f t="array" ref="L552">IFERROR(VLOOKUP(K552,Dex!$P$22:$Q$276,2,FALSE),"")</f>
        <v/>
      </c>
      <c r="M552" s="4868"/>
      <c r="N552" s="4864"/>
      <c r="O552" s="4869" t="s">
        <v>518</v>
      </c>
      <c r="P552" s="4870">
        <f t="array" ref="P552">IFERROR(VLOOKUP(O534,Dex!$B$3:$N1361,13,FALSE),"")</f>
        <v>76</v>
      </c>
      <c r="Q552" s="4867" t="str">
        <f t="array" ref="Q552">IFERROR(VLOOKUP(P552,Dex!$P$22:$Q$276,2,FALSE),"")</f>
        <v/>
      </c>
      <c r="R552" s="4868"/>
      <c r="S552" s="4864"/>
      <c r="T552" s="4869" t="s">
        <v>518</v>
      </c>
      <c r="U552" s="4870">
        <f t="array" ref="U552">IFERROR(VLOOKUP(T534,Dex!$B$3:$N1361,13,FALSE),"")</f>
        <v>95</v>
      </c>
      <c r="V552" s="4867" t="str">
        <f t="array" ref="V552">IFERROR(VLOOKUP(U552,Dex!$P$22:$Q$276,2,FALSE),"")</f>
        <v/>
      </c>
      <c r="W552" s="4868"/>
      <c r="X552" s="4864"/>
      <c r="Y552" s="4869" t="s">
        <v>518</v>
      </c>
      <c r="Z552" s="4870">
        <f t="array" ref="Z552">IFERROR(VLOOKUP(Y534,Dex!$B$3:$N1361,13,FALSE),"")</f>
        <v>78</v>
      </c>
      <c r="AA552" s="4867" t="str">
        <f t="array" ref="AA552">IFERROR(VLOOKUP(Z552,Dex!$P$22:$Q$276,2,FALSE),"")</f>
        <v/>
      </c>
      <c r="AB552" s="4868"/>
      <c r="AC552" s="4864"/>
      <c r="AD552" s="4869" t="s">
        <v>518</v>
      </c>
      <c r="AE552" s="4870">
        <f t="array" ref="AE552">IFERROR(VLOOKUP(AD534,Dex!$B$3:$N1361,13,FALSE),"")</f>
        <v>65</v>
      </c>
      <c r="AF552" s="4867" t="str">
        <f t="array" ref="AF552">IFERROR(VLOOKUP(AE552,Dex!$P$22:$Q$276,2,FALSE),"")</f>
        <v/>
      </c>
      <c r="AG552" s="4868"/>
      <c r="AH552" s="4859"/>
      <c r="AI552" s="3543"/>
    </row>
    <row r="553" ht="16.5" customHeight="1">
      <c r="A553" s="3535"/>
      <c r="B553" s="4854"/>
      <c r="C553" s="1427" t="s">
        <v>746</v>
      </c>
      <c r="D553" s="4855"/>
      <c r="E553" s="4871" t="s">
        <v>519</v>
      </c>
      <c r="F553" s="630"/>
      <c r="G553" s="631"/>
      <c r="H553" s="632">
        <f>ROUNDDOWN((ROUNDDOWN(((((2*F552+31)*66)/100+5)),0))*1.1,0)</f>
        <v>151</v>
      </c>
      <c r="I553" s="4857"/>
      <c r="J553" s="4871" t="s">
        <v>519</v>
      </c>
      <c r="K553" s="630"/>
      <c r="L553" s="631"/>
      <c r="M553" s="632">
        <f>ROUNDDOWN((ROUNDDOWN(((((2*K552+31)*66)/100+5)),0))*1.1,0)</f>
        <v>188</v>
      </c>
      <c r="N553" s="4858"/>
      <c r="O553" s="4871" t="s">
        <v>519</v>
      </c>
      <c r="P553" s="630"/>
      <c r="Q553" s="631"/>
      <c r="R553" s="632">
        <f>ROUNDDOWN((ROUNDDOWN(((((2*P552+31)*66)/100+5)),0))*1.1,0)</f>
        <v>137</v>
      </c>
      <c r="S553" s="4858"/>
      <c r="T553" s="4871" t="s">
        <v>519</v>
      </c>
      <c r="U553" s="630"/>
      <c r="V553" s="631"/>
      <c r="W553" s="632">
        <f>ROUNDDOWN((ROUNDDOWN(((((2*U552+31)*66)/100+5)),0))*1.1,0)</f>
        <v>165</v>
      </c>
      <c r="X553" s="4858"/>
      <c r="Y553" s="4871" t="s">
        <v>519</v>
      </c>
      <c r="Z553" s="630"/>
      <c r="AA553" s="631"/>
      <c r="AB553" s="632">
        <f>ROUNDDOWN((ROUNDDOWN(((((2*Z552+31)*66)/100+5)),0))*1.1,0)</f>
        <v>140</v>
      </c>
      <c r="AC553" s="4858"/>
      <c r="AD553" s="4871" t="s">
        <v>519</v>
      </c>
      <c r="AE553" s="630"/>
      <c r="AF553" s="631"/>
      <c r="AG553" s="632">
        <f>ROUNDDOWN((ROUNDDOWN(((((2*AE552+31)*66)/100+5)),0))*1,0)</f>
        <v>111</v>
      </c>
      <c r="AH553" s="4859"/>
      <c r="AI553" s="3543"/>
    </row>
    <row r="554" ht="15.0" customHeight="1">
      <c r="A554" s="3446"/>
      <c r="B554" s="4872"/>
      <c r="C554" s="4873"/>
      <c r="D554" s="4874"/>
      <c r="E554" s="4874"/>
      <c r="F554" s="4874"/>
      <c r="G554" s="4874"/>
      <c r="H554" s="4874"/>
      <c r="I554" s="4874"/>
      <c r="J554" s="4875"/>
      <c r="K554" s="4875"/>
      <c r="L554" s="4875"/>
      <c r="M554" s="4874"/>
      <c r="N554" s="4874"/>
      <c r="O554" s="4875"/>
      <c r="P554" s="4875"/>
      <c r="Q554" s="4875"/>
      <c r="R554" s="4874"/>
      <c r="S554" s="4874"/>
      <c r="T554" s="4875"/>
      <c r="U554" s="4875"/>
      <c r="V554" s="4875"/>
      <c r="W554" s="4874"/>
      <c r="X554" s="4874"/>
      <c r="Y554" s="4875"/>
      <c r="Z554" s="4875"/>
      <c r="AA554" s="4875"/>
      <c r="AB554" s="4874"/>
      <c r="AC554" s="4874"/>
      <c r="AD554" s="4875"/>
      <c r="AE554" s="4875"/>
      <c r="AF554" s="4875"/>
      <c r="AG554" s="4874"/>
      <c r="AH554" s="4876"/>
      <c r="AI554" s="3452"/>
    </row>
    <row r="555" ht="15.0" customHeight="1">
      <c r="A555" s="3446"/>
      <c r="B555" s="3995"/>
      <c r="C555" s="3996"/>
      <c r="D555" s="3996"/>
      <c r="E555" s="3996"/>
      <c r="F555" s="3996"/>
      <c r="G555" s="3996"/>
      <c r="H555" s="3996"/>
      <c r="I555" s="3996"/>
      <c r="J555" s="3996"/>
      <c r="K555" s="3996"/>
      <c r="L555" s="3996"/>
      <c r="M555" s="3996"/>
      <c r="N555" s="3996"/>
      <c r="O555" s="3996"/>
      <c r="P555" s="3996"/>
      <c r="Q555" s="3996"/>
      <c r="R555" s="3996"/>
      <c r="S555" s="3996"/>
      <c r="T555" s="3996"/>
      <c r="U555" s="3996"/>
      <c r="V555" s="3996"/>
      <c r="W555" s="3996"/>
      <c r="X555" s="3996"/>
      <c r="Y555" s="3996"/>
      <c r="Z555" s="3996"/>
      <c r="AA555" s="3996"/>
      <c r="AB555" s="3996"/>
      <c r="AC555" s="3996"/>
      <c r="AD555" s="3996"/>
      <c r="AE555" s="3996"/>
      <c r="AF555" s="3996"/>
      <c r="AG555" s="3996"/>
      <c r="AH555" s="3997"/>
      <c r="AI555" s="3452"/>
    </row>
    <row r="556">
      <c r="A556" s="3446"/>
      <c r="B556" s="3998"/>
      <c r="C556" s="4031"/>
      <c r="D556" s="4024"/>
      <c r="E556" s="4877" t="s">
        <v>1533</v>
      </c>
      <c r="F556" s="4042"/>
      <c r="G556" s="4042"/>
      <c r="H556" s="4042"/>
      <c r="I556" s="4042"/>
      <c r="J556" s="4042"/>
      <c r="K556" s="4042"/>
      <c r="L556" s="4042"/>
      <c r="M556" s="4042"/>
      <c r="N556" s="4042"/>
      <c r="O556" s="4042"/>
      <c r="P556" s="4042"/>
      <c r="Q556" s="4042"/>
      <c r="R556" s="4042"/>
      <c r="S556" s="4042"/>
      <c r="T556" s="4042"/>
      <c r="U556" s="4042"/>
      <c r="V556" s="4042"/>
      <c r="W556" s="4042"/>
      <c r="X556" s="4042"/>
      <c r="Y556" s="4042"/>
      <c r="Z556" s="4042"/>
      <c r="AA556" s="4042"/>
      <c r="AB556" s="4042"/>
      <c r="AC556" s="4042"/>
      <c r="AD556" s="4042"/>
      <c r="AE556" s="4042"/>
      <c r="AF556" s="4042"/>
      <c r="AG556" s="4043"/>
      <c r="AH556" s="4007"/>
      <c r="AI556" s="3452"/>
    </row>
    <row r="557" ht="96.75" customHeight="1">
      <c r="A557" s="3446"/>
      <c r="B557" s="3998"/>
      <c r="C557" s="3999" t="str">
        <f>IMAGE("https://i.ibb.co/n7Pn1gb/Camper.png")</f>
        <v/>
      </c>
      <c r="D557" s="4102"/>
      <c r="E557" s="4001" t="str">
        <f t="array" ref="E557">IFERROR(VLOOKUP(E558,Dex!$B$3:$G1361,3,FALSE),"")</f>
        <v/>
      </c>
      <c r="F557" s="1945"/>
      <c r="G557" s="1945"/>
      <c r="H557" s="1946"/>
      <c r="I557" s="4103"/>
      <c r="J557" s="4001" t="str">
        <f t="array" ref="J557">IFERROR(VLOOKUP(J558,Dex!$B$3:$G1361,3,FALSE),"")</f>
        <v/>
      </c>
      <c r="K557" s="1945"/>
      <c r="L557" s="1945"/>
      <c r="M557" s="1946"/>
      <c r="N557" s="4103"/>
      <c r="O557" s="4001" t="str">
        <f t="array" ref="O557">IFERROR(VLOOKUP(O558,Dex!$B$3:$G1361,3,FALSE),"")</f>
        <v/>
      </c>
      <c r="P557" s="1945"/>
      <c r="Q557" s="1945"/>
      <c r="R557" s="1946"/>
      <c r="S557" s="4104"/>
      <c r="T557" s="4001" t="str">
        <f t="array" ref="T557">IFERROR(VLOOKUP(T558,Dex!$B$3:$G1361,3,FALSE),"")</f>
        <v/>
      </c>
      <c r="U557" s="1945"/>
      <c r="V557" s="1945"/>
      <c r="W557" s="1946"/>
      <c r="X557" s="4105"/>
      <c r="Y557" s="4004"/>
      <c r="Z557" s="4005"/>
      <c r="AA557" s="4005"/>
      <c r="AB557" s="4006"/>
      <c r="AC557" s="4003"/>
      <c r="AD557" s="4004"/>
      <c r="AE557" s="4005"/>
      <c r="AF557" s="4005"/>
      <c r="AG557" s="4006"/>
      <c r="AH557" s="4007"/>
      <c r="AI557" s="3452"/>
    </row>
    <row r="558" ht="18.75" customHeight="1">
      <c r="A558" s="3689"/>
      <c r="B558" s="4008"/>
      <c r="C558" s="4009" t="s">
        <v>1534</v>
      </c>
      <c r="D558" s="4106"/>
      <c r="E558" s="4011" t="s">
        <v>1535</v>
      </c>
      <c r="F558" s="4012"/>
      <c r="G558" s="4012"/>
      <c r="H558" s="4013"/>
      <c r="J558" s="4011" t="s">
        <v>1536</v>
      </c>
      <c r="K558" s="4012"/>
      <c r="L558" s="4012"/>
      <c r="M558" s="4013"/>
      <c r="O558" s="4011" t="s">
        <v>1537</v>
      </c>
      <c r="P558" s="4012"/>
      <c r="Q558" s="4012"/>
      <c r="R558" s="4013"/>
      <c r="T558" s="4011" t="s">
        <v>1065</v>
      </c>
      <c r="U558" s="4012"/>
      <c r="V558" s="4012"/>
      <c r="W558" s="4013"/>
      <c r="X558" s="4107"/>
      <c r="Y558" s="4015"/>
      <c r="Z558" s="4005"/>
      <c r="AA558" s="4005"/>
      <c r="AB558" s="4006"/>
      <c r="AC558" s="4014"/>
      <c r="AD558" s="4015"/>
      <c r="AE558" s="4005"/>
      <c r="AF558" s="4005"/>
      <c r="AG558" s="4006"/>
      <c r="AH558" s="4016"/>
      <c r="AI558" s="3700"/>
    </row>
    <row r="559">
      <c r="A559" s="3701"/>
      <c r="B559" s="4017"/>
      <c r="C559" s="1638"/>
      <c r="D559" s="4108"/>
      <c r="E559" s="4019" t="s">
        <v>796</v>
      </c>
      <c r="F559" s="4020"/>
      <c r="G559" s="4020"/>
      <c r="H559" s="4021"/>
      <c r="J559" s="4019" t="s">
        <v>796</v>
      </c>
      <c r="K559" s="4020"/>
      <c r="L559" s="4020"/>
      <c r="M559" s="4021"/>
      <c r="O559" s="4019" t="s">
        <v>796</v>
      </c>
      <c r="P559" s="4020"/>
      <c r="Q559" s="4020"/>
      <c r="R559" s="4021"/>
      <c r="T559" s="4019" t="s">
        <v>796</v>
      </c>
      <c r="U559" s="4020"/>
      <c r="V559" s="4020"/>
      <c r="W559" s="4021"/>
      <c r="X559" s="4107"/>
      <c r="Y559" s="4022"/>
      <c r="Z559" s="4005"/>
      <c r="AA559" s="4005"/>
      <c r="AB559" s="4006"/>
      <c r="AC559" s="4014"/>
      <c r="AD559" s="4022"/>
      <c r="AE559" s="4005"/>
      <c r="AF559" s="4005"/>
      <c r="AG559" s="4006"/>
      <c r="AH559" s="4023"/>
      <c r="AI559" s="3709"/>
    </row>
    <row r="560" ht="25.5" customHeight="1">
      <c r="A560" s="3446"/>
      <c r="B560" s="3998"/>
      <c r="C560" s="1646"/>
      <c r="D560" s="4024"/>
      <c r="E560" s="4025"/>
      <c r="F560" s="4029" t="str">
        <f t="array" ref="F560">IFERROR(VLOOKUP(E558,Dex!$B$3:$H1361,5,FALSE),"")</f>
        <v/>
      </c>
      <c r="G560" s="4030" t="str">
        <f t="array" ref="G560">IFERROR(VLOOKUP(E558,Dex!$B$3:$H1361,7,FALSE),"")</f>
        <v/>
      </c>
      <c r="H560" s="4028"/>
      <c r="J560" s="4025"/>
      <c r="K560" s="4026" t="str">
        <f t="array" ref="K560">IFERROR(VLOOKUP(J558,Dex!$B$3:$H1361,5,FALSE),"")</f>
        <v/>
      </c>
      <c r="L560" s="4027"/>
      <c r="M560" s="4028"/>
      <c r="O560" s="4025"/>
      <c r="P560" s="4026" t="str">
        <f t="array" ref="P560">IFERROR(VLOOKUP(O558,Dex!$B$3:$H1361,5,FALSE),"")</f>
        <v/>
      </c>
      <c r="Q560" s="4027"/>
      <c r="R560" s="4028"/>
      <c r="T560" s="4025"/>
      <c r="U560" s="4029" t="str">
        <f t="array" ref="U560">IFERROR(VLOOKUP(T558,Dex!$B$3:$H1361,5,FALSE),"")</f>
        <v/>
      </c>
      <c r="V560" s="4030" t="str">
        <f t="array" ref="V560">IFERROR(VLOOKUP(T558,Dex!$B$3:$H1361,7,FALSE),"")</f>
        <v/>
      </c>
      <c r="W560" s="4028"/>
      <c r="X560" s="4107"/>
      <c r="Y560" s="4004"/>
      <c r="Z560" s="4005"/>
      <c r="AA560" s="4005"/>
      <c r="AB560" s="4006"/>
      <c r="AC560" s="4014"/>
      <c r="AD560" s="4004"/>
      <c r="AE560" s="4005"/>
      <c r="AF560" s="4005"/>
      <c r="AG560" s="4006"/>
      <c r="AH560" s="4007"/>
      <c r="AI560" s="3452"/>
    </row>
    <row r="561" ht="2.25" customHeight="1">
      <c r="A561" s="3446"/>
      <c r="B561" s="3998"/>
      <c r="C561" s="4031"/>
      <c r="D561" s="4024"/>
      <c r="E561" s="4032"/>
      <c r="F561" s="4033"/>
      <c r="G561" s="4033"/>
      <c r="H561" s="4034"/>
      <c r="J561" s="4032"/>
      <c r="K561" s="4033"/>
      <c r="L561" s="4033"/>
      <c r="M561" s="4034"/>
      <c r="O561" s="4032"/>
      <c r="P561" s="4033"/>
      <c r="Q561" s="4033"/>
      <c r="R561" s="4034"/>
      <c r="T561" s="4032"/>
      <c r="U561" s="4033"/>
      <c r="V561" s="4033"/>
      <c r="W561" s="4034"/>
      <c r="X561" s="4107"/>
      <c r="Y561" s="4024"/>
      <c r="Z561" s="4024"/>
      <c r="AA561" s="4024"/>
      <c r="AB561" s="4024"/>
      <c r="AC561" s="4014"/>
      <c r="AD561" s="4024"/>
      <c r="AE561" s="4024"/>
      <c r="AF561" s="4024"/>
      <c r="AG561" s="4024"/>
      <c r="AH561" s="4007"/>
      <c r="AI561" s="3452"/>
    </row>
    <row r="562" ht="20.25" customHeight="1">
      <c r="A562" s="3446"/>
      <c r="B562" s="3998"/>
      <c r="C562" s="4031"/>
      <c r="D562" s="4004"/>
      <c r="E562" s="4035" t="s">
        <v>532</v>
      </c>
      <c r="F562" s="4036"/>
      <c r="G562" s="4036"/>
      <c r="H562" s="4037"/>
      <c r="J562" s="4035" t="s">
        <v>532</v>
      </c>
      <c r="K562" s="4036"/>
      <c r="L562" s="4036"/>
      <c r="M562" s="4037"/>
      <c r="O562" s="4035" t="s">
        <v>480</v>
      </c>
      <c r="P562" s="4036"/>
      <c r="Q562" s="4036"/>
      <c r="R562" s="4037"/>
      <c r="T562" s="4035" t="s">
        <v>564</v>
      </c>
      <c r="U562" s="4036"/>
      <c r="V562" s="4036"/>
      <c r="W562" s="4037"/>
      <c r="X562" s="4107"/>
      <c r="Y562" s="4004"/>
      <c r="Z562" s="4005"/>
      <c r="AA562" s="4005"/>
      <c r="AB562" s="4006"/>
      <c r="AC562" s="4014"/>
      <c r="AD562" s="4004"/>
      <c r="AE562" s="4005"/>
      <c r="AF562" s="4005"/>
      <c r="AG562" s="4006"/>
      <c r="AH562" s="4007"/>
      <c r="AI562" s="3452"/>
    </row>
    <row r="563" ht="20.25" customHeight="1">
      <c r="A563" s="3446"/>
      <c r="B563" s="3998"/>
      <c r="C563" s="4038"/>
      <c r="D563" s="4004"/>
      <c r="E563" s="4039" t="s">
        <v>1538</v>
      </c>
      <c r="F563" s="4005"/>
      <c r="G563" s="4005"/>
      <c r="H563" s="4040"/>
      <c r="J563" s="4039" t="s">
        <v>107</v>
      </c>
      <c r="K563" s="4005"/>
      <c r="L563" s="4005"/>
      <c r="M563" s="4040"/>
      <c r="O563" s="4039" t="s">
        <v>570</v>
      </c>
      <c r="P563" s="4005"/>
      <c r="Q563" s="4005"/>
      <c r="R563" s="4040"/>
      <c r="T563" s="4039" t="s">
        <v>484</v>
      </c>
      <c r="U563" s="4005"/>
      <c r="V563" s="4005"/>
      <c r="W563" s="4040"/>
      <c r="X563" s="4107"/>
      <c r="Y563" s="4004"/>
      <c r="Z563" s="4005"/>
      <c r="AA563" s="4005"/>
      <c r="AB563" s="4006"/>
      <c r="AC563" s="4014"/>
      <c r="AD563" s="4004"/>
      <c r="AE563" s="4005"/>
      <c r="AF563" s="4005"/>
      <c r="AG563" s="4006"/>
      <c r="AH563" s="4007"/>
      <c r="AI563" s="3452"/>
    </row>
    <row r="564" ht="20.25" customHeight="1">
      <c r="A564" s="3446"/>
      <c r="B564" s="3998"/>
      <c r="C564" s="4014"/>
      <c r="D564" s="4004"/>
      <c r="E564" s="4041" t="s">
        <v>1197</v>
      </c>
      <c r="F564" s="4042"/>
      <c r="G564" s="4043"/>
      <c r="H564" s="4044" t="str">
        <f>IMAGE("https://raw.githubusercontent.com/msikma/pokesprite/master/items/berry/charti.png",3)</f>
        <v/>
      </c>
      <c r="J564" s="4041" t="s">
        <v>537</v>
      </c>
      <c r="K564" s="4042"/>
      <c r="L564" s="4043"/>
      <c r="M564" s="4044" t="str">
        <f>IMAGE("https://raw.githubusercontent.com/msikma/pokesprite/master/items/berry/sitrus.png",3)</f>
        <v/>
      </c>
      <c r="O564" s="4041" t="s">
        <v>713</v>
      </c>
      <c r="P564" s="4042"/>
      <c r="Q564" s="4043"/>
      <c r="R564" s="4044" t="str">
        <f>IMAGE("https://raw.githubusercontent.com/msikma/pokesprite/master/items/hold-item/assault-vest.png",3)</f>
        <v/>
      </c>
      <c r="T564" s="4041" t="s">
        <v>1261</v>
      </c>
      <c r="U564" s="4042"/>
      <c r="V564" s="4043"/>
      <c r="W564" s="4044" t="str">
        <f>IMAGE("https://raw.githubusercontent.com/msikma/pokesprite/master/items/z-crystals/ghostium-z--held.png",3)</f>
        <v/>
      </c>
      <c r="X564" s="4107"/>
      <c r="Y564" s="4004"/>
      <c r="Z564" s="4005"/>
      <c r="AA564" s="4005"/>
      <c r="AB564" s="4006"/>
      <c r="AC564" s="4014"/>
      <c r="AD564" s="4004"/>
      <c r="AE564" s="4005"/>
      <c r="AF564" s="4005"/>
      <c r="AG564" s="4006"/>
      <c r="AH564" s="4007"/>
      <c r="AI564" s="3452"/>
    </row>
    <row r="565" ht="20.25" customHeight="1">
      <c r="A565" s="3446"/>
      <c r="B565" s="3998"/>
      <c r="C565" s="4045"/>
      <c r="D565" s="4004"/>
      <c r="E565" s="4035" t="s">
        <v>612</v>
      </c>
      <c r="F565" s="4036"/>
      <c r="G565" s="4046"/>
      <c r="H565" s="4047" t="str">
        <f>IMAGE("https://raw.githubusercontent.com/msikma/pokesprite/master/misc/types/gen8/bug.png",4,20,20)</f>
        <v/>
      </c>
      <c r="J565" s="4035" t="s">
        <v>160</v>
      </c>
      <c r="K565" s="4036"/>
      <c r="L565" s="4046"/>
      <c r="M565" s="4047" t="str">
        <f>IMAGE("https://raw.githubusercontent.com/msikma/pokesprite/master/misc/types/gen8/normal.png",4,20,20)</f>
        <v/>
      </c>
      <c r="O565" s="4035" t="s">
        <v>548</v>
      </c>
      <c r="P565" s="4036"/>
      <c r="Q565" s="4046"/>
      <c r="R565" s="4047" t="str">
        <f t="shared" ref="R565:R566" si="15">IMAGE("https://raw.githubusercontent.com/msikma/pokesprite/master/misc/types/gen8/fighting.png",4,20,20)</f>
        <v/>
      </c>
      <c r="T565" s="4035" t="s">
        <v>259</v>
      </c>
      <c r="U565" s="4036"/>
      <c r="V565" s="4046"/>
      <c r="W565" s="4047" t="str">
        <f>IMAGE("https://raw.githubusercontent.com/msikma/pokesprite/master/misc/types/gen8/dark.png",4,20,20)</f>
        <v/>
      </c>
      <c r="X565" s="4107"/>
      <c r="Y565" s="4004"/>
      <c r="Z565" s="4005"/>
      <c r="AA565" s="4005"/>
      <c r="AB565" s="4006"/>
      <c r="AC565" s="4014"/>
      <c r="AD565" s="4004"/>
      <c r="AE565" s="4005"/>
      <c r="AF565" s="4005"/>
      <c r="AG565" s="4006"/>
      <c r="AH565" s="4007"/>
      <c r="AI565" s="3452"/>
    </row>
    <row r="566" ht="20.25" customHeight="1">
      <c r="A566" s="3446"/>
      <c r="B566" s="3998"/>
      <c r="C566" s="4031"/>
      <c r="D566" s="4004"/>
      <c r="E566" s="4039" t="s">
        <v>694</v>
      </c>
      <c r="F566" s="4005"/>
      <c r="G566" s="4006"/>
      <c r="H566" s="4048" t="str">
        <f>IMAGE("https://raw.githubusercontent.com/msikma/pokesprite/master/misc/types/gen8/fire.png",4,20,20)</f>
        <v/>
      </c>
      <c r="J566" s="4039" t="s">
        <v>925</v>
      </c>
      <c r="K566" s="4005"/>
      <c r="L566" s="4006"/>
      <c r="M566" s="4048" t="str">
        <f>IMAGE("https://raw.githubusercontent.com/msikma/pokesprite/master/misc/types/gen8/ice.png",4,20,20)</f>
        <v/>
      </c>
      <c r="O566" s="4039" t="s">
        <v>584</v>
      </c>
      <c r="P566" s="4005"/>
      <c r="Q566" s="4006"/>
      <c r="R566" s="4048" t="str">
        <f t="shared" si="15"/>
        <v/>
      </c>
      <c r="T566" s="4039" t="s">
        <v>647</v>
      </c>
      <c r="U566" s="4005"/>
      <c r="V566" s="4006"/>
      <c r="W566" s="4048" t="str">
        <f>IMAGE("https://raw.githubusercontent.com/msikma/pokesprite/master/misc/types/gen8/ghost.png",4,20,20)</f>
        <v/>
      </c>
      <c r="X566" s="4107"/>
      <c r="Y566" s="4004"/>
      <c r="Z566" s="4005"/>
      <c r="AA566" s="4005"/>
      <c r="AB566" s="4006"/>
      <c r="AC566" s="4014"/>
      <c r="AD566" s="4004"/>
      <c r="AE566" s="4005"/>
      <c r="AF566" s="4005"/>
      <c r="AG566" s="4006"/>
      <c r="AH566" s="4007"/>
      <c r="AI566" s="3452"/>
    </row>
    <row r="567" ht="20.25" customHeight="1">
      <c r="A567" s="3446"/>
      <c r="B567" s="3998"/>
      <c r="C567" s="4031"/>
      <c r="D567" s="4004"/>
      <c r="E567" s="4039" t="s">
        <v>925</v>
      </c>
      <c r="F567" s="4005"/>
      <c r="G567" s="4006"/>
      <c r="H567" s="4048" t="str">
        <f>IMAGE("https://raw.githubusercontent.com/msikma/pokesprite/master/misc/types/gen8/ice.png",4,20,20)</f>
        <v/>
      </c>
      <c r="J567" s="4039" t="s">
        <v>549</v>
      </c>
      <c r="K567" s="4005"/>
      <c r="L567" s="4006"/>
      <c r="M567" s="4048" t="str">
        <f>IMAGE("https://raw.githubusercontent.com/msikma/pokesprite/master/misc/types/gen8/ground.png",4,20,20)</f>
        <v/>
      </c>
      <c r="O567" s="4039" t="s">
        <v>579</v>
      </c>
      <c r="P567" s="4005"/>
      <c r="Q567" s="4006"/>
      <c r="R567" s="4048" t="str">
        <f>IMAGE("https://raw.githubusercontent.com/msikma/pokesprite/master/misc/types/gen8/dark.png",4,20,20)</f>
        <v/>
      </c>
      <c r="T567" s="4039" t="s">
        <v>590</v>
      </c>
      <c r="U567" s="4005"/>
      <c r="V567" s="4006"/>
      <c r="W567" s="4048" t="str">
        <f>IMAGE("https://raw.githubusercontent.com/msikma/pokesprite/master/misc/types/gen8/fighting.png",4,20,20)</f>
        <v/>
      </c>
      <c r="X567" s="4107"/>
      <c r="Y567" s="4004"/>
      <c r="Z567" s="4005"/>
      <c r="AA567" s="4005"/>
      <c r="AB567" s="4006"/>
      <c r="AC567" s="4014"/>
      <c r="AD567" s="4004"/>
      <c r="AE567" s="4005"/>
      <c r="AF567" s="4005"/>
      <c r="AG567" s="4006"/>
      <c r="AH567" s="4007"/>
      <c r="AI567" s="3452"/>
    </row>
    <row r="568" ht="21.0" customHeight="1">
      <c r="A568" s="3446"/>
      <c r="B568" s="3998"/>
      <c r="C568" s="4031"/>
      <c r="D568" s="4004"/>
      <c r="E568" s="4049" t="s">
        <v>549</v>
      </c>
      <c r="F568" s="4050"/>
      <c r="G568" s="4051"/>
      <c r="H568" s="4052" t="str">
        <f>IMAGE("https://raw.githubusercontent.com/msikma/pokesprite/master/misc/types/gen8/ground.png",4,20,20)</f>
        <v/>
      </c>
      <c r="I568" s="4109"/>
      <c r="J568" s="4049" t="s">
        <v>959</v>
      </c>
      <c r="K568" s="4050"/>
      <c r="L568" s="4051"/>
      <c r="M568" s="4052" t="str">
        <f>IMAGE("https://raw.githubusercontent.com/msikma/pokesprite/master/misc/types/gen8/fairy.png",4,20,20)</f>
        <v/>
      </c>
      <c r="N568" s="4109"/>
      <c r="O568" s="4049" t="s">
        <v>504</v>
      </c>
      <c r="P568" s="4050"/>
      <c r="Q568" s="4051"/>
      <c r="R568" s="4052" t="str">
        <f>IMAGE("https://raw.githubusercontent.com/msikma/pokesprite/master/misc/types/gen8/electric.png",4,20,20)</f>
        <v/>
      </c>
      <c r="S568" s="4109"/>
      <c r="T568" s="4049" t="s">
        <v>773</v>
      </c>
      <c r="U568" s="4050"/>
      <c r="V568" s="4051"/>
      <c r="W568" s="4052" t="str">
        <f>IMAGE("https://raw.githubusercontent.com/msikma/pokesprite/master/misc/types/gen8/poison.png",4,20,20)</f>
        <v/>
      </c>
      <c r="X568" s="4110"/>
      <c r="Y568" s="4004"/>
      <c r="Z568" s="4005"/>
      <c r="AA568" s="4005"/>
      <c r="AB568" s="4006"/>
      <c r="AC568" s="4045"/>
      <c r="AD568" s="4004"/>
      <c r="AE568" s="4005"/>
      <c r="AF568" s="4005"/>
      <c r="AG568" s="4006"/>
      <c r="AH568" s="4007"/>
      <c r="AI568" s="3452"/>
    </row>
    <row r="569" ht="3.0" customHeight="1">
      <c r="A569" s="3524"/>
      <c r="B569" s="4053"/>
      <c r="C569" s="4054"/>
      <c r="D569" s="4055"/>
      <c r="E569" s="4112"/>
      <c r="F569" s="4112"/>
      <c r="G569" s="4112"/>
      <c r="H569" s="4056"/>
      <c r="I569" s="4055"/>
      <c r="J569" s="4112"/>
      <c r="K569" s="4112"/>
      <c r="L569" s="4112"/>
      <c r="M569" s="4056"/>
      <c r="N569" s="4055"/>
      <c r="O569" s="4112"/>
      <c r="P569" s="4112"/>
      <c r="Q569" s="4112"/>
      <c r="R569" s="4056"/>
      <c r="S569" s="4056"/>
      <c r="T569" s="4112"/>
      <c r="U569" s="4112"/>
      <c r="V569" s="4112"/>
      <c r="W569" s="4056"/>
      <c r="X569" s="4055"/>
      <c r="Y569" s="4055"/>
      <c r="Z569" s="4058"/>
      <c r="AA569" s="4058"/>
      <c r="AB569" s="4059"/>
      <c r="AC569" s="4059"/>
      <c r="AD569" s="4059"/>
      <c r="AE569" s="4059"/>
      <c r="AF569" s="4059"/>
      <c r="AG569" s="4059"/>
      <c r="AH569" s="4060"/>
      <c r="AI569" s="3534"/>
    </row>
    <row r="570" ht="16.5" customHeight="1">
      <c r="A570" s="3535"/>
      <c r="B570" s="4061"/>
      <c r="C570" s="4054"/>
      <c r="D570" s="4064"/>
      <c r="E570" s="4063" t="s">
        <v>512</v>
      </c>
      <c r="F570" s="606"/>
      <c r="G570" s="606"/>
      <c r="H570" s="607"/>
      <c r="I570" s="4064"/>
      <c r="J570" s="4063" t="s">
        <v>512</v>
      </c>
      <c r="K570" s="606"/>
      <c r="L570" s="606"/>
      <c r="M570" s="607"/>
      <c r="N570" s="4064"/>
      <c r="O570" s="4063" t="s">
        <v>512</v>
      </c>
      <c r="P570" s="606"/>
      <c r="Q570" s="606"/>
      <c r="R570" s="607"/>
      <c r="S570" s="4453"/>
      <c r="T570" s="4063" t="s">
        <v>512</v>
      </c>
      <c r="U570" s="606"/>
      <c r="V570" s="606"/>
      <c r="W570" s="607"/>
      <c r="X570" s="4067"/>
      <c r="Y570" s="4067"/>
      <c r="Z570" s="4062"/>
      <c r="AA570" s="4062"/>
      <c r="AB570" s="4067"/>
      <c r="AC570" s="4067"/>
      <c r="AD570" s="4067"/>
      <c r="AE570" s="4067"/>
      <c r="AF570" s="4067"/>
      <c r="AG570" s="4067"/>
      <c r="AH570" s="4068"/>
      <c r="AI570" s="3543"/>
    </row>
    <row r="571" ht="16.5" customHeight="1">
      <c r="A571" s="3535"/>
      <c r="B571" s="4061"/>
      <c r="C571" s="4054"/>
      <c r="D571" s="4062"/>
      <c r="E571" s="4069" t="s">
        <v>513</v>
      </c>
      <c r="F571" s="4070">
        <f t="array" ref="F571">IFERROR(VLOOKUP(E558,Dex!$B$3:$N1361,8,FALSE),"")</f>
        <v>105</v>
      </c>
      <c r="G571" s="4071" t="str">
        <f t="array" ref="G571">IFERROR(VLOOKUP(F571,Dex!$P$22:$Q$276,2,FALSE),"")</f>
        <v/>
      </c>
      <c r="H571" s="4072"/>
      <c r="I571" s="4062"/>
      <c r="J571" s="4069" t="s">
        <v>513</v>
      </c>
      <c r="K571" s="4070">
        <f t="array" ref="K571">IFERROR(VLOOKUP(J558,Dex!$B$3:$N1361,8,FALSE),"")</f>
        <v>170</v>
      </c>
      <c r="L571" s="4071" t="str">
        <f t="array" ref="L571">IFERROR(VLOOKUP(K571,Dex!$P$22:$Q$276,2,FALSE),"")</f>
        <v/>
      </c>
      <c r="M571" s="4072"/>
      <c r="N571" s="4062"/>
      <c r="O571" s="4069" t="s">
        <v>513</v>
      </c>
      <c r="P571" s="4070">
        <f t="array" ref="P571">IFERROR(VLOOKUP(O558,Dex!$B$3:$N1361,8,FALSE),"")</f>
        <v>105</v>
      </c>
      <c r="Q571" s="4071" t="str">
        <f t="array" ref="Q571">IFERROR(VLOOKUP(P571,Dex!$P$22:$Q$276,2,FALSE),"")</f>
        <v/>
      </c>
      <c r="R571" s="4072"/>
      <c r="S571" s="4073"/>
      <c r="T571" s="4069" t="s">
        <v>513</v>
      </c>
      <c r="U571" s="4070">
        <f t="array" ref="U571">IFERROR(VLOOKUP(T558,Dex!$B$3:$N1361,8,FALSE),"")</f>
        <v>60</v>
      </c>
      <c r="V571" s="4071" t="str">
        <f t="array" ref="V571">IFERROR(VLOOKUP(U571,Dex!$P$22:$Q$276,2,FALSE),"")</f>
        <v/>
      </c>
      <c r="W571" s="4072"/>
      <c r="X571" s="4067"/>
      <c r="Y571" s="4067"/>
      <c r="Z571" s="4062"/>
      <c r="AA571" s="4062"/>
      <c r="AB571" s="4067"/>
      <c r="AC571" s="4067"/>
      <c r="AD571" s="4067"/>
      <c r="AE571" s="4067"/>
      <c r="AF571" s="4067"/>
      <c r="AG571" s="4067"/>
      <c r="AH571" s="4068"/>
      <c r="AI571" s="3543"/>
    </row>
    <row r="572" ht="16.5" customHeight="1">
      <c r="A572" s="3535"/>
      <c r="B572" s="4061"/>
      <c r="C572" s="4054"/>
      <c r="D572" s="4062"/>
      <c r="E572" s="4075" t="s">
        <v>514</v>
      </c>
      <c r="F572" s="4076">
        <f t="array" ref="F572">IFERROR(VLOOKUP(E558,Dex!$B$3:$N1361,9,FALSE),"")</f>
        <v>160</v>
      </c>
      <c r="G572" s="4077" t="str">
        <f t="array" ref="G572">IFERROR(VLOOKUP(F572,Dex!$P$22:$Q$276,2,FALSE),"")</f>
        <v/>
      </c>
      <c r="H572" s="4078"/>
      <c r="I572" s="4062"/>
      <c r="J572" s="4075" t="s">
        <v>514</v>
      </c>
      <c r="K572" s="4076">
        <f t="array" ref="K572">IFERROR(VLOOKUP(J558,Dex!$B$3:$N1361,9,FALSE),"")</f>
        <v>113</v>
      </c>
      <c r="L572" s="4077" t="str">
        <f t="array" ref="L572">IFERROR(VLOOKUP(K572,Dex!$P$22:$Q$276,2,FALSE),"")</f>
        <v/>
      </c>
      <c r="M572" s="4078"/>
      <c r="N572" s="4062"/>
      <c r="O572" s="4075" t="s">
        <v>514</v>
      </c>
      <c r="P572" s="4076">
        <f t="array" ref="P572">IFERROR(VLOOKUP(O558,Dex!$B$3:$N1361,9,FALSE),"")</f>
        <v>140</v>
      </c>
      <c r="Q572" s="4077" t="str">
        <f t="array" ref="Q572">IFERROR(VLOOKUP(P572,Dex!$P$22:$Q$276,2,FALSE),"")</f>
        <v/>
      </c>
      <c r="R572" s="4078"/>
      <c r="S572" s="4073"/>
      <c r="T572" s="4075" t="s">
        <v>514</v>
      </c>
      <c r="U572" s="4076">
        <f t="array" ref="U572">IFERROR(VLOOKUP(T558,Dex!$B$3:$N1361,9,FALSE),"")</f>
        <v>65</v>
      </c>
      <c r="V572" s="4077" t="str">
        <f t="array" ref="V572">IFERROR(VLOOKUP(U572,Dex!$P$22:$Q$276,2,FALSE),"")</f>
        <v/>
      </c>
      <c r="W572" s="4078"/>
      <c r="X572" s="4067"/>
      <c r="Y572" s="4067"/>
      <c r="Z572" s="4062"/>
      <c r="AA572" s="4062"/>
      <c r="AB572" s="4067"/>
      <c r="AC572" s="4067"/>
      <c r="AD572" s="4067"/>
      <c r="AE572" s="4067"/>
      <c r="AF572" s="4067"/>
      <c r="AG572" s="4067"/>
      <c r="AH572" s="4068"/>
      <c r="AI572" s="3543"/>
    </row>
    <row r="573" ht="16.5" customHeight="1">
      <c r="A573" s="3535"/>
      <c r="B573" s="4061"/>
      <c r="C573" s="4054"/>
      <c r="D573" s="4062"/>
      <c r="E573" s="4075" t="s">
        <v>515</v>
      </c>
      <c r="F573" s="4076">
        <f t="array" ref="F573">IFERROR(VLOOKUP(E558,Dex!$B$3:$N1361,10,FALSE),"")</f>
        <v>55</v>
      </c>
      <c r="G573" s="4077" t="str">
        <f t="array" ref="G573">IFERROR(VLOOKUP(F573,Dex!$P$22:$Q$276,2,FALSE),"")</f>
        <v/>
      </c>
      <c r="H573" s="4078"/>
      <c r="I573" s="4062"/>
      <c r="J573" s="4075" t="s">
        <v>515</v>
      </c>
      <c r="K573" s="4076">
        <f t="array" ref="K573">IFERROR(VLOOKUP(J558,Dex!$B$3:$N1361,10,FALSE),"")</f>
        <v>65</v>
      </c>
      <c r="L573" s="4077" t="str">
        <f t="array" ref="L573">IFERROR(VLOOKUP(K573,Dex!$P$22:$Q$276,2,FALSE),"")</f>
        <v/>
      </c>
      <c r="M573" s="4078"/>
      <c r="N573" s="4062"/>
      <c r="O573" s="4075" t="s">
        <v>515</v>
      </c>
      <c r="P573" s="4076">
        <f t="array" ref="P573">IFERROR(VLOOKUP(O558,Dex!$B$3:$N1361,10,FALSE),"")</f>
        <v>95</v>
      </c>
      <c r="Q573" s="4077" t="str">
        <f t="array" ref="Q573">IFERROR(VLOOKUP(P573,Dex!$P$22:$Q$276,2,FALSE),"")</f>
        <v/>
      </c>
      <c r="R573" s="4078"/>
      <c r="S573" s="4073"/>
      <c r="T573" s="4075" t="s">
        <v>515</v>
      </c>
      <c r="U573" s="4076">
        <f t="array" ref="U573">IFERROR(VLOOKUP(T558,Dex!$B$3:$N1361,10,FALSE),"")</f>
        <v>60</v>
      </c>
      <c r="V573" s="4077" t="str">
        <f t="array" ref="V573">IFERROR(VLOOKUP(U573,Dex!$P$22:$Q$276,2,FALSE),"")</f>
        <v/>
      </c>
      <c r="W573" s="4078"/>
      <c r="X573" s="4067"/>
      <c r="Y573" s="4067"/>
      <c r="Z573" s="4062"/>
      <c r="AA573" s="4062"/>
      <c r="AB573" s="4067"/>
      <c r="AC573" s="4067"/>
      <c r="AD573" s="4067"/>
      <c r="AE573" s="4067"/>
      <c r="AF573" s="4067"/>
      <c r="AG573" s="4067"/>
      <c r="AH573" s="4068"/>
      <c r="AI573" s="3543"/>
    </row>
    <row r="574" ht="16.5" customHeight="1">
      <c r="A574" s="3535"/>
      <c r="B574" s="4061"/>
      <c r="C574" s="4054"/>
      <c r="D574" s="4062"/>
      <c r="E574" s="4075" t="s">
        <v>516</v>
      </c>
      <c r="F574" s="4076">
        <f t="array" ref="F574">IFERROR(VLOOKUP(E558,Dex!$B$3:$N1361,11,FALSE),"")</f>
        <v>30</v>
      </c>
      <c r="G574" s="4077" t="str">
        <f t="array" ref="G574">IFERROR(VLOOKUP(F574,Dex!$P$22:$Q$276,2,FALSE),"")</f>
        <v/>
      </c>
      <c r="H574" s="4078"/>
      <c r="I574" s="4062"/>
      <c r="J574" s="4075" t="s">
        <v>516</v>
      </c>
      <c r="K574" s="4076">
        <f t="array" ref="K574">IFERROR(VLOOKUP(J558,Dex!$B$3:$N1361,11,FALSE),"")</f>
        <v>45</v>
      </c>
      <c r="L574" s="4077" t="str">
        <f t="array" ref="L574">IFERROR(VLOOKUP(K574,Dex!$P$22:$Q$276,2,FALSE),"")</f>
        <v/>
      </c>
      <c r="M574" s="4078"/>
      <c r="N574" s="4062"/>
      <c r="O574" s="4075" t="s">
        <v>516</v>
      </c>
      <c r="P574" s="4076">
        <f t="array" ref="P574">IFERROR(VLOOKUP(O558,Dex!$B$3:$N1361,11,FALSE),"")</f>
        <v>55</v>
      </c>
      <c r="Q574" s="4077" t="str">
        <f t="array" ref="Q574">IFERROR(VLOOKUP(P574,Dex!$P$22:$Q$276,2,FALSE),"")</f>
        <v/>
      </c>
      <c r="R574" s="4078"/>
      <c r="S574" s="4073"/>
      <c r="T574" s="4075" t="s">
        <v>516</v>
      </c>
      <c r="U574" s="4076">
        <f t="array" ref="U574">IFERROR(VLOOKUP(T558,Dex!$B$3:$N1361,11,FALSE),"")</f>
        <v>130</v>
      </c>
      <c r="V574" s="4077" t="str">
        <f t="array" ref="V574">IFERROR(VLOOKUP(U574,Dex!$P$22:$Q$276,2,FALSE),"")</f>
        <v/>
      </c>
      <c r="W574" s="4078"/>
      <c r="X574" s="4067"/>
      <c r="Y574" s="4067"/>
      <c r="Z574" s="4062"/>
      <c r="AA574" s="4062"/>
      <c r="AB574" s="4067"/>
      <c r="AC574" s="4067"/>
      <c r="AD574" s="4067"/>
      <c r="AE574" s="4067"/>
      <c r="AF574" s="4067"/>
      <c r="AG574" s="4067"/>
      <c r="AH574" s="4068"/>
      <c r="AI574" s="3543"/>
    </row>
    <row r="575" ht="16.5" customHeight="1">
      <c r="A575" s="3535"/>
      <c r="B575" s="4061"/>
      <c r="C575" s="4054"/>
      <c r="D575" s="4062"/>
      <c r="E575" s="4075" t="s">
        <v>517</v>
      </c>
      <c r="F575" s="4076">
        <f t="array" ref="F575">IFERROR(VLOOKUP(E558,Dex!$B$3:$N1361,12,FALSE),"")</f>
        <v>55</v>
      </c>
      <c r="G575" s="4077" t="str">
        <f t="array" ref="G575">IFERROR(VLOOKUP(F575,Dex!$P$22:$Q$276,2,FALSE),"")</f>
        <v/>
      </c>
      <c r="H575" s="4078"/>
      <c r="I575" s="4062"/>
      <c r="J575" s="4075" t="s">
        <v>517</v>
      </c>
      <c r="K575" s="4076">
        <f t="array" ref="K575">IFERROR(VLOOKUP(J558,Dex!$B$3:$N1361,12,FALSE),"")</f>
        <v>55</v>
      </c>
      <c r="L575" s="4077" t="str">
        <f t="array" ref="L575">IFERROR(VLOOKUP(K575,Dex!$P$22:$Q$276,2,FALSE),"")</f>
        <v/>
      </c>
      <c r="M575" s="4078"/>
      <c r="N575" s="4062"/>
      <c r="O575" s="4075" t="s">
        <v>517</v>
      </c>
      <c r="P575" s="4076">
        <f t="array" ref="P575">IFERROR(VLOOKUP(O558,Dex!$B$3:$N1361,12,FALSE),"")</f>
        <v>65</v>
      </c>
      <c r="Q575" s="4077" t="str">
        <f t="array" ref="Q575">IFERROR(VLOOKUP(P575,Dex!$P$22:$Q$276,2,FALSE),"")</f>
        <v/>
      </c>
      <c r="R575" s="4078"/>
      <c r="S575" s="4073"/>
      <c r="T575" s="4075" t="s">
        <v>517</v>
      </c>
      <c r="U575" s="4076">
        <f t="array" ref="U575">IFERROR(VLOOKUP(T558,Dex!$B$3:$N1361,12,FALSE),"")</f>
        <v>75</v>
      </c>
      <c r="V575" s="4077" t="str">
        <f t="array" ref="V575">IFERROR(VLOOKUP(U575,Dex!$P$22:$Q$276,2,FALSE),"")</f>
        <v/>
      </c>
      <c r="W575" s="4078"/>
      <c r="X575" s="4067"/>
      <c r="Y575" s="4067"/>
      <c r="Z575" s="4062"/>
      <c r="AA575" s="4062"/>
      <c r="AB575" s="4067"/>
      <c r="AC575" s="4067"/>
      <c r="AD575" s="4067"/>
      <c r="AE575" s="4067"/>
      <c r="AF575" s="4067"/>
      <c r="AG575" s="4067"/>
      <c r="AH575" s="4068"/>
      <c r="AI575" s="3543"/>
    </row>
    <row r="576" ht="16.5" customHeight="1">
      <c r="A576" s="3535"/>
      <c r="B576" s="4061"/>
      <c r="C576" s="1426" t="s">
        <v>745</v>
      </c>
      <c r="D576" s="4062"/>
      <c r="E576" s="4081" t="s">
        <v>518</v>
      </c>
      <c r="F576" s="4082">
        <f t="array" ref="F576">IFERROR(VLOOKUP(E558,Dex!$B$3:$N1361,13,FALSE),"")</f>
        <v>135</v>
      </c>
      <c r="G576" s="4459" t="str">
        <f t="array" ref="G576">IFERROR(VLOOKUP(F576,Dex!$P$22:$Q$276,2,FALSE),"")</f>
        <v/>
      </c>
      <c r="H576" s="4460"/>
      <c r="I576" s="4062"/>
      <c r="J576" s="4081" t="s">
        <v>518</v>
      </c>
      <c r="K576" s="4082">
        <f t="array" ref="K576">IFERROR(VLOOKUP(J558,Dex!$B$3:$N1361,13,FALSE),"")</f>
        <v>73</v>
      </c>
      <c r="L576" s="4459" t="str">
        <f t="array" ref="L576">IFERROR(VLOOKUP(K576,Dex!$P$22:$Q$276,2,FALSE),"")</f>
        <v/>
      </c>
      <c r="M576" s="4460"/>
      <c r="N576" s="4062"/>
      <c r="O576" s="4081" t="s">
        <v>518</v>
      </c>
      <c r="P576" s="4082">
        <f t="array" ref="P576">IFERROR(VLOOKUP(O558,Dex!$B$3:$N1361,13,FALSE),"")</f>
        <v>45</v>
      </c>
      <c r="Q576" s="4083" t="str">
        <f t="array" ref="Q576">IFERROR(VLOOKUP(P576,Dex!$P$22:$Q$276,2,FALSE),"")</f>
        <v/>
      </c>
      <c r="R576" s="4084"/>
      <c r="S576" s="4073"/>
      <c r="T576" s="4081" t="s">
        <v>518</v>
      </c>
      <c r="U576" s="4082">
        <f t="array" ref="U576">IFERROR(VLOOKUP(T558,Dex!$B$3:$N1361,13,FALSE),"")</f>
        <v>110</v>
      </c>
      <c r="V576" s="4083" t="str">
        <f t="array" ref="V576">IFERROR(VLOOKUP(U576,Dex!$P$22:$Q$276,2,FALSE),"")</f>
        <v/>
      </c>
      <c r="W576" s="4084"/>
      <c r="X576" s="4067"/>
      <c r="Y576" s="4067"/>
      <c r="Z576" s="4062"/>
      <c r="AA576" s="4062"/>
      <c r="AB576" s="4067"/>
      <c r="AC576" s="4067"/>
      <c r="AD576" s="4067"/>
      <c r="AE576" s="4067"/>
      <c r="AF576" s="4067"/>
      <c r="AG576" s="4067"/>
      <c r="AH576" s="4068"/>
      <c r="AI576" s="3543"/>
    </row>
    <row r="577" ht="16.5" customHeight="1">
      <c r="A577" s="3535"/>
      <c r="B577" s="4061"/>
      <c r="C577" s="1427" t="s">
        <v>746</v>
      </c>
      <c r="D577" s="4064"/>
      <c r="E577" s="4085" t="s">
        <v>519</v>
      </c>
      <c r="F577" s="630"/>
      <c r="G577" s="631"/>
      <c r="H577" s="632">
        <f>ROUNDDOWN((ROUNDDOWN(((((2*F576+31)*66)/100+5)),0))*1.1,0)</f>
        <v>223</v>
      </c>
      <c r="I577" s="4064"/>
      <c r="J577" s="4461" t="s">
        <v>519</v>
      </c>
      <c r="K577" s="635"/>
      <c r="L577" s="636"/>
      <c r="M577" s="632">
        <f>ROUNDDOWN((ROUNDDOWN(((((2*K576+31)*66)/100+5)),0))*1.1,0)</f>
        <v>133</v>
      </c>
      <c r="N577" s="4064"/>
      <c r="O577" s="4085" t="s">
        <v>519</v>
      </c>
      <c r="P577" s="630"/>
      <c r="Q577" s="631"/>
      <c r="R577" s="632">
        <f>ROUNDDOWN((ROUNDDOWN(((((2*P576+31)*66)/100+5)),0))*1,0)</f>
        <v>84</v>
      </c>
      <c r="S577" s="4454"/>
      <c r="T577" s="4085" t="s">
        <v>519</v>
      </c>
      <c r="U577" s="630"/>
      <c r="V577" s="631"/>
      <c r="W577" s="632">
        <f>ROUNDDOWN((ROUNDDOWN(((((2*U576+31)*66)/100+5)),0))*1.1,0)</f>
        <v>187</v>
      </c>
      <c r="X577" s="4067"/>
      <c r="Y577" s="4067"/>
      <c r="Z577" s="4062"/>
      <c r="AA577" s="4062"/>
      <c r="AB577" s="4067"/>
      <c r="AC577" s="4067"/>
      <c r="AD577" s="4067"/>
      <c r="AE577" s="4067"/>
      <c r="AF577" s="4067"/>
      <c r="AG577" s="4067"/>
      <c r="AH577" s="4068"/>
      <c r="AI577" s="3543"/>
    </row>
    <row r="578" ht="16.5" customHeight="1">
      <c r="A578" s="3535"/>
      <c r="B578" s="4086"/>
      <c r="C578" s="4878"/>
      <c r="D578" s="4089"/>
      <c r="E578" s="4456"/>
      <c r="F578" s="4879"/>
      <c r="G578" s="4455"/>
      <c r="H578" s="4090"/>
      <c r="I578" s="4089"/>
      <c r="J578" s="4462" t="s">
        <v>930</v>
      </c>
      <c r="K578" s="643"/>
      <c r="L578" s="644"/>
      <c r="M578" s="3064">
        <f>M577*2</f>
        <v>266</v>
      </c>
      <c r="N578" s="4087"/>
      <c r="O578" s="4456"/>
      <c r="P578" s="4879"/>
      <c r="Q578" s="4455"/>
      <c r="R578" s="4090"/>
      <c r="S578" s="4090"/>
      <c r="T578" s="4456"/>
      <c r="U578" s="4456"/>
      <c r="V578" s="4879"/>
      <c r="W578" s="4090"/>
      <c r="X578" s="4090"/>
      <c r="Y578" s="4090"/>
      <c r="Z578" s="4087"/>
      <c r="AA578" s="4087"/>
      <c r="AB578" s="4090"/>
      <c r="AC578" s="4090"/>
      <c r="AD578" s="4090"/>
      <c r="AE578" s="4090"/>
      <c r="AF578" s="4090"/>
      <c r="AG578" s="4090"/>
      <c r="AH578" s="4092"/>
      <c r="AI578" s="3543"/>
    </row>
    <row r="579" ht="11.25" customHeight="1">
      <c r="A579" s="3446"/>
      <c r="B579" s="3998"/>
      <c r="C579" s="4031"/>
      <c r="D579" s="4024"/>
      <c r="E579" s="4880"/>
      <c r="F579" s="4880"/>
      <c r="G579" s="4880"/>
      <c r="H579" s="4880"/>
      <c r="I579" s="4002"/>
      <c r="J579" s="4880"/>
      <c r="K579" s="4880"/>
      <c r="L579" s="4880"/>
      <c r="M579" s="4880"/>
      <c r="N579" s="4002"/>
      <c r="O579" s="4880"/>
      <c r="P579" s="4880"/>
      <c r="Q579" s="4880"/>
      <c r="R579" s="4880"/>
      <c r="S579" s="4024"/>
      <c r="T579" s="4024"/>
      <c r="U579" s="4024"/>
      <c r="V579" s="4024"/>
      <c r="W579" s="4024"/>
      <c r="X579" s="4024"/>
      <c r="Y579" s="4024"/>
      <c r="Z579" s="4024"/>
      <c r="AA579" s="4024"/>
      <c r="AB579" s="4024"/>
      <c r="AC579" s="4024"/>
      <c r="AD579" s="4024"/>
      <c r="AE579" s="4024"/>
      <c r="AF579" s="4024"/>
      <c r="AG579" s="4024"/>
      <c r="AH579" s="4007"/>
      <c r="AI579" s="3452"/>
    </row>
    <row r="580" ht="11.25" customHeight="1">
      <c r="A580" s="3446"/>
      <c r="B580" s="4881"/>
      <c r="C580" s="4882"/>
      <c r="D580" s="4883"/>
      <c r="E580" s="3250" t="s">
        <v>1315</v>
      </c>
      <c r="F580" s="3251"/>
      <c r="G580" s="3251"/>
      <c r="H580" s="3251"/>
      <c r="I580" s="3251"/>
      <c r="J580" s="3251"/>
      <c r="K580" s="3251"/>
      <c r="L580" s="3251"/>
      <c r="M580" s="3251"/>
      <c r="N580" s="3251"/>
      <c r="O580" s="3251"/>
      <c r="P580" s="3251"/>
      <c r="Q580" s="3251"/>
      <c r="R580" s="3252"/>
      <c r="S580" s="4884"/>
      <c r="T580" s="4882"/>
      <c r="U580" s="4882"/>
      <c r="V580" s="4882"/>
      <c r="W580" s="4882"/>
      <c r="X580" s="4882"/>
      <c r="Y580" s="4882"/>
      <c r="Z580" s="4882"/>
      <c r="AA580" s="4882"/>
      <c r="AB580" s="4882"/>
      <c r="AC580" s="4882"/>
      <c r="AD580" s="4882"/>
      <c r="AE580" s="4882"/>
      <c r="AF580" s="4882"/>
      <c r="AG580" s="4882"/>
      <c r="AH580" s="4885"/>
      <c r="AI580" s="3452"/>
    </row>
    <row r="581" ht="11.25" customHeight="1">
      <c r="A581" s="3446"/>
      <c r="B581" s="4886"/>
      <c r="C581" s="4887"/>
      <c r="D581" s="4888"/>
      <c r="E581" s="314"/>
      <c r="F581" s="3255"/>
      <c r="G581" s="3255"/>
      <c r="H581" s="3255"/>
      <c r="I581" s="3255"/>
      <c r="J581" s="3255"/>
      <c r="K581" s="3255"/>
      <c r="L581" s="3255"/>
      <c r="M581" s="3255"/>
      <c r="N581" s="3255"/>
      <c r="O581" s="3255"/>
      <c r="P581" s="3255"/>
      <c r="Q581" s="3255"/>
      <c r="R581" s="3256"/>
      <c r="S581" s="4889"/>
      <c r="T581" s="4887"/>
      <c r="U581" s="4887"/>
      <c r="V581" s="4887"/>
      <c r="W581" s="4887"/>
      <c r="X581" s="4887"/>
      <c r="Y581" s="4887"/>
      <c r="Z581" s="4887"/>
      <c r="AA581" s="4887"/>
      <c r="AB581" s="4887"/>
      <c r="AC581" s="4887"/>
      <c r="AD581" s="4887"/>
      <c r="AE581" s="4887"/>
      <c r="AF581" s="4887"/>
      <c r="AG581" s="4887"/>
      <c r="AH581" s="4890"/>
      <c r="AI581" s="3452"/>
    </row>
    <row r="582" ht="3.75" customHeight="1">
      <c r="A582" s="3446"/>
      <c r="B582" s="4886"/>
      <c r="C582" s="4887"/>
      <c r="D582" s="4891"/>
      <c r="E582" s="4892"/>
      <c r="F582" s="4892"/>
      <c r="G582" s="4892"/>
      <c r="H582" s="4892"/>
      <c r="I582" s="4892"/>
      <c r="J582" s="4892"/>
      <c r="K582" s="4892"/>
      <c r="L582" s="4892"/>
      <c r="M582" s="4892"/>
      <c r="N582" s="4892"/>
      <c r="O582" s="4892"/>
      <c r="P582" s="4892"/>
      <c r="Q582" s="4892"/>
      <c r="R582" s="4892"/>
      <c r="S582" s="4891"/>
      <c r="T582" s="4891"/>
      <c r="U582" s="4891"/>
      <c r="V582" s="4891"/>
      <c r="W582" s="4891"/>
      <c r="X582" s="4891"/>
      <c r="Y582" s="4891"/>
      <c r="Z582" s="4891"/>
      <c r="AA582" s="4891"/>
      <c r="AB582" s="4891"/>
      <c r="AC582" s="4891"/>
      <c r="AD582" s="4891"/>
      <c r="AE582" s="4891"/>
      <c r="AF582" s="4891"/>
      <c r="AG582" s="4891"/>
      <c r="AH582" s="4890"/>
      <c r="AI582" s="3452"/>
    </row>
    <row r="583">
      <c r="A583" s="3446"/>
      <c r="B583" s="4893"/>
      <c r="C583" s="4894"/>
      <c r="D583" s="4895"/>
      <c r="E583" s="4896" t="s">
        <v>1539</v>
      </c>
      <c r="F583" s="4897"/>
      <c r="G583" s="4897"/>
      <c r="H583" s="4897"/>
      <c r="I583" s="4897"/>
      <c r="J583" s="4897"/>
      <c r="K583" s="4897"/>
      <c r="L583" s="4897"/>
      <c r="M583" s="4897"/>
      <c r="N583" s="4897"/>
      <c r="O583" s="4897"/>
      <c r="P583" s="4897"/>
      <c r="Q583" s="4897"/>
      <c r="R583" s="4897"/>
      <c r="S583" s="4897"/>
      <c r="T583" s="4897"/>
      <c r="U583" s="4897"/>
      <c r="V583" s="4897"/>
      <c r="W583" s="4897"/>
      <c r="X583" s="4897"/>
      <c r="Y583" s="4897"/>
      <c r="Z583" s="4897"/>
      <c r="AA583" s="4897"/>
      <c r="AB583" s="4897"/>
      <c r="AC583" s="4897"/>
      <c r="AD583" s="4897"/>
      <c r="AE583" s="4897"/>
      <c r="AF583" s="4897"/>
      <c r="AG583" s="4898"/>
      <c r="AH583" s="4899"/>
      <c r="AI583" s="3452"/>
    </row>
    <row r="584" ht="96.75" customHeight="1">
      <c r="A584" s="3446"/>
      <c r="B584" s="4900"/>
      <c r="C584" s="4901" t="str">
        <f>IMAGE("https://i.ibb.co/QpKd0mc/Fisherman.png")</f>
        <v/>
      </c>
      <c r="D584" s="4902"/>
      <c r="E584" s="4903" t="str">
        <f t="array" ref="E584">IFERROR(VLOOKUP(E585,Dex!$B$3:$G1361,3,FALSE),"")</f>
        <v/>
      </c>
      <c r="F584" s="1945"/>
      <c r="G584" s="1945"/>
      <c r="H584" s="1946"/>
      <c r="I584" s="4904"/>
      <c r="J584" s="4903" t="str">
        <f t="array" ref="J584">IFERROR(VLOOKUP(J585,Dex!$B$3:$G1361,3,FALSE),"")</f>
        <v/>
      </c>
      <c r="K584" s="1945"/>
      <c r="L584" s="1945"/>
      <c r="M584" s="1946"/>
      <c r="N584" s="4904"/>
      <c r="O584" s="4903" t="str">
        <f t="array" ref="O584">IFERROR(VLOOKUP(O585,Dex!$B$3:$G1361,3,FALSE),"")</f>
        <v/>
      </c>
      <c r="P584" s="1945"/>
      <c r="Q584" s="1945"/>
      <c r="R584" s="1946"/>
      <c r="S584" s="4905"/>
      <c r="T584" s="4906"/>
      <c r="U584" s="4907"/>
      <c r="V584" s="4907"/>
      <c r="W584" s="4908"/>
      <c r="X584" s="4909"/>
      <c r="Y584" s="4906"/>
      <c r="Z584" s="4907"/>
      <c r="AA584" s="4907"/>
      <c r="AB584" s="4908"/>
      <c r="AC584" s="4909"/>
      <c r="AD584" s="4906"/>
      <c r="AE584" s="4907"/>
      <c r="AF584" s="4907"/>
      <c r="AG584" s="4908"/>
      <c r="AH584" s="4890"/>
      <c r="AI584" s="3452"/>
    </row>
    <row r="585" ht="18.75" customHeight="1">
      <c r="A585" s="3689"/>
      <c r="B585" s="4910"/>
      <c r="C585" s="4911" t="s">
        <v>1540</v>
      </c>
      <c r="D585" s="4912"/>
      <c r="E585" s="4913" t="s">
        <v>1541</v>
      </c>
      <c r="F585" s="4914"/>
      <c r="G585" s="4914"/>
      <c r="H585" s="4915"/>
      <c r="J585" s="4913" t="s">
        <v>1542</v>
      </c>
      <c r="K585" s="4914"/>
      <c r="L585" s="4914"/>
      <c r="M585" s="4915"/>
      <c r="O585" s="4913" t="s">
        <v>1543</v>
      </c>
      <c r="P585" s="4914"/>
      <c r="Q585" s="4914"/>
      <c r="R585" s="4915"/>
      <c r="S585" s="4916"/>
      <c r="T585" s="4917"/>
      <c r="U585" s="4907"/>
      <c r="V585" s="4907"/>
      <c r="W585" s="4908"/>
      <c r="X585" s="4918"/>
      <c r="Y585" s="4917"/>
      <c r="Z585" s="4907"/>
      <c r="AA585" s="4907"/>
      <c r="AB585" s="4908"/>
      <c r="AC585" s="4918"/>
      <c r="AD585" s="4917"/>
      <c r="AE585" s="4907"/>
      <c r="AF585" s="4907"/>
      <c r="AG585" s="4908"/>
      <c r="AH585" s="4919"/>
      <c r="AI585" s="3700"/>
    </row>
    <row r="586">
      <c r="A586" s="3701"/>
      <c r="B586" s="4920"/>
      <c r="C586" s="1638"/>
      <c r="D586" s="4921"/>
      <c r="E586" s="4922" t="s">
        <v>796</v>
      </c>
      <c r="F586" s="4923"/>
      <c r="G586" s="4923"/>
      <c r="H586" s="4924"/>
      <c r="J586" s="4922" t="s">
        <v>796</v>
      </c>
      <c r="K586" s="4923"/>
      <c r="L586" s="4923"/>
      <c r="M586" s="4924"/>
      <c r="O586" s="4922" t="s">
        <v>796</v>
      </c>
      <c r="P586" s="4923"/>
      <c r="Q586" s="4923"/>
      <c r="R586" s="4924"/>
      <c r="S586" s="4916"/>
      <c r="T586" s="4925"/>
      <c r="U586" s="4907"/>
      <c r="V586" s="4907"/>
      <c r="W586" s="4908"/>
      <c r="X586" s="4918"/>
      <c r="Y586" s="4925"/>
      <c r="Z586" s="4907"/>
      <c r="AA586" s="4907"/>
      <c r="AB586" s="4908"/>
      <c r="AC586" s="4918"/>
      <c r="AD586" s="4925"/>
      <c r="AE586" s="4907"/>
      <c r="AF586" s="4907"/>
      <c r="AG586" s="4908"/>
      <c r="AH586" s="4926"/>
      <c r="AI586" s="3709"/>
    </row>
    <row r="587" ht="25.5" customHeight="1">
      <c r="A587" s="3446"/>
      <c r="B587" s="4900"/>
      <c r="C587" s="1646"/>
      <c r="D587" s="4927"/>
      <c r="E587" s="4928"/>
      <c r="F587" s="4929" t="str">
        <f t="array" ref="F587">IFERROR(VLOOKUP(E585,Dex!$B$3:$H1361,5,FALSE),"")</f>
        <v/>
      </c>
      <c r="G587" s="4930" t="str">
        <f t="array" ref="G587">IFERROR(VLOOKUP(E585,Dex!$B$3:$H1361,7,FALSE),"")</f>
        <v/>
      </c>
      <c r="H587" s="4931"/>
      <c r="J587" s="4928"/>
      <c r="K587" s="4929" t="str">
        <f t="array" ref="K587">IFERROR(VLOOKUP(J585,Dex!$B$3:$H1361,5,FALSE),"")</f>
        <v/>
      </c>
      <c r="L587" s="4930" t="str">
        <f t="array" ref="L587">IFERROR(VLOOKUP(J585,Dex!$B$3:$H1361,7,FALSE),"")</f>
        <v/>
      </c>
      <c r="M587" s="4931"/>
      <c r="O587" s="4928"/>
      <c r="P587" s="4929" t="str">
        <f t="array" ref="P587">IFERROR(VLOOKUP(O585,Dex!$B$3:$H1361,5,FALSE),"")</f>
        <v/>
      </c>
      <c r="Q587" s="4930" t="str">
        <f t="array" ref="Q587">IFERROR(VLOOKUP(O585,Dex!$B$3:$H1361,7,FALSE),"")</f>
        <v/>
      </c>
      <c r="R587" s="4931"/>
      <c r="S587" s="4916"/>
      <c r="T587" s="4906"/>
      <c r="U587" s="4907"/>
      <c r="V587" s="4907"/>
      <c r="W587" s="4908"/>
      <c r="X587" s="4918"/>
      <c r="Y587" s="4906"/>
      <c r="Z587" s="4907"/>
      <c r="AA587" s="4907"/>
      <c r="AB587" s="4908"/>
      <c r="AC587" s="4918"/>
      <c r="AD587" s="4906"/>
      <c r="AE587" s="4907"/>
      <c r="AF587" s="4907"/>
      <c r="AG587" s="4908"/>
      <c r="AH587" s="4890"/>
      <c r="AI587" s="3452"/>
    </row>
    <row r="588" ht="2.25" customHeight="1">
      <c r="A588" s="3446"/>
      <c r="B588" s="4932"/>
      <c r="C588" s="4933"/>
      <c r="D588" s="4934"/>
      <c r="E588" s="4935"/>
      <c r="F588" s="4936"/>
      <c r="G588" s="4936"/>
      <c r="H588" s="4937"/>
      <c r="J588" s="4935"/>
      <c r="K588" s="4936"/>
      <c r="L588" s="4936"/>
      <c r="M588" s="4937"/>
      <c r="O588" s="4935"/>
      <c r="P588" s="4936"/>
      <c r="Q588" s="4936"/>
      <c r="R588" s="4937"/>
      <c r="S588" s="4916"/>
      <c r="T588" s="4938"/>
      <c r="U588" s="4938"/>
      <c r="V588" s="4938"/>
      <c r="W588" s="4938"/>
      <c r="X588" s="4918"/>
      <c r="Y588" s="4938"/>
      <c r="Z588" s="4938"/>
      <c r="AA588" s="4938"/>
      <c r="AB588" s="4938"/>
      <c r="AC588" s="4918"/>
      <c r="AD588" s="4938"/>
      <c r="AE588" s="4938"/>
      <c r="AF588" s="4938"/>
      <c r="AG588" s="4938"/>
      <c r="AH588" s="4890"/>
      <c r="AI588" s="3452"/>
    </row>
    <row r="589" ht="20.25" customHeight="1">
      <c r="A589" s="3446"/>
      <c r="B589" s="4886"/>
      <c r="C589" s="4939"/>
      <c r="D589" s="4906"/>
      <c r="E589" s="4940" t="s">
        <v>564</v>
      </c>
      <c r="F589" s="4941"/>
      <c r="G589" s="4941"/>
      <c r="H589" s="4942"/>
      <c r="J589" s="4940" t="s">
        <v>532</v>
      </c>
      <c r="K589" s="4941"/>
      <c r="L589" s="4941"/>
      <c r="M589" s="4942"/>
      <c r="O589" s="4940" t="s">
        <v>532</v>
      </c>
      <c r="P589" s="4941"/>
      <c r="Q589" s="4941"/>
      <c r="R589" s="4942"/>
      <c r="S589" s="4916"/>
      <c r="T589" s="4906"/>
      <c r="U589" s="4907"/>
      <c r="V589" s="4907"/>
      <c r="W589" s="4908"/>
      <c r="X589" s="4918"/>
      <c r="Y589" s="4906"/>
      <c r="Z589" s="4907"/>
      <c r="AA589" s="4907"/>
      <c r="AB589" s="4908"/>
      <c r="AC589" s="4918"/>
      <c r="AD589" s="4906"/>
      <c r="AE589" s="4907"/>
      <c r="AF589" s="4907"/>
      <c r="AG589" s="4908"/>
      <c r="AH589" s="4890"/>
      <c r="AI589" s="3452"/>
    </row>
    <row r="590" ht="20.25" customHeight="1">
      <c r="A590" s="3446"/>
      <c r="B590" s="4886"/>
      <c r="C590" s="4939"/>
      <c r="D590" s="4906"/>
      <c r="E590" s="4943" t="s">
        <v>1229</v>
      </c>
      <c r="F590" s="4907"/>
      <c r="G590" s="4907"/>
      <c r="H590" s="4944"/>
      <c r="J590" s="4943" t="s">
        <v>1436</v>
      </c>
      <c r="K590" s="4907"/>
      <c r="L590" s="4907"/>
      <c r="M590" s="4944"/>
      <c r="O590" s="4943" t="s">
        <v>1544</v>
      </c>
      <c r="P590" s="4907"/>
      <c r="Q590" s="4907"/>
      <c r="R590" s="4944"/>
      <c r="S590" s="4916"/>
      <c r="T590" s="4906"/>
      <c r="U590" s="4907"/>
      <c r="V590" s="4907"/>
      <c r="W590" s="4908"/>
      <c r="X590" s="4918"/>
      <c r="Y590" s="4906"/>
      <c r="Z590" s="4907"/>
      <c r="AA590" s="4907"/>
      <c r="AB590" s="4908"/>
      <c r="AC590" s="4918"/>
      <c r="AD590" s="4906"/>
      <c r="AE590" s="4907"/>
      <c r="AF590" s="4907"/>
      <c r="AG590" s="4908"/>
      <c r="AH590" s="4890"/>
      <c r="AI590" s="3452"/>
    </row>
    <row r="591" ht="20.25" customHeight="1">
      <c r="A591" s="3446"/>
      <c r="B591" s="4886"/>
      <c r="C591" s="4939"/>
      <c r="D591" s="4906"/>
      <c r="E591" s="4945" t="s">
        <v>1303</v>
      </c>
      <c r="F591" s="4897"/>
      <c r="G591" s="4898"/>
      <c r="H591" s="4946" t="str">
        <f>IMAGE("https://raw.githubusercontent.com/msikma/pokesprite/master/items/hold-item/light-clay.png",3)</f>
        <v/>
      </c>
      <c r="J591" s="4945" t="s">
        <v>920</v>
      </c>
      <c r="K591" s="4897"/>
      <c r="L591" s="4898"/>
      <c r="M591" s="4946" t="str">
        <f>IMAGE("https://raw.githubusercontent.com/msikma/pokesprite/master/items/hold-item/white-herb.png",3)</f>
        <v/>
      </c>
      <c r="O591" s="4945" t="s">
        <v>1545</v>
      </c>
      <c r="P591" s="4897"/>
      <c r="Q591" s="4898"/>
      <c r="R591" s="4946" t="str">
        <f>IMAGE("https://raw.githubusercontent.com/msikma/pokesprite/master/items/z-crystals/dragonium-z--held.png",3)</f>
        <v/>
      </c>
      <c r="S591" s="4916"/>
      <c r="T591" s="4906"/>
      <c r="U591" s="4907"/>
      <c r="V591" s="4907"/>
      <c r="W591" s="4908"/>
      <c r="X591" s="4918"/>
      <c r="Y591" s="4906"/>
      <c r="Z591" s="4907"/>
      <c r="AA591" s="4907"/>
      <c r="AB591" s="4908"/>
      <c r="AC591" s="4918"/>
      <c r="AD591" s="4906"/>
      <c r="AE591" s="4907"/>
      <c r="AF591" s="4907"/>
      <c r="AG591" s="4908"/>
      <c r="AH591" s="4890"/>
      <c r="AI591" s="3452"/>
    </row>
    <row r="592" ht="20.25" customHeight="1">
      <c r="A592" s="3446"/>
      <c r="B592" s="4886"/>
      <c r="C592" s="4947"/>
      <c r="D592" s="4906"/>
      <c r="E592" s="4940" t="s">
        <v>1546</v>
      </c>
      <c r="F592" s="4941"/>
      <c r="G592" s="4948"/>
      <c r="H592" s="4949" t="str">
        <f t="shared" ref="H592:H593" si="16">IMAGE("https://raw.githubusercontent.com/msikma/pokesprite/master/misc/types/gen8/ice.png",4,20,20)</f>
        <v/>
      </c>
      <c r="J592" s="4940" t="s">
        <v>273</v>
      </c>
      <c r="K592" s="4941"/>
      <c r="L592" s="4948"/>
      <c r="M592" s="4949" t="str">
        <f>IMAGE("https://raw.githubusercontent.com/msikma/pokesprite/master/misc/types/gen8/normal.png",4,20,20)</f>
        <v/>
      </c>
      <c r="O592" s="4940" t="s">
        <v>219</v>
      </c>
      <c r="P592" s="4941"/>
      <c r="Q592" s="4948"/>
      <c r="R592" s="4949" t="str">
        <f>IMAGE("https://raw.githubusercontent.com/msikma/pokesprite/master/misc/types/gen8/dragon.png",4,20,20)</f>
        <v/>
      </c>
      <c r="S592" s="4916"/>
      <c r="T592" s="4906"/>
      <c r="U592" s="4907"/>
      <c r="V592" s="4907"/>
      <c r="W592" s="4908"/>
      <c r="X592" s="4918"/>
      <c r="Y592" s="4906"/>
      <c r="Z592" s="4907"/>
      <c r="AA592" s="4907"/>
      <c r="AB592" s="4908"/>
      <c r="AC592" s="4918"/>
      <c r="AD592" s="4906"/>
      <c r="AE592" s="4907"/>
      <c r="AF592" s="4907"/>
      <c r="AG592" s="4908"/>
      <c r="AH592" s="4890"/>
      <c r="AI592" s="3452"/>
    </row>
    <row r="593" ht="20.25" customHeight="1">
      <c r="A593" s="3446"/>
      <c r="B593" s="4886"/>
      <c r="C593" s="4947"/>
      <c r="D593" s="4906"/>
      <c r="E593" s="4943" t="s">
        <v>582</v>
      </c>
      <c r="F593" s="4907"/>
      <c r="G593" s="4908"/>
      <c r="H593" s="4950" t="str">
        <f t="shared" si="16"/>
        <v/>
      </c>
      <c r="J593" s="4943" t="s">
        <v>845</v>
      </c>
      <c r="K593" s="4907"/>
      <c r="L593" s="4908"/>
      <c r="M593" s="4950" t="str">
        <f>IMAGE("https://raw.githubusercontent.com/msikma/pokesprite/master/misc/types/gen8/water.png",4,20,20)</f>
        <v/>
      </c>
      <c r="O593" s="4943" t="s">
        <v>925</v>
      </c>
      <c r="P593" s="4907"/>
      <c r="Q593" s="4908"/>
      <c r="R593" s="4950" t="str">
        <f>IMAGE("https://raw.githubusercontent.com/msikma/pokesprite/master/misc/types/gen8/ice.png",4,20,20)</f>
        <v/>
      </c>
      <c r="S593" s="4916"/>
      <c r="T593" s="4906"/>
      <c r="U593" s="4907"/>
      <c r="V593" s="4907"/>
      <c r="W593" s="4908"/>
      <c r="X593" s="4918"/>
      <c r="Y593" s="4906"/>
      <c r="Z593" s="4907"/>
      <c r="AA593" s="4907"/>
      <c r="AB593" s="4908"/>
      <c r="AC593" s="4918"/>
      <c r="AD593" s="4906"/>
      <c r="AE593" s="4907"/>
      <c r="AF593" s="4907"/>
      <c r="AG593" s="4908"/>
      <c r="AH593" s="4890"/>
      <c r="AI593" s="3452"/>
    </row>
    <row r="594" ht="20.25" customHeight="1">
      <c r="A594" s="3446"/>
      <c r="B594" s="4886"/>
      <c r="C594" s="4947"/>
      <c r="D594" s="4906"/>
      <c r="E594" s="4943" t="s">
        <v>647</v>
      </c>
      <c r="F594" s="4907"/>
      <c r="G594" s="4908"/>
      <c r="H594" s="4950" t="str">
        <f t="shared" ref="H594:H595" si="17">IMAGE("https://raw.githubusercontent.com/msikma/pokesprite/master/misc/types/gen8/ghost.png",4,20,20)</f>
        <v/>
      </c>
      <c r="J594" s="4943" t="s">
        <v>583</v>
      </c>
      <c r="K594" s="4907"/>
      <c r="L594" s="4908"/>
      <c r="M594" s="4950" t="str">
        <f>IMAGE("https://raw.githubusercontent.com/msikma/pokesprite/master/misc/types/gen8/fighting.png",4,20,20)</f>
        <v/>
      </c>
      <c r="O594" s="4943" t="s">
        <v>1547</v>
      </c>
      <c r="P594" s="4907"/>
      <c r="Q594" s="4908"/>
      <c r="R594" s="4950" t="str">
        <f>IMAGE("https://raw.githubusercontent.com/msikma/pokesprite/master/misc/types/gen8/dragon.png",4,20,20)</f>
        <v/>
      </c>
      <c r="S594" s="4916"/>
      <c r="T594" s="4906"/>
      <c r="U594" s="4907"/>
      <c r="V594" s="4907"/>
      <c r="W594" s="4908"/>
      <c r="X594" s="4918"/>
      <c r="Y594" s="4906"/>
      <c r="Z594" s="4907"/>
      <c r="AA594" s="4907"/>
      <c r="AB594" s="4908"/>
      <c r="AC594" s="4918"/>
      <c r="AD594" s="4906"/>
      <c r="AE594" s="4907"/>
      <c r="AF594" s="4907"/>
      <c r="AG594" s="4908"/>
      <c r="AH594" s="4890"/>
      <c r="AI594" s="3452"/>
    </row>
    <row r="595" ht="21.0" customHeight="1">
      <c r="A595" s="3446"/>
      <c r="B595" s="4886"/>
      <c r="C595" s="4947"/>
      <c r="D595" s="4906"/>
      <c r="E595" s="4951" t="s">
        <v>148</v>
      </c>
      <c r="F595" s="4952"/>
      <c r="G595" s="4953"/>
      <c r="H595" s="4954" t="str">
        <f t="shared" si="17"/>
        <v/>
      </c>
      <c r="I595" s="4955"/>
      <c r="J595" s="4951" t="s">
        <v>621</v>
      </c>
      <c r="K595" s="4952"/>
      <c r="L595" s="4953"/>
      <c r="M595" s="4954" t="str">
        <f>IMAGE("https://raw.githubusercontent.com/msikma/pokesprite/master/misc/types/gen8/rock.png",4,20,20)</f>
        <v/>
      </c>
      <c r="N595" s="4955"/>
      <c r="O595" s="4951" t="s">
        <v>549</v>
      </c>
      <c r="P595" s="4952"/>
      <c r="Q595" s="4953"/>
      <c r="R595" s="4954" t="str">
        <f>IMAGE("https://raw.githubusercontent.com/msikma/pokesprite/master/misc/types/gen8/ground.png",4,20,20)</f>
        <v/>
      </c>
      <c r="S595" s="4956"/>
      <c r="T595" s="4906"/>
      <c r="U595" s="4907"/>
      <c r="V595" s="4907"/>
      <c r="W595" s="4908"/>
      <c r="X595" s="4957"/>
      <c r="Y595" s="4906"/>
      <c r="Z595" s="4907"/>
      <c r="AA595" s="4907"/>
      <c r="AB595" s="4908"/>
      <c r="AC595" s="4957"/>
      <c r="AD595" s="4906"/>
      <c r="AE595" s="4907"/>
      <c r="AF595" s="4907"/>
      <c r="AG595" s="4908"/>
      <c r="AH595" s="4890"/>
      <c r="AI595" s="3452"/>
    </row>
    <row r="596" ht="3.0" customHeight="1">
      <c r="A596" s="3524"/>
      <c r="B596" s="4958"/>
      <c r="C596" s="4947"/>
      <c r="D596" s="4959"/>
      <c r="E596" s="4960"/>
      <c r="F596" s="4960"/>
      <c r="G596" s="4960"/>
      <c r="H596" s="4961"/>
      <c r="I596" s="4959"/>
      <c r="J596" s="4962"/>
      <c r="K596" s="4962"/>
      <c r="L596" s="4962"/>
      <c r="M596" s="4961"/>
      <c r="N596" s="4959"/>
      <c r="O596" s="4962"/>
      <c r="P596" s="4962"/>
      <c r="Q596" s="4962"/>
      <c r="R596" s="4961"/>
      <c r="S596" s="4963"/>
      <c r="T596" s="4963"/>
      <c r="U596" s="4963"/>
      <c r="V596" s="4963"/>
      <c r="W596" s="4963"/>
      <c r="X596" s="4959"/>
      <c r="Y596" s="4959"/>
      <c r="Z596" s="4964"/>
      <c r="AA596" s="4964"/>
      <c r="AB596" s="4965"/>
      <c r="AC596" s="4965"/>
      <c r="AD596" s="4965"/>
      <c r="AE596" s="4965"/>
      <c r="AF596" s="4965"/>
      <c r="AG596" s="4965"/>
      <c r="AH596" s="4966"/>
      <c r="AI596" s="3534"/>
    </row>
    <row r="597" ht="16.5" customHeight="1">
      <c r="A597" s="3535"/>
      <c r="B597" s="4967"/>
      <c r="C597" s="4947"/>
      <c r="D597" s="4968"/>
      <c r="E597" s="4969" t="s">
        <v>512</v>
      </c>
      <c r="F597" s="606"/>
      <c r="G597" s="606"/>
      <c r="H597" s="607"/>
      <c r="I597" s="4970"/>
      <c r="J597" s="4969" t="s">
        <v>512</v>
      </c>
      <c r="K597" s="606"/>
      <c r="L597" s="606"/>
      <c r="M597" s="607"/>
      <c r="N597" s="4970"/>
      <c r="O597" s="4969" t="s">
        <v>512</v>
      </c>
      <c r="P597" s="606"/>
      <c r="Q597" s="606"/>
      <c r="R597" s="607"/>
      <c r="S597" s="4971"/>
      <c r="T597" s="4972"/>
      <c r="U597" s="4972"/>
      <c r="V597" s="4973"/>
      <c r="W597" s="4974"/>
      <c r="X597" s="4974"/>
      <c r="Y597" s="4974"/>
      <c r="Z597" s="4972"/>
      <c r="AA597" s="4972"/>
      <c r="AB597" s="4974"/>
      <c r="AC597" s="4974"/>
      <c r="AD597" s="4974"/>
      <c r="AE597" s="4974"/>
      <c r="AF597" s="4974"/>
      <c r="AG597" s="4974"/>
      <c r="AH597" s="4975"/>
      <c r="AI597" s="3543"/>
    </row>
    <row r="598" ht="16.5" customHeight="1">
      <c r="A598" s="3535"/>
      <c r="B598" s="4967"/>
      <c r="C598" s="4947"/>
      <c r="D598" s="4968"/>
      <c r="E598" s="4976" t="s">
        <v>513</v>
      </c>
      <c r="F598" s="4977">
        <f t="array" ref="F598">IFERROR(VLOOKUP(E585,Dex!$B$3:$N1361,8,FALSE),"")</f>
        <v>70</v>
      </c>
      <c r="G598" s="4978" t="str">
        <f t="array" ref="G598">IFERROR(VLOOKUP(F598,Dex!$P$22:$Q$276,2,FALSE),"")</f>
        <v/>
      </c>
      <c r="H598" s="4979"/>
      <c r="I598" s="4980"/>
      <c r="J598" s="4976" t="s">
        <v>513</v>
      </c>
      <c r="K598" s="4977">
        <f t="array" ref="K598">IFERROR(VLOOKUP(J585,Dex!$B$3:$N1361,8,FALSE),"")</f>
        <v>72</v>
      </c>
      <c r="L598" s="4978" t="str">
        <f t="array" ref="L598">IFERROR(VLOOKUP(K598,Dex!$P$22:$Q$276,2,FALSE),"")</f>
        <v/>
      </c>
      <c r="M598" s="4979"/>
      <c r="N598" s="4981"/>
      <c r="O598" s="4976" t="s">
        <v>513</v>
      </c>
      <c r="P598" s="4977">
        <f t="array" ref="P598">IFERROR(VLOOKUP(O585,Dex!$B$3:$N1361,8,FALSE),"")</f>
        <v>115</v>
      </c>
      <c r="Q598" s="4978" t="str">
        <f t="array" ref="Q598">IFERROR(VLOOKUP(P598,Dex!$P$22:$Q$276,2,FALSE),"")</f>
        <v/>
      </c>
      <c r="R598" s="4979"/>
      <c r="S598" s="4982"/>
      <c r="T598" s="4972"/>
      <c r="U598" s="4972"/>
      <c r="V598" s="4983"/>
      <c r="W598" s="4974"/>
      <c r="X598" s="4974"/>
      <c r="Y598" s="4974"/>
      <c r="Z598" s="4972"/>
      <c r="AA598" s="4972"/>
      <c r="AB598" s="4974"/>
      <c r="AC598" s="4974"/>
      <c r="AD598" s="4974"/>
      <c r="AE598" s="4974"/>
      <c r="AF598" s="4974"/>
      <c r="AG598" s="4974"/>
      <c r="AH598" s="4975"/>
      <c r="AI598" s="3543"/>
    </row>
    <row r="599" ht="16.5" customHeight="1">
      <c r="A599" s="3535"/>
      <c r="B599" s="4967"/>
      <c r="C599" s="4947"/>
      <c r="D599" s="4968"/>
      <c r="E599" s="4984" t="s">
        <v>514</v>
      </c>
      <c r="F599" s="4985">
        <f t="array" ref="F599">IFERROR(VLOOKUP(E585,Dex!$B$3:$N1361,9,FALSE),"")</f>
        <v>95</v>
      </c>
      <c r="G599" s="4986" t="str">
        <f t="array" ref="G599">IFERROR(VLOOKUP(F599,Dex!$P$22:$Q$276,2,FALSE),"")</f>
        <v/>
      </c>
      <c r="H599" s="4987"/>
      <c r="I599" s="4980"/>
      <c r="J599" s="4984" t="s">
        <v>514</v>
      </c>
      <c r="K599" s="4985">
        <f t="array" ref="K599">IFERROR(VLOOKUP(J585,Dex!$B$3:$N1361,9,FALSE),"")</f>
        <v>105</v>
      </c>
      <c r="L599" s="4986" t="str">
        <f t="array" ref="L599">IFERROR(VLOOKUP(K599,Dex!$P$22:$Q$276,2,FALSE),"")</f>
        <v/>
      </c>
      <c r="M599" s="4987"/>
      <c r="N599" s="4981"/>
      <c r="O599" s="4984" t="s">
        <v>514</v>
      </c>
      <c r="P599" s="4985">
        <f t="array" ref="P599">IFERROR(VLOOKUP(O585,Dex!$B$3:$N1361,9,FALSE),"")</f>
        <v>145</v>
      </c>
      <c r="Q599" s="4986" t="str">
        <f t="array" ref="Q599">IFERROR(VLOOKUP(P599,Dex!$P$22:$Q$276,2,FALSE),"")</f>
        <v/>
      </c>
      <c r="R599" s="4987"/>
      <c r="S599" s="4982"/>
      <c r="T599" s="4972"/>
      <c r="U599" s="4972"/>
      <c r="V599" s="4988"/>
      <c r="W599" s="4974"/>
      <c r="X599" s="4974"/>
      <c r="Y599" s="4974"/>
      <c r="Z599" s="4972"/>
      <c r="AA599" s="4972"/>
      <c r="AB599" s="4974"/>
      <c r="AC599" s="4974"/>
      <c r="AD599" s="4974"/>
      <c r="AE599" s="4974"/>
      <c r="AF599" s="4974"/>
      <c r="AG599" s="4974"/>
      <c r="AH599" s="4975"/>
      <c r="AI599" s="3543"/>
    </row>
    <row r="600" ht="16.5" customHeight="1">
      <c r="A600" s="3535"/>
      <c r="B600" s="4967"/>
      <c r="C600" s="4947"/>
      <c r="D600" s="4968"/>
      <c r="E600" s="4984" t="s">
        <v>515</v>
      </c>
      <c r="F600" s="4985">
        <f t="array" ref="F600">IFERROR(VLOOKUP(E585,Dex!$B$3:$N1361,10,FALSE),"")</f>
        <v>70</v>
      </c>
      <c r="G600" s="4986" t="str">
        <f t="array" ref="G600">IFERROR(VLOOKUP(F600,Dex!$P$22:$Q$276,2,FALSE),"")</f>
        <v/>
      </c>
      <c r="H600" s="4987"/>
      <c r="I600" s="4980"/>
      <c r="J600" s="4984" t="s">
        <v>515</v>
      </c>
      <c r="K600" s="4985">
        <f t="array" ref="K600">IFERROR(VLOOKUP(J585,Dex!$B$3:$N1361,10,FALSE),"")</f>
        <v>115</v>
      </c>
      <c r="L600" s="4986" t="str">
        <f t="array" ref="L600">IFERROR(VLOOKUP(K600,Dex!$P$22:$Q$276,2,FALSE),"")</f>
        <v/>
      </c>
      <c r="M600" s="4987"/>
      <c r="N600" s="4981"/>
      <c r="O600" s="4984" t="s">
        <v>515</v>
      </c>
      <c r="P600" s="4985">
        <f t="array" ref="P600">IFERROR(VLOOKUP(O585,Dex!$B$3:$N1361,10,FALSE),"")</f>
        <v>92</v>
      </c>
      <c r="Q600" s="4986" t="str">
        <f t="array" ref="Q600">IFERROR(VLOOKUP(P600,Dex!$P$22:$Q$276,2,FALSE),"")</f>
        <v/>
      </c>
      <c r="R600" s="4987"/>
      <c r="S600" s="4982"/>
      <c r="T600" s="4972"/>
      <c r="U600" s="4972"/>
      <c r="V600" s="4989"/>
      <c r="W600" s="4974"/>
      <c r="X600" s="4974"/>
      <c r="Y600" s="4974"/>
      <c r="Z600" s="4972"/>
      <c r="AA600" s="4972"/>
      <c r="AB600" s="4974"/>
      <c r="AC600" s="4974"/>
      <c r="AD600" s="4974"/>
      <c r="AE600" s="4974"/>
      <c r="AF600" s="4974"/>
      <c r="AG600" s="4974"/>
      <c r="AH600" s="4975"/>
      <c r="AI600" s="3543"/>
    </row>
    <row r="601" ht="16.5" customHeight="1">
      <c r="A601" s="3535"/>
      <c r="B601" s="4967"/>
      <c r="C601" s="4947"/>
      <c r="D601" s="4968"/>
      <c r="E601" s="4984" t="s">
        <v>516</v>
      </c>
      <c r="F601" s="4985">
        <f t="array" ref="F601">IFERROR(VLOOKUP(E585,Dex!$B$3:$N1361,11,FALSE),"")</f>
        <v>95</v>
      </c>
      <c r="G601" s="4986" t="str">
        <f t="array" ref="G601">IFERROR(VLOOKUP(F601,Dex!$P$22:$Q$276,2,FALSE),"")</f>
        <v/>
      </c>
      <c r="H601" s="4987"/>
      <c r="I601" s="4980"/>
      <c r="J601" s="4984" t="s">
        <v>516</v>
      </c>
      <c r="K601" s="4985">
        <f t="array" ref="K601">IFERROR(VLOOKUP(J585,Dex!$B$3:$N1361,11,FALSE),"")</f>
        <v>54</v>
      </c>
      <c r="L601" s="4986" t="str">
        <f t="array" ref="L601">IFERROR(VLOOKUP(K601,Dex!$P$22:$Q$276,2,FALSE),"")</f>
        <v/>
      </c>
      <c r="M601" s="4987"/>
      <c r="N601" s="4981"/>
      <c r="O601" s="4984" t="s">
        <v>516</v>
      </c>
      <c r="P601" s="4985">
        <f t="array" ref="P601">IFERROR(VLOOKUP(O585,Dex!$B$3:$N1361,11,FALSE),"")</f>
        <v>75</v>
      </c>
      <c r="Q601" s="4986" t="str">
        <f t="array" ref="Q601">IFERROR(VLOOKUP(P601,Dex!$P$22:$Q$276,2,FALSE),"")</f>
        <v/>
      </c>
      <c r="R601" s="4987"/>
      <c r="S601" s="4982"/>
      <c r="T601" s="4972"/>
      <c r="U601" s="4972"/>
      <c r="V601" s="4918"/>
      <c r="W601" s="4974"/>
      <c r="X601" s="4974"/>
      <c r="Y601" s="4974"/>
      <c r="Z601" s="4972"/>
      <c r="AA601" s="4972"/>
      <c r="AB601" s="4974"/>
      <c r="AC601" s="4974"/>
      <c r="AD601" s="4974"/>
      <c r="AE601" s="4974"/>
      <c r="AF601" s="4974"/>
      <c r="AG601" s="4974"/>
      <c r="AH601" s="4975"/>
      <c r="AI601" s="3543"/>
    </row>
    <row r="602" ht="16.5" customHeight="1">
      <c r="A602" s="3535"/>
      <c r="B602" s="4967"/>
      <c r="C602" s="4947"/>
      <c r="D602" s="4968"/>
      <c r="E602" s="4984" t="s">
        <v>517</v>
      </c>
      <c r="F602" s="4985">
        <f t="array" ref="F602">IFERROR(VLOOKUP(E585,Dex!$B$3:$N1361,12,FALSE),"")</f>
        <v>70</v>
      </c>
      <c r="G602" s="4986" t="str">
        <f t="array" ref="G602">IFERROR(VLOOKUP(F602,Dex!$P$22:$Q$276,2,FALSE),"")</f>
        <v/>
      </c>
      <c r="H602" s="4987"/>
      <c r="I602" s="4980"/>
      <c r="J602" s="4984" t="s">
        <v>517</v>
      </c>
      <c r="K602" s="4985">
        <f t="array" ref="K602">IFERROR(VLOOKUP(J585,Dex!$B$3:$N1361,12,FALSE),"")</f>
        <v>86</v>
      </c>
      <c r="L602" s="4986" t="str">
        <f t="array" ref="L602">IFERROR(VLOOKUP(K602,Dex!$P$22:$Q$276,2,FALSE),"")</f>
        <v/>
      </c>
      <c r="M602" s="4987"/>
      <c r="N602" s="4981"/>
      <c r="O602" s="4984" t="s">
        <v>517</v>
      </c>
      <c r="P602" s="4985">
        <f t="array" ref="P602">IFERROR(VLOOKUP(O585,Dex!$B$3:$N1361,12,FALSE),"")</f>
        <v>86</v>
      </c>
      <c r="Q602" s="4986" t="str">
        <f t="array" ref="Q602">IFERROR(VLOOKUP(P602,Dex!$P$22:$Q$276,2,FALSE),"")</f>
        <v/>
      </c>
      <c r="R602" s="4987"/>
      <c r="S602" s="4982"/>
      <c r="T602" s="4972"/>
      <c r="U602" s="4972"/>
      <c r="V602" s="4918"/>
      <c r="W602" s="4974"/>
      <c r="X602" s="4974"/>
      <c r="Y602" s="4974"/>
      <c r="Z602" s="4972"/>
      <c r="AA602" s="4972"/>
      <c r="AB602" s="4974"/>
      <c r="AC602" s="4974"/>
      <c r="AD602" s="4974"/>
      <c r="AE602" s="4974"/>
      <c r="AF602" s="4974"/>
      <c r="AG602" s="4974"/>
      <c r="AH602" s="4975"/>
      <c r="AI602" s="3543"/>
    </row>
    <row r="603" ht="16.5" customHeight="1">
      <c r="A603" s="3535"/>
      <c r="B603" s="4967"/>
      <c r="C603" s="1426" t="s">
        <v>745</v>
      </c>
      <c r="D603" s="4968"/>
      <c r="E603" s="4990" t="s">
        <v>518</v>
      </c>
      <c r="F603" s="4991">
        <f t="array" ref="F603">IFERROR(VLOOKUP(E585,Dex!$B$3:$N1361,13,FALSE),"")</f>
        <v>110</v>
      </c>
      <c r="G603" s="4986" t="str">
        <f t="array" ref="G603">IFERROR(VLOOKUP(F603,Dex!$P$22:$Q$276,2,FALSE),"")</f>
        <v/>
      </c>
      <c r="H603" s="4987"/>
      <c r="I603" s="4980"/>
      <c r="J603" s="4990" t="s">
        <v>518</v>
      </c>
      <c r="K603" s="4991">
        <f t="array" ref="K603">IFERROR(VLOOKUP(J585,Dex!$B$3:$N1361,13,FALSE),"")</f>
        <v>68</v>
      </c>
      <c r="L603" s="4986" t="str">
        <f t="array" ref="L603">IFERROR(VLOOKUP(K603,Dex!$P$22:$Q$276,2,FALSE),"")</f>
        <v/>
      </c>
      <c r="M603" s="4987"/>
      <c r="N603" s="4981"/>
      <c r="O603" s="4990" t="s">
        <v>518</v>
      </c>
      <c r="P603" s="4991">
        <f t="array" ref="P603">IFERROR(VLOOKUP(O585,Dex!$B$3:$N1361,13,FALSE),"")</f>
        <v>87</v>
      </c>
      <c r="Q603" s="4986" t="str">
        <f t="array" ref="Q603">IFERROR(VLOOKUP(P603,Dex!$P$22:$Q$276,2,FALSE),"")</f>
        <v/>
      </c>
      <c r="R603" s="4987"/>
      <c r="S603" s="4982"/>
      <c r="T603" s="4972"/>
      <c r="U603" s="4972"/>
      <c r="V603" s="4918"/>
      <c r="W603" s="4974"/>
      <c r="X603" s="4974"/>
      <c r="Y603" s="4974"/>
      <c r="Z603" s="4972"/>
      <c r="AA603" s="4972"/>
      <c r="AB603" s="4974"/>
      <c r="AC603" s="4974"/>
      <c r="AD603" s="4974"/>
      <c r="AE603" s="4974"/>
      <c r="AF603" s="4974"/>
      <c r="AG603" s="4974"/>
      <c r="AH603" s="4975"/>
      <c r="AI603" s="3543"/>
    </row>
    <row r="604" ht="16.5" customHeight="1">
      <c r="A604" s="3535"/>
      <c r="B604" s="4967"/>
      <c r="C604" s="1427" t="s">
        <v>746</v>
      </c>
      <c r="D604" s="4992"/>
      <c r="E604" s="4993" t="s">
        <v>519</v>
      </c>
      <c r="F604" s="630"/>
      <c r="G604" s="631"/>
      <c r="H604" s="632">
        <f>ROUNDDOWN((ROUNDDOWN(((((2*F603+31)*66)/100+5)),0))*1.1,0)</f>
        <v>187</v>
      </c>
      <c r="I604" s="4970"/>
      <c r="J604" s="4993" t="s">
        <v>519</v>
      </c>
      <c r="K604" s="630"/>
      <c r="L604" s="631"/>
      <c r="M604" s="632">
        <f>ROUNDDOWN((ROUNDDOWN(((((2*K603+31)*66)/100+5)),0))*1.1,0)</f>
        <v>126</v>
      </c>
      <c r="N604" s="4970"/>
      <c r="O604" s="4993" t="s">
        <v>519</v>
      </c>
      <c r="P604" s="630"/>
      <c r="Q604" s="631"/>
      <c r="R604" s="632">
        <f>ROUNDDOWN((ROUNDDOWN(((((2*P603+31)*66)/100+5)),0))*1.1,0)</f>
        <v>154</v>
      </c>
      <c r="S604" s="4982"/>
      <c r="T604" s="4972"/>
      <c r="U604" s="4972"/>
      <c r="V604" s="4957"/>
      <c r="W604" s="4974"/>
      <c r="X604" s="4974"/>
      <c r="Y604" s="4974"/>
      <c r="Z604" s="4972"/>
      <c r="AA604" s="4972"/>
      <c r="AB604" s="4974"/>
      <c r="AC604" s="4974"/>
      <c r="AD604" s="4974"/>
      <c r="AE604" s="4974"/>
      <c r="AF604" s="4974"/>
      <c r="AG604" s="4974"/>
      <c r="AH604" s="4975"/>
      <c r="AI604" s="3543"/>
    </row>
    <row r="605" ht="3.75" customHeight="1">
      <c r="A605" s="3446"/>
      <c r="B605" s="4886"/>
      <c r="C605" s="4939"/>
      <c r="D605" s="4938"/>
      <c r="E605" s="4994"/>
      <c r="F605" s="4994"/>
      <c r="G605" s="4994"/>
      <c r="H605" s="4994"/>
      <c r="I605" s="4995"/>
      <c r="J605" s="4996"/>
      <c r="K605" s="4996"/>
      <c r="L605" s="4996"/>
      <c r="M605" s="4997"/>
      <c r="N605" s="4995"/>
      <c r="O605" s="4996"/>
      <c r="P605" s="4996"/>
      <c r="Q605" s="4996"/>
      <c r="R605" s="4994"/>
      <c r="S605" s="4938"/>
      <c r="T605" s="4938"/>
      <c r="U605" s="4938"/>
      <c r="V605" s="4938"/>
      <c r="W605" s="4938"/>
      <c r="X605" s="4938"/>
      <c r="Y605" s="4938"/>
      <c r="Z605" s="4938"/>
      <c r="AA605" s="4938"/>
      <c r="AB605" s="4938"/>
      <c r="AC605" s="4938"/>
      <c r="AD605" s="4938"/>
      <c r="AE605" s="4938"/>
      <c r="AF605" s="4938"/>
      <c r="AG605" s="4938"/>
      <c r="AH605" s="4890"/>
      <c r="AI605" s="3452"/>
    </row>
    <row r="606" ht="15.0" customHeight="1">
      <c r="A606" s="3446"/>
      <c r="B606" s="4998"/>
      <c r="C606" s="4999"/>
      <c r="D606" s="5000"/>
      <c r="E606" s="5001"/>
      <c r="F606" s="5001"/>
      <c r="G606" s="5001"/>
      <c r="H606" s="5001"/>
      <c r="I606" s="5000"/>
      <c r="J606" s="5001"/>
      <c r="K606" s="5001"/>
      <c r="L606" s="5001"/>
      <c r="M606" s="5001"/>
      <c r="N606" s="5000"/>
      <c r="O606" s="5000"/>
      <c r="P606" s="5000"/>
      <c r="Q606" s="5000"/>
      <c r="R606" s="5000"/>
      <c r="S606" s="5000"/>
      <c r="T606" s="5000"/>
      <c r="U606" s="5000"/>
      <c r="V606" s="5000"/>
      <c r="W606" s="5000"/>
      <c r="X606" s="5000"/>
      <c r="Y606" s="5000"/>
      <c r="Z606" s="5000"/>
      <c r="AA606" s="5000"/>
      <c r="AB606" s="5000"/>
      <c r="AC606" s="5000"/>
      <c r="AD606" s="5000"/>
      <c r="AE606" s="5000"/>
      <c r="AF606" s="5000"/>
      <c r="AG606" s="5000"/>
      <c r="AH606" s="5002"/>
      <c r="AI606" s="3452"/>
    </row>
    <row r="607" ht="15.0" customHeight="1">
      <c r="A607" s="3446"/>
      <c r="B607" s="5003"/>
      <c r="C607" s="5004"/>
      <c r="D607" s="5005"/>
      <c r="E607" s="5006"/>
      <c r="F607" s="5006"/>
      <c r="G607" s="5006"/>
      <c r="H607" s="5006"/>
      <c r="I607" s="5006"/>
      <c r="J607" s="5006"/>
      <c r="K607" s="5006"/>
      <c r="L607" s="5006"/>
      <c r="M607" s="5006"/>
      <c r="N607" s="5006"/>
      <c r="O607" s="5006"/>
      <c r="P607" s="5006"/>
      <c r="Q607" s="5006"/>
      <c r="R607" s="5006"/>
      <c r="S607" s="5006"/>
      <c r="T607" s="5006"/>
      <c r="U607" s="5006"/>
      <c r="V607" s="5006"/>
      <c r="W607" s="5006"/>
      <c r="X607" s="5006"/>
      <c r="Y607" s="5006"/>
      <c r="Z607" s="5006"/>
      <c r="AA607" s="5006"/>
      <c r="AB607" s="5006"/>
      <c r="AC607" s="5006"/>
      <c r="AD607" s="5006"/>
      <c r="AE607" s="5006"/>
      <c r="AF607" s="5006"/>
      <c r="AG607" s="5006"/>
      <c r="AH607" s="5007"/>
      <c r="AI607" s="3452"/>
    </row>
    <row r="608">
      <c r="A608" s="3446"/>
      <c r="B608" s="5008"/>
      <c r="C608" s="5009"/>
      <c r="D608" s="5010"/>
      <c r="E608" s="5011" t="s">
        <v>1548</v>
      </c>
      <c r="F608" s="5012"/>
      <c r="G608" s="5012"/>
      <c r="H608" s="5012"/>
      <c r="I608" s="5012"/>
      <c r="J608" s="5012"/>
      <c r="K608" s="5012"/>
      <c r="L608" s="5012"/>
      <c r="M608" s="5012"/>
      <c r="N608" s="5012"/>
      <c r="O608" s="5012"/>
      <c r="P608" s="5012"/>
      <c r="Q608" s="5012"/>
      <c r="R608" s="5012"/>
      <c r="S608" s="5012"/>
      <c r="T608" s="5012"/>
      <c r="U608" s="5012"/>
      <c r="V608" s="5012"/>
      <c r="W608" s="5012"/>
      <c r="X608" s="5012"/>
      <c r="Y608" s="5012"/>
      <c r="Z608" s="5012"/>
      <c r="AA608" s="5012"/>
      <c r="AB608" s="5012"/>
      <c r="AC608" s="5012"/>
      <c r="AD608" s="5012"/>
      <c r="AE608" s="5012"/>
      <c r="AF608" s="5012"/>
      <c r="AG608" s="5013"/>
      <c r="AH608" s="5014"/>
      <c r="AI608" s="3452"/>
    </row>
    <row r="609" ht="96.75" customHeight="1">
      <c r="A609" s="3446"/>
      <c r="B609" s="5015"/>
      <c r="C609" s="5016" t="str">
        <f>IMAGE("https://i.ibb.co/26GFSbd/Bird-Keeper.png")</f>
        <v/>
      </c>
      <c r="D609" s="5017"/>
      <c r="E609" s="5018" t="str">
        <f t="array" ref="E609">IFERROR(VLOOKUP(E610,Dex!$B$3:$G1361,3,FALSE),"")</f>
        <v/>
      </c>
      <c r="F609" s="606"/>
      <c r="G609" s="606"/>
      <c r="H609" s="4452"/>
      <c r="I609" s="5019"/>
      <c r="J609" s="5018" t="str">
        <f t="array" ref="J609">IFERROR(VLOOKUP(J610,Dex!$B$3:$G1361,3,FALSE),"")</f>
        <v/>
      </c>
      <c r="K609" s="606"/>
      <c r="L609" s="606"/>
      <c r="M609" s="4452"/>
      <c r="N609" s="5019"/>
      <c r="O609" s="5018" t="str">
        <f t="array" ref="O609">IFERROR(VLOOKUP(O610,Dex!$B$3:$G1361,3,FALSE),"")</f>
        <v/>
      </c>
      <c r="P609" s="606"/>
      <c r="Q609" s="606"/>
      <c r="R609" s="4452"/>
      <c r="S609" s="5019"/>
      <c r="T609" s="5018" t="str">
        <f t="array" ref="T609">IFERROR(VLOOKUP(T610,Dex!$B$3:$G1361,3,FALSE),"")</f>
        <v/>
      </c>
      <c r="U609" s="606"/>
      <c r="V609" s="606"/>
      <c r="W609" s="4452"/>
      <c r="X609" s="5020"/>
      <c r="Y609" s="5018" t="str">
        <f t="array" ref="Y609">IFERROR(VLOOKUP(Y610,Dex!$B$3:$G1361,3,FALSE),"")</f>
        <v/>
      </c>
      <c r="Z609" s="606"/>
      <c r="AA609" s="606"/>
      <c r="AB609" s="4452"/>
      <c r="AC609" s="5021"/>
      <c r="AD609" s="5022"/>
      <c r="AE609" s="5023"/>
      <c r="AF609" s="5023"/>
      <c r="AG609" s="5024"/>
      <c r="AH609" s="5025"/>
      <c r="AI609" s="3452"/>
    </row>
    <row r="610" ht="18.75" customHeight="1">
      <c r="A610" s="3689"/>
      <c r="B610" s="5026"/>
      <c r="C610" s="5027" t="s">
        <v>1549</v>
      </c>
      <c r="D610" s="5028"/>
      <c r="E610" s="5029" t="s">
        <v>1311</v>
      </c>
      <c r="F610" s="5030"/>
      <c r="G610" s="5030"/>
      <c r="H610" s="5031"/>
      <c r="J610" s="5029" t="s">
        <v>680</v>
      </c>
      <c r="K610" s="5030"/>
      <c r="L610" s="5030"/>
      <c r="M610" s="5031"/>
      <c r="O610" s="5029" t="s">
        <v>853</v>
      </c>
      <c r="P610" s="5030"/>
      <c r="Q610" s="5030"/>
      <c r="R610" s="5031"/>
      <c r="T610" s="5029" t="s">
        <v>1550</v>
      </c>
      <c r="U610" s="5030"/>
      <c r="V610" s="5030"/>
      <c r="W610" s="5031"/>
      <c r="Y610" s="5029" t="s">
        <v>1551</v>
      </c>
      <c r="Z610" s="5030"/>
      <c r="AA610" s="5030"/>
      <c r="AB610" s="5031"/>
      <c r="AC610" s="5032"/>
      <c r="AD610" s="5033"/>
      <c r="AE610" s="5023"/>
      <c r="AF610" s="5023"/>
      <c r="AG610" s="5024"/>
      <c r="AH610" s="5034"/>
      <c r="AI610" s="3700"/>
    </row>
    <row r="611">
      <c r="A611" s="3701"/>
      <c r="B611" s="5035"/>
      <c r="C611" s="1638"/>
      <c r="D611" s="5036"/>
      <c r="E611" s="5037" t="s">
        <v>796</v>
      </c>
      <c r="F611" s="5038"/>
      <c r="G611" s="5038"/>
      <c r="H611" s="5039"/>
      <c r="J611" s="5037" t="s">
        <v>796</v>
      </c>
      <c r="K611" s="5038"/>
      <c r="L611" s="5038"/>
      <c r="M611" s="5039"/>
      <c r="O611" s="5037" t="s">
        <v>796</v>
      </c>
      <c r="P611" s="5038"/>
      <c r="Q611" s="5038"/>
      <c r="R611" s="5039"/>
      <c r="T611" s="5037" t="s">
        <v>796</v>
      </c>
      <c r="U611" s="5038"/>
      <c r="V611" s="5038"/>
      <c r="W611" s="5039"/>
      <c r="Y611" s="5037" t="s">
        <v>796</v>
      </c>
      <c r="Z611" s="5038"/>
      <c r="AA611" s="5038"/>
      <c r="AB611" s="5039"/>
      <c r="AC611" s="5032"/>
      <c r="AD611" s="5040"/>
      <c r="AE611" s="5023"/>
      <c r="AF611" s="5023"/>
      <c r="AG611" s="5024"/>
      <c r="AH611" s="5041"/>
      <c r="AI611" s="3709"/>
    </row>
    <row r="612" ht="25.5" customHeight="1">
      <c r="A612" s="3446"/>
      <c r="B612" s="5015"/>
      <c r="C612" s="1646"/>
      <c r="D612" s="5042"/>
      <c r="E612" s="5043"/>
      <c r="F612" s="5044" t="str">
        <f t="array" ref="F612">IFERROR(VLOOKUP(E610,Dex!$B$3:$H1361,5,FALSE),"")</f>
        <v/>
      </c>
      <c r="G612" s="5045" t="str">
        <f t="array" ref="G612">IFERROR(VLOOKUP(E610,Dex!$B$3:$H1361,7,FALSE),"")</f>
        <v/>
      </c>
      <c r="H612" s="5046"/>
      <c r="J612" s="5043"/>
      <c r="K612" s="5044" t="str">
        <f t="array" ref="K612">IFERROR(VLOOKUP(J610,Dex!$B$3:$H1361,5,FALSE),"")</f>
        <v/>
      </c>
      <c r="L612" s="5045" t="str">
        <f t="array" ref="L612">IFERROR(VLOOKUP(J610,Dex!$B$3:$H1361,7,FALSE),"")</f>
        <v/>
      </c>
      <c r="M612" s="5046"/>
      <c r="O612" s="5043"/>
      <c r="P612" s="5044" t="str">
        <f t="array" ref="P612">IFERROR(VLOOKUP(O610,Dex!$B$3:$H1361,5,FALSE),"")</f>
        <v/>
      </c>
      <c r="Q612" s="5045" t="str">
        <f t="array" ref="Q612">IFERROR(VLOOKUP(O610,Dex!$B$3:$H1361,7,FALSE),"")</f>
        <v/>
      </c>
      <c r="R612" s="5046"/>
      <c r="T612" s="5043"/>
      <c r="U612" s="5044" t="str">
        <f t="array" ref="U612">IFERROR(VLOOKUP(T610,Dex!$B$3:$H1361,5,FALSE),"")</f>
        <v/>
      </c>
      <c r="V612" s="5045" t="str">
        <f t="array" ref="V612">IFERROR(VLOOKUP(T610,Dex!$B$3:$H1361,7,FALSE),"")</f>
        <v/>
      </c>
      <c r="W612" s="5046"/>
      <c r="Y612" s="5043"/>
      <c r="Z612" s="5044" t="str">
        <f t="array" ref="Z612">IFERROR(VLOOKUP(Y610,Dex!$B$3:$H1361,5,FALSE),"")</f>
        <v/>
      </c>
      <c r="AA612" s="5045" t="str">
        <f t="array" ref="AA612">IFERROR(VLOOKUP(Y610,Dex!$B$3:$H1361,7,FALSE),"")</f>
        <v/>
      </c>
      <c r="AB612" s="5046"/>
      <c r="AC612" s="5032"/>
      <c r="AD612" s="5022"/>
      <c r="AE612" s="5023"/>
      <c r="AF612" s="5023"/>
      <c r="AG612" s="5024"/>
      <c r="AH612" s="5025"/>
      <c r="AI612" s="3452"/>
    </row>
    <row r="613" ht="2.25" customHeight="1">
      <c r="A613" s="3446"/>
      <c r="B613" s="5008"/>
      <c r="C613" s="5047"/>
      <c r="D613" s="5048"/>
      <c r="E613" s="5049"/>
      <c r="F613" s="5050"/>
      <c r="G613" s="5050"/>
      <c r="H613" s="5051"/>
      <c r="J613" s="5049"/>
      <c r="K613" s="5050"/>
      <c r="L613" s="5050"/>
      <c r="M613" s="5051"/>
      <c r="O613" s="5049"/>
      <c r="P613" s="5050"/>
      <c r="Q613" s="5050"/>
      <c r="R613" s="5051"/>
      <c r="T613" s="5049"/>
      <c r="U613" s="5050"/>
      <c r="V613" s="5050"/>
      <c r="W613" s="5051"/>
      <c r="Y613" s="5049"/>
      <c r="Z613" s="5050"/>
      <c r="AA613" s="5050"/>
      <c r="AB613" s="5051"/>
      <c r="AC613" s="5032"/>
      <c r="AD613" s="5052"/>
      <c r="AE613" s="5052"/>
      <c r="AF613" s="5052"/>
      <c r="AG613" s="5052"/>
      <c r="AH613" s="5025"/>
      <c r="AI613" s="3452"/>
    </row>
    <row r="614" ht="20.25" customHeight="1">
      <c r="A614" s="3446"/>
      <c r="B614" s="5008"/>
      <c r="C614" s="5053"/>
      <c r="D614" s="5022"/>
      <c r="E614" s="5054" t="s">
        <v>532</v>
      </c>
      <c r="F614" s="5055"/>
      <c r="G614" s="5055"/>
      <c r="H614" s="5056"/>
      <c r="J614" s="5054" t="s">
        <v>532</v>
      </c>
      <c r="K614" s="5055"/>
      <c r="L614" s="5055"/>
      <c r="M614" s="5056"/>
      <c r="O614" s="5054" t="s">
        <v>564</v>
      </c>
      <c r="P614" s="5055"/>
      <c r="Q614" s="5055"/>
      <c r="R614" s="5056"/>
      <c r="T614" s="5054" t="s">
        <v>566</v>
      </c>
      <c r="U614" s="5055"/>
      <c r="V614" s="5055"/>
      <c r="W614" s="5056"/>
      <c r="Y614" s="5054" t="s">
        <v>566</v>
      </c>
      <c r="Z614" s="5055"/>
      <c r="AA614" s="5055"/>
      <c r="AB614" s="5056"/>
      <c r="AC614" s="5032"/>
      <c r="AD614" s="5022"/>
      <c r="AE614" s="5023"/>
      <c r="AF614" s="5023"/>
      <c r="AG614" s="5024"/>
      <c r="AH614" s="5025"/>
      <c r="AI614" s="3452"/>
    </row>
    <row r="615">
      <c r="A615" s="3446"/>
      <c r="B615" s="5008"/>
      <c r="C615" s="5053"/>
      <c r="D615" s="5022"/>
      <c r="E615" s="5057" t="s">
        <v>60</v>
      </c>
      <c r="F615" s="5023"/>
      <c r="G615" s="5023"/>
      <c r="H615" s="5058"/>
      <c r="J615" s="5057" t="s">
        <v>1552</v>
      </c>
      <c r="K615" s="5023"/>
      <c r="L615" s="5023"/>
      <c r="M615" s="5058"/>
      <c r="O615" s="5057" t="s">
        <v>1240</v>
      </c>
      <c r="P615" s="5023"/>
      <c r="Q615" s="5023"/>
      <c r="R615" s="5058"/>
      <c r="T615" s="5057" t="s">
        <v>67</v>
      </c>
      <c r="U615" s="5023"/>
      <c r="V615" s="5023"/>
      <c r="W615" s="5058"/>
      <c r="Y615" s="5057" t="s">
        <v>681</v>
      </c>
      <c r="Z615" s="5023"/>
      <c r="AA615" s="5023"/>
      <c r="AB615" s="5058"/>
      <c r="AC615" s="5032"/>
      <c r="AD615" s="5022"/>
      <c r="AE615" s="5023"/>
      <c r="AF615" s="5023"/>
      <c r="AG615" s="5024"/>
      <c r="AH615" s="5025"/>
      <c r="AI615" s="3452"/>
    </row>
    <row r="616" ht="20.25" customHeight="1">
      <c r="A616" s="3446"/>
      <c r="B616" s="5008"/>
      <c r="C616" s="5053"/>
      <c r="D616" s="5022"/>
      <c r="E616" s="5059" t="s">
        <v>1114</v>
      </c>
      <c r="F616" s="5012"/>
      <c r="G616" s="5013"/>
      <c r="H616" s="5060" t="str">
        <f>IMAGE("https://raw.githubusercontent.com/msikma/pokesprite/master/items/berry/yache.png",3)</f>
        <v/>
      </c>
      <c r="J616" s="5059" t="s">
        <v>688</v>
      </c>
      <c r="K616" s="5012"/>
      <c r="L616" s="5013"/>
      <c r="M616" s="5060" t="str">
        <f>IMAGE("https://raw.githubusercontent.com/msikma/pokesprite/master/items/mega-stone/charizardite-x.png",3)</f>
        <v/>
      </c>
      <c r="O616" s="5059" t="s">
        <v>1173</v>
      </c>
      <c r="P616" s="5012"/>
      <c r="Q616" s="5013"/>
      <c r="R616" s="5060" t="str">
        <f>IMAGE("https://raw.githubusercontent.com/msikma/pokesprite/master/items/hold-item/scope-lens.png",3)</f>
        <v/>
      </c>
      <c r="T616" s="5059" t="s">
        <v>685</v>
      </c>
      <c r="U616" s="5012"/>
      <c r="V616" s="5013"/>
      <c r="W616" s="5060" t="str">
        <f>IMAGE("https://raw.githubusercontent.com/msikma/pokesprite/master/items/gem/fighting.png",3)</f>
        <v/>
      </c>
      <c r="Y616" s="5059" t="s">
        <v>573</v>
      </c>
      <c r="Z616" s="5012"/>
      <c r="AA616" s="5013"/>
      <c r="AB616" s="5060" t="str">
        <f>IMAGE("https://raw.githubusercontent.com/msikma/pokesprite/master/items/hold-item/focus-sash.png",3)</f>
        <v/>
      </c>
      <c r="AC616" s="5032"/>
      <c r="AD616" s="5022"/>
      <c r="AE616" s="5023"/>
      <c r="AF616" s="5023"/>
      <c r="AG616" s="5024"/>
      <c r="AH616" s="5025"/>
      <c r="AI616" s="3452"/>
    </row>
    <row r="617" ht="20.25" customHeight="1">
      <c r="A617" s="3446"/>
      <c r="B617" s="5008"/>
      <c r="C617" s="5061"/>
      <c r="D617" s="5022"/>
      <c r="E617" s="5054" t="s">
        <v>612</v>
      </c>
      <c r="F617" s="5055"/>
      <c r="G617" s="5062"/>
      <c r="H617" s="5063" t="str">
        <f>IMAGE("https://raw.githubusercontent.com/msikma/pokesprite/master/misc/types/gen8/bug.png",4,20,20)</f>
        <v/>
      </c>
      <c r="J617" s="5054" t="s">
        <v>219</v>
      </c>
      <c r="K617" s="5055"/>
      <c r="L617" s="5062"/>
      <c r="M617" s="5063" t="str">
        <f>IMAGE("https://raw.githubusercontent.com/msikma/pokesprite/master/misc/types/gen8/dragon.png",4,20,20)</f>
        <v/>
      </c>
      <c r="O617" s="5054" t="s">
        <v>1553</v>
      </c>
      <c r="P617" s="5055"/>
      <c r="Q617" s="5062"/>
      <c r="R617" s="5063" t="str">
        <f>IMAGE("https://raw.githubusercontent.com/msikma/pokesprite/master/misc/types/gen8/flying.png",4,20,20)</f>
        <v/>
      </c>
      <c r="T617" s="5054" t="s">
        <v>287</v>
      </c>
      <c r="U617" s="5055"/>
      <c r="V617" s="5062"/>
      <c r="W617" s="5063" t="str">
        <f>IMAGE("https://raw.githubusercontent.com/msikma/pokesprite/master/misc/types/gen8/normal.png",4,20,20)</f>
        <v/>
      </c>
      <c r="Y617" s="5054" t="s">
        <v>237</v>
      </c>
      <c r="Z617" s="5055"/>
      <c r="AA617" s="5062"/>
      <c r="AB617" s="5063" t="str">
        <f>IMAGE("https://raw.githubusercontent.com/msikma/pokesprite/master/misc/types/gen8/normal.png",4,20,20)</f>
        <v/>
      </c>
      <c r="AC617" s="5032"/>
      <c r="AD617" s="5022"/>
      <c r="AE617" s="5023"/>
      <c r="AF617" s="5023"/>
      <c r="AG617" s="5024"/>
      <c r="AH617" s="5025"/>
      <c r="AI617" s="3452"/>
    </row>
    <row r="618" ht="20.25" customHeight="1">
      <c r="A618" s="3446"/>
      <c r="B618" s="5008"/>
      <c r="C618" s="5061"/>
      <c r="D618" s="5022"/>
      <c r="E618" s="5057" t="s">
        <v>549</v>
      </c>
      <c r="F618" s="5023"/>
      <c r="G618" s="5024"/>
      <c r="H618" s="5064" t="str">
        <f>IMAGE("https://raw.githubusercontent.com/msikma/pokesprite/master/misc/types/gen8/ground.png",4,20,20)</f>
        <v/>
      </c>
      <c r="J618" s="5057" t="s">
        <v>694</v>
      </c>
      <c r="K618" s="5023"/>
      <c r="L618" s="5024"/>
      <c r="M618" s="5064" t="str">
        <f>IMAGE("https://raw.githubusercontent.com/msikma/pokesprite/master/misc/types/gen8/fire.png",4,20,20)</f>
        <v/>
      </c>
      <c r="O618" s="5057" t="s">
        <v>1211</v>
      </c>
      <c r="P618" s="5023"/>
      <c r="Q618" s="5024"/>
      <c r="R618" s="5064" t="str">
        <f>IMAGE("https://raw.githubusercontent.com/msikma/pokesprite/master/misc/types/gen8/fire.png",4,20,20)</f>
        <v/>
      </c>
      <c r="T618" s="5057" t="s">
        <v>694</v>
      </c>
      <c r="U618" s="5023"/>
      <c r="V618" s="5024"/>
      <c r="W618" s="5064" t="str">
        <f>IMAGE("https://raw.githubusercontent.com/msikma/pokesprite/master/misc/types/gen8/fire.png",4,20,20)</f>
        <v/>
      </c>
      <c r="Y618" s="5057" t="s">
        <v>543</v>
      </c>
      <c r="Z618" s="5023"/>
      <c r="AA618" s="5024"/>
      <c r="AB618" s="5064" t="str">
        <f>IMAGE("https://raw.githubusercontent.com/msikma/pokesprite/master/misc/types/gen8/grass.png",4,20,20)</f>
        <v/>
      </c>
      <c r="AC618" s="5032"/>
      <c r="AD618" s="5022"/>
      <c r="AE618" s="5023"/>
      <c r="AF618" s="5023"/>
      <c r="AG618" s="5024"/>
      <c r="AH618" s="5025"/>
      <c r="AI618" s="3452"/>
    </row>
    <row r="619" ht="20.25" customHeight="1">
      <c r="A619" s="3446"/>
      <c r="B619" s="5008"/>
      <c r="C619" s="5061"/>
      <c r="D619" s="5022"/>
      <c r="E619" s="5057" t="s">
        <v>191</v>
      </c>
      <c r="F619" s="5023"/>
      <c r="G619" s="5024"/>
      <c r="H619" s="5064" t="str">
        <f t="shared" ref="H619:H620" si="18">IMAGE("https://raw.githubusercontent.com/msikma/pokesprite/master/misc/types/gen8/rock.png",4,20,20)</f>
        <v/>
      </c>
      <c r="J619" s="5057" t="s">
        <v>617</v>
      </c>
      <c r="K619" s="5023"/>
      <c r="L619" s="5024"/>
      <c r="M619" s="5064" t="str">
        <f>IMAGE("https://raw.githubusercontent.com/msikma/pokesprite/master/misc/types/gen8/dragon.png",4,20,20)</f>
        <v/>
      </c>
      <c r="O619" s="5057" t="s">
        <v>641</v>
      </c>
      <c r="P619" s="5023"/>
      <c r="Q619" s="5024"/>
      <c r="R619" s="5064" t="str">
        <f>IMAGE("https://raw.githubusercontent.com/msikma/pokesprite/master/misc/types/gen8/fairy.png",4,20,20)</f>
        <v/>
      </c>
      <c r="T619" s="5057" t="s">
        <v>583</v>
      </c>
      <c r="U619" s="5023"/>
      <c r="V619" s="5024"/>
      <c r="W619" s="5064" t="str">
        <f>IMAGE("https://raw.githubusercontent.com/msikma/pokesprite/master/misc/types/gen8/fighting.png",4,20,20)</f>
        <v/>
      </c>
      <c r="Y619" s="5057" t="s">
        <v>699</v>
      </c>
      <c r="Z619" s="5023"/>
      <c r="AA619" s="5024"/>
      <c r="AB619" s="5064" t="str">
        <f>IMAGE("https://raw.githubusercontent.com/msikma/pokesprite/master/misc/types/gen8/fire.png",4,20,20)</f>
        <v/>
      </c>
      <c r="AC619" s="5032"/>
      <c r="AD619" s="5022"/>
      <c r="AE619" s="5023"/>
      <c r="AF619" s="5023"/>
      <c r="AG619" s="5024"/>
      <c r="AH619" s="5025"/>
      <c r="AI619" s="3452"/>
    </row>
    <row r="620" ht="21.0" customHeight="1">
      <c r="A620" s="3446"/>
      <c r="B620" s="5008"/>
      <c r="C620" s="5061"/>
      <c r="D620" s="5022"/>
      <c r="E620" s="5065" t="s">
        <v>621</v>
      </c>
      <c r="F620" s="5066"/>
      <c r="G620" s="5067"/>
      <c r="H620" s="5068" t="str">
        <f t="shared" si="18"/>
        <v/>
      </c>
      <c r="I620" s="5069"/>
      <c r="J620" s="5065" t="s">
        <v>549</v>
      </c>
      <c r="K620" s="5066"/>
      <c r="L620" s="5067"/>
      <c r="M620" s="5068" t="str">
        <f>IMAGE("https://raw.githubusercontent.com/msikma/pokesprite/master/misc/types/gen8/ground.png",4,20,20)</f>
        <v/>
      </c>
      <c r="N620" s="5069"/>
      <c r="O620" s="5065" t="s">
        <v>551</v>
      </c>
      <c r="P620" s="5066"/>
      <c r="Q620" s="5067"/>
      <c r="R620" s="5068" t="str">
        <f>IMAGE("https://raw.githubusercontent.com/msikma/pokesprite/master/misc/types/gen8/flying.png",4,20,20)</f>
        <v/>
      </c>
      <c r="S620" s="5069"/>
      <c r="T620" s="5065" t="s">
        <v>504</v>
      </c>
      <c r="U620" s="5066"/>
      <c r="V620" s="5067"/>
      <c r="W620" s="5068" t="str">
        <f>IMAGE("https://raw.githubusercontent.com/msikma/pokesprite/master/misc/types/gen8/electric.png",4,20,20)</f>
        <v/>
      </c>
      <c r="X620" s="5069"/>
      <c r="Y620" s="5065" t="s">
        <v>585</v>
      </c>
      <c r="Z620" s="5066"/>
      <c r="AA620" s="5067"/>
      <c r="AB620" s="5068" t="str">
        <f>IMAGE("https://raw.githubusercontent.com/msikma/pokesprite/master/misc/types/gen8/dragon.png",4,20,20)</f>
        <v/>
      </c>
      <c r="AC620" s="5070"/>
      <c r="AD620" s="5022"/>
      <c r="AE620" s="5023"/>
      <c r="AF620" s="5023"/>
      <c r="AG620" s="5024"/>
      <c r="AH620" s="5025"/>
      <c r="AI620" s="3452"/>
    </row>
    <row r="621" ht="3.0" customHeight="1">
      <c r="A621" s="3524"/>
      <c r="B621" s="5071"/>
      <c r="C621" s="5061"/>
      <c r="D621" s="5072"/>
      <c r="E621" s="5073"/>
      <c r="F621" s="5073"/>
      <c r="G621" s="5073"/>
      <c r="H621" s="5074"/>
      <c r="I621" s="5072"/>
      <c r="J621" s="5075"/>
      <c r="K621" s="5075"/>
      <c r="L621" s="5075"/>
      <c r="M621" s="5074"/>
      <c r="N621" s="5072"/>
      <c r="O621" s="5075"/>
      <c r="P621" s="5075"/>
      <c r="Q621" s="5075"/>
      <c r="R621" s="5076"/>
      <c r="S621" s="5077"/>
      <c r="T621" s="5075"/>
      <c r="U621" s="5075"/>
      <c r="V621" s="5075"/>
      <c r="W621" s="5076"/>
      <c r="X621" s="5072"/>
      <c r="Y621" s="5075"/>
      <c r="Z621" s="5075"/>
      <c r="AA621" s="5075"/>
      <c r="AB621" s="5076"/>
      <c r="AC621" s="5078"/>
      <c r="AD621" s="5078"/>
      <c r="AE621" s="5078"/>
      <c r="AF621" s="5078"/>
      <c r="AG621" s="5078"/>
      <c r="AH621" s="5079"/>
      <c r="AI621" s="3534"/>
    </row>
    <row r="622" ht="16.5" customHeight="1">
      <c r="A622" s="3535"/>
      <c r="B622" s="5080"/>
      <c r="C622" s="5061"/>
      <c r="D622" s="5081"/>
      <c r="E622" s="5082" t="s">
        <v>512</v>
      </c>
      <c r="F622" s="606"/>
      <c r="G622" s="5083"/>
      <c r="H622" s="5084" t="s">
        <v>1554</v>
      </c>
      <c r="I622" s="5085"/>
      <c r="J622" s="5082" t="s">
        <v>512</v>
      </c>
      <c r="K622" s="606"/>
      <c r="L622" s="5083"/>
      <c r="M622" s="5084" t="s">
        <v>1554</v>
      </c>
      <c r="N622" s="5085"/>
      <c r="O622" s="5082" t="s">
        <v>512</v>
      </c>
      <c r="P622" s="606"/>
      <c r="Q622" s="5083"/>
      <c r="R622" s="5084" t="s">
        <v>1554</v>
      </c>
      <c r="S622" s="5086"/>
      <c r="T622" s="5082" t="s">
        <v>512</v>
      </c>
      <c r="U622" s="606"/>
      <c r="V622" s="5083"/>
      <c r="W622" s="5084" t="s">
        <v>1554</v>
      </c>
      <c r="X622" s="5087"/>
      <c r="Y622" s="5082" t="s">
        <v>512</v>
      </c>
      <c r="Z622" s="606"/>
      <c r="AA622" s="5083"/>
      <c r="AB622" s="5084" t="s">
        <v>1554</v>
      </c>
      <c r="AC622" s="5088"/>
      <c r="AD622" s="5088"/>
      <c r="AE622" s="5088"/>
      <c r="AF622" s="5088"/>
      <c r="AG622" s="5088"/>
      <c r="AH622" s="5089"/>
      <c r="AI622" s="3543"/>
    </row>
    <row r="623" ht="16.5" customHeight="1">
      <c r="A623" s="3535"/>
      <c r="B623" s="5080"/>
      <c r="C623" s="5061"/>
      <c r="D623" s="5081"/>
      <c r="E623" s="5090" t="s">
        <v>513</v>
      </c>
      <c r="F623" s="5091">
        <f t="array" ref="F623">IFERROR(VLOOKUP(E610,Dex!$B$3:$N1361,8,FALSE),"")</f>
        <v>89</v>
      </c>
      <c r="G623" s="5092" t="str">
        <f t="array" ref="G623">IFERROR(VLOOKUP(F623,Dex!$P$22:$Q$276,2,FALSE),"")</f>
        <v/>
      </c>
      <c r="H623" s="5093"/>
      <c r="I623" s="5094"/>
      <c r="J623" s="5090" t="s">
        <v>513</v>
      </c>
      <c r="K623" s="5091">
        <f t="array" ref="K623">IFERROR(VLOOKUP(J610,Dex!$B$3:$N1361,8,FALSE),"")</f>
        <v>78</v>
      </c>
      <c r="L623" s="5092" t="str">
        <f t="array" ref="L623">IFERROR(VLOOKUP(K623,Dex!$P$22:$Q$276,2,FALSE),"")</f>
        <v/>
      </c>
      <c r="M623" s="5093"/>
      <c r="N623" s="5095"/>
      <c r="O623" s="5090" t="s">
        <v>513</v>
      </c>
      <c r="P623" s="5091">
        <f t="array" ref="P623">IFERROR(VLOOKUP(O610,Dex!$B$3:$N1361,8,FALSE),"")</f>
        <v>85</v>
      </c>
      <c r="Q623" s="5092" t="str">
        <f t="array" ref="Q623">IFERROR(VLOOKUP(P623,Dex!$P$22:$Q$276,2,FALSE),"")</f>
        <v/>
      </c>
      <c r="R623" s="5093"/>
      <c r="S623" s="5096"/>
      <c r="T623" s="5090" t="s">
        <v>513</v>
      </c>
      <c r="U623" s="5091">
        <f t="array" ref="U623">IFERROR(VLOOKUP(T610,Dex!$B$3:$N1361,8,FALSE),"")</f>
        <v>80</v>
      </c>
      <c r="V623" s="5092" t="str">
        <f t="array" ref="V623">IFERROR(VLOOKUP(U623,Dex!$P$22:$Q$276,2,FALSE),"")</f>
        <v/>
      </c>
      <c r="W623" s="5093"/>
      <c r="X623" s="5097"/>
      <c r="Y623" s="5090" t="s">
        <v>513</v>
      </c>
      <c r="Z623" s="5091">
        <f t="array" ref="Z623">IFERROR(VLOOKUP(Y610,Dex!$B$3:$N1361,8,FALSE),"")</f>
        <v>99</v>
      </c>
      <c r="AA623" s="5092" t="str">
        <f t="array" ref="AA623">IFERROR(VLOOKUP(Z623,Dex!$P$22:$Q$276,2,FALSE),"")</f>
        <v/>
      </c>
      <c r="AB623" s="5093"/>
      <c r="AC623" s="5088"/>
      <c r="AD623" s="5088"/>
      <c r="AE623" s="5088"/>
      <c r="AF623" s="5088"/>
      <c r="AG623" s="5088"/>
      <c r="AH623" s="5089"/>
      <c r="AI623" s="3543"/>
    </row>
    <row r="624" ht="16.5" customHeight="1">
      <c r="A624" s="3535"/>
      <c r="B624" s="5080"/>
      <c r="C624" s="5061"/>
      <c r="D624" s="5081"/>
      <c r="E624" s="5098" t="s">
        <v>514</v>
      </c>
      <c r="F624" s="5099">
        <f t="array" ref="F624">IFERROR(VLOOKUP(E610,Dex!$B$3:$N1361,9,FALSE),"")</f>
        <v>145</v>
      </c>
      <c r="G624" s="5100" t="str">
        <f t="array" ref="G624">IFERROR(VLOOKUP(F624,Dex!$P$22:$Q$276,2,FALSE),"")</f>
        <v/>
      </c>
      <c r="H624" s="5101"/>
      <c r="I624" s="5094"/>
      <c r="J624" s="5098" t="s">
        <v>514</v>
      </c>
      <c r="K624" s="5099">
        <f t="array" ref="K624">IFERROR(VLOOKUP(J610,Dex!$B$3:$N1361,9,FALSE),"")</f>
        <v>130</v>
      </c>
      <c r="L624" s="5100" t="str">
        <f t="array" ref="L624">IFERROR(VLOOKUP(K624,Dex!$P$22:$Q$276,2,FALSE),"")</f>
        <v/>
      </c>
      <c r="M624" s="5101"/>
      <c r="N624" s="5095"/>
      <c r="O624" s="5098" t="s">
        <v>514</v>
      </c>
      <c r="P624" s="5099">
        <f t="array" ref="P624">IFERROR(VLOOKUP(O610,Dex!$B$3:$N1361,9,FALSE),"")</f>
        <v>50</v>
      </c>
      <c r="Q624" s="5100" t="str">
        <f t="array" ref="Q624">IFERROR(VLOOKUP(P624,Dex!$P$22:$Q$276,2,FALSE),"")</f>
        <v/>
      </c>
      <c r="R624" s="5101"/>
      <c r="S624" s="5096"/>
      <c r="T624" s="5098" t="s">
        <v>514</v>
      </c>
      <c r="U624" s="5099">
        <f t="array" ref="U624">IFERROR(VLOOKUP(T610,Dex!$B$3:$N1361,9,FALSE),"")</f>
        <v>120</v>
      </c>
      <c r="V624" s="5100" t="str">
        <f t="array" ref="V624">IFERROR(VLOOKUP(U624,Dex!$P$22:$Q$276,2,FALSE),"")</f>
        <v/>
      </c>
      <c r="W624" s="5101"/>
      <c r="X624" s="5097"/>
      <c r="Y624" s="5098" t="s">
        <v>514</v>
      </c>
      <c r="Z624" s="5099">
        <f t="array" ref="Z624">IFERROR(VLOOKUP(Y610,Dex!$B$3:$N1361,9,FALSE),"")</f>
        <v>68</v>
      </c>
      <c r="AA624" s="5100" t="str">
        <f t="array" ref="AA624">IFERROR(VLOOKUP(Z624,Dex!$P$22:$Q$276,2,FALSE),"")</f>
        <v/>
      </c>
      <c r="AB624" s="5101"/>
      <c r="AC624" s="5088"/>
      <c r="AD624" s="5088"/>
      <c r="AE624" s="5088"/>
      <c r="AF624" s="5088"/>
      <c r="AG624" s="5088"/>
      <c r="AH624" s="5089"/>
      <c r="AI624" s="3543"/>
    </row>
    <row r="625" ht="16.5" customHeight="1">
      <c r="A625" s="3535"/>
      <c r="B625" s="5080"/>
      <c r="C625" s="5061"/>
      <c r="D625" s="5081"/>
      <c r="E625" s="5098" t="s">
        <v>515</v>
      </c>
      <c r="F625" s="5099">
        <f t="array" ref="F625">IFERROR(VLOOKUP(E610,Dex!$B$3:$N1361,10,FALSE),"")</f>
        <v>90</v>
      </c>
      <c r="G625" s="5100" t="str">
        <f t="array" ref="G625">IFERROR(VLOOKUP(F625,Dex!$P$22:$Q$276,2,FALSE),"")</f>
        <v/>
      </c>
      <c r="H625" s="5101"/>
      <c r="I625" s="5094"/>
      <c r="J625" s="5098" t="s">
        <v>515</v>
      </c>
      <c r="K625" s="5099">
        <f t="array" ref="K625">IFERROR(VLOOKUP(J610,Dex!$B$3:$N1361,10,FALSE),"")</f>
        <v>111</v>
      </c>
      <c r="L625" s="5100" t="str">
        <f t="array" ref="L625">IFERROR(VLOOKUP(K625,Dex!$P$22:$Q$276,2,FALSE),"")</f>
        <v/>
      </c>
      <c r="M625" s="5101"/>
      <c r="N625" s="5095"/>
      <c r="O625" s="5098" t="s">
        <v>515</v>
      </c>
      <c r="P625" s="5099">
        <f t="array" ref="P625">IFERROR(VLOOKUP(O610,Dex!$B$3:$N1361,10,FALSE),"")</f>
        <v>95</v>
      </c>
      <c r="Q625" s="5100" t="str">
        <f t="array" ref="Q625">IFERROR(VLOOKUP(P625,Dex!$P$22:$Q$276,2,FALSE),"")</f>
        <v/>
      </c>
      <c r="R625" s="5101"/>
      <c r="S625" s="5096"/>
      <c r="T625" s="5098" t="s">
        <v>515</v>
      </c>
      <c r="U625" s="5099">
        <f t="array" ref="U625">IFERROR(VLOOKUP(T610,Dex!$B$3:$N1361,10,FALSE),"")</f>
        <v>70</v>
      </c>
      <c r="V625" s="5100" t="str">
        <f t="array" ref="V625">IFERROR(VLOOKUP(U625,Dex!$P$22:$Q$276,2,FALSE),"")</f>
        <v/>
      </c>
      <c r="W625" s="5101"/>
      <c r="X625" s="5097"/>
      <c r="Y625" s="5098" t="s">
        <v>515</v>
      </c>
      <c r="Z625" s="5099">
        <f t="array" ref="Z625">IFERROR(VLOOKUP(Y610,Dex!$B$3:$N1361,10,FALSE),"")</f>
        <v>83</v>
      </c>
      <c r="AA625" s="5100" t="str">
        <f t="array" ref="AA625">IFERROR(VLOOKUP(Z625,Dex!$P$22:$Q$276,2,FALSE),"")</f>
        <v/>
      </c>
      <c r="AB625" s="5101"/>
      <c r="AC625" s="5088"/>
      <c r="AD625" s="5088"/>
      <c r="AE625" s="5088"/>
      <c r="AF625" s="5088"/>
      <c r="AG625" s="5088"/>
      <c r="AH625" s="5089"/>
      <c r="AI625" s="3543"/>
    </row>
    <row r="626" ht="16.5" customHeight="1">
      <c r="A626" s="3535"/>
      <c r="B626" s="5080"/>
      <c r="C626" s="5061"/>
      <c r="D626" s="5081"/>
      <c r="E626" s="5098" t="s">
        <v>516</v>
      </c>
      <c r="F626" s="5099">
        <f t="array" ref="F626">IFERROR(VLOOKUP(E610,Dex!$B$3:$N1361,11,FALSE),"")</f>
        <v>105</v>
      </c>
      <c r="G626" s="5100" t="str">
        <f t="array" ref="G626">IFERROR(VLOOKUP(F626,Dex!$P$22:$Q$276,2,FALSE),"")</f>
        <v/>
      </c>
      <c r="H626" s="5101"/>
      <c r="I626" s="5094"/>
      <c r="J626" s="5098" t="s">
        <v>516</v>
      </c>
      <c r="K626" s="5099">
        <f t="array" ref="K626">IFERROR(VLOOKUP(J610,Dex!$B$3:$N1361,11,FALSE),"")</f>
        <v>130</v>
      </c>
      <c r="L626" s="5100" t="str">
        <f t="array" ref="L626">IFERROR(VLOOKUP(K626,Dex!$P$22:$Q$276,2,FALSE),"")</f>
        <v/>
      </c>
      <c r="M626" s="5101"/>
      <c r="N626" s="5095"/>
      <c r="O626" s="5098" t="s">
        <v>516</v>
      </c>
      <c r="P626" s="5099">
        <f t="array" ref="P626">IFERROR(VLOOKUP(O610,Dex!$B$3:$N1361,11,FALSE),"")</f>
        <v>120</v>
      </c>
      <c r="Q626" s="5100" t="str">
        <f t="array" ref="Q626">IFERROR(VLOOKUP(P626,Dex!$P$22:$Q$276,2,FALSE),"")</f>
        <v/>
      </c>
      <c r="R626" s="5101"/>
      <c r="S626" s="5096"/>
      <c r="T626" s="5098" t="s">
        <v>516</v>
      </c>
      <c r="U626" s="5099">
        <f t="array" ref="U626">IFERROR(VLOOKUP(T610,Dex!$B$3:$N1361,11,FALSE),"")</f>
        <v>110</v>
      </c>
      <c r="V626" s="5100" t="str">
        <f t="array" ref="V626">IFERROR(VLOOKUP(U626,Dex!$P$22:$Q$276,2,FALSE),"")</f>
        <v/>
      </c>
      <c r="W626" s="5101"/>
      <c r="X626" s="5097"/>
      <c r="Y626" s="5098" t="s">
        <v>516</v>
      </c>
      <c r="Z626" s="5099">
        <f t="array" ref="Z626">IFERROR(VLOOKUP(Y610,Dex!$B$3:$N1361,11,FALSE),"")</f>
        <v>92</v>
      </c>
      <c r="AA626" s="5100" t="str">
        <f t="array" ref="AA626">IFERROR(VLOOKUP(Z626,Dex!$P$22:$Q$276,2,FALSE),"")</f>
        <v/>
      </c>
      <c r="AB626" s="5101"/>
      <c r="AC626" s="5088"/>
      <c r="AD626" s="5088"/>
      <c r="AE626" s="5088"/>
      <c r="AF626" s="5088"/>
      <c r="AG626" s="5088"/>
      <c r="AH626" s="5089"/>
      <c r="AI626" s="3543"/>
    </row>
    <row r="627" ht="16.5" customHeight="1">
      <c r="A627" s="3535"/>
      <c r="B627" s="5080"/>
      <c r="C627" s="5061"/>
      <c r="D627" s="5081"/>
      <c r="E627" s="5098" t="s">
        <v>517</v>
      </c>
      <c r="F627" s="5099">
        <f t="array" ref="F627">IFERROR(VLOOKUP(E610,Dex!$B$3:$N1361,12,FALSE),"")</f>
        <v>80</v>
      </c>
      <c r="G627" s="5100" t="str">
        <f t="array" ref="G627">IFERROR(VLOOKUP(F627,Dex!$P$22:$Q$276,2,FALSE),"")</f>
        <v/>
      </c>
      <c r="H627" s="5101"/>
      <c r="I627" s="5094"/>
      <c r="J627" s="5098" t="s">
        <v>517</v>
      </c>
      <c r="K627" s="5099">
        <f t="array" ref="K627">IFERROR(VLOOKUP(J610,Dex!$B$3:$N1361,12,FALSE),"")</f>
        <v>85</v>
      </c>
      <c r="L627" s="5100" t="str">
        <f t="array" ref="L627">IFERROR(VLOOKUP(K627,Dex!$P$22:$Q$276,2,FALSE),"")</f>
        <v/>
      </c>
      <c r="M627" s="5101"/>
      <c r="N627" s="5095"/>
      <c r="O627" s="5098" t="s">
        <v>517</v>
      </c>
      <c r="P627" s="5099">
        <f t="array" ref="P627">IFERROR(VLOOKUP(O610,Dex!$B$3:$N1361,12,FALSE),"")</f>
        <v>115</v>
      </c>
      <c r="Q627" s="5100" t="str">
        <f t="array" ref="Q627">IFERROR(VLOOKUP(P627,Dex!$P$22:$Q$276,2,FALSE),"")</f>
        <v/>
      </c>
      <c r="R627" s="5101"/>
      <c r="S627" s="5096"/>
      <c r="T627" s="5098" t="s">
        <v>517</v>
      </c>
      <c r="U627" s="5099">
        <f t="array" ref="U627">IFERROR(VLOOKUP(T610,Dex!$B$3:$N1361,12,FALSE),"")</f>
        <v>70</v>
      </c>
      <c r="V627" s="5100" t="str">
        <f t="array" ref="V627">IFERROR(VLOOKUP(U627,Dex!$P$22:$Q$276,2,FALSE),"")</f>
        <v/>
      </c>
      <c r="W627" s="5101"/>
      <c r="X627" s="5097"/>
      <c r="Y627" s="5098" t="s">
        <v>517</v>
      </c>
      <c r="Z627" s="5099">
        <f t="array" ref="Z627">IFERROR(VLOOKUP(Y610,Dex!$B$3:$N1361,12,FALSE),"")</f>
        <v>87</v>
      </c>
      <c r="AA627" s="5100" t="str">
        <f t="array" ref="AA627">IFERROR(VLOOKUP(Z627,Dex!$P$22:$Q$276,2,FALSE),"")</f>
        <v/>
      </c>
      <c r="AB627" s="5101"/>
      <c r="AC627" s="5088"/>
      <c r="AD627" s="5088"/>
      <c r="AE627" s="5088"/>
      <c r="AF627" s="5088"/>
      <c r="AG627" s="5088"/>
      <c r="AH627" s="5089"/>
      <c r="AI627" s="3543"/>
    </row>
    <row r="628" ht="16.5" customHeight="1">
      <c r="A628" s="3535"/>
      <c r="B628" s="5080"/>
      <c r="C628" s="1426" t="s">
        <v>745</v>
      </c>
      <c r="D628" s="5081"/>
      <c r="E628" s="5102" t="s">
        <v>518</v>
      </c>
      <c r="F628" s="5103">
        <f t="array" ref="F628">IFERROR(VLOOKUP(E610,Dex!$B$3:$N1361,13,FALSE),"")</f>
        <v>91</v>
      </c>
      <c r="G628" s="5100" t="str">
        <f t="array" ref="G628">IFERROR(VLOOKUP(F628,Dex!$P$22:$Q$276,2,FALSE),"")</f>
        <v/>
      </c>
      <c r="H628" s="5101"/>
      <c r="I628" s="5094"/>
      <c r="J628" s="5102" t="s">
        <v>518</v>
      </c>
      <c r="K628" s="5103">
        <f t="array" ref="K628">IFERROR(VLOOKUP(J610,Dex!$B$3:$N1361,13,FALSE),"")</f>
        <v>100</v>
      </c>
      <c r="L628" s="5100" t="str">
        <f t="array" ref="L628">IFERROR(VLOOKUP(K628,Dex!$P$22:$Q$276,2,FALSE),"")</f>
        <v/>
      </c>
      <c r="M628" s="5101"/>
      <c r="N628" s="5095"/>
      <c r="O628" s="5102" t="s">
        <v>518</v>
      </c>
      <c r="P628" s="5103">
        <f t="array" ref="P628">IFERROR(VLOOKUP(O610,Dex!$B$3:$N1361,13,FALSE),"")</f>
        <v>80</v>
      </c>
      <c r="Q628" s="5100" t="str">
        <f t="array" ref="Q628">IFERROR(VLOOKUP(P628,Dex!$P$22:$Q$276,2,FALSE),"")</f>
        <v/>
      </c>
      <c r="R628" s="5101"/>
      <c r="S628" s="5096"/>
      <c r="T628" s="5102" t="s">
        <v>518</v>
      </c>
      <c r="U628" s="5103">
        <f t="array" ref="U628">IFERROR(VLOOKUP(T610,Dex!$B$3:$N1361,13,FALSE),"")</f>
        <v>80</v>
      </c>
      <c r="V628" s="5100" t="str">
        <f t="array" ref="V628">IFERROR(VLOOKUP(U628,Dex!$P$22:$Q$276,2,FALSE),"")</f>
        <v/>
      </c>
      <c r="W628" s="5101"/>
      <c r="X628" s="5097"/>
      <c r="Y628" s="5102" t="s">
        <v>518</v>
      </c>
      <c r="Z628" s="5103">
        <f t="array" ref="Z628">IFERROR(VLOOKUP(Y610,Dex!$B$3:$N1361,13,FALSE),"")</f>
        <v>81</v>
      </c>
      <c r="AA628" s="5104" t="str">
        <f t="array" ref="AA628">IFERROR(VLOOKUP(Z628,Dex!$P$22:$Q$276,2,FALSE),"")</f>
        <v/>
      </c>
      <c r="AB628" s="5105"/>
      <c r="AC628" s="5088"/>
      <c r="AD628" s="5088"/>
      <c r="AE628" s="5088"/>
      <c r="AF628" s="5088"/>
      <c r="AG628" s="5088"/>
      <c r="AH628" s="5089"/>
      <c r="AI628" s="3543"/>
    </row>
    <row r="629" ht="16.5" customHeight="1">
      <c r="A629" s="3535"/>
      <c r="B629" s="5080"/>
      <c r="C629" s="1427" t="s">
        <v>746</v>
      </c>
      <c r="D629" s="5106"/>
      <c r="E629" s="5107" t="s">
        <v>519</v>
      </c>
      <c r="F629" s="630"/>
      <c r="G629" s="631"/>
      <c r="H629" s="632">
        <f>ROUNDDOWN((ROUNDDOWN(((((2*F628+31)*66)/100+5)),0))*1.1,0)</f>
        <v>159</v>
      </c>
      <c r="I629" s="5085"/>
      <c r="J629" s="5107" t="s">
        <v>519</v>
      </c>
      <c r="K629" s="630"/>
      <c r="L629" s="631"/>
      <c r="M629" s="632">
        <f>ROUNDDOWN((ROUNDDOWN(((((2*K628+31)*66)/100+5)),0))*1.1,0)</f>
        <v>172</v>
      </c>
      <c r="N629" s="5085"/>
      <c r="O629" s="5107" t="s">
        <v>519</v>
      </c>
      <c r="P629" s="630"/>
      <c r="Q629" s="631"/>
      <c r="R629" s="632">
        <f>ROUNDDOWN((ROUNDDOWN(((((2*P628+31)*66)/100+5)),0))*1.1,0)</f>
        <v>144</v>
      </c>
      <c r="S629" s="5108"/>
      <c r="T629" s="5109" t="s">
        <v>519</v>
      </c>
      <c r="U629" s="635"/>
      <c r="V629" s="636"/>
      <c r="W629" s="632">
        <f>ROUNDDOWN((ROUNDDOWN(((((2*U628+31)*66)/100+5)),0))*1,0)</f>
        <v>131</v>
      </c>
      <c r="X629" s="5087"/>
      <c r="Y629" s="5109" t="s">
        <v>519</v>
      </c>
      <c r="Z629" s="635"/>
      <c r="AA629" s="636"/>
      <c r="AB629" s="632">
        <f>ROUNDDOWN((ROUNDDOWN(((((2*Z628+31)*66)/100+5)),0))*1,0)</f>
        <v>132</v>
      </c>
      <c r="AC629" s="5088"/>
      <c r="AD629" s="5088"/>
      <c r="AE629" s="5088"/>
      <c r="AF629" s="5088"/>
      <c r="AG629" s="5088"/>
      <c r="AH629" s="5089"/>
      <c r="AI629" s="3543"/>
    </row>
    <row r="630" ht="16.5" customHeight="1">
      <c r="A630" s="3535"/>
      <c r="B630" s="5080"/>
      <c r="C630" s="5061"/>
      <c r="D630" s="5110"/>
      <c r="E630" s="5111"/>
      <c r="F630" s="5112"/>
      <c r="G630" s="5113"/>
      <c r="H630" s="5113"/>
      <c r="I630" s="5110"/>
      <c r="J630" s="5114"/>
      <c r="K630" s="5115"/>
      <c r="L630" s="5116"/>
      <c r="M630" s="5113"/>
      <c r="N630" s="5110"/>
      <c r="O630" s="5114"/>
      <c r="P630" s="5115"/>
      <c r="Q630" s="5116"/>
      <c r="R630" s="5117"/>
      <c r="S630" s="5118"/>
      <c r="T630" s="5119" t="s">
        <v>814</v>
      </c>
      <c r="U630" s="643"/>
      <c r="V630" s="644"/>
      <c r="W630" s="645">
        <f>ROUNDDOWN(W629*1.5,0)</f>
        <v>196</v>
      </c>
      <c r="X630" s="5087"/>
      <c r="Y630" s="5119" t="s">
        <v>700</v>
      </c>
      <c r="Z630" s="643"/>
      <c r="AA630" s="644"/>
      <c r="AB630" s="3064">
        <f>AB629*2</f>
        <v>264</v>
      </c>
      <c r="AC630" s="5088"/>
      <c r="AD630" s="5088"/>
      <c r="AE630" s="5088"/>
      <c r="AF630" s="5088"/>
      <c r="AG630" s="5088"/>
      <c r="AH630" s="5089"/>
      <c r="AI630" s="3543"/>
    </row>
    <row r="631" ht="15.0" customHeight="1">
      <c r="A631" s="3446"/>
      <c r="B631" s="5120"/>
      <c r="C631" s="5121"/>
      <c r="D631" s="5122"/>
      <c r="E631" s="5123"/>
      <c r="F631" s="5123"/>
      <c r="G631" s="5123"/>
      <c r="H631" s="5123"/>
      <c r="I631" s="5122"/>
      <c r="J631" s="5123"/>
      <c r="K631" s="5123"/>
      <c r="L631" s="5123"/>
      <c r="M631" s="5123"/>
      <c r="N631" s="5122"/>
      <c r="O631" s="5123"/>
      <c r="P631" s="5123"/>
      <c r="Q631" s="5123"/>
      <c r="R631" s="5123"/>
      <c r="S631" s="5122"/>
      <c r="T631" s="5124"/>
      <c r="U631" s="5124"/>
      <c r="V631" s="5124"/>
      <c r="W631" s="5124"/>
      <c r="X631" s="5122"/>
      <c r="Y631" s="5125"/>
      <c r="Z631" s="5125"/>
      <c r="AA631" s="5125"/>
      <c r="AB631" s="5122"/>
      <c r="AC631" s="5122"/>
      <c r="AD631" s="5122"/>
      <c r="AE631" s="5122"/>
      <c r="AF631" s="5122"/>
      <c r="AG631" s="5122"/>
      <c r="AH631" s="5126"/>
      <c r="AI631" s="3452"/>
    </row>
    <row r="632" ht="15.0" customHeight="1">
      <c r="A632" s="3446"/>
      <c r="B632" s="3995"/>
      <c r="C632" s="3996"/>
      <c r="D632" s="3996"/>
      <c r="E632" s="4099"/>
      <c r="F632" s="4099"/>
      <c r="G632" s="4099"/>
      <c r="H632" s="4099"/>
      <c r="I632" s="3996"/>
      <c r="J632" s="4099"/>
      <c r="K632" s="4099"/>
      <c r="L632" s="4099"/>
      <c r="M632" s="4099"/>
      <c r="N632" s="3996"/>
      <c r="O632" s="4099"/>
      <c r="P632" s="4099"/>
      <c r="Q632" s="4099"/>
      <c r="R632" s="4099"/>
      <c r="S632" s="3996"/>
      <c r="T632" s="4099"/>
      <c r="U632" s="4099"/>
      <c r="V632" s="4099"/>
      <c r="W632" s="4099"/>
      <c r="X632" s="3996"/>
      <c r="Y632" s="3996"/>
      <c r="Z632" s="3996"/>
      <c r="AA632" s="3996"/>
      <c r="AB632" s="3996"/>
      <c r="AC632" s="3996"/>
      <c r="AD632" s="3996"/>
      <c r="AE632" s="3996"/>
      <c r="AF632" s="3996"/>
      <c r="AG632" s="3996"/>
      <c r="AH632" s="3997"/>
      <c r="AI632" s="3452"/>
    </row>
    <row r="633">
      <c r="A633" s="3446"/>
      <c r="B633" s="3998"/>
      <c r="C633" s="4031"/>
      <c r="D633" s="4024"/>
      <c r="E633" s="4877" t="s">
        <v>1555</v>
      </c>
      <c r="F633" s="4042"/>
      <c r="G633" s="4042"/>
      <c r="H633" s="4042"/>
      <c r="I633" s="4042"/>
      <c r="J633" s="4042"/>
      <c r="K633" s="4042"/>
      <c r="L633" s="4042"/>
      <c r="M633" s="4042"/>
      <c r="N633" s="4042"/>
      <c r="O633" s="4042"/>
      <c r="P633" s="4042"/>
      <c r="Q633" s="4042"/>
      <c r="R633" s="4042"/>
      <c r="S633" s="4042"/>
      <c r="T633" s="4042"/>
      <c r="U633" s="4042"/>
      <c r="V633" s="4042"/>
      <c r="W633" s="4042"/>
      <c r="X633" s="4042"/>
      <c r="Y633" s="4042"/>
      <c r="Z633" s="4042"/>
      <c r="AA633" s="4042"/>
      <c r="AB633" s="4042"/>
      <c r="AC633" s="4042"/>
      <c r="AD633" s="4042"/>
      <c r="AE633" s="4042"/>
      <c r="AF633" s="4042"/>
      <c r="AG633" s="4043"/>
      <c r="AH633" s="4007"/>
      <c r="AI633" s="3452"/>
    </row>
    <row r="634" ht="96.75" customHeight="1">
      <c r="A634" s="3446"/>
      <c r="B634" s="3998"/>
      <c r="C634" s="3999" t="str">
        <f>IMAGE("https://i.ibb.co/LSRVQF1/Picnicker.png")</f>
        <v/>
      </c>
      <c r="D634" s="4102"/>
      <c r="E634" s="4001" t="str">
        <f t="array" ref="E634">IFERROR(VLOOKUP(E635,Dex!$B$3:$G1361,3,FALSE),"")</f>
        <v/>
      </c>
      <c r="F634" s="1945"/>
      <c r="G634" s="1945"/>
      <c r="H634" s="1946"/>
      <c r="I634" s="4103"/>
      <c r="J634" s="4001" t="str">
        <f t="array" ref="J634">IFERROR(VLOOKUP(J635,Dex!$B$3:$G1361,3,FALSE),"")</f>
        <v/>
      </c>
      <c r="K634" s="1945"/>
      <c r="L634" s="1945"/>
      <c r="M634" s="1946"/>
      <c r="N634" s="4103"/>
      <c r="O634" s="4001" t="str">
        <f t="array" ref="O634">IFERROR(VLOOKUP(O635,Dex!$B$3:$G1361,3,FALSE),"")</f>
        <v/>
      </c>
      <c r="P634" s="1945"/>
      <c r="Q634" s="1945"/>
      <c r="R634" s="1946"/>
      <c r="S634" s="4104"/>
      <c r="T634" s="4001" t="str">
        <f t="array" ref="T634">IFERROR(VLOOKUP(T635,Dex!$B$3:$G1361,3,FALSE),"")</f>
        <v/>
      </c>
      <c r="U634" s="1945"/>
      <c r="V634" s="1945"/>
      <c r="W634" s="1946"/>
      <c r="X634" s="4104"/>
      <c r="Y634" s="4001" t="str">
        <f t="array" ref="Y634">IFERROR(VLOOKUP(Y635,Dex!$B$3:$G1361,3,FALSE),"")</f>
        <v/>
      </c>
      <c r="Z634" s="1945"/>
      <c r="AA634" s="1945"/>
      <c r="AB634" s="1946"/>
      <c r="AC634" s="4105"/>
      <c r="AD634" s="4004"/>
      <c r="AE634" s="4005"/>
      <c r="AF634" s="4005"/>
      <c r="AG634" s="4006"/>
      <c r="AH634" s="4007"/>
      <c r="AI634" s="3452"/>
    </row>
    <row r="635" ht="18.75" customHeight="1">
      <c r="A635" s="3689"/>
      <c r="B635" s="4008"/>
      <c r="C635" s="4009" t="s">
        <v>1556</v>
      </c>
      <c r="D635" s="4106"/>
      <c r="E635" s="4011" t="s">
        <v>1203</v>
      </c>
      <c r="F635" s="4012"/>
      <c r="G635" s="4012"/>
      <c r="H635" s="4013"/>
      <c r="J635" s="4011" t="s">
        <v>1096</v>
      </c>
      <c r="K635" s="4012"/>
      <c r="L635" s="4012"/>
      <c r="M635" s="4013"/>
      <c r="O635" s="4011" t="s">
        <v>1492</v>
      </c>
      <c r="P635" s="4012"/>
      <c r="Q635" s="4012"/>
      <c r="R635" s="4013"/>
      <c r="T635" s="4011" t="s">
        <v>1557</v>
      </c>
      <c r="U635" s="4012"/>
      <c r="V635" s="4012"/>
      <c r="W635" s="4013"/>
      <c r="Y635" s="4011" t="s">
        <v>1558</v>
      </c>
      <c r="Z635" s="4012"/>
      <c r="AA635" s="4012"/>
      <c r="AB635" s="4013"/>
      <c r="AC635" s="4107"/>
      <c r="AD635" s="4015"/>
      <c r="AE635" s="4005"/>
      <c r="AF635" s="4005"/>
      <c r="AG635" s="4006"/>
      <c r="AH635" s="4016"/>
      <c r="AI635" s="3700"/>
    </row>
    <row r="636">
      <c r="A636" s="3701"/>
      <c r="B636" s="4017"/>
      <c r="C636" s="1638"/>
      <c r="D636" s="4108"/>
      <c r="E636" s="4019" t="s">
        <v>796</v>
      </c>
      <c r="F636" s="4020"/>
      <c r="G636" s="4020"/>
      <c r="H636" s="4021"/>
      <c r="J636" s="4019" t="s">
        <v>796</v>
      </c>
      <c r="K636" s="4020"/>
      <c r="L636" s="4020"/>
      <c r="M636" s="4021"/>
      <c r="O636" s="4019" t="s">
        <v>796</v>
      </c>
      <c r="P636" s="4020"/>
      <c r="Q636" s="4020"/>
      <c r="R636" s="4021"/>
      <c r="T636" s="4019" t="s">
        <v>796</v>
      </c>
      <c r="U636" s="4020"/>
      <c r="V636" s="4020"/>
      <c r="W636" s="4021"/>
      <c r="Y636" s="4019" t="s">
        <v>796</v>
      </c>
      <c r="Z636" s="4020"/>
      <c r="AA636" s="4020"/>
      <c r="AB636" s="4021"/>
      <c r="AC636" s="4107"/>
      <c r="AD636" s="4022"/>
      <c r="AE636" s="4005"/>
      <c r="AF636" s="4005"/>
      <c r="AG636" s="4006"/>
      <c r="AH636" s="4023"/>
      <c r="AI636" s="3709"/>
    </row>
    <row r="637" ht="25.5" customHeight="1">
      <c r="A637" s="3446"/>
      <c r="B637" s="3998"/>
      <c r="C637" s="1646"/>
      <c r="D637" s="4024"/>
      <c r="E637" s="4025"/>
      <c r="F637" s="4029" t="str">
        <f t="array" ref="F637">IFERROR(VLOOKUP(E635,Dex!$B$3:$H1361,5,FALSE),"")</f>
        <v/>
      </c>
      <c r="G637" s="4030" t="str">
        <f t="array" ref="G637">IFERROR(VLOOKUP(E635,Dex!$B$3:$H1361,7,FALSE),"")</f>
        <v/>
      </c>
      <c r="H637" s="4028"/>
      <c r="J637" s="4025"/>
      <c r="K637" s="4026" t="str">
        <f t="array" ref="K637">IFERROR(VLOOKUP(J635,Dex!$B$3:$H1361,5,FALSE),"")</f>
        <v/>
      </c>
      <c r="L637" s="4027"/>
      <c r="M637" s="4028"/>
      <c r="O637" s="4025"/>
      <c r="P637" s="4026" t="str">
        <f t="array" ref="P637">IFERROR(VLOOKUP(O635,Dex!$B$3:$H1361,5,FALSE),"")</f>
        <v/>
      </c>
      <c r="Q637" s="4027"/>
      <c r="R637" s="4028"/>
      <c r="T637" s="4025"/>
      <c r="U637" s="4029" t="str">
        <f t="array" ref="U637">IFERROR(VLOOKUP(T635,Dex!$B$3:$H1361,5,FALSE),"")</f>
        <v/>
      </c>
      <c r="V637" s="4030" t="str">
        <f t="array" ref="V637">IFERROR(VLOOKUP(T635,Dex!$B$3:$H1361,7,FALSE),"")</f>
        <v/>
      </c>
      <c r="W637" s="4028"/>
      <c r="Y637" s="4025"/>
      <c r="Z637" s="4026" t="str">
        <f t="array" ref="Z637">IFERROR(VLOOKUP(Y635,Dex!$B$3:$H1361,5,FALSE),"")</f>
        <v/>
      </c>
      <c r="AA637" s="4027"/>
      <c r="AB637" s="4028"/>
      <c r="AC637" s="4107"/>
      <c r="AD637" s="4004"/>
      <c r="AE637" s="4005"/>
      <c r="AF637" s="4005"/>
      <c r="AG637" s="4006"/>
      <c r="AH637" s="4007"/>
      <c r="AI637" s="3452"/>
    </row>
    <row r="638" ht="2.25" customHeight="1">
      <c r="A638" s="3446"/>
      <c r="B638" s="3998"/>
      <c r="C638" s="4031"/>
      <c r="D638" s="4024"/>
      <c r="E638" s="4032"/>
      <c r="F638" s="4033"/>
      <c r="G638" s="4033"/>
      <c r="H638" s="4034"/>
      <c r="J638" s="4032"/>
      <c r="K638" s="4033"/>
      <c r="L638" s="4033"/>
      <c r="M638" s="4034"/>
      <c r="O638" s="4032"/>
      <c r="P638" s="4033"/>
      <c r="Q638" s="4033"/>
      <c r="R638" s="4034"/>
      <c r="T638" s="4032"/>
      <c r="U638" s="4033"/>
      <c r="V638" s="4033"/>
      <c r="W638" s="4034"/>
      <c r="Y638" s="4032"/>
      <c r="Z638" s="4033"/>
      <c r="AA638" s="4033"/>
      <c r="AB638" s="4034"/>
      <c r="AC638" s="4107"/>
      <c r="AD638" s="4024"/>
      <c r="AE638" s="4024"/>
      <c r="AF638" s="4024"/>
      <c r="AG638" s="4024"/>
      <c r="AH638" s="4007"/>
      <c r="AI638" s="3452"/>
    </row>
    <row r="639" ht="20.25" customHeight="1">
      <c r="A639" s="3446"/>
      <c r="B639" s="3998"/>
      <c r="C639" s="4031"/>
      <c r="D639" s="4004"/>
      <c r="E639" s="4035" t="s">
        <v>566</v>
      </c>
      <c r="F639" s="4036"/>
      <c r="G639" s="4036"/>
      <c r="H639" s="4037"/>
      <c r="J639" s="4035" t="s">
        <v>531</v>
      </c>
      <c r="K639" s="4036"/>
      <c r="L639" s="4036"/>
      <c r="M639" s="4037"/>
      <c r="O639" s="4035" t="s">
        <v>564</v>
      </c>
      <c r="P639" s="4036"/>
      <c r="Q639" s="4036"/>
      <c r="R639" s="4037"/>
      <c r="T639" s="4035" t="s">
        <v>564</v>
      </c>
      <c r="U639" s="4036"/>
      <c r="V639" s="4036"/>
      <c r="W639" s="4037"/>
      <c r="Y639" s="4035" t="s">
        <v>482</v>
      </c>
      <c r="Z639" s="4036"/>
      <c r="AA639" s="4036"/>
      <c r="AB639" s="4037"/>
      <c r="AC639" s="4107"/>
      <c r="AD639" s="4004"/>
      <c r="AE639" s="4005"/>
      <c r="AF639" s="4005"/>
      <c r="AG639" s="4006"/>
      <c r="AH639" s="4007"/>
      <c r="AI639" s="3452"/>
    </row>
    <row r="640">
      <c r="A640" s="3446"/>
      <c r="B640" s="3998"/>
      <c r="C640" s="4038"/>
      <c r="D640" s="4004"/>
      <c r="E640" s="4039" t="s">
        <v>681</v>
      </c>
      <c r="F640" s="4005"/>
      <c r="G640" s="4005"/>
      <c r="H640" s="4040"/>
      <c r="J640" s="4039" t="s">
        <v>1559</v>
      </c>
      <c r="K640" s="4005"/>
      <c r="L640" s="4005"/>
      <c r="M640" s="4040"/>
      <c r="O640" s="4039" t="s">
        <v>1494</v>
      </c>
      <c r="P640" s="4005"/>
      <c r="Q640" s="4005"/>
      <c r="R640" s="4040"/>
      <c r="T640" s="4039" t="s">
        <v>81</v>
      </c>
      <c r="U640" s="4005"/>
      <c r="V640" s="4005"/>
      <c r="W640" s="4040"/>
      <c r="Y640" s="4039" t="s">
        <v>1560</v>
      </c>
      <c r="Z640" s="4005"/>
      <c r="AA640" s="4005"/>
      <c r="AB640" s="4040"/>
      <c r="AC640" s="4107"/>
      <c r="AD640" s="4004"/>
      <c r="AE640" s="4005"/>
      <c r="AF640" s="4005"/>
      <c r="AG640" s="4006"/>
      <c r="AH640" s="4007"/>
      <c r="AI640" s="3452"/>
    </row>
    <row r="641" ht="20.25" customHeight="1">
      <c r="A641" s="3446"/>
      <c r="B641" s="3998"/>
      <c r="C641" s="4014"/>
      <c r="D641" s="4004"/>
      <c r="E641" s="4041" t="s">
        <v>541</v>
      </c>
      <c r="F641" s="4042"/>
      <c r="G641" s="4043"/>
      <c r="H641" s="4044" t="str">
        <f>IMAGE("https://raw.githubusercontent.com/msikma/pokesprite/master/items/hold-item/life-orb.png",3)</f>
        <v/>
      </c>
      <c r="J641" s="4041" t="s">
        <v>713</v>
      </c>
      <c r="K641" s="4042"/>
      <c r="L641" s="4043"/>
      <c r="M641" s="4044" t="str">
        <f>IMAGE("https://raw.githubusercontent.com/msikma/pokesprite/master/items/hold-item/assault-vest.png",3)</f>
        <v/>
      </c>
      <c r="O641" s="4041" t="s">
        <v>1004</v>
      </c>
      <c r="P641" s="4042"/>
      <c r="Q641" s="4043"/>
      <c r="R641" s="4044" t="str">
        <f>IMAGE("https://raw.githubusercontent.com/msikma/pokesprite/master/items/z-crystals/eevium-z--held.png",3)</f>
        <v/>
      </c>
      <c r="T641" s="4041" t="s">
        <v>493</v>
      </c>
      <c r="U641" s="4042"/>
      <c r="V641" s="4043"/>
      <c r="W641" s="4044" t="str">
        <f>IMAGE("https://raw.githubusercontent.com/msikma/pokesprite/master/items/hold-item/air-balloon.png",3)</f>
        <v/>
      </c>
      <c r="Y641" s="4041" t="s">
        <v>1561</v>
      </c>
      <c r="Z641" s="4042"/>
      <c r="AA641" s="4043"/>
      <c r="AB641" s="4044" t="str">
        <f>IMAGE("https://raw.githubusercontent.com/msikma/pokesprite/master/items/mega-stone/slowbronite.png",3)</f>
        <v/>
      </c>
      <c r="AC641" s="4107"/>
      <c r="AD641" s="4004"/>
      <c r="AE641" s="4005"/>
      <c r="AF641" s="4005"/>
      <c r="AG641" s="4006"/>
      <c r="AH641" s="4007"/>
      <c r="AI641" s="3452"/>
    </row>
    <row r="642" ht="20.25" customHeight="1">
      <c r="A642" s="3446"/>
      <c r="B642" s="3998"/>
      <c r="C642" s="4045"/>
      <c r="D642" s="4004"/>
      <c r="E642" s="4035" t="s">
        <v>777</v>
      </c>
      <c r="F642" s="4036"/>
      <c r="G642" s="4046"/>
      <c r="H642" s="4047" t="str">
        <f>IMAGE("https://raw.githubusercontent.com/msikma/pokesprite/master/misc/types/gen8/normal.png",4,20,20)</f>
        <v/>
      </c>
      <c r="J642" s="4035" t="s">
        <v>1211</v>
      </c>
      <c r="K642" s="4036"/>
      <c r="L642" s="4046"/>
      <c r="M642" s="4047" t="str">
        <f>IMAGE("https://raw.githubusercontent.com/msikma/pokesprite/master/misc/types/gen8/fire.png",4,20,20)</f>
        <v/>
      </c>
      <c r="O642" s="4035" t="s">
        <v>1007</v>
      </c>
      <c r="P642" s="4036"/>
      <c r="Q642" s="4046"/>
      <c r="R642" s="4047" t="str">
        <f t="shared" ref="R642:R643" si="19">IMAGE("https://raw.githubusercontent.com/msikma/pokesprite/master/misc/types/gen8/fairy.png",4,20,20)</f>
        <v/>
      </c>
      <c r="T642" s="4035" t="s">
        <v>1562</v>
      </c>
      <c r="U642" s="4036"/>
      <c r="V642" s="4046"/>
      <c r="W642" s="4047" t="str">
        <f>IMAGE("https://raw.githubusercontent.com/msikma/pokesprite/master/misc/types/gen8/fire.png",4,20,20)</f>
        <v/>
      </c>
      <c r="Y642" s="4035" t="s">
        <v>641</v>
      </c>
      <c r="Z642" s="4036"/>
      <c r="AA642" s="4046"/>
      <c r="AB642" s="4047" t="str">
        <f>IMAGE("https://raw.githubusercontent.com/msikma/pokesprite/master/misc/types/gen8/fairy.png",4,20,20)</f>
        <v/>
      </c>
      <c r="AC642" s="4107"/>
      <c r="AD642" s="4004"/>
      <c r="AE642" s="4005"/>
      <c r="AF642" s="4005"/>
      <c r="AG642" s="4006"/>
      <c r="AH642" s="4007"/>
      <c r="AI642" s="3452"/>
    </row>
    <row r="643" ht="20.25" customHeight="1">
      <c r="A643" s="3446"/>
      <c r="B643" s="3998"/>
      <c r="C643" s="4031"/>
      <c r="D643" s="4004"/>
      <c r="E643" s="4039" t="s">
        <v>1496</v>
      </c>
      <c r="F643" s="4005"/>
      <c r="G643" s="4006"/>
      <c r="H643" s="4048" t="str">
        <f>IMAGE("https://raw.githubusercontent.com/msikma/pokesprite/master/misc/types/gen8/grass.png",4,20,20)</f>
        <v/>
      </c>
      <c r="J643" s="4039" t="s">
        <v>617</v>
      </c>
      <c r="K643" s="4005"/>
      <c r="L643" s="4006"/>
      <c r="M643" s="4048" t="str">
        <f>IMAGE("https://raw.githubusercontent.com/msikma/pokesprite/master/misc/types/gen8/dragon.png",4,20,20)</f>
        <v/>
      </c>
      <c r="O643" s="4039" t="s">
        <v>743</v>
      </c>
      <c r="P643" s="4005"/>
      <c r="Q643" s="4006"/>
      <c r="R643" s="4048" t="str">
        <f t="shared" si="19"/>
        <v/>
      </c>
      <c r="T643" s="4039" t="s">
        <v>692</v>
      </c>
      <c r="U643" s="4005"/>
      <c r="V643" s="4006"/>
      <c r="W643" s="4048" t="str">
        <f>IMAGE("https://raw.githubusercontent.com/msikma/pokesprite/master/misc/types/gen8/grass.png",4,20,20)</f>
        <v/>
      </c>
      <c r="Y643" s="4039" t="s">
        <v>862</v>
      </c>
      <c r="Z643" s="4005"/>
      <c r="AA643" s="4006"/>
      <c r="AB643" s="4048" t="str">
        <f>IMAGE("https://raw.githubusercontent.com/msikma/pokesprite/master/misc/types/gen8/fire.png",4,20,20)</f>
        <v/>
      </c>
      <c r="AC643" s="4107"/>
      <c r="AD643" s="4004"/>
      <c r="AE643" s="4005"/>
      <c r="AF643" s="4005"/>
      <c r="AG643" s="4006"/>
      <c r="AH643" s="4007"/>
      <c r="AI643" s="3452"/>
    </row>
    <row r="644" ht="20.25" customHeight="1">
      <c r="A644" s="3446"/>
      <c r="B644" s="3998"/>
      <c r="C644" s="4031"/>
      <c r="D644" s="4004"/>
      <c r="E644" s="4039" t="s">
        <v>579</v>
      </c>
      <c r="F644" s="4005"/>
      <c r="G644" s="4006"/>
      <c r="H644" s="4048" t="str">
        <f t="shared" ref="H644:H645" si="20">IMAGE("https://raw.githubusercontent.com/msikma/pokesprite/master/misc/types/gen8/dark.png",4,20,20)</f>
        <v/>
      </c>
      <c r="J644" s="4039" t="s">
        <v>614</v>
      </c>
      <c r="K644" s="4005"/>
      <c r="L644" s="4006"/>
      <c r="M644" s="4048" t="str">
        <f>IMAGE("https://raw.githubusercontent.com/msikma/pokesprite/master/misc/types/gen8/poison.png",4,20,20)</f>
        <v/>
      </c>
      <c r="O644" s="4039" t="s">
        <v>699</v>
      </c>
      <c r="P644" s="4005"/>
      <c r="Q644" s="4006"/>
      <c r="R644" s="4048" t="str">
        <f>IMAGE("https://raw.githubusercontent.com/msikma/pokesprite/master/misc/types/gen8/fire.png",4,20,20)</f>
        <v/>
      </c>
      <c r="T644" s="4039" t="s">
        <v>644</v>
      </c>
      <c r="U644" s="4005"/>
      <c r="V644" s="4006"/>
      <c r="W644" s="4048" t="str">
        <f>IMAGE("https://raw.githubusercontent.com/msikma/pokesprite/master/misc/types/gen8/ground.png",4,20,20)</f>
        <v/>
      </c>
      <c r="Y644" s="4039" t="s">
        <v>1247</v>
      </c>
      <c r="Z644" s="4005"/>
      <c r="AA644" s="4006"/>
      <c r="AB644" s="4048" t="str">
        <f>IMAGE("https://raw.githubusercontent.com/msikma/pokesprite/master/misc/types/gen8/fairy.png",4,20,20)</f>
        <v/>
      </c>
      <c r="AC644" s="4107"/>
      <c r="AD644" s="4004"/>
      <c r="AE644" s="4005"/>
      <c r="AF644" s="4005"/>
      <c r="AG644" s="4006"/>
      <c r="AH644" s="4007"/>
      <c r="AI644" s="3452"/>
    </row>
    <row r="645" ht="21.0" customHeight="1">
      <c r="A645" s="3446"/>
      <c r="B645" s="3998"/>
      <c r="C645" s="4031"/>
      <c r="D645" s="4004"/>
      <c r="E645" s="4049" t="s">
        <v>812</v>
      </c>
      <c r="F645" s="4050"/>
      <c r="G645" s="4051"/>
      <c r="H645" s="4052" t="str">
        <f t="shared" si="20"/>
        <v/>
      </c>
      <c r="I645" s="4109"/>
      <c r="J645" s="4049" t="s">
        <v>547</v>
      </c>
      <c r="K645" s="4050"/>
      <c r="L645" s="4051"/>
      <c r="M645" s="4052" t="str">
        <f>IMAGE("https://raw.githubusercontent.com/msikma/pokesprite/master/misc/types/gen8/electric.png",4,20,20)</f>
        <v/>
      </c>
      <c r="N645" s="4109"/>
      <c r="O645" s="4049" t="s">
        <v>788</v>
      </c>
      <c r="P645" s="4050"/>
      <c r="Q645" s="4051"/>
      <c r="R645" s="4052" t="str">
        <f>IMAGE("https://raw.githubusercontent.com/msikma/pokesprite/master/misc/types/gen8/psychic.png",4,20,20)</f>
        <v/>
      </c>
      <c r="S645" s="4109"/>
      <c r="T645" s="4049" t="s">
        <v>184</v>
      </c>
      <c r="U645" s="4050"/>
      <c r="V645" s="4051"/>
      <c r="W645" s="4052" t="str">
        <f>IMAGE("https://raw.githubusercontent.com/msikma/pokesprite/master/misc/types/gen8/normal.png",4,20,20)</f>
        <v/>
      </c>
      <c r="X645" s="4109"/>
      <c r="Y645" s="4049" t="s">
        <v>501</v>
      </c>
      <c r="Z645" s="4050"/>
      <c r="AA645" s="4051"/>
      <c r="AB645" s="4052" t="str">
        <f>IMAGE("https://raw.githubusercontent.com/msikma/pokesprite/master/misc/types/gen8/normal.png",4,20,20)</f>
        <v/>
      </c>
      <c r="AC645" s="4110"/>
      <c r="AD645" s="4004"/>
      <c r="AE645" s="4005"/>
      <c r="AF645" s="4005"/>
      <c r="AG645" s="4006"/>
      <c r="AH645" s="4007"/>
      <c r="AI645" s="3452"/>
    </row>
    <row r="646" ht="3.0" customHeight="1">
      <c r="A646" s="3524"/>
      <c r="B646" s="4053"/>
      <c r="C646" s="4054"/>
      <c r="D646" s="4055"/>
      <c r="E646" s="4112"/>
      <c r="F646" s="4112"/>
      <c r="G646" s="4112"/>
      <c r="H646" s="4056"/>
      <c r="I646" s="4055"/>
      <c r="J646" s="4112"/>
      <c r="K646" s="4112"/>
      <c r="L646" s="4112"/>
      <c r="M646" s="4111"/>
      <c r="N646" s="4055"/>
      <c r="O646" s="4112"/>
      <c r="P646" s="4112"/>
      <c r="Q646" s="4112"/>
      <c r="R646" s="4111"/>
      <c r="S646" s="4056"/>
      <c r="T646" s="4112"/>
      <c r="U646" s="4112"/>
      <c r="V646" s="4112"/>
      <c r="W646" s="4111"/>
      <c r="X646" s="4055"/>
      <c r="Y646" s="4112"/>
      <c r="Z646" s="4112"/>
      <c r="AA646" s="4112"/>
      <c r="AB646" s="4111"/>
      <c r="AC646" s="4059"/>
      <c r="AD646" s="4059"/>
      <c r="AE646" s="4059"/>
      <c r="AF646" s="4059"/>
      <c r="AG646" s="4059"/>
      <c r="AH646" s="4060"/>
      <c r="AI646" s="3534"/>
    </row>
    <row r="647" ht="16.5" customHeight="1">
      <c r="A647" s="3535"/>
      <c r="B647" s="4061"/>
      <c r="C647" s="4054"/>
      <c r="D647" s="4064"/>
      <c r="E647" s="4063" t="s">
        <v>512</v>
      </c>
      <c r="F647" s="606"/>
      <c r="G647" s="606"/>
      <c r="H647" s="607"/>
      <c r="I647" s="4064"/>
      <c r="J647" s="4063" t="s">
        <v>512</v>
      </c>
      <c r="K647" s="606"/>
      <c r="L647" s="606"/>
      <c r="M647" s="607"/>
      <c r="N647" s="4064"/>
      <c r="O647" s="4063" t="s">
        <v>512</v>
      </c>
      <c r="P647" s="606"/>
      <c r="Q647" s="606"/>
      <c r="R647" s="607"/>
      <c r="S647" s="4453"/>
      <c r="T647" s="4063" t="s">
        <v>512</v>
      </c>
      <c r="U647" s="606"/>
      <c r="V647" s="606"/>
      <c r="W647" s="607"/>
      <c r="X647" s="5127"/>
      <c r="Y647" s="4063" t="s">
        <v>512</v>
      </c>
      <c r="Z647" s="606"/>
      <c r="AA647" s="606"/>
      <c r="AB647" s="607"/>
      <c r="AC647" s="4067"/>
      <c r="AD647" s="4067"/>
      <c r="AE647" s="4067"/>
      <c r="AF647" s="4067"/>
      <c r="AG647" s="4067"/>
      <c r="AH647" s="4068"/>
      <c r="AI647" s="3543"/>
    </row>
    <row r="648" ht="16.5" customHeight="1">
      <c r="A648" s="3535"/>
      <c r="B648" s="4061"/>
      <c r="C648" s="4054"/>
      <c r="D648" s="4062"/>
      <c r="E648" s="4069" t="s">
        <v>513</v>
      </c>
      <c r="F648" s="4070">
        <f t="array" ref="F648">IFERROR(VLOOKUP(E635,Dex!$B$3:$N1361,8,FALSE),"")</f>
        <v>90</v>
      </c>
      <c r="G648" s="4071" t="str">
        <f t="array" ref="G648">IFERROR(VLOOKUP(F648,Dex!$P$22:$Q$276,2,FALSE),"")</f>
        <v/>
      </c>
      <c r="H648" s="4072"/>
      <c r="I648" s="4062"/>
      <c r="J648" s="4069" t="s">
        <v>513</v>
      </c>
      <c r="K648" s="4070">
        <f t="array" ref="K648">IFERROR(VLOOKUP(J635,Dex!$B$3:$N1361,8,FALSE),"")</f>
        <v>90</v>
      </c>
      <c r="L648" s="4071" t="str">
        <f t="array" ref="L648">IFERROR(VLOOKUP(K648,Dex!$P$22:$Q$276,2,FALSE),"")</f>
        <v/>
      </c>
      <c r="M648" s="4072"/>
      <c r="N648" s="4062"/>
      <c r="O648" s="4069" t="s">
        <v>513</v>
      </c>
      <c r="P648" s="4070">
        <f t="array" ref="P648">IFERROR(VLOOKUP(O635,Dex!$B$3:$N1361,8,FALSE),"")</f>
        <v>95</v>
      </c>
      <c r="Q648" s="4071" t="str">
        <f t="array" ref="Q648">IFERROR(VLOOKUP(P648,Dex!$P$22:$Q$276,2,FALSE),"")</f>
        <v/>
      </c>
      <c r="R648" s="4072"/>
      <c r="S648" s="4073"/>
      <c r="T648" s="4069" t="s">
        <v>513</v>
      </c>
      <c r="U648" s="4070">
        <f t="array" ref="U648">IFERROR(VLOOKUP(T635,Dex!$B$3:$N1361,8,FALSE),"")</f>
        <v>91</v>
      </c>
      <c r="V648" s="4071" t="str">
        <f t="array" ref="V648">IFERROR(VLOOKUP(U648,Dex!$P$22:$Q$276,2,FALSE),"")</f>
        <v/>
      </c>
      <c r="W648" s="4072"/>
      <c r="X648" s="4067"/>
      <c r="Y648" s="4069" t="s">
        <v>513</v>
      </c>
      <c r="Z648" s="4070">
        <f t="array" ref="Z648">IFERROR(VLOOKUP(Y635,Dex!$B$3:$N1361,8,FALSE),"")</f>
        <v>65</v>
      </c>
      <c r="AA648" s="4071" t="str">
        <f t="array" ref="AA648">IFERROR(VLOOKUP(Z648,Dex!$P$22:$Q$276,2,FALSE),"")</f>
        <v/>
      </c>
      <c r="AB648" s="4072"/>
      <c r="AC648" s="4067"/>
      <c r="AD648" s="4067"/>
      <c r="AE648" s="4067"/>
      <c r="AF648" s="4067"/>
      <c r="AG648" s="4067"/>
      <c r="AH648" s="4068"/>
      <c r="AI648" s="3543"/>
    </row>
    <row r="649" ht="16.5" customHeight="1">
      <c r="A649" s="3535"/>
      <c r="B649" s="4061"/>
      <c r="C649" s="4054"/>
      <c r="D649" s="4062"/>
      <c r="E649" s="4075" t="s">
        <v>514</v>
      </c>
      <c r="F649" s="4076">
        <f t="array" ref="F649">IFERROR(VLOOKUP(E635,Dex!$B$3:$N1361,9,FALSE),"")</f>
        <v>120</v>
      </c>
      <c r="G649" s="4077" t="str">
        <f t="array" ref="G649">IFERROR(VLOOKUP(F649,Dex!$P$22:$Q$276,2,FALSE),"")</f>
        <v/>
      </c>
      <c r="H649" s="4078"/>
      <c r="I649" s="4062"/>
      <c r="J649" s="4075" t="s">
        <v>514</v>
      </c>
      <c r="K649" s="4076">
        <f t="array" ref="K649">IFERROR(VLOOKUP(J635,Dex!$B$3:$N1361,9,FALSE),"")</f>
        <v>100</v>
      </c>
      <c r="L649" s="4077" t="str">
        <f t="array" ref="L649">IFERROR(VLOOKUP(K649,Dex!$P$22:$Q$276,2,FALSE),"")</f>
        <v/>
      </c>
      <c r="M649" s="4078"/>
      <c r="N649" s="4062"/>
      <c r="O649" s="4075" t="s">
        <v>514</v>
      </c>
      <c r="P649" s="4076">
        <f t="array" ref="P649">IFERROR(VLOOKUP(O635,Dex!$B$3:$N1361,9,FALSE),"")</f>
        <v>65</v>
      </c>
      <c r="Q649" s="4077" t="str">
        <f t="array" ref="Q649">IFERROR(VLOOKUP(P649,Dex!$P$22:$Q$276,2,FALSE),"")</f>
        <v/>
      </c>
      <c r="R649" s="4078"/>
      <c r="S649" s="4073"/>
      <c r="T649" s="4075" t="s">
        <v>514</v>
      </c>
      <c r="U649" s="4076">
        <f t="array" ref="U649">IFERROR(VLOOKUP(T635,Dex!$B$3:$N1361,9,FALSE),"")</f>
        <v>90</v>
      </c>
      <c r="V649" s="4077" t="str">
        <f t="array" ref="V649">IFERROR(VLOOKUP(U649,Dex!$P$22:$Q$276,2,FALSE),"")</f>
        <v/>
      </c>
      <c r="W649" s="4078"/>
      <c r="X649" s="4067"/>
      <c r="Y649" s="4075" t="s">
        <v>514</v>
      </c>
      <c r="Z649" s="4076">
        <f t="array" ref="Z649">IFERROR(VLOOKUP(Y635,Dex!$B$3:$N1361,9,FALSE),"")</f>
        <v>70</v>
      </c>
      <c r="AA649" s="4077" t="str">
        <f t="array" ref="AA649">IFERROR(VLOOKUP(Z649,Dex!$P$22:$Q$276,2,FALSE),"")</f>
        <v/>
      </c>
      <c r="AB649" s="4078"/>
      <c r="AC649" s="4067"/>
      <c r="AD649" s="4067"/>
      <c r="AE649" s="4067"/>
      <c r="AF649" s="4067"/>
      <c r="AG649" s="4067"/>
      <c r="AH649" s="4068"/>
      <c r="AI649" s="3543"/>
    </row>
    <row r="650" ht="16.5" customHeight="1">
      <c r="A650" s="3535"/>
      <c r="B650" s="4061"/>
      <c r="C650" s="4054"/>
      <c r="D650" s="4062"/>
      <c r="E650" s="4075" t="s">
        <v>515</v>
      </c>
      <c r="F650" s="4076">
        <f t="array" ref="F650">IFERROR(VLOOKUP(E635,Dex!$B$3:$N1361,10,FALSE),"")</f>
        <v>60</v>
      </c>
      <c r="G650" s="4077" t="str">
        <f t="array" ref="G650">IFERROR(VLOOKUP(F650,Dex!$P$22:$Q$276,2,FALSE),"")</f>
        <v/>
      </c>
      <c r="H650" s="4078"/>
      <c r="I650" s="4062"/>
      <c r="J650" s="4075" t="s">
        <v>515</v>
      </c>
      <c r="K650" s="4076">
        <f t="array" ref="K650">IFERROR(VLOOKUP(J635,Dex!$B$3:$N1361,10,FALSE),"")</f>
        <v>70</v>
      </c>
      <c r="L650" s="4077" t="str">
        <f t="array" ref="L650">IFERROR(VLOOKUP(K650,Dex!$P$22:$Q$276,2,FALSE),"")</f>
        <v/>
      </c>
      <c r="M650" s="4078"/>
      <c r="N650" s="4062"/>
      <c r="O650" s="4075" t="s">
        <v>515</v>
      </c>
      <c r="P650" s="4076">
        <f t="array" ref="P650">IFERROR(VLOOKUP(O635,Dex!$B$3:$N1361,10,FALSE),"")</f>
        <v>65</v>
      </c>
      <c r="Q650" s="4077" t="str">
        <f t="array" ref="Q650">IFERROR(VLOOKUP(P650,Dex!$P$22:$Q$276,2,FALSE),"")</f>
        <v/>
      </c>
      <c r="R650" s="4078"/>
      <c r="S650" s="4073"/>
      <c r="T650" s="4075" t="s">
        <v>515</v>
      </c>
      <c r="U650" s="4076">
        <f t="array" ref="U650">IFERROR(VLOOKUP(T635,Dex!$B$3:$N1361,10,FALSE),"")</f>
        <v>106</v>
      </c>
      <c r="V650" s="4077" t="str">
        <f t="array" ref="V650">IFERROR(VLOOKUP(U650,Dex!$P$22:$Q$276,2,FALSE),"")</f>
        <v/>
      </c>
      <c r="W650" s="4078"/>
      <c r="X650" s="4067"/>
      <c r="Y650" s="4075" t="s">
        <v>515</v>
      </c>
      <c r="Z650" s="4076">
        <f t="array" ref="Z650">IFERROR(VLOOKUP(Y635,Dex!$B$3:$N1361,10,FALSE),"")</f>
        <v>90</v>
      </c>
      <c r="AA650" s="4077" t="str">
        <f t="array" ref="AA650">IFERROR(VLOOKUP(Z650,Dex!$P$22:$Q$276,2,FALSE),"")</f>
        <v/>
      </c>
      <c r="AB650" s="4078"/>
      <c r="AC650" s="4067"/>
      <c r="AD650" s="4067"/>
      <c r="AE650" s="4067"/>
      <c r="AF650" s="4067"/>
      <c r="AG650" s="4067"/>
      <c r="AH650" s="4068"/>
      <c r="AI650" s="3543"/>
    </row>
    <row r="651" ht="16.5" customHeight="1">
      <c r="A651" s="3535"/>
      <c r="B651" s="4061"/>
      <c r="C651" s="4054"/>
      <c r="D651" s="4062"/>
      <c r="E651" s="4075" t="s">
        <v>516</v>
      </c>
      <c r="F651" s="4076">
        <f t="array" ref="F651">IFERROR(VLOOKUP(E635,Dex!$B$3:$N1361,11,FALSE),"")</f>
        <v>110</v>
      </c>
      <c r="G651" s="4077" t="str">
        <f t="array" ref="G651">IFERROR(VLOOKUP(F651,Dex!$P$22:$Q$276,2,FALSE),"")</f>
        <v/>
      </c>
      <c r="H651" s="4078"/>
      <c r="I651" s="4062"/>
      <c r="J651" s="4075" t="s">
        <v>516</v>
      </c>
      <c r="K651" s="4076">
        <f t="array" ref="K651">IFERROR(VLOOKUP(J635,Dex!$B$3:$N1361,11,FALSE),"")</f>
        <v>110</v>
      </c>
      <c r="L651" s="4077" t="str">
        <f t="array" ref="L651">IFERROR(VLOOKUP(K651,Dex!$P$22:$Q$276,2,FALSE),"")</f>
        <v/>
      </c>
      <c r="M651" s="4078"/>
      <c r="N651" s="4062"/>
      <c r="O651" s="4075" t="s">
        <v>516</v>
      </c>
      <c r="P651" s="4076">
        <f t="array" ref="P651">IFERROR(VLOOKUP(O635,Dex!$B$3:$N1361,11,FALSE),"")</f>
        <v>110</v>
      </c>
      <c r="Q651" s="4077" t="str">
        <f t="array" ref="Q651">IFERROR(VLOOKUP(P651,Dex!$P$22:$Q$276,2,FALSE),"")</f>
        <v/>
      </c>
      <c r="R651" s="4078"/>
      <c r="S651" s="4073"/>
      <c r="T651" s="4075" t="s">
        <v>516</v>
      </c>
      <c r="U651" s="4076">
        <f t="array" ref="U651">IFERROR(VLOOKUP(T635,Dex!$B$3:$N1361,11,FALSE),"")</f>
        <v>130</v>
      </c>
      <c r="V651" s="4077" t="str">
        <f t="array" ref="V651">IFERROR(VLOOKUP(U651,Dex!$P$22:$Q$276,2,FALSE),"")</f>
        <v/>
      </c>
      <c r="W651" s="4078"/>
      <c r="X651" s="4067"/>
      <c r="Y651" s="4075" t="s">
        <v>516</v>
      </c>
      <c r="Z651" s="4076">
        <f t="array" ref="Z651">IFERROR(VLOOKUP(Y635,Dex!$B$3:$N1361,11,FALSE),"")</f>
        <v>140</v>
      </c>
      <c r="AA651" s="4077" t="str">
        <f t="array" ref="AA651">IFERROR(VLOOKUP(Z651,Dex!$P$22:$Q$276,2,FALSE),"")</f>
        <v/>
      </c>
      <c r="AB651" s="4078"/>
      <c r="AC651" s="4067"/>
      <c r="AD651" s="4067"/>
      <c r="AE651" s="4067"/>
      <c r="AF651" s="4067"/>
      <c r="AG651" s="4067"/>
      <c r="AH651" s="4068"/>
      <c r="AI651" s="3543"/>
    </row>
    <row r="652" ht="16.5" customHeight="1">
      <c r="A652" s="3535"/>
      <c r="B652" s="4061"/>
      <c r="C652" s="4054"/>
      <c r="D652" s="4062"/>
      <c r="E652" s="4075" t="s">
        <v>517</v>
      </c>
      <c r="F652" s="4076">
        <f t="array" ref="F652">IFERROR(VLOOKUP(E635,Dex!$B$3:$N1361,12,FALSE),"")</f>
        <v>60</v>
      </c>
      <c r="G652" s="4077" t="str">
        <f t="array" ref="G652">IFERROR(VLOOKUP(F652,Dex!$P$22:$Q$276,2,FALSE),"")</f>
        <v/>
      </c>
      <c r="H652" s="4078"/>
      <c r="I652" s="4062"/>
      <c r="J652" s="4075" t="s">
        <v>517</v>
      </c>
      <c r="K652" s="4076">
        <f t="array" ref="K652">IFERROR(VLOOKUP(J635,Dex!$B$3:$N1361,12,FALSE),"")</f>
        <v>150</v>
      </c>
      <c r="L652" s="4077" t="str">
        <f t="array" ref="L652">IFERROR(VLOOKUP(K652,Dex!$P$22:$Q$276,2,FALSE),"")</f>
        <v/>
      </c>
      <c r="M652" s="4078"/>
      <c r="N652" s="4062"/>
      <c r="O652" s="4075" t="s">
        <v>517</v>
      </c>
      <c r="P652" s="4076">
        <f t="array" ref="P652">IFERROR(VLOOKUP(O635,Dex!$B$3:$N1361,12,FALSE),"")</f>
        <v>130</v>
      </c>
      <c r="Q652" s="4077" t="str">
        <f t="array" ref="Q652">IFERROR(VLOOKUP(P652,Dex!$P$22:$Q$276,2,FALSE),"")</f>
        <v/>
      </c>
      <c r="R652" s="4078"/>
      <c r="S652" s="4073"/>
      <c r="T652" s="4075" t="s">
        <v>517</v>
      </c>
      <c r="U652" s="4076">
        <f t="array" ref="U652">IFERROR(VLOOKUP(T635,Dex!$B$3:$N1361,12,FALSE),"")</f>
        <v>106</v>
      </c>
      <c r="V652" s="4077" t="str">
        <f t="array" ref="V652">IFERROR(VLOOKUP(U652,Dex!$P$22:$Q$276,2,FALSE),"")</f>
        <v/>
      </c>
      <c r="W652" s="4078"/>
      <c r="X652" s="4067"/>
      <c r="Y652" s="4075" t="s">
        <v>517</v>
      </c>
      <c r="Z652" s="4076">
        <f t="array" ref="Z652">IFERROR(VLOOKUP(Y635,Dex!$B$3:$N1361,12,FALSE),"")</f>
        <v>131</v>
      </c>
      <c r="AA652" s="4077" t="str">
        <f t="array" ref="AA652">IFERROR(VLOOKUP(Z652,Dex!$P$22:$Q$276,2,FALSE),"")</f>
        <v/>
      </c>
      <c r="AB652" s="4078"/>
      <c r="AC652" s="4067"/>
      <c r="AD652" s="4067"/>
      <c r="AE652" s="4067"/>
      <c r="AF652" s="4067"/>
      <c r="AG652" s="4067"/>
      <c r="AH652" s="4068"/>
      <c r="AI652" s="3543"/>
    </row>
    <row r="653" ht="16.5" customHeight="1">
      <c r="A653" s="3535"/>
      <c r="B653" s="4061"/>
      <c r="C653" s="1426" t="s">
        <v>745</v>
      </c>
      <c r="D653" s="4062"/>
      <c r="E653" s="4081" t="s">
        <v>518</v>
      </c>
      <c r="F653" s="4082">
        <f t="array" ref="F653">IFERROR(VLOOKUP(E635,Dex!$B$3:$N1361,13,FALSE),"")</f>
        <v>80</v>
      </c>
      <c r="G653" s="4459" t="str">
        <f t="array" ref="G653">IFERROR(VLOOKUP(F653,Dex!$P$22:$Q$276,2,FALSE),"")</f>
        <v/>
      </c>
      <c r="H653" s="4460"/>
      <c r="I653" s="4062"/>
      <c r="J653" s="4081" t="s">
        <v>518</v>
      </c>
      <c r="K653" s="4082">
        <f t="array" ref="K653">IFERROR(VLOOKUP(J635,Dex!$B$3:$N1361,13,FALSE),"")</f>
        <v>80</v>
      </c>
      <c r="L653" s="4459" t="str">
        <f t="array" ref="L653">IFERROR(VLOOKUP(K653,Dex!$P$22:$Q$276,2,FALSE),"")</f>
        <v/>
      </c>
      <c r="M653" s="4460"/>
      <c r="N653" s="4062"/>
      <c r="O653" s="4081" t="s">
        <v>518</v>
      </c>
      <c r="P653" s="4082">
        <f t="array" ref="P653">IFERROR(VLOOKUP(O635,Dex!$B$3:$N1361,13,FALSE),"")</f>
        <v>60</v>
      </c>
      <c r="Q653" s="4459" t="str">
        <f t="array" ref="Q653">IFERROR(VLOOKUP(P653,Dex!$P$22:$Q$276,2,FALSE),"")</f>
        <v/>
      </c>
      <c r="R653" s="4460"/>
      <c r="S653" s="4073"/>
      <c r="T653" s="4081" t="s">
        <v>518</v>
      </c>
      <c r="U653" s="4082">
        <f t="array" ref="U653">IFERROR(VLOOKUP(T635,Dex!$B$3:$N1361,13,FALSE),"")</f>
        <v>77</v>
      </c>
      <c r="V653" s="4459" t="str">
        <f t="array" ref="V653">IFERROR(VLOOKUP(U653,Dex!$P$22:$Q$276,2,FALSE),"")</f>
        <v/>
      </c>
      <c r="W653" s="4460"/>
      <c r="X653" s="4067"/>
      <c r="Y653" s="4081" t="s">
        <v>518</v>
      </c>
      <c r="Z653" s="4082">
        <f t="array" ref="Z653">IFERROR(VLOOKUP(Y635,Dex!$B$3:$N1361,13,FALSE),"")</f>
        <v>84</v>
      </c>
      <c r="AA653" s="4459" t="str">
        <f t="array" ref="AA653">IFERROR(VLOOKUP(Z653,Dex!$P$22:$Q$276,2,FALSE),"")</f>
        <v/>
      </c>
      <c r="AB653" s="4460"/>
      <c r="AC653" s="4067"/>
      <c r="AD653" s="4067"/>
      <c r="AE653" s="4067"/>
      <c r="AF653" s="4067"/>
      <c r="AG653" s="4067"/>
      <c r="AH653" s="4068"/>
      <c r="AI653" s="3543"/>
    </row>
    <row r="654" ht="16.5" customHeight="1">
      <c r="A654" s="3535"/>
      <c r="B654" s="4061"/>
      <c r="C654" s="1427" t="s">
        <v>746</v>
      </c>
      <c r="D654" s="4064"/>
      <c r="E654" s="4461" t="s">
        <v>519</v>
      </c>
      <c r="F654" s="635"/>
      <c r="G654" s="636"/>
      <c r="H654" s="632">
        <f>ROUNDDOWN((ROUNDDOWN(((((2*F653+31)*66)/100+5)),0))*1,0)</f>
        <v>131</v>
      </c>
      <c r="I654" s="4064"/>
      <c r="J654" s="4085" t="s">
        <v>519</v>
      </c>
      <c r="K654" s="630"/>
      <c r="L654" s="631"/>
      <c r="M654" s="632">
        <f>ROUNDDOWN((ROUNDDOWN(((((2*K653+31)*66)/100+5)),0))*1,0)</f>
        <v>131</v>
      </c>
      <c r="N654" s="4064"/>
      <c r="O654" s="4461" t="s">
        <v>519</v>
      </c>
      <c r="P654" s="635"/>
      <c r="Q654" s="636"/>
      <c r="R654" s="632">
        <f>ROUNDDOWN((ROUNDDOWN(((((2*P653+31)*66)/100+5)),0))*1.1,0)</f>
        <v>114</v>
      </c>
      <c r="S654" s="4454"/>
      <c r="T654" s="4085" t="s">
        <v>519</v>
      </c>
      <c r="U654" s="630"/>
      <c r="V654" s="631"/>
      <c r="W654" s="632">
        <f>ROUNDDOWN((ROUNDDOWN(((((2*U653+31)*66)/100+5)),0))*1.1,0)</f>
        <v>139</v>
      </c>
      <c r="X654" s="5127"/>
      <c r="Y654" s="4085" t="s">
        <v>519</v>
      </c>
      <c r="Z654" s="630"/>
      <c r="AA654" s="631"/>
      <c r="AB654" s="632">
        <f>ROUNDDOWN((ROUNDDOWN(((((2*Z653+31)*66)/100+5)),0))*1,0)</f>
        <v>136</v>
      </c>
      <c r="AC654" s="4067"/>
      <c r="AD654" s="4067"/>
      <c r="AE654" s="4067"/>
      <c r="AF654" s="4067"/>
      <c r="AG654" s="4067"/>
      <c r="AH654" s="4068"/>
      <c r="AI654" s="3543"/>
    </row>
    <row r="655" ht="16.5" customHeight="1">
      <c r="A655" s="3535"/>
      <c r="B655" s="4086"/>
      <c r="C655" s="4878"/>
      <c r="D655" s="4089"/>
      <c r="E655" s="4462" t="s">
        <v>700</v>
      </c>
      <c r="F655" s="643"/>
      <c r="G655" s="644"/>
      <c r="H655" s="3064">
        <f>H654*2</f>
        <v>262</v>
      </c>
      <c r="I655" s="4087"/>
      <c r="J655" s="4456"/>
      <c r="K655" s="4879"/>
      <c r="L655" s="4455"/>
      <c r="M655" s="4090"/>
      <c r="N655" s="4087"/>
      <c r="O655" s="4462" t="s">
        <v>1013</v>
      </c>
      <c r="P655" s="643"/>
      <c r="Q655" s="644"/>
      <c r="R655" s="3064">
        <f>R654*2</f>
        <v>228</v>
      </c>
      <c r="S655" s="4091"/>
      <c r="T655" s="4456"/>
      <c r="U655" s="4879"/>
      <c r="V655" s="4455"/>
      <c r="W655" s="4090"/>
      <c r="X655" s="4090"/>
      <c r="Y655" s="4456"/>
      <c r="Z655" s="4879"/>
      <c r="AA655" s="4455"/>
      <c r="AB655" s="4090"/>
      <c r="AC655" s="4090"/>
      <c r="AD655" s="4090"/>
      <c r="AE655" s="4090"/>
      <c r="AF655" s="4090"/>
      <c r="AG655" s="4090"/>
      <c r="AH655" s="4092"/>
      <c r="AI655" s="3543"/>
    </row>
    <row r="656" ht="15.0" customHeight="1">
      <c r="A656" s="3446"/>
      <c r="B656" s="4093"/>
      <c r="C656" s="4094"/>
      <c r="D656" s="4095"/>
      <c r="E656" s="4113"/>
      <c r="F656" s="4113"/>
      <c r="G656" s="4113"/>
      <c r="H656" s="4096"/>
      <c r="I656" s="4097"/>
      <c r="J656" s="4096"/>
      <c r="K656" s="4096"/>
      <c r="L656" s="4096"/>
      <c r="M656" s="4096"/>
      <c r="N656" s="4097"/>
      <c r="O656" s="4096"/>
      <c r="P656" s="4096"/>
      <c r="Q656" s="4096"/>
      <c r="R656" s="4096"/>
      <c r="S656" s="4095"/>
      <c r="T656" s="4095"/>
      <c r="U656" s="4095"/>
      <c r="V656" s="4095"/>
      <c r="W656" s="4095"/>
      <c r="X656" s="4095"/>
      <c r="Y656" s="4095"/>
      <c r="Z656" s="4095"/>
      <c r="AA656" s="4095"/>
      <c r="AB656" s="4095"/>
      <c r="AC656" s="4095"/>
      <c r="AD656" s="4095"/>
      <c r="AE656" s="4095"/>
      <c r="AF656" s="4095"/>
      <c r="AG656" s="4095"/>
      <c r="AH656" s="4098"/>
      <c r="AI656" s="3452"/>
    </row>
    <row r="657" ht="15.0" customHeight="1">
      <c r="A657" s="3446"/>
      <c r="B657" s="3995"/>
      <c r="C657" s="3996"/>
      <c r="D657" s="3996"/>
      <c r="E657" s="4099"/>
      <c r="F657" s="4099"/>
      <c r="G657" s="4099"/>
      <c r="H657" s="4099"/>
      <c r="I657" s="3996"/>
      <c r="J657" s="4099"/>
      <c r="K657" s="4099"/>
      <c r="L657" s="4099"/>
      <c r="M657" s="4099"/>
      <c r="N657" s="3996"/>
      <c r="O657" s="4099"/>
      <c r="P657" s="4099"/>
      <c r="Q657" s="4099"/>
      <c r="R657" s="4099"/>
      <c r="S657" s="3996"/>
      <c r="T657" s="4099"/>
      <c r="U657" s="4099"/>
      <c r="V657" s="4099"/>
      <c r="W657" s="4099"/>
      <c r="X657" s="3996"/>
      <c r="Y657" s="3996"/>
      <c r="Z657" s="3996"/>
      <c r="AA657" s="3996"/>
      <c r="AB657" s="3996"/>
      <c r="AC657" s="3996"/>
      <c r="AD657" s="3996"/>
      <c r="AE657" s="3996"/>
      <c r="AF657" s="3996"/>
      <c r="AG657" s="3996"/>
      <c r="AH657" s="3997"/>
      <c r="AI657" s="3452"/>
    </row>
    <row r="658">
      <c r="A658" s="3446"/>
      <c r="B658" s="3998"/>
      <c r="C658" s="4031"/>
      <c r="D658" s="4024"/>
      <c r="E658" s="4877" t="s">
        <v>1563</v>
      </c>
      <c r="F658" s="4042"/>
      <c r="G658" s="4042"/>
      <c r="H658" s="4042"/>
      <c r="I658" s="4042"/>
      <c r="J658" s="4042"/>
      <c r="K658" s="4042"/>
      <c r="L658" s="4042"/>
      <c r="M658" s="4042"/>
      <c r="N658" s="4042"/>
      <c r="O658" s="4042"/>
      <c r="P658" s="4042"/>
      <c r="Q658" s="4042"/>
      <c r="R658" s="4042"/>
      <c r="S658" s="4042"/>
      <c r="T658" s="4042"/>
      <c r="U658" s="4042"/>
      <c r="V658" s="4042"/>
      <c r="W658" s="4042"/>
      <c r="X658" s="4042"/>
      <c r="Y658" s="4042"/>
      <c r="Z658" s="4042"/>
      <c r="AA658" s="4042"/>
      <c r="AB658" s="4042"/>
      <c r="AC658" s="4042"/>
      <c r="AD658" s="4042"/>
      <c r="AE658" s="4042"/>
      <c r="AF658" s="4042"/>
      <c r="AG658" s="4043"/>
      <c r="AH658" s="4007"/>
      <c r="AI658" s="3452"/>
    </row>
    <row r="659" ht="96.75" customHeight="1">
      <c r="A659" s="3446"/>
      <c r="B659" s="3998"/>
      <c r="C659" s="3999" t="str">
        <f>IMAGE("https://i.ibb.co/LSRVQF1/Picnicker.png")</f>
        <v/>
      </c>
      <c r="D659" s="4102"/>
      <c r="E659" s="4001" t="str">
        <f t="array" ref="E659">IFERROR(VLOOKUP(E660,Dex!$B$3:$G1361,3,FALSE),"")</f>
        <v/>
      </c>
      <c r="F659" s="1945"/>
      <c r="G659" s="1945"/>
      <c r="H659" s="1946"/>
      <c r="I659" s="4103"/>
      <c r="J659" s="4001" t="str">
        <f t="array" ref="J659">IFERROR(VLOOKUP(J660,Dex!$B$3:$G1361,3,FALSE),"")</f>
        <v/>
      </c>
      <c r="K659" s="1945"/>
      <c r="L659" s="1945"/>
      <c r="M659" s="1946"/>
      <c r="N659" s="4103"/>
      <c r="O659" s="4001" t="str">
        <f t="array" ref="O659">IFERROR(VLOOKUP(O660,Dex!$B$3:$G1361,3,FALSE),"")</f>
        <v/>
      </c>
      <c r="P659" s="1945"/>
      <c r="Q659" s="1945"/>
      <c r="R659" s="1946"/>
      <c r="S659" s="4104"/>
      <c r="T659" s="4001" t="str">
        <f t="array" ref="T659">IFERROR(VLOOKUP(T660,Dex!$B$3:$G1361,3,FALSE),"")</f>
        <v/>
      </c>
      <c r="U659" s="1945"/>
      <c r="V659" s="1945"/>
      <c r="W659" s="1946"/>
      <c r="X659" s="4104"/>
      <c r="Y659" s="4001" t="str">
        <f t="array" ref="Y659">IFERROR(VLOOKUP(Y660,Dex!$B$3:$G1361,3,FALSE),"")</f>
        <v/>
      </c>
      <c r="Z659" s="1945"/>
      <c r="AA659" s="1945"/>
      <c r="AB659" s="1946"/>
      <c r="AC659" s="4105"/>
      <c r="AD659" s="4004"/>
      <c r="AE659" s="4005"/>
      <c r="AF659" s="4005"/>
      <c r="AG659" s="4006"/>
      <c r="AH659" s="4007"/>
      <c r="AI659" s="3452"/>
    </row>
    <row r="660" ht="18.75" customHeight="1">
      <c r="A660" s="3689"/>
      <c r="B660" s="4008"/>
      <c r="C660" s="4009" t="s">
        <v>1564</v>
      </c>
      <c r="D660" s="4106"/>
      <c r="E660" s="4011" t="s">
        <v>654</v>
      </c>
      <c r="F660" s="4012"/>
      <c r="G660" s="4012"/>
      <c r="H660" s="4013"/>
      <c r="J660" s="4011" t="s">
        <v>1288</v>
      </c>
      <c r="K660" s="4012"/>
      <c r="L660" s="4012"/>
      <c r="M660" s="4013"/>
      <c r="O660" s="4011" t="s">
        <v>1565</v>
      </c>
      <c r="P660" s="4012"/>
      <c r="Q660" s="4012"/>
      <c r="R660" s="4013"/>
      <c r="T660" s="4011" t="s">
        <v>1121</v>
      </c>
      <c r="U660" s="4012"/>
      <c r="V660" s="4012"/>
      <c r="W660" s="4013"/>
      <c r="Y660" s="4011" t="s">
        <v>854</v>
      </c>
      <c r="Z660" s="4012"/>
      <c r="AA660" s="4012"/>
      <c r="AB660" s="4013"/>
      <c r="AC660" s="4107"/>
      <c r="AD660" s="4015"/>
      <c r="AE660" s="4005"/>
      <c r="AF660" s="4005"/>
      <c r="AG660" s="4006"/>
      <c r="AH660" s="4016"/>
      <c r="AI660" s="3700"/>
    </row>
    <row r="661">
      <c r="A661" s="3701"/>
      <c r="B661" s="4017"/>
      <c r="C661" s="1638"/>
      <c r="D661" s="4108"/>
      <c r="E661" s="4019" t="s">
        <v>796</v>
      </c>
      <c r="F661" s="4020"/>
      <c r="G661" s="4020"/>
      <c r="H661" s="4021"/>
      <c r="J661" s="4019" t="s">
        <v>796</v>
      </c>
      <c r="K661" s="4020"/>
      <c r="L661" s="4020"/>
      <c r="M661" s="4021"/>
      <c r="O661" s="4019" t="s">
        <v>796</v>
      </c>
      <c r="P661" s="4020"/>
      <c r="Q661" s="4020"/>
      <c r="R661" s="4021"/>
      <c r="T661" s="4019" t="s">
        <v>796</v>
      </c>
      <c r="U661" s="4020"/>
      <c r="V661" s="4020"/>
      <c r="W661" s="4021"/>
      <c r="Y661" s="4019" t="s">
        <v>796</v>
      </c>
      <c r="Z661" s="4020"/>
      <c r="AA661" s="4020"/>
      <c r="AB661" s="4021"/>
      <c r="AC661" s="4107"/>
      <c r="AD661" s="4022"/>
      <c r="AE661" s="4005"/>
      <c r="AF661" s="4005"/>
      <c r="AG661" s="4006"/>
      <c r="AH661" s="4023"/>
      <c r="AI661" s="3709"/>
    </row>
    <row r="662" ht="25.5" customHeight="1">
      <c r="A662" s="3446"/>
      <c r="B662" s="3998"/>
      <c r="C662" s="1646"/>
      <c r="D662" s="4024"/>
      <c r="E662" s="4025"/>
      <c r="F662" s="4029" t="str">
        <f t="array" ref="F662">IFERROR(VLOOKUP(E660,Dex!$B$3:$H1361,5,FALSE),"")</f>
        <v/>
      </c>
      <c r="G662" s="4030" t="str">
        <f t="array" ref="G662">IFERROR(VLOOKUP(E660,Dex!$B$3:$H1361,7,FALSE),"")</f>
        <v/>
      </c>
      <c r="H662" s="4028"/>
      <c r="J662" s="4025"/>
      <c r="K662" s="4026" t="str">
        <f t="array" ref="K662">IFERROR(VLOOKUP(J660,Dex!$B$3:$H1361,5,FALSE),"")</f>
        <v/>
      </c>
      <c r="L662" s="4027"/>
      <c r="M662" s="4028"/>
      <c r="O662" s="4025"/>
      <c r="P662" s="4026" t="str">
        <f t="array" ref="P662">IFERROR(VLOOKUP(O660,Dex!$B$3:$H1361,5,FALSE),"")</f>
        <v/>
      </c>
      <c r="Q662" s="4027"/>
      <c r="R662" s="4028"/>
      <c r="T662" s="4025"/>
      <c r="U662" s="4029" t="str">
        <f t="array" ref="U662">IFERROR(VLOOKUP(T660,Dex!$B$3:$H1361,5,FALSE),"")</f>
        <v/>
      </c>
      <c r="V662" s="4030" t="str">
        <f t="array" ref="V662">IFERROR(VLOOKUP(T660,Dex!$B$3:$H1361,7,FALSE),"")</f>
        <v/>
      </c>
      <c r="W662" s="4028"/>
      <c r="Y662" s="4025"/>
      <c r="Z662" s="4029" t="str">
        <f t="array" ref="Z662">IFERROR(VLOOKUP(Y660,Dex!$B$3:$H1361,5,FALSE),"")</f>
        <v/>
      </c>
      <c r="AA662" s="4030" t="str">
        <f t="array" ref="AA662">IFERROR(VLOOKUP(Y660,Dex!$B$3:$H1361,7,FALSE),"")</f>
        <v/>
      </c>
      <c r="AB662" s="4028"/>
      <c r="AC662" s="4107"/>
      <c r="AD662" s="4004"/>
      <c r="AE662" s="4005"/>
      <c r="AF662" s="4005"/>
      <c r="AG662" s="4006"/>
      <c r="AH662" s="4007"/>
      <c r="AI662" s="3452"/>
    </row>
    <row r="663" ht="2.25" customHeight="1">
      <c r="A663" s="3446"/>
      <c r="B663" s="3998"/>
      <c r="C663" s="4031"/>
      <c r="D663" s="4024"/>
      <c r="E663" s="4032"/>
      <c r="F663" s="4033"/>
      <c r="G663" s="4033"/>
      <c r="H663" s="4034"/>
      <c r="J663" s="4032"/>
      <c r="K663" s="4033"/>
      <c r="L663" s="4033"/>
      <c r="M663" s="4034"/>
      <c r="O663" s="4032"/>
      <c r="P663" s="4033"/>
      <c r="Q663" s="4033"/>
      <c r="R663" s="4034"/>
      <c r="T663" s="4032"/>
      <c r="U663" s="4033"/>
      <c r="V663" s="4033"/>
      <c r="W663" s="4034"/>
      <c r="Y663" s="4032"/>
      <c r="Z663" s="4033"/>
      <c r="AA663" s="4033"/>
      <c r="AB663" s="4034"/>
      <c r="AC663" s="4107"/>
      <c r="AD663" s="4024"/>
      <c r="AE663" s="4024"/>
      <c r="AF663" s="4024"/>
      <c r="AG663" s="4024"/>
      <c r="AH663" s="4007"/>
      <c r="AI663" s="3452"/>
    </row>
    <row r="664" ht="20.25" customHeight="1">
      <c r="A664" s="3446"/>
      <c r="B664" s="3998"/>
      <c r="C664" s="4031"/>
      <c r="D664" s="4004"/>
      <c r="E664" s="4035" t="s">
        <v>532</v>
      </c>
      <c r="F664" s="4036"/>
      <c r="G664" s="4036"/>
      <c r="H664" s="4037"/>
      <c r="J664" s="4035" t="s">
        <v>564</v>
      </c>
      <c r="K664" s="4036"/>
      <c r="L664" s="4036"/>
      <c r="M664" s="4037"/>
      <c r="O664" s="4035" t="s">
        <v>482</v>
      </c>
      <c r="P664" s="4036"/>
      <c r="Q664" s="4036"/>
      <c r="R664" s="4037"/>
      <c r="T664" s="4035" t="s">
        <v>564</v>
      </c>
      <c r="U664" s="4036"/>
      <c r="V664" s="4036"/>
      <c r="W664" s="4037"/>
      <c r="Y664" s="4035" t="s">
        <v>482</v>
      </c>
      <c r="Z664" s="4036"/>
      <c r="AA664" s="4036"/>
      <c r="AB664" s="4037"/>
      <c r="AC664" s="4107"/>
      <c r="AD664" s="4004"/>
      <c r="AE664" s="4005"/>
      <c r="AF664" s="4005"/>
      <c r="AG664" s="4006"/>
      <c r="AH664" s="4007"/>
      <c r="AI664" s="3452"/>
    </row>
    <row r="665">
      <c r="A665" s="3446"/>
      <c r="B665" s="3998"/>
      <c r="C665" s="4038"/>
      <c r="D665" s="4004"/>
      <c r="E665" s="4039" t="s">
        <v>60</v>
      </c>
      <c r="F665" s="4005"/>
      <c r="G665" s="4005"/>
      <c r="H665" s="4040"/>
      <c r="J665" s="4039" t="s">
        <v>681</v>
      </c>
      <c r="K665" s="4005"/>
      <c r="L665" s="4005"/>
      <c r="M665" s="4040"/>
      <c r="O665" s="4039" t="s">
        <v>86</v>
      </c>
      <c r="P665" s="4005"/>
      <c r="Q665" s="4005"/>
      <c r="R665" s="4040"/>
      <c r="T665" s="4039" t="s">
        <v>1125</v>
      </c>
      <c r="U665" s="4005"/>
      <c r="V665" s="4005"/>
      <c r="W665" s="4040"/>
      <c r="Y665" s="4039" t="s">
        <v>1566</v>
      </c>
      <c r="Z665" s="4005"/>
      <c r="AA665" s="4005"/>
      <c r="AB665" s="4040"/>
      <c r="AC665" s="4107"/>
      <c r="AD665" s="4004"/>
      <c r="AE665" s="4005"/>
      <c r="AF665" s="4005"/>
      <c r="AG665" s="4006"/>
      <c r="AH665" s="4007"/>
      <c r="AI665" s="3452"/>
    </row>
    <row r="666" ht="20.25" customHeight="1">
      <c r="A666" s="3446"/>
      <c r="B666" s="3998"/>
      <c r="C666" s="4014"/>
      <c r="D666" s="4004"/>
      <c r="E666" s="4041" t="s">
        <v>573</v>
      </c>
      <c r="F666" s="4042"/>
      <c r="G666" s="4043"/>
      <c r="H666" s="4044" t="str">
        <f>IMAGE("https://raw.githubusercontent.com/msikma/pokesprite/master/items/hold-item/focus-sash.png",3)</f>
        <v/>
      </c>
      <c r="J666" s="4041" t="s">
        <v>713</v>
      </c>
      <c r="K666" s="4042"/>
      <c r="L666" s="4043"/>
      <c r="M666" s="4044" t="str">
        <f>IMAGE("https://raw.githubusercontent.com/msikma/pokesprite/master/items/hold-item/assault-vest.png",3)</f>
        <v/>
      </c>
      <c r="O666" s="4041" t="s">
        <v>489</v>
      </c>
      <c r="P666" s="4042"/>
      <c r="Q666" s="4043"/>
      <c r="R666" s="4044" t="str">
        <f>IMAGE("https://raw.githubusercontent.com/msikma/pokesprite/master/items/hold-item/eviolite.png",3)</f>
        <v/>
      </c>
      <c r="T666" s="4041" t="s">
        <v>1445</v>
      </c>
      <c r="U666" s="4042"/>
      <c r="V666" s="4043"/>
      <c r="W666" s="4044" t="str">
        <f>IMAGE("https://raw.githubusercontent.com/msikma/pokesprite/master/items/hold-item/choice-scarf.png",3)</f>
        <v/>
      </c>
      <c r="Y666" s="4041" t="s">
        <v>860</v>
      </c>
      <c r="Z666" s="4042"/>
      <c r="AA666" s="4043"/>
      <c r="AB666" s="4044" t="str">
        <f>IMAGE("https://raw.githubusercontent.com/msikma/pokesprite/master/items/mega-stone/altarianite.png",3)</f>
        <v/>
      </c>
      <c r="AC666" s="4107"/>
      <c r="AD666" s="4004"/>
      <c r="AE666" s="4005"/>
      <c r="AF666" s="4005"/>
      <c r="AG666" s="4006"/>
      <c r="AH666" s="4007"/>
      <c r="AI666" s="3452"/>
    </row>
    <row r="667" ht="20.25" customHeight="1">
      <c r="A667" s="3446"/>
      <c r="B667" s="3998"/>
      <c r="C667" s="4045"/>
      <c r="D667" s="4004"/>
      <c r="E667" s="4035" t="s">
        <v>191</v>
      </c>
      <c r="F667" s="4036"/>
      <c r="G667" s="4046"/>
      <c r="H667" s="4047" t="str">
        <f>IMAGE("https://raw.githubusercontent.com/msikma/pokesprite/master/misc/types/gen8/rock.png",4,20,20)</f>
        <v/>
      </c>
      <c r="J667" s="4035" t="s">
        <v>692</v>
      </c>
      <c r="K667" s="4036"/>
      <c r="L667" s="4046"/>
      <c r="M667" s="4047" t="str">
        <f>IMAGE("https://raw.githubusercontent.com/msikma/pokesprite/master/misc/types/gen8/grass.png",4,20,20)</f>
        <v/>
      </c>
      <c r="O667" s="4035" t="s">
        <v>611</v>
      </c>
      <c r="P667" s="4036"/>
      <c r="Q667" s="4046"/>
      <c r="R667" s="4047" t="str">
        <f>IMAGE("https://raw.githubusercontent.com/msikma/pokesprite/master/misc/types/gen8/electric.png",4,20,20)</f>
        <v/>
      </c>
      <c r="T667" s="4035" t="s">
        <v>1211</v>
      </c>
      <c r="U667" s="4036"/>
      <c r="V667" s="4046"/>
      <c r="W667" s="4047" t="str">
        <f>IMAGE("https://raw.githubusercontent.com/msikma/pokesprite/master/misc/types/gen8/fire.png",4,20,20)</f>
        <v/>
      </c>
      <c r="Y667" s="4035" t="s">
        <v>1211</v>
      </c>
      <c r="Z667" s="4036"/>
      <c r="AA667" s="4046"/>
      <c r="AB667" s="4047" t="str">
        <f>IMAGE("https://raw.githubusercontent.com/msikma/pokesprite/master/misc/types/gen8/fire.png",4,20,20)</f>
        <v/>
      </c>
      <c r="AC667" s="4107"/>
      <c r="AD667" s="4004"/>
      <c r="AE667" s="4005"/>
      <c r="AF667" s="4005"/>
      <c r="AG667" s="4006"/>
      <c r="AH667" s="4007"/>
      <c r="AI667" s="3452"/>
    </row>
    <row r="668" ht="20.25" customHeight="1">
      <c r="A668" s="3446"/>
      <c r="B668" s="3998"/>
      <c r="C668" s="4031"/>
      <c r="D668" s="4004"/>
      <c r="E668" s="4039" t="s">
        <v>667</v>
      </c>
      <c r="F668" s="4005"/>
      <c r="G668" s="4006"/>
      <c r="H668" s="4048" t="str">
        <f>IMAGE("https://raw.githubusercontent.com/msikma/pokesprite/master/misc/types/gen8/dark.png",4,20,20)</f>
        <v/>
      </c>
      <c r="J668" s="4039" t="s">
        <v>671</v>
      </c>
      <c r="K668" s="4005"/>
      <c r="L668" s="4006"/>
      <c r="M668" s="4048" t="str">
        <f>IMAGE("https://raw.githubusercontent.com/msikma/pokesprite/master/misc/types/gen8/fire.png",4,20,20)</f>
        <v/>
      </c>
      <c r="O668" s="4039" t="s">
        <v>1292</v>
      </c>
      <c r="P668" s="4005"/>
      <c r="Q668" s="4006"/>
      <c r="R668" s="4048" t="str">
        <f>IMAGE("https://raw.githubusercontent.com/msikma/pokesprite/master/misc/types/gen8/fighting.png",4,20,20)</f>
        <v/>
      </c>
      <c r="T668" s="4039" t="s">
        <v>692</v>
      </c>
      <c r="U668" s="4005"/>
      <c r="V668" s="4006"/>
      <c r="W668" s="4048" t="str">
        <f>IMAGE("https://raw.githubusercontent.com/msikma/pokesprite/master/misc/types/gen8/grass.png",4,20,20)</f>
        <v/>
      </c>
      <c r="Y668" s="4039" t="s">
        <v>743</v>
      </c>
      <c r="Z668" s="4005"/>
      <c r="AA668" s="4006"/>
      <c r="AB668" s="4048" t="str">
        <f>IMAGE("https://raw.githubusercontent.com/msikma/pokesprite/master/misc/types/gen8/fairy.png",4,20,20)</f>
        <v/>
      </c>
      <c r="AC668" s="4107"/>
      <c r="AD668" s="4004"/>
      <c r="AE668" s="4005"/>
      <c r="AF668" s="4005"/>
      <c r="AG668" s="4006"/>
      <c r="AH668" s="4007"/>
      <c r="AI668" s="3452"/>
    </row>
    <row r="669" ht="20.25" customHeight="1">
      <c r="A669" s="3446"/>
      <c r="B669" s="3998"/>
      <c r="C669" s="4031"/>
      <c r="D669" s="4004"/>
      <c r="E669" s="4039" t="s">
        <v>549</v>
      </c>
      <c r="F669" s="4005"/>
      <c r="G669" s="4006"/>
      <c r="H669" s="4048" t="str">
        <f>IMAGE("https://raw.githubusercontent.com/msikma/pokesprite/master/misc/types/gen8/ground.png",4,20,20)</f>
        <v/>
      </c>
      <c r="J669" s="4039" t="s">
        <v>614</v>
      </c>
      <c r="K669" s="4005"/>
      <c r="L669" s="4006"/>
      <c r="M669" s="4048" t="str">
        <f>IMAGE("https://raw.githubusercontent.com/msikma/pokesprite/master/misc/types/gen8/poison.png",4,20,20)</f>
        <v/>
      </c>
      <c r="O669" s="4039" t="s">
        <v>623</v>
      </c>
      <c r="P669" s="4005"/>
      <c r="Q669" s="4006"/>
      <c r="R669" s="4048" t="str">
        <f>IMAGE("https://raw.githubusercontent.com/msikma/pokesprite/master/misc/types/gen8/psychic.png",4,20,20)</f>
        <v/>
      </c>
      <c r="T669" s="4039" t="s">
        <v>647</v>
      </c>
      <c r="U669" s="4005"/>
      <c r="V669" s="4006"/>
      <c r="W669" s="4048" t="str">
        <f>IMAGE("https://raw.githubusercontent.com/msikma/pokesprite/master/misc/types/gen8/ghost.png",4,20,20)</f>
        <v/>
      </c>
      <c r="Y669" s="4039" t="s">
        <v>551</v>
      </c>
      <c r="Z669" s="4005"/>
      <c r="AA669" s="4006"/>
      <c r="AB669" s="4048" t="str">
        <f>IMAGE("https://raw.githubusercontent.com/msikma/pokesprite/master/misc/types/gen8/flying.png",4,20,20)</f>
        <v/>
      </c>
      <c r="AC669" s="4107"/>
      <c r="AD669" s="4004"/>
      <c r="AE669" s="4005"/>
      <c r="AF669" s="4005"/>
      <c r="AG669" s="4006"/>
      <c r="AH669" s="4007"/>
      <c r="AI669" s="3452"/>
    </row>
    <row r="670" ht="21.0" customHeight="1">
      <c r="A670" s="3446"/>
      <c r="B670" s="3998"/>
      <c r="C670" s="4031"/>
      <c r="D670" s="4004"/>
      <c r="E670" s="4049" t="s">
        <v>588</v>
      </c>
      <c r="F670" s="4050"/>
      <c r="G670" s="4051"/>
      <c r="H670" s="4052" t="str">
        <f>IMAGE("https://raw.githubusercontent.com/msikma/pokesprite/master/misc/types/gen8/rock.png",4,20,20)</f>
        <v/>
      </c>
      <c r="I670" s="4109"/>
      <c r="J670" s="4049" t="s">
        <v>579</v>
      </c>
      <c r="K670" s="4050"/>
      <c r="L670" s="4051"/>
      <c r="M670" s="4052" t="str">
        <f>IMAGE("https://raw.githubusercontent.com/msikma/pokesprite/master/misc/types/gen8/dark.png",4,20,20)</f>
        <v/>
      </c>
      <c r="N670" s="4109"/>
      <c r="O670" s="4049" t="s">
        <v>1293</v>
      </c>
      <c r="P670" s="4050"/>
      <c r="Q670" s="4051"/>
      <c r="R670" s="4052" t="str">
        <f>IMAGE("https://raw.githubusercontent.com/msikma/pokesprite/master/misc/types/gen8/normal.png",4,20,20)</f>
        <v/>
      </c>
      <c r="S670" s="4109"/>
      <c r="T670" s="4049" t="s">
        <v>1477</v>
      </c>
      <c r="U670" s="4050"/>
      <c r="V670" s="4051"/>
      <c r="W670" s="4052" t="str">
        <f>IMAGE("https://raw.githubusercontent.com/msikma/pokesprite/master/misc/types/gen8/psychic.png",4,20,20)</f>
        <v/>
      </c>
      <c r="X670" s="4109"/>
      <c r="Y670" s="4049" t="s">
        <v>549</v>
      </c>
      <c r="Z670" s="4050"/>
      <c r="AA670" s="4051"/>
      <c r="AB670" s="4052" t="str">
        <f>IMAGE("https://raw.githubusercontent.com/msikma/pokesprite/master/misc/types/gen8/ground.png",4,20,20)</f>
        <v/>
      </c>
      <c r="AC670" s="4110"/>
      <c r="AD670" s="4004"/>
      <c r="AE670" s="4005"/>
      <c r="AF670" s="4005"/>
      <c r="AG670" s="4006"/>
      <c r="AH670" s="4007"/>
      <c r="AI670" s="3452"/>
    </row>
    <row r="671" ht="3.0" customHeight="1">
      <c r="A671" s="3524"/>
      <c r="B671" s="4053"/>
      <c r="C671" s="4054"/>
      <c r="D671" s="4055"/>
      <c r="E671" s="4112"/>
      <c r="F671" s="4112"/>
      <c r="G671" s="4112"/>
      <c r="H671" s="4057"/>
      <c r="I671" s="4055"/>
      <c r="J671" s="4112"/>
      <c r="K671" s="4112"/>
      <c r="L671" s="4112"/>
      <c r="M671" s="4111"/>
      <c r="N671" s="4055"/>
      <c r="O671" s="4112"/>
      <c r="P671" s="4112"/>
      <c r="Q671" s="4112"/>
      <c r="R671" s="4112"/>
      <c r="S671" s="4056"/>
      <c r="T671" s="4112"/>
      <c r="U671" s="4112"/>
      <c r="V671" s="4112"/>
      <c r="W671" s="4111"/>
      <c r="X671" s="4055"/>
      <c r="Y671" s="4112"/>
      <c r="Z671" s="4112"/>
      <c r="AA671" s="4112"/>
      <c r="AB671" s="4112"/>
      <c r="AC671" s="4059"/>
      <c r="AD671" s="4059"/>
      <c r="AE671" s="4059"/>
      <c r="AF671" s="4059"/>
      <c r="AG671" s="4059"/>
      <c r="AH671" s="4060"/>
      <c r="AI671" s="3534"/>
    </row>
    <row r="672" ht="16.5" customHeight="1">
      <c r="A672" s="3535"/>
      <c r="B672" s="4061"/>
      <c r="C672" s="4054"/>
      <c r="D672" s="4064"/>
      <c r="E672" s="4063" t="s">
        <v>512</v>
      </c>
      <c r="F672" s="606"/>
      <c r="G672" s="606"/>
      <c r="H672" s="607"/>
      <c r="I672" s="5128"/>
      <c r="J672" s="4063" t="s">
        <v>512</v>
      </c>
      <c r="K672" s="606"/>
      <c r="L672" s="606"/>
      <c r="M672" s="607"/>
      <c r="N672" s="4064"/>
      <c r="O672" s="4063" t="s">
        <v>512</v>
      </c>
      <c r="P672" s="606"/>
      <c r="Q672" s="606"/>
      <c r="R672" s="607"/>
      <c r="S672" s="5129"/>
      <c r="T672" s="4063" t="s">
        <v>512</v>
      </c>
      <c r="U672" s="606"/>
      <c r="V672" s="606"/>
      <c r="W672" s="607"/>
      <c r="X672" s="5127"/>
      <c r="Y672" s="4063" t="s">
        <v>512</v>
      </c>
      <c r="Z672" s="606"/>
      <c r="AA672" s="606"/>
      <c r="AB672" s="607"/>
      <c r="AC672" s="5130"/>
      <c r="AD672" s="4067"/>
      <c r="AE672" s="4067"/>
      <c r="AF672" s="4067"/>
      <c r="AG672" s="4067"/>
      <c r="AH672" s="4068"/>
      <c r="AI672" s="3543"/>
    </row>
    <row r="673" ht="16.5" customHeight="1">
      <c r="A673" s="3535"/>
      <c r="B673" s="4061"/>
      <c r="C673" s="4054"/>
      <c r="D673" s="4062"/>
      <c r="E673" s="4069" t="s">
        <v>513</v>
      </c>
      <c r="F673" s="4070">
        <f t="array" ref="F673">IFERROR(VLOOKUP(E660,Dex!$B$3:$N1361,8,FALSE),"")</f>
        <v>95</v>
      </c>
      <c r="G673" s="4071" t="str">
        <f t="array" ref="G673">IFERROR(VLOOKUP(F673,Dex!$P$22:$Q$276,2,FALSE),"")</f>
        <v/>
      </c>
      <c r="H673" s="4072"/>
      <c r="I673" s="5131"/>
      <c r="J673" s="4069" t="s">
        <v>513</v>
      </c>
      <c r="K673" s="4070">
        <f t="array" ref="K673">IFERROR(VLOOKUP(J660,Dex!$B$3:$N1361,8,FALSE),"")</f>
        <v>100</v>
      </c>
      <c r="L673" s="4071" t="str">
        <f t="array" ref="L673">IFERROR(VLOOKUP(K673,Dex!$P$22:$Q$276,2,FALSE),"")</f>
        <v/>
      </c>
      <c r="M673" s="4072"/>
      <c r="N673" s="4062"/>
      <c r="O673" s="4069" t="s">
        <v>513</v>
      </c>
      <c r="P673" s="4070">
        <f t="array" ref="P673">IFERROR(VLOOKUP(O660,Dex!$B$3:$N1361,8,FALSE),"")</f>
        <v>250</v>
      </c>
      <c r="Q673" s="4071" t="str">
        <f t="array" ref="Q673">IFERROR(VLOOKUP(P673,Dex!$P$22:$Q$276,2,FALSE),"")</f>
        <v/>
      </c>
      <c r="R673" s="4072"/>
      <c r="S673" s="5132"/>
      <c r="T673" s="4069" t="s">
        <v>513</v>
      </c>
      <c r="U673" s="4070">
        <f t="array" ref="U673">IFERROR(VLOOKUP(T660,Dex!$B$3:$N1361,8,FALSE),"")</f>
        <v>60</v>
      </c>
      <c r="V673" s="4071" t="str">
        <f t="array" ref="V673">IFERROR(VLOOKUP(U673,Dex!$P$22:$Q$276,2,FALSE),"")</f>
        <v/>
      </c>
      <c r="W673" s="4072"/>
      <c r="X673" s="4067"/>
      <c r="Y673" s="4069" t="s">
        <v>513</v>
      </c>
      <c r="Z673" s="4070">
        <f t="array" ref="Z673">IFERROR(VLOOKUP(Y660,Dex!$B$3:$N1361,8,FALSE),"")</f>
        <v>85</v>
      </c>
      <c r="AA673" s="4071" t="str">
        <f t="array" ref="AA673">IFERROR(VLOOKUP(Z673,Dex!$P$22:$Q$276,2,FALSE),"")</f>
        <v/>
      </c>
      <c r="AB673" s="4072"/>
      <c r="AC673" s="5130"/>
      <c r="AD673" s="4067"/>
      <c r="AE673" s="4067"/>
      <c r="AF673" s="4067"/>
      <c r="AG673" s="4067"/>
      <c r="AH673" s="4068"/>
      <c r="AI673" s="3543"/>
    </row>
    <row r="674" ht="16.5" customHeight="1">
      <c r="A674" s="3535"/>
      <c r="B674" s="4061"/>
      <c r="C674" s="4054"/>
      <c r="D674" s="4062"/>
      <c r="E674" s="4075" t="s">
        <v>514</v>
      </c>
      <c r="F674" s="4076">
        <f t="array" ref="F674">IFERROR(VLOOKUP(E660,Dex!$B$3:$N1361,9,FALSE),"")</f>
        <v>117</v>
      </c>
      <c r="G674" s="4077" t="str">
        <f t="array" ref="G674">IFERROR(VLOOKUP(F674,Dex!$P$22:$Q$276,2,FALSE),"")</f>
        <v/>
      </c>
      <c r="H674" s="4078"/>
      <c r="I674" s="5131"/>
      <c r="J674" s="4075" t="s">
        <v>514</v>
      </c>
      <c r="K674" s="4076">
        <f t="array" ref="K674">IFERROR(VLOOKUP(J660,Dex!$B$3:$N1361,9,FALSE),"")</f>
        <v>100</v>
      </c>
      <c r="L674" s="4077" t="str">
        <f t="array" ref="L674">IFERROR(VLOOKUP(K674,Dex!$P$22:$Q$276,2,FALSE),"")</f>
        <v/>
      </c>
      <c r="M674" s="4078"/>
      <c r="N674" s="4062"/>
      <c r="O674" s="4075" t="s">
        <v>514</v>
      </c>
      <c r="P674" s="4076">
        <f t="array" ref="P674">IFERROR(VLOOKUP(O660,Dex!$B$3:$N1361,9,FALSE),"")</f>
        <v>5</v>
      </c>
      <c r="Q674" s="4077" t="str">
        <f t="array" ref="Q674">IFERROR(VLOOKUP(P674,Dex!$P$22:$Q$276,2,FALSE),"")</f>
        <v/>
      </c>
      <c r="R674" s="4078"/>
      <c r="S674" s="5132"/>
      <c r="T674" s="4075" t="s">
        <v>514</v>
      </c>
      <c r="U674" s="4076">
        <f t="array" ref="U674">IFERROR(VLOOKUP(T660,Dex!$B$3:$N1361,9,FALSE),"")</f>
        <v>55</v>
      </c>
      <c r="V674" s="4077" t="str">
        <f t="array" ref="V674">IFERROR(VLOOKUP(U674,Dex!$P$22:$Q$276,2,FALSE),"")</f>
        <v/>
      </c>
      <c r="W674" s="4078"/>
      <c r="X674" s="4067"/>
      <c r="Y674" s="4075" t="s">
        <v>514</v>
      </c>
      <c r="Z674" s="4076">
        <f t="array" ref="Z674">IFERROR(VLOOKUP(Y660,Dex!$B$3:$N1361,9,FALSE),"")</f>
        <v>110</v>
      </c>
      <c r="AA674" s="4077" t="str">
        <f t="array" ref="AA674">IFERROR(VLOOKUP(Z674,Dex!$P$22:$Q$276,2,FALSE),"")</f>
        <v/>
      </c>
      <c r="AB674" s="4078"/>
      <c r="AC674" s="5130"/>
      <c r="AD674" s="4067"/>
      <c r="AE674" s="4067"/>
      <c r="AF674" s="4067"/>
      <c r="AG674" s="4067"/>
      <c r="AH674" s="4068"/>
      <c r="AI674" s="3543"/>
    </row>
    <row r="675" ht="16.5" customHeight="1">
      <c r="A675" s="3535"/>
      <c r="B675" s="4061"/>
      <c r="C675" s="4054"/>
      <c r="D675" s="4062"/>
      <c r="E675" s="4075" t="s">
        <v>515</v>
      </c>
      <c r="F675" s="4076">
        <f t="array" ref="F675">IFERROR(VLOOKUP(E660,Dex!$B$3:$N1361,10,FALSE),"")</f>
        <v>80</v>
      </c>
      <c r="G675" s="4077" t="str">
        <f t="array" ref="G675">IFERROR(VLOOKUP(F675,Dex!$P$22:$Q$276,2,FALSE),"")</f>
        <v/>
      </c>
      <c r="H675" s="4078"/>
      <c r="I675" s="5131"/>
      <c r="J675" s="4075" t="s">
        <v>515</v>
      </c>
      <c r="K675" s="4076">
        <f t="array" ref="K675">IFERROR(VLOOKUP(J660,Dex!$B$3:$N1361,10,FALSE),"")</f>
        <v>125</v>
      </c>
      <c r="L675" s="4077" t="str">
        <f t="array" ref="L675">IFERROR(VLOOKUP(K675,Dex!$P$22:$Q$276,2,FALSE),"")</f>
        <v/>
      </c>
      <c r="M675" s="4078"/>
      <c r="N675" s="4062"/>
      <c r="O675" s="4075" t="s">
        <v>515</v>
      </c>
      <c r="P675" s="4076">
        <f t="array" ref="P675">IFERROR(VLOOKUP(O660,Dex!$B$3:$N1361,10,FALSE),"")</f>
        <v>5</v>
      </c>
      <c r="Q675" s="4077" t="str">
        <f t="array" ref="Q675">IFERROR(VLOOKUP(P675,Dex!$P$22:$Q$276,2,FALSE),"")</f>
        <v/>
      </c>
      <c r="R675" s="4078"/>
      <c r="S675" s="5132"/>
      <c r="T675" s="4075" t="s">
        <v>515</v>
      </c>
      <c r="U675" s="4076">
        <f t="array" ref="U675">IFERROR(VLOOKUP(T660,Dex!$B$3:$N1361,10,FALSE),"")</f>
        <v>90</v>
      </c>
      <c r="V675" s="4077" t="str">
        <f t="array" ref="V675">IFERROR(VLOOKUP(U675,Dex!$P$22:$Q$276,2,FALSE),"")</f>
        <v/>
      </c>
      <c r="W675" s="4078"/>
      <c r="X675" s="4067"/>
      <c r="Y675" s="4075" t="s">
        <v>515</v>
      </c>
      <c r="Z675" s="4076">
        <f t="array" ref="Z675">IFERROR(VLOOKUP(Y660,Dex!$B$3:$N1361,10,FALSE),"")</f>
        <v>110</v>
      </c>
      <c r="AA675" s="4077" t="str">
        <f t="array" ref="AA675">IFERROR(VLOOKUP(Z675,Dex!$P$22:$Q$276,2,FALSE),"")</f>
        <v/>
      </c>
      <c r="AB675" s="4078"/>
      <c r="AC675" s="5130"/>
      <c r="AD675" s="4067"/>
      <c r="AE675" s="4067"/>
      <c r="AF675" s="4067"/>
      <c r="AG675" s="4067"/>
      <c r="AH675" s="4068"/>
      <c r="AI675" s="3543"/>
    </row>
    <row r="676" ht="16.5" customHeight="1">
      <c r="A676" s="3535"/>
      <c r="B676" s="4061"/>
      <c r="C676" s="4054"/>
      <c r="D676" s="4062"/>
      <c r="E676" s="4075" t="s">
        <v>516</v>
      </c>
      <c r="F676" s="4076">
        <f t="array" ref="F676">IFERROR(VLOOKUP(E660,Dex!$B$3:$N1361,11,FALSE),"")</f>
        <v>65</v>
      </c>
      <c r="G676" s="4077" t="str">
        <f t="array" ref="G676">IFERROR(VLOOKUP(F676,Dex!$P$22:$Q$276,2,FALSE),"")</f>
        <v/>
      </c>
      <c r="H676" s="4078"/>
      <c r="I676" s="5131"/>
      <c r="J676" s="4075" t="s">
        <v>516</v>
      </c>
      <c r="K676" s="4076">
        <f t="array" ref="K676">IFERROR(VLOOKUP(J660,Dex!$B$3:$N1361,11,FALSE),"")</f>
        <v>110</v>
      </c>
      <c r="L676" s="4077" t="str">
        <f t="array" ref="L676">IFERROR(VLOOKUP(K676,Dex!$P$22:$Q$276,2,FALSE),"")</f>
        <v/>
      </c>
      <c r="M676" s="4078"/>
      <c r="N676" s="4062"/>
      <c r="O676" s="4075" t="s">
        <v>516</v>
      </c>
      <c r="P676" s="4076">
        <f t="array" ref="P676">IFERROR(VLOOKUP(O660,Dex!$B$3:$N1361,11,FALSE),"")</f>
        <v>35</v>
      </c>
      <c r="Q676" s="4077" t="str">
        <f t="array" ref="Q676">IFERROR(VLOOKUP(P676,Dex!$P$22:$Q$276,2,FALSE),"")</f>
        <v/>
      </c>
      <c r="R676" s="4078"/>
      <c r="S676" s="5132"/>
      <c r="T676" s="4075" t="s">
        <v>516</v>
      </c>
      <c r="U676" s="4076">
        <f t="array" ref="U676">IFERROR(VLOOKUP(T660,Dex!$B$3:$N1361,11,FALSE),"")</f>
        <v>145</v>
      </c>
      <c r="V676" s="4077" t="str">
        <f t="array" ref="V676">IFERROR(VLOOKUP(U676,Dex!$P$22:$Q$276,2,FALSE),"")</f>
        <v/>
      </c>
      <c r="W676" s="4078"/>
      <c r="X676" s="4067"/>
      <c r="Y676" s="4075" t="s">
        <v>516</v>
      </c>
      <c r="Z676" s="4076">
        <f t="array" ref="Z676">IFERROR(VLOOKUP(Y660,Dex!$B$3:$N1361,11,FALSE),"")</f>
        <v>110</v>
      </c>
      <c r="AA676" s="4077" t="str">
        <f t="array" ref="AA676">IFERROR(VLOOKUP(Z676,Dex!$P$22:$Q$276,2,FALSE),"")</f>
        <v/>
      </c>
      <c r="AB676" s="4078"/>
      <c r="AC676" s="5130"/>
      <c r="AD676" s="4067"/>
      <c r="AE676" s="4067"/>
      <c r="AF676" s="4067"/>
      <c r="AG676" s="4067"/>
      <c r="AH676" s="4068"/>
      <c r="AI676" s="3543"/>
    </row>
    <row r="677" ht="16.5" customHeight="1">
      <c r="A677" s="3535"/>
      <c r="B677" s="4061"/>
      <c r="C677" s="4054"/>
      <c r="D677" s="4062"/>
      <c r="E677" s="4075" t="s">
        <v>517</v>
      </c>
      <c r="F677" s="4076">
        <f t="array" ref="F677">IFERROR(VLOOKUP(E660,Dex!$B$3:$N1361,12,FALSE),"")</f>
        <v>70</v>
      </c>
      <c r="G677" s="4077" t="str">
        <f t="array" ref="G677">IFERROR(VLOOKUP(F677,Dex!$P$22:$Q$276,2,FALSE),"")</f>
        <v/>
      </c>
      <c r="H677" s="4078"/>
      <c r="I677" s="5131"/>
      <c r="J677" s="4075" t="s">
        <v>517</v>
      </c>
      <c r="K677" s="4076">
        <f t="array" ref="K677">IFERROR(VLOOKUP(J660,Dex!$B$3:$N1361,12,FALSE),"")</f>
        <v>50</v>
      </c>
      <c r="L677" s="4077" t="str">
        <f t="array" ref="L677">IFERROR(VLOOKUP(K677,Dex!$P$22:$Q$276,2,FALSE),"")</f>
        <v/>
      </c>
      <c r="M677" s="4078"/>
      <c r="N677" s="4062"/>
      <c r="O677" s="4075" t="s">
        <v>517</v>
      </c>
      <c r="P677" s="4076">
        <f t="array" ref="P677">IFERROR(VLOOKUP(O660,Dex!$B$3:$N1361,12,FALSE),"")</f>
        <v>105</v>
      </c>
      <c r="Q677" s="4077" t="str">
        <f t="array" ref="Q677">IFERROR(VLOOKUP(P677,Dex!$P$22:$Q$276,2,FALSE),"")</f>
        <v/>
      </c>
      <c r="R677" s="4078"/>
      <c r="S677" s="5132"/>
      <c r="T677" s="4075" t="s">
        <v>517</v>
      </c>
      <c r="U677" s="4076">
        <f t="array" ref="U677">IFERROR(VLOOKUP(T660,Dex!$B$3:$N1361,12,FALSE),"")</f>
        <v>90</v>
      </c>
      <c r="V677" s="4077" t="str">
        <f t="array" ref="V677">IFERROR(VLOOKUP(U677,Dex!$P$22:$Q$276,2,FALSE),"")</f>
        <v/>
      </c>
      <c r="W677" s="4078"/>
      <c r="X677" s="4067"/>
      <c r="Y677" s="4075" t="s">
        <v>517</v>
      </c>
      <c r="Z677" s="4076">
        <f t="array" ref="Z677">IFERROR(VLOOKUP(Y660,Dex!$B$3:$N1361,12,FALSE),"")</f>
        <v>105</v>
      </c>
      <c r="AA677" s="4077" t="str">
        <f t="array" ref="AA677">IFERROR(VLOOKUP(Z677,Dex!$P$22:$Q$276,2,FALSE),"")</f>
        <v/>
      </c>
      <c r="AB677" s="4078"/>
      <c r="AC677" s="5130"/>
      <c r="AD677" s="4067"/>
      <c r="AE677" s="4067"/>
      <c r="AF677" s="4067"/>
      <c r="AG677" s="4067"/>
      <c r="AH677" s="4068"/>
      <c r="AI677" s="3543"/>
    </row>
    <row r="678" ht="16.5" customHeight="1">
      <c r="A678" s="3535"/>
      <c r="B678" s="4061"/>
      <c r="C678" s="1426" t="s">
        <v>745</v>
      </c>
      <c r="D678" s="4062"/>
      <c r="E678" s="4081" t="s">
        <v>518</v>
      </c>
      <c r="F678" s="4082">
        <f t="array" ref="F678">IFERROR(VLOOKUP(E660,Dex!$B$3:$N1361,13,FALSE),"")</f>
        <v>92</v>
      </c>
      <c r="G678" s="4459" t="str">
        <f t="array" ref="G678">IFERROR(VLOOKUP(F678,Dex!$P$22:$Q$276,2,FALSE),"")</f>
        <v/>
      </c>
      <c r="H678" s="4460"/>
      <c r="I678" s="5131"/>
      <c r="J678" s="4081" t="s">
        <v>518</v>
      </c>
      <c r="K678" s="4082">
        <f t="array" ref="K678">IFERROR(VLOOKUP(J660,Dex!$B$3:$N1361,13,FALSE),"")</f>
        <v>50</v>
      </c>
      <c r="L678" s="4459" t="str">
        <f t="array" ref="L678">IFERROR(VLOOKUP(K678,Dex!$P$22:$Q$276,2,FALSE),"")</f>
        <v/>
      </c>
      <c r="M678" s="4460"/>
      <c r="N678" s="4062"/>
      <c r="O678" s="4081" t="s">
        <v>518</v>
      </c>
      <c r="P678" s="4082">
        <f t="array" ref="P678">IFERROR(VLOOKUP(O660,Dex!$B$3:$N1361,13,FALSE),"")</f>
        <v>50</v>
      </c>
      <c r="Q678" s="4459" t="str">
        <f t="array" ref="Q678">IFERROR(VLOOKUP(P678,Dex!$P$22:$Q$276,2,FALSE),"")</f>
        <v/>
      </c>
      <c r="R678" s="4460"/>
      <c r="S678" s="5132"/>
      <c r="T678" s="4081" t="s">
        <v>518</v>
      </c>
      <c r="U678" s="4082">
        <f t="array" ref="U678">IFERROR(VLOOKUP(T660,Dex!$B$3:$N1361,13,FALSE),"")</f>
        <v>80</v>
      </c>
      <c r="V678" s="4459" t="str">
        <f t="array" ref="V678">IFERROR(VLOOKUP(U678,Dex!$P$22:$Q$276,2,FALSE),"")</f>
        <v/>
      </c>
      <c r="W678" s="4460"/>
      <c r="X678" s="4067"/>
      <c r="Y678" s="4081" t="s">
        <v>518</v>
      </c>
      <c r="Z678" s="4082">
        <f t="array" ref="Z678">IFERROR(VLOOKUP(Y660,Dex!$B$3:$N1361,13,FALSE),"")</f>
        <v>80</v>
      </c>
      <c r="AA678" s="4459" t="str">
        <f t="array" ref="AA678">IFERROR(VLOOKUP(Z678,Dex!$P$22:$Q$276,2,FALSE),"")</f>
        <v/>
      </c>
      <c r="AB678" s="4460"/>
      <c r="AC678" s="5130"/>
      <c r="AD678" s="4067"/>
      <c r="AE678" s="4067"/>
      <c r="AF678" s="4067"/>
      <c r="AG678" s="4067"/>
      <c r="AH678" s="4068"/>
      <c r="AI678" s="3543"/>
    </row>
    <row r="679" ht="16.5" customHeight="1">
      <c r="A679" s="3535"/>
      <c r="B679" s="4061"/>
      <c r="C679" s="1427" t="s">
        <v>746</v>
      </c>
      <c r="D679" s="4064"/>
      <c r="E679" s="4085" t="s">
        <v>519</v>
      </c>
      <c r="F679" s="630"/>
      <c r="G679" s="631"/>
      <c r="H679" s="632">
        <f>ROUNDDOWN((ROUNDDOWN(((((2*F678+31)*66)/100+5)),0))*1.1,0)</f>
        <v>160</v>
      </c>
      <c r="I679" s="4064"/>
      <c r="J679" s="4461" t="s">
        <v>519</v>
      </c>
      <c r="K679" s="635"/>
      <c r="L679" s="636"/>
      <c r="M679" s="632">
        <f>ROUNDDOWN((ROUNDDOWN(((((2*K678+30)*66)/100+5)),0))*1.1,0)</f>
        <v>99</v>
      </c>
      <c r="N679" s="4064"/>
      <c r="O679" s="4085" t="s">
        <v>519</v>
      </c>
      <c r="P679" s="630"/>
      <c r="Q679" s="631"/>
      <c r="R679" s="632">
        <f>ROUNDDOWN((ROUNDDOWN(((((2*P678+31)*66)/100+5)),0))*1,0)</f>
        <v>91</v>
      </c>
      <c r="S679" s="4454"/>
      <c r="T679" s="4461" t="s">
        <v>519</v>
      </c>
      <c r="U679" s="635"/>
      <c r="V679" s="636"/>
      <c r="W679" s="632">
        <f>ROUNDDOWN((ROUNDDOWN(((((2*U678+31)*66)/100+5)),0))*1.1,0)</f>
        <v>144</v>
      </c>
      <c r="X679" s="5127"/>
      <c r="Y679" s="4085" t="s">
        <v>519</v>
      </c>
      <c r="Z679" s="630"/>
      <c r="AA679" s="631"/>
      <c r="AB679" s="632">
        <f>ROUNDDOWN((ROUNDDOWN(((((2*Z678+31)*66)/100+5)),0))*1,0)</f>
        <v>131</v>
      </c>
      <c r="AC679" s="4067"/>
      <c r="AD679" s="4067"/>
      <c r="AE679" s="4067"/>
      <c r="AF679" s="4067"/>
      <c r="AG679" s="4067"/>
      <c r="AH679" s="4068"/>
      <c r="AI679" s="3543"/>
    </row>
    <row r="680" ht="16.5" customHeight="1">
      <c r="A680" s="3535"/>
      <c r="B680" s="4086"/>
      <c r="C680" s="4878"/>
      <c r="D680" s="4089"/>
      <c r="E680" s="4456"/>
      <c r="F680" s="4879"/>
      <c r="G680" s="4455"/>
      <c r="H680" s="4090"/>
      <c r="I680" s="4087"/>
      <c r="J680" s="4462" t="s">
        <v>700</v>
      </c>
      <c r="K680" s="643"/>
      <c r="L680" s="644"/>
      <c r="M680" s="3064">
        <f>M679*2</f>
        <v>198</v>
      </c>
      <c r="N680" s="4089"/>
      <c r="O680" s="4456"/>
      <c r="P680" s="4879"/>
      <c r="Q680" s="4455"/>
      <c r="R680" s="4090"/>
      <c r="S680" s="4091"/>
      <c r="T680" s="4462" t="s">
        <v>1449</v>
      </c>
      <c r="U680" s="643"/>
      <c r="V680" s="644"/>
      <c r="W680" s="645">
        <f>ROUNDDOWN(W679*1.5,0)</f>
        <v>216</v>
      </c>
      <c r="X680" s="4090"/>
      <c r="Y680" s="4456"/>
      <c r="Z680" s="4879"/>
      <c r="AA680" s="4455"/>
      <c r="AB680" s="4090"/>
      <c r="AC680" s="4090"/>
      <c r="AD680" s="4090"/>
      <c r="AE680" s="4090"/>
      <c r="AF680" s="4090"/>
      <c r="AG680" s="4090"/>
      <c r="AH680" s="4092"/>
      <c r="AI680" s="3543"/>
    </row>
    <row r="681" ht="15.0" customHeight="1">
      <c r="A681" s="3446"/>
      <c r="B681" s="4093"/>
      <c r="C681" s="4094"/>
      <c r="D681" s="4095"/>
      <c r="E681" s="4096"/>
      <c r="F681" s="4096"/>
      <c r="G681" s="4096"/>
      <c r="H681" s="4096"/>
      <c r="I681" s="4097"/>
      <c r="J681" s="4096"/>
      <c r="K681" s="4096"/>
      <c r="L681" s="4096"/>
      <c r="M681" s="4096"/>
      <c r="N681" s="4097"/>
      <c r="O681" s="4096"/>
      <c r="P681" s="4096"/>
      <c r="Q681" s="4096"/>
      <c r="R681" s="4096"/>
      <c r="S681" s="4095"/>
      <c r="T681" s="4095"/>
      <c r="U681" s="4095"/>
      <c r="V681" s="4095"/>
      <c r="W681" s="4095"/>
      <c r="X681" s="4095"/>
      <c r="Y681" s="4096"/>
      <c r="Z681" s="4096"/>
      <c r="AA681" s="4096"/>
      <c r="AB681" s="4096"/>
      <c r="AC681" s="4095"/>
      <c r="AD681" s="4095"/>
      <c r="AE681" s="4095"/>
      <c r="AF681" s="4095"/>
      <c r="AG681" s="4095"/>
      <c r="AH681" s="4098"/>
      <c r="AI681" s="3452"/>
    </row>
    <row r="682" ht="15.0" customHeight="1">
      <c r="A682" s="3446"/>
      <c r="B682" s="5133"/>
      <c r="C682" s="5134"/>
      <c r="D682" s="5134"/>
      <c r="E682" s="5134"/>
      <c r="F682" s="5134"/>
      <c r="G682" s="5134"/>
      <c r="H682" s="5134"/>
      <c r="I682" s="5134"/>
      <c r="J682" s="5134"/>
      <c r="K682" s="5134"/>
      <c r="L682" s="5134"/>
      <c r="M682" s="5134"/>
      <c r="N682" s="5134"/>
      <c r="O682" s="5134"/>
      <c r="P682" s="5134"/>
      <c r="Q682" s="5134"/>
      <c r="R682" s="5134"/>
      <c r="S682" s="5134"/>
      <c r="T682" s="5134"/>
      <c r="U682" s="5134"/>
      <c r="V682" s="5134"/>
      <c r="W682" s="5134"/>
      <c r="X682" s="5134"/>
      <c r="Y682" s="5134"/>
      <c r="Z682" s="5134"/>
      <c r="AA682" s="5134"/>
      <c r="AB682" s="5134"/>
      <c r="AC682" s="5134"/>
      <c r="AD682" s="5134"/>
      <c r="AE682" s="5134"/>
      <c r="AF682" s="5134"/>
      <c r="AG682" s="5134"/>
      <c r="AH682" s="5135"/>
      <c r="AI682" s="3452"/>
    </row>
    <row r="683">
      <c r="A683" s="3446"/>
      <c r="B683" s="5136"/>
      <c r="C683" s="5137"/>
      <c r="D683" s="5138"/>
      <c r="E683" s="5139" t="s">
        <v>1567</v>
      </c>
      <c r="F683" s="5140"/>
      <c r="G683" s="5140"/>
      <c r="H683" s="5140"/>
      <c r="I683" s="5140"/>
      <c r="J683" s="5140"/>
      <c r="K683" s="5140"/>
      <c r="L683" s="5140"/>
      <c r="M683" s="5140"/>
      <c r="N683" s="5140"/>
      <c r="O683" s="5140"/>
      <c r="P683" s="5140"/>
      <c r="Q683" s="5140"/>
      <c r="R683" s="5140"/>
      <c r="S683" s="5140"/>
      <c r="T683" s="5140"/>
      <c r="U683" s="5140"/>
      <c r="V683" s="5140"/>
      <c r="W683" s="5140"/>
      <c r="X683" s="5140"/>
      <c r="Y683" s="5140"/>
      <c r="Z683" s="5140"/>
      <c r="AA683" s="5140"/>
      <c r="AB683" s="5140"/>
      <c r="AC683" s="5140"/>
      <c r="AD683" s="5140"/>
      <c r="AE683" s="5140"/>
      <c r="AF683" s="5140"/>
      <c r="AG683" s="5141"/>
      <c r="AH683" s="5142"/>
      <c r="AI683" s="3452"/>
    </row>
    <row r="684" ht="96.75" customHeight="1">
      <c r="A684" s="3446"/>
      <c r="B684" s="5143"/>
      <c r="C684" s="5144" t="str">
        <f>IMAGE("https://i.ibb.co/KLN8KG6/Beautys.png",2)</f>
        <v/>
      </c>
      <c r="D684" s="5145"/>
      <c r="E684" s="5146" t="str">
        <f t="array" ref="E684">IFERROR(VLOOKUP(E685,Dex!$B$3:$G1361,3,FALSE),"")</f>
        <v/>
      </c>
      <c r="F684" s="1945"/>
      <c r="G684" s="1945"/>
      <c r="H684" s="1946"/>
      <c r="I684" s="5147"/>
      <c r="J684" s="5146" t="str">
        <f t="array" ref="J684">IFERROR(VLOOKUP(J685,Dex!$B$3:$G1361,3,FALSE),"")</f>
        <v/>
      </c>
      <c r="K684" s="1945"/>
      <c r="L684" s="1945"/>
      <c r="M684" s="1946"/>
      <c r="N684" s="5147"/>
      <c r="O684" s="5146" t="str">
        <f t="array" ref="O684">IFERROR(VLOOKUP(O685,Dex!$B$3:$G1361,3,FALSE),"")</f>
        <v/>
      </c>
      <c r="P684" s="1945"/>
      <c r="Q684" s="1945"/>
      <c r="R684" s="1946"/>
      <c r="S684" s="5147"/>
      <c r="T684" s="5148" t="str">
        <f t="array" ref="T684">IFERROR(VLOOKUP(T685,Dex!$B$3:$G1361,3,FALSE),"")</f>
        <v/>
      </c>
      <c r="U684" s="1945"/>
      <c r="V684" s="1945"/>
      <c r="W684" s="1946"/>
      <c r="X684" s="5147"/>
      <c r="Y684" s="5148" t="str">
        <f t="array" ref="Y684">IFERROR(VLOOKUP(Y685,Dex!$B$3:$G1361,3,FALSE),"")</f>
        <v/>
      </c>
      <c r="Z684" s="1945"/>
      <c r="AA684" s="1945"/>
      <c r="AB684" s="1946"/>
      <c r="AC684" s="5149"/>
      <c r="AD684" s="5148" t="str">
        <f t="array" ref="AD684">IFERROR(VLOOKUP(AD685,Dex!$B$3:$G1361,3,FALSE),"")</f>
        <v/>
      </c>
      <c r="AE684" s="1945"/>
      <c r="AF684" s="1945"/>
      <c r="AG684" s="1946"/>
      <c r="AH684" s="5150"/>
      <c r="AI684" s="3452"/>
    </row>
    <row r="685" ht="18.75" customHeight="1">
      <c r="A685" s="3689"/>
      <c r="B685" s="5151"/>
      <c r="C685" s="5152" t="s">
        <v>1568</v>
      </c>
      <c r="D685" s="5153"/>
      <c r="E685" s="5154" t="s">
        <v>187</v>
      </c>
      <c r="F685" s="5155"/>
      <c r="G685" s="5155"/>
      <c r="H685" s="5156"/>
      <c r="I685" s="5145"/>
      <c r="J685" s="5154" t="s">
        <v>678</v>
      </c>
      <c r="K685" s="5155"/>
      <c r="L685" s="5155"/>
      <c r="M685" s="5156"/>
      <c r="N685" s="5145"/>
      <c r="O685" s="5154" t="s">
        <v>1569</v>
      </c>
      <c r="P685" s="5155"/>
      <c r="Q685" s="5155"/>
      <c r="R685" s="5156"/>
      <c r="S685" s="5145"/>
      <c r="T685" s="5157" t="s">
        <v>1096</v>
      </c>
      <c r="U685" s="5158"/>
      <c r="V685" s="5158"/>
      <c r="W685" s="5159"/>
      <c r="X685" s="5145"/>
      <c r="Y685" s="5157" t="s">
        <v>1479</v>
      </c>
      <c r="Z685" s="5158"/>
      <c r="AA685" s="5158"/>
      <c r="AB685" s="5159"/>
      <c r="AD685" s="5157" t="s">
        <v>1570</v>
      </c>
      <c r="AE685" s="5158"/>
      <c r="AF685" s="5158"/>
      <c r="AG685" s="5159"/>
      <c r="AH685" s="5160"/>
      <c r="AI685" s="3700"/>
    </row>
    <row r="686">
      <c r="A686" s="3701"/>
      <c r="B686" s="5161"/>
      <c r="C686" s="3095"/>
      <c r="D686" s="5162"/>
      <c r="E686" s="5163" t="s">
        <v>796</v>
      </c>
      <c r="F686" s="5164"/>
      <c r="G686" s="5164"/>
      <c r="H686" s="5165"/>
      <c r="I686" s="5153"/>
      <c r="J686" s="5163" t="s">
        <v>796</v>
      </c>
      <c r="K686" s="5164"/>
      <c r="L686" s="5164"/>
      <c r="M686" s="5165"/>
      <c r="N686" s="5153"/>
      <c r="O686" s="5163" t="s">
        <v>796</v>
      </c>
      <c r="P686" s="5164"/>
      <c r="Q686" s="5164"/>
      <c r="R686" s="5165"/>
      <c r="S686" s="5153"/>
      <c r="T686" s="5166" t="s">
        <v>796</v>
      </c>
      <c r="U686" s="5167"/>
      <c r="V686" s="5167"/>
      <c r="W686" s="5168"/>
      <c r="X686" s="5153"/>
      <c r="Y686" s="5166" t="s">
        <v>796</v>
      </c>
      <c r="Z686" s="5167"/>
      <c r="AA686" s="5167"/>
      <c r="AB686" s="5168"/>
      <c r="AD686" s="5166" t="s">
        <v>967</v>
      </c>
      <c r="AE686" s="5167"/>
      <c r="AF686" s="5167"/>
      <c r="AG686" s="5168"/>
      <c r="AH686" s="5169"/>
      <c r="AI686" s="3709"/>
    </row>
    <row r="687" ht="25.5" customHeight="1">
      <c r="A687" s="3446"/>
      <c r="B687" s="5143"/>
      <c r="C687" s="3095"/>
      <c r="D687" s="5147"/>
      <c r="E687" s="5170"/>
      <c r="F687" s="5171" t="str">
        <f t="array" ref="F687">IFERROR(VLOOKUP(E685,Dex!$B$3:$H1361,5,FALSE),"")</f>
        <v/>
      </c>
      <c r="G687" s="5172"/>
      <c r="H687" s="5173"/>
      <c r="I687" s="5162"/>
      <c r="J687" s="5170"/>
      <c r="K687" s="5174" t="str">
        <f t="array" ref="K687">IFERROR(VLOOKUP(J685,Dex!$B$3:$H1361,5,FALSE),"")</f>
        <v/>
      </c>
      <c r="L687" s="5175" t="str">
        <f t="array" ref="L687">IFERROR(VLOOKUP(J685,Dex!$B$3:$H1361,7,FALSE),"")</f>
        <v/>
      </c>
      <c r="M687" s="5173"/>
      <c r="N687" s="5162"/>
      <c r="O687" s="5170"/>
      <c r="P687" s="5171" t="str">
        <f t="array" ref="P687">IFERROR(VLOOKUP(O685,Dex!$B$3:$H1361,5,FALSE),"")</f>
        <v/>
      </c>
      <c r="Q687" s="5172"/>
      <c r="R687" s="5173"/>
      <c r="S687" s="5162"/>
      <c r="T687" s="5176"/>
      <c r="U687" s="5177" t="str">
        <f t="array" ref="U687">IFERROR(VLOOKUP(T685,Dex!$B$3:$H1361,5,FALSE),"")</f>
        <v/>
      </c>
      <c r="V687" s="5178"/>
      <c r="W687" s="5179"/>
      <c r="X687" s="5162"/>
      <c r="Y687" s="5176"/>
      <c r="Z687" s="5177" t="str">
        <f t="array" ref="Z687">IFERROR(VLOOKUP(Y685,Dex!$B$3:$H1361,5,FALSE),"")</f>
        <v/>
      </c>
      <c r="AA687" s="5178"/>
      <c r="AB687" s="5179"/>
      <c r="AD687" s="5176"/>
      <c r="AE687" s="5177" t="str">
        <f t="array" ref="AE687">IFERROR(VLOOKUP(AD685,Dex!$B$3:$H1361,5,FALSE),"")</f>
        <v/>
      </c>
      <c r="AF687" s="5178"/>
      <c r="AG687" s="5179"/>
      <c r="AH687" s="5180"/>
      <c r="AI687" s="3452"/>
    </row>
    <row r="688" ht="2.25" customHeight="1">
      <c r="A688" s="3446"/>
      <c r="B688" s="5143"/>
      <c r="C688" s="3095"/>
      <c r="D688" s="5147"/>
      <c r="E688" s="5181"/>
      <c r="F688" s="5182"/>
      <c r="G688" s="5182"/>
      <c r="H688" s="5183"/>
      <c r="I688" s="5147"/>
      <c r="J688" s="5181"/>
      <c r="K688" s="5182"/>
      <c r="L688" s="5182"/>
      <c r="M688" s="5183"/>
      <c r="N688" s="5147"/>
      <c r="O688" s="5181"/>
      <c r="P688" s="5182"/>
      <c r="Q688" s="5182"/>
      <c r="R688" s="5183"/>
      <c r="S688" s="5147"/>
      <c r="T688" s="5184"/>
      <c r="U688" s="5185"/>
      <c r="V688" s="5185"/>
      <c r="W688" s="5186"/>
      <c r="X688" s="5147"/>
      <c r="Y688" s="5184"/>
      <c r="Z688" s="5185"/>
      <c r="AA688" s="5185"/>
      <c r="AB688" s="5186"/>
      <c r="AD688" s="5184"/>
      <c r="AE688" s="5185"/>
      <c r="AF688" s="5185"/>
      <c r="AG688" s="5186"/>
      <c r="AH688" s="5180"/>
      <c r="AI688" s="3452"/>
    </row>
    <row r="689" ht="20.25" customHeight="1">
      <c r="A689" s="3446"/>
      <c r="B689" s="5143"/>
      <c r="C689" s="3095"/>
      <c r="D689" s="5147"/>
      <c r="E689" s="5187" t="s">
        <v>532</v>
      </c>
      <c r="F689" s="5188"/>
      <c r="G689" s="5188"/>
      <c r="H689" s="5189"/>
      <c r="I689" s="5147"/>
      <c r="J689" s="5187" t="s">
        <v>565</v>
      </c>
      <c r="K689" s="5188"/>
      <c r="L689" s="5188"/>
      <c r="M689" s="5189"/>
      <c r="N689" s="5147"/>
      <c r="O689" s="5187" t="s">
        <v>754</v>
      </c>
      <c r="P689" s="5188"/>
      <c r="Q689" s="5188"/>
      <c r="R689" s="5189"/>
      <c r="S689" s="5147"/>
      <c r="T689" s="5190" t="s">
        <v>566</v>
      </c>
      <c r="U689" s="5191"/>
      <c r="V689" s="5191"/>
      <c r="W689" s="5192"/>
      <c r="X689" s="5147"/>
      <c r="Y689" s="5190" t="s">
        <v>566</v>
      </c>
      <c r="Z689" s="5191"/>
      <c r="AA689" s="5191"/>
      <c r="AB689" s="5192"/>
      <c r="AD689" s="5190" t="s">
        <v>532</v>
      </c>
      <c r="AE689" s="5191"/>
      <c r="AF689" s="5191"/>
      <c r="AG689" s="5192"/>
      <c r="AH689" s="5150"/>
      <c r="AI689" s="3452"/>
    </row>
    <row r="690" ht="20.25" customHeight="1">
      <c r="A690" s="3446"/>
      <c r="B690" s="5143"/>
      <c r="C690" s="3112"/>
      <c r="D690" s="5147"/>
      <c r="E690" s="5193" t="s">
        <v>1493</v>
      </c>
      <c r="F690" s="5194"/>
      <c r="G690" s="5194"/>
      <c r="H690" s="5195"/>
      <c r="I690" s="5147"/>
      <c r="J690" s="5193" t="s">
        <v>681</v>
      </c>
      <c r="K690" s="5194"/>
      <c r="L690" s="5194"/>
      <c r="M690" s="5195"/>
      <c r="N690" s="5147"/>
      <c r="O690" s="5193" t="s">
        <v>86</v>
      </c>
      <c r="P690" s="5194"/>
      <c r="Q690" s="5194"/>
      <c r="R690" s="5195"/>
      <c r="S690" s="5147"/>
      <c r="T690" s="5196" t="s">
        <v>1559</v>
      </c>
      <c r="U690" s="5167"/>
      <c r="V690" s="5167"/>
      <c r="W690" s="5168"/>
      <c r="X690" s="5147"/>
      <c r="Y690" s="5196" t="s">
        <v>1559</v>
      </c>
      <c r="Z690" s="5167"/>
      <c r="AA690" s="5167"/>
      <c r="AB690" s="5168"/>
      <c r="AD690" s="5196" t="s">
        <v>1559</v>
      </c>
      <c r="AE690" s="5167"/>
      <c r="AF690" s="5167"/>
      <c r="AG690" s="5168"/>
      <c r="AH690" s="5150"/>
      <c r="AI690" s="3452"/>
    </row>
    <row r="691" ht="20.25" customHeight="1">
      <c r="A691" s="3446"/>
      <c r="B691" s="5136"/>
      <c r="C691" s="5197"/>
      <c r="D691" s="5198"/>
      <c r="E691" s="5199" t="s">
        <v>573</v>
      </c>
      <c r="F691" s="5140"/>
      <c r="G691" s="5141"/>
      <c r="H691" s="5200" t="str">
        <f>IMAGE("https://raw.githubusercontent.com/msikma/pokesprite/master/items/hold-item/focus-sash.png",3)</f>
        <v/>
      </c>
      <c r="I691" s="5147"/>
      <c r="J691" s="5199" t="s">
        <v>537</v>
      </c>
      <c r="K691" s="5140"/>
      <c r="L691" s="5141"/>
      <c r="M691" s="5200" t="str">
        <f>IMAGE("https://raw.githubusercontent.com/msikma/pokesprite/master/items/berry/sitrus.png",3)</f>
        <v/>
      </c>
      <c r="N691" s="5147"/>
      <c r="O691" s="5199" t="s">
        <v>713</v>
      </c>
      <c r="P691" s="5140"/>
      <c r="Q691" s="5141"/>
      <c r="R691" s="5200" t="str">
        <f>IMAGE("https://raw.githubusercontent.com/msikma/pokesprite/master/items/hold-item/assault-vest.png",3)</f>
        <v/>
      </c>
      <c r="S691" s="5147"/>
      <c r="T691" s="5201" t="s">
        <v>713</v>
      </c>
      <c r="U691" s="5202"/>
      <c r="V691" s="5203"/>
      <c r="W691" s="5204" t="str">
        <f>IMAGE("https://raw.githubusercontent.com/msikma/pokesprite/master/items/hold-item/assault-vest.png",3)</f>
        <v/>
      </c>
      <c r="X691" s="5147"/>
      <c r="Y691" s="5201" t="s">
        <v>859</v>
      </c>
      <c r="Z691" s="5202"/>
      <c r="AA691" s="5203"/>
      <c r="AB691" s="5204" t="str">
        <f>IMAGE("https://raw.githubusercontent.com/msikma/pokesprite/master/items/gem/normal.png",3)</f>
        <v/>
      </c>
      <c r="AD691" s="5201" t="s">
        <v>1571</v>
      </c>
      <c r="AE691" s="5202"/>
      <c r="AF691" s="5203"/>
      <c r="AG691" s="5204" t="str">
        <f>IMAGE("https://raw.githubusercontent.com/msikma/pokesprite/master/items/z-crystals/electrium-z--held.png",3)</f>
        <v/>
      </c>
      <c r="AH691" s="5180"/>
      <c r="AI691" s="3452"/>
    </row>
    <row r="692" ht="20.25" customHeight="1">
      <c r="A692" s="3446"/>
      <c r="B692" s="5136"/>
      <c r="C692" s="5205"/>
      <c r="D692" s="5206"/>
      <c r="E692" s="5187" t="s">
        <v>1572</v>
      </c>
      <c r="F692" s="5188"/>
      <c r="G692" s="5207"/>
      <c r="H692" s="5208" t="str">
        <f>IMAGE("https://raw.githubusercontent.com/msikma/pokesprite/master/misc/types/gen8/grass.png",4,20,20)</f>
        <v/>
      </c>
      <c r="I692" s="5198"/>
      <c r="J692" s="5187" t="s">
        <v>1572</v>
      </c>
      <c r="K692" s="5188"/>
      <c r="L692" s="5207"/>
      <c r="M692" s="5208" t="str">
        <f>IMAGE("https://raw.githubusercontent.com/msikma/pokesprite/master/misc/types/gen8/grass.png",4,20,20)</f>
        <v/>
      </c>
      <c r="N692" s="5198"/>
      <c r="O692" s="5187" t="s">
        <v>1572</v>
      </c>
      <c r="P692" s="5188"/>
      <c r="Q692" s="5207"/>
      <c r="R692" s="5208" t="str">
        <f>IMAGE("https://raw.githubusercontent.com/msikma/pokesprite/master/misc/types/gen8/grass.png",4,20,20)</f>
        <v/>
      </c>
      <c r="S692" s="5198"/>
      <c r="T692" s="5190" t="s">
        <v>719</v>
      </c>
      <c r="U692" s="5191"/>
      <c r="V692" s="5209"/>
      <c r="W692" s="5210" t="str">
        <f>IMAGE("https://raw.githubusercontent.com/msikma/pokesprite/master/misc/types/gen8/dragon.png",4,20,20)</f>
        <v/>
      </c>
      <c r="X692" s="5198"/>
      <c r="Y692" s="5190" t="s">
        <v>1487</v>
      </c>
      <c r="Z692" s="5191"/>
      <c r="AA692" s="5209"/>
      <c r="AB692" s="5210" t="str">
        <f>IMAGE("https://raw.githubusercontent.com/msikma/pokesprite/master/misc/types/gen8/normal.png",4,20,20)</f>
        <v/>
      </c>
      <c r="AD692" s="5190" t="s">
        <v>1573</v>
      </c>
      <c r="AE692" s="5191"/>
      <c r="AF692" s="5209"/>
      <c r="AG692" s="5210" t="str">
        <f>IMAGE("https://raw.githubusercontent.com/msikma/pokesprite/master/misc/types/gen8/electric.png",4,20,20)</f>
        <v/>
      </c>
      <c r="AH692" s="5180"/>
      <c r="AI692" s="3452"/>
    </row>
    <row r="693" ht="20.25" customHeight="1">
      <c r="A693" s="3446"/>
      <c r="B693" s="5136"/>
      <c r="C693" s="5211"/>
      <c r="D693" s="5198"/>
      <c r="E693" s="5193" t="s">
        <v>1457</v>
      </c>
      <c r="F693" s="5194"/>
      <c r="G693" s="5212"/>
      <c r="H693" s="5213" t="str">
        <f>IMAGE("https://raw.githubusercontent.com/msikma/pokesprite/master/misc/types/gen8/normal.png",4,20,20)</f>
        <v/>
      </c>
      <c r="I693" s="5206"/>
      <c r="J693" s="5193" t="s">
        <v>1457</v>
      </c>
      <c r="K693" s="5194"/>
      <c r="L693" s="5212"/>
      <c r="M693" s="5213" t="str">
        <f>IMAGE("https://raw.githubusercontent.com/msikma/pokesprite/master/misc/types/gen8/normal.png",4,20,20)</f>
        <v/>
      </c>
      <c r="N693" s="5206"/>
      <c r="O693" s="5193" t="s">
        <v>641</v>
      </c>
      <c r="P693" s="5194"/>
      <c r="Q693" s="5212"/>
      <c r="R693" s="5213" t="str">
        <f>IMAGE("https://raw.githubusercontent.com/msikma/pokesprite/master/misc/types/gen8/fairy.png",4,20,20)</f>
        <v/>
      </c>
      <c r="S693" s="5206"/>
      <c r="T693" s="5196" t="s">
        <v>1020</v>
      </c>
      <c r="U693" s="5167"/>
      <c r="V693" s="5214"/>
      <c r="W693" s="5215" t="str">
        <f>IMAGE("https://raw.githubusercontent.com/msikma/pokesprite/master/misc/types/gen8/fire.png",4,20,20)</f>
        <v/>
      </c>
      <c r="X693" s="5206"/>
      <c r="Y693" s="5196" t="s">
        <v>622</v>
      </c>
      <c r="Z693" s="5167"/>
      <c r="AA693" s="5214"/>
      <c r="AB693" s="5215" t="str">
        <f>IMAGE("https://raw.githubusercontent.com/msikma/pokesprite/master/misc/types/gen8/ground.png",4,20,20)</f>
        <v/>
      </c>
      <c r="AD693" s="5196" t="s">
        <v>694</v>
      </c>
      <c r="AE693" s="5167"/>
      <c r="AF693" s="5214"/>
      <c r="AG693" s="5215" t="str">
        <f>IMAGE("https://raw.githubusercontent.com/msikma/pokesprite/master/misc/types/gen8/fire.png",4,20,20)</f>
        <v/>
      </c>
      <c r="AH693" s="5180"/>
      <c r="AI693" s="3452"/>
    </row>
    <row r="694" ht="20.25" customHeight="1">
      <c r="A694" s="3446"/>
      <c r="B694" s="5136"/>
      <c r="C694" s="5211"/>
      <c r="D694" s="5198"/>
      <c r="E694" s="5193" t="s">
        <v>830</v>
      </c>
      <c r="F694" s="5194"/>
      <c r="G694" s="5212"/>
      <c r="H694" s="5213" t="str">
        <f>IMAGE("https://raw.githubusercontent.com/msikma/pokesprite/master/misc/types/gen8/bug.png",4,20,20)</f>
        <v/>
      </c>
      <c r="I694" s="5198"/>
      <c r="J694" s="5193" t="s">
        <v>644</v>
      </c>
      <c r="K694" s="5194"/>
      <c r="L694" s="5212"/>
      <c r="M694" s="5213" t="str">
        <f>IMAGE("https://raw.githubusercontent.com/msikma/pokesprite/master/misc/types/gen8/ground.png",4,20,20)</f>
        <v/>
      </c>
      <c r="N694" s="5198"/>
      <c r="O694" s="5193" t="s">
        <v>1457</v>
      </c>
      <c r="P694" s="5194"/>
      <c r="Q694" s="5212"/>
      <c r="R694" s="5213" t="str">
        <f>IMAGE("https://raw.githubusercontent.com/msikma/pokesprite/master/misc/types/gen8/normal.png",4,20,20)</f>
        <v/>
      </c>
      <c r="S694" s="5198"/>
      <c r="T694" s="5196" t="s">
        <v>548</v>
      </c>
      <c r="U694" s="5167"/>
      <c r="V694" s="5214"/>
      <c r="W694" s="5215" t="str">
        <f>IMAGE("https://raw.githubusercontent.com/msikma/pokesprite/master/misc/types/gen8/fighting.png",4,20,20)</f>
        <v/>
      </c>
      <c r="X694" s="5198"/>
      <c r="Y694" s="5196" t="s">
        <v>741</v>
      </c>
      <c r="Z694" s="5167"/>
      <c r="AA694" s="5214"/>
      <c r="AB694" s="5215" t="str">
        <f>IMAGE("https://raw.githubusercontent.com/msikma/pokesprite/master/misc/types/gen8/psychic.png",4,20,20)</f>
        <v/>
      </c>
      <c r="AD694" s="5196" t="s">
        <v>879</v>
      </c>
      <c r="AE694" s="5167"/>
      <c r="AF694" s="5214"/>
      <c r="AG694" s="5215" t="str">
        <f>IMAGE("https://raw.githubusercontent.com/msikma/pokesprite/master/misc/types/gen8/fighting.png",4,20,20)</f>
        <v/>
      </c>
      <c r="AH694" s="5180"/>
      <c r="AI694" s="3452"/>
    </row>
    <row r="695" ht="21.0" customHeight="1">
      <c r="A695" s="3446"/>
      <c r="B695" s="5136"/>
      <c r="C695" s="5211"/>
      <c r="D695" s="5198"/>
      <c r="E695" s="5216" t="s">
        <v>1497</v>
      </c>
      <c r="F695" s="5217"/>
      <c r="G695" s="5218"/>
      <c r="H695" s="5219" t="str">
        <f>IMAGE("https://raw.githubusercontent.com/msikma/pokesprite/master/misc/types/gen8/normal.png",4,20,20)</f>
        <v/>
      </c>
      <c r="I695" s="5198"/>
      <c r="J695" s="5216" t="s">
        <v>699</v>
      </c>
      <c r="K695" s="5217"/>
      <c r="L695" s="5218"/>
      <c r="M695" s="5219" t="str">
        <f>IMAGE("https://raw.githubusercontent.com/msikma/pokesprite/master/misc/types/gen8/fire.png",4,20,20)</f>
        <v/>
      </c>
      <c r="N695" s="5198"/>
      <c r="O695" s="5216" t="s">
        <v>671</v>
      </c>
      <c r="P695" s="5217"/>
      <c r="Q695" s="5218"/>
      <c r="R695" s="5219" t="str">
        <f>IMAGE("https://raw.githubusercontent.com/msikma/pokesprite/master/misc/types/gen8/fire.png",4,20,20)</f>
        <v/>
      </c>
      <c r="S695" s="5198"/>
      <c r="T695" s="5220" t="s">
        <v>616</v>
      </c>
      <c r="U695" s="5221"/>
      <c r="V695" s="5222"/>
      <c r="W695" s="5223" t="str">
        <f>IMAGE("https://raw.githubusercontent.com/msikma/pokesprite/master/misc/types/gen8/grass.png",4,20,20)</f>
        <v/>
      </c>
      <c r="X695" s="5198"/>
      <c r="Y695" s="5220" t="s">
        <v>583</v>
      </c>
      <c r="Z695" s="5221"/>
      <c r="AA695" s="5222"/>
      <c r="AB695" s="5223" t="str">
        <f>IMAGE("https://raw.githubusercontent.com/msikma/pokesprite/master/misc/types/gen8/fighting.png",4,20,20)</f>
        <v/>
      </c>
      <c r="AC695" s="5224"/>
      <c r="AD695" s="5220" t="s">
        <v>1497</v>
      </c>
      <c r="AE695" s="5221"/>
      <c r="AF695" s="5222"/>
      <c r="AG695" s="5223" t="str">
        <f>IMAGE("https://raw.githubusercontent.com/msikma/pokesprite/master/misc/types/gen8/normal.png",4,20,20)</f>
        <v/>
      </c>
      <c r="AH695" s="5180"/>
      <c r="AI695" s="3452"/>
    </row>
    <row r="696" ht="3.0" customHeight="1">
      <c r="A696" s="3524"/>
      <c r="B696" s="5225"/>
      <c r="C696" s="5226"/>
      <c r="D696" s="5227"/>
      <c r="E696" s="5228"/>
      <c r="F696" s="5228"/>
      <c r="G696" s="5228"/>
      <c r="H696" s="5229"/>
      <c r="I696" s="5138"/>
      <c r="J696" s="5230"/>
      <c r="K696" s="5230"/>
      <c r="L696" s="5230"/>
      <c r="M696" s="5230"/>
      <c r="N696" s="5138"/>
      <c r="O696" s="5230"/>
      <c r="P696" s="5230"/>
      <c r="Q696" s="5230"/>
      <c r="R696" s="5230"/>
      <c r="S696" s="5138"/>
      <c r="T696" s="5230"/>
      <c r="U696" s="5230"/>
      <c r="V696" s="5230"/>
      <c r="W696" s="5228"/>
      <c r="X696" s="5138"/>
      <c r="Y696" s="5231"/>
      <c r="Z696" s="5231"/>
      <c r="AA696" s="5231"/>
      <c r="AB696" s="5232"/>
      <c r="AC696" s="5233"/>
      <c r="AD696" s="5231"/>
      <c r="AE696" s="5231"/>
      <c r="AF696" s="5231"/>
      <c r="AG696" s="5232"/>
      <c r="AH696" s="5234"/>
      <c r="AI696" s="3534"/>
    </row>
    <row r="697" ht="16.5" customHeight="1">
      <c r="A697" s="3535"/>
      <c r="B697" s="5235"/>
      <c r="C697" s="5236"/>
      <c r="D697" s="5237"/>
      <c r="E697" s="5238" t="s">
        <v>512</v>
      </c>
      <c r="F697" s="606"/>
      <c r="G697" s="606"/>
      <c r="H697" s="607"/>
      <c r="I697" s="5239"/>
      <c r="J697" s="5238" t="s">
        <v>512</v>
      </c>
      <c r="K697" s="606"/>
      <c r="L697" s="606"/>
      <c r="M697" s="607"/>
      <c r="N697" s="5240"/>
      <c r="O697" s="5238" t="s">
        <v>512</v>
      </c>
      <c r="P697" s="606"/>
      <c r="Q697" s="606"/>
      <c r="R697" s="607"/>
      <c r="S697" s="5240"/>
      <c r="T697" s="5241" t="s">
        <v>512</v>
      </c>
      <c r="U697" s="606"/>
      <c r="V697" s="606"/>
      <c r="W697" s="607"/>
      <c r="X697" s="5239"/>
      <c r="Y697" s="5241" t="s">
        <v>512</v>
      </c>
      <c r="Z697" s="606"/>
      <c r="AA697" s="606"/>
      <c r="AB697" s="607"/>
      <c r="AC697" s="5242"/>
      <c r="AD697" s="5241" t="s">
        <v>512</v>
      </c>
      <c r="AE697" s="606"/>
      <c r="AF697" s="606"/>
      <c r="AG697" s="607"/>
      <c r="AH697" s="5243"/>
      <c r="AI697" s="3543"/>
    </row>
    <row r="698" ht="16.5" customHeight="1">
      <c r="A698" s="3535"/>
      <c r="B698" s="5235"/>
      <c r="C698" s="5236"/>
      <c r="D698" s="5237"/>
      <c r="E698" s="5244" t="s">
        <v>513</v>
      </c>
      <c r="F698" s="5245">
        <f t="array" ref="F698">IFERROR(VLOOKUP(E685,Dex!$B$3:$N1361,8,FALSE),"")</f>
        <v>70</v>
      </c>
      <c r="G698" s="5246" t="str">
        <f t="array" ref="G698">IFERROR(VLOOKUP(F698,Dex!$P$22:$Q$276,2,FALSE),"")</f>
        <v/>
      </c>
      <c r="H698" s="5247"/>
      <c r="I698" s="5237"/>
      <c r="J698" s="5244" t="s">
        <v>513</v>
      </c>
      <c r="K698" s="5245">
        <f t="array" ref="K698">IFERROR(VLOOKUP(J685,Dex!$B$3:$N1361,8,FALSE),"")</f>
        <v>80</v>
      </c>
      <c r="L698" s="5246" t="str">
        <f t="array" ref="L698">IFERROR(VLOOKUP(K698,Dex!$P$22:$Q$276,2,FALSE),"")</f>
        <v/>
      </c>
      <c r="M698" s="5247"/>
      <c r="N698" s="5248"/>
      <c r="O698" s="5244" t="s">
        <v>513</v>
      </c>
      <c r="P698" s="5245">
        <f t="array" ref="P698">IFERROR(VLOOKUP(O685,Dex!$B$3:$N1361,8,FALSE),"")</f>
        <v>78</v>
      </c>
      <c r="Q698" s="5246" t="str">
        <f t="array" ref="Q698">IFERROR(VLOOKUP(P698,Dex!$P$22:$Q$276,2,FALSE),"")</f>
        <v/>
      </c>
      <c r="R698" s="5247"/>
      <c r="S698" s="5248"/>
      <c r="T698" s="5249" t="s">
        <v>513</v>
      </c>
      <c r="U698" s="5250">
        <f t="array" ref="U698">IFERROR(VLOOKUP(T685,Dex!$B$3:$N1361,8,FALSE),"")</f>
        <v>90</v>
      </c>
      <c r="V698" s="5251" t="str">
        <f t="array" ref="V698">IFERROR(VLOOKUP(U698,Dex!$P$22:$Q$276,2,FALSE),"")</f>
        <v/>
      </c>
      <c r="W698" s="5252"/>
      <c r="X698" s="5237"/>
      <c r="Y698" s="5249" t="s">
        <v>513</v>
      </c>
      <c r="Z698" s="5250">
        <f t="array" ref="Z698">IFERROR(VLOOKUP(Y685,Dex!$B$3:$N1361,8,FALSE),"")</f>
        <v>100</v>
      </c>
      <c r="AA698" s="5251" t="str">
        <f t="array" ref="AA698">IFERROR(VLOOKUP(Z698,Dex!$P$22:$Q$276,2,FALSE),"")</f>
        <v/>
      </c>
      <c r="AB698" s="5252"/>
      <c r="AC698" s="5253"/>
      <c r="AD698" s="5249" t="s">
        <v>513</v>
      </c>
      <c r="AE698" s="5250">
        <f t="array" ref="AE698">IFERROR(VLOOKUP(AD685,Dex!$B$3:$N1361,8,FALSE),"")</f>
        <v>75</v>
      </c>
      <c r="AF698" s="5251" t="str">
        <f t="array" ref="AF698">IFERROR(VLOOKUP(AE698,Dex!$P$22:$Q$276,2,FALSE),"")</f>
        <v/>
      </c>
      <c r="AG698" s="5252"/>
      <c r="AH698" s="5243"/>
      <c r="AI698" s="3543"/>
    </row>
    <row r="699" ht="16.5" customHeight="1">
      <c r="A699" s="3535"/>
      <c r="B699" s="5235"/>
      <c r="C699" s="5236"/>
      <c r="D699" s="5237"/>
      <c r="E699" s="5254" t="s">
        <v>514</v>
      </c>
      <c r="F699" s="5255">
        <f t="array" ref="F699">IFERROR(VLOOKUP(E685,Dex!$B$3:$N1361,9,FALSE),"")</f>
        <v>100</v>
      </c>
      <c r="G699" s="5256" t="str">
        <f t="array" ref="G699">IFERROR(VLOOKUP(F699,Dex!$P$22:$Q$276,2,FALSE),"")</f>
        <v/>
      </c>
      <c r="H699" s="5257"/>
      <c r="I699" s="5237"/>
      <c r="J699" s="5254" t="s">
        <v>514</v>
      </c>
      <c r="K699" s="5255">
        <f t="array" ref="K699">IFERROR(VLOOKUP(J685,Dex!$B$3:$N1361,9,FALSE),"")</f>
        <v>82</v>
      </c>
      <c r="L699" s="5256" t="str">
        <f t="array" ref="L699">IFERROR(VLOOKUP(K699,Dex!$P$22:$Q$276,2,FALSE),"")</f>
        <v/>
      </c>
      <c r="M699" s="5257"/>
      <c r="N699" s="5248"/>
      <c r="O699" s="5254" t="s">
        <v>514</v>
      </c>
      <c r="P699" s="5255">
        <f t="array" ref="P699">IFERROR(VLOOKUP(O685,Dex!$B$3:$N1361,9,FALSE),"")</f>
        <v>65</v>
      </c>
      <c r="Q699" s="5256" t="str">
        <f t="array" ref="Q699">IFERROR(VLOOKUP(P699,Dex!$P$22:$Q$276,2,FALSE),"")</f>
        <v/>
      </c>
      <c r="R699" s="5257"/>
      <c r="S699" s="5248"/>
      <c r="T699" s="5258" t="s">
        <v>514</v>
      </c>
      <c r="U699" s="5259">
        <f t="array" ref="U699">IFERROR(VLOOKUP(T685,Dex!$B$3:$N1361,9,FALSE),"")</f>
        <v>100</v>
      </c>
      <c r="V699" s="5260" t="str">
        <f t="array" ref="V699">IFERROR(VLOOKUP(U699,Dex!$P$22:$Q$276,2,FALSE),"")</f>
        <v/>
      </c>
      <c r="W699" s="5261"/>
      <c r="X699" s="5237"/>
      <c r="Y699" s="5258" t="s">
        <v>514</v>
      </c>
      <c r="Z699" s="5259">
        <f t="array" ref="Z699">IFERROR(VLOOKUP(Y685,Dex!$B$3:$N1361,9,FALSE),"")</f>
        <v>110</v>
      </c>
      <c r="AA699" s="5260" t="str">
        <f t="array" ref="AA699">IFERROR(VLOOKUP(Z699,Dex!$P$22:$Q$276,2,FALSE),"")</f>
        <v/>
      </c>
      <c r="AB699" s="5261"/>
      <c r="AC699" s="5253"/>
      <c r="AD699" s="5258" t="s">
        <v>514</v>
      </c>
      <c r="AE699" s="5259">
        <f t="array" ref="AE699">IFERROR(VLOOKUP(AD685,Dex!$B$3:$N1361,9,FALSE),"")</f>
        <v>100</v>
      </c>
      <c r="AF699" s="5260" t="str">
        <f t="array" ref="AF699">IFERROR(VLOOKUP(AE699,Dex!$P$22:$Q$276,2,FALSE),"")</f>
        <v/>
      </c>
      <c r="AG699" s="5261"/>
      <c r="AH699" s="5243"/>
      <c r="AI699" s="3543"/>
    </row>
    <row r="700" ht="16.5" customHeight="1">
      <c r="A700" s="3535"/>
      <c r="B700" s="5235"/>
      <c r="C700" s="5236"/>
      <c r="D700" s="5237"/>
      <c r="E700" s="5254" t="s">
        <v>515</v>
      </c>
      <c r="F700" s="5255">
        <f t="array" ref="F700">IFERROR(VLOOKUP(E685,Dex!$B$3:$N1361,10,FALSE),"")</f>
        <v>70</v>
      </c>
      <c r="G700" s="5256" t="str">
        <f t="array" ref="G700">IFERROR(VLOOKUP(F700,Dex!$P$22:$Q$276,2,FALSE),"")</f>
        <v/>
      </c>
      <c r="H700" s="5257"/>
      <c r="I700" s="5237"/>
      <c r="J700" s="5254" t="s">
        <v>515</v>
      </c>
      <c r="K700" s="5255">
        <f t="array" ref="K700">IFERROR(VLOOKUP(J685,Dex!$B$3:$N1361,10,FALSE),"")</f>
        <v>83</v>
      </c>
      <c r="L700" s="5256" t="str">
        <f t="array" ref="L700">IFERROR(VLOOKUP(K700,Dex!$P$22:$Q$276,2,FALSE),"")</f>
        <v/>
      </c>
      <c r="M700" s="5257"/>
      <c r="N700" s="5248"/>
      <c r="O700" s="5254" t="s">
        <v>515</v>
      </c>
      <c r="P700" s="5255">
        <f t="array" ref="P700">IFERROR(VLOOKUP(O685,Dex!$B$3:$N1361,10,FALSE),"")</f>
        <v>68</v>
      </c>
      <c r="Q700" s="5256" t="str">
        <f t="array" ref="Q700">IFERROR(VLOOKUP(P700,Dex!$P$22:$Q$276,2,FALSE),"")</f>
        <v/>
      </c>
      <c r="R700" s="5257"/>
      <c r="S700" s="5248"/>
      <c r="T700" s="5258" t="s">
        <v>515</v>
      </c>
      <c r="U700" s="5259">
        <f t="array" ref="U700">IFERROR(VLOOKUP(T685,Dex!$B$3:$N1361,10,FALSE),"")</f>
        <v>70</v>
      </c>
      <c r="V700" s="5260" t="str">
        <f t="array" ref="V700">IFERROR(VLOOKUP(U700,Dex!$P$22:$Q$276,2,FALSE),"")</f>
        <v/>
      </c>
      <c r="W700" s="5261"/>
      <c r="X700" s="5237"/>
      <c r="Y700" s="5258" t="s">
        <v>515</v>
      </c>
      <c r="Z700" s="5259">
        <f t="array" ref="Z700">IFERROR(VLOOKUP(Y685,Dex!$B$3:$N1361,10,FALSE),"")</f>
        <v>95</v>
      </c>
      <c r="AA700" s="5260" t="str">
        <f t="array" ref="AA700">IFERROR(VLOOKUP(Z700,Dex!$P$22:$Q$276,2,FALSE),"")</f>
        <v/>
      </c>
      <c r="AB700" s="5261"/>
      <c r="AC700" s="5253"/>
      <c r="AD700" s="5258" t="s">
        <v>515</v>
      </c>
      <c r="AE700" s="5259">
        <f t="array" ref="AE700">IFERROR(VLOOKUP(AD685,Dex!$B$3:$N1361,10,FALSE),"")</f>
        <v>63</v>
      </c>
      <c r="AF700" s="5260" t="str">
        <f t="array" ref="AF700">IFERROR(VLOOKUP(AE700,Dex!$P$22:$Q$276,2,FALSE),"")</f>
        <v/>
      </c>
      <c r="AG700" s="5261"/>
      <c r="AH700" s="5243"/>
      <c r="AI700" s="3543"/>
    </row>
    <row r="701" ht="16.5" customHeight="1">
      <c r="A701" s="3535"/>
      <c r="B701" s="5235"/>
      <c r="C701" s="5236"/>
      <c r="D701" s="5237"/>
      <c r="E701" s="5254" t="s">
        <v>516</v>
      </c>
      <c r="F701" s="5255">
        <f t="array" ref="F701">IFERROR(VLOOKUP(E685,Dex!$B$3:$N1361,11,FALSE),"")</f>
        <v>60</v>
      </c>
      <c r="G701" s="5256" t="str">
        <f t="array" ref="G701">IFERROR(VLOOKUP(F701,Dex!$P$22:$Q$276,2,FALSE),"")</f>
        <v/>
      </c>
      <c r="H701" s="5257"/>
      <c r="I701" s="5237"/>
      <c r="J701" s="5254" t="s">
        <v>516</v>
      </c>
      <c r="K701" s="5255">
        <f t="array" ref="K701">IFERROR(VLOOKUP(J685,Dex!$B$3:$N1361,11,FALSE),"")</f>
        <v>100</v>
      </c>
      <c r="L701" s="5256" t="str">
        <f t="array" ref="L701">IFERROR(VLOOKUP(K701,Dex!$P$22:$Q$276,2,FALSE),"")</f>
        <v/>
      </c>
      <c r="M701" s="5257"/>
      <c r="N701" s="5248"/>
      <c r="O701" s="5254" t="s">
        <v>516</v>
      </c>
      <c r="P701" s="5255">
        <f t="array" ref="P701">IFERROR(VLOOKUP(O685,Dex!$B$3:$N1361,11,FALSE),"")</f>
        <v>112</v>
      </c>
      <c r="Q701" s="5256" t="str">
        <f t="array" ref="Q701">IFERROR(VLOOKUP(P701,Dex!$P$22:$Q$276,2,FALSE),"")</f>
        <v/>
      </c>
      <c r="R701" s="5257"/>
      <c r="S701" s="5248"/>
      <c r="T701" s="5258" t="s">
        <v>516</v>
      </c>
      <c r="U701" s="5259">
        <f t="array" ref="U701">IFERROR(VLOOKUP(T685,Dex!$B$3:$N1361,11,FALSE),"")</f>
        <v>110</v>
      </c>
      <c r="V701" s="5260" t="str">
        <f t="array" ref="V701">IFERROR(VLOOKUP(U701,Dex!$P$22:$Q$276,2,FALSE),"")</f>
        <v/>
      </c>
      <c r="W701" s="5261"/>
      <c r="X701" s="5237"/>
      <c r="Y701" s="5258" t="s">
        <v>516</v>
      </c>
      <c r="Z701" s="5259">
        <f t="array" ref="Z701">IFERROR(VLOOKUP(Y685,Dex!$B$3:$N1361,11,FALSE),"")</f>
        <v>40</v>
      </c>
      <c r="AA701" s="5260" t="str">
        <f t="array" ref="AA701">IFERROR(VLOOKUP(Z701,Dex!$P$22:$Q$276,2,FALSE),"")</f>
        <v/>
      </c>
      <c r="AB701" s="5261"/>
      <c r="AC701" s="5253"/>
      <c r="AD701" s="5258" t="s">
        <v>516</v>
      </c>
      <c r="AE701" s="5259">
        <f t="array" ref="AE701">IFERROR(VLOOKUP(AD685,Dex!$B$3:$N1361,11,FALSE),"")</f>
        <v>80</v>
      </c>
      <c r="AF701" s="5260" t="str">
        <f t="array" ref="AF701">IFERROR(VLOOKUP(AE701,Dex!$P$22:$Q$276,2,FALSE),"")</f>
        <v/>
      </c>
      <c r="AG701" s="5261"/>
      <c r="AH701" s="5243"/>
      <c r="AI701" s="3543"/>
    </row>
    <row r="702" ht="16.5" customHeight="1">
      <c r="A702" s="3535"/>
      <c r="B702" s="5235"/>
      <c r="C702" s="5236"/>
      <c r="D702" s="5237"/>
      <c r="E702" s="5254" t="s">
        <v>517</v>
      </c>
      <c r="F702" s="5255">
        <f t="array" ref="F702">IFERROR(VLOOKUP(E685,Dex!$B$3:$N1361,12,FALSE),"")</f>
        <v>78</v>
      </c>
      <c r="G702" s="5256" t="str">
        <f t="array" ref="G702">IFERROR(VLOOKUP(F702,Dex!$P$22:$Q$276,2,FALSE),"")</f>
        <v/>
      </c>
      <c r="H702" s="5257"/>
      <c r="I702" s="5237"/>
      <c r="J702" s="5254" t="s">
        <v>517</v>
      </c>
      <c r="K702" s="5255">
        <f t="array" ref="K702">IFERROR(VLOOKUP(J685,Dex!$B$3:$N1361,12,FALSE),"")</f>
        <v>100</v>
      </c>
      <c r="L702" s="5256" t="str">
        <f t="array" ref="L702">IFERROR(VLOOKUP(K702,Dex!$P$22:$Q$276,2,FALSE),"")</f>
        <v/>
      </c>
      <c r="M702" s="5257"/>
      <c r="N702" s="5248"/>
      <c r="O702" s="5254" t="s">
        <v>517</v>
      </c>
      <c r="P702" s="5255">
        <f t="array" ref="P702">IFERROR(VLOOKUP(O685,Dex!$B$3:$N1361,12,FALSE),"")</f>
        <v>154</v>
      </c>
      <c r="Q702" s="5256" t="str">
        <f t="array" ref="Q702">IFERROR(VLOOKUP(P702,Dex!$P$22:$Q$276,2,FALSE),"")</f>
        <v/>
      </c>
      <c r="R702" s="5257"/>
      <c r="S702" s="5248"/>
      <c r="T702" s="5258" t="s">
        <v>517</v>
      </c>
      <c r="U702" s="5259">
        <f t="array" ref="U702">IFERROR(VLOOKUP(T685,Dex!$B$3:$N1361,12,FALSE),"")</f>
        <v>150</v>
      </c>
      <c r="V702" s="5260" t="str">
        <f t="array" ref="V702">IFERROR(VLOOKUP(U702,Dex!$P$22:$Q$276,2,FALSE),"")</f>
        <v/>
      </c>
      <c r="W702" s="5261"/>
      <c r="X702" s="5237"/>
      <c r="Y702" s="5258" t="s">
        <v>517</v>
      </c>
      <c r="Z702" s="5259">
        <f t="array" ref="Z702">IFERROR(VLOOKUP(Y685,Dex!$B$3:$N1361,12,FALSE),"")</f>
        <v>95</v>
      </c>
      <c r="AA702" s="5260" t="str">
        <f t="array" ref="AA702">IFERROR(VLOOKUP(Z702,Dex!$P$22:$Q$276,2,FALSE),"")</f>
        <v/>
      </c>
      <c r="AB702" s="5261"/>
      <c r="AC702" s="5253"/>
      <c r="AD702" s="5258" t="s">
        <v>517</v>
      </c>
      <c r="AE702" s="5259">
        <f t="array" ref="AE702">IFERROR(VLOOKUP(AD685,Dex!$B$3:$N1361,12,FALSE),"")</f>
        <v>63</v>
      </c>
      <c r="AF702" s="5260" t="str">
        <f t="array" ref="AF702">IFERROR(VLOOKUP(AE702,Dex!$P$22:$Q$276,2,FALSE),"")</f>
        <v/>
      </c>
      <c r="AG702" s="5261"/>
      <c r="AH702" s="5243"/>
      <c r="AI702" s="3543"/>
    </row>
    <row r="703" ht="16.5" customHeight="1">
      <c r="A703" s="3535"/>
      <c r="B703" s="5235"/>
      <c r="C703" s="1426" t="s">
        <v>745</v>
      </c>
      <c r="D703" s="5237"/>
      <c r="E703" s="5262" t="s">
        <v>518</v>
      </c>
      <c r="F703" s="5263">
        <f t="array" ref="F703">IFERROR(VLOOKUP(E685,Dex!$B$3:$N1361,13,FALSE),"")</f>
        <v>85</v>
      </c>
      <c r="G703" s="5264" t="str">
        <f t="array" ref="G703">IFERROR(VLOOKUP(F703,Dex!$P$22:$Q$276,2,FALSE),"")</f>
        <v/>
      </c>
      <c r="H703" s="5265"/>
      <c r="I703" s="5237"/>
      <c r="J703" s="5262" t="s">
        <v>518</v>
      </c>
      <c r="K703" s="5263">
        <f t="array" ref="K703">IFERROR(VLOOKUP(J685,Dex!$B$3:$N1361,13,FALSE),"")</f>
        <v>80</v>
      </c>
      <c r="L703" s="5264" t="str">
        <f t="array" ref="L703">IFERROR(VLOOKUP(K703,Dex!$P$22:$Q$276,2,FALSE),"")</f>
        <v/>
      </c>
      <c r="M703" s="5265"/>
      <c r="N703" s="5248"/>
      <c r="O703" s="5262" t="s">
        <v>518</v>
      </c>
      <c r="P703" s="5263">
        <f t="array" ref="P703">IFERROR(VLOOKUP(O685,Dex!$B$3:$N1361,13,FALSE),"")</f>
        <v>75</v>
      </c>
      <c r="Q703" s="5264" t="str">
        <f t="array" ref="Q703">IFERROR(VLOOKUP(P703,Dex!$P$22:$Q$276,2,FALSE),"")</f>
        <v/>
      </c>
      <c r="R703" s="5265"/>
      <c r="S703" s="5248"/>
      <c r="T703" s="5266" t="s">
        <v>518</v>
      </c>
      <c r="U703" s="5267">
        <f t="array" ref="U703">IFERROR(VLOOKUP(T685,Dex!$B$3:$N1361,13,FALSE),"")</f>
        <v>80</v>
      </c>
      <c r="V703" s="5268" t="str">
        <f t="array" ref="V703">IFERROR(VLOOKUP(U703,Dex!$P$22:$Q$276,2,FALSE),"")</f>
        <v/>
      </c>
      <c r="W703" s="5269"/>
      <c r="X703" s="5237"/>
      <c r="Y703" s="5266" t="s">
        <v>518</v>
      </c>
      <c r="Z703" s="5267">
        <f t="array" ref="Z703">IFERROR(VLOOKUP(Y685,Dex!$B$3:$N1361,13,FALSE),"")</f>
        <v>65</v>
      </c>
      <c r="AA703" s="5268" t="str">
        <f t="array" ref="AA703">IFERROR(VLOOKUP(Z703,Dex!$P$22:$Q$276,2,FALSE),"")</f>
        <v/>
      </c>
      <c r="AB703" s="5269"/>
      <c r="AC703" s="5253"/>
      <c r="AD703" s="5266" t="s">
        <v>518</v>
      </c>
      <c r="AE703" s="5267">
        <f t="array" ref="AE703">IFERROR(VLOOKUP(AD685,Dex!$B$3:$N1361,13,FALSE),"")</f>
        <v>116</v>
      </c>
      <c r="AF703" s="5268" t="str">
        <f t="array" ref="AF703">IFERROR(VLOOKUP(AE703,Dex!$P$22:$Q$276,2,FALSE),"")</f>
        <v/>
      </c>
      <c r="AG703" s="5269"/>
      <c r="AH703" s="5243"/>
      <c r="AI703" s="3543"/>
    </row>
    <row r="704" ht="16.5" customHeight="1">
      <c r="A704" s="3535"/>
      <c r="B704" s="5235"/>
      <c r="C704" s="1427" t="s">
        <v>746</v>
      </c>
      <c r="D704" s="5270"/>
      <c r="E704" s="5271" t="s">
        <v>519</v>
      </c>
      <c r="F704" s="630"/>
      <c r="G704" s="631"/>
      <c r="H704" s="632">
        <f>ROUNDDOWN((ROUNDDOWN(((((2*F703+31)*66)/100+5)),0))*1.1,0)</f>
        <v>150</v>
      </c>
      <c r="I704" s="5270"/>
      <c r="J704" s="5272" t="s">
        <v>519</v>
      </c>
      <c r="K704" s="635"/>
      <c r="L704" s="636"/>
      <c r="M704" s="632">
        <f>ROUNDDOWN((ROUNDDOWN(((((2*K703+31)*66)/100+5)),0))*1.1,0)</f>
        <v>144</v>
      </c>
      <c r="N704" s="5270"/>
      <c r="O704" s="5271" t="s">
        <v>519</v>
      </c>
      <c r="P704" s="630"/>
      <c r="Q704" s="631"/>
      <c r="R704" s="632">
        <f>ROUNDDOWN((ROUNDDOWN(((((2*P703+30)*66)/100+5)),0))*1,0)</f>
        <v>123</v>
      </c>
      <c r="S704" s="5270"/>
      <c r="T704" s="5273" t="s">
        <v>519</v>
      </c>
      <c r="U704" s="630"/>
      <c r="V704" s="631"/>
      <c r="W704" s="632">
        <f>ROUNDDOWN((ROUNDDOWN(((((2*U703+31)*66)/100+5)),0))*1,0)</f>
        <v>131</v>
      </c>
      <c r="X704" s="5270"/>
      <c r="Y704" s="5273" t="s">
        <v>519</v>
      </c>
      <c r="Z704" s="630"/>
      <c r="AA704" s="631"/>
      <c r="AB704" s="632">
        <f>ROUNDDOWN((ROUNDDOWN(((((2*Z703+31)*66)/100+5)),0))*1,0)</f>
        <v>111</v>
      </c>
      <c r="AC704" s="5274"/>
      <c r="AD704" s="5273" t="s">
        <v>519</v>
      </c>
      <c r="AE704" s="630"/>
      <c r="AF704" s="631"/>
      <c r="AG704" s="632">
        <f>ROUNDDOWN((ROUNDDOWN(((((2*AE703+31)*67)/100+5)),0))*1.1,0)</f>
        <v>199</v>
      </c>
      <c r="AH704" s="5275"/>
      <c r="AI704" s="3543"/>
    </row>
    <row r="705" ht="16.5" customHeight="1">
      <c r="A705" s="3535"/>
      <c r="B705" s="5235"/>
      <c r="C705" s="5226"/>
      <c r="D705" s="5270"/>
      <c r="E705" s="5276" t="s">
        <v>1498</v>
      </c>
      <c r="F705" s="643"/>
      <c r="G705" s="644"/>
      <c r="H705" s="645">
        <f>ROUNDDOWN(H704*1.5,0)</f>
        <v>225</v>
      </c>
      <c r="I705" s="5270"/>
      <c r="J705" s="5276" t="s">
        <v>700</v>
      </c>
      <c r="K705" s="643"/>
      <c r="L705" s="644"/>
      <c r="M705" s="3064">
        <f>M704*2</f>
        <v>288</v>
      </c>
      <c r="N705" s="5270"/>
      <c r="O705" s="5277"/>
      <c r="P705" s="5277"/>
      <c r="Q705" s="5277"/>
      <c r="R705" s="5226"/>
      <c r="S705" s="5270"/>
      <c r="T705" s="5277"/>
      <c r="U705" s="5277"/>
      <c r="V705" s="5277"/>
      <c r="W705" s="5226"/>
      <c r="X705" s="5270"/>
      <c r="Y705" s="5277"/>
      <c r="Z705" s="5277"/>
      <c r="AA705" s="5277"/>
      <c r="AB705" s="5226"/>
      <c r="AC705" s="5226"/>
      <c r="AD705" s="5278"/>
      <c r="AE705" s="5278"/>
      <c r="AF705" s="5278"/>
      <c r="AG705" s="5279"/>
      <c r="AH705" s="5275"/>
      <c r="AI705" s="3543"/>
    </row>
    <row r="706" ht="15.0" customHeight="1">
      <c r="A706" s="3446"/>
      <c r="B706" s="5280"/>
      <c r="C706" s="5281"/>
      <c r="D706" s="5282"/>
      <c r="E706" s="5283"/>
      <c r="F706" s="5283"/>
      <c r="G706" s="5283"/>
      <c r="H706" s="5283"/>
      <c r="I706" s="5284"/>
      <c r="J706" s="5283"/>
      <c r="K706" s="5283"/>
      <c r="L706" s="5283"/>
      <c r="M706" s="5283"/>
      <c r="N706" s="5284"/>
      <c r="O706" s="5283"/>
      <c r="P706" s="5283"/>
      <c r="Q706" s="5283"/>
      <c r="R706" s="5283"/>
      <c r="S706" s="5284"/>
      <c r="T706" s="5283"/>
      <c r="U706" s="5283"/>
      <c r="V706" s="5283"/>
      <c r="W706" s="5283"/>
      <c r="X706" s="5284"/>
      <c r="Y706" s="5283"/>
      <c r="Z706" s="5283"/>
      <c r="AA706" s="5283"/>
      <c r="AB706" s="5283"/>
      <c r="AC706" s="5282"/>
      <c r="AD706" s="5282"/>
      <c r="AE706" s="5282"/>
      <c r="AF706" s="5282"/>
      <c r="AG706" s="5282"/>
      <c r="AH706" s="5285"/>
      <c r="AI706" s="3452"/>
    </row>
    <row r="707" ht="15.0" customHeight="1">
      <c r="A707" s="3446"/>
      <c r="B707" s="5003"/>
      <c r="C707" s="5004"/>
      <c r="D707" s="5005"/>
      <c r="E707" s="5006"/>
      <c r="F707" s="5006"/>
      <c r="G707" s="5006"/>
      <c r="H707" s="5006"/>
      <c r="I707" s="5006"/>
      <c r="J707" s="5006"/>
      <c r="K707" s="5006"/>
      <c r="L707" s="5006"/>
      <c r="M707" s="5006"/>
      <c r="N707" s="5006"/>
      <c r="O707" s="5006"/>
      <c r="P707" s="5006"/>
      <c r="Q707" s="5006"/>
      <c r="R707" s="5006"/>
      <c r="S707" s="5006"/>
      <c r="T707" s="5006"/>
      <c r="U707" s="5006"/>
      <c r="V707" s="5006"/>
      <c r="W707" s="5006"/>
      <c r="X707" s="5006"/>
      <c r="Y707" s="5006"/>
      <c r="Z707" s="5006"/>
      <c r="AA707" s="5006"/>
      <c r="AB707" s="5006"/>
      <c r="AC707" s="5006"/>
      <c r="AD707" s="5006"/>
      <c r="AE707" s="5006"/>
      <c r="AF707" s="5006"/>
      <c r="AG707" s="5006"/>
      <c r="AH707" s="5007"/>
      <c r="AI707" s="3452"/>
    </row>
    <row r="708">
      <c r="A708" s="3446"/>
      <c r="B708" s="5008"/>
      <c r="C708" s="5009"/>
      <c r="D708" s="5010"/>
      <c r="E708" s="5011" t="s">
        <v>1574</v>
      </c>
      <c r="F708" s="5012"/>
      <c r="G708" s="5012"/>
      <c r="H708" s="5012"/>
      <c r="I708" s="5012"/>
      <c r="J708" s="5012"/>
      <c r="K708" s="5012"/>
      <c r="L708" s="5012"/>
      <c r="M708" s="5012"/>
      <c r="N708" s="5012"/>
      <c r="O708" s="5012"/>
      <c r="P708" s="5012"/>
      <c r="Q708" s="5012"/>
      <c r="R708" s="5012"/>
      <c r="S708" s="5012"/>
      <c r="T708" s="5012"/>
      <c r="U708" s="5012"/>
      <c r="V708" s="5012"/>
      <c r="W708" s="5012"/>
      <c r="X708" s="5012"/>
      <c r="Y708" s="5012"/>
      <c r="Z708" s="5012"/>
      <c r="AA708" s="5012"/>
      <c r="AB708" s="5012"/>
      <c r="AC708" s="5012"/>
      <c r="AD708" s="5012"/>
      <c r="AE708" s="5012"/>
      <c r="AF708" s="5012"/>
      <c r="AG708" s="5013"/>
      <c r="AH708" s="5014"/>
      <c r="AI708" s="3452"/>
    </row>
    <row r="709" ht="96.75" customHeight="1">
      <c r="A709" s="3446"/>
      <c r="B709" s="5015"/>
      <c r="C709" s="5016" t="str">
        <f>IMAGE("https://i.ibb.co/26GFSbd/Bird-Keeper.png")</f>
        <v/>
      </c>
      <c r="D709" s="5017"/>
      <c r="E709" s="5018" t="str">
        <f t="array" ref="E709">IFERROR(VLOOKUP(E710,Dex!$B$3:$G1361,3,FALSE),"")</f>
        <v/>
      </c>
      <c r="F709" s="606"/>
      <c r="G709" s="606"/>
      <c r="H709" s="4452"/>
      <c r="I709" s="5019"/>
      <c r="J709" s="5018" t="str">
        <f t="array" ref="J709">IFERROR(VLOOKUP(J710,Dex!$B$3:$G1361,3,FALSE),"")</f>
        <v/>
      </c>
      <c r="K709" s="606"/>
      <c r="L709" s="606"/>
      <c r="M709" s="4452"/>
      <c r="N709" s="5019"/>
      <c r="O709" s="5018" t="str">
        <f t="array" ref="O709">IFERROR(VLOOKUP(O710,Dex!$B$3:$G1361,3,FALSE),"")</f>
        <v/>
      </c>
      <c r="P709" s="606"/>
      <c r="Q709" s="606"/>
      <c r="R709" s="4452"/>
      <c r="S709" s="5019"/>
      <c r="T709" s="5018" t="str">
        <f t="array" ref="T709">IFERROR(VLOOKUP(T710,Dex!$B$3:$G1361,3,FALSE),"")</f>
        <v/>
      </c>
      <c r="U709" s="606"/>
      <c r="V709" s="606"/>
      <c r="W709" s="4452"/>
      <c r="X709" s="5020"/>
      <c r="Y709" s="5018" t="str">
        <f t="array" ref="Y709">IFERROR(VLOOKUP(Y710,Dex!$B$3:$G1361,3,FALSE),"")</f>
        <v/>
      </c>
      <c r="Z709" s="606"/>
      <c r="AA709" s="606"/>
      <c r="AB709" s="4452"/>
      <c r="AC709" s="5021"/>
      <c r="AD709" s="5022"/>
      <c r="AE709" s="5023"/>
      <c r="AF709" s="5023"/>
      <c r="AG709" s="5024"/>
      <c r="AH709" s="5025"/>
      <c r="AI709" s="3452"/>
    </row>
    <row r="710" ht="18.75" customHeight="1">
      <c r="A710" s="3689"/>
      <c r="B710" s="5026"/>
      <c r="C710" s="5027" t="s">
        <v>1575</v>
      </c>
      <c r="D710" s="5028"/>
      <c r="E710" s="5029" t="s">
        <v>1576</v>
      </c>
      <c r="F710" s="5030"/>
      <c r="G710" s="5030"/>
      <c r="H710" s="5031"/>
      <c r="J710" s="5029" t="s">
        <v>1109</v>
      </c>
      <c r="K710" s="5030"/>
      <c r="L710" s="5030"/>
      <c r="M710" s="5031"/>
      <c r="O710" s="5029" t="s">
        <v>1577</v>
      </c>
      <c r="P710" s="5030"/>
      <c r="Q710" s="5030"/>
      <c r="R710" s="5031"/>
      <c r="T710" s="5029" t="s">
        <v>1578</v>
      </c>
      <c r="U710" s="5030"/>
      <c r="V710" s="5030"/>
      <c r="W710" s="5031"/>
      <c r="Y710" s="5029" t="s">
        <v>1342</v>
      </c>
      <c r="Z710" s="5030"/>
      <c r="AA710" s="5030"/>
      <c r="AB710" s="5031"/>
      <c r="AC710" s="5032"/>
      <c r="AD710" s="5033"/>
      <c r="AE710" s="5023"/>
      <c r="AF710" s="5023"/>
      <c r="AG710" s="5024"/>
      <c r="AH710" s="5034"/>
      <c r="AI710" s="3700"/>
    </row>
    <row r="711">
      <c r="A711" s="3701"/>
      <c r="B711" s="5035"/>
      <c r="C711" s="1638"/>
      <c r="D711" s="5036"/>
      <c r="E711" s="5037" t="s">
        <v>796</v>
      </c>
      <c r="F711" s="5038"/>
      <c r="G711" s="5038"/>
      <c r="H711" s="5039"/>
      <c r="J711" s="5037" t="s">
        <v>796</v>
      </c>
      <c r="K711" s="5038"/>
      <c r="L711" s="5038"/>
      <c r="M711" s="5039"/>
      <c r="O711" s="5037" t="s">
        <v>796</v>
      </c>
      <c r="P711" s="5038"/>
      <c r="Q711" s="5038"/>
      <c r="R711" s="5039"/>
      <c r="T711" s="5037" t="s">
        <v>796</v>
      </c>
      <c r="U711" s="5038"/>
      <c r="V711" s="5038"/>
      <c r="W711" s="5039"/>
      <c r="Y711" s="5037" t="s">
        <v>796</v>
      </c>
      <c r="Z711" s="5038"/>
      <c r="AA711" s="5038"/>
      <c r="AB711" s="5039"/>
      <c r="AC711" s="5032"/>
      <c r="AD711" s="5040"/>
      <c r="AE711" s="5023"/>
      <c r="AF711" s="5023"/>
      <c r="AG711" s="5024"/>
      <c r="AH711" s="5041"/>
      <c r="AI711" s="3709"/>
    </row>
    <row r="712" ht="25.5" customHeight="1">
      <c r="A712" s="3446"/>
      <c r="B712" s="5015"/>
      <c r="C712" s="1646"/>
      <c r="D712" s="5042"/>
      <c r="E712" s="5043"/>
      <c r="F712" s="5044" t="str">
        <f t="array" ref="F712">IFERROR(VLOOKUP(E710,Dex!$B$3:$H1361,5,FALSE),"")</f>
        <v/>
      </c>
      <c r="G712" s="5045" t="str">
        <f t="array" ref="G712">IFERROR(VLOOKUP(E710,Dex!$B$3:$H1361,7,FALSE),"")</f>
        <v/>
      </c>
      <c r="H712" s="5046"/>
      <c r="J712" s="5043"/>
      <c r="K712" s="5286" t="str">
        <f t="array" ref="K712">IFERROR(VLOOKUP(J710,Dex!$B$3:$H1361,5,FALSE),"")</f>
        <v/>
      </c>
      <c r="L712" s="5287"/>
      <c r="M712" s="5046"/>
      <c r="O712" s="5043"/>
      <c r="P712" s="5044" t="str">
        <f t="array" ref="P712">IFERROR(VLOOKUP(O710,Dex!$B$3:$H1361,5,FALSE),"")</f>
        <v/>
      </c>
      <c r="Q712" s="5045" t="str">
        <f t="array" ref="Q712">IFERROR(VLOOKUP(O710,Dex!$B$3:$H1361,7,FALSE),"")</f>
        <v/>
      </c>
      <c r="R712" s="5046"/>
      <c r="T712" s="5043"/>
      <c r="U712" s="5286" t="str">
        <f t="array" ref="U712">IFERROR(VLOOKUP(T710,Dex!$B$3:$H1361,5,FALSE),"")</f>
        <v/>
      </c>
      <c r="V712" s="5287"/>
      <c r="W712" s="5046"/>
      <c r="Y712" s="5043"/>
      <c r="Z712" s="5044" t="str">
        <f t="array" ref="Z712">IFERROR(VLOOKUP(Y710,Dex!$B$3:$H1361,5,FALSE),"")</f>
        <v/>
      </c>
      <c r="AA712" s="5045" t="str">
        <f t="array" ref="AA712">IFERROR(VLOOKUP(Y710,Dex!$B$3:$H1361,7,FALSE),"")</f>
        <v/>
      </c>
      <c r="AB712" s="5046"/>
      <c r="AC712" s="5032"/>
      <c r="AD712" s="5022"/>
      <c r="AE712" s="5023"/>
      <c r="AF712" s="5023"/>
      <c r="AG712" s="5024"/>
      <c r="AH712" s="5025"/>
      <c r="AI712" s="3452"/>
    </row>
    <row r="713" ht="2.25" customHeight="1">
      <c r="A713" s="3446"/>
      <c r="B713" s="5008"/>
      <c r="C713" s="5047"/>
      <c r="D713" s="5048"/>
      <c r="E713" s="5049"/>
      <c r="F713" s="5050"/>
      <c r="G713" s="5050"/>
      <c r="H713" s="5051"/>
      <c r="J713" s="5049"/>
      <c r="K713" s="5050"/>
      <c r="L713" s="5050"/>
      <c r="M713" s="5051"/>
      <c r="O713" s="5049"/>
      <c r="P713" s="5050"/>
      <c r="Q713" s="5050"/>
      <c r="R713" s="5051"/>
      <c r="T713" s="5049"/>
      <c r="U713" s="5050"/>
      <c r="V713" s="5050"/>
      <c r="W713" s="5051"/>
      <c r="Y713" s="5049"/>
      <c r="Z713" s="5050"/>
      <c r="AA713" s="5050"/>
      <c r="AB713" s="5051"/>
      <c r="AC713" s="5032"/>
      <c r="AD713" s="5052"/>
      <c r="AE713" s="5052"/>
      <c r="AF713" s="5052"/>
      <c r="AG713" s="5052"/>
      <c r="AH713" s="5025"/>
      <c r="AI713" s="3452"/>
    </row>
    <row r="714" ht="20.25" customHeight="1">
      <c r="A714" s="3446"/>
      <c r="B714" s="5008"/>
      <c r="C714" s="5053"/>
      <c r="D714" s="5022"/>
      <c r="E714" s="5054" t="s">
        <v>480</v>
      </c>
      <c r="F714" s="5055"/>
      <c r="G714" s="5055"/>
      <c r="H714" s="5056"/>
      <c r="J714" s="5054" t="s">
        <v>754</v>
      </c>
      <c r="K714" s="5055"/>
      <c r="L714" s="5055"/>
      <c r="M714" s="5056"/>
      <c r="O714" s="5054" t="s">
        <v>532</v>
      </c>
      <c r="P714" s="5055"/>
      <c r="Q714" s="5055"/>
      <c r="R714" s="5056"/>
      <c r="T714" s="5054" t="s">
        <v>532</v>
      </c>
      <c r="U714" s="5055"/>
      <c r="V714" s="5055"/>
      <c r="W714" s="5056"/>
      <c r="Y714" s="5054" t="s">
        <v>564</v>
      </c>
      <c r="Z714" s="5055"/>
      <c r="AA714" s="5055"/>
      <c r="AB714" s="5056"/>
      <c r="AC714" s="5032"/>
      <c r="AD714" s="5022"/>
      <c r="AE714" s="5023"/>
      <c r="AF714" s="5023"/>
      <c r="AG714" s="5024"/>
      <c r="AH714" s="5025"/>
      <c r="AI714" s="3452"/>
    </row>
    <row r="715" ht="20.25" customHeight="1">
      <c r="A715" s="3446"/>
      <c r="B715" s="5008"/>
      <c r="C715" s="5053"/>
      <c r="D715" s="5022"/>
      <c r="E715" s="5057" t="s">
        <v>96</v>
      </c>
      <c r="F715" s="5023"/>
      <c r="G715" s="5023"/>
      <c r="H715" s="5058"/>
      <c r="J715" s="5057" t="s">
        <v>980</v>
      </c>
      <c r="K715" s="5023"/>
      <c r="L715" s="5023"/>
      <c r="M715" s="5058"/>
      <c r="O715" s="5057" t="s">
        <v>755</v>
      </c>
      <c r="P715" s="5023"/>
      <c r="Q715" s="5023"/>
      <c r="R715" s="5058"/>
      <c r="T715" s="5057" t="s">
        <v>80</v>
      </c>
      <c r="U715" s="5023"/>
      <c r="V715" s="5023"/>
      <c r="W715" s="5058"/>
      <c r="Y715" s="5057" t="s">
        <v>1579</v>
      </c>
      <c r="Z715" s="5023"/>
      <c r="AA715" s="5023"/>
      <c r="AB715" s="5058"/>
      <c r="AC715" s="5032"/>
      <c r="AD715" s="5022"/>
      <c r="AE715" s="5023"/>
      <c r="AF715" s="5023"/>
      <c r="AG715" s="5024"/>
      <c r="AH715" s="5025"/>
      <c r="AI715" s="3452"/>
    </row>
    <row r="716" ht="20.25" customHeight="1">
      <c r="A716" s="3446"/>
      <c r="B716" s="5008"/>
      <c r="C716" s="5053"/>
      <c r="D716" s="5022"/>
      <c r="E716" s="5059" t="s">
        <v>1580</v>
      </c>
      <c r="F716" s="5012"/>
      <c r="G716" s="5013"/>
      <c r="H716" s="5060" t="str">
        <f>IMAGE("https://raw.githubusercontent.com/msikma/pokesprite/master/items/berry/rindo.png",3)</f>
        <v/>
      </c>
      <c r="J716" s="5059" t="s">
        <v>713</v>
      </c>
      <c r="K716" s="5012"/>
      <c r="L716" s="5013"/>
      <c r="M716" s="5060" t="str">
        <f>IMAGE("https://raw.githubusercontent.com/msikma/pokesprite/master/items/hold-item/assault-vest.png",3)</f>
        <v/>
      </c>
      <c r="O716" s="5059" t="s">
        <v>1581</v>
      </c>
      <c r="P716" s="5012"/>
      <c r="Q716" s="5013"/>
      <c r="R716" s="5060" t="str">
        <f>IMAGE("https://i.ibb.co/dJYFB5S/hearthflame.png",4,28,28)</f>
        <v/>
      </c>
      <c r="T716" s="5059" t="s">
        <v>770</v>
      </c>
      <c r="U716" s="5012"/>
      <c r="V716" s="5013"/>
      <c r="W716" s="5060" t="str">
        <f>IMAGE("https://raw.githubusercontent.com/msikma/pokesprite/master/items/gem/fire.png",3)</f>
        <v/>
      </c>
      <c r="Y716" s="5059" t="s">
        <v>1261</v>
      </c>
      <c r="Z716" s="5012"/>
      <c r="AA716" s="5013"/>
      <c r="AB716" s="5060" t="str">
        <f>IMAGE("https://raw.githubusercontent.com/msikma/pokesprite/master/items/z-crystals/ghostium-z--held.png",3)</f>
        <v/>
      </c>
      <c r="AC716" s="5032"/>
      <c r="AD716" s="5022"/>
      <c r="AE716" s="5023"/>
      <c r="AF716" s="5023"/>
      <c r="AG716" s="5024"/>
      <c r="AH716" s="5025"/>
      <c r="AI716" s="3452"/>
    </row>
    <row r="717" ht="20.25" customHeight="1">
      <c r="A717" s="3446"/>
      <c r="B717" s="5008"/>
      <c r="C717" s="5061"/>
      <c r="D717" s="5022"/>
      <c r="E717" s="5054" t="s">
        <v>191</v>
      </c>
      <c r="F717" s="5055"/>
      <c r="G717" s="5062"/>
      <c r="H717" s="5063" t="str">
        <f t="shared" ref="H717:H718" si="21">IMAGE("https://raw.githubusercontent.com/msikma/pokesprite/master/misc/types/gen8/rock.png",4,20,20)</f>
        <v/>
      </c>
      <c r="J717" s="5054" t="s">
        <v>692</v>
      </c>
      <c r="K717" s="5055"/>
      <c r="L717" s="5062"/>
      <c r="M717" s="5063" t="str">
        <f>IMAGE("https://raw.githubusercontent.com/msikma/pokesprite/master/misc/types/gen8/grass.png",4,20,20)</f>
        <v/>
      </c>
      <c r="O717" s="5054" t="s">
        <v>609</v>
      </c>
      <c r="P717" s="5055"/>
      <c r="Q717" s="5062"/>
      <c r="R717" s="5063" t="str">
        <f>IMAGE("https://raw.githubusercontent.com/msikma/pokesprite/master/misc/types/gen8/fire.png",4,20,20)</f>
        <v/>
      </c>
      <c r="T717" s="5054" t="s">
        <v>1582</v>
      </c>
      <c r="U717" s="5055"/>
      <c r="V717" s="5062"/>
      <c r="W717" s="5063" t="str">
        <f>IMAGE("https://raw.githubusercontent.com/msikma/pokesprite/master/misc/types/gen8/fire.png",4,20,20)</f>
        <v/>
      </c>
      <c r="Y717" s="5054" t="s">
        <v>647</v>
      </c>
      <c r="Z717" s="5055"/>
      <c r="AA717" s="5062"/>
      <c r="AB717" s="5063" t="str">
        <f>IMAGE("https://raw.githubusercontent.com/msikma/pokesprite/master/misc/types/gen8/ghost.png",4,20,20)</f>
        <v/>
      </c>
      <c r="AC717" s="5032"/>
      <c r="AD717" s="5022"/>
      <c r="AE717" s="5023"/>
      <c r="AF717" s="5023"/>
      <c r="AG717" s="5024"/>
      <c r="AH717" s="5025"/>
      <c r="AI717" s="3452"/>
    </row>
    <row r="718" ht="20.25" customHeight="1">
      <c r="A718" s="3446"/>
      <c r="B718" s="5008"/>
      <c r="C718" s="5061"/>
      <c r="D718" s="5022"/>
      <c r="E718" s="5057" t="s">
        <v>621</v>
      </c>
      <c r="F718" s="5023"/>
      <c r="G718" s="5024"/>
      <c r="H718" s="5064" t="str">
        <f t="shared" si="21"/>
        <v/>
      </c>
      <c r="J718" s="5057" t="s">
        <v>146</v>
      </c>
      <c r="K718" s="5023"/>
      <c r="L718" s="5024"/>
      <c r="M718" s="5064" t="str">
        <f>IMAGE("https://raw.githubusercontent.com/msikma/pokesprite/master/misc/types/gen8/fire.png",4,20,20)</f>
        <v/>
      </c>
      <c r="O718" s="5057" t="s">
        <v>616</v>
      </c>
      <c r="P718" s="5023"/>
      <c r="Q718" s="5024"/>
      <c r="R718" s="5064" t="str">
        <f>IMAGE("https://raw.githubusercontent.com/msikma/pokesprite/master/misc/types/gen8/grass.png",4,20,20)</f>
        <v/>
      </c>
      <c r="T718" s="5057" t="s">
        <v>1496</v>
      </c>
      <c r="U718" s="5023"/>
      <c r="V718" s="5024"/>
      <c r="W718" s="5064" t="str">
        <f>IMAGE("https://raw.githubusercontent.com/msikma/pokesprite/master/misc/types/gen8/grass.png",4,20,20)</f>
        <v/>
      </c>
      <c r="Y718" s="5057" t="s">
        <v>617</v>
      </c>
      <c r="Z718" s="5023"/>
      <c r="AA718" s="5024"/>
      <c r="AB718" s="5064" t="str">
        <f>IMAGE("https://raw.githubusercontent.com/msikma/pokesprite/master/misc/types/gen8/dragon.png",4,20,20)</f>
        <v/>
      </c>
      <c r="AC718" s="5032"/>
      <c r="AD718" s="5022"/>
      <c r="AE718" s="5023"/>
      <c r="AF718" s="5023"/>
      <c r="AG718" s="5024"/>
      <c r="AH718" s="5025"/>
      <c r="AI718" s="3452"/>
    </row>
    <row r="719" ht="20.25" customHeight="1">
      <c r="A719" s="3446"/>
      <c r="B719" s="5008"/>
      <c r="C719" s="5061"/>
      <c r="D719" s="5022"/>
      <c r="E719" s="5057" t="s">
        <v>549</v>
      </c>
      <c r="F719" s="5023"/>
      <c r="G719" s="5024"/>
      <c r="H719" s="5064" t="str">
        <f>IMAGE("https://raw.githubusercontent.com/msikma/pokesprite/master/misc/types/gen8/ground.png",4,20,20)</f>
        <v/>
      </c>
      <c r="J719" s="5057" t="s">
        <v>644</v>
      </c>
      <c r="K719" s="5023"/>
      <c r="L719" s="5024"/>
      <c r="M719" s="5064" t="str">
        <f>IMAGE("https://raw.githubusercontent.com/msikma/pokesprite/master/misc/types/gen8/ground.png",4,20,20)</f>
        <v/>
      </c>
      <c r="O719" s="5057" t="s">
        <v>612</v>
      </c>
      <c r="P719" s="5023"/>
      <c r="Q719" s="5024"/>
      <c r="R719" s="5064" t="str">
        <f>IMAGE("https://raw.githubusercontent.com/msikma/pokesprite/master/misc/types/gen8/bug.png",4,20,20)</f>
        <v/>
      </c>
      <c r="T719" s="5057" t="s">
        <v>1583</v>
      </c>
      <c r="U719" s="5023"/>
      <c r="V719" s="5024"/>
      <c r="W719" s="5064" t="str">
        <f>IMAGE("https://raw.githubusercontent.com/msikma/pokesprite/master/misc/types/gen8/fighting.png",4,20,20)</f>
        <v/>
      </c>
      <c r="Y719" s="5057" t="s">
        <v>1211</v>
      </c>
      <c r="Z719" s="5023"/>
      <c r="AA719" s="5024"/>
      <c r="AB719" s="5064" t="str">
        <f>IMAGE("https://raw.githubusercontent.com/msikma/pokesprite/master/misc/types/gen8/fire.png",4,20,20)</f>
        <v/>
      </c>
      <c r="AC719" s="5032"/>
      <c r="AD719" s="5022"/>
      <c r="AE719" s="5023"/>
      <c r="AF719" s="5023"/>
      <c r="AG719" s="5024"/>
      <c r="AH719" s="5025"/>
      <c r="AI719" s="3452"/>
    </row>
    <row r="720" ht="21.0" customHeight="1">
      <c r="A720" s="3446"/>
      <c r="B720" s="5008"/>
      <c r="C720" s="5061"/>
      <c r="D720" s="5022"/>
      <c r="E720" s="5065" t="s">
        <v>1020</v>
      </c>
      <c r="F720" s="5066"/>
      <c r="G720" s="5067"/>
      <c r="H720" s="5068" t="str">
        <f>IMAGE("https://raw.githubusercontent.com/msikma/pokesprite/master/misc/types/gen8/fire.png",4,20,20)</f>
        <v/>
      </c>
      <c r="I720" s="5069"/>
      <c r="J720" s="5065" t="s">
        <v>614</v>
      </c>
      <c r="K720" s="5066"/>
      <c r="L720" s="5067"/>
      <c r="M720" s="5068" t="str">
        <f>IMAGE("https://raw.githubusercontent.com/msikma/pokesprite/master/misc/types/gen8/poison.png",4,20,20)</f>
        <v/>
      </c>
      <c r="N720" s="5069"/>
      <c r="O720" s="5065" t="s">
        <v>959</v>
      </c>
      <c r="P720" s="5066"/>
      <c r="Q720" s="5067"/>
      <c r="R720" s="5068" t="str">
        <f>IMAGE("https://raw.githubusercontent.com/msikma/pokesprite/master/misc/types/gen8/fairy.png",4,20,20)</f>
        <v/>
      </c>
      <c r="S720" s="5069"/>
      <c r="T720" s="5065" t="s">
        <v>622</v>
      </c>
      <c r="U720" s="5066"/>
      <c r="V720" s="5067"/>
      <c r="W720" s="5068" t="str">
        <f>IMAGE("https://raw.githubusercontent.com/msikma/pokesprite/master/misc/types/gen8/ground.png",4,20,20)</f>
        <v/>
      </c>
      <c r="X720" s="5069"/>
      <c r="Y720" s="5065" t="s">
        <v>612</v>
      </c>
      <c r="Z720" s="5066"/>
      <c r="AA720" s="5067"/>
      <c r="AB720" s="5068" t="str">
        <f>IMAGE("https://raw.githubusercontent.com/msikma/pokesprite/master/misc/types/gen8/bug.png",4,20,20)</f>
        <v/>
      </c>
      <c r="AC720" s="5070"/>
      <c r="AD720" s="5022"/>
      <c r="AE720" s="5023"/>
      <c r="AF720" s="5023"/>
      <c r="AG720" s="5024"/>
      <c r="AH720" s="5025"/>
      <c r="AI720" s="3452"/>
    </row>
    <row r="721" ht="3.0" customHeight="1">
      <c r="A721" s="3524"/>
      <c r="B721" s="5071"/>
      <c r="C721" s="5061"/>
      <c r="D721" s="5072"/>
      <c r="E721" s="5075"/>
      <c r="F721" s="5075"/>
      <c r="G721" s="5075"/>
      <c r="H721" s="5074"/>
      <c r="I721" s="5072"/>
      <c r="J721" s="5075"/>
      <c r="K721" s="5075"/>
      <c r="L721" s="5075"/>
      <c r="M721" s="5074"/>
      <c r="N721" s="5072"/>
      <c r="O721" s="5075"/>
      <c r="P721" s="5075"/>
      <c r="Q721" s="5075"/>
      <c r="R721" s="5076"/>
      <c r="S721" s="5077"/>
      <c r="T721" s="5075"/>
      <c r="U721" s="5075"/>
      <c r="V721" s="5075"/>
      <c r="W721" s="5076"/>
      <c r="X721" s="5072"/>
      <c r="Y721" s="5075"/>
      <c r="Z721" s="5075"/>
      <c r="AA721" s="5075"/>
      <c r="AB721" s="5076"/>
      <c r="AC721" s="5078"/>
      <c r="AD721" s="5078"/>
      <c r="AE721" s="5078"/>
      <c r="AF721" s="5078"/>
      <c r="AG721" s="5078"/>
      <c r="AH721" s="5079"/>
      <c r="AI721" s="3534"/>
    </row>
    <row r="722" ht="16.5" customHeight="1">
      <c r="A722" s="3535"/>
      <c r="B722" s="5080"/>
      <c r="C722" s="5061"/>
      <c r="D722" s="5106"/>
      <c r="E722" s="5082" t="s">
        <v>512</v>
      </c>
      <c r="F722" s="606"/>
      <c r="G722" s="5083"/>
      <c r="H722" s="5084" t="s">
        <v>1554</v>
      </c>
      <c r="I722" s="5085"/>
      <c r="J722" s="5082" t="s">
        <v>512</v>
      </c>
      <c r="K722" s="606"/>
      <c r="L722" s="5083"/>
      <c r="M722" s="5084" t="s">
        <v>1554</v>
      </c>
      <c r="N722" s="5085"/>
      <c r="O722" s="5082" t="s">
        <v>512</v>
      </c>
      <c r="P722" s="606"/>
      <c r="Q722" s="5083"/>
      <c r="R722" s="5084" t="s">
        <v>1554</v>
      </c>
      <c r="S722" s="5086"/>
      <c r="T722" s="5082" t="s">
        <v>512</v>
      </c>
      <c r="U722" s="606"/>
      <c r="V722" s="5083"/>
      <c r="W722" s="5084" t="s">
        <v>1554</v>
      </c>
      <c r="X722" s="5087"/>
      <c r="Y722" s="5082" t="s">
        <v>512</v>
      </c>
      <c r="Z722" s="606"/>
      <c r="AA722" s="5083"/>
      <c r="AB722" s="5084" t="s">
        <v>1554</v>
      </c>
      <c r="AC722" s="5088"/>
      <c r="AD722" s="5088"/>
      <c r="AE722" s="5088"/>
      <c r="AF722" s="5088"/>
      <c r="AG722" s="5088"/>
      <c r="AH722" s="5089"/>
      <c r="AI722" s="3543"/>
    </row>
    <row r="723" ht="16.5" customHeight="1">
      <c r="A723" s="3535"/>
      <c r="B723" s="5080"/>
      <c r="C723" s="5061"/>
      <c r="D723" s="5081"/>
      <c r="E723" s="5090" t="s">
        <v>513</v>
      </c>
      <c r="F723" s="5091">
        <f t="array" ref="F723">IFERROR(VLOOKUP(E710,Dex!$B$3:$N1361,8,FALSE),"")</f>
        <v>115</v>
      </c>
      <c r="G723" s="5092" t="str">
        <f t="array" ref="G723">IFERROR(VLOOKUP(F723,Dex!$P$22:$Q$276,2,FALSE),"")</f>
        <v/>
      </c>
      <c r="H723" s="5093"/>
      <c r="I723" s="5094"/>
      <c r="J723" s="5090" t="s">
        <v>513</v>
      </c>
      <c r="K723" s="5091">
        <f t="array" ref="K723">IFERROR(VLOOKUP(J710,Dex!$B$3:$N1361,8,FALSE),"")</f>
        <v>95</v>
      </c>
      <c r="L723" s="5092" t="str">
        <f t="array" ref="L723">IFERROR(VLOOKUP(K723,Dex!$P$22:$Q$276,2,FALSE),"")</f>
        <v/>
      </c>
      <c r="M723" s="5093"/>
      <c r="N723" s="5095"/>
      <c r="O723" s="5090" t="s">
        <v>513</v>
      </c>
      <c r="P723" s="5091">
        <f t="array" ref="P723">IFERROR(VLOOKUP(O710,Dex!$B$3:$N1361,8,FALSE),"")</f>
        <v>80</v>
      </c>
      <c r="Q723" s="5092" t="str">
        <f t="array" ref="Q723">IFERROR(VLOOKUP(P723,Dex!$P$22:$Q$276,2,FALSE),"")</f>
        <v/>
      </c>
      <c r="R723" s="5093"/>
      <c r="S723" s="5096"/>
      <c r="T723" s="5090" t="s">
        <v>513</v>
      </c>
      <c r="U723" s="5091">
        <f t="array" ref="U723">IFERROR(VLOOKUP(T710,Dex!$B$3:$N1361,8,FALSE),"")</f>
        <v>65</v>
      </c>
      <c r="V723" s="5092" t="str">
        <f t="array" ref="V723">IFERROR(VLOOKUP(U723,Dex!$P$22:$Q$276,2,FALSE),"")</f>
        <v/>
      </c>
      <c r="W723" s="5093"/>
      <c r="X723" s="5097"/>
      <c r="Y723" s="5090" t="s">
        <v>513</v>
      </c>
      <c r="Z723" s="5091">
        <f t="array" ref="Z723">IFERROR(VLOOKUP(Y710,Dex!$B$3:$N1361,8,FALSE),"")</f>
        <v>88</v>
      </c>
      <c r="AA723" s="5092" t="str">
        <f t="array" ref="AA723">IFERROR(VLOOKUP(Z723,Dex!$P$22:$Q$276,2,FALSE),"")</f>
        <v/>
      </c>
      <c r="AB723" s="5093"/>
      <c r="AC723" s="5088"/>
      <c r="AD723" s="5088"/>
      <c r="AE723" s="5088"/>
      <c r="AF723" s="5088"/>
      <c r="AG723" s="5088"/>
      <c r="AH723" s="5089"/>
      <c r="AI723" s="3543"/>
    </row>
    <row r="724" ht="16.5" customHeight="1">
      <c r="A724" s="3535"/>
      <c r="B724" s="5080"/>
      <c r="C724" s="5061"/>
      <c r="D724" s="5081"/>
      <c r="E724" s="5098" t="s">
        <v>514</v>
      </c>
      <c r="F724" s="5099">
        <f t="array" ref="F724">IFERROR(VLOOKUP(E710,Dex!$B$3:$N1361,9,FALSE),"")</f>
        <v>140</v>
      </c>
      <c r="G724" s="5100" t="str">
        <f t="array" ref="G724">IFERROR(VLOOKUP(F724,Dex!$P$22:$Q$276,2,FALSE),"")</f>
        <v/>
      </c>
      <c r="H724" s="5101"/>
      <c r="I724" s="5094"/>
      <c r="J724" s="5098" t="s">
        <v>514</v>
      </c>
      <c r="K724" s="5099">
        <f t="array" ref="K724">IFERROR(VLOOKUP(J710,Dex!$B$3:$N1361,9,FALSE),"")</f>
        <v>75</v>
      </c>
      <c r="L724" s="5100" t="str">
        <f t="array" ref="L724">IFERROR(VLOOKUP(K724,Dex!$P$22:$Q$276,2,FALSE),"")</f>
        <v/>
      </c>
      <c r="M724" s="5101"/>
      <c r="N724" s="5095"/>
      <c r="O724" s="5098" t="s">
        <v>514</v>
      </c>
      <c r="P724" s="5099">
        <f t="array" ref="P724">IFERROR(VLOOKUP(O710,Dex!$B$3:$N1361,9,FALSE),"")</f>
        <v>120</v>
      </c>
      <c r="Q724" s="5100" t="str">
        <f t="array" ref="Q724">IFERROR(VLOOKUP(P724,Dex!$P$22:$Q$276,2,FALSE),"")</f>
        <v/>
      </c>
      <c r="R724" s="5101"/>
      <c r="S724" s="5096"/>
      <c r="T724" s="5098" t="s">
        <v>514</v>
      </c>
      <c r="U724" s="5099">
        <f t="array" ref="U724">IFERROR(VLOOKUP(T710,Dex!$B$3:$N1361,9,FALSE),"")</f>
        <v>100</v>
      </c>
      <c r="V724" s="5100" t="str">
        <f t="array" ref="V724">IFERROR(VLOOKUP(U724,Dex!$P$22:$Q$276,2,FALSE),"")</f>
        <v/>
      </c>
      <c r="W724" s="5101"/>
      <c r="X724" s="5097"/>
      <c r="Y724" s="5098" t="s">
        <v>514</v>
      </c>
      <c r="Z724" s="5099">
        <f t="array" ref="Z724">IFERROR(VLOOKUP(Y710,Dex!$B$3:$N1361,9,FALSE),"")</f>
        <v>120</v>
      </c>
      <c r="AA724" s="5100" t="str">
        <f t="array" ref="AA724">IFERROR(VLOOKUP(Z724,Dex!$P$22:$Q$276,2,FALSE),"")</f>
        <v/>
      </c>
      <c r="AB724" s="5101"/>
      <c r="AC724" s="5088"/>
      <c r="AD724" s="5088"/>
      <c r="AE724" s="5088"/>
      <c r="AF724" s="5088"/>
      <c r="AG724" s="5088"/>
      <c r="AH724" s="5089"/>
      <c r="AI724" s="3543"/>
    </row>
    <row r="725" ht="16.5" customHeight="1">
      <c r="A725" s="3535"/>
      <c r="B725" s="5080"/>
      <c r="C725" s="5061"/>
      <c r="D725" s="5081"/>
      <c r="E725" s="5098" t="s">
        <v>515</v>
      </c>
      <c r="F725" s="5099">
        <f t="array" ref="F725">IFERROR(VLOOKUP(E710,Dex!$B$3:$N1361,10,FALSE),"")</f>
        <v>130</v>
      </c>
      <c r="G725" s="5100" t="str">
        <f t="array" ref="G725">IFERROR(VLOOKUP(F725,Dex!$P$22:$Q$276,2,FALSE),"")</f>
        <v/>
      </c>
      <c r="H725" s="5101"/>
      <c r="I725" s="5094"/>
      <c r="J725" s="5098" t="s">
        <v>515</v>
      </c>
      <c r="K725" s="5099">
        <f t="array" ref="K725">IFERROR(VLOOKUP(J710,Dex!$B$3:$N1361,10,FALSE),"")</f>
        <v>55</v>
      </c>
      <c r="L725" s="5100" t="str">
        <f t="array" ref="L725">IFERROR(VLOOKUP(K725,Dex!$P$22:$Q$276,2,FALSE),"")</f>
        <v/>
      </c>
      <c r="M725" s="5101"/>
      <c r="N725" s="5095"/>
      <c r="O725" s="5098" t="s">
        <v>515</v>
      </c>
      <c r="P725" s="5099">
        <f t="array" ref="P725">IFERROR(VLOOKUP(O710,Dex!$B$3:$N1361,10,FALSE),"")</f>
        <v>84</v>
      </c>
      <c r="Q725" s="5100" t="str">
        <f t="array" ref="Q725">IFERROR(VLOOKUP(P725,Dex!$P$22:$Q$276,2,FALSE),"")</f>
        <v/>
      </c>
      <c r="R725" s="5101"/>
      <c r="S725" s="5096"/>
      <c r="T725" s="5098" t="s">
        <v>515</v>
      </c>
      <c r="U725" s="5099">
        <f t="array" ref="U725">IFERROR(VLOOKUP(T710,Dex!$B$3:$N1361,10,FALSE),"")</f>
        <v>70</v>
      </c>
      <c r="V725" s="5100" t="str">
        <f t="array" ref="V725">IFERROR(VLOOKUP(U725,Dex!$P$22:$Q$276,2,FALSE),"")</f>
        <v/>
      </c>
      <c r="W725" s="5101"/>
      <c r="X725" s="5097"/>
      <c r="Y725" s="5098" t="s">
        <v>515</v>
      </c>
      <c r="Z725" s="5099">
        <f t="array" ref="Z725">IFERROR(VLOOKUP(Y710,Dex!$B$3:$N1361,10,FALSE),"")</f>
        <v>75</v>
      </c>
      <c r="AA725" s="5100" t="str">
        <f t="array" ref="AA725">IFERROR(VLOOKUP(Z725,Dex!$P$22:$Q$276,2,FALSE),"")</f>
        <v/>
      </c>
      <c r="AB725" s="5101"/>
      <c r="AC725" s="5088"/>
      <c r="AD725" s="5088"/>
      <c r="AE725" s="5088"/>
      <c r="AF725" s="5088"/>
      <c r="AG725" s="5088"/>
      <c r="AH725" s="5089"/>
      <c r="AI725" s="3543"/>
    </row>
    <row r="726" ht="16.5" customHeight="1">
      <c r="A726" s="3535"/>
      <c r="B726" s="5080"/>
      <c r="C726" s="5061"/>
      <c r="D726" s="5081"/>
      <c r="E726" s="5098" t="s">
        <v>516</v>
      </c>
      <c r="F726" s="5099">
        <f t="array" ref="F726">IFERROR(VLOOKUP(E710,Dex!$B$3:$N1361,11,FALSE),"")</f>
        <v>55</v>
      </c>
      <c r="G726" s="5100" t="str">
        <f t="array" ref="G726">IFERROR(VLOOKUP(F726,Dex!$P$22:$Q$276,2,FALSE),"")</f>
        <v/>
      </c>
      <c r="H726" s="5101"/>
      <c r="I726" s="5094"/>
      <c r="J726" s="5098" t="s">
        <v>516</v>
      </c>
      <c r="K726" s="5099">
        <f t="array" ref="K726">IFERROR(VLOOKUP(J710,Dex!$B$3:$N1361,11,FALSE),"")</f>
        <v>135</v>
      </c>
      <c r="L726" s="5100" t="str">
        <f t="array" ref="L726">IFERROR(VLOOKUP(K726,Dex!$P$22:$Q$276,2,FALSE),"")</f>
        <v/>
      </c>
      <c r="M726" s="5101"/>
      <c r="N726" s="5095"/>
      <c r="O726" s="5098" t="s">
        <v>516</v>
      </c>
      <c r="P726" s="5099">
        <f t="array" ref="P726">IFERROR(VLOOKUP(O710,Dex!$B$3:$N1361,11,FALSE),"")</f>
        <v>60</v>
      </c>
      <c r="Q726" s="5100" t="str">
        <f t="array" ref="Q726">IFERROR(VLOOKUP(P726,Dex!$P$22:$Q$276,2,FALSE),"")</f>
        <v/>
      </c>
      <c r="R726" s="5101"/>
      <c r="S726" s="5096"/>
      <c r="T726" s="5098" t="s">
        <v>516</v>
      </c>
      <c r="U726" s="5099">
        <f t="array" ref="U726">IFERROR(VLOOKUP(T710,Dex!$B$3:$N1361,11,FALSE),"")</f>
        <v>60</v>
      </c>
      <c r="V726" s="5100" t="str">
        <f t="array" ref="V726">IFERROR(VLOOKUP(U726,Dex!$P$22:$Q$276,2,FALSE),"")</f>
        <v/>
      </c>
      <c r="W726" s="5101"/>
      <c r="X726" s="5097"/>
      <c r="Y726" s="5098" t="s">
        <v>516</v>
      </c>
      <c r="Z726" s="5099">
        <f t="array" ref="Z726">IFERROR(VLOOKUP(Y710,Dex!$B$3:$N1361,11,FALSE),"")</f>
        <v>100</v>
      </c>
      <c r="AA726" s="5100" t="str">
        <f t="array" ref="AA726">IFERROR(VLOOKUP(Z726,Dex!$P$22:$Q$276,2,FALSE),"")</f>
        <v/>
      </c>
      <c r="AB726" s="5101"/>
      <c r="AC726" s="5088"/>
      <c r="AD726" s="5088"/>
      <c r="AE726" s="5088"/>
      <c r="AF726" s="5088"/>
      <c r="AG726" s="5088"/>
      <c r="AH726" s="5089"/>
      <c r="AI726" s="3543"/>
    </row>
    <row r="727" ht="16.5" customHeight="1">
      <c r="A727" s="3535"/>
      <c r="B727" s="5080"/>
      <c r="C727" s="5061"/>
      <c r="D727" s="5081"/>
      <c r="E727" s="5098" t="s">
        <v>517</v>
      </c>
      <c r="F727" s="5099">
        <f t="array" ref="F727">IFERROR(VLOOKUP(E710,Dex!$B$3:$N1361,12,FALSE),"")</f>
        <v>55</v>
      </c>
      <c r="G727" s="5100" t="str">
        <f t="array" ref="G727">IFERROR(VLOOKUP(F727,Dex!$P$22:$Q$276,2,FALSE),"")</f>
        <v/>
      </c>
      <c r="H727" s="5101"/>
      <c r="I727" s="5094"/>
      <c r="J727" s="5098" t="s">
        <v>517</v>
      </c>
      <c r="K727" s="5099">
        <f t="array" ref="K727">IFERROR(VLOOKUP(J710,Dex!$B$3:$N1361,12,FALSE),"")</f>
        <v>85</v>
      </c>
      <c r="L727" s="5100" t="str">
        <f t="array" ref="L727">IFERROR(VLOOKUP(K727,Dex!$P$22:$Q$276,2,FALSE),"")</f>
        <v/>
      </c>
      <c r="M727" s="5101"/>
      <c r="N727" s="5095"/>
      <c r="O727" s="5098" t="s">
        <v>517</v>
      </c>
      <c r="P727" s="5099">
        <f t="array" ref="P727">IFERROR(VLOOKUP(O710,Dex!$B$3:$N1361,12,FALSE),"")</f>
        <v>96</v>
      </c>
      <c r="Q727" s="5100" t="str">
        <f t="array" ref="Q727">IFERROR(VLOOKUP(P727,Dex!$P$22:$Q$276,2,FALSE),"")</f>
        <v/>
      </c>
      <c r="R727" s="5101"/>
      <c r="S727" s="5096"/>
      <c r="T727" s="5098" t="s">
        <v>517</v>
      </c>
      <c r="U727" s="5099">
        <f t="array" ref="U727">IFERROR(VLOOKUP(T710,Dex!$B$3:$N1361,12,FALSE),"")</f>
        <v>80</v>
      </c>
      <c r="V727" s="5100" t="str">
        <f t="array" ref="V727">IFERROR(VLOOKUP(U727,Dex!$P$22:$Q$276,2,FALSE),"")</f>
        <v/>
      </c>
      <c r="W727" s="5101"/>
      <c r="X727" s="5097"/>
      <c r="Y727" s="5098" t="s">
        <v>517</v>
      </c>
      <c r="Z727" s="5099">
        <f t="array" ref="Z727">IFERROR(VLOOKUP(Y710,Dex!$B$3:$N1361,12,FALSE),"")</f>
        <v>75</v>
      </c>
      <c r="AA727" s="5100" t="str">
        <f t="array" ref="AA727">IFERROR(VLOOKUP(Z727,Dex!$P$22:$Q$276,2,FALSE),"")</f>
        <v/>
      </c>
      <c r="AB727" s="5101"/>
      <c r="AC727" s="5088"/>
      <c r="AD727" s="5088"/>
      <c r="AE727" s="5088"/>
      <c r="AF727" s="5088"/>
      <c r="AG727" s="5088"/>
      <c r="AH727" s="5089"/>
      <c r="AI727" s="3543"/>
    </row>
    <row r="728" ht="16.5" customHeight="1">
      <c r="A728" s="3535"/>
      <c r="B728" s="5080"/>
      <c r="C728" s="1426" t="s">
        <v>745</v>
      </c>
      <c r="D728" s="5081"/>
      <c r="E728" s="5102" t="s">
        <v>518</v>
      </c>
      <c r="F728" s="5103">
        <f t="array" ref="F728">IFERROR(VLOOKUP(E710,Dex!$B$3:$N1361,13,FALSE),"")</f>
        <v>40</v>
      </c>
      <c r="G728" s="5100" t="str">
        <f t="array" ref="G728">IFERROR(VLOOKUP(F728,Dex!$P$22:$Q$276,2,FALSE),"")</f>
        <v/>
      </c>
      <c r="H728" s="5101"/>
      <c r="I728" s="5094"/>
      <c r="J728" s="5102" t="s">
        <v>518</v>
      </c>
      <c r="K728" s="5103">
        <f t="array" ref="K728">IFERROR(VLOOKUP(J710,Dex!$B$3:$N1361,13,FALSE),"")</f>
        <v>55</v>
      </c>
      <c r="L728" s="5100" t="str">
        <f t="array" ref="L728">IFERROR(VLOOKUP(K728,Dex!$P$22:$Q$276,2,FALSE),"")</f>
        <v/>
      </c>
      <c r="M728" s="5101"/>
      <c r="N728" s="5095"/>
      <c r="O728" s="5102" t="s">
        <v>518</v>
      </c>
      <c r="P728" s="5103">
        <f t="array" ref="P728">IFERROR(VLOOKUP(O710,Dex!$B$3:$N1361,13,FALSE),"")</f>
        <v>110</v>
      </c>
      <c r="Q728" s="5100" t="str">
        <f t="array" ref="Q728">IFERROR(VLOOKUP(P728,Dex!$P$22:$Q$276,2,FALSE),"")</f>
        <v/>
      </c>
      <c r="R728" s="5101"/>
      <c r="S728" s="5096"/>
      <c r="T728" s="5102" t="s">
        <v>518</v>
      </c>
      <c r="U728" s="5103">
        <f t="array" ref="U728">IFERROR(VLOOKUP(T710,Dex!$B$3:$N1361,13,FALSE),"")</f>
        <v>125</v>
      </c>
      <c r="V728" s="5100" t="str">
        <f t="array" ref="V728">IFERROR(VLOOKUP(U728,Dex!$P$22:$Q$276,2,FALSE),"")</f>
        <v/>
      </c>
      <c r="W728" s="5101"/>
      <c r="X728" s="5097"/>
      <c r="Y728" s="5102" t="s">
        <v>518</v>
      </c>
      <c r="Z728" s="5103">
        <f t="array" ref="Z728">IFERROR(VLOOKUP(Y710,Dex!$B$3:$N1361,13,FALSE),"")</f>
        <v>142</v>
      </c>
      <c r="AA728" s="5100" t="str">
        <f t="array" ref="AA728">IFERROR(VLOOKUP(Z728,Dex!$P$22:$Q$276,2,FALSE),"")</f>
        <v/>
      </c>
      <c r="AB728" s="5101"/>
      <c r="AC728" s="5088"/>
      <c r="AD728" s="5088"/>
      <c r="AE728" s="5088"/>
      <c r="AF728" s="5088"/>
      <c r="AG728" s="5088"/>
      <c r="AH728" s="5089"/>
      <c r="AI728" s="3543"/>
    </row>
    <row r="729" ht="16.5" customHeight="1">
      <c r="A729" s="3535"/>
      <c r="B729" s="5080"/>
      <c r="C729" s="1427" t="s">
        <v>746</v>
      </c>
      <c r="D729" s="5106"/>
      <c r="E729" s="5107" t="s">
        <v>519</v>
      </c>
      <c r="F729" s="630"/>
      <c r="G729" s="631"/>
      <c r="H729" s="632">
        <f>ROUNDDOWN((ROUNDDOWN(((((2*F728+31)*66)/100+5)),0))*1,0)</f>
        <v>78</v>
      </c>
      <c r="I729" s="5085"/>
      <c r="J729" s="5107" t="s">
        <v>519</v>
      </c>
      <c r="K729" s="630"/>
      <c r="L729" s="631"/>
      <c r="M729" s="632">
        <f>ROUNDDOWN((ROUNDDOWN(((((2*K728+31)*66)/100+5)),0))*1,0)</f>
        <v>98</v>
      </c>
      <c r="N729" s="5085"/>
      <c r="O729" s="5107" t="s">
        <v>519</v>
      </c>
      <c r="P729" s="630"/>
      <c r="Q729" s="631"/>
      <c r="R729" s="632">
        <f>ROUNDDOWN((ROUNDDOWN(((((2*P728+31)*66)/100+5)),0))*1.1,0)</f>
        <v>187</v>
      </c>
      <c r="S729" s="5108"/>
      <c r="T729" s="5107" t="s">
        <v>519</v>
      </c>
      <c r="U729" s="630"/>
      <c r="V729" s="631"/>
      <c r="W729" s="632">
        <f>ROUNDDOWN((ROUNDDOWN(((((2*U728+31)*66)/100+5)),0))*1.1,0)</f>
        <v>209</v>
      </c>
      <c r="X729" s="5087"/>
      <c r="Y729" s="5107" t="s">
        <v>519</v>
      </c>
      <c r="Z729" s="630"/>
      <c r="AA729" s="631"/>
      <c r="AB729" s="632">
        <f>ROUNDDOWN((ROUNDDOWN(((((2*Z728+31)*66)/100+5)),0))*1.1,0)</f>
        <v>233</v>
      </c>
      <c r="AC729" s="5088"/>
      <c r="AD729" s="5088"/>
      <c r="AE729" s="5088"/>
      <c r="AF729" s="5088"/>
      <c r="AG729" s="5088"/>
      <c r="AH729" s="5089"/>
      <c r="AI729" s="3543"/>
    </row>
    <row r="730" ht="15.0" customHeight="1">
      <c r="A730" s="3446"/>
      <c r="B730" s="5120"/>
      <c r="C730" s="5121"/>
      <c r="D730" s="5122"/>
      <c r="E730" s="5124"/>
      <c r="F730" s="5124"/>
      <c r="G730" s="5124"/>
      <c r="H730" s="5123"/>
      <c r="I730" s="5122"/>
      <c r="J730" s="5124"/>
      <c r="K730" s="5124"/>
      <c r="L730" s="5124"/>
      <c r="M730" s="5123"/>
      <c r="N730" s="5122"/>
      <c r="O730" s="5124"/>
      <c r="P730" s="5124"/>
      <c r="Q730" s="5124"/>
      <c r="R730" s="5123"/>
      <c r="S730" s="5122"/>
      <c r="T730" s="5124"/>
      <c r="U730" s="5124"/>
      <c r="V730" s="5124"/>
      <c r="W730" s="5124"/>
      <c r="X730" s="5122"/>
      <c r="Y730" s="5125"/>
      <c r="Z730" s="5125"/>
      <c r="AA730" s="5125"/>
      <c r="AB730" s="5122"/>
      <c r="AC730" s="5122"/>
      <c r="AD730" s="5122"/>
      <c r="AE730" s="5122"/>
      <c r="AF730" s="5122"/>
      <c r="AG730" s="5122"/>
      <c r="AH730" s="5126"/>
      <c r="AI730" s="3452"/>
    </row>
    <row r="731" ht="15.0" customHeight="1">
      <c r="A731" s="3446"/>
      <c r="B731" s="5288"/>
      <c r="C731" s="5289"/>
      <c r="D731" s="5289"/>
      <c r="E731" s="5289"/>
      <c r="F731" s="5289"/>
      <c r="G731" s="5289"/>
      <c r="H731" s="5289"/>
      <c r="I731" s="5289"/>
      <c r="J731" s="5289"/>
      <c r="K731" s="5289"/>
      <c r="L731" s="5289"/>
      <c r="M731" s="5289"/>
      <c r="N731" s="5289"/>
      <c r="O731" s="5289"/>
      <c r="P731" s="5289"/>
      <c r="Q731" s="5289"/>
      <c r="R731" s="5289"/>
      <c r="S731" s="5289"/>
      <c r="T731" s="5289"/>
      <c r="U731" s="5289"/>
      <c r="V731" s="5289"/>
      <c r="W731" s="5289"/>
      <c r="X731" s="5289"/>
      <c r="Y731" s="5289"/>
      <c r="Z731" s="5289"/>
      <c r="AA731" s="5289"/>
      <c r="AB731" s="5289"/>
      <c r="AC731" s="5289"/>
      <c r="AD731" s="5289"/>
      <c r="AE731" s="5289"/>
      <c r="AF731" s="5289"/>
      <c r="AG731" s="5289"/>
      <c r="AH731" s="5290"/>
      <c r="AI731" s="3452"/>
    </row>
    <row r="732">
      <c r="A732" s="3446"/>
      <c r="B732" s="2327"/>
      <c r="C732" s="5291"/>
      <c r="D732" s="2346"/>
      <c r="E732" s="5292" t="s">
        <v>1584</v>
      </c>
      <c r="F732" s="2383"/>
      <c r="G732" s="2383"/>
      <c r="H732" s="2383"/>
      <c r="I732" s="2383"/>
      <c r="J732" s="2383"/>
      <c r="K732" s="2383"/>
      <c r="L732" s="2383"/>
      <c r="M732" s="2383"/>
      <c r="N732" s="2383"/>
      <c r="O732" s="2383"/>
      <c r="P732" s="2383"/>
      <c r="Q732" s="2383"/>
      <c r="R732" s="2383"/>
      <c r="S732" s="2383"/>
      <c r="T732" s="2383"/>
      <c r="U732" s="2383"/>
      <c r="V732" s="2383"/>
      <c r="W732" s="2383"/>
      <c r="X732" s="2383"/>
      <c r="Y732" s="2383"/>
      <c r="Z732" s="2383"/>
      <c r="AA732" s="2383"/>
      <c r="AB732" s="2383"/>
      <c r="AC732" s="2383"/>
      <c r="AD732" s="2383"/>
      <c r="AE732" s="2383"/>
      <c r="AF732" s="2383"/>
      <c r="AG732" s="5293"/>
      <c r="AH732" s="5294"/>
      <c r="AI732" s="3452"/>
    </row>
    <row r="733" ht="96.75" customHeight="1">
      <c r="A733" s="3446"/>
      <c r="B733" s="2358"/>
      <c r="C733" s="5295" t="str">
        <f>IMAGE("https://i.ibb.co/qsQbp4Z/Biker.png")</f>
        <v/>
      </c>
      <c r="D733" s="2343"/>
      <c r="E733" s="5296" t="str">
        <f t="array" ref="E733">IFERROR(VLOOKUP(E734,Dex!$B$3:$G1361,3,FALSE),"")</f>
        <v/>
      </c>
      <c r="F733" s="1945"/>
      <c r="G733" s="1945"/>
      <c r="H733" s="1946"/>
      <c r="I733" s="2343"/>
      <c r="J733" s="5296" t="str">
        <f t="array" ref="J733">IFERROR(VLOOKUP(J734,Dex!$B$3:$G1361,3,FALSE),"")</f>
        <v/>
      </c>
      <c r="K733" s="1945"/>
      <c r="L733" s="1945"/>
      <c r="M733" s="1946"/>
      <c r="N733" s="2343"/>
      <c r="O733" s="5296" t="str">
        <f t="array" ref="O733">IFERROR(VLOOKUP(O734,Dex!$B$3:$G1361,3,FALSE),"")</f>
        <v/>
      </c>
      <c r="P733" s="1945"/>
      <c r="Q733" s="1945"/>
      <c r="R733" s="1946"/>
      <c r="S733" s="2343"/>
      <c r="T733" s="5296" t="str">
        <f t="array" ref="T733">IFERROR(VLOOKUP(T734,Dex!$B$3:$G1361,3,FALSE),"")</f>
        <v/>
      </c>
      <c r="U733" s="1945"/>
      <c r="V733" s="1945"/>
      <c r="W733" s="1946"/>
      <c r="X733" s="2344"/>
      <c r="Y733" s="5296" t="str">
        <f t="array" ref="Y733">IFERROR(VLOOKUP(Y734,Dex!$B$3:$G1361,3,FALSE),"")</f>
        <v/>
      </c>
      <c r="Z733" s="1945"/>
      <c r="AA733" s="1945"/>
      <c r="AB733" s="1946"/>
      <c r="AC733" s="2345"/>
      <c r="AD733" s="2329"/>
      <c r="AE733" s="2332"/>
      <c r="AF733" s="2332"/>
      <c r="AG733" s="420"/>
      <c r="AH733" s="2334"/>
      <c r="AI733" s="3452"/>
    </row>
    <row r="734" ht="18.75" customHeight="1">
      <c r="A734" s="3689"/>
      <c r="B734" s="2419"/>
      <c r="C734" s="5297" t="s">
        <v>1585</v>
      </c>
      <c r="E734" s="2351" t="s">
        <v>1586</v>
      </c>
      <c r="F734" s="2352"/>
      <c r="G734" s="2352"/>
      <c r="H734" s="2353"/>
      <c r="J734" s="2351" t="s">
        <v>1587</v>
      </c>
      <c r="K734" s="2352"/>
      <c r="L734" s="2352"/>
      <c r="M734" s="2353"/>
      <c r="O734" s="2351" t="s">
        <v>628</v>
      </c>
      <c r="P734" s="2352"/>
      <c r="Q734" s="2352"/>
      <c r="R734" s="2353"/>
      <c r="T734" s="2351" t="s">
        <v>1588</v>
      </c>
      <c r="U734" s="2352"/>
      <c r="V734" s="2352"/>
      <c r="W734" s="2353"/>
      <c r="Y734" s="2351" t="s">
        <v>1274</v>
      </c>
      <c r="Z734" s="2352"/>
      <c r="AA734" s="2352"/>
      <c r="AB734" s="2353"/>
      <c r="AC734" s="302"/>
      <c r="AD734" s="2354"/>
      <c r="AE734" s="2332"/>
      <c r="AF734" s="2332"/>
      <c r="AG734" s="420"/>
      <c r="AH734" s="2356"/>
      <c r="AI734" s="3700"/>
    </row>
    <row r="735">
      <c r="A735" s="3701"/>
      <c r="B735" s="5298"/>
      <c r="C735" s="1638"/>
      <c r="E735" s="2360" t="s">
        <v>796</v>
      </c>
      <c r="F735" s="2361"/>
      <c r="G735" s="2361"/>
      <c r="H735" s="2362"/>
      <c r="J735" s="2360" t="s">
        <v>796</v>
      </c>
      <c r="K735" s="2361"/>
      <c r="L735" s="2361"/>
      <c r="M735" s="2362"/>
      <c r="O735" s="2360" t="s">
        <v>796</v>
      </c>
      <c r="P735" s="2361"/>
      <c r="Q735" s="2361"/>
      <c r="R735" s="2362"/>
      <c r="T735" s="2360" t="s">
        <v>796</v>
      </c>
      <c r="U735" s="2361"/>
      <c r="V735" s="2361"/>
      <c r="W735" s="2362"/>
      <c r="Y735" s="2360" t="s">
        <v>796</v>
      </c>
      <c r="Z735" s="2361"/>
      <c r="AA735" s="2361"/>
      <c r="AB735" s="2362"/>
      <c r="AC735" s="302"/>
      <c r="AD735" s="2758"/>
      <c r="AE735" s="2332"/>
      <c r="AF735" s="2332"/>
      <c r="AG735" s="420"/>
      <c r="AH735" s="5299"/>
      <c r="AI735" s="3709"/>
    </row>
    <row r="736" ht="25.5" customHeight="1">
      <c r="A736" s="3446"/>
      <c r="B736" s="2358"/>
      <c r="C736" s="1646"/>
      <c r="E736" s="2365"/>
      <c r="F736" s="2369" t="str">
        <f t="array" ref="F736">IFERROR(VLOOKUP(E734,Dex!$B$3:$H1361,5,FALSE),"")</f>
        <v/>
      </c>
      <c r="G736" s="2370" t="str">
        <f t="array" ref="G736">IFERROR(VLOOKUP(E734,Dex!$B$3:$H1361,7,FALSE),"")</f>
        <v/>
      </c>
      <c r="H736" s="2368"/>
      <c r="J736" s="2365"/>
      <c r="K736" s="2369" t="str">
        <f t="array" ref="K736">IFERROR(VLOOKUP(J734,Dex!$B$3:$H1361,5,FALSE),"")</f>
        <v/>
      </c>
      <c r="L736" s="2370" t="str">
        <f t="array" ref="L736">IFERROR(VLOOKUP(J734,Dex!$B$3:$H1361,7,FALSE),"")</f>
        <v/>
      </c>
      <c r="M736" s="2368"/>
      <c r="O736" s="2365"/>
      <c r="P736" s="2369" t="str">
        <f t="array" ref="P736">IFERROR(VLOOKUP(O734,Dex!$B$3:$H1361,5,FALSE),"")</f>
        <v/>
      </c>
      <c r="Q736" s="2370" t="str">
        <f t="array" ref="Q736">IFERROR(VLOOKUP(O734,Dex!$B$3:$H1361,7,FALSE),"")</f>
        <v/>
      </c>
      <c r="R736" s="2368"/>
      <c r="T736" s="2365"/>
      <c r="U736" s="2366" t="str">
        <f t="array" ref="U736">IFERROR(VLOOKUP(T734,Dex!$B$3:$H1361,5,FALSE),"")</f>
        <v/>
      </c>
      <c r="V736" s="2367"/>
      <c r="W736" s="2368"/>
      <c r="Y736" s="2365"/>
      <c r="Z736" s="2369" t="str">
        <f t="array" ref="Z736">IFERROR(VLOOKUP(Y734,Dex!$B$3:$H1361,5,FALSE),"")</f>
        <v/>
      </c>
      <c r="AA736" s="2370" t="str">
        <f t="array" ref="AA736">IFERROR(VLOOKUP(Y734,Dex!$B$3:$H1361,7,FALSE),"")</f>
        <v/>
      </c>
      <c r="AB736" s="2368"/>
      <c r="AC736" s="302"/>
      <c r="AD736" s="2329"/>
      <c r="AE736" s="2332"/>
      <c r="AF736" s="2332"/>
      <c r="AG736" s="420"/>
      <c r="AH736" s="2334"/>
      <c r="AI736" s="3452"/>
    </row>
    <row r="737" ht="2.25" customHeight="1">
      <c r="A737" s="3446"/>
      <c r="B737" s="2358"/>
      <c r="C737" s="5047"/>
      <c r="E737" s="2371"/>
      <c r="F737" s="2372"/>
      <c r="G737" s="2372"/>
      <c r="H737" s="2373"/>
      <c r="J737" s="2371"/>
      <c r="K737" s="2372"/>
      <c r="L737" s="2372"/>
      <c r="M737" s="2373"/>
      <c r="O737" s="2371"/>
      <c r="P737" s="2372"/>
      <c r="Q737" s="2372"/>
      <c r="R737" s="2373"/>
      <c r="T737" s="2371"/>
      <c r="U737" s="2372"/>
      <c r="V737" s="2372"/>
      <c r="W737" s="2373"/>
      <c r="Y737" s="2371"/>
      <c r="Z737" s="2372"/>
      <c r="AA737" s="2372"/>
      <c r="AB737" s="2373"/>
      <c r="AC737" s="302"/>
      <c r="AD737" s="2374"/>
      <c r="AE737" s="2374"/>
      <c r="AF737" s="2374"/>
      <c r="AG737" s="2374"/>
      <c r="AH737" s="2334"/>
      <c r="AI737" s="3452"/>
    </row>
    <row r="738" ht="20.25" customHeight="1">
      <c r="A738" s="3446"/>
      <c r="B738" s="2327"/>
      <c r="C738" s="5300"/>
      <c r="E738" s="2376" t="s">
        <v>566</v>
      </c>
      <c r="F738" s="2377"/>
      <c r="G738" s="2377"/>
      <c r="H738" s="2378"/>
      <c r="J738" s="2376" t="s">
        <v>566</v>
      </c>
      <c r="K738" s="2377"/>
      <c r="L738" s="2377"/>
      <c r="M738" s="2378"/>
      <c r="O738" s="2376" t="s">
        <v>531</v>
      </c>
      <c r="P738" s="2377"/>
      <c r="Q738" s="2377"/>
      <c r="R738" s="2378"/>
      <c r="T738" s="2376" t="s">
        <v>754</v>
      </c>
      <c r="U738" s="2377"/>
      <c r="V738" s="2377"/>
      <c r="W738" s="2378"/>
      <c r="Y738" s="2376" t="s">
        <v>532</v>
      </c>
      <c r="Z738" s="2377"/>
      <c r="AA738" s="2377"/>
      <c r="AB738" s="2378"/>
      <c r="AC738" s="302"/>
      <c r="AD738" s="2329"/>
      <c r="AE738" s="2332"/>
      <c r="AF738" s="2332"/>
      <c r="AG738" s="420"/>
      <c r="AH738" s="2334"/>
      <c r="AI738" s="3452"/>
    </row>
    <row r="739">
      <c r="A739" s="3446"/>
      <c r="B739" s="2327"/>
      <c r="C739" s="2328"/>
      <c r="E739" s="2380" t="s">
        <v>603</v>
      </c>
      <c r="F739" s="2332"/>
      <c r="G739" s="2332"/>
      <c r="H739" s="2381"/>
      <c r="J739" s="2380" t="s">
        <v>681</v>
      </c>
      <c r="K739" s="2332"/>
      <c r="L739" s="2332"/>
      <c r="M739" s="2381"/>
      <c r="O739" s="2380" t="s">
        <v>1589</v>
      </c>
      <c r="P739" s="2332"/>
      <c r="Q739" s="2332"/>
      <c r="R739" s="2381"/>
      <c r="T739" s="2380" t="s">
        <v>484</v>
      </c>
      <c r="U739" s="2332"/>
      <c r="V739" s="2332"/>
      <c r="W739" s="2381"/>
      <c r="Y739" s="2380" t="s">
        <v>1081</v>
      </c>
      <c r="Z739" s="2332"/>
      <c r="AA739" s="2332"/>
      <c r="AB739" s="2381"/>
      <c r="AC739" s="302"/>
      <c r="AD739" s="2329"/>
      <c r="AE739" s="2332"/>
      <c r="AF739" s="2332"/>
      <c r="AG739" s="420"/>
      <c r="AH739" s="2334"/>
      <c r="AI739" s="3452"/>
    </row>
    <row r="740" ht="20.25" customHeight="1">
      <c r="A740" s="3446"/>
      <c r="B740" s="2327"/>
      <c r="C740" s="2328"/>
      <c r="E740" s="2382" t="s">
        <v>1083</v>
      </c>
      <c r="F740" s="2383"/>
      <c r="G740" s="5293"/>
      <c r="H740" s="5301" t="str">
        <f>IMAGE("https://raw.githubusercontent.com/msikma/pokesprite/master/items/berry/custap.png",3)</f>
        <v/>
      </c>
      <c r="J740" s="2382" t="s">
        <v>573</v>
      </c>
      <c r="K740" s="2383"/>
      <c r="L740" s="5293"/>
      <c r="M740" s="5301" t="str">
        <f>IMAGE("https://raw.githubusercontent.com/msikma/pokesprite/master/items/hold-item/focus-sash.png",3)</f>
        <v/>
      </c>
      <c r="O740" s="2382" t="s">
        <v>637</v>
      </c>
      <c r="P740" s="2383"/>
      <c r="Q740" s="5293"/>
      <c r="R740" s="5301" t="str">
        <f>IMAGE("https://raw.githubusercontent.com/msikma/pokesprite/master/items/mega-stone/cameruptite.png",3)</f>
        <v/>
      </c>
      <c r="T740" s="2382" t="s">
        <v>713</v>
      </c>
      <c r="U740" s="2383"/>
      <c r="V740" s="5293"/>
      <c r="W740" s="5301" t="str">
        <f>IMAGE("https://raw.githubusercontent.com/msikma/pokesprite/master/items/hold-item/assault-vest.png",3)</f>
        <v/>
      </c>
      <c r="Y740" s="2382" t="s">
        <v>572</v>
      </c>
      <c r="Z740" s="2383"/>
      <c r="AA740" s="5293"/>
      <c r="AB740" s="5301" t="str">
        <f>IMAGE("https://raw.githubusercontent.com/msikma/pokesprite/master/items/z-crystals/icium-z--held.png",3)</f>
        <v/>
      </c>
      <c r="AC740" s="302"/>
      <c r="AD740" s="2329"/>
      <c r="AE740" s="2332"/>
      <c r="AF740" s="2332"/>
      <c r="AG740" s="420"/>
      <c r="AH740" s="2334"/>
      <c r="AI740" s="3452"/>
    </row>
    <row r="741" ht="20.25" customHeight="1">
      <c r="A741" s="3446"/>
      <c r="B741" s="2327"/>
      <c r="C741" s="2396"/>
      <c r="E741" s="2376" t="s">
        <v>191</v>
      </c>
      <c r="F741" s="2377"/>
      <c r="G741" s="2386"/>
      <c r="H741" s="5302" t="str">
        <f>IMAGE("https://raw.githubusercontent.com/msikma/pokesprite/master/misc/types/gen8/rock.png",4,20,20)</f>
        <v/>
      </c>
      <c r="J741" s="2376" t="s">
        <v>1496</v>
      </c>
      <c r="K741" s="2377"/>
      <c r="L741" s="2386"/>
      <c r="M741" s="5302" t="str">
        <f>IMAGE("https://raw.githubusercontent.com/msikma/pokesprite/master/misc/types/gen8/grass.png",4,20,20)</f>
        <v/>
      </c>
      <c r="O741" s="2376" t="s">
        <v>1211</v>
      </c>
      <c r="P741" s="2377"/>
      <c r="Q741" s="2386"/>
      <c r="R741" s="5302" t="str">
        <f>IMAGE("https://raw.githubusercontent.com/msikma/pokesprite/master/misc/types/gen8/fire.png",4,20,20)</f>
        <v/>
      </c>
      <c r="T741" s="2376" t="s">
        <v>547</v>
      </c>
      <c r="U741" s="2377"/>
      <c r="V741" s="2386"/>
      <c r="W741" s="5302" t="str">
        <f>IMAGE("https://raw.githubusercontent.com/msikma/pokesprite/master/misc/types/gen8/electric.png",4,20,20)</f>
        <v/>
      </c>
      <c r="Y741" s="2376" t="s">
        <v>695</v>
      </c>
      <c r="Z741" s="2377"/>
      <c r="AA741" s="2386"/>
      <c r="AB741" s="5302" t="str">
        <f>IMAGE("https://raw.githubusercontent.com/msikma/pokesprite/master/misc/types/gen8/ground.png",4,20,20)</f>
        <v/>
      </c>
      <c r="AC741" s="302"/>
      <c r="AD741" s="2329"/>
      <c r="AE741" s="2332"/>
      <c r="AF741" s="2332"/>
      <c r="AG741" s="420"/>
      <c r="AH741" s="2334"/>
      <c r="AI741" s="3452"/>
    </row>
    <row r="742" ht="20.25" customHeight="1">
      <c r="A742" s="3446"/>
      <c r="B742" s="2327"/>
      <c r="C742" s="2396"/>
      <c r="E742" s="2380" t="s">
        <v>182</v>
      </c>
      <c r="F742" s="2332"/>
      <c r="G742" s="420"/>
      <c r="H742" s="5303" t="str">
        <f>IMAGE("https://raw.githubusercontent.com/msikma/pokesprite/master/misc/types/gen8/ground.png",4,20,20)</f>
        <v/>
      </c>
      <c r="J742" s="2380" t="s">
        <v>287</v>
      </c>
      <c r="K742" s="2332"/>
      <c r="L742" s="420"/>
      <c r="M742" s="5303" t="str">
        <f>IMAGE("https://raw.githubusercontent.com/msikma/pokesprite/master/misc/types/gen8/normal.png",4,20,20)</f>
        <v/>
      </c>
      <c r="O742" s="2380" t="s">
        <v>644</v>
      </c>
      <c r="P742" s="2332"/>
      <c r="Q742" s="420"/>
      <c r="R742" s="5303" t="str">
        <f>IMAGE("https://raw.githubusercontent.com/msikma/pokesprite/master/misc/types/gen8/ground.png",4,20,20)</f>
        <v/>
      </c>
      <c r="T742" s="2380" t="s">
        <v>1211</v>
      </c>
      <c r="U742" s="2332"/>
      <c r="V742" s="420"/>
      <c r="W742" s="5303" t="str">
        <f>IMAGE("https://raw.githubusercontent.com/msikma/pokesprite/master/misc/types/gen8/fire.png",4,20,20)</f>
        <v/>
      </c>
      <c r="Y742" s="2380" t="s">
        <v>1590</v>
      </c>
      <c r="Z742" s="2332"/>
      <c r="AA742" s="420"/>
      <c r="AB742" s="5303" t="str">
        <f t="shared" ref="AB742:AB743" si="22">IMAGE("https://raw.githubusercontent.com/msikma/pokesprite/master/misc/types/gen8/ice.png",4,20,20)</f>
        <v/>
      </c>
      <c r="AC742" s="302"/>
      <c r="AD742" s="2329"/>
      <c r="AE742" s="2332"/>
      <c r="AF742" s="2332"/>
      <c r="AG742" s="420"/>
      <c r="AH742" s="2334"/>
      <c r="AI742" s="3452"/>
    </row>
    <row r="743" ht="20.25" customHeight="1">
      <c r="A743" s="3446"/>
      <c r="B743" s="2327"/>
      <c r="C743" s="2396"/>
      <c r="E743" s="2380" t="s">
        <v>621</v>
      </c>
      <c r="F743" s="2332"/>
      <c r="G743" s="420"/>
      <c r="H743" s="5303" t="str">
        <f>IMAGE("https://raw.githubusercontent.com/msikma/pokesprite/master/misc/types/gen8/rock.png",4,20,20)</f>
        <v/>
      </c>
      <c r="J743" s="2380" t="s">
        <v>830</v>
      </c>
      <c r="K743" s="2332"/>
      <c r="L743" s="420"/>
      <c r="M743" s="5303" t="str">
        <f>IMAGE("https://raw.githubusercontent.com/msikma/pokesprite/master/misc/types/gen8/bug.png",4,20,20)</f>
        <v/>
      </c>
      <c r="O743" s="2380" t="s">
        <v>692</v>
      </c>
      <c r="P743" s="2332"/>
      <c r="Q743" s="420"/>
      <c r="R743" s="5303" t="str">
        <f>IMAGE("https://raw.githubusercontent.com/msikma/pokesprite/master/misc/types/gen8/grass.png",4,20,20)</f>
        <v/>
      </c>
      <c r="T743" s="2380" t="s">
        <v>543</v>
      </c>
      <c r="U743" s="2332"/>
      <c r="V743" s="420"/>
      <c r="W743" s="5303" t="str">
        <f>IMAGE("https://raw.githubusercontent.com/msikma/pokesprite/master/misc/types/gen8/grass.png",4,20,20)</f>
        <v/>
      </c>
      <c r="Y743" s="2380" t="s">
        <v>1282</v>
      </c>
      <c r="Z743" s="2332"/>
      <c r="AA743" s="420"/>
      <c r="AB743" s="5303" t="str">
        <f t="shared" si="22"/>
        <v/>
      </c>
      <c r="AC743" s="302"/>
      <c r="AD743" s="2329"/>
      <c r="AE743" s="2332"/>
      <c r="AF743" s="2332"/>
      <c r="AG743" s="420"/>
      <c r="AH743" s="2334"/>
      <c r="AI743" s="3452"/>
    </row>
    <row r="744" ht="21.0" customHeight="1">
      <c r="A744" s="3446"/>
      <c r="B744" s="2327"/>
      <c r="C744" s="2396"/>
      <c r="D744" s="2393"/>
      <c r="E744" s="2389" t="s">
        <v>549</v>
      </c>
      <c r="F744" s="2390"/>
      <c r="G744" s="2391"/>
      <c r="H744" s="5304" t="str">
        <f>IMAGE("https://raw.githubusercontent.com/msikma/pokesprite/master/misc/types/gen8/ground.png",4,20,20)</f>
        <v/>
      </c>
      <c r="I744" s="2393"/>
      <c r="J744" s="2389" t="s">
        <v>624</v>
      </c>
      <c r="K744" s="2390"/>
      <c r="L744" s="2391"/>
      <c r="M744" s="5304" t="str">
        <f>IMAGE("https://raw.githubusercontent.com/msikma/pokesprite/master/misc/types/gen8/fighting.png",4,20,20)</f>
        <v/>
      </c>
      <c r="N744" s="2393"/>
      <c r="O744" s="2389" t="s">
        <v>496</v>
      </c>
      <c r="P744" s="2390"/>
      <c r="Q744" s="2391"/>
      <c r="R744" s="5304" t="str">
        <f>IMAGE("https://raw.githubusercontent.com/msikma/pokesprite/master/misc/types/gen8/rock.png",4,20,20)</f>
        <v/>
      </c>
      <c r="S744" s="2393"/>
      <c r="T744" s="2389" t="s">
        <v>581</v>
      </c>
      <c r="U744" s="2390"/>
      <c r="V744" s="2391"/>
      <c r="W744" s="5304" t="str">
        <f>IMAGE("https://raw.githubusercontent.com/msikma/pokesprite/master/misc/types/gen8/electric.png",4,20,20)</f>
        <v/>
      </c>
      <c r="X744" s="2393"/>
      <c r="Y744" s="2389" t="s">
        <v>498</v>
      </c>
      <c r="Z744" s="2390"/>
      <c r="AA744" s="2391"/>
      <c r="AB744" s="5304" t="str">
        <f>IMAGE("https://raw.githubusercontent.com/msikma/pokesprite/master/misc/types/gen8/rock.png",4,20,20)</f>
        <v/>
      </c>
      <c r="AC744" s="510"/>
      <c r="AD744" s="2329"/>
      <c r="AE744" s="2332"/>
      <c r="AF744" s="2332"/>
      <c r="AG744" s="420"/>
      <c r="AH744" s="2334"/>
      <c r="AI744" s="3452"/>
    </row>
    <row r="745" ht="3.0" customHeight="1">
      <c r="A745" s="3524"/>
      <c r="B745" s="2395"/>
      <c r="C745" s="2396"/>
      <c r="D745" s="2397"/>
      <c r="E745" s="5305"/>
      <c r="F745" s="5305"/>
      <c r="G745" s="5305"/>
      <c r="H745" s="5306"/>
      <c r="I745" s="2397"/>
      <c r="J745" s="5307"/>
      <c r="K745" s="5307"/>
      <c r="L745" s="5307"/>
      <c r="M745" s="5306"/>
      <c r="N745" s="2397"/>
      <c r="O745" s="5307"/>
      <c r="P745" s="5307"/>
      <c r="Q745" s="5307"/>
      <c r="R745" s="5308"/>
      <c r="S745" s="2397"/>
      <c r="T745" s="5307"/>
      <c r="U745" s="5307"/>
      <c r="V745" s="5307"/>
      <c r="W745" s="5308"/>
      <c r="X745" s="2397"/>
      <c r="Y745" s="5307"/>
      <c r="Z745" s="5307"/>
      <c r="AA745" s="5307"/>
      <c r="AB745" s="5308"/>
      <c r="AC745" s="2400"/>
      <c r="AD745" s="2400"/>
      <c r="AE745" s="2400"/>
      <c r="AF745" s="2400"/>
      <c r="AG745" s="2400"/>
      <c r="AH745" s="2401"/>
      <c r="AI745" s="3534"/>
    </row>
    <row r="746" ht="16.5" customHeight="1">
      <c r="A746" s="3535"/>
      <c r="B746" s="2403"/>
      <c r="C746" s="2396"/>
      <c r="D746" s="5309"/>
      <c r="E746" s="5310" t="s">
        <v>512</v>
      </c>
      <c r="F746" s="606"/>
      <c r="G746" s="606"/>
      <c r="H746" s="607"/>
      <c r="I746" s="5309"/>
      <c r="J746" s="5310" t="s">
        <v>512</v>
      </c>
      <c r="K746" s="606"/>
      <c r="L746" s="606"/>
      <c r="M746" s="607"/>
      <c r="N746" s="5309"/>
      <c r="O746" s="5310" t="s">
        <v>512</v>
      </c>
      <c r="P746" s="606"/>
      <c r="Q746" s="606"/>
      <c r="R746" s="607"/>
      <c r="S746" s="5309"/>
      <c r="T746" s="5310" t="s">
        <v>512</v>
      </c>
      <c r="U746" s="606"/>
      <c r="V746" s="606"/>
      <c r="W746" s="607"/>
      <c r="X746" s="5311"/>
      <c r="Y746" s="5310" t="s">
        <v>512</v>
      </c>
      <c r="Z746" s="606"/>
      <c r="AA746" s="606"/>
      <c r="AB746" s="607"/>
      <c r="AC746" s="2409"/>
      <c r="AD746" s="2409"/>
      <c r="AE746" s="2409"/>
      <c r="AF746" s="2409"/>
      <c r="AG746" s="2409"/>
      <c r="AH746" s="2410"/>
      <c r="AI746" s="3543"/>
    </row>
    <row r="747" ht="16.5" customHeight="1">
      <c r="A747" s="3535"/>
      <c r="B747" s="2403"/>
      <c r="C747" s="2396"/>
      <c r="D747" s="5312"/>
      <c r="E747" s="5313" t="s">
        <v>513</v>
      </c>
      <c r="F747" s="5314">
        <f t="array" ref="F747">IFERROR(VLOOKUP(E734,Dex!$B$3:$N1361,8,FALSE),"")</f>
        <v>70</v>
      </c>
      <c r="G747" s="5315" t="str">
        <f t="array" ref="G747">IFERROR(VLOOKUP(F747,Dex!$P$22:$Q$276,2,FALSE),"")</f>
        <v/>
      </c>
      <c r="H747" s="5316"/>
      <c r="I747" s="5312"/>
      <c r="J747" s="5313" t="s">
        <v>513</v>
      </c>
      <c r="K747" s="5314">
        <f t="array" ref="K747">IFERROR(VLOOKUP(J734,Dex!$B$3:$N1361,8,FALSE),"")</f>
        <v>75</v>
      </c>
      <c r="L747" s="5315" t="str">
        <f t="array" ref="L747">IFERROR(VLOOKUP(K747,Dex!$P$22:$Q$276,2,FALSE),"")</f>
        <v/>
      </c>
      <c r="M747" s="5316"/>
      <c r="N747" s="5312"/>
      <c r="O747" s="5313" t="s">
        <v>513</v>
      </c>
      <c r="P747" s="5314">
        <f t="array" ref="P747">IFERROR(VLOOKUP(O734,Dex!$B$3:$N1361,8,FALSE),"")</f>
        <v>90</v>
      </c>
      <c r="Q747" s="5315" t="str">
        <f t="array" ref="Q747">IFERROR(VLOOKUP(P747,Dex!$P$22:$Q$276,2,FALSE),"")</f>
        <v/>
      </c>
      <c r="R747" s="5316"/>
      <c r="S747" s="5312"/>
      <c r="T747" s="5313" t="s">
        <v>513</v>
      </c>
      <c r="U747" s="5314">
        <f t="array" ref="U747">IFERROR(VLOOKUP(T734,Dex!$B$3:$N1361,8,FALSE),"")</f>
        <v>85</v>
      </c>
      <c r="V747" s="5315" t="str">
        <f t="array" ref="V747">IFERROR(VLOOKUP(U747,Dex!$P$22:$Q$276,2,FALSE),"")</f>
        <v/>
      </c>
      <c r="W747" s="5316"/>
      <c r="X747" s="5317"/>
      <c r="Y747" s="5313" t="s">
        <v>513</v>
      </c>
      <c r="Z747" s="5314">
        <f t="array" ref="Z747">IFERROR(VLOOKUP(Y734,Dex!$B$3:$N1361,8,FALSE),"")</f>
        <v>110</v>
      </c>
      <c r="AA747" s="5315" t="str">
        <f t="array" ref="AA747">IFERROR(VLOOKUP(Z747,Dex!$P$22:$Q$276,2,FALSE),"")</f>
        <v/>
      </c>
      <c r="AB747" s="5316"/>
      <c r="AC747" s="2409"/>
      <c r="AD747" s="2409"/>
      <c r="AE747" s="2409"/>
      <c r="AF747" s="2409"/>
      <c r="AG747" s="2409"/>
      <c r="AH747" s="2410"/>
      <c r="AI747" s="3543"/>
    </row>
    <row r="748" ht="16.5" customHeight="1">
      <c r="A748" s="3535"/>
      <c r="B748" s="2403"/>
      <c r="C748" s="2396"/>
      <c r="D748" s="5312"/>
      <c r="E748" s="5318" t="s">
        <v>514</v>
      </c>
      <c r="F748" s="5319">
        <f t="array" ref="F748">IFERROR(VLOOKUP(E734,Dex!$B$3:$N1361,9,FALSE),"")</f>
        <v>105</v>
      </c>
      <c r="G748" s="5320" t="str">
        <f t="array" ref="G748">IFERROR(VLOOKUP(F748,Dex!$P$22:$Q$276,2,FALSE),"")</f>
        <v/>
      </c>
      <c r="H748" s="5321"/>
      <c r="I748" s="5312"/>
      <c r="J748" s="5318" t="s">
        <v>514</v>
      </c>
      <c r="K748" s="5319">
        <f t="array" ref="K748">IFERROR(VLOOKUP(J734,Dex!$B$3:$N1361,9,FALSE),"")</f>
        <v>103</v>
      </c>
      <c r="L748" s="5320" t="str">
        <f t="array" ref="L748">IFERROR(VLOOKUP(K748,Dex!$P$22:$Q$276,2,FALSE),"")</f>
        <v/>
      </c>
      <c r="M748" s="5321"/>
      <c r="N748" s="5312"/>
      <c r="O748" s="5318" t="s">
        <v>514</v>
      </c>
      <c r="P748" s="5319">
        <f t="array" ref="P748">IFERROR(VLOOKUP(O734,Dex!$B$3:$N1361,9,FALSE),"")</f>
        <v>100</v>
      </c>
      <c r="Q748" s="5320" t="str">
        <f t="array" ref="Q748">IFERROR(VLOOKUP(P748,Dex!$P$22:$Q$276,2,FALSE),"")</f>
        <v/>
      </c>
      <c r="R748" s="5321"/>
      <c r="S748" s="5312"/>
      <c r="T748" s="5318" t="s">
        <v>514</v>
      </c>
      <c r="U748" s="5319">
        <f t="array" ref="U748">IFERROR(VLOOKUP(T734,Dex!$B$3:$N1361,9,FALSE),"")</f>
        <v>105</v>
      </c>
      <c r="V748" s="5320" t="str">
        <f t="array" ref="V748">IFERROR(VLOOKUP(U748,Dex!$P$22:$Q$276,2,FALSE),"")</f>
        <v/>
      </c>
      <c r="W748" s="5321"/>
      <c r="X748" s="5317"/>
      <c r="Y748" s="5318" t="s">
        <v>514</v>
      </c>
      <c r="Z748" s="5319">
        <f t="array" ref="Z748">IFERROR(VLOOKUP(Y734,Dex!$B$3:$N1361,9,FALSE),"")</f>
        <v>130</v>
      </c>
      <c r="AA748" s="5320" t="str">
        <f t="array" ref="AA748">IFERROR(VLOOKUP(Z748,Dex!$P$22:$Q$276,2,FALSE),"")</f>
        <v/>
      </c>
      <c r="AB748" s="5321"/>
      <c r="AC748" s="2409"/>
      <c r="AD748" s="2409"/>
      <c r="AE748" s="2409"/>
      <c r="AF748" s="2409"/>
      <c r="AG748" s="2409"/>
      <c r="AH748" s="2410"/>
      <c r="AI748" s="3543"/>
    </row>
    <row r="749" ht="16.5" customHeight="1">
      <c r="A749" s="3535"/>
      <c r="B749" s="2403"/>
      <c r="C749" s="2396"/>
      <c r="D749" s="5312"/>
      <c r="E749" s="5318" t="s">
        <v>515</v>
      </c>
      <c r="F749" s="5319">
        <f t="array" ref="F749">IFERROR(VLOOKUP(E734,Dex!$B$3:$N1361,10,FALSE),"")</f>
        <v>125</v>
      </c>
      <c r="G749" s="5320" t="str">
        <f t="array" ref="G749">IFERROR(VLOOKUP(F749,Dex!$P$22:$Q$276,2,FALSE),"")</f>
        <v/>
      </c>
      <c r="H749" s="5321"/>
      <c r="I749" s="5312"/>
      <c r="J749" s="5318" t="s">
        <v>515</v>
      </c>
      <c r="K749" s="5319">
        <f t="array" ref="K749">IFERROR(VLOOKUP(J734,Dex!$B$3:$N1361,10,FALSE),"")</f>
        <v>80</v>
      </c>
      <c r="L749" s="5320" t="str">
        <f t="array" ref="L749">IFERROR(VLOOKUP(K749,Dex!$P$22:$Q$276,2,FALSE),"")</f>
        <v/>
      </c>
      <c r="M749" s="5321"/>
      <c r="N749" s="5312"/>
      <c r="O749" s="5318" t="s">
        <v>515</v>
      </c>
      <c r="P749" s="5319">
        <f t="array" ref="P749">IFERROR(VLOOKUP(O734,Dex!$B$3:$N1361,10,FALSE),"")</f>
        <v>110</v>
      </c>
      <c r="Q749" s="5320" t="str">
        <f t="array" ref="Q749">IFERROR(VLOOKUP(P749,Dex!$P$22:$Q$276,2,FALSE),"")</f>
        <v/>
      </c>
      <c r="R749" s="5321"/>
      <c r="S749" s="5312"/>
      <c r="T749" s="5318" t="s">
        <v>515</v>
      </c>
      <c r="U749" s="5319">
        <f t="array" ref="U749">IFERROR(VLOOKUP(T734,Dex!$B$3:$N1361,10,FALSE),"")</f>
        <v>80</v>
      </c>
      <c r="V749" s="5320" t="str">
        <f t="array" ref="V749">IFERROR(VLOOKUP(U749,Dex!$P$22:$Q$276,2,FALSE),"")</f>
        <v/>
      </c>
      <c r="W749" s="5321"/>
      <c r="X749" s="5317"/>
      <c r="Y749" s="5318" t="s">
        <v>515</v>
      </c>
      <c r="Z749" s="5319">
        <f t="array" ref="Z749">IFERROR(VLOOKUP(Y734,Dex!$B$3:$N1361,10,FALSE),"")</f>
        <v>80</v>
      </c>
      <c r="AA749" s="5320" t="str">
        <f t="array" ref="AA749">IFERROR(VLOOKUP(Z749,Dex!$P$22:$Q$276,2,FALSE),"")</f>
        <v/>
      </c>
      <c r="AB749" s="5321"/>
      <c r="AC749" s="2409"/>
      <c r="AD749" s="2409"/>
      <c r="AE749" s="2409"/>
      <c r="AF749" s="2409"/>
      <c r="AG749" s="2409"/>
      <c r="AH749" s="2410"/>
      <c r="AI749" s="3543"/>
    </row>
    <row r="750" ht="16.5" customHeight="1">
      <c r="A750" s="3535"/>
      <c r="B750" s="2403"/>
      <c r="C750" s="2396"/>
      <c r="D750" s="5312"/>
      <c r="E750" s="5318" t="s">
        <v>516</v>
      </c>
      <c r="F750" s="5319">
        <f t="array" ref="F750">IFERROR(VLOOKUP(E734,Dex!$B$3:$N1361,11,FALSE),"")</f>
        <v>65</v>
      </c>
      <c r="G750" s="5320" t="str">
        <f t="array" ref="G750">IFERROR(VLOOKUP(F750,Dex!$P$22:$Q$276,2,FALSE),"")</f>
        <v/>
      </c>
      <c r="H750" s="5321"/>
      <c r="I750" s="5312"/>
      <c r="J750" s="5318" t="s">
        <v>516</v>
      </c>
      <c r="K750" s="5319">
        <f t="array" ref="K750">IFERROR(VLOOKUP(J734,Dex!$B$3:$N1361,11,FALSE),"")</f>
        <v>70</v>
      </c>
      <c r="L750" s="5320" t="str">
        <f t="array" ref="L750">IFERROR(VLOOKUP(K750,Dex!$P$22:$Q$276,2,FALSE),"")</f>
        <v/>
      </c>
      <c r="M750" s="5321"/>
      <c r="N750" s="5312"/>
      <c r="O750" s="5318" t="s">
        <v>516</v>
      </c>
      <c r="P750" s="5319">
        <f t="array" ref="P750">IFERROR(VLOOKUP(O734,Dex!$B$3:$N1361,11,FALSE),"")</f>
        <v>145</v>
      </c>
      <c r="Q750" s="5320" t="str">
        <f t="array" ref="Q750">IFERROR(VLOOKUP(P750,Dex!$P$22:$Q$276,2,FALSE),"")</f>
        <v/>
      </c>
      <c r="R750" s="5321"/>
      <c r="S750" s="5312"/>
      <c r="T750" s="5318" t="s">
        <v>516</v>
      </c>
      <c r="U750" s="5319">
        <f t="array" ref="U750">IFERROR(VLOOKUP(T734,Dex!$B$3:$N1361,11,FALSE),"")</f>
        <v>115</v>
      </c>
      <c r="V750" s="5320" t="str">
        <f t="array" ref="V750">IFERROR(VLOOKUP(U750,Dex!$P$22:$Q$276,2,FALSE),"")</f>
        <v/>
      </c>
      <c r="W750" s="5321"/>
      <c r="X750" s="5317"/>
      <c r="Y750" s="5318" t="s">
        <v>516</v>
      </c>
      <c r="Z750" s="5319">
        <f t="array" ref="Z750">IFERROR(VLOOKUP(Y734,Dex!$B$3:$N1361,11,FALSE),"")</f>
        <v>70</v>
      </c>
      <c r="AA750" s="5320" t="str">
        <f t="array" ref="AA750">IFERROR(VLOOKUP(Z750,Dex!$P$22:$Q$276,2,FALSE),"")</f>
        <v/>
      </c>
      <c r="AB750" s="5321"/>
      <c r="AC750" s="2409"/>
      <c r="AD750" s="2409"/>
      <c r="AE750" s="2409"/>
      <c r="AF750" s="2409"/>
      <c r="AG750" s="2409"/>
      <c r="AH750" s="2410"/>
      <c r="AI750" s="3543"/>
    </row>
    <row r="751" ht="16.5" customHeight="1">
      <c r="A751" s="3535"/>
      <c r="B751" s="2403"/>
      <c r="C751" s="2396"/>
      <c r="D751" s="5312"/>
      <c r="E751" s="5318" t="s">
        <v>517</v>
      </c>
      <c r="F751" s="5319">
        <f t="array" ref="F751">IFERROR(VLOOKUP(E734,Dex!$B$3:$N1361,12,FALSE),"")</f>
        <v>75</v>
      </c>
      <c r="G751" s="5320" t="str">
        <f t="array" ref="G751">IFERROR(VLOOKUP(F751,Dex!$P$22:$Q$276,2,FALSE),"")</f>
        <v/>
      </c>
      <c r="H751" s="5321"/>
      <c r="I751" s="5312"/>
      <c r="J751" s="5318" t="s">
        <v>517</v>
      </c>
      <c r="K751" s="5319">
        <f t="array" ref="K751">IFERROR(VLOOKUP(J734,Dex!$B$3:$N1361,12,FALSE),"")</f>
        <v>80</v>
      </c>
      <c r="L751" s="5320" t="str">
        <f t="array" ref="L751">IFERROR(VLOOKUP(K751,Dex!$P$22:$Q$276,2,FALSE),"")</f>
        <v/>
      </c>
      <c r="M751" s="5321"/>
      <c r="N751" s="5312"/>
      <c r="O751" s="5318" t="s">
        <v>517</v>
      </c>
      <c r="P751" s="5319">
        <f t="array" ref="P751">IFERROR(VLOOKUP(O734,Dex!$B$3:$N1361,12,FALSE),"")</f>
        <v>115</v>
      </c>
      <c r="Q751" s="5320" t="str">
        <f t="array" ref="Q751">IFERROR(VLOOKUP(P751,Dex!$P$22:$Q$276,2,FALSE),"")</f>
        <v/>
      </c>
      <c r="R751" s="5321"/>
      <c r="S751" s="5312"/>
      <c r="T751" s="5318" t="s">
        <v>517</v>
      </c>
      <c r="U751" s="5319">
        <f t="array" ref="U751">IFERROR(VLOOKUP(T734,Dex!$B$3:$N1361,12,FALSE),"")</f>
        <v>80</v>
      </c>
      <c r="V751" s="5320" t="str">
        <f t="array" ref="V751">IFERROR(VLOOKUP(U751,Dex!$P$22:$Q$276,2,FALSE),"")</f>
        <v/>
      </c>
      <c r="W751" s="5321"/>
      <c r="X751" s="5317"/>
      <c r="Y751" s="5318" t="s">
        <v>517</v>
      </c>
      <c r="Z751" s="5319">
        <f t="array" ref="Z751">IFERROR(VLOOKUP(Y734,Dex!$B$3:$N1361,12,FALSE),"")</f>
        <v>60</v>
      </c>
      <c r="AA751" s="5320" t="str">
        <f t="array" ref="AA751">IFERROR(VLOOKUP(Z751,Dex!$P$22:$Q$276,2,FALSE),"")</f>
        <v/>
      </c>
      <c r="AB751" s="5321"/>
      <c r="AC751" s="2409"/>
      <c r="AD751" s="2409"/>
      <c r="AE751" s="2409"/>
      <c r="AF751" s="2409"/>
      <c r="AG751" s="2409"/>
      <c r="AH751" s="2410"/>
      <c r="AI751" s="3543"/>
    </row>
    <row r="752" ht="16.5" customHeight="1">
      <c r="A752" s="3535"/>
      <c r="B752" s="2403"/>
      <c r="C752" s="1426" t="s">
        <v>745</v>
      </c>
      <c r="D752" s="5312"/>
      <c r="E752" s="5322" t="s">
        <v>518</v>
      </c>
      <c r="F752" s="5323">
        <f t="array" ref="F752">IFERROR(VLOOKUP(E734,Dex!$B$3:$N1361,13,FALSE),"")</f>
        <v>55</v>
      </c>
      <c r="G752" s="5320" t="str">
        <f t="array" ref="G752">IFERROR(VLOOKUP(F752,Dex!$P$22:$Q$276,2,FALSE),"")</f>
        <v/>
      </c>
      <c r="H752" s="5321"/>
      <c r="I752" s="5312"/>
      <c r="J752" s="5322" t="s">
        <v>518</v>
      </c>
      <c r="K752" s="5323">
        <f t="array" ref="K752">IFERROR(VLOOKUP(J734,Dex!$B$3:$N1361,13,FALSE),"")</f>
        <v>92</v>
      </c>
      <c r="L752" s="5320" t="str">
        <f t="array" ref="L752">IFERROR(VLOOKUP(K752,Dex!$P$22:$Q$276,2,FALSE),"")</f>
        <v/>
      </c>
      <c r="M752" s="5321"/>
      <c r="N752" s="5312"/>
      <c r="O752" s="5322" t="s">
        <v>518</v>
      </c>
      <c r="P752" s="5323">
        <f t="array" ref="P752">IFERROR(VLOOKUP(O734,Dex!$B$3:$N1361,13,FALSE),"")</f>
        <v>20</v>
      </c>
      <c r="Q752" s="5320" t="str">
        <f t="array" ref="Q752">IFERROR(VLOOKUP(P752,Dex!$P$22:$Q$276,2,FALSE),"")</f>
        <v/>
      </c>
      <c r="R752" s="5321"/>
      <c r="S752" s="5312"/>
      <c r="T752" s="5322" t="s">
        <v>518</v>
      </c>
      <c r="U752" s="5323">
        <f t="array" ref="U752">IFERROR(VLOOKUP(T734,Dex!$B$3:$N1361,13,FALSE),"")</f>
        <v>50</v>
      </c>
      <c r="V752" s="5320" t="str">
        <f t="array" ref="V752">IFERROR(VLOOKUP(U752,Dex!$P$22:$Q$276,2,FALSE),"")</f>
        <v/>
      </c>
      <c r="W752" s="5321"/>
      <c r="X752" s="5317"/>
      <c r="Y752" s="5322" t="s">
        <v>518</v>
      </c>
      <c r="Z752" s="5323">
        <f t="array" ref="Z752">IFERROR(VLOOKUP(Y734,Dex!$B$3:$N1361,13,FALSE),"")</f>
        <v>80</v>
      </c>
      <c r="AA752" s="5320" t="str">
        <f t="array" ref="AA752">IFERROR(VLOOKUP(Z752,Dex!$P$22:$Q$276,2,FALSE),"")</f>
        <v/>
      </c>
      <c r="AB752" s="5321"/>
      <c r="AC752" s="2409"/>
      <c r="AD752" s="2409"/>
      <c r="AE752" s="2409"/>
      <c r="AF752" s="2409"/>
      <c r="AG752" s="2409"/>
      <c r="AH752" s="2410"/>
      <c r="AI752" s="3543"/>
    </row>
    <row r="753" ht="16.5" customHeight="1">
      <c r="A753" s="3535"/>
      <c r="B753" s="2403"/>
      <c r="C753" s="1427" t="s">
        <v>746</v>
      </c>
      <c r="D753" s="5309"/>
      <c r="E753" s="5324" t="s">
        <v>519</v>
      </c>
      <c r="F753" s="630"/>
      <c r="G753" s="631"/>
      <c r="H753" s="632">
        <f>ROUNDDOWN((ROUNDDOWN(((((2*F752+31)*66)/100+5)),0))*1,0)</f>
        <v>98</v>
      </c>
      <c r="I753" s="5309"/>
      <c r="J753" s="5325" t="s">
        <v>519</v>
      </c>
      <c r="K753" s="635"/>
      <c r="L753" s="636"/>
      <c r="M753" s="632">
        <f>ROUNDDOWN((ROUNDDOWN(((((2*K752+31)*66)/100+5)),0))*1,0)</f>
        <v>146</v>
      </c>
      <c r="N753" s="5309"/>
      <c r="O753" s="5324" t="s">
        <v>519</v>
      </c>
      <c r="P753" s="630"/>
      <c r="Q753" s="631"/>
      <c r="R753" s="632">
        <f>ROUNDDOWN((ROUNDDOWN(((((2*P752+31)*66)/100+5)),0))*1,0)</f>
        <v>51</v>
      </c>
      <c r="S753" s="5309"/>
      <c r="T753" s="5324" t="s">
        <v>519</v>
      </c>
      <c r="U753" s="630"/>
      <c r="V753" s="631"/>
      <c r="W753" s="632">
        <f>ROUNDDOWN((ROUNDDOWN(((((2*U752+31)*66)/100+5)),0))*1,0)</f>
        <v>91</v>
      </c>
      <c r="X753" s="5311"/>
      <c r="Y753" s="5324" t="s">
        <v>519</v>
      </c>
      <c r="Z753" s="630"/>
      <c r="AA753" s="631"/>
      <c r="AB753" s="632">
        <f>ROUNDDOWN((ROUNDDOWN(((((2*Z752+31)*66)/100+5)),0))*1.1,0)</f>
        <v>144</v>
      </c>
      <c r="AC753" s="2409"/>
      <c r="AD753" s="2409"/>
      <c r="AE753" s="2409"/>
      <c r="AF753" s="2409"/>
      <c r="AG753" s="2409"/>
      <c r="AH753" s="2410"/>
      <c r="AI753" s="3543"/>
    </row>
    <row r="754" ht="16.5" customHeight="1">
      <c r="A754" s="3535"/>
      <c r="B754" s="2403"/>
      <c r="C754" s="2396"/>
      <c r="D754" s="5326"/>
      <c r="E754" s="2396"/>
      <c r="F754" s="2396"/>
      <c r="G754" s="2396"/>
      <c r="H754" s="2396"/>
      <c r="I754" s="5326"/>
      <c r="J754" s="5327" t="s">
        <v>700</v>
      </c>
      <c r="K754" s="643"/>
      <c r="L754" s="644"/>
      <c r="M754" s="3064">
        <f>M753*2</f>
        <v>292</v>
      </c>
      <c r="N754" s="5326"/>
      <c r="O754" s="5328"/>
      <c r="P754" s="5328"/>
      <c r="Q754" s="5328"/>
      <c r="R754" s="2396"/>
      <c r="S754" s="5326"/>
      <c r="T754" s="5328"/>
      <c r="U754" s="5328"/>
      <c r="V754" s="5328"/>
      <c r="W754" s="2396"/>
      <c r="X754" s="2407"/>
      <c r="Y754" s="5329"/>
      <c r="Z754" s="5330"/>
      <c r="AA754" s="5330"/>
      <c r="AB754" s="2409"/>
      <c r="AC754" s="2409"/>
      <c r="AD754" s="2409"/>
      <c r="AE754" s="2409"/>
      <c r="AF754" s="2409"/>
      <c r="AG754" s="2409"/>
      <c r="AH754" s="2410"/>
      <c r="AI754" s="3543"/>
    </row>
    <row r="755" ht="15.0" customHeight="1">
      <c r="A755" s="3446"/>
      <c r="B755" s="2440"/>
      <c r="C755" s="2441"/>
      <c r="D755" s="5331"/>
      <c r="E755" s="5332"/>
      <c r="F755" s="5332"/>
      <c r="G755" s="5332"/>
      <c r="H755" s="5332"/>
      <c r="I755" s="5331"/>
      <c r="J755" s="5332"/>
      <c r="K755" s="5332"/>
      <c r="L755" s="5332"/>
      <c r="M755" s="5332"/>
      <c r="N755" s="5331"/>
      <c r="O755" s="5332"/>
      <c r="P755" s="5332"/>
      <c r="Q755" s="5332"/>
      <c r="R755" s="5332"/>
      <c r="S755" s="5331"/>
      <c r="T755" s="5332"/>
      <c r="U755" s="5332"/>
      <c r="V755" s="5332"/>
      <c r="W755" s="5332"/>
      <c r="X755" s="2442"/>
      <c r="Y755" s="2442"/>
      <c r="Z755" s="2442"/>
      <c r="AA755" s="2442"/>
      <c r="AB755" s="2442"/>
      <c r="AC755" s="2442"/>
      <c r="AD755" s="2442"/>
      <c r="AE755" s="2442"/>
      <c r="AF755" s="2442"/>
      <c r="AG755" s="2442"/>
      <c r="AH755" s="2445"/>
      <c r="AI755" s="3452"/>
    </row>
    <row r="756" ht="15.0" customHeight="1">
      <c r="A756" s="3446"/>
      <c r="B756" s="5003"/>
      <c r="C756" s="5004"/>
      <c r="D756" s="5005"/>
      <c r="E756" s="5006"/>
      <c r="F756" s="5006"/>
      <c r="G756" s="5006"/>
      <c r="H756" s="5006"/>
      <c r="I756" s="5006"/>
      <c r="J756" s="5006"/>
      <c r="K756" s="5006"/>
      <c r="L756" s="5006"/>
      <c r="M756" s="5006"/>
      <c r="N756" s="5006"/>
      <c r="O756" s="5006"/>
      <c r="P756" s="5006"/>
      <c r="Q756" s="5006"/>
      <c r="R756" s="5006"/>
      <c r="S756" s="5006"/>
      <c r="T756" s="5006"/>
      <c r="U756" s="5006"/>
      <c r="V756" s="5006"/>
      <c r="W756" s="5006"/>
      <c r="X756" s="5006"/>
      <c r="Y756" s="5006"/>
      <c r="Z756" s="5006"/>
      <c r="AA756" s="5006"/>
      <c r="AB756" s="5006"/>
      <c r="AC756" s="5006"/>
      <c r="AD756" s="5006"/>
      <c r="AE756" s="5006"/>
      <c r="AF756" s="5006"/>
      <c r="AG756" s="5006"/>
      <c r="AH756" s="5007"/>
      <c r="AI756" s="3452"/>
    </row>
    <row r="757">
      <c r="A757" s="3446"/>
      <c r="B757" s="5008"/>
      <c r="C757" s="5009"/>
      <c r="D757" s="5010"/>
      <c r="E757" s="5011" t="s">
        <v>1591</v>
      </c>
      <c r="F757" s="5012"/>
      <c r="G757" s="5012"/>
      <c r="H757" s="5012"/>
      <c r="I757" s="5012"/>
      <c r="J757" s="5012"/>
      <c r="K757" s="5012"/>
      <c r="L757" s="5012"/>
      <c r="M757" s="5012"/>
      <c r="N757" s="5012"/>
      <c r="O757" s="5012"/>
      <c r="P757" s="5012"/>
      <c r="Q757" s="5012"/>
      <c r="R757" s="5012"/>
      <c r="S757" s="5012"/>
      <c r="T757" s="5012"/>
      <c r="U757" s="5012"/>
      <c r="V757" s="5012"/>
      <c r="W757" s="5012"/>
      <c r="X757" s="5012"/>
      <c r="Y757" s="5012"/>
      <c r="Z757" s="5012"/>
      <c r="AA757" s="5012"/>
      <c r="AB757" s="5012"/>
      <c r="AC757" s="5012"/>
      <c r="AD757" s="5012"/>
      <c r="AE757" s="5012"/>
      <c r="AF757" s="5012"/>
      <c r="AG757" s="5013"/>
      <c r="AH757" s="5014"/>
      <c r="AI757" s="3452"/>
    </row>
    <row r="758" ht="96.75" customHeight="1">
      <c r="A758" s="3446"/>
      <c r="B758" s="5015"/>
      <c r="C758" s="5016" t="str">
        <f>IMAGE("https://i.ibb.co/26GFSbd/Bird-Keeper.png")</f>
        <v/>
      </c>
      <c r="D758" s="5017"/>
      <c r="E758" s="5018" t="str">
        <f t="array" ref="E758">IFERROR(VLOOKUP(E759,Dex!$B$3:$G1361,3,FALSE),"")</f>
        <v/>
      </c>
      <c r="F758" s="606"/>
      <c r="G758" s="606"/>
      <c r="H758" s="4452"/>
      <c r="I758" s="5019"/>
      <c r="J758" s="5018" t="str">
        <f t="array" ref="J758">IFERROR(VLOOKUP(J759,Dex!$B$3:$G1361,3,FALSE),"")</f>
        <v/>
      </c>
      <c r="K758" s="606"/>
      <c r="L758" s="606"/>
      <c r="M758" s="4452"/>
      <c r="N758" s="5019"/>
      <c r="O758" s="5018" t="str">
        <f t="array" ref="O758">IFERROR(VLOOKUP(O759,Dex!$B$3:$G1361,3,FALSE),"")</f>
        <v/>
      </c>
      <c r="P758" s="606"/>
      <c r="Q758" s="606"/>
      <c r="R758" s="4452"/>
      <c r="S758" s="5019"/>
      <c r="T758" s="5018" t="str">
        <f t="array" ref="T758">IFERROR(VLOOKUP(T759,Dex!$B$3:$G1361,3,FALSE),"")</f>
        <v/>
      </c>
      <c r="U758" s="606"/>
      <c r="V758" s="606"/>
      <c r="W758" s="4452"/>
      <c r="X758" s="5020"/>
      <c r="Y758" s="5018" t="str">
        <f t="array" ref="Y758">IFERROR(VLOOKUP(Y759,Dex!$B$3:$G1361,3,FALSE),"")</f>
        <v/>
      </c>
      <c r="Z758" s="606"/>
      <c r="AA758" s="606"/>
      <c r="AB758" s="4452"/>
      <c r="AC758" s="5021"/>
      <c r="AD758" s="5022"/>
      <c r="AE758" s="5023"/>
      <c r="AF758" s="5023"/>
      <c r="AG758" s="5024"/>
      <c r="AH758" s="5025"/>
      <c r="AI758" s="3452"/>
    </row>
    <row r="759" ht="18.75" customHeight="1">
      <c r="A759" s="3689"/>
      <c r="B759" s="5026"/>
      <c r="C759" s="5027" t="s">
        <v>1592</v>
      </c>
      <c r="D759" s="5028"/>
      <c r="E759" s="5029" t="s">
        <v>1310</v>
      </c>
      <c r="F759" s="5030"/>
      <c r="G759" s="5030"/>
      <c r="H759" s="5031"/>
      <c r="J759" s="5029" t="s">
        <v>1593</v>
      </c>
      <c r="K759" s="5030"/>
      <c r="L759" s="5030"/>
      <c r="M759" s="5031"/>
      <c r="O759" s="5029" t="s">
        <v>1594</v>
      </c>
      <c r="P759" s="5030"/>
      <c r="Q759" s="5030"/>
      <c r="R759" s="5031"/>
      <c r="T759" s="5029" t="s">
        <v>1595</v>
      </c>
      <c r="U759" s="5030"/>
      <c r="V759" s="5030"/>
      <c r="W759" s="5031"/>
      <c r="Y759" s="5029" t="s">
        <v>243</v>
      </c>
      <c r="Z759" s="5030"/>
      <c r="AA759" s="5030"/>
      <c r="AB759" s="5031"/>
      <c r="AC759" s="5032"/>
      <c r="AD759" s="5033"/>
      <c r="AE759" s="5023"/>
      <c r="AF759" s="5023"/>
      <c r="AG759" s="5024"/>
      <c r="AH759" s="5034"/>
      <c r="AI759" s="3700"/>
    </row>
    <row r="760">
      <c r="A760" s="3701"/>
      <c r="B760" s="5035"/>
      <c r="C760" s="1638"/>
      <c r="D760" s="5036"/>
      <c r="E760" s="5037" t="s">
        <v>796</v>
      </c>
      <c r="F760" s="5038"/>
      <c r="G760" s="5038"/>
      <c r="H760" s="5039"/>
      <c r="J760" s="5037" t="s">
        <v>796</v>
      </c>
      <c r="K760" s="5038"/>
      <c r="L760" s="5038"/>
      <c r="M760" s="5039"/>
      <c r="O760" s="5037" t="s">
        <v>796</v>
      </c>
      <c r="P760" s="5038"/>
      <c r="Q760" s="5038"/>
      <c r="R760" s="5039"/>
      <c r="T760" s="5037" t="s">
        <v>796</v>
      </c>
      <c r="U760" s="5038"/>
      <c r="V760" s="5038"/>
      <c r="W760" s="5039"/>
      <c r="Y760" s="5037" t="s">
        <v>796</v>
      </c>
      <c r="Z760" s="5038"/>
      <c r="AA760" s="5038"/>
      <c r="AB760" s="5039"/>
      <c r="AC760" s="5032"/>
      <c r="AD760" s="5040"/>
      <c r="AE760" s="5023"/>
      <c r="AF760" s="5023"/>
      <c r="AG760" s="5024"/>
      <c r="AH760" s="5041"/>
      <c r="AI760" s="3709"/>
    </row>
    <row r="761" ht="25.5" customHeight="1">
      <c r="A761" s="3446"/>
      <c r="B761" s="5015"/>
      <c r="C761" s="1646"/>
      <c r="D761" s="5042"/>
      <c r="E761" s="5043"/>
      <c r="F761" s="5044" t="str">
        <f t="array" ref="F761">IFERROR(VLOOKUP(E759,Dex!$B$3:$H1361,5,FALSE),"")</f>
        <v/>
      </c>
      <c r="G761" s="5045" t="str">
        <f t="array" ref="G761">IFERROR(VLOOKUP(E759,Dex!$B$3:$H1361,7,FALSE),"")</f>
        <v/>
      </c>
      <c r="H761" s="5046"/>
      <c r="J761" s="5043"/>
      <c r="K761" s="5044" t="str">
        <f t="array" ref="K761">IFERROR(VLOOKUP(J759,Dex!$B$3:$H1361,5,FALSE),"")</f>
        <v/>
      </c>
      <c r="L761" s="5045" t="str">
        <f t="array" ref="L761">IFERROR(VLOOKUP(J759,Dex!$B$3:$H1361,7,FALSE),"")</f>
        <v/>
      </c>
      <c r="M761" s="5046"/>
      <c r="O761" s="5043"/>
      <c r="P761" s="5044" t="str">
        <f t="array" ref="P761">IFERROR(VLOOKUP(O759,Dex!$B$3:$H1361,5,FALSE),"")</f>
        <v/>
      </c>
      <c r="Q761" s="5045" t="str">
        <f t="array" ref="Q761">IFERROR(VLOOKUP(O759,Dex!$B$3:$H1361,7,FALSE),"")</f>
        <v/>
      </c>
      <c r="R761" s="5046"/>
      <c r="T761" s="5043"/>
      <c r="U761" s="5286" t="str">
        <f t="array" ref="U761">IFERROR(VLOOKUP(T759,Dex!$B$3:$H1361,5,FALSE),"")</f>
        <v/>
      </c>
      <c r="V761" s="5287"/>
      <c r="W761" s="5046"/>
      <c r="Y761" s="5043"/>
      <c r="Z761" s="5286" t="str">
        <f t="array" ref="Z761">IFERROR(VLOOKUP(Y759,Dex!$B$3:$H1361,5,FALSE),"")</f>
        <v/>
      </c>
      <c r="AA761" s="5287"/>
      <c r="AB761" s="5046"/>
      <c r="AC761" s="5032"/>
      <c r="AD761" s="5022"/>
      <c r="AE761" s="5023"/>
      <c r="AF761" s="5023"/>
      <c r="AG761" s="5024"/>
      <c r="AH761" s="5025"/>
      <c r="AI761" s="3452"/>
    </row>
    <row r="762" ht="2.25" customHeight="1">
      <c r="A762" s="3446"/>
      <c r="B762" s="5008"/>
      <c r="C762" s="5047"/>
      <c r="D762" s="5048"/>
      <c r="E762" s="5049"/>
      <c r="F762" s="5050"/>
      <c r="G762" s="5050"/>
      <c r="H762" s="5051"/>
      <c r="J762" s="5049"/>
      <c r="K762" s="5050"/>
      <c r="L762" s="5050"/>
      <c r="M762" s="5051"/>
      <c r="O762" s="5049"/>
      <c r="P762" s="5050"/>
      <c r="Q762" s="5050"/>
      <c r="R762" s="5051"/>
      <c r="T762" s="5049"/>
      <c r="U762" s="5050"/>
      <c r="V762" s="5050"/>
      <c r="W762" s="5051"/>
      <c r="Y762" s="5049"/>
      <c r="Z762" s="5050"/>
      <c r="AA762" s="5050"/>
      <c r="AB762" s="5051"/>
      <c r="AC762" s="5032"/>
      <c r="AD762" s="5052"/>
      <c r="AE762" s="5052"/>
      <c r="AF762" s="5052"/>
      <c r="AG762" s="5052"/>
      <c r="AH762" s="5025"/>
      <c r="AI762" s="3452"/>
    </row>
    <row r="763" ht="20.25" customHeight="1">
      <c r="A763" s="3446"/>
      <c r="B763" s="5008"/>
      <c r="C763" s="5053"/>
      <c r="D763" s="5022"/>
      <c r="E763" s="5054" t="s">
        <v>564</v>
      </c>
      <c r="F763" s="5055"/>
      <c r="G763" s="5055"/>
      <c r="H763" s="5056"/>
      <c r="J763" s="5054" t="s">
        <v>532</v>
      </c>
      <c r="K763" s="5055"/>
      <c r="L763" s="5055"/>
      <c r="M763" s="5056"/>
      <c r="O763" s="5054" t="s">
        <v>565</v>
      </c>
      <c r="P763" s="5055"/>
      <c r="Q763" s="5055"/>
      <c r="R763" s="5056"/>
      <c r="T763" s="5054" t="s">
        <v>564</v>
      </c>
      <c r="U763" s="5055"/>
      <c r="V763" s="5055"/>
      <c r="W763" s="5056"/>
      <c r="Y763" s="5054" t="s">
        <v>480</v>
      </c>
      <c r="Z763" s="5055"/>
      <c r="AA763" s="5055"/>
      <c r="AB763" s="5056"/>
      <c r="AC763" s="5032"/>
      <c r="AD763" s="5022"/>
      <c r="AE763" s="5023"/>
      <c r="AF763" s="5023"/>
      <c r="AG763" s="5024"/>
      <c r="AH763" s="5025"/>
      <c r="AI763" s="3452"/>
    </row>
    <row r="764" ht="20.25" customHeight="1">
      <c r="A764" s="3446"/>
      <c r="B764" s="5008"/>
      <c r="C764" s="5053"/>
      <c r="D764" s="5022"/>
      <c r="E764" s="5057" t="s">
        <v>681</v>
      </c>
      <c r="F764" s="5023"/>
      <c r="G764" s="5023"/>
      <c r="H764" s="5058"/>
      <c r="J764" s="5057" t="s">
        <v>486</v>
      </c>
      <c r="K764" s="5023"/>
      <c r="L764" s="5023"/>
      <c r="M764" s="5058"/>
      <c r="O764" s="5057" t="s">
        <v>1483</v>
      </c>
      <c r="P764" s="5023"/>
      <c r="Q764" s="5023"/>
      <c r="R764" s="5058"/>
      <c r="T764" s="5057" t="s">
        <v>756</v>
      </c>
      <c r="U764" s="5023"/>
      <c r="V764" s="5023"/>
      <c r="W764" s="5058"/>
      <c r="Y764" s="5057" t="s">
        <v>1112</v>
      </c>
      <c r="Z764" s="5023"/>
      <c r="AA764" s="5023"/>
      <c r="AB764" s="5058"/>
      <c r="AC764" s="5032"/>
      <c r="AD764" s="5022"/>
      <c r="AE764" s="5023"/>
      <c r="AF764" s="5023"/>
      <c r="AG764" s="5024"/>
      <c r="AH764" s="5025"/>
      <c r="AI764" s="3452"/>
    </row>
    <row r="765" ht="20.25" customHeight="1">
      <c r="A765" s="3446"/>
      <c r="B765" s="5008"/>
      <c r="C765" s="5053"/>
      <c r="D765" s="5022"/>
      <c r="E765" s="5059" t="s">
        <v>573</v>
      </c>
      <c r="F765" s="5012"/>
      <c r="G765" s="5013"/>
      <c r="H765" s="5060" t="str">
        <f>IMAGE("https://raw.githubusercontent.com/msikma/pokesprite/master/items/hold-item/focus-sash.png",3)</f>
        <v/>
      </c>
      <c r="J765" s="5059" t="s">
        <v>1052</v>
      </c>
      <c r="K765" s="5012"/>
      <c r="L765" s="5013"/>
      <c r="M765" s="5060" t="str">
        <f>IMAGE("https://raw.githubusercontent.com/msikma/pokesprite/master/items/hold-item/sharp-beak.png",3)</f>
        <v/>
      </c>
      <c r="O765" s="5059" t="s">
        <v>770</v>
      </c>
      <c r="P765" s="5012"/>
      <c r="Q765" s="5013"/>
      <c r="R765" s="5060" t="str">
        <f>IMAGE("https://raw.githubusercontent.com/msikma/pokesprite/master/items/gem/fire.png",3)</f>
        <v/>
      </c>
      <c r="T765" s="5059" t="s">
        <v>1004</v>
      </c>
      <c r="U765" s="5012"/>
      <c r="V765" s="5013"/>
      <c r="W765" s="5060" t="str">
        <f>IMAGE("https://raw.githubusercontent.com/msikma/pokesprite/master/items/z-crystals/eevium-z--held.png",3)</f>
        <v/>
      </c>
      <c r="Y765" s="5059" t="s">
        <v>892</v>
      </c>
      <c r="Z765" s="5012"/>
      <c r="AA765" s="5013"/>
      <c r="AB765" s="5060" t="str">
        <f>IMAGE("https://raw.githubusercontent.com/msikma/pokesprite/master/items/hold-item/rocky-helmet.png",3)</f>
        <v/>
      </c>
      <c r="AC765" s="5032"/>
      <c r="AD765" s="5022"/>
      <c r="AE765" s="5023"/>
      <c r="AF765" s="5023"/>
      <c r="AG765" s="5024"/>
      <c r="AH765" s="5025"/>
      <c r="AI765" s="3452"/>
    </row>
    <row r="766" ht="20.25" customHeight="1">
      <c r="A766" s="3446"/>
      <c r="B766" s="5008"/>
      <c r="C766" s="5061"/>
      <c r="D766" s="5022"/>
      <c r="E766" s="5054" t="s">
        <v>987</v>
      </c>
      <c r="F766" s="5055"/>
      <c r="G766" s="5062"/>
      <c r="H766" s="5063" t="str">
        <f t="shared" ref="H766:H767" si="23">IMAGE("https://raw.githubusercontent.com/msikma/pokesprite/master/misc/types/gen8/grass.png",4,20,20)</f>
        <v/>
      </c>
      <c r="J766" s="5054" t="s">
        <v>693</v>
      </c>
      <c r="K766" s="5055"/>
      <c r="L766" s="5062"/>
      <c r="M766" s="5063" t="str">
        <f>IMAGE("https://raw.githubusercontent.com/msikma/pokesprite/master/misc/types/gen8/flying.png",4,20,20)</f>
        <v/>
      </c>
      <c r="O766" s="5054" t="s">
        <v>694</v>
      </c>
      <c r="P766" s="5055"/>
      <c r="Q766" s="5062"/>
      <c r="R766" s="5063" t="str">
        <f>IMAGE("https://raw.githubusercontent.com/msikma/pokesprite/master/misc/types/gen8/fire.png",4,20,20)</f>
        <v/>
      </c>
      <c r="T766" s="5054" t="s">
        <v>1007</v>
      </c>
      <c r="U766" s="5055"/>
      <c r="V766" s="5062"/>
      <c r="W766" s="5063" t="str">
        <f>IMAGE("https://raw.githubusercontent.com/msikma/pokesprite/master/misc/types/gen8/normal.png",4,20,20)</f>
        <v/>
      </c>
      <c r="Y766" s="5054" t="s">
        <v>1596</v>
      </c>
      <c r="Z766" s="5055"/>
      <c r="AA766" s="5062"/>
      <c r="AB766" s="5063" t="str">
        <f>IMAGE("https://raw.githubusercontent.com/msikma/pokesprite/master/misc/types/gen8/normal.png",4,20,20)</f>
        <v/>
      </c>
      <c r="AC766" s="5032"/>
      <c r="AD766" s="5022"/>
      <c r="AE766" s="5023"/>
      <c r="AF766" s="5023"/>
      <c r="AG766" s="5024"/>
      <c r="AH766" s="5025"/>
      <c r="AI766" s="3452"/>
    </row>
    <row r="767" ht="20.25" customHeight="1">
      <c r="A767" s="3446"/>
      <c r="B767" s="5008"/>
      <c r="C767" s="5061"/>
      <c r="D767" s="5022"/>
      <c r="E767" s="5057" t="s">
        <v>692</v>
      </c>
      <c r="F767" s="5023"/>
      <c r="G767" s="5024"/>
      <c r="H767" s="5064" t="str">
        <f t="shared" si="23"/>
        <v/>
      </c>
      <c r="J767" s="5057" t="s">
        <v>1137</v>
      </c>
      <c r="K767" s="5023"/>
      <c r="L767" s="5024"/>
      <c r="M767" s="5064" t="str">
        <f>IMAGE("https://raw.githubusercontent.com/msikma/pokesprite/master/misc/types/gen8/rock.png",4,20,20)</f>
        <v/>
      </c>
      <c r="O767" s="5057" t="s">
        <v>583</v>
      </c>
      <c r="P767" s="5023"/>
      <c r="Q767" s="5024"/>
      <c r="R767" s="5064" t="str">
        <f>IMAGE("https://raw.githubusercontent.com/msikma/pokesprite/master/misc/types/gen8/fighting.png",4,20,20)</f>
        <v/>
      </c>
      <c r="T767" s="5057" t="s">
        <v>547</v>
      </c>
      <c r="U767" s="5023"/>
      <c r="V767" s="5024"/>
      <c r="W767" s="5064" t="str">
        <f>IMAGE("https://raw.githubusercontent.com/msikma/pokesprite/master/misc/types/gen8/electric.png",4,20,20)</f>
        <v/>
      </c>
      <c r="Y767" s="5057" t="s">
        <v>719</v>
      </c>
      <c r="Z767" s="5023"/>
      <c r="AA767" s="5024"/>
      <c r="AB767" s="5064" t="str">
        <f>IMAGE("https://raw.githubusercontent.com/msikma/pokesprite/master/misc/types/gen8/dragon.png",4,20,20)</f>
        <v/>
      </c>
      <c r="AC767" s="5032"/>
      <c r="AD767" s="5022"/>
      <c r="AE767" s="5023"/>
      <c r="AF767" s="5023"/>
      <c r="AG767" s="5024"/>
      <c r="AH767" s="5025"/>
      <c r="AI767" s="3452"/>
    </row>
    <row r="768" ht="20.25" customHeight="1">
      <c r="A768" s="3446"/>
      <c r="B768" s="5008"/>
      <c r="C768" s="5061"/>
      <c r="D768" s="5022"/>
      <c r="E768" s="5057" t="s">
        <v>552</v>
      </c>
      <c r="F768" s="5023"/>
      <c r="G768" s="5024"/>
      <c r="H768" s="5064" t="str">
        <f>IMAGE("https://raw.githubusercontent.com/msikma/pokesprite/master/misc/types/gen8/psychic.png",4,20,20)</f>
        <v/>
      </c>
      <c r="J768" s="5057" t="s">
        <v>549</v>
      </c>
      <c r="K768" s="5023"/>
      <c r="L768" s="5024"/>
      <c r="M768" s="5064" t="str">
        <f>IMAGE("https://raw.githubusercontent.com/msikma/pokesprite/master/misc/types/gen8/ground.png",4,20,20)</f>
        <v/>
      </c>
      <c r="O768" s="5057" t="s">
        <v>905</v>
      </c>
      <c r="P768" s="5023"/>
      <c r="Q768" s="5024"/>
      <c r="R768" s="5064" t="str">
        <f>IMAGE("https://raw.githubusercontent.com/msikma/pokesprite/master/misc/types/gen8/electric.png",4,20,20)</f>
        <v/>
      </c>
      <c r="T768" s="5057" t="s">
        <v>699</v>
      </c>
      <c r="U768" s="5023"/>
      <c r="V768" s="5024"/>
      <c r="W768" s="5064" t="str">
        <f>IMAGE("https://raw.githubusercontent.com/msikma/pokesprite/master/misc/types/gen8/fire.png",4,20,20)</f>
        <v/>
      </c>
      <c r="Y768" s="5057" t="s">
        <v>1231</v>
      </c>
      <c r="Z768" s="5023"/>
      <c r="AA768" s="5024"/>
      <c r="AB768" s="5064" t="str">
        <f>IMAGE("https://raw.githubusercontent.com/msikma/pokesprite/master/misc/types/gen8/poison.png",4,20,20)</f>
        <v/>
      </c>
      <c r="AC768" s="5032"/>
      <c r="AD768" s="5022"/>
      <c r="AE768" s="5023"/>
      <c r="AF768" s="5023"/>
      <c r="AG768" s="5024"/>
      <c r="AH768" s="5025"/>
      <c r="AI768" s="3452"/>
    </row>
    <row r="769" ht="21.0" customHeight="1">
      <c r="A769" s="3446"/>
      <c r="B769" s="5008"/>
      <c r="C769" s="5061"/>
      <c r="D769" s="5022"/>
      <c r="E769" s="5065" t="s">
        <v>699</v>
      </c>
      <c r="F769" s="5066"/>
      <c r="G769" s="5067"/>
      <c r="H769" s="5068" t="str">
        <f>IMAGE("https://raw.githubusercontent.com/msikma/pokesprite/master/misc/types/gen8/fire.png",4,20,20)</f>
        <v/>
      </c>
      <c r="I769" s="5069"/>
      <c r="J769" s="5065" t="s">
        <v>612</v>
      </c>
      <c r="K769" s="5066"/>
      <c r="L769" s="5067"/>
      <c r="M769" s="5068" t="str">
        <f>IMAGE("https://raw.githubusercontent.com/msikma/pokesprite/master/misc/types/gen8/bug.png",4,20,20)</f>
        <v/>
      </c>
      <c r="N769" s="5069"/>
      <c r="O769" s="5065" t="s">
        <v>692</v>
      </c>
      <c r="P769" s="5066"/>
      <c r="Q769" s="5067"/>
      <c r="R769" s="5068" t="str">
        <f>IMAGE("https://raw.githubusercontent.com/msikma/pokesprite/master/misc/types/gen8/grass.png",4,20,20)</f>
        <v/>
      </c>
      <c r="S769" s="5069"/>
      <c r="T769" s="5065" t="s">
        <v>553</v>
      </c>
      <c r="U769" s="5066"/>
      <c r="V769" s="5067"/>
      <c r="W769" s="5068" t="str">
        <f>IMAGE("https://raw.githubusercontent.com/msikma/pokesprite/master/misc/types/gen8/grass.png",4,20,20)</f>
        <v/>
      </c>
      <c r="X769" s="5069"/>
      <c r="Y769" s="5065" t="s">
        <v>1020</v>
      </c>
      <c r="Z769" s="5066"/>
      <c r="AA769" s="5067"/>
      <c r="AB769" s="5068" t="str">
        <f>IMAGE("https://raw.githubusercontent.com/msikma/pokesprite/master/misc/types/gen8/fire.png",4,20,20)</f>
        <v/>
      </c>
      <c r="AC769" s="5070"/>
      <c r="AD769" s="5022"/>
      <c r="AE769" s="5023"/>
      <c r="AF769" s="5023"/>
      <c r="AG769" s="5024"/>
      <c r="AH769" s="5025"/>
      <c r="AI769" s="3452"/>
    </row>
    <row r="770" ht="3.0" customHeight="1">
      <c r="A770" s="3524"/>
      <c r="B770" s="5071"/>
      <c r="C770" s="5061"/>
      <c r="D770" s="5072"/>
      <c r="E770" s="5075"/>
      <c r="F770" s="5075"/>
      <c r="G770" s="5075"/>
      <c r="H770" s="5074"/>
      <c r="I770" s="5072"/>
      <c r="J770" s="5075"/>
      <c r="K770" s="5075"/>
      <c r="L770" s="5075"/>
      <c r="M770" s="5074"/>
      <c r="N770" s="5072"/>
      <c r="O770" s="5075"/>
      <c r="P770" s="5075"/>
      <c r="Q770" s="5075"/>
      <c r="R770" s="5076"/>
      <c r="S770" s="5077"/>
      <c r="T770" s="5075"/>
      <c r="U770" s="5075"/>
      <c r="V770" s="5075"/>
      <c r="W770" s="5076"/>
      <c r="X770" s="5072"/>
      <c r="Y770" s="5075"/>
      <c r="Z770" s="5075"/>
      <c r="AA770" s="5075"/>
      <c r="AB770" s="5076"/>
      <c r="AC770" s="5078"/>
      <c r="AD770" s="5078"/>
      <c r="AE770" s="5078"/>
      <c r="AF770" s="5078"/>
      <c r="AG770" s="5078"/>
      <c r="AH770" s="5079"/>
      <c r="AI770" s="3534"/>
    </row>
    <row r="771" ht="16.5" customHeight="1">
      <c r="A771" s="3535"/>
      <c r="B771" s="5080"/>
      <c r="C771" s="5061"/>
      <c r="D771" s="5106"/>
      <c r="E771" s="5082" t="s">
        <v>512</v>
      </c>
      <c r="F771" s="606"/>
      <c r="G771" s="5083"/>
      <c r="H771" s="5084" t="s">
        <v>1554</v>
      </c>
      <c r="I771" s="5085"/>
      <c r="J771" s="5082" t="s">
        <v>512</v>
      </c>
      <c r="K771" s="606"/>
      <c r="L771" s="5083"/>
      <c r="M771" s="5084" t="s">
        <v>1554</v>
      </c>
      <c r="N771" s="5085"/>
      <c r="O771" s="5082" t="s">
        <v>512</v>
      </c>
      <c r="P771" s="606"/>
      <c r="Q771" s="5083"/>
      <c r="R771" s="5084" t="s">
        <v>1554</v>
      </c>
      <c r="S771" s="5086"/>
      <c r="T771" s="5082" t="s">
        <v>512</v>
      </c>
      <c r="U771" s="606"/>
      <c r="V771" s="5083"/>
      <c r="W771" s="5084" t="s">
        <v>1554</v>
      </c>
      <c r="X771" s="5087"/>
      <c r="Y771" s="5082" t="s">
        <v>512</v>
      </c>
      <c r="Z771" s="606"/>
      <c r="AA771" s="5083"/>
      <c r="AB771" s="5084" t="s">
        <v>1554</v>
      </c>
      <c r="AC771" s="5088"/>
      <c r="AD771" s="5088"/>
      <c r="AE771" s="5088"/>
      <c r="AF771" s="5088"/>
      <c r="AG771" s="5088"/>
      <c r="AH771" s="5089"/>
      <c r="AI771" s="3543"/>
    </row>
    <row r="772" ht="16.5" customHeight="1">
      <c r="A772" s="3535"/>
      <c r="B772" s="5080"/>
      <c r="C772" s="5061"/>
      <c r="D772" s="5081"/>
      <c r="E772" s="5090" t="s">
        <v>513</v>
      </c>
      <c r="F772" s="5091">
        <f t="array" ref="F772">IFERROR(VLOOKUP(E759,Dex!$B$3:$N1361,8,FALSE),"")</f>
        <v>95</v>
      </c>
      <c r="G772" s="5092" t="str">
        <f t="array" ref="G772">IFERROR(VLOOKUP(F772,Dex!$P$22:$Q$276,2,FALSE),"")</f>
        <v/>
      </c>
      <c r="H772" s="5093"/>
      <c r="I772" s="5094"/>
      <c r="J772" s="5090" t="s">
        <v>513</v>
      </c>
      <c r="K772" s="5091">
        <f t="array" ref="K772">IFERROR(VLOOKUP(J759,Dex!$B$3:$N1361,8,FALSE),"")</f>
        <v>75</v>
      </c>
      <c r="L772" s="5092" t="str">
        <f t="array" ref="L772">IFERROR(VLOOKUP(K772,Dex!$P$22:$Q$276,2,FALSE),"")</f>
        <v/>
      </c>
      <c r="M772" s="5093"/>
      <c r="N772" s="5095"/>
      <c r="O772" s="5090" t="s">
        <v>513</v>
      </c>
      <c r="P772" s="5091">
        <f t="array" ref="P772">IFERROR(VLOOKUP(O759,Dex!$B$3:$N1361,8,FALSE),"")</f>
        <v>110</v>
      </c>
      <c r="Q772" s="5092" t="str">
        <f t="array" ref="Q772">IFERROR(VLOOKUP(P772,Dex!$P$22:$Q$276,2,FALSE),"")</f>
        <v/>
      </c>
      <c r="R772" s="5093"/>
      <c r="S772" s="5096"/>
      <c r="T772" s="5090" t="s">
        <v>513</v>
      </c>
      <c r="U772" s="5091">
        <f t="array" ref="U772">IFERROR(VLOOKUP(T759,Dex!$B$3:$N1361,8,FALSE),"")</f>
        <v>65</v>
      </c>
      <c r="V772" s="5092" t="str">
        <f t="array" ref="V772">IFERROR(VLOOKUP(U772,Dex!$P$22:$Q$276,2,FALSE),"")</f>
        <v/>
      </c>
      <c r="W772" s="5093"/>
      <c r="X772" s="5097"/>
      <c r="Y772" s="5090" t="s">
        <v>513</v>
      </c>
      <c r="Z772" s="5091">
        <f t="array" ref="Z772">IFERROR(VLOOKUP(Y759,Dex!$B$3:$N1361,8,FALSE),"")</f>
        <v>90</v>
      </c>
      <c r="AA772" s="5092" t="str">
        <f t="array" ref="AA772">IFERROR(VLOOKUP(Z772,Dex!$P$22:$Q$276,2,FALSE),"")</f>
        <v/>
      </c>
      <c r="AB772" s="5093"/>
      <c r="AC772" s="5088"/>
      <c r="AD772" s="5088"/>
      <c r="AE772" s="5088"/>
      <c r="AF772" s="5088"/>
      <c r="AG772" s="5088"/>
      <c r="AH772" s="5089"/>
      <c r="AI772" s="3543"/>
    </row>
    <row r="773" ht="16.5" customHeight="1">
      <c r="A773" s="3535"/>
      <c r="B773" s="5080"/>
      <c r="C773" s="5061"/>
      <c r="D773" s="5081"/>
      <c r="E773" s="5098" t="s">
        <v>514</v>
      </c>
      <c r="F773" s="5099">
        <f t="array" ref="F773">IFERROR(VLOOKUP(E759,Dex!$B$3:$N1361,9,FALSE),"")</f>
        <v>95</v>
      </c>
      <c r="G773" s="5100" t="str">
        <f t="array" ref="G773">IFERROR(VLOOKUP(F773,Dex!$P$22:$Q$276,2,FALSE),"")</f>
        <v/>
      </c>
      <c r="H773" s="5101"/>
      <c r="I773" s="5094"/>
      <c r="J773" s="5098" t="s">
        <v>514</v>
      </c>
      <c r="K773" s="5099">
        <f t="array" ref="K773">IFERROR(VLOOKUP(J759,Dex!$B$3:$N1361,9,FALSE),"")</f>
        <v>140</v>
      </c>
      <c r="L773" s="5100" t="str">
        <f t="array" ref="L773">IFERROR(VLOOKUP(K773,Dex!$P$22:$Q$276,2,FALSE),"")</f>
        <v/>
      </c>
      <c r="M773" s="5101"/>
      <c r="N773" s="5095"/>
      <c r="O773" s="5098" t="s">
        <v>514</v>
      </c>
      <c r="P773" s="5099">
        <f t="array" ref="P773">IFERROR(VLOOKUP(O759,Dex!$B$3:$N1361,9,FALSE),"")</f>
        <v>123</v>
      </c>
      <c r="Q773" s="5100" t="str">
        <f t="array" ref="Q773">IFERROR(VLOOKUP(P773,Dex!$P$22:$Q$276,2,FALSE),"")</f>
        <v/>
      </c>
      <c r="R773" s="5101"/>
      <c r="S773" s="5096"/>
      <c r="T773" s="5098" t="s">
        <v>514</v>
      </c>
      <c r="U773" s="5099">
        <f t="array" ref="U773">IFERROR(VLOOKUP(T759,Dex!$B$3:$N1361,9,FALSE),"")</f>
        <v>65</v>
      </c>
      <c r="V773" s="5100" t="str">
        <f t="array" ref="V773">IFERROR(VLOOKUP(U773,Dex!$P$22:$Q$276,2,FALSE),"")</f>
        <v/>
      </c>
      <c r="W773" s="5101"/>
      <c r="X773" s="5097"/>
      <c r="Y773" s="5098" t="s">
        <v>514</v>
      </c>
      <c r="Z773" s="5099">
        <f t="array" ref="Z773">IFERROR(VLOOKUP(Y759,Dex!$B$3:$N1361,9,FALSE),"")</f>
        <v>120</v>
      </c>
      <c r="AA773" s="5100" t="str">
        <f t="array" ref="AA773">IFERROR(VLOOKUP(Z773,Dex!$P$22:$Q$276,2,FALSE),"")</f>
        <v/>
      </c>
      <c r="AB773" s="5101"/>
      <c r="AC773" s="5088"/>
      <c r="AD773" s="5088"/>
      <c r="AE773" s="5088"/>
      <c r="AF773" s="5088"/>
      <c r="AG773" s="5088"/>
      <c r="AH773" s="5089"/>
      <c r="AI773" s="3543"/>
    </row>
    <row r="774" ht="16.5" customHeight="1">
      <c r="A774" s="3535"/>
      <c r="B774" s="5080"/>
      <c r="C774" s="5061"/>
      <c r="D774" s="5081"/>
      <c r="E774" s="5098" t="s">
        <v>515</v>
      </c>
      <c r="F774" s="5099">
        <f t="array" ref="F774">IFERROR(VLOOKUP(E759,Dex!$B$3:$N1361,10,FALSE),"")</f>
        <v>85</v>
      </c>
      <c r="G774" s="5100" t="str">
        <f t="array" ref="G774">IFERROR(VLOOKUP(F774,Dex!$P$22:$Q$276,2,FALSE),"")</f>
        <v/>
      </c>
      <c r="H774" s="5101"/>
      <c r="I774" s="5094"/>
      <c r="J774" s="5098" t="s">
        <v>515</v>
      </c>
      <c r="K774" s="5099">
        <f t="array" ref="K774">IFERROR(VLOOKUP(J759,Dex!$B$3:$N1361,10,FALSE),"")</f>
        <v>65</v>
      </c>
      <c r="L774" s="5100" t="str">
        <f t="array" ref="L774">IFERROR(VLOOKUP(K774,Dex!$P$22:$Q$276,2,FALSE),"")</f>
        <v/>
      </c>
      <c r="M774" s="5101"/>
      <c r="N774" s="5095"/>
      <c r="O774" s="5098" t="s">
        <v>515</v>
      </c>
      <c r="P774" s="5099">
        <f t="array" ref="P774">IFERROR(VLOOKUP(O759,Dex!$B$3:$N1361,10,FALSE),"")</f>
        <v>65</v>
      </c>
      <c r="Q774" s="5100" t="str">
        <f t="array" ref="Q774">IFERROR(VLOOKUP(P774,Dex!$P$22:$Q$276,2,FALSE),"")</f>
        <v/>
      </c>
      <c r="R774" s="5101"/>
      <c r="S774" s="5096"/>
      <c r="T774" s="5098" t="s">
        <v>515</v>
      </c>
      <c r="U774" s="5099">
        <f t="array" ref="U774">IFERROR(VLOOKUP(T759,Dex!$B$3:$N1361,10,FALSE),"")</f>
        <v>60</v>
      </c>
      <c r="V774" s="5100" t="str">
        <f t="array" ref="V774">IFERROR(VLOOKUP(U774,Dex!$P$22:$Q$276,2,FALSE),"")</f>
        <v/>
      </c>
      <c r="W774" s="5101"/>
      <c r="X774" s="5097"/>
      <c r="Y774" s="5098" t="s">
        <v>515</v>
      </c>
      <c r="Z774" s="5099">
        <f t="array" ref="Z774">IFERROR(VLOOKUP(Y759,Dex!$B$3:$N1361,10,FALSE),"")</f>
        <v>90</v>
      </c>
      <c r="AA774" s="5100" t="str">
        <f t="array" ref="AA774">IFERROR(VLOOKUP(Z774,Dex!$P$22:$Q$276,2,FALSE),"")</f>
        <v/>
      </c>
      <c r="AB774" s="5101"/>
      <c r="AC774" s="5088"/>
      <c r="AD774" s="5088"/>
      <c r="AE774" s="5088"/>
      <c r="AF774" s="5088"/>
      <c r="AG774" s="5088"/>
      <c r="AH774" s="5089"/>
      <c r="AI774" s="3543"/>
    </row>
    <row r="775" ht="16.5" customHeight="1">
      <c r="A775" s="3535"/>
      <c r="B775" s="5080"/>
      <c r="C775" s="5061"/>
      <c r="D775" s="5081"/>
      <c r="E775" s="5098" t="s">
        <v>516</v>
      </c>
      <c r="F775" s="5099">
        <f t="array" ref="F775">IFERROR(VLOOKUP(E759,Dex!$B$3:$N1361,11,FALSE),"")</f>
        <v>125</v>
      </c>
      <c r="G775" s="5100" t="str">
        <f t="array" ref="G775">IFERROR(VLOOKUP(F775,Dex!$P$22:$Q$276,2,FALSE),"")</f>
        <v/>
      </c>
      <c r="H775" s="5101"/>
      <c r="I775" s="5094"/>
      <c r="J775" s="5098" t="s">
        <v>516</v>
      </c>
      <c r="K775" s="5099">
        <f t="array" ref="K775">IFERROR(VLOOKUP(J759,Dex!$B$3:$N1361,11,FALSE),"")</f>
        <v>112</v>
      </c>
      <c r="L775" s="5100" t="str">
        <f t="array" ref="L775">IFERROR(VLOOKUP(K775,Dex!$P$22:$Q$276,2,FALSE),"")</f>
        <v/>
      </c>
      <c r="M775" s="5101"/>
      <c r="N775" s="5095"/>
      <c r="O775" s="5098" t="s">
        <v>516</v>
      </c>
      <c r="P775" s="5099">
        <f t="array" ref="P775">IFERROR(VLOOKUP(O759,Dex!$B$3:$N1361,11,FALSE),"")</f>
        <v>100</v>
      </c>
      <c r="Q775" s="5100" t="str">
        <f t="array" ref="Q775">IFERROR(VLOOKUP(P775,Dex!$P$22:$Q$276,2,FALSE),"")</f>
        <v/>
      </c>
      <c r="R775" s="5101"/>
      <c r="S775" s="5096"/>
      <c r="T775" s="5098" t="s">
        <v>516</v>
      </c>
      <c r="U775" s="5099">
        <f t="array" ref="U775">IFERROR(VLOOKUP(T759,Dex!$B$3:$N1361,11,FALSE),"")</f>
        <v>110</v>
      </c>
      <c r="V775" s="5100" t="str">
        <f t="array" ref="V775">IFERROR(VLOOKUP(U775,Dex!$P$22:$Q$276,2,FALSE),"")</f>
        <v/>
      </c>
      <c r="W775" s="5101"/>
      <c r="X775" s="5097"/>
      <c r="Y775" s="5098" t="s">
        <v>516</v>
      </c>
      <c r="Z775" s="5099">
        <f t="array" ref="Z775">IFERROR(VLOOKUP(Y759,Dex!$B$3:$N1361,11,FALSE),"")</f>
        <v>60</v>
      </c>
      <c r="AA775" s="5100" t="str">
        <f t="array" ref="AA775">IFERROR(VLOOKUP(Z775,Dex!$P$22:$Q$276,2,FALSE),"")</f>
        <v/>
      </c>
      <c r="AB775" s="5101"/>
      <c r="AC775" s="5088"/>
      <c r="AD775" s="5088"/>
      <c r="AE775" s="5088"/>
      <c r="AF775" s="5088"/>
      <c r="AG775" s="5088"/>
      <c r="AH775" s="5089"/>
      <c r="AI775" s="3543"/>
    </row>
    <row r="776" ht="16.5" customHeight="1">
      <c r="A776" s="3535"/>
      <c r="B776" s="5080"/>
      <c r="C776" s="5061"/>
      <c r="D776" s="5081"/>
      <c r="E776" s="5098" t="s">
        <v>517</v>
      </c>
      <c r="F776" s="5099">
        <f t="array" ref="F776">IFERROR(VLOOKUP(E759,Dex!$B$3:$N1361,12,FALSE),"")</f>
        <v>75</v>
      </c>
      <c r="G776" s="5100" t="str">
        <f t="array" ref="G776">IFERROR(VLOOKUP(F776,Dex!$P$22:$Q$276,2,FALSE),"")</f>
        <v/>
      </c>
      <c r="H776" s="5101"/>
      <c r="I776" s="5094"/>
      <c r="J776" s="5098" t="s">
        <v>517</v>
      </c>
      <c r="K776" s="5099">
        <f t="array" ref="K776">IFERROR(VLOOKUP(J759,Dex!$B$3:$N1361,12,FALSE),"")</f>
        <v>65</v>
      </c>
      <c r="L776" s="5100" t="str">
        <f t="array" ref="L776">IFERROR(VLOOKUP(K776,Dex!$P$22:$Q$276,2,FALSE),"")</f>
        <v/>
      </c>
      <c r="M776" s="5101"/>
      <c r="N776" s="5095"/>
      <c r="O776" s="5098" t="s">
        <v>517</v>
      </c>
      <c r="P776" s="5099">
        <f t="array" ref="P776">IFERROR(VLOOKUP(O759,Dex!$B$3:$N1361,12,FALSE),"")</f>
        <v>65</v>
      </c>
      <c r="Q776" s="5100" t="str">
        <f t="array" ref="Q776">IFERROR(VLOOKUP(P776,Dex!$P$22:$Q$276,2,FALSE),"")</f>
        <v/>
      </c>
      <c r="R776" s="5101"/>
      <c r="S776" s="5096"/>
      <c r="T776" s="5098" t="s">
        <v>517</v>
      </c>
      <c r="U776" s="5099">
        <f t="array" ref="U776">IFERROR(VLOOKUP(T759,Dex!$B$3:$N1361,12,FALSE),"")</f>
        <v>95</v>
      </c>
      <c r="V776" s="5100" t="str">
        <f t="array" ref="V776">IFERROR(VLOOKUP(U776,Dex!$P$22:$Q$276,2,FALSE),"")</f>
        <v/>
      </c>
      <c r="W776" s="5101"/>
      <c r="X776" s="5097"/>
      <c r="Y776" s="5098" t="s">
        <v>517</v>
      </c>
      <c r="Z776" s="5099">
        <f t="array" ref="Z776">IFERROR(VLOOKUP(Y759,Dex!$B$3:$N1361,12,FALSE),"")</f>
        <v>90</v>
      </c>
      <c r="AA776" s="5100" t="str">
        <f t="array" ref="AA776">IFERROR(VLOOKUP(Z776,Dex!$P$22:$Q$276,2,FALSE),"")</f>
        <v/>
      </c>
      <c r="AB776" s="5101"/>
      <c r="AC776" s="5088"/>
      <c r="AD776" s="5088"/>
      <c r="AE776" s="5088"/>
      <c r="AF776" s="5088"/>
      <c r="AG776" s="5088"/>
      <c r="AH776" s="5089"/>
      <c r="AI776" s="3543"/>
    </row>
    <row r="777" ht="16.5" customHeight="1">
      <c r="A777" s="3535"/>
      <c r="B777" s="5080"/>
      <c r="C777" s="1426" t="s">
        <v>745</v>
      </c>
      <c r="D777" s="5081"/>
      <c r="E777" s="5102" t="s">
        <v>518</v>
      </c>
      <c r="F777" s="5103">
        <f t="array" ref="F777">IFERROR(VLOOKUP(E759,Dex!$B$3:$N1361,13,FALSE),"")</f>
        <v>55</v>
      </c>
      <c r="G777" s="5100" t="str">
        <f t="array" ref="G777">IFERROR(VLOOKUP(F777,Dex!$P$22:$Q$276,2,FALSE),"")</f>
        <v/>
      </c>
      <c r="H777" s="5101"/>
      <c r="I777" s="5094"/>
      <c r="J777" s="5102" t="s">
        <v>518</v>
      </c>
      <c r="K777" s="5103">
        <f t="array" ref="K777">IFERROR(VLOOKUP(J759,Dex!$B$3:$N1361,13,FALSE),"")</f>
        <v>110</v>
      </c>
      <c r="L777" s="5100" t="str">
        <f t="array" ref="L777">IFERROR(VLOOKUP(K777,Dex!$P$22:$Q$276,2,FALSE),"")</f>
        <v/>
      </c>
      <c r="M777" s="5101"/>
      <c r="N777" s="5095"/>
      <c r="O777" s="5102" t="s">
        <v>518</v>
      </c>
      <c r="P777" s="5103">
        <f t="array" ref="P777">IFERROR(VLOOKUP(O759,Dex!$B$3:$N1361,13,FALSE),"")</f>
        <v>65</v>
      </c>
      <c r="Q777" s="5100" t="str">
        <f t="array" ref="Q777">IFERROR(VLOOKUP(P777,Dex!$P$22:$Q$276,2,FALSE),"")</f>
        <v/>
      </c>
      <c r="R777" s="5101"/>
      <c r="S777" s="5096"/>
      <c r="T777" s="5102" t="s">
        <v>518</v>
      </c>
      <c r="U777" s="5103">
        <f t="array" ref="U777">IFERROR(VLOOKUP(T759,Dex!$B$3:$N1361,13,FALSE),"")</f>
        <v>130</v>
      </c>
      <c r="V777" s="5100" t="str">
        <f t="array" ref="V777">IFERROR(VLOOKUP(U777,Dex!$P$22:$Q$276,2,FALSE),"")</f>
        <v/>
      </c>
      <c r="W777" s="5101"/>
      <c r="X777" s="5097"/>
      <c r="Y777" s="5102" t="s">
        <v>518</v>
      </c>
      <c r="Z777" s="5103">
        <f t="array" ref="Z777">IFERROR(VLOOKUP(Y759,Dex!$B$3:$N1361,13,FALSE),"")</f>
        <v>41</v>
      </c>
      <c r="AA777" s="5100" t="str">
        <f t="array" ref="AA777">IFERROR(VLOOKUP(Z777,Dex!$P$22:$Q$276,2,FALSE),"")</f>
        <v/>
      </c>
      <c r="AB777" s="5101"/>
      <c r="AC777" s="5088"/>
      <c r="AD777" s="5088"/>
      <c r="AE777" s="5088"/>
      <c r="AF777" s="5088"/>
      <c r="AG777" s="5088"/>
      <c r="AH777" s="5089"/>
      <c r="AI777" s="3543"/>
    </row>
    <row r="778" ht="16.5" customHeight="1">
      <c r="A778" s="3535"/>
      <c r="B778" s="5080"/>
      <c r="C778" s="1427" t="s">
        <v>746</v>
      </c>
      <c r="D778" s="5106"/>
      <c r="E778" s="5109" t="s">
        <v>519</v>
      </c>
      <c r="F778" s="635"/>
      <c r="G778" s="636"/>
      <c r="H778" s="632">
        <f>ROUNDDOWN((ROUNDDOWN(((((2*F777+31)*66)/100+5)),0))*1.1,0)</f>
        <v>107</v>
      </c>
      <c r="I778" s="5085"/>
      <c r="J778" s="5107" t="s">
        <v>519</v>
      </c>
      <c r="K778" s="630"/>
      <c r="L778" s="631"/>
      <c r="M778" s="632">
        <f>ROUNDDOWN((ROUNDDOWN(((((2*K777+31)*66)/100+5)),0))*1.1,0)</f>
        <v>187</v>
      </c>
      <c r="N778" s="5085"/>
      <c r="O778" s="5109" t="s">
        <v>519</v>
      </c>
      <c r="P778" s="635"/>
      <c r="Q778" s="636"/>
      <c r="R778" s="632">
        <f>ROUNDDOWN((ROUNDDOWN(((((2*P777+31)*66)/100+5)),0))*1.1,0)</f>
        <v>122</v>
      </c>
      <c r="S778" s="5108"/>
      <c r="T778" s="5109" t="s">
        <v>519</v>
      </c>
      <c r="U778" s="635"/>
      <c r="V778" s="636"/>
      <c r="W778" s="632">
        <f>ROUNDDOWN((ROUNDDOWN(((((2*U777+31)*66)/100+5)),0))*1.1,0)</f>
        <v>216</v>
      </c>
      <c r="X778" s="5087"/>
      <c r="Y778" s="5107" t="s">
        <v>519</v>
      </c>
      <c r="Z778" s="630"/>
      <c r="AA778" s="631"/>
      <c r="AB778" s="632">
        <f>ROUNDDOWN((ROUNDDOWN(((((2*Z777+31)*66)/100+5)),0))*1,0)</f>
        <v>79</v>
      </c>
      <c r="AC778" s="5088"/>
      <c r="AD778" s="5088"/>
      <c r="AE778" s="5088"/>
      <c r="AF778" s="5088"/>
      <c r="AG778" s="5088"/>
      <c r="AH778" s="5089"/>
      <c r="AI778" s="3543"/>
    </row>
    <row r="779" ht="16.5" customHeight="1">
      <c r="A779" s="3535"/>
      <c r="B779" s="5333"/>
      <c r="C779" s="5334"/>
      <c r="D779" s="5335"/>
      <c r="E779" s="5119" t="s">
        <v>700</v>
      </c>
      <c r="F779" s="643"/>
      <c r="G779" s="644"/>
      <c r="H779" s="3064">
        <f>H778*2</f>
        <v>214</v>
      </c>
      <c r="I779" s="5336"/>
      <c r="J779" s="5337"/>
      <c r="K779" s="5337"/>
      <c r="L779" s="5338"/>
      <c r="M779" s="5339"/>
      <c r="N779" s="5336"/>
      <c r="O779" s="5119" t="s">
        <v>1489</v>
      </c>
      <c r="P779" s="643"/>
      <c r="Q779" s="644"/>
      <c r="R779" s="645">
        <f>ROUNDDOWN(R778*1.5,0)</f>
        <v>183</v>
      </c>
      <c r="S779" s="5340"/>
      <c r="T779" s="5119" t="s">
        <v>1013</v>
      </c>
      <c r="U779" s="643"/>
      <c r="V779" s="644"/>
      <c r="W779" s="3064">
        <f>W778*2</f>
        <v>432</v>
      </c>
      <c r="X779" s="5339"/>
      <c r="Y779" s="5338"/>
      <c r="Z779" s="5337"/>
      <c r="AA779" s="5337"/>
      <c r="AB779" s="5339"/>
      <c r="AC779" s="5339"/>
      <c r="AD779" s="5339"/>
      <c r="AE779" s="5339"/>
      <c r="AF779" s="5339"/>
      <c r="AG779" s="5339"/>
      <c r="AH779" s="5341"/>
      <c r="AI779" s="3543"/>
    </row>
    <row r="780" ht="15.0" customHeight="1">
      <c r="A780" s="3446"/>
      <c r="B780" s="5120"/>
      <c r="C780" s="5121"/>
      <c r="D780" s="5122"/>
      <c r="E780" s="5124"/>
      <c r="F780" s="5124"/>
      <c r="G780" s="5124"/>
      <c r="H780" s="5123"/>
      <c r="I780" s="5122"/>
      <c r="J780" s="5122"/>
      <c r="K780" s="5122"/>
      <c r="L780" s="5122"/>
      <c r="M780" s="5122"/>
      <c r="N780" s="5122"/>
      <c r="O780" s="5124"/>
      <c r="P780" s="5124"/>
      <c r="Q780" s="5124"/>
      <c r="R780" s="5123"/>
      <c r="S780" s="5122"/>
      <c r="T780" s="5122"/>
      <c r="U780" s="5122"/>
      <c r="V780" s="5122"/>
      <c r="W780" s="5122"/>
      <c r="X780" s="5122"/>
      <c r="Y780" s="5122"/>
      <c r="Z780" s="5122"/>
      <c r="AA780" s="5122"/>
      <c r="AB780" s="5122"/>
      <c r="AC780" s="5122"/>
      <c r="AD780" s="5122"/>
      <c r="AE780" s="5122"/>
      <c r="AF780" s="5122"/>
      <c r="AG780" s="5122"/>
      <c r="AH780" s="5126"/>
      <c r="AI780" s="3452"/>
    </row>
    <row r="781" ht="15.0" customHeight="1">
      <c r="A781" s="3446"/>
      <c r="B781" s="5288"/>
      <c r="C781" s="5289"/>
      <c r="D781" s="5289"/>
      <c r="E781" s="5289"/>
      <c r="F781" s="5289"/>
      <c r="G781" s="5289"/>
      <c r="H781" s="5289"/>
      <c r="I781" s="5289"/>
      <c r="J781" s="5289"/>
      <c r="K781" s="5289"/>
      <c r="L781" s="5289"/>
      <c r="M781" s="5289"/>
      <c r="N781" s="5289"/>
      <c r="O781" s="5289"/>
      <c r="P781" s="5289"/>
      <c r="Q781" s="5289"/>
      <c r="R781" s="5289"/>
      <c r="S781" s="5289"/>
      <c r="T781" s="5289"/>
      <c r="U781" s="5289"/>
      <c r="V781" s="5289"/>
      <c r="W781" s="5289"/>
      <c r="X781" s="5289"/>
      <c r="Y781" s="5289"/>
      <c r="Z781" s="5289"/>
      <c r="AA781" s="5289"/>
      <c r="AB781" s="5289"/>
      <c r="AC781" s="5289"/>
      <c r="AD781" s="5289"/>
      <c r="AE781" s="5289"/>
      <c r="AF781" s="5289"/>
      <c r="AG781" s="5289"/>
      <c r="AH781" s="5290"/>
      <c r="AI781" s="3452"/>
    </row>
    <row r="782">
      <c r="A782" s="3446"/>
      <c r="B782" s="2327"/>
      <c r="C782" s="5291"/>
      <c r="D782" s="2346"/>
      <c r="E782" s="5292" t="s">
        <v>1597</v>
      </c>
      <c r="F782" s="2383"/>
      <c r="G782" s="2383"/>
      <c r="H782" s="2383"/>
      <c r="I782" s="2383"/>
      <c r="J782" s="2383"/>
      <c r="K782" s="2383"/>
      <c r="L782" s="2383"/>
      <c r="M782" s="2383"/>
      <c r="N782" s="2383"/>
      <c r="O782" s="2383"/>
      <c r="P782" s="2383"/>
      <c r="Q782" s="2383"/>
      <c r="R782" s="2383"/>
      <c r="S782" s="2383"/>
      <c r="T782" s="2383"/>
      <c r="U782" s="2383"/>
      <c r="V782" s="2383"/>
      <c r="W782" s="2383"/>
      <c r="X782" s="2383"/>
      <c r="Y782" s="2383"/>
      <c r="Z782" s="2383"/>
      <c r="AA782" s="2383"/>
      <c r="AB782" s="2383"/>
      <c r="AC782" s="2383"/>
      <c r="AD782" s="2383"/>
      <c r="AE782" s="2383"/>
      <c r="AF782" s="2383"/>
      <c r="AG782" s="5293"/>
      <c r="AH782" s="5294"/>
      <c r="AI782" s="3452"/>
    </row>
    <row r="783" ht="96.75" customHeight="1">
      <c r="A783" s="3446"/>
      <c r="B783" s="2358"/>
      <c r="C783" s="5295" t="str">
        <f>IMAGE("https://i.ibb.co/qsQbp4Z/Biker.png")</f>
        <v/>
      </c>
      <c r="D783" s="2343"/>
      <c r="E783" s="5296" t="str">
        <f t="array" ref="E783">IFERROR(VLOOKUP(E784,Dex!$B$3:$G1361,3,FALSE),"")</f>
        <v/>
      </c>
      <c r="F783" s="1945"/>
      <c r="G783" s="1945"/>
      <c r="H783" s="1946"/>
      <c r="I783" s="2343"/>
      <c r="J783" s="5296" t="str">
        <f t="array" ref="J783">IFERROR(VLOOKUP(J784,Dex!$B$3:$G1361,3,FALSE),"")</f>
        <v/>
      </c>
      <c r="K783" s="1945"/>
      <c r="L783" s="1945"/>
      <c r="M783" s="1946"/>
      <c r="N783" s="2343"/>
      <c r="O783" s="5296" t="str">
        <f t="array" ref="O783">IFERROR(VLOOKUP(O784,Dex!$B$3:$G1361,3,FALSE),"")</f>
        <v/>
      </c>
      <c r="P783" s="1945"/>
      <c r="Q783" s="1945"/>
      <c r="R783" s="1946"/>
      <c r="S783" s="2343"/>
      <c r="T783" s="2329"/>
      <c r="U783" s="2332"/>
      <c r="V783" s="2332"/>
      <c r="W783" s="420"/>
      <c r="X783" s="2345"/>
      <c r="Y783" s="2329"/>
      <c r="Z783" s="2332"/>
      <c r="AA783" s="2332"/>
      <c r="AB783" s="420"/>
      <c r="AC783" s="2346"/>
      <c r="AD783" s="2329"/>
      <c r="AE783" s="2332"/>
      <c r="AF783" s="2332"/>
      <c r="AG783" s="420"/>
      <c r="AH783" s="2334"/>
      <c r="AI783" s="3452"/>
    </row>
    <row r="784" ht="18.75" customHeight="1">
      <c r="A784" s="3689"/>
      <c r="B784" s="2419"/>
      <c r="C784" s="5297" t="s">
        <v>1598</v>
      </c>
      <c r="E784" s="2351" t="s">
        <v>1599</v>
      </c>
      <c r="F784" s="2352"/>
      <c r="G784" s="2352"/>
      <c r="H784" s="2353"/>
      <c r="J784" s="2351" t="s">
        <v>1600</v>
      </c>
      <c r="K784" s="2352"/>
      <c r="L784" s="2352"/>
      <c r="M784" s="2353"/>
      <c r="O784" s="2351" t="s">
        <v>221</v>
      </c>
      <c r="P784" s="2352"/>
      <c r="Q784" s="2352"/>
      <c r="R784" s="2353"/>
      <c r="T784" s="2354"/>
      <c r="U784" s="2332"/>
      <c r="V784" s="2332"/>
      <c r="W784" s="420"/>
      <c r="X784" s="302"/>
      <c r="Y784" s="2354"/>
      <c r="Z784" s="2332"/>
      <c r="AA784" s="2332"/>
      <c r="AB784" s="420"/>
      <c r="AC784" s="2355"/>
      <c r="AD784" s="2354"/>
      <c r="AE784" s="2332"/>
      <c r="AF784" s="2332"/>
      <c r="AG784" s="420"/>
      <c r="AH784" s="2356"/>
      <c r="AI784" s="3700"/>
    </row>
    <row r="785">
      <c r="A785" s="3701"/>
      <c r="B785" s="5298"/>
      <c r="C785" s="1638"/>
      <c r="E785" s="2360" t="s">
        <v>797</v>
      </c>
      <c r="F785" s="2361"/>
      <c r="G785" s="2361"/>
      <c r="H785" s="2362"/>
      <c r="J785" s="2360" t="s">
        <v>796</v>
      </c>
      <c r="K785" s="2361"/>
      <c r="L785" s="2361"/>
      <c r="M785" s="2362"/>
      <c r="O785" s="2360" t="s">
        <v>796</v>
      </c>
      <c r="P785" s="2361"/>
      <c r="Q785" s="2361"/>
      <c r="R785" s="2362"/>
      <c r="T785" s="2758"/>
      <c r="U785" s="2332"/>
      <c r="V785" s="2332"/>
      <c r="W785" s="420"/>
      <c r="X785" s="302"/>
      <c r="Y785" s="2758"/>
      <c r="Z785" s="2332"/>
      <c r="AA785" s="2332"/>
      <c r="AB785" s="420"/>
      <c r="AC785" s="2355"/>
      <c r="AD785" s="2758"/>
      <c r="AE785" s="2332"/>
      <c r="AF785" s="2332"/>
      <c r="AG785" s="420"/>
      <c r="AH785" s="5299"/>
      <c r="AI785" s="3709"/>
    </row>
    <row r="786" ht="25.5" customHeight="1">
      <c r="A786" s="3446"/>
      <c r="B786" s="2358"/>
      <c r="C786" s="1646"/>
      <c r="E786" s="2365"/>
      <c r="F786" s="2366" t="str">
        <f t="array" ref="F786">IFERROR(VLOOKUP(E784,Dex!$B$3:$H1361,5,FALSE),"")</f>
        <v/>
      </c>
      <c r="G786" s="2367"/>
      <c r="H786" s="2368"/>
      <c r="J786" s="2365"/>
      <c r="K786" s="2369" t="str">
        <f t="array" ref="K786">IFERROR(VLOOKUP(J784,Dex!$B$3:$H1361,5,FALSE),"")</f>
        <v/>
      </c>
      <c r="L786" s="2370" t="str">
        <f t="array" ref="L786">IFERROR(VLOOKUP(J784,Dex!$B$3:$H1361,7,FALSE),"")</f>
        <v/>
      </c>
      <c r="M786" s="2368"/>
      <c r="O786" s="2365"/>
      <c r="P786" s="2369" t="str">
        <f t="array" ref="P786">IFERROR(VLOOKUP(O784,Dex!$B$3:$H1361,5,FALSE),"")</f>
        <v/>
      </c>
      <c r="Q786" s="2370" t="str">
        <f t="array" ref="Q786">IFERROR(VLOOKUP(O784,Dex!$B$3:$H1361,7,FALSE),"")</f>
        <v/>
      </c>
      <c r="R786" s="2368"/>
      <c r="T786" s="2329"/>
      <c r="U786" s="2332"/>
      <c r="V786" s="2332"/>
      <c r="W786" s="420"/>
      <c r="X786" s="302"/>
      <c r="Y786" s="2329"/>
      <c r="Z786" s="2332"/>
      <c r="AA786" s="2332"/>
      <c r="AB786" s="420"/>
      <c r="AC786" s="2355"/>
      <c r="AD786" s="2329"/>
      <c r="AE786" s="2332"/>
      <c r="AF786" s="2332"/>
      <c r="AG786" s="420"/>
      <c r="AH786" s="2334"/>
      <c r="AI786" s="3452"/>
    </row>
    <row r="787" ht="2.25" customHeight="1">
      <c r="A787" s="3446"/>
      <c r="B787" s="2358"/>
      <c r="C787" s="5047"/>
      <c r="E787" s="2371"/>
      <c r="F787" s="2372"/>
      <c r="G787" s="2372"/>
      <c r="H787" s="2373"/>
      <c r="J787" s="2371"/>
      <c r="K787" s="2372"/>
      <c r="L787" s="2372"/>
      <c r="M787" s="2373"/>
      <c r="O787" s="2371"/>
      <c r="P787" s="2372"/>
      <c r="Q787" s="2372"/>
      <c r="R787" s="2373"/>
      <c r="T787" s="2374"/>
      <c r="U787" s="2374"/>
      <c r="V787" s="2374"/>
      <c r="W787" s="2374"/>
      <c r="X787" s="302"/>
      <c r="Y787" s="2374"/>
      <c r="Z787" s="2374"/>
      <c r="AA787" s="2374"/>
      <c r="AB787" s="2374"/>
      <c r="AC787" s="2355"/>
      <c r="AD787" s="2374"/>
      <c r="AE787" s="2374"/>
      <c r="AF787" s="2374"/>
      <c r="AG787" s="2374"/>
      <c r="AH787" s="2334"/>
      <c r="AI787" s="3452"/>
    </row>
    <row r="788" ht="20.25" customHeight="1">
      <c r="A788" s="3446"/>
      <c r="B788" s="2327"/>
      <c r="C788" s="5300"/>
      <c r="E788" s="2376" t="s">
        <v>532</v>
      </c>
      <c r="F788" s="2377"/>
      <c r="G788" s="2377"/>
      <c r="H788" s="2378"/>
      <c r="J788" s="2376" t="s">
        <v>564</v>
      </c>
      <c r="K788" s="2377"/>
      <c r="L788" s="2377"/>
      <c r="M788" s="2378"/>
      <c r="O788" s="2376" t="s">
        <v>565</v>
      </c>
      <c r="P788" s="2377"/>
      <c r="Q788" s="2377"/>
      <c r="R788" s="2378"/>
      <c r="T788" s="2329"/>
      <c r="U788" s="2332"/>
      <c r="V788" s="2332"/>
      <c r="W788" s="420"/>
      <c r="X788" s="302"/>
      <c r="Y788" s="2329"/>
      <c r="Z788" s="2332"/>
      <c r="AA788" s="2332"/>
      <c r="AB788" s="420"/>
      <c r="AC788" s="2355"/>
      <c r="AD788" s="2329"/>
      <c r="AE788" s="2332"/>
      <c r="AF788" s="2332"/>
      <c r="AG788" s="420"/>
      <c r="AH788" s="2334"/>
      <c r="AI788" s="3452"/>
    </row>
    <row r="789" ht="20.25" customHeight="1">
      <c r="A789" s="3446"/>
      <c r="B789" s="2327"/>
      <c r="C789" s="2328"/>
      <c r="E789" s="2380" t="s">
        <v>94</v>
      </c>
      <c r="F789" s="2332"/>
      <c r="G789" s="2332"/>
      <c r="H789" s="2381"/>
      <c r="J789" s="2380" t="s">
        <v>1601</v>
      </c>
      <c r="K789" s="2332"/>
      <c r="L789" s="2332"/>
      <c r="M789" s="2381"/>
      <c r="O789" s="2380" t="s">
        <v>74</v>
      </c>
      <c r="P789" s="2332"/>
      <c r="Q789" s="2332"/>
      <c r="R789" s="2381"/>
      <c r="T789" s="2329"/>
      <c r="U789" s="2332"/>
      <c r="V789" s="2332"/>
      <c r="W789" s="420"/>
      <c r="X789" s="302"/>
      <c r="Y789" s="2329"/>
      <c r="Z789" s="2332"/>
      <c r="AA789" s="2332"/>
      <c r="AB789" s="420"/>
      <c r="AC789" s="2355"/>
      <c r="AD789" s="2329"/>
      <c r="AE789" s="2332"/>
      <c r="AF789" s="2332"/>
      <c r="AG789" s="420"/>
      <c r="AH789" s="2334"/>
      <c r="AI789" s="3452"/>
    </row>
    <row r="790" ht="20.25" customHeight="1">
      <c r="A790" s="3446"/>
      <c r="B790" s="2327"/>
      <c r="C790" s="2328"/>
      <c r="E790" s="2382" t="s">
        <v>541</v>
      </c>
      <c r="F790" s="2383"/>
      <c r="G790" s="5293"/>
      <c r="H790" s="5301" t="str">
        <f>IMAGE("https://raw.githubusercontent.com/msikma/pokesprite/master/items/hold-item/life-orb.png",3)</f>
        <v/>
      </c>
      <c r="J790" s="2382" t="s">
        <v>573</v>
      </c>
      <c r="K790" s="2383"/>
      <c r="L790" s="5293"/>
      <c r="M790" s="5301" t="str">
        <f>IMAGE("https://raw.githubusercontent.com/msikma/pokesprite/master/items/hold-item/focus-sash.png",3)</f>
        <v/>
      </c>
      <c r="O790" s="2382" t="s">
        <v>541</v>
      </c>
      <c r="P790" s="2383"/>
      <c r="Q790" s="5293"/>
      <c r="R790" s="5301" t="str">
        <f>IMAGE("https://raw.githubusercontent.com/msikma/pokesprite/master/items/hold-item/life-orb.png",3)</f>
        <v/>
      </c>
      <c r="T790" s="2329"/>
      <c r="U790" s="2332"/>
      <c r="V790" s="2332"/>
      <c r="W790" s="420"/>
      <c r="X790" s="302"/>
      <c r="Y790" s="2329"/>
      <c r="Z790" s="2332"/>
      <c r="AA790" s="2332"/>
      <c r="AB790" s="420"/>
      <c r="AC790" s="2355"/>
      <c r="AD790" s="2329"/>
      <c r="AE790" s="2332"/>
      <c r="AF790" s="2332"/>
      <c r="AG790" s="420"/>
      <c r="AH790" s="2334"/>
      <c r="AI790" s="3452"/>
    </row>
    <row r="791" ht="20.25" customHeight="1">
      <c r="A791" s="3446"/>
      <c r="B791" s="2327"/>
      <c r="C791" s="2396"/>
      <c r="E791" s="2376" t="s">
        <v>777</v>
      </c>
      <c r="F791" s="2377"/>
      <c r="G791" s="2386"/>
      <c r="H791" s="5302" t="str">
        <f>IMAGE("https://raw.githubusercontent.com/msikma/pokesprite/master/misc/types/gen8/normal.png",4,20,20)</f>
        <v/>
      </c>
      <c r="J791" s="2376" t="s">
        <v>581</v>
      </c>
      <c r="K791" s="2377"/>
      <c r="L791" s="2386"/>
      <c r="M791" s="5302" t="str">
        <f>IMAGE("https://raw.githubusercontent.com/msikma/pokesprite/master/misc/types/gen8/electric.png",4,20,20)</f>
        <v/>
      </c>
      <c r="O791" s="2376" t="s">
        <v>549</v>
      </c>
      <c r="P791" s="2377"/>
      <c r="Q791" s="2386"/>
      <c r="R791" s="5302" t="str">
        <f>IMAGE("https://raw.githubusercontent.com/msikma/pokesprite/master/misc/types/gen8/ground.png",4,20,20)</f>
        <v/>
      </c>
      <c r="T791" s="2329"/>
      <c r="U791" s="2332"/>
      <c r="V791" s="2332"/>
      <c r="W791" s="420"/>
      <c r="X791" s="302"/>
      <c r="Y791" s="2329"/>
      <c r="Z791" s="2332"/>
      <c r="AA791" s="2332"/>
      <c r="AB791" s="420"/>
      <c r="AC791" s="2355"/>
      <c r="AD791" s="2329"/>
      <c r="AE791" s="2332"/>
      <c r="AF791" s="2332"/>
      <c r="AG791" s="420"/>
      <c r="AH791" s="2334"/>
      <c r="AI791" s="3452"/>
    </row>
    <row r="792" ht="20.25" customHeight="1">
      <c r="A792" s="3446"/>
      <c r="B792" s="2327"/>
      <c r="C792" s="2396"/>
      <c r="E792" s="2380" t="s">
        <v>583</v>
      </c>
      <c r="F792" s="2332"/>
      <c r="G792" s="420"/>
      <c r="H792" s="5303" t="str">
        <f>IMAGE("https://raw.githubusercontent.com/msikma/pokesprite/master/misc/types/gen8/fighting.png",4,20,20)</f>
        <v/>
      </c>
      <c r="J792" s="2380" t="s">
        <v>610</v>
      </c>
      <c r="K792" s="2332"/>
      <c r="L792" s="420"/>
      <c r="M792" s="5303" t="str">
        <f>IMAGE("https://raw.githubusercontent.com/msikma/pokesprite/master/misc/types/gen8/normal.png",4,20,20)</f>
        <v/>
      </c>
      <c r="O792" s="2380" t="s">
        <v>739</v>
      </c>
      <c r="P792" s="2332"/>
      <c r="Q792" s="420"/>
      <c r="R792" s="5303" t="str">
        <f>IMAGE("https://raw.githubusercontent.com/msikma/pokesprite/master/misc/types/gen8/steel.png",4,20,20)</f>
        <v/>
      </c>
      <c r="T792" s="2329"/>
      <c r="U792" s="2332"/>
      <c r="V792" s="2332"/>
      <c r="W792" s="420"/>
      <c r="X792" s="302"/>
      <c r="Y792" s="2329"/>
      <c r="Z792" s="2332"/>
      <c r="AA792" s="2332"/>
      <c r="AB792" s="420"/>
      <c r="AC792" s="2355"/>
      <c r="AD792" s="2329"/>
      <c r="AE792" s="2332"/>
      <c r="AF792" s="2332"/>
      <c r="AG792" s="420"/>
      <c r="AH792" s="2334"/>
      <c r="AI792" s="3452"/>
    </row>
    <row r="793" ht="20.25" customHeight="1">
      <c r="A793" s="3446"/>
      <c r="B793" s="2327"/>
      <c r="C793" s="2396"/>
      <c r="E793" s="2380" t="s">
        <v>579</v>
      </c>
      <c r="F793" s="2332"/>
      <c r="G793" s="420"/>
      <c r="H793" s="5303" t="str">
        <f>IMAGE("https://raw.githubusercontent.com/msikma/pokesprite/master/misc/types/gen8/dark.png",4,20,20)</f>
        <v/>
      </c>
      <c r="J793" s="2380" t="s">
        <v>699</v>
      </c>
      <c r="K793" s="2332"/>
      <c r="L793" s="420"/>
      <c r="M793" s="5303" t="str">
        <f>IMAGE("https://raw.githubusercontent.com/msikma/pokesprite/master/misc/types/gen8/rock.png",4,20,20)</f>
        <v/>
      </c>
      <c r="O793" s="2380" t="s">
        <v>554</v>
      </c>
      <c r="P793" s="2332"/>
      <c r="Q793" s="420"/>
      <c r="R793" s="5303" t="str">
        <f>IMAGE("https://raw.githubusercontent.com/msikma/pokesprite/master/misc/types/gen8/dark.png",4,20,20)</f>
        <v/>
      </c>
      <c r="T793" s="2329"/>
      <c r="U793" s="2332"/>
      <c r="V793" s="2332"/>
      <c r="W793" s="420"/>
      <c r="X793" s="302"/>
      <c r="Y793" s="2329"/>
      <c r="Z793" s="2332"/>
      <c r="AA793" s="2332"/>
      <c r="AB793" s="420"/>
      <c r="AC793" s="2355"/>
      <c r="AD793" s="2329"/>
      <c r="AE793" s="2332"/>
      <c r="AF793" s="2332"/>
      <c r="AG793" s="420"/>
      <c r="AH793" s="2334"/>
      <c r="AI793" s="3452"/>
    </row>
    <row r="794" ht="21.0" customHeight="1">
      <c r="A794" s="3446"/>
      <c r="B794" s="2327"/>
      <c r="C794" s="2396"/>
      <c r="D794" s="2393"/>
      <c r="E794" s="2389" t="s">
        <v>612</v>
      </c>
      <c r="F794" s="2390"/>
      <c r="G794" s="2391"/>
      <c r="H794" s="5304" t="str">
        <f>IMAGE("https://raw.githubusercontent.com/msikma/pokesprite/master/misc/types/gen8/bug.png",4,20,20)</f>
        <v/>
      </c>
      <c r="I794" s="2393"/>
      <c r="J794" s="2389" t="s">
        <v>592</v>
      </c>
      <c r="K794" s="2390"/>
      <c r="L794" s="2391"/>
      <c r="M794" s="5304" t="str">
        <f>IMAGE("https://raw.githubusercontent.com/msikma/pokesprite/master/misc/types/gen8/water.png",4,20,20)</f>
        <v/>
      </c>
      <c r="N794" s="2393"/>
      <c r="O794" s="2389" t="s">
        <v>621</v>
      </c>
      <c r="P794" s="2390"/>
      <c r="Q794" s="2391"/>
      <c r="R794" s="5304" t="str">
        <f>IMAGE("https://raw.githubusercontent.com/msikma/pokesprite/master/misc/types/gen8/rock.png",4,20,20)</f>
        <v/>
      </c>
      <c r="S794" s="2393"/>
      <c r="T794" s="2329"/>
      <c r="U794" s="2332"/>
      <c r="V794" s="2332"/>
      <c r="W794" s="420"/>
      <c r="X794" s="510"/>
      <c r="Y794" s="2329"/>
      <c r="Z794" s="2332"/>
      <c r="AA794" s="2332"/>
      <c r="AB794" s="420"/>
      <c r="AC794" s="2375"/>
      <c r="AD794" s="2329"/>
      <c r="AE794" s="2332"/>
      <c r="AF794" s="2332"/>
      <c r="AG794" s="420"/>
      <c r="AH794" s="2334"/>
      <c r="AI794" s="3452"/>
    </row>
    <row r="795" ht="3.0" customHeight="1">
      <c r="A795" s="3524"/>
      <c r="B795" s="2395"/>
      <c r="C795" s="2396"/>
      <c r="D795" s="2397"/>
      <c r="E795" s="5307"/>
      <c r="F795" s="5307"/>
      <c r="G795" s="5307"/>
      <c r="H795" s="5306"/>
      <c r="I795" s="2397"/>
      <c r="J795" s="5307"/>
      <c r="K795" s="5307"/>
      <c r="L795" s="5307"/>
      <c r="M795" s="5306"/>
      <c r="N795" s="2397"/>
      <c r="O795" s="5307"/>
      <c r="P795" s="5307"/>
      <c r="Q795" s="5307"/>
      <c r="R795" s="5308"/>
      <c r="S795" s="2397"/>
      <c r="T795" s="2397"/>
      <c r="U795" s="2399"/>
      <c r="V795" s="2399"/>
      <c r="W795" s="2400"/>
      <c r="X795" s="2397"/>
      <c r="Y795" s="2397"/>
      <c r="Z795" s="2399"/>
      <c r="AA795" s="2399"/>
      <c r="AB795" s="2400"/>
      <c r="AC795" s="2400"/>
      <c r="AD795" s="2400"/>
      <c r="AE795" s="2400"/>
      <c r="AF795" s="2400"/>
      <c r="AG795" s="2400"/>
      <c r="AH795" s="2401"/>
      <c r="AI795" s="3534"/>
    </row>
    <row r="796" ht="16.5" customHeight="1">
      <c r="A796" s="3535"/>
      <c r="B796" s="2403"/>
      <c r="C796" s="2396"/>
      <c r="D796" s="5309"/>
      <c r="E796" s="5310" t="s">
        <v>512</v>
      </c>
      <c r="F796" s="606"/>
      <c r="G796" s="606"/>
      <c r="H796" s="607"/>
      <c r="I796" s="5309"/>
      <c r="J796" s="5310" t="s">
        <v>512</v>
      </c>
      <c r="K796" s="606"/>
      <c r="L796" s="606"/>
      <c r="M796" s="607"/>
      <c r="N796" s="5309"/>
      <c r="O796" s="5310" t="s">
        <v>512</v>
      </c>
      <c r="P796" s="606"/>
      <c r="Q796" s="606"/>
      <c r="R796" s="607"/>
      <c r="S796" s="5309"/>
      <c r="T796" s="2409"/>
      <c r="U796" s="2408"/>
      <c r="V796" s="2408"/>
      <c r="W796" s="2409"/>
      <c r="X796" s="5317"/>
      <c r="Y796" s="2409"/>
      <c r="Z796" s="2408"/>
      <c r="AA796" s="2408"/>
      <c r="AB796" s="2409"/>
      <c r="AC796" s="2409"/>
      <c r="AD796" s="2409"/>
      <c r="AE796" s="2409"/>
      <c r="AF796" s="2409"/>
      <c r="AG796" s="2409"/>
      <c r="AH796" s="2410"/>
      <c r="AI796" s="3543"/>
    </row>
    <row r="797" ht="16.5" customHeight="1">
      <c r="A797" s="3535"/>
      <c r="B797" s="2403"/>
      <c r="C797" s="2396"/>
      <c r="D797" s="5312"/>
      <c r="E797" s="5313" t="s">
        <v>513</v>
      </c>
      <c r="F797" s="5314">
        <f t="array" ref="F797">IFERROR(VLOOKUP(E784,Dex!$B$3:$N1361,8,FALSE),"")</f>
        <v>65</v>
      </c>
      <c r="G797" s="5315" t="str">
        <f t="array" ref="G797">IFERROR(VLOOKUP(F797,Dex!$P$22:$Q$276,2,FALSE),"")</f>
        <v/>
      </c>
      <c r="H797" s="5316"/>
      <c r="I797" s="5312"/>
      <c r="J797" s="5313" t="s">
        <v>513</v>
      </c>
      <c r="K797" s="5314">
        <f t="array" ref="K797">IFERROR(VLOOKUP(J784,Dex!$B$3:$N1361,8,FALSE),"")</f>
        <v>62</v>
      </c>
      <c r="L797" s="5315" t="str">
        <f t="array" ref="L797">IFERROR(VLOOKUP(K797,Dex!$P$22:$Q$276,2,FALSE),"")</f>
        <v/>
      </c>
      <c r="M797" s="5316"/>
      <c r="N797" s="5312"/>
      <c r="O797" s="5313" t="s">
        <v>513</v>
      </c>
      <c r="P797" s="5314">
        <f t="array" ref="P797">IFERROR(VLOOKUP(O784,Dex!$B$3:$N1361,8,FALSE),"")</f>
        <v>35</v>
      </c>
      <c r="Q797" s="5315" t="str">
        <f t="array" ref="Q797">IFERROR(VLOOKUP(P797,Dex!$P$22:$Q$276,2,FALSE),"")</f>
        <v/>
      </c>
      <c r="R797" s="5316"/>
      <c r="S797" s="5312"/>
      <c r="T797" s="2409"/>
      <c r="U797" s="2408"/>
      <c r="V797" s="2408"/>
      <c r="W797" s="2409"/>
      <c r="X797" s="5317"/>
      <c r="Y797" s="2409"/>
      <c r="Z797" s="2408"/>
      <c r="AA797" s="2408"/>
      <c r="AB797" s="2409"/>
      <c r="AC797" s="2409"/>
      <c r="AD797" s="2409"/>
      <c r="AE797" s="2409"/>
      <c r="AF797" s="2409"/>
      <c r="AG797" s="2409"/>
      <c r="AH797" s="2410"/>
      <c r="AI797" s="3543"/>
    </row>
    <row r="798" ht="16.5" customHeight="1">
      <c r="A798" s="3535"/>
      <c r="B798" s="2403"/>
      <c r="C798" s="2396"/>
      <c r="D798" s="5312"/>
      <c r="E798" s="5318" t="s">
        <v>514</v>
      </c>
      <c r="F798" s="5319">
        <f t="array" ref="F798">IFERROR(VLOOKUP(E784,Dex!$B$3:$N1361,9,FALSE),"")</f>
        <v>125</v>
      </c>
      <c r="G798" s="5320" t="str">
        <f t="array" ref="G798">IFERROR(VLOOKUP(F798,Dex!$P$22:$Q$276,2,FALSE),"")</f>
        <v/>
      </c>
      <c r="H798" s="5321"/>
      <c r="I798" s="5312"/>
      <c r="J798" s="5318" t="s">
        <v>514</v>
      </c>
      <c r="K798" s="5319">
        <f t="array" ref="K798">IFERROR(VLOOKUP(J784,Dex!$B$3:$N1361,9,FALSE),"")</f>
        <v>55</v>
      </c>
      <c r="L798" s="5320" t="str">
        <f t="array" ref="L798">IFERROR(VLOOKUP(K798,Dex!$P$22:$Q$276,2,FALSE),"")</f>
        <v/>
      </c>
      <c r="M798" s="5321"/>
      <c r="N798" s="5312"/>
      <c r="O798" s="5318" t="s">
        <v>514</v>
      </c>
      <c r="P798" s="5319">
        <f t="array" ref="P798">IFERROR(VLOOKUP(O784,Dex!$B$3:$N1361,9,FALSE),"")</f>
        <v>110</v>
      </c>
      <c r="Q798" s="5320" t="str">
        <f t="array" ref="Q798">IFERROR(VLOOKUP(P798,Dex!$P$22:$Q$276,2,FALSE),"")</f>
        <v/>
      </c>
      <c r="R798" s="5321"/>
      <c r="S798" s="5312"/>
      <c r="T798" s="2409"/>
      <c r="U798" s="2408"/>
      <c r="V798" s="2408"/>
      <c r="W798" s="2409"/>
      <c r="X798" s="5317"/>
      <c r="Y798" s="2409"/>
      <c r="Z798" s="2408"/>
      <c r="AA798" s="2408"/>
      <c r="AB798" s="2409"/>
      <c r="AC798" s="2409"/>
      <c r="AD798" s="2409"/>
      <c r="AE798" s="2409"/>
      <c r="AF798" s="2409"/>
      <c r="AG798" s="2409"/>
      <c r="AH798" s="2410"/>
      <c r="AI798" s="3543"/>
    </row>
    <row r="799" ht="16.5" customHeight="1">
      <c r="A799" s="3535"/>
      <c r="B799" s="2403"/>
      <c r="C799" s="2396"/>
      <c r="D799" s="5312"/>
      <c r="E799" s="5318" t="s">
        <v>515</v>
      </c>
      <c r="F799" s="5319">
        <f t="array" ref="F799">IFERROR(VLOOKUP(E784,Dex!$B$3:$N1361,10,FALSE),"")</f>
        <v>60</v>
      </c>
      <c r="G799" s="5320" t="str">
        <f t="array" ref="G799">IFERROR(VLOOKUP(F799,Dex!$P$22:$Q$276,2,FALSE),"")</f>
        <v/>
      </c>
      <c r="H799" s="5321"/>
      <c r="I799" s="5312"/>
      <c r="J799" s="5318" t="s">
        <v>515</v>
      </c>
      <c r="K799" s="5319">
        <f t="array" ref="K799">IFERROR(VLOOKUP(J784,Dex!$B$3:$N1361,10,FALSE),"")</f>
        <v>52</v>
      </c>
      <c r="L799" s="5320" t="str">
        <f t="array" ref="L799">IFERROR(VLOOKUP(K799,Dex!$P$22:$Q$276,2,FALSE),"")</f>
        <v/>
      </c>
      <c r="M799" s="5321"/>
      <c r="N799" s="5312"/>
      <c r="O799" s="5318" t="s">
        <v>515</v>
      </c>
      <c r="P799" s="5319">
        <f t="array" ref="P799">IFERROR(VLOOKUP(O784,Dex!$B$3:$N1361,10,FALSE),"")</f>
        <v>60</v>
      </c>
      <c r="Q799" s="5320" t="str">
        <f t="array" ref="Q799">IFERROR(VLOOKUP(P799,Dex!$P$22:$Q$276,2,FALSE),"")</f>
        <v/>
      </c>
      <c r="R799" s="5321"/>
      <c r="S799" s="5312"/>
      <c r="T799" s="2409"/>
      <c r="U799" s="2408"/>
      <c r="V799" s="2408"/>
      <c r="W799" s="2409"/>
      <c r="X799" s="5317"/>
      <c r="Y799" s="2409"/>
      <c r="Z799" s="2408"/>
      <c r="AA799" s="2408"/>
      <c r="AB799" s="2409"/>
      <c r="AC799" s="2409"/>
      <c r="AD799" s="2409"/>
      <c r="AE799" s="2409"/>
      <c r="AF799" s="2409"/>
      <c r="AG799" s="2409"/>
      <c r="AH799" s="2410"/>
      <c r="AI799" s="3543"/>
    </row>
    <row r="800" ht="16.5" customHeight="1">
      <c r="A800" s="3535"/>
      <c r="B800" s="2403"/>
      <c r="C800" s="2396"/>
      <c r="D800" s="5312"/>
      <c r="E800" s="5318" t="s">
        <v>516</v>
      </c>
      <c r="F800" s="5319">
        <f t="array" ref="F800">IFERROR(VLOOKUP(E784,Dex!$B$3:$N1361,11,FALSE),"")</f>
        <v>95</v>
      </c>
      <c r="G800" s="5320" t="str">
        <f t="array" ref="G800">IFERROR(VLOOKUP(F800,Dex!$P$22:$Q$276,2,FALSE),"")</f>
        <v/>
      </c>
      <c r="H800" s="5321"/>
      <c r="I800" s="5312"/>
      <c r="J800" s="5318" t="s">
        <v>516</v>
      </c>
      <c r="K800" s="5319">
        <f t="array" ref="K800">IFERROR(VLOOKUP(J784,Dex!$B$3:$N1361,11,FALSE),"")</f>
        <v>109</v>
      </c>
      <c r="L800" s="5320" t="str">
        <f t="array" ref="L800">IFERROR(VLOOKUP(K800,Dex!$P$22:$Q$276,2,FALSE),"")</f>
        <v/>
      </c>
      <c r="M800" s="5321"/>
      <c r="N800" s="5312"/>
      <c r="O800" s="5318" t="s">
        <v>516</v>
      </c>
      <c r="P800" s="5319">
        <f t="array" ref="P800">IFERROR(VLOOKUP(O784,Dex!$B$3:$N1361,11,FALSE),"")</f>
        <v>50</v>
      </c>
      <c r="Q800" s="5320" t="str">
        <f t="array" ref="Q800">IFERROR(VLOOKUP(P800,Dex!$P$22:$Q$276,2,FALSE),"")</f>
        <v/>
      </c>
      <c r="R800" s="5321"/>
      <c r="S800" s="5312"/>
      <c r="T800" s="2409"/>
      <c r="U800" s="2408"/>
      <c r="V800" s="2408"/>
      <c r="W800" s="2409"/>
      <c r="X800" s="5317"/>
      <c r="Y800" s="2409"/>
      <c r="Z800" s="2408"/>
      <c r="AA800" s="2408"/>
      <c r="AB800" s="2409"/>
      <c r="AC800" s="2409"/>
      <c r="AD800" s="2409"/>
      <c r="AE800" s="2409"/>
      <c r="AF800" s="2409"/>
      <c r="AG800" s="2409"/>
      <c r="AH800" s="2410"/>
      <c r="AI800" s="3543"/>
    </row>
    <row r="801" ht="16.5" customHeight="1">
      <c r="A801" s="3535"/>
      <c r="B801" s="2403"/>
      <c r="C801" s="2396"/>
      <c r="D801" s="5312"/>
      <c r="E801" s="5318" t="s">
        <v>517</v>
      </c>
      <c r="F801" s="5319">
        <f t="array" ref="F801">IFERROR(VLOOKUP(E784,Dex!$B$3:$N1361,12,FALSE),"")</f>
        <v>60</v>
      </c>
      <c r="G801" s="5320" t="str">
        <f t="array" ref="G801">IFERROR(VLOOKUP(F801,Dex!$P$22:$Q$276,2,FALSE),"")</f>
        <v/>
      </c>
      <c r="H801" s="5321"/>
      <c r="I801" s="5312"/>
      <c r="J801" s="5318" t="s">
        <v>517</v>
      </c>
      <c r="K801" s="5319">
        <f t="array" ref="K801">IFERROR(VLOOKUP(J784,Dex!$B$3:$N1361,12,FALSE),"")</f>
        <v>94</v>
      </c>
      <c r="L801" s="5320" t="str">
        <f t="array" ref="L801">IFERROR(VLOOKUP(K801,Dex!$P$22:$Q$276,2,FALSE),"")</f>
        <v/>
      </c>
      <c r="M801" s="5321"/>
      <c r="N801" s="5312"/>
      <c r="O801" s="5318" t="s">
        <v>517</v>
      </c>
      <c r="P801" s="5319">
        <f t="array" ref="P801">IFERROR(VLOOKUP(O784,Dex!$B$3:$N1361,12,FALSE),"")</f>
        <v>70</v>
      </c>
      <c r="Q801" s="5320" t="str">
        <f t="array" ref="Q801">IFERROR(VLOOKUP(P801,Dex!$P$22:$Q$276,2,FALSE),"")</f>
        <v/>
      </c>
      <c r="R801" s="5321"/>
      <c r="S801" s="5312"/>
      <c r="T801" s="2409"/>
      <c r="U801" s="2408"/>
      <c r="V801" s="2408"/>
      <c r="W801" s="2409"/>
      <c r="X801" s="5317"/>
      <c r="Y801" s="2409"/>
      <c r="Z801" s="2408"/>
      <c r="AA801" s="2408"/>
      <c r="AB801" s="2409"/>
      <c r="AC801" s="2409"/>
      <c r="AD801" s="2409"/>
      <c r="AE801" s="2409"/>
      <c r="AF801" s="2409"/>
      <c r="AG801" s="2409"/>
      <c r="AH801" s="2410"/>
      <c r="AI801" s="3543"/>
    </row>
    <row r="802" ht="16.5" customHeight="1">
      <c r="A802" s="3535"/>
      <c r="B802" s="2403"/>
      <c r="C802" s="1426" t="s">
        <v>745</v>
      </c>
      <c r="D802" s="5312"/>
      <c r="E802" s="5322" t="s">
        <v>518</v>
      </c>
      <c r="F802" s="5323">
        <f t="array" ref="F802">IFERROR(VLOOKUP(E784,Dex!$B$3:$N1361,13,FALSE),"")</f>
        <v>105</v>
      </c>
      <c r="G802" s="5320" t="str">
        <f t="array" ref="G802">IFERROR(VLOOKUP(F802,Dex!$P$22:$Q$276,2,FALSE),"")</f>
        <v/>
      </c>
      <c r="H802" s="5321"/>
      <c r="I802" s="5312"/>
      <c r="J802" s="5322" t="s">
        <v>518</v>
      </c>
      <c r="K802" s="5323">
        <f t="array" ref="K802">IFERROR(VLOOKUP(J784,Dex!$B$3:$N1361,13,FALSE),"")</f>
        <v>109</v>
      </c>
      <c r="L802" s="5320" t="str">
        <f t="array" ref="L802">IFERROR(VLOOKUP(K802,Dex!$P$22:$Q$276,2,FALSE),"")</f>
        <v/>
      </c>
      <c r="M802" s="5321"/>
      <c r="N802" s="5312"/>
      <c r="O802" s="5322" t="s">
        <v>518</v>
      </c>
      <c r="P802" s="5323">
        <f t="array" ref="P802">IFERROR(VLOOKUP(O784,Dex!$B$3:$N1361,13,FALSE),"")</f>
        <v>110</v>
      </c>
      <c r="Q802" s="5320" t="str">
        <f t="array" ref="Q802">IFERROR(VLOOKUP(P802,Dex!$P$22:$Q$276,2,FALSE),"")</f>
        <v/>
      </c>
      <c r="R802" s="5321"/>
      <c r="S802" s="5312"/>
      <c r="T802" s="2409"/>
      <c r="U802" s="2408"/>
      <c r="V802" s="2408"/>
      <c r="W802" s="2409"/>
      <c r="X802" s="5317"/>
      <c r="Y802" s="2409"/>
      <c r="Z802" s="2408"/>
      <c r="AA802" s="2408"/>
      <c r="AB802" s="2409"/>
      <c r="AC802" s="2409"/>
      <c r="AD802" s="2409"/>
      <c r="AE802" s="2409"/>
      <c r="AF802" s="2409"/>
      <c r="AG802" s="2409"/>
      <c r="AH802" s="2410"/>
      <c r="AI802" s="3543"/>
    </row>
    <row r="803" ht="16.5" customHeight="1">
      <c r="A803" s="3535"/>
      <c r="B803" s="2403"/>
      <c r="C803" s="1427" t="s">
        <v>746</v>
      </c>
      <c r="D803" s="5309"/>
      <c r="E803" s="5324" t="s">
        <v>519</v>
      </c>
      <c r="F803" s="630"/>
      <c r="G803" s="631"/>
      <c r="H803" s="632">
        <f>ROUNDDOWN((ROUNDDOWN(((((2*F802+31)*65)/100+5)),0))*1.1,0)</f>
        <v>177</v>
      </c>
      <c r="I803" s="5309"/>
      <c r="J803" s="5324" t="s">
        <v>519</v>
      </c>
      <c r="K803" s="630"/>
      <c r="L803" s="631"/>
      <c r="M803" s="632">
        <f>ROUNDDOWN((ROUNDDOWN(((((2*K802+31)*66)/100+5)),0))*1.1,0)</f>
        <v>185</v>
      </c>
      <c r="N803" s="5309"/>
      <c r="O803" s="5324" t="s">
        <v>519</v>
      </c>
      <c r="P803" s="630"/>
      <c r="Q803" s="631"/>
      <c r="R803" s="632">
        <f>ROUNDDOWN((ROUNDDOWN(((((2*P802+31)*66)/100+5)),0))*1.1,0)</f>
        <v>187</v>
      </c>
      <c r="S803" s="5309"/>
      <c r="T803" s="2409"/>
      <c r="U803" s="2408"/>
      <c r="V803" s="2408"/>
      <c r="W803" s="2409"/>
      <c r="X803" s="5317"/>
      <c r="Y803" s="2409"/>
      <c r="Z803" s="2408"/>
      <c r="AA803" s="2408"/>
      <c r="AB803" s="2409"/>
      <c r="AC803" s="2409"/>
      <c r="AD803" s="2409"/>
      <c r="AE803" s="2409"/>
      <c r="AF803" s="2409"/>
      <c r="AG803" s="2409"/>
      <c r="AH803" s="2410"/>
      <c r="AI803" s="3543"/>
    </row>
    <row r="804" ht="11.25" customHeight="1">
      <c r="A804" s="3446"/>
      <c r="B804" s="2327"/>
      <c r="C804" s="2328"/>
      <c r="D804" s="5342"/>
      <c r="E804" s="5343"/>
      <c r="F804" s="5343"/>
      <c r="G804" s="5343"/>
      <c r="H804" s="5343"/>
      <c r="I804" s="5344"/>
      <c r="J804" s="5343"/>
      <c r="K804" s="5343"/>
      <c r="L804" s="5343"/>
      <c r="M804" s="5343"/>
      <c r="N804" s="5344"/>
      <c r="O804" s="5343"/>
      <c r="P804" s="5343"/>
      <c r="Q804" s="5343"/>
      <c r="R804" s="5343"/>
      <c r="S804" s="5344"/>
      <c r="T804" s="5343"/>
      <c r="U804" s="5343"/>
      <c r="V804" s="5343"/>
      <c r="W804" s="5343"/>
      <c r="X804" s="2374"/>
      <c r="Y804" s="2374"/>
      <c r="Z804" s="2374"/>
      <c r="AA804" s="2374"/>
      <c r="AB804" s="2374"/>
      <c r="AC804" s="2374"/>
      <c r="AD804" s="2374"/>
      <c r="AE804" s="2374"/>
      <c r="AF804" s="2374"/>
      <c r="AG804" s="2374"/>
      <c r="AH804" s="2334"/>
      <c r="AI804" s="3452"/>
    </row>
    <row r="805" ht="11.25" customHeight="1">
      <c r="A805" s="3446"/>
      <c r="B805" s="2327"/>
      <c r="C805" s="5345"/>
      <c r="D805" s="5346"/>
      <c r="E805" s="3250" t="s">
        <v>1602</v>
      </c>
      <c r="F805" s="3251"/>
      <c r="G805" s="3251"/>
      <c r="H805" s="3251"/>
      <c r="I805" s="3251"/>
      <c r="J805" s="3251"/>
      <c r="K805" s="3251"/>
      <c r="L805" s="3251"/>
      <c r="M805" s="3251"/>
      <c r="N805" s="3251"/>
      <c r="O805" s="3251"/>
      <c r="P805" s="3251"/>
      <c r="Q805" s="3251"/>
      <c r="R805" s="3252"/>
      <c r="S805" s="2331"/>
      <c r="T805" s="2332"/>
      <c r="U805" s="2332"/>
      <c r="V805" s="420"/>
      <c r="W805" s="2329"/>
      <c r="X805" s="2332"/>
      <c r="Y805" s="2332"/>
      <c r="Z805" s="420"/>
      <c r="AA805" s="5345"/>
      <c r="AB805" s="5345"/>
      <c r="AC805" s="5345"/>
      <c r="AD805" s="5345"/>
      <c r="AE805" s="5345"/>
      <c r="AF805" s="5345"/>
      <c r="AG805" s="5345"/>
      <c r="AH805" s="2334"/>
      <c r="AI805" s="3452"/>
    </row>
    <row r="806" ht="11.25" customHeight="1">
      <c r="A806" s="3446"/>
      <c r="B806" s="2327"/>
      <c r="C806" s="2328"/>
      <c r="D806" s="2329"/>
      <c r="E806" s="314"/>
      <c r="F806" s="3255"/>
      <c r="G806" s="3255"/>
      <c r="H806" s="3255"/>
      <c r="I806" s="3255"/>
      <c r="J806" s="3255"/>
      <c r="K806" s="3255"/>
      <c r="L806" s="3255"/>
      <c r="M806" s="3255"/>
      <c r="N806" s="3255"/>
      <c r="O806" s="3255"/>
      <c r="P806" s="3255"/>
      <c r="Q806" s="3255"/>
      <c r="R806" s="3256"/>
      <c r="S806" s="2331"/>
      <c r="T806" s="2332"/>
      <c r="U806" s="2332"/>
      <c r="V806" s="420"/>
      <c r="W806" s="2329"/>
      <c r="X806" s="2332"/>
      <c r="Y806" s="2332"/>
      <c r="Z806" s="420"/>
      <c r="AA806" s="5347"/>
      <c r="AB806" s="5347"/>
      <c r="AC806" s="5347"/>
      <c r="AD806" s="5347"/>
      <c r="AE806" s="5347"/>
      <c r="AF806" s="5347"/>
      <c r="AG806" s="5347"/>
      <c r="AH806" s="2334"/>
      <c r="AI806" s="3452"/>
    </row>
    <row r="807" ht="3.75" customHeight="1">
      <c r="A807" s="3446"/>
      <c r="B807" s="2327"/>
      <c r="C807" s="2328"/>
      <c r="D807" s="5342"/>
      <c r="E807" s="5348"/>
      <c r="F807" s="5348"/>
      <c r="G807" s="5348"/>
      <c r="H807" s="5348"/>
      <c r="I807" s="5349"/>
      <c r="J807" s="5348"/>
      <c r="K807" s="5348"/>
      <c r="L807" s="5348"/>
      <c r="M807" s="5348"/>
      <c r="N807" s="5349"/>
      <c r="O807" s="5348"/>
      <c r="P807" s="5348"/>
      <c r="Q807" s="5348"/>
      <c r="R807" s="5348"/>
      <c r="S807" s="5349"/>
      <c r="T807" s="5348"/>
      <c r="U807" s="5348"/>
      <c r="V807" s="5348"/>
      <c r="W807" s="5348"/>
      <c r="X807" s="2374"/>
      <c r="Y807" s="2374"/>
      <c r="Z807" s="2374"/>
      <c r="AA807" s="2374"/>
      <c r="AB807" s="2374"/>
      <c r="AC807" s="2374"/>
      <c r="AD807" s="2374"/>
      <c r="AE807" s="2374"/>
      <c r="AF807" s="2374"/>
      <c r="AG807" s="2374"/>
      <c r="AH807" s="2334"/>
      <c r="AI807" s="3452"/>
    </row>
    <row r="808">
      <c r="A808" s="3446"/>
      <c r="B808" s="2327"/>
      <c r="C808" s="5291"/>
      <c r="D808" s="2346"/>
      <c r="E808" s="5292" t="s">
        <v>1603</v>
      </c>
      <c r="F808" s="2383"/>
      <c r="G808" s="2383"/>
      <c r="H808" s="2383"/>
      <c r="I808" s="2383"/>
      <c r="J808" s="2383"/>
      <c r="K808" s="2383"/>
      <c r="L808" s="2383"/>
      <c r="M808" s="2383"/>
      <c r="N808" s="2383"/>
      <c r="O808" s="2383"/>
      <c r="P808" s="2383"/>
      <c r="Q808" s="2383"/>
      <c r="R808" s="2383"/>
      <c r="S808" s="2383"/>
      <c r="T808" s="2383"/>
      <c r="U808" s="2383"/>
      <c r="V808" s="2383"/>
      <c r="W808" s="2383"/>
      <c r="X808" s="2383"/>
      <c r="Y808" s="2383"/>
      <c r="Z808" s="2383"/>
      <c r="AA808" s="2383"/>
      <c r="AB808" s="2383"/>
      <c r="AC808" s="2383"/>
      <c r="AD808" s="2383"/>
      <c r="AE808" s="2383"/>
      <c r="AF808" s="2383"/>
      <c r="AG808" s="5293"/>
      <c r="AH808" s="5294"/>
      <c r="AI808" s="3452"/>
    </row>
    <row r="809" ht="96.75" customHeight="1">
      <c r="A809" s="3446"/>
      <c r="B809" s="2358"/>
      <c r="C809" s="5295" t="str">
        <f>IMAGE("https://i.ibb.co/Wv3HtLh/CueBall.png")</f>
        <v/>
      </c>
      <c r="D809" s="2343"/>
      <c r="E809" s="5296" t="str">
        <f t="array" ref="E809">IFERROR(VLOOKUP(E810,Dex!$B$3:$G1361,3,FALSE),"")</f>
        <v/>
      </c>
      <c r="F809" s="1945"/>
      <c r="G809" s="1945"/>
      <c r="H809" s="1946"/>
      <c r="I809" s="2343"/>
      <c r="J809" s="5296" t="str">
        <f t="array" ref="J809">IFERROR(VLOOKUP(J810,Dex!$B$3:$G1361,3,FALSE),"")</f>
        <v/>
      </c>
      <c r="K809" s="1945"/>
      <c r="L809" s="1945"/>
      <c r="M809" s="1946"/>
      <c r="N809" s="5344"/>
      <c r="O809" s="2329"/>
      <c r="P809" s="2332"/>
      <c r="Q809" s="2332"/>
      <c r="R809" s="420"/>
      <c r="S809" s="5344"/>
      <c r="T809" s="2329"/>
      <c r="U809" s="2332"/>
      <c r="V809" s="2332"/>
      <c r="W809" s="420"/>
      <c r="X809" s="2345"/>
      <c r="Y809" s="2329"/>
      <c r="Z809" s="2332"/>
      <c r="AA809" s="2332"/>
      <c r="AB809" s="420"/>
      <c r="AC809" s="2346"/>
      <c r="AD809" s="2329"/>
      <c r="AE809" s="2332"/>
      <c r="AF809" s="2332"/>
      <c r="AG809" s="420"/>
      <c r="AH809" s="2334"/>
      <c r="AI809" s="3452"/>
    </row>
    <row r="810" ht="18.75" customHeight="1">
      <c r="A810" s="3689"/>
      <c r="B810" s="2419"/>
      <c r="C810" s="5297" t="s">
        <v>1604</v>
      </c>
      <c r="E810" s="2351" t="s">
        <v>1605</v>
      </c>
      <c r="F810" s="2352"/>
      <c r="G810" s="2352"/>
      <c r="H810" s="2353"/>
      <c r="J810" s="2351" t="s">
        <v>1606</v>
      </c>
      <c r="K810" s="2352"/>
      <c r="L810" s="2352"/>
      <c r="M810" s="2353"/>
      <c r="N810" s="2355"/>
      <c r="O810" s="2354"/>
      <c r="P810" s="2332"/>
      <c r="Q810" s="2332"/>
      <c r="R810" s="420"/>
      <c r="S810" s="2355"/>
      <c r="T810" s="2354"/>
      <c r="U810" s="2332"/>
      <c r="V810" s="2332"/>
      <c r="W810" s="420"/>
      <c r="X810" s="302"/>
      <c r="Y810" s="2354"/>
      <c r="Z810" s="2332"/>
      <c r="AA810" s="2332"/>
      <c r="AB810" s="420"/>
      <c r="AC810" s="2355"/>
      <c r="AD810" s="2354"/>
      <c r="AE810" s="2332"/>
      <c r="AF810" s="2332"/>
      <c r="AG810" s="420"/>
      <c r="AH810" s="2356"/>
      <c r="AI810" s="3700"/>
    </row>
    <row r="811">
      <c r="A811" s="3701"/>
      <c r="B811" s="5298"/>
      <c r="C811" s="1638"/>
      <c r="E811" s="2360" t="s">
        <v>796</v>
      </c>
      <c r="F811" s="2361"/>
      <c r="G811" s="2361"/>
      <c r="H811" s="2362"/>
      <c r="J811" s="2360" t="s">
        <v>796</v>
      </c>
      <c r="K811" s="2361"/>
      <c r="L811" s="2361"/>
      <c r="M811" s="2362"/>
      <c r="N811" s="2355"/>
      <c r="O811" s="2758"/>
      <c r="P811" s="2332"/>
      <c r="Q811" s="2332"/>
      <c r="R811" s="420"/>
      <c r="S811" s="2355"/>
      <c r="T811" s="2758"/>
      <c r="U811" s="2332"/>
      <c r="V811" s="2332"/>
      <c r="W811" s="420"/>
      <c r="X811" s="302"/>
      <c r="Y811" s="2758"/>
      <c r="Z811" s="2332"/>
      <c r="AA811" s="2332"/>
      <c r="AB811" s="420"/>
      <c r="AC811" s="2355"/>
      <c r="AD811" s="2758"/>
      <c r="AE811" s="2332"/>
      <c r="AF811" s="2332"/>
      <c r="AG811" s="420"/>
      <c r="AH811" s="5299"/>
      <c r="AI811" s="3709"/>
    </row>
    <row r="812" ht="25.5" customHeight="1">
      <c r="A812" s="3446"/>
      <c r="B812" s="2358"/>
      <c r="C812" s="1646"/>
      <c r="E812" s="2365"/>
      <c r="F812" s="5350" t="str">
        <f t="array" ref="F812">IFERROR(VLOOKUP(E810,Dex!$B$3:$H1361,5,FALSE),"")</f>
        <v/>
      </c>
      <c r="G812" s="5351" t="str">
        <f t="array" ref="G812">IFERROR(VLOOKUP(E810,Dex!$B$3:$H1361,7,FALSE),"")</f>
        <v/>
      </c>
      <c r="H812" s="2368"/>
      <c r="J812" s="2365"/>
      <c r="K812" s="5350" t="str">
        <f t="array" ref="K812">IFERROR(VLOOKUP(J810,Dex!$B$3:$H1361,5,FALSE),"")</f>
        <v/>
      </c>
      <c r="L812" s="5351" t="str">
        <f t="array" ref="L812">IFERROR(VLOOKUP(J810,Dex!$B$3:$H1361,7,FALSE),"")</f>
        <v/>
      </c>
      <c r="M812" s="2368"/>
      <c r="N812" s="2355"/>
      <c r="O812" s="2329"/>
      <c r="P812" s="2332"/>
      <c r="Q812" s="2332"/>
      <c r="R812" s="420"/>
      <c r="S812" s="2355"/>
      <c r="T812" s="2329"/>
      <c r="U812" s="2332"/>
      <c r="V812" s="2332"/>
      <c r="W812" s="420"/>
      <c r="X812" s="302"/>
      <c r="Y812" s="2329"/>
      <c r="Z812" s="2332"/>
      <c r="AA812" s="2332"/>
      <c r="AB812" s="420"/>
      <c r="AC812" s="2355"/>
      <c r="AD812" s="2329"/>
      <c r="AE812" s="2332"/>
      <c r="AF812" s="2332"/>
      <c r="AG812" s="420"/>
      <c r="AH812" s="2334"/>
      <c r="AI812" s="3452"/>
    </row>
    <row r="813" ht="2.25" customHeight="1">
      <c r="A813" s="3446"/>
      <c r="B813" s="2358"/>
      <c r="C813" s="5047"/>
      <c r="E813" s="2371"/>
      <c r="F813" s="2372"/>
      <c r="G813" s="2372"/>
      <c r="H813" s="2373"/>
      <c r="J813" s="2371"/>
      <c r="K813" s="2372"/>
      <c r="L813" s="2372"/>
      <c r="M813" s="2373"/>
      <c r="N813" s="2355"/>
      <c r="O813" s="2374"/>
      <c r="P813" s="2374"/>
      <c r="Q813" s="2374"/>
      <c r="R813" s="2374"/>
      <c r="S813" s="2355"/>
      <c r="T813" s="2374"/>
      <c r="U813" s="2374"/>
      <c r="V813" s="2374"/>
      <c r="W813" s="2374"/>
      <c r="X813" s="302"/>
      <c r="Y813" s="2374"/>
      <c r="Z813" s="2374"/>
      <c r="AA813" s="2374"/>
      <c r="AB813" s="2374"/>
      <c r="AC813" s="2355"/>
      <c r="AD813" s="2374"/>
      <c r="AE813" s="2374"/>
      <c r="AF813" s="2374"/>
      <c r="AG813" s="2374"/>
      <c r="AH813" s="2334"/>
      <c r="AI813" s="3452"/>
    </row>
    <row r="814" ht="20.25" customHeight="1">
      <c r="A814" s="3446"/>
      <c r="B814" s="2327"/>
      <c r="C814" s="5300"/>
      <c r="E814" s="2376" t="s">
        <v>532</v>
      </c>
      <c r="F814" s="2377"/>
      <c r="G814" s="2377"/>
      <c r="H814" s="2378"/>
      <c r="J814" s="2376" t="s">
        <v>532</v>
      </c>
      <c r="K814" s="2377"/>
      <c r="L814" s="2377"/>
      <c r="M814" s="2378"/>
      <c r="N814" s="2355"/>
      <c r="O814" s="2329"/>
      <c r="P814" s="2332"/>
      <c r="Q814" s="2332"/>
      <c r="R814" s="420"/>
      <c r="S814" s="2355"/>
      <c r="T814" s="2329"/>
      <c r="U814" s="2332"/>
      <c r="V814" s="2332"/>
      <c r="W814" s="420"/>
      <c r="X814" s="302"/>
      <c r="Y814" s="2329"/>
      <c r="Z814" s="2332"/>
      <c r="AA814" s="2332"/>
      <c r="AB814" s="420"/>
      <c r="AC814" s="2355"/>
      <c r="AD814" s="2329"/>
      <c r="AE814" s="2332"/>
      <c r="AF814" s="2332"/>
      <c r="AG814" s="420"/>
      <c r="AH814" s="2334"/>
      <c r="AI814" s="3452"/>
    </row>
    <row r="815">
      <c r="A815" s="3446"/>
      <c r="B815" s="2327"/>
      <c r="C815" s="2328"/>
      <c r="E815" s="2380" t="s">
        <v>1607</v>
      </c>
      <c r="F815" s="2332"/>
      <c r="G815" s="2332"/>
      <c r="H815" s="2381"/>
      <c r="J815" s="2380" t="s">
        <v>483</v>
      </c>
      <c r="K815" s="2332"/>
      <c r="L815" s="2332"/>
      <c r="M815" s="2381"/>
      <c r="N815" s="2355"/>
      <c r="O815" s="2329"/>
      <c r="P815" s="2332"/>
      <c r="Q815" s="2332"/>
      <c r="R815" s="420"/>
      <c r="S815" s="2355"/>
      <c r="T815" s="2329"/>
      <c r="U815" s="2332"/>
      <c r="V815" s="2332"/>
      <c r="W815" s="420"/>
      <c r="X815" s="302"/>
      <c r="Y815" s="2329"/>
      <c r="Z815" s="2332"/>
      <c r="AA815" s="2332"/>
      <c r="AB815" s="420"/>
      <c r="AC815" s="2355"/>
      <c r="AD815" s="2329"/>
      <c r="AE815" s="2332"/>
      <c r="AF815" s="2332"/>
      <c r="AG815" s="420"/>
      <c r="AH815" s="2334"/>
      <c r="AI815" s="3452"/>
    </row>
    <row r="816" ht="20.25" customHeight="1">
      <c r="A816" s="3446"/>
      <c r="B816" s="2327"/>
      <c r="C816" s="2328"/>
      <c r="E816" s="2382" t="s">
        <v>1608</v>
      </c>
      <c r="F816" s="2383"/>
      <c r="G816" s="5293"/>
      <c r="H816" s="5352" t="str">
        <f>IMAGE("https://raw.githubusercontent.com/msikma/pokesprite/master/items/mega-stone/blastoisinite.png",3)</f>
        <v/>
      </c>
      <c r="J816" s="2382" t="s">
        <v>1609</v>
      </c>
      <c r="K816" s="2383"/>
      <c r="L816" s="5293"/>
      <c r="M816" s="5352" t="str">
        <f>IMAGE("https://raw.githubusercontent.com/msikma/pokesprite/master/items/gem/electric.png",3)</f>
        <v/>
      </c>
      <c r="N816" s="2355"/>
      <c r="O816" s="2329"/>
      <c r="P816" s="2332"/>
      <c r="Q816" s="2332"/>
      <c r="R816" s="420"/>
      <c r="S816" s="2355"/>
      <c r="T816" s="2329"/>
      <c r="U816" s="2332"/>
      <c r="V816" s="2332"/>
      <c r="W816" s="420"/>
      <c r="X816" s="302"/>
      <c r="Y816" s="2329"/>
      <c r="Z816" s="2332"/>
      <c r="AA816" s="2332"/>
      <c r="AB816" s="420"/>
      <c r="AC816" s="2355"/>
      <c r="AD816" s="2329"/>
      <c r="AE816" s="2332"/>
      <c r="AF816" s="2332"/>
      <c r="AG816" s="420"/>
      <c r="AH816" s="2334"/>
      <c r="AI816" s="3452"/>
    </row>
    <row r="817" ht="20.25" customHeight="1">
      <c r="A817" s="3446"/>
      <c r="B817" s="2327"/>
      <c r="C817" s="2396"/>
      <c r="E817" s="2376" t="s">
        <v>1610</v>
      </c>
      <c r="F817" s="2377"/>
      <c r="G817" s="2386"/>
      <c r="H817" s="5353" t="str">
        <f>IMAGE("https://raw.githubusercontent.com/msikma/pokesprite/master/misc/types/gen8/water.png",4,20,20)</f>
        <v/>
      </c>
      <c r="J817" s="2376" t="s">
        <v>922</v>
      </c>
      <c r="K817" s="2377"/>
      <c r="L817" s="2386"/>
      <c r="M817" s="5353" t="str">
        <f>IMAGE("https://raw.githubusercontent.com/msikma/pokesprite/master/misc/types/gen8/electric.png",4,20,20)</f>
        <v/>
      </c>
      <c r="N817" s="2355"/>
      <c r="O817" s="2329"/>
      <c r="P817" s="2332"/>
      <c r="Q817" s="2332"/>
      <c r="R817" s="420"/>
      <c r="S817" s="2355"/>
      <c r="T817" s="2329"/>
      <c r="U817" s="2332"/>
      <c r="V817" s="2332"/>
      <c r="W817" s="420"/>
      <c r="X817" s="302"/>
      <c r="Y817" s="2329"/>
      <c r="Z817" s="2332"/>
      <c r="AA817" s="2332"/>
      <c r="AB817" s="420"/>
      <c r="AC817" s="2355"/>
      <c r="AD817" s="2329"/>
      <c r="AE817" s="2332"/>
      <c r="AF817" s="2332"/>
      <c r="AG817" s="420"/>
      <c r="AH817" s="2334"/>
      <c r="AI817" s="3452"/>
    </row>
    <row r="818" ht="20.25" customHeight="1">
      <c r="A818" s="3446"/>
      <c r="B818" s="2327"/>
      <c r="C818" s="2396"/>
      <c r="E818" s="2380" t="s">
        <v>1611</v>
      </c>
      <c r="F818" s="2332"/>
      <c r="G818" s="420"/>
      <c r="H818" s="5354" t="str">
        <f>IMAGE("https://raw.githubusercontent.com/msikma/pokesprite/master/misc/types/gen8/steel.png",4,20,20)</f>
        <v/>
      </c>
      <c r="J818" s="2380" t="s">
        <v>696</v>
      </c>
      <c r="K818" s="2332"/>
      <c r="L818" s="420"/>
      <c r="M818" s="5354" t="str">
        <f>IMAGE("https://raw.githubusercontent.com/msikma/pokesprite/master/misc/types/gen8/dragon.png",4,20,20)</f>
        <v/>
      </c>
      <c r="N818" s="2355"/>
      <c r="O818" s="2329"/>
      <c r="P818" s="2332"/>
      <c r="Q818" s="2332"/>
      <c r="R818" s="420"/>
      <c r="S818" s="2355"/>
      <c r="T818" s="2329"/>
      <c r="U818" s="2332"/>
      <c r="V818" s="2332"/>
      <c r="W818" s="420"/>
      <c r="X818" s="302"/>
      <c r="Y818" s="2329"/>
      <c r="Z818" s="2332"/>
      <c r="AA818" s="2332"/>
      <c r="AB818" s="420"/>
      <c r="AC818" s="2355"/>
      <c r="AD818" s="2329"/>
      <c r="AE818" s="2332"/>
      <c r="AF818" s="2332"/>
      <c r="AG818" s="420"/>
      <c r="AH818" s="2334"/>
      <c r="AI818" s="3452"/>
    </row>
    <row r="819" ht="20.25" customHeight="1">
      <c r="A819" s="3446"/>
      <c r="B819" s="2327"/>
      <c r="C819" s="2396"/>
      <c r="E819" s="2380" t="s">
        <v>583</v>
      </c>
      <c r="F819" s="2332"/>
      <c r="G819" s="420"/>
      <c r="H819" s="5354" t="str">
        <f>IMAGE("https://raw.githubusercontent.com/msikma/pokesprite/master/misc/types/gen8/fighting.png",4,20,20)</f>
        <v/>
      </c>
      <c r="J819" s="2380" t="s">
        <v>549</v>
      </c>
      <c r="K819" s="2332"/>
      <c r="L819" s="420"/>
      <c r="M819" s="5354" t="str">
        <f>IMAGE("https://raw.githubusercontent.com/msikma/pokesprite/master/misc/types/gen8/ground.png",4,20,20)</f>
        <v/>
      </c>
      <c r="N819" s="2355"/>
      <c r="O819" s="2329"/>
      <c r="P819" s="2332"/>
      <c r="Q819" s="2332"/>
      <c r="R819" s="420"/>
      <c r="S819" s="2355"/>
      <c r="T819" s="2329"/>
      <c r="U819" s="2332"/>
      <c r="V819" s="2332"/>
      <c r="W819" s="420"/>
      <c r="X819" s="302"/>
      <c r="Y819" s="2329"/>
      <c r="Z819" s="2332"/>
      <c r="AA819" s="2332"/>
      <c r="AB819" s="420"/>
      <c r="AC819" s="2355"/>
      <c r="AD819" s="2329"/>
      <c r="AE819" s="2332"/>
      <c r="AF819" s="2332"/>
      <c r="AG819" s="420"/>
      <c r="AH819" s="2334"/>
      <c r="AI819" s="3452"/>
    </row>
    <row r="820" ht="21.0" customHeight="1">
      <c r="A820" s="3446"/>
      <c r="B820" s="2327"/>
      <c r="C820" s="2396"/>
      <c r="D820" s="2393"/>
      <c r="E820" s="2389" t="s">
        <v>974</v>
      </c>
      <c r="F820" s="2390"/>
      <c r="G820" s="2391"/>
      <c r="H820" s="5355" t="str">
        <f>IMAGE("https://raw.githubusercontent.com/msikma/pokesprite/master/misc/types/gen8/water.png",4,20,20)</f>
        <v/>
      </c>
      <c r="I820" s="2393"/>
      <c r="J820" s="2389" t="s">
        <v>1211</v>
      </c>
      <c r="K820" s="2390"/>
      <c r="L820" s="2391"/>
      <c r="M820" s="5355" t="str">
        <f>IMAGE("https://raw.githubusercontent.com/msikma/pokesprite/master/misc/types/gen8/fire.png",4,20,20)</f>
        <v/>
      </c>
      <c r="N820" s="2375"/>
      <c r="O820" s="2329"/>
      <c r="P820" s="2332"/>
      <c r="Q820" s="2332"/>
      <c r="R820" s="420"/>
      <c r="S820" s="2375"/>
      <c r="T820" s="2329"/>
      <c r="U820" s="2332"/>
      <c r="V820" s="2332"/>
      <c r="W820" s="420"/>
      <c r="X820" s="510"/>
      <c r="Y820" s="2329"/>
      <c r="Z820" s="2332"/>
      <c r="AA820" s="2332"/>
      <c r="AB820" s="420"/>
      <c r="AC820" s="2375"/>
      <c r="AD820" s="2329"/>
      <c r="AE820" s="2332"/>
      <c r="AF820" s="2332"/>
      <c r="AG820" s="420"/>
      <c r="AH820" s="2334"/>
      <c r="AI820" s="3452"/>
    </row>
    <row r="821" ht="3.0" customHeight="1">
      <c r="A821" s="3524"/>
      <c r="B821" s="2395"/>
      <c r="C821" s="2396"/>
      <c r="D821" s="2397"/>
      <c r="E821" s="5307"/>
      <c r="F821" s="5307"/>
      <c r="G821" s="5307"/>
      <c r="H821" s="5306"/>
      <c r="I821" s="2397"/>
      <c r="J821" s="5307"/>
      <c r="K821" s="5307"/>
      <c r="L821" s="5307"/>
      <c r="M821" s="5306"/>
      <c r="N821" s="2397"/>
      <c r="O821" s="2397"/>
      <c r="P821" s="2399"/>
      <c r="Q821" s="2399"/>
      <c r="R821" s="2400"/>
      <c r="S821" s="2397"/>
      <c r="T821" s="2397"/>
      <c r="U821" s="2399"/>
      <c r="V821" s="2399"/>
      <c r="W821" s="2400"/>
      <c r="X821" s="2397"/>
      <c r="Y821" s="2397"/>
      <c r="Z821" s="2399"/>
      <c r="AA821" s="2399"/>
      <c r="AB821" s="2400"/>
      <c r="AC821" s="2400"/>
      <c r="AD821" s="2400"/>
      <c r="AE821" s="2400"/>
      <c r="AF821" s="2400"/>
      <c r="AG821" s="2400"/>
      <c r="AH821" s="2401"/>
      <c r="AI821" s="3534"/>
    </row>
    <row r="822" ht="16.5" customHeight="1">
      <c r="A822" s="3535"/>
      <c r="B822" s="2403"/>
      <c r="C822" s="2396"/>
      <c r="D822" s="5309"/>
      <c r="E822" s="5310" t="s">
        <v>512</v>
      </c>
      <c r="F822" s="606"/>
      <c r="G822" s="606"/>
      <c r="H822" s="607"/>
      <c r="I822" s="5309"/>
      <c r="J822" s="5310" t="s">
        <v>512</v>
      </c>
      <c r="K822" s="606"/>
      <c r="L822" s="606"/>
      <c r="M822" s="607"/>
      <c r="N822" s="2408"/>
      <c r="O822" s="2409"/>
      <c r="P822" s="2408"/>
      <c r="Q822" s="2408"/>
      <c r="R822" s="2409"/>
      <c r="S822" s="2408"/>
      <c r="T822" s="2409"/>
      <c r="U822" s="2408"/>
      <c r="V822" s="2408"/>
      <c r="W822" s="2409"/>
      <c r="X822" s="5317"/>
      <c r="Y822" s="2409"/>
      <c r="Z822" s="2408"/>
      <c r="AA822" s="2408"/>
      <c r="AB822" s="2409"/>
      <c r="AC822" s="2409"/>
      <c r="AD822" s="2409"/>
      <c r="AE822" s="2409"/>
      <c r="AF822" s="2409"/>
      <c r="AG822" s="2409"/>
      <c r="AH822" s="2410"/>
      <c r="AI822" s="3543"/>
    </row>
    <row r="823" ht="16.5" customHeight="1">
      <c r="A823" s="3535"/>
      <c r="B823" s="2403"/>
      <c r="C823" s="2396"/>
      <c r="D823" s="5312"/>
      <c r="E823" s="5313" t="s">
        <v>513</v>
      </c>
      <c r="F823" s="5314">
        <f t="array" ref="F823">IFERROR(VLOOKUP(E810,Dex!$B$3:$N1361,8,FALSE),"")</f>
        <v>55</v>
      </c>
      <c r="G823" s="5315" t="str">
        <f t="array" ref="G823">IFERROR(VLOOKUP(F823,Dex!$P$22:$Q$276,2,FALSE),"")</f>
        <v/>
      </c>
      <c r="H823" s="5316"/>
      <c r="I823" s="5312"/>
      <c r="J823" s="5313" t="s">
        <v>513</v>
      </c>
      <c r="K823" s="5314">
        <f t="array" ref="K823">IFERROR(VLOOKUP(J810,Dex!$B$3:$N1361,8,FALSE),"")</f>
        <v>90</v>
      </c>
      <c r="L823" s="5315" t="str">
        <f t="array" ref="L823">IFERROR(VLOOKUP(K823,Dex!$P$22:$Q$276,2,FALSE),"")</f>
        <v/>
      </c>
      <c r="M823" s="5316"/>
      <c r="N823" s="2408"/>
      <c r="O823" s="2409"/>
      <c r="P823" s="2408"/>
      <c r="Q823" s="2408"/>
      <c r="R823" s="2409"/>
      <c r="S823" s="2408"/>
      <c r="T823" s="2409"/>
      <c r="U823" s="2408"/>
      <c r="V823" s="2408"/>
      <c r="W823" s="2409"/>
      <c r="X823" s="5317"/>
      <c r="Y823" s="2409"/>
      <c r="Z823" s="2408"/>
      <c r="AA823" s="2408"/>
      <c r="AB823" s="2409"/>
      <c r="AC823" s="2409"/>
      <c r="AD823" s="2409"/>
      <c r="AE823" s="2409"/>
      <c r="AF823" s="2409"/>
      <c r="AG823" s="2409"/>
      <c r="AH823" s="2410"/>
      <c r="AI823" s="3543"/>
    </row>
    <row r="824" ht="16.5" customHeight="1">
      <c r="A824" s="3535"/>
      <c r="B824" s="2403"/>
      <c r="C824" s="2396"/>
      <c r="D824" s="5312"/>
      <c r="E824" s="5318" t="s">
        <v>514</v>
      </c>
      <c r="F824" s="5319">
        <f t="array" ref="F824">IFERROR(VLOOKUP(E810,Dex!$B$3:$N1361,9,FALSE),"")</f>
        <v>150</v>
      </c>
      <c r="G824" s="5320" t="str">
        <f t="array" ref="G824">IFERROR(VLOOKUP(F824,Dex!$P$22:$Q$276,2,FALSE),"")</f>
        <v/>
      </c>
      <c r="H824" s="5321"/>
      <c r="I824" s="5312"/>
      <c r="J824" s="5318" t="s">
        <v>514</v>
      </c>
      <c r="K824" s="5319">
        <f t="array" ref="K824">IFERROR(VLOOKUP(J810,Dex!$B$3:$N1361,9,FALSE),"")</f>
        <v>100</v>
      </c>
      <c r="L824" s="5320" t="str">
        <f t="array" ref="L824">IFERROR(VLOOKUP(K824,Dex!$P$22:$Q$276,2,FALSE),"")</f>
        <v/>
      </c>
      <c r="M824" s="5321"/>
      <c r="N824" s="2408"/>
      <c r="O824" s="2409"/>
      <c r="P824" s="2408"/>
      <c r="Q824" s="2408"/>
      <c r="R824" s="2409"/>
      <c r="S824" s="2408"/>
      <c r="T824" s="2409"/>
      <c r="U824" s="2408"/>
      <c r="V824" s="2408"/>
      <c r="W824" s="2409"/>
      <c r="X824" s="5317"/>
      <c r="Y824" s="2409"/>
      <c r="Z824" s="2408"/>
      <c r="AA824" s="2408"/>
      <c r="AB824" s="2409"/>
      <c r="AC824" s="2409"/>
      <c r="AD824" s="2409"/>
      <c r="AE824" s="2409"/>
      <c r="AF824" s="2409"/>
      <c r="AG824" s="2409"/>
      <c r="AH824" s="2410"/>
      <c r="AI824" s="3543"/>
    </row>
    <row r="825" ht="16.5" customHeight="1">
      <c r="A825" s="3535"/>
      <c r="B825" s="2403"/>
      <c r="C825" s="2396"/>
      <c r="D825" s="5312"/>
      <c r="E825" s="5318" t="s">
        <v>515</v>
      </c>
      <c r="F825" s="5319">
        <f t="array" ref="F825">IFERROR(VLOOKUP(E810,Dex!$B$3:$N1361,10,FALSE),"")</f>
        <v>125</v>
      </c>
      <c r="G825" s="5320" t="str">
        <f t="array" ref="G825">IFERROR(VLOOKUP(F825,Dex!$P$22:$Q$276,2,FALSE),"")</f>
        <v/>
      </c>
      <c r="H825" s="5321"/>
      <c r="I825" s="5312"/>
      <c r="J825" s="5318" t="s">
        <v>515</v>
      </c>
      <c r="K825" s="5319">
        <f t="array" ref="K825">IFERROR(VLOOKUP(J810,Dex!$B$3:$N1361,10,FALSE),"")</f>
        <v>90</v>
      </c>
      <c r="L825" s="5320" t="str">
        <f t="array" ref="L825">IFERROR(VLOOKUP(K825,Dex!$P$22:$Q$276,2,FALSE),"")</f>
        <v/>
      </c>
      <c r="M825" s="5321"/>
      <c r="N825" s="2408"/>
      <c r="O825" s="2409"/>
      <c r="P825" s="2408"/>
      <c r="Q825" s="2408"/>
      <c r="R825" s="2409"/>
      <c r="S825" s="2408"/>
      <c r="T825" s="2409"/>
      <c r="U825" s="2408"/>
      <c r="V825" s="2408"/>
      <c r="W825" s="2409"/>
      <c r="X825" s="5317"/>
      <c r="Y825" s="2409"/>
      <c r="Z825" s="2408"/>
      <c r="AA825" s="2408"/>
      <c r="AB825" s="2409"/>
      <c r="AC825" s="2409"/>
      <c r="AD825" s="2409"/>
      <c r="AE825" s="2409"/>
      <c r="AF825" s="2409"/>
      <c r="AG825" s="2409"/>
      <c r="AH825" s="2410"/>
      <c r="AI825" s="3543"/>
    </row>
    <row r="826" ht="16.5" customHeight="1">
      <c r="A826" s="3535"/>
      <c r="B826" s="2403"/>
      <c r="C826" s="2396"/>
      <c r="D826" s="5312"/>
      <c r="E826" s="5318" t="s">
        <v>516</v>
      </c>
      <c r="F826" s="5319">
        <f t="array" ref="F826">IFERROR(VLOOKUP(E810,Dex!$B$3:$N1361,11,FALSE),"")</f>
        <v>50</v>
      </c>
      <c r="G826" s="5320" t="str">
        <f t="array" ref="G826">IFERROR(VLOOKUP(F826,Dex!$P$22:$Q$276,2,FALSE),"")</f>
        <v/>
      </c>
      <c r="H826" s="5321"/>
      <c r="I826" s="5312"/>
      <c r="J826" s="5318" t="s">
        <v>516</v>
      </c>
      <c r="K826" s="5319">
        <f t="array" ref="K826">IFERROR(VLOOKUP(J810,Dex!$B$3:$N1361,11,FALSE),"")</f>
        <v>80</v>
      </c>
      <c r="L826" s="5320" t="str">
        <f t="array" ref="L826">IFERROR(VLOOKUP(K826,Dex!$P$22:$Q$276,2,FALSE),"")</f>
        <v/>
      </c>
      <c r="M826" s="5321"/>
      <c r="N826" s="2408"/>
      <c r="O826" s="2409"/>
      <c r="P826" s="2408"/>
      <c r="Q826" s="2408"/>
      <c r="R826" s="2409"/>
      <c r="S826" s="2408"/>
      <c r="T826" s="2409"/>
      <c r="U826" s="2408"/>
      <c r="V826" s="2408"/>
      <c r="W826" s="2409"/>
      <c r="X826" s="5317"/>
      <c r="Y826" s="2409"/>
      <c r="Z826" s="2408"/>
      <c r="AA826" s="2408"/>
      <c r="AB826" s="2409"/>
      <c r="AC826" s="2409"/>
      <c r="AD826" s="2409"/>
      <c r="AE826" s="2409"/>
      <c r="AF826" s="2409"/>
      <c r="AG826" s="2409"/>
      <c r="AH826" s="2410"/>
      <c r="AI826" s="3543"/>
    </row>
    <row r="827" ht="16.5" customHeight="1">
      <c r="A827" s="3535"/>
      <c r="B827" s="2403"/>
      <c r="C827" s="2396"/>
      <c r="D827" s="5312"/>
      <c r="E827" s="5318" t="s">
        <v>517</v>
      </c>
      <c r="F827" s="5319">
        <f t="array" ref="F827">IFERROR(VLOOKUP(E810,Dex!$B$3:$N1361,12,FALSE),"")</f>
        <v>70</v>
      </c>
      <c r="G827" s="5320" t="str">
        <f t="array" ref="G827">IFERROR(VLOOKUP(F827,Dex!$P$22:$Q$276,2,FALSE),"")</f>
        <v/>
      </c>
      <c r="H827" s="5321"/>
      <c r="I827" s="5312"/>
      <c r="J827" s="5318" t="s">
        <v>517</v>
      </c>
      <c r="K827" s="5319">
        <f t="array" ref="K827">IFERROR(VLOOKUP(J810,Dex!$B$3:$N1361,12,FALSE),"")</f>
        <v>70</v>
      </c>
      <c r="L827" s="5320" t="str">
        <f t="array" ref="L827">IFERROR(VLOOKUP(K827,Dex!$P$22:$Q$276,2,FALSE),"")</f>
        <v/>
      </c>
      <c r="M827" s="5321"/>
      <c r="N827" s="2408"/>
      <c r="O827" s="2409"/>
      <c r="P827" s="2408"/>
      <c r="Q827" s="2408"/>
      <c r="R827" s="2409"/>
      <c r="S827" s="2408"/>
      <c r="T827" s="2409"/>
      <c r="U827" s="2408"/>
      <c r="V827" s="2408"/>
      <c r="W827" s="2409"/>
      <c r="X827" s="5317"/>
      <c r="Y827" s="2409"/>
      <c r="Z827" s="2408"/>
      <c r="AA827" s="2408"/>
      <c r="AB827" s="2409"/>
      <c r="AC827" s="2409"/>
      <c r="AD827" s="2409"/>
      <c r="AE827" s="2409"/>
      <c r="AF827" s="2409"/>
      <c r="AG827" s="2409"/>
      <c r="AH827" s="2410"/>
      <c r="AI827" s="3543"/>
    </row>
    <row r="828" ht="16.5" customHeight="1">
      <c r="A828" s="3535"/>
      <c r="B828" s="2403"/>
      <c r="C828" s="1426" t="s">
        <v>745</v>
      </c>
      <c r="D828" s="5312"/>
      <c r="E828" s="5322" t="s">
        <v>518</v>
      </c>
      <c r="F828" s="5323">
        <f t="array" ref="F828">IFERROR(VLOOKUP(E810,Dex!$B$3:$N1361,13,FALSE),"")</f>
        <v>110</v>
      </c>
      <c r="G828" s="5320" t="str">
        <f t="array" ref="G828">IFERROR(VLOOKUP(F828,Dex!$P$22:$Q$276,2,FALSE),"")</f>
        <v/>
      </c>
      <c r="H828" s="5321"/>
      <c r="I828" s="5312"/>
      <c r="J828" s="5322" t="s">
        <v>518</v>
      </c>
      <c r="K828" s="5323">
        <f t="array" ref="K828">IFERROR(VLOOKUP(J810,Dex!$B$3:$N1361,13,FALSE),"")</f>
        <v>75</v>
      </c>
      <c r="L828" s="5320" t="str">
        <f t="array" ref="L828">IFERROR(VLOOKUP(K828,Dex!$P$22:$Q$276,2,FALSE),"")</f>
        <v/>
      </c>
      <c r="M828" s="5321"/>
      <c r="N828" s="2408"/>
      <c r="O828" s="2409"/>
      <c r="P828" s="2408"/>
      <c r="Q828" s="2408"/>
      <c r="R828" s="2409"/>
      <c r="S828" s="2408"/>
      <c r="T828" s="2409"/>
      <c r="U828" s="2408"/>
      <c r="V828" s="2408"/>
      <c r="W828" s="2409"/>
      <c r="X828" s="5317"/>
      <c r="Y828" s="2409"/>
      <c r="Z828" s="2408"/>
      <c r="AA828" s="2408"/>
      <c r="AB828" s="2409"/>
      <c r="AC828" s="2409"/>
      <c r="AD828" s="2409"/>
      <c r="AE828" s="2409"/>
      <c r="AF828" s="2409"/>
      <c r="AG828" s="2409"/>
      <c r="AH828" s="2410"/>
      <c r="AI828" s="3543"/>
    </row>
    <row r="829" ht="16.5" customHeight="1">
      <c r="A829" s="3535"/>
      <c r="B829" s="2403"/>
      <c r="C829" s="1427" t="s">
        <v>746</v>
      </c>
      <c r="D829" s="5309"/>
      <c r="E829" s="5324" t="s">
        <v>519</v>
      </c>
      <c r="F829" s="630"/>
      <c r="G829" s="631"/>
      <c r="H829" s="632">
        <f>ROUNDDOWN((ROUNDDOWN(((((2*F828+31)*66)/100+5)),0))*1.1,0)</f>
        <v>187</v>
      </c>
      <c r="I829" s="5309"/>
      <c r="J829" s="5325" t="s">
        <v>519</v>
      </c>
      <c r="K829" s="635"/>
      <c r="L829" s="636"/>
      <c r="M829" s="632">
        <f>ROUNDDOWN((ROUNDDOWN(((((2*K828+31)*66)/100+5)),0))*1.1,0)</f>
        <v>136</v>
      </c>
      <c r="N829" s="2408"/>
      <c r="O829" s="2409"/>
      <c r="P829" s="2408"/>
      <c r="Q829" s="2408"/>
      <c r="R829" s="2409"/>
      <c r="S829" s="2408"/>
      <c r="T829" s="2409"/>
      <c r="U829" s="2408"/>
      <c r="V829" s="2408"/>
      <c r="W829" s="2409"/>
      <c r="X829" s="5317"/>
      <c r="Y829" s="2409"/>
      <c r="Z829" s="2408"/>
      <c r="AA829" s="2408"/>
      <c r="AB829" s="2409"/>
      <c r="AC829" s="2409"/>
      <c r="AD829" s="2409"/>
      <c r="AE829" s="2409"/>
      <c r="AF829" s="2409"/>
      <c r="AG829" s="2409"/>
      <c r="AH829" s="2410"/>
      <c r="AI829" s="3543"/>
    </row>
    <row r="830" ht="16.5" customHeight="1">
      <c r="A830" s="3535"/>
      <c r="B830" s="2403"/>
      <c r="C830" s="2396"/>
      <c r="D830" s="5326"/>
      <c r="E830" s="5348"/>
      <c r="F830" s="5348"/>
      <c r="G830" s="5348"/>
      <c r="H830" s="5348"/>
      <c r="I830" s="5326"/>
      <c r="J830" s="5327" t="s">
        <v>520</v>
      </c>
      <c r="K830" s="643"/>
      <c r="L830" s="644"/>
      <c r="M830" s="3064">
        <f>M829*2</f>
        <v>272</v>
      </c>
      <c r="N830" s="2408"/>
      <c r="O830" s="5329"/>
      <c r="P830" s="5330"/>
      <c r="Q830" s="5330"/>
      <c r="R830" s="5329"/>
      <c r="S830" s="2408"/>
      <c r="T830" s="5329"/>
      <c r="U830" s="5330"/>
      <c r="V830" s="5330"/>
      <c r="W830" s="5329"/>
      <c r="X830" s="2407"/>
      <c r="Y830" s="2409"/>
      <c r="Z830" s="2408"/>
      <c r="AA830" s="2408"/>
      <c r="AB830" s="2409"/>
      <c r="AC830" s="2409"/>
      <c r="AD830" s="2409"/>
      <c r="AE830" s="2409"/>
      <c r="AF830" s="2409"/>
      <c r="AG830" s="2409"/>
      <c r="AH830" s="2410"/>
      <c r="AI830" s="3543"/>
    </row>
    <row r="831" ht="11.25" customHeight="1">
      <c r="A831" s="3446"/>
      <c r="B831" s="2327"/>
      <c r="C831" s="2328"/>
      <c r="D831" s="5342"/>
      <c r="E831" s="5343"/>
      <c r="F831" s="5343"/>
      <c r="G831" s="5343"/>
      <c r="H831" s="5343"/>
      <c r="I831" s="5344"/>
      <c r="J831" s="5343"/>
      <c r="K831" s="5343"/>
      <c r="L831" s="5343"/>
      <c r="M831" s="5343"/>
      <c r="N831" s="5344"/>
      <c r="O831" s="5343"/>
      <c r="P831" s="5343"/>
      <c r="Q831" s="5343"/>
      <c r="R831" s="5343"/>
      <c r="S831" s="5344"/>
      <c r="T831" s="5343"/>
      <c r="U831" s="5343"/>
      <c r="V831" s="5343"/>
      <c r="W831" s="5343"/>
      <c r="X831" s="2374"/>
      <c r="Y831" s="2374"/>
      <c r="Z831" s="2374"/>
      <c r="AA831" s="2374"/>
      <c r="AB831" s="2374"/>
      <c r="AC831" s="2374"/>
      <c r="AD831" s="2374"/>
      <c r="AE831" s="2374"/>
      <c r="AF831" s="2374"/>
      <c r="AG831" s="2374"/>
      <c r="AH831" s="2334"/>
      <c r="AI831" s="3452"/>
    </row>
    <row r="832" ht="11.25" customHeight="1">
      <c r="A832" s="3446"/>
      <c r="B832" s="2327"/>
      <c r="C832" s="5345"/>
      <c r="D832" s="5346"/>
      <c r="E832" s="3250" t="s">
        <v>1602</v>
      </c>
      <c r="F832" s="3251"/>
      <c r="G832" s="3251"/>
      <c r="H832" s="3251"/>
      <c r="I832" s="3251"/>
      <c r="J832" s="3251"/>
      <c r="K832" s="3251"/>
      <c r="L832" s="3251"/>
      <c r="M832" s="3251"/>
      <c r="N832" s="3251"/>
      <c r="O832" s="3251"/>
      <c r="P832" s="3251"/>
      <c r="Q832" s="3251"/>
      <c r="R832" s="3252"/>
      <c r="S832" s="2331"/>
      <c r="T832" s="2332"/>
      <c r="U832" s="2332"/>
      <c r="V832" s="420"/>
      <c r="W832" s="2329"/>
      <c r="X832" s="2332"/>
      <c r="Y832" s="2332"/>
      <c r="Z832" s="420"/>
      <c r="AA832" s="5345"/>
      <c r="AB832" s="5345"/>
      <c r="AC832" s="5345"/>
      <c r="AD832" s="5345"/>
      <c r="AE832" s="5345"/>
      <c r="AF832" s="5345"/>
      <c r="AG832" s="5345"/>
      <c r="AH832" s="2334"/>
      <c r="AI832" s="3452"/>
    </row>
    <row r="833" ht="11.25" customHeight="1">
      <c r="A833" s="3446"/>
      <c r="B833" s="2327"/>
      <c r="C833" s="2328"/>
      <c r="D833" s="2329"/>
      <c r="E833" s="314"/>
      <c r="F833" s="3255"/>
      <c r="G833" s="3255"/>
      <c r="H833" s="3255"/>
      <c r="I833" s="3255"/>
      <c r="J833" s="3255"/>
      <c r="K833" s="3255"/>
      <c r="L833" s="3255"/>
      <c r="M833" s="3255"/>
      <c r="N833" s="3255"/>
      <c r="O833" s="3255"/>
      <c r="P833" s="3255"/>
      <c r="Q833" s="3255"/>
      <c r="R833" s="3256"/>
      <c r="S833" s="2331"/>
      <c r="T833" s="2332"/>
      <c r="U833" s="2332"/>
      <c r="V833" s="420"/>
      <c r="W833" s="2329"/>
      <c r="X833" s="2332"/>
      <c r="Y833" s="2332"/>
      <c r="Z833" s="420"/>
      <c r="AA833" s="5347"/>
      <c r="AB833" s="5347"/>
      <c r="AC833" s="5347"/>
      <c r="AD833" s="5347"/>
      <c r="AE833" s="5347"/>
      <c r="AF833" s="5347"/>
      <c r="AG833" s="5347"/>
      <c r="AH833" s="2334"/>
      <c r="AI833" s="3452"/>
    </row>
    <row r="834" ht="3.75" customHeight="1">
      <c r="A834" s="3446"/>
      <c r="B834" s="2327"/>
      <c r="C834" s="2328"/>
      <c r="D834" s="5342"/>
      <c r="E834" s="5348"/>
      <c r="F834" s="5348"/>
      <c r="G834" s="5348"/>
      <c r="H834" s="5348"/>
      <c r="I834" s="5349"/>
      <c r="J834" s="5348"/>
      <c r="K834" s="5348"/>
      <c r="L834" s="5348"/>
      <c r="M834" s="5348"/>
      <c r="N834" s="5349"/>
      <c r="O834" s="5348"/>
      <c r="P834" s="5348"/>
      <c r="Q834" s="5348"/>
      <c r="R834" s="5348"/>
      <c r="S834" s="5349"/>
      <c r="T834" s="5348"/>
      <c r="U834" s="5348"/>
      <c r="V834" s="5348"/>
      <c r="W834" s="5348"/>
      <c r="X834" s="2374"/>
      <c r="Y834" s="2374"/>
      <c r="Z834" s="2374"/>
      <c r="AA834" s="2374"/>
      <c r="AB834" s="2374"/>
      <c r="AC834" s="2374"/>
      <c r="AD834" s="2374"/>
      <c r="AE834" s="2374"/>
      <c r="AF834" s="2374"/>
      <c r="AG834" s="2374"/>
      <c r="AH834" s="2334"/>
      <c r="AI834" s="3452"/>
    </row>
    <row r="835">
      <c r="A835" s="3446"/>
      <c r="B835" s="2327"/>
      <c r="C835" s="5291"/>
      <c r="D835" s="2346"/>
      <c r="E835" s="5292" t="s">
        <v>1612</v>
      </c>
      <c r="F835" s="2383"/>
      <c r="G835" s="2383"/>
      <c r="H835" s="2383"/>
      <c r="I835" s="2383"/>
      <c r="J835" s="2383"/>
      <c r="K835" s="2383"/>
      <c r="L835" s="2383"/>
      <c r="M835" s="2383"/>
      <c r="N835" s="2383"/>
      <c r="O835" s="2383"/>
      <c r="P835" s="2383"/>
      <c r="Q835" s="2383"/>
      <c r="R835" s="2383"/>
      <c r="S835" s="2383"/>
      <c r="T835" s="2383"/>
      <c r="U835" s="2383"/>
      <c r="V835" s="2383"/>
      <c r="W835" s="2383"/>
      <c r="X835" s="2383"/>
      <c r="Y835" s="2383"/>
      <c r="Z835" s="2383"/>
      <c r="AA835" s="2383"/>
      <c r="AB835" s="2383"/>
      <c r="AC835" s="2383"/>
      <c r="AD835" s="2383"/>
      <c r="AE835" s="2383"/>
      <c r="AF835" s="2383"/>
      <c r="AG835" s="5293"/>
      <c r="AH835" s="5294"/>
      <c r="AI835" s="3452"/>
    </row>
    <row r="836" ht="96.75" customHeight="1">
      <c r="A836" s="3446"/>
      <c r="B836" s="2358"/>
      <c r="C836" s="5295" t="str">
        <f>IMAGE("https://i.ibb.co/Wv3HtLh/CueBall.png")</f>
        <v/>
      </c>
      <c r="D836" s="2343"/>
      <c r="E836" s="5296" t="str">
        <f t="array" ref="E836">IFERROR(VLOOKUP(E837,Dex!$B$3:$G1361,3,FALSE),"")</f>
        <v/>
      </c>
      <c r="F836" s="1945"/>
      <c r="G836" s="1945"/>
      <c r="H836" s="1946"/>
      <c r="I836" s="2343"/>
      <c r="J836" s="5296" t="str">
        <f t="array" ref="J836">IFERROR(VLOOKUP(J837,Dex!$B$3:$G1361,3,FALSE),"")</f>
        <v/>
      </c>
      <c r="K836" s="1945"/>
      <c r="L836" s="1945"/>
      <c r="M836" s="1946"/>
      <c r="N836" s="2343"/>
      <c r="O836" s="5296" t="str">
        <f t="array" ref="O836">IFERROR(VLOOKUP(O837,Dex!$B$3:$G1361,3,FALSE),"")</f>
        <v/>
      </c>
      <c r="P836" s="1945"/>
      <c r="Q836" s="1945"/>
      <c r="R836" s="1946"/>
      <c r="S836" s="5356"/>
      <c r="T836" s="2329"/>
      <c r="U836" s="2332"/>
      <c r="V836" s="2332"/>
      <c r="W836" s="420"/>
      <c r="X836" s="2345"/>
      <c r="Y836" s="2329"/>
      <c r="Z836" s="2332"/>
      <c r="AA836" s="2332"/>
      <c r="AB836" s="420"/>
      <c r="AC836" s="2346"/>
      <c r="AD836" s="2329"/>
      <c r="AE836" s="2332"/>
      <c r="AF836" s="2332"/>
      <c r="AG836" s="420"/>
      <c r="AH836" s="2334"/>
      <c r="AI836" s="3452"/>
    </row>
    <row r="837" ht="18.75" customHeight="1">
      <c r="A837" s="3689"/>
      <c r="B837" s="2419"/>
      <c r="C837" s="5297" t="s">
        <v>1613</v>
      </c>
      <c r="E837" s="2351" t="s">
        <v>1614</v>
      </c>
      <c r="F837" s="2352"/>
      <c r="G837" s="2352"/>
      <c r="H837" s="2353"/>
      <c r="J837" s="2351" t="s">
        <v>1035</v>
      </c>
      <c r="K837" s="2352"/>
      <c r="L837" s="2352"/>
      <c r="M837" s="2353"/>
      <c r="O837" s="2351" t="s">
        <v>1615</v>
      </c>
      <c r="P837" s="2352"/>
      <c r="Q837" s="2352"/>
      <c r="R837" s="2353"/>
      <c r="S837" s="302"/>
      <c r="T837" s="2354"/>
      <c r="U837" s="2332"/>
      <c r="V837" s="2332"/>
      <c r="W837" s="420"/>
      <c r="X837" s="302"/>
      <c r="Y837" s="2354"/>
      <c r="Z837" s="2332"/>
      <c r="AA837" s="2332"/>
      <c r="AB837" s="420"/>
      <c r="AC837" s="2355"/>
      <c r="AD837" s="2354"/>
      <c r="AE837" s="2332"/>
      <c r="AF837" s="2332"/>
      <c r="AG837" s="420"/>
      <c r="AH837" s="2356"/>
      <c r="AI837" s="3700"/>
    </row>
    <row r="838">
      <c r="A838" s="3701"/>
      <c r="B838" s="5298"/>
      <c r="C838" s="1638"/>
      <c r="E838" s="2360" t="s">
        <v>796</v>
      </c>
      <c r="F838" s="2361"/>
      <c r="G838" s="2361"/>
      <c r="H838" s="2362"/>
      <c r="J838" s="2360" t="s">
        <v>967</v>
      </c>
      <c r="K838" s="2361"/>
      <c r="L838" s="2361"/>
      <c r="M838" s="2362"/>
      <c r="O838" s="2360" t="s">
        <v>796</v>
      </c>
      <c r="P838" s="2361"/>
      <c r="Q838" s="2361"/>
      <c r="R838" s="2362"/>
      <c r="S838" s="302"/>
      <c r="T838" s="2758"/>
      <c r="U838" s="2332"/>
      <c r="V838" s="2332"/>
      <c r="W838" s="420"/>
      <c r="X838" s="302"/>
      <c r="Y838" s="2758"/>
      <c r="Z838" s="2332"/>
      <c r="AA838" s="2332"/>
      <c r="AB838" s="420"/>
      <c r="AC838" s="2355"/>
      <c r="AD838" s="2758"/>
      <c r="AE838" s="2332"/>
      <c r="AF838" s="2332"/>
      <c r="AG838" s="420"/>
      <c r="AH838" s="5299"/>
      <c r="AI838" s="3709"/>
    </row>
    <row r="839" ht="25.5" customHeight="1">
      <c r="A839" s="3446"/>
      <c r="B839" s="2358"/>
      <c r="C839" s="1646"/>
      <c r="E839" s="2365"/>
      <c r="F839" s="5350" t="str">
        <f t="array" ref="F839">IFERROR(VLOOKUP(E837,Dex!$B$3:$H1361,5,FALSE),"")</f>
        <v/>
      </c>
      <c r="G839" s="5351" t="str">
        <f t="array" ref="G839">IFERROR(VLOOKUP(E837,Dex!$B$3:$H1361,7,FALSE),"")</f>
        <v/>
      </c>
      <c r="H839" s="2368"/>
      <c r="J839" s="2365"/>
      <c r="K839" s="5357" t="str">
        <f t="array" ref="K839">IFERROR(VLOOKUP(J837,Dex!$B$3:$H1361,5,FALSE),"")</f>
        <v/>
      </c>
      <c r="L839" s="2367"/>
      <c r="M839" s="2368"/>
      <c r="O839" s="2365"/>
      <c r="P839" s="5350" t="str">
        <f t="array" ref="P839">IFERROR(VLOOKUP(O837,Dex!$B$3:$H1361,5,FALSE),"")</f>
        <v/>
      </c>
      <c r="Q839" s="5351" t="str">
        <f t="array" ref="Q839">IFERROR(VLOOKUP(O837,Dex!$B$3:$H1361,7,FALSE),"")</f>
        <v/>
      </c>
      <c r="R839" s="2368"/>
      <c r="S839" s="302"/>
      <c r="T839" s="2329"/>
      <c r="U839" s="2332"/>
      <c r="V839" s="2332"/>
      <c r="W839" s="420"/>
      <c r="X839" s="302"/>
      <c r="Y839" s="2329"/>
      <c r="Z839" s="2332"/>
      <c r="AA839" s="2332"/>
      <c r="AB839" s="420"/>
      <c r="AC839" s="2355"/>
      <c r="AD839" s="2329"/>
      <c r="AE839" s="2332"/>
      <c r="AF839" s="2332"/>
      <c r="AG839" s="420"/>
      <c r="AH839" s="2334"/>
      <c r="AI839" s="3452"/>
    </row>
    <row r="840" ht="2.25" customHeight="1">
      <c r="A840" s="3446"/>
      <c r="B840" s="2358"/>
      <c r="C840" s="5047"/>
      <c r="E840" s="2371"/>
      <c r="F840" s="2372"/>
      <c r="G840" s="2372"/>
      <c r="H840" s="2373"/>
      <c r="J840" s="2371"/>
      <c r="K840" s="2372"/>
      <c r="L840" s="2372"/>
      <c r="M840" s="2373"/>
      <c r="O840" s="2371"/>
      <c r="P840" s="2372"/>
      <c r="Q840" s="2372"/>
      <c r="R840" s="2373"/>
      <c r="S840" s="302"/>
      <c r="T840" s="2374"/>
      <c r="U840" s="2374"/>
      <c r="V840" s="2374"/>
      <c r="W840" s="2374"/>
      <c r="X840" s="302"/>
      <c r="Y840" s="2374"/>
      <c r="Z840" s="2374"/>
      <c r="AA840" s="2374"/>
      <c r="AB840" s="2374"/>
      <c r="AC840" s="2355"/>
      <c r="AD840" s="2374"/>
      <c r="AE840" s="2374"/>
      <c r="AF840" s="2374"/>
      <c r="AG840" s="2374"/>
      <c r="AH840" s="2334"/>
      <c r="AI840" s="3452"/>
    </row>
    <row r="841" ht="20.25" customHeight="1">
      <c r="A841" s="3446"/>
      <c r="B841" s="2327"/>
      <c r="C841" s="5300"/>
      <c r="E841" s="2376" t="s">
        <v>532</v>
      </c>
      <c r="F841" s="2377"/>
      <c r="G841" s="2377"/>
      <c r="H841" s="2378"/>
      <c r="J841" s="2376" t="s">
        <v>480</v>
      </c>
      <c r="K841" s="2377"/>
      <c r="L841" s="2377"/>
      <c r="M841" s="2378"/>
      <c r="O841" s="2376" t="s">
        <v>566</v>
      </c>
      <c r="P841" s="2377"/>
      <c r="Q841" s="2377"/>
      <c r="R841" s="2378"/>
      <c r="S841" s="302"/>
      <c r="T841" s="2329"/>
      <c r="U841" s="2332"/>
      <c r="V841" s="2332"/>
      <c r="W841" s="420"/>
      <c r="X841" s="302"/>
      <c r="Y841" s="2329"/>
      <c r="Z841" s="2332"/>
      <c r="AA841" s="2332"/>
      <c r="AB841" s="420"/>
      <c r="AC841" s="2355"/>
      <c r="AD841" s="2329"/>
      <c r="AE841" s="2332"/>
      <c r="AF841" s="2332"/>
      <c r="AG841" s="420"/>
      <c r="AH841" s="2334"/>
      <c r="AI841" s="3452"/>
    </row>
    <row r="842" ht="20.25" customHeight="1">
      <c r="A842" s="3446"/>
      <c r="B842" s="2327"/>
      <c r="C842" s="2328"/>
      <c r="E842" s="2380" t="s">
        <v>94</v>
      </c>
      <c r="F842" s="2332"/>
      <c r="G842" s="2332"/>
      <c r="H842" s="2381"/>
      <c r="J842" s="2380" t="s">
        <v>1081</v>
      </c>
      <c r="K842" s="2332"/>
      <c r="L842" s="2332"/>
      <c r="M842" s="2381"/>
      <c r="O842" s="2380" t="s">
        <v>1601</v>
      </c>
      <c r="P842" s="2332"/>
      <c r="Q842" s="2332"/>
      <c r="R842" s="2381"/>
      <c r="S842" s="302"/>
      <c r="T842" s="2329"/>
      <c r="U842" s="2332"/>
      <c r="V842" s="2332"/>
      <c r="W842" s="420"/>
      <c r="X842" s="302"/>
      <c r="Y842" s="2329"/>
      <c r="Z842" s="2332"/>
      <c r="AA842" s="2332"/>
      <c r="AB842" s="420"/>
      <c r="AC842" s="2355"/>
      <c r="AD842" s="2329"/>
      <c r="AE842" s="2332"/>
      <c r="AF842" s="2332"/>
      <c r="AG842" s="420"/>
      <c r="AH842" s="2334"/>
      <c r="AI842" s="3452"/>
    </row>
    <row r="843" ht="20.25" customHeight="1">
      <c r="A843" s="3446"/>
      <c r="B843" s="2327"/>
      <c r="C843" s="2328"/>
      <c r="E843" s="2382" t="s">
        <v>541</v>
      </c>
      <c r="F843" s="2383"/>
      <c r="G843" s="5293"/>
      <c r="H843" s="5352" t="str">
        <f>IMAGE("https://raw.githubusercontent.com/msikma/pokesprite/master/items/hold-item/life-orb.png",3)</f>
        <v/>
      </c>
      <c r="J843" s="2382" t="s">
        <v>713</v>
      </c>
      <c r="K843" s="2383"/>
      <c r="L843" s="5293"/>
      <c r="M843" s="5352" t="str">
        <f>IMAGE("https://raw.githubusercontent.com/msikma/pokesprite/master/items/hold-item/assault-vest.png",3)</f>
        <v/>
      </c>
      <c r="O843" s="2382" t="s">
        <v>1616</v>
      </c>
      <c r="P843" s="2383"/>
      <c r="Q843" s="5293"/>
      <c r="R843" s="5352" t="str">
        <f>IMAGE("https://raw.githubusercontent.com/msikma/pokesprite/master/items/gem/rock.png",3)</f>
        <v/>
      </c>
      <c r="S843" s="302"/>
      <c r="T843" s="2329"/>
      <c r="U843" s="2332"/>
      <c r="V843" s="2332"/>
      <c r="W843" s="420"/>
      <c r="X843" s="302"/>
      <c r="Y843" s="2329"/>
      <c r="Z843" s="2332"/>
      <c r="AA843" s="2332"/>
      <c r="AB843" s="420"/>
      <c r="AC843" s="2355"/>
      <c r="AD843" s="2329"/>
      <c r="AE843" s="2332"/>
      <c r="AF843" s="2332"/>
      <c r="AG843" s="420"/>
      <c r="AH843" s="2334"/>
      <c r="AI843" s="3452"/>
    </row>
    <row r="844" ht="20.25" customHeight="1">
      <c r="A844" s="3446"/>
      <c r="B844" s="2327"/>
      <c r="C844" s="2396"/>
      <c r="E844" s="2376" t="s">
        <v>736</v>
      </c>
      <c r="F844" s="2377"/>
      <c r="G844" s="2386"/>
      <c r="H844" s="5353" t="str">
        <f>IMAGE("https://raw.githubusercontent.com/msikma/pokesprite/master/misc/types/gen8/ground.png",4,20,20)</f>
        <v/>
      </c>
      <c r="J844" s="2376" t="s">
        <v>777</v>
      </c>
      <c r="K844" s="2377"/>
      <c r="L844" s="2386"/>
      <c r="M844" s="5353" t="str">
        <f>IMAGE("https://raw.githubusercontent.com/msikma/pokesprite/master/misc/types/gen8/normal.png",4,20,20)</f>
        <v/>
      </c>
      <c r="O844" s="2376" t="s">
        <v>1137</v>
      </c>
      <c r="P844" s="2377"/>
      <c r="Q844" s="2386"/>
      <c r="R844" s="5353" t="str">
        <f>IMAGE("https://raw.githubusercontent.com/msikma/pokesprite/master/misc/types/gen8/rock.png",4,20,20)</f>
        <v/>
      </c>
      <c r="S844" s="302"/>
      <c r="T844" s="2329"/>
      <c r="U844" s="2332"/>
      <c r="V844" s="2332"/>
      <c r="W844" s="420"/>
      <c r="X844" s="302"/>
      <c r="Y844" s="2329"/>
      <c r="Z844" s="2332"/>
      <c r="AA844" s="2332"/>
      <c r="AB844" s="420"/>
      <c r="AC844" s="2355"/>
      <c r="AD844" s="2329"/>
      <c r="AE844" s="2332"/>
      <c r="AF844" s="2332"/>
      <c r="AG844" s="420"/>
      <c r="AH844" s="2334"/>
      <c r="AI844" s="3452"/>
    </row>
    <row r="845" ht="20.25" customHeight="1">
      <c r="A845" s="3446"/>
      <c r="B845" s="2327"/>
      <c r="C845" s="2396"/>
      <c r="E845" s="2380" t="s">
        <v>958</v>
      </c>
      <c r="F845" s="2332"/>
      <c r="G845" s="420"/>
      <c r="H845" s="5354" t="str">
        <f>IMAGE("https://raw.githubusercontent.com/msikma/pokesprite/master/misc/types/gen8/normal.png",4,20,20)</f>
        <v/>
      </c>
      <c r="J845" s="2380" t="s">
        <v>579</v>
      </c>
      <c r="K845" s="2332"/>
      <c r="L845" s="420"/>
      <c r="M845" s="5354" t="str">
        <f>IMAGE("https://raw.githubusercontent.com/msikma/pokesprite/master/misc/types/gen8/dark.png",4,20,20)</f>
        <v/>
      </c>
      <c r="O845" s="2380" t="s">
        <v>695</v>
      </c>
      <c r="P845" s="2332"/>
      <c r="Q845" s="420"/>
      <c r="R845" s="5354" t="str">
        <f>IMAGE("https://raw.githubusercontent.com/msikma/pokesprite/master/misc/types/gen8/ground.png",4,20,20)</f>
        <v/>
      </c>
      <c r="S845" s="302"/>
      <c r="T845" s="2329"/>
      <c r="U845" s="2332"/>
      <c r="V845" s="2332"/>
      <c r="W845" s="420"/>
      <c r="X845" s="302"/>
      <c r="Y845" s="2329"/>
      <c r="Z845" s="2332"/>
      <c r="AA845" s="2332"/>
      <c r="AB845" s="420"/>
      <c r="AC845" s="2355"/>
      <c r="AD845" s="2329"/>
      <c r="AE845" s="2332"/>
      <c r="AF845" s="2332"/>
      <c r="AG845" s="420"/>
      <c r="AH845" s="2334"/>
      <c r="AI845" s="3452"/>
    </row>
    <row r="846" ht="20.25" customHeight="1">
      <c r="A846" s="3446"/>
      <c r="B846" s="2327"/>
      <c r="C846" s="2396"/>
      <c r="E846" s="2380" t="s">
        <v>617</v>
      </c>
      <c r="F846" s="2332"/>
      <c r="G846" s="420"/>
      <c r="H846" s="5354" t="str">
        <f>IMAGE("https://raw.githubusercontent.com/msikma/pokesprite/master/misc/types/gen8/dragon.png",4,20,20)</f>
        <v/>
      </c>
      <c r="J846" s="2380" t="s">
        <v>548</v>
      </c>
      <c r="K846" s="2332"/>
      <c r="L846" s="420"/>
      <c r="M846" s="5354" t="str">
        <f>IMAGE("https://raw.githubusercontent.com/msikma/pokesprite/master/misc/types/gen8/fighting.png",4,20,20)</f>
        <v/>
      </c>
      <c r="O846" s="2380" t="s">
        <v>554</v>
      </c>
      <c r="P846" s="2332"/>
      <c r="Q846" s="420"/>
      <c r="R846" s="5354" t="str">
        <f>IMAGE("https://raw.githubusercontent.com/msikma/pokesprite/master/misc/types/gen8/dark.png",4,20,20)</f>
        <v/>
      </c>
      <c r="S846" s="302"/>
      <c r="T846" s="2329"/>
      <c r="U846" s="2332"/>
      <c r="V846" s="2332"/>
      <c r="W846" s="420"/>
      <c r="X846" s="302"/>
      <c r="Y846" s="2329"/>
      <c r="Z846" s="2332"/>
      <c r="AA846" s="2332"/>
      <c r="AB846" s="420"/>
      <c r="AC846" s="2355"/>
      <c r="AD846" s="2329"/>
      <c r="AE846" s="2332"/>
      <c r="AF846" s="2332"/>
      <c r="AG846" s="420"/>
      <c r="AH846" s="2334"/>
      <c r="AI846" s="3452"/>
    </row>
    <row r="847" ht="21.0" customHeight="1">
      <c r="A847" s="3446"/>
      <c r="B847" s="2327"/>
      <c r="C847" s="2396"/>
      <c r="D847" s="2393"/>
      <c r="E847" s="2389" t="s">
        <v>1596</v>
      </c>
      <c r="F847" s="2390"/>
      <c r="G847" s="2391"/>
      <c r="H847" s="5355" t="str">
        <f>IMAGE("https://raw.githubusercontent.com/msikma/pokesprite/master/misc/types/gen8/normal.png",4,20,20)</f>
        <v/>
      </c>
      <c r="I847" s="2393"/>
      <c r="J847" s="2389" t="s">
        <v>961</v>
      </c>
      <c r="K847" s="2390"/>
      <c r="L847" s="2391"/>
      <c r="M847" s="5355" t="str">
        <f>IMAGE("https://raw.githubusercontent.com/msikma/pokesprite/master/misc/types/gen8/steel.png",4,20,20)</f>
        <v/>
      </c>
      <c r="N847" s="2393"/>
      <c r="O847" s="2389" t="s">
        <v>591</v>
      </c>
      <c r="P847" s="2390"/>
      <c r="Q847" s="2391"/>
      <c r="R847" s="5355" t="str">
        <f>IMAGE("https://raw.githubusercontent.com/msikma/pokesprite/master/misc/types/gen8/normal.png",4,20,20)</f>
        <v/>
      </c>
      <c r="S847" s="510"/>
      <c r="T847" s="2329"/>
      <c r="U847" s="2332"/>
      <c r="V847" s="2332"/>
      <c r="W847" s="420"/>
      <c r="X847" s="510"/>
      <c r="Y847" s="2329"/>
      <c r="Z847" s="2332"/>
      <c r="AA847" s="2332"/>
      <c r="AB847" s="420"/>
      <c r="AC847" s="2375"/>
      <c r="AD847" s="2329"/>
      <c r="AE847" s="2332"/>
      <c r="AF847" s="2332"/>
      <c r="AG847" s="420"/>
      <c r="AH847" s="2334"/>
      <c r="AI847" s="3452"/>
    </row>
    <row r="848" ht="3.0" customHeight="1">
      <c r="A848" s="3524"/>
      <c r="B848" s="2395"/>
      <c r="C848" s="2396"/>
      <c r="D848" s="2397"/>
      <c r="E848" s="5307"/>
      <c r="F848" s="5307"/>
      <c r="G848" s="5307"/>
      <c r="H848" s="5306"/>
      <c r="I848" s="2397"/>
      <c r="J848" s="5307"/>
      <c r="K848" s="5307"/>
      <c r="L848" s="5307"/>
      <c r="M848" s="5306"/>
      <c r="N848" s="2397"/>
      <c r="O848" s="2398"/>
      <c r="P848" s="5358"/>
      <c r="Q848" s="5358"/>
      <c r="R848" s="2400"/>
      <c r="S848" s="2397"/>
      <c r="T848" s="2397"/>
      <c r="U848" s="2399"/>
      <c r="V848" s="2399"/>
      <c r="W848" s="2400"/>
      <c r="X848" s="2397"/>
      <c r="Y848" s="2397"/>
      <c r="Z848" s="2399"/>
      <c r="AA848" s="2399"/>
      <c r="AB848" s="2400"/>
      <c r="AC848" s="2400"/>
      <c r="AD848" s="2400"/>
      <c r="AE848" s="2400"/>
      <c r="AF848" s="2400"/>
      <c r="AG848" s="2400"/>
      <c r="AH848" s="2401"/>
      <c r="AI848" s="3534"/>
    </row>
    <row r="849" ht="16.5" customHeight="1">
      <c r="A849" s="3535"/>
      <c r="B849" s="2403"/>
      <c r="C849" s="2396"/>
      <c r="D849" s="5309"/>
      <c r="E849" s="5310" t="s">
        <v>512</v>
      </c>
      <c r="F849" s="606"/>
      <c r="G849" s="606"/>
      <c r="H849" s="607"/>
      <c r="I849" s="5309"/>
      <c r="J849" s="5310" t="s">
        <v>512</v>
      </c>
      <c r="K849" s="606"/>
      <c r="L849" s="606"/>
      <c r="M849" s="607"/>
      <c r="N849" s="5309"/>
      <c r="O849" s="5310" t="s">
        <v>512</v>
      </c>
      <c r="P849" s="606"/>
      <c r="Q849" s="606"/>
      <c r="R849" s="607"/>
      <c r="S849" s="2408"/>
      <c r="T849" s="2409"/>
      <c r="U849" s="2408"/>
      <c r="V849" s="2408"/>
      <c r="W849" s="2409"/>
      <c r="X849" s="5317"/>
      <c r="Y849" s="2409"/>
      <c r="Z849" s="2408"/>
      <c r="AA849" s="2408"/>
      <c r="AB849" s="2409"/>
      <c r="AC849" s="2409"/>
      <c r="AD849" s="2409"/>
      <c r="AE849" s="2409"/>
      <c r="AF849" s="2409"/>
      <c r="AG849" s="2409"/>
      <c r="AH849" s="2410"/>
      <c r="AI849" s="3543"/>
    </row>
    <row r="850" ht="16.5" customHeight="1">
      <c r="A850" s="3535"/>
      <c r="B850" s="2403"/>
      <c r="C850" s="2396"/>
      <c r="D850" s="5312"/>
      <c r="E850" s="5313" t="s">
        <v>513</v>
      </c>
      <c r="F850" s="5314">
        <f t="array" ref="F850">IFERROR(VLOOKUP(E837,Dex!$B$3:$N1361,8,FALSE),"")</f>
        <v>54</v>
      </c>
      <c r="G850" s="5315" t="str">
        <f t="array" ref="G850">IFERROR(VLOOKUP(F850,Dex!$P$22:$Q$276,2,FALSE),"")</f>
        <v/>
      </c>
      <c r="H850" s="5316"/>
      <c r="I850" s="5312"/>
      <c r="J850" s="5313" t="s">
        <v>513</v>
      </c>
      <c r="K850" s="5314">
        <f t="array" ref="K850">IFERROR(VLOOKUP(J837,Dex!$B$3:$N1361,8,FALSE),"")</f>
        <v>144</v>
      </c>
      <c r="L850" s="5315" t="str">
        <f t="array" ref="L850">IFERROR(VLOOKUP(K850,Dex!$P$22:$Q$276,2,FALSE),"")</f>
        <v/>
      </c>
      <c r="M850" s="5316"/>
      <c r="N850" s="5312"/>
      <c r="O850" s="5313" t="s">
        <v>513</v>
      </c>
      <c r="P850" s="5314">
        <f t="array" ref="P850">IFERROR(VLOOKUP(O837,Dex!$B$3:$N1361,8,FALSE),"")</f>
        <v>80</v>
      </c>
      <c r="Q850" s="5315" t="str">
        <f t="array" ref="Q850">IFERROR(VLOOKUP(P850,Dex!$P$22:$Q$276,2,FALSE),"")</f>
        <v/>
      </c>
      <c r="R850" s="5316"/>
      <c r="S850" s="2408"/>
      <c r="T850" s="2409"/>
      <c r="U850" s="2408"/>
      <c r="V850" s="2408"/>
      <c r="W850" s="2409"/>
      <c r="X850" s="5317"/>
      <c r="Y850" s="2409"/>
      <c r="Z850" s="2408"/>
      <c r="AA850" s="2408"/>
      <c r="AB850" s="2409"/>
      <c r="AC850" s="2409"/>
      <c r="AD850" s="2409"/>
      <c r="AE850" s="2409"/>
      <c r="AF850" s="2409"/>
      <c r="AG850" s="2409"/>
      <c r="AH850" s="2410"/>
      <c r="AI850" s="3543"/>
    </row>
    <row r="851" ht="16.5" customHeight="1">
      <c r="A851" s="3535"/>
      <c r="B851" s="2403"/>
      <c r="C851" s="2396"/>
      <c r="D851" s="5312"/>
      <c r="E851" s="5318" t="s">
        <v>514</v>
      </c>
      <c r="F851" s="5319">
        <f t="array" ref="F851">IFERROR(VLOOKUP(E837,Dex!$B$3:$N1361,9,FALSE),"")</f>
        <v>100</v>
      </c>
      <c r="G851" s="5320" t="str">
        <f t="array" ref="G851">IFERROR(VLOOKUP(F851,Dex!$P$22:$Q$276,2,FALSE),"")</f>
        <v/>
      </c>
      <c r="H851" s="5321"/>
      <c r="I851" s="5312"/>
      <c r="J851" s="5318" t="s">
        <v>514</v>
      </c>
      <c r="K851" s="5319">
        <f t="array" ref="K851">IFERROR(VLOOKUP(J837,Dex!$B$3:$N1361,9,FALSE),"")</f>
        <v>120</v>
      </c>
      <c r="L851" s="5320" t="str">
        <f t="array" ref="L851">IFERROR(VLOOKUP(K851,Dex!$P$22:$Q$276,2,FALSE),"")</f>
        <v/>
      </c>
      <c r="M851" s="5321"/>
      <c r="N851" s="5312"/>
      <c r="O851" s="5318" t="s">
        <v>514</v>
      </c>
      <c r="P851" s="5319">
        <f t="array" ref="P851">IFERROR(VLOOKUP(O837,Dex!$B$3:$N1361,9,FALSE),"")</f>
        <v>120</v>
      </c>
      <c r="Q851" s="5320" t="str">
        <f t="array" ref="Q851">IFERROR(VLOOKUP(P851,Dex!$P$22:$Q$276,2,FALSE),"")</f>
        <v/>
      </c>
      <c r="R851" s="5321"/>
      <c r="S851" s="2408"/>
      <c r="T851" s="2409"/>
      <c r="U851" s="2408"/>
      <c r="V851" s="2408"/>
      <c r="W851" s="2409"/>
      <c r="X851" s="5317"/>
      <c r="Y851" s="2409"/>
      <c r="Z851" s="2408"/>
      <c r="AA851" s="2408"/>
      <c r="AB851" s="2409"/>
      <c r="AC851" s="2409"/>
      <c r="AD851" s="2409"/>
      <c r="AE851" s="2409"/>
      <c r="AF851" s="2409"/>
      <c r="AG851" s="2409"/>
      <c r="AH851" s="2410"/>
      <c r="AI851" s="3543"/>
    </row>
    <row r="852" ht="16.5" customHeight="1">
      <c r="A852" s="3535"/>
      <c r="B852" s="2403"/>
      <c r="C852" s="2396"/>
      <c r="D852" s="5312"/>
      <c r="E852" s="5318" t="s">
        <v>515</v>
      </c>
      <c r="F852" s="5319">
        <f t="array" ref="F852">IFERROR(VLOOKUP(E837,Dex!$B$3:$N1361,10,FALSE),"")</f>
        <v>71</v>
      </c>
      <c r="G852" s="5320" t="str">
        <f t="array" ref="G852">IFERROR(VLOOKUP(F852,Dex!$P$22:$Q$276,2,FALSE),"")</f>
        <v/>
      </c>
      <c r="H852" s="5321"/>
      <c r="I852" s="5312"/>
      <c r="J852" s="5318" t="s">
        <v>515</v>
      </c>
      <c r="K852" s="5319">
        <f t="array" ref="K852">IFERROR(VLOOKUP(J837,Dex!$B$3:$N1361,10,FALSE),"")</f>
        <v>60</v>
      </c>
      <c r="L852" s="5320" t="str">
        <f t="array" ref="L852">IFERROR(VLOOKUP(K852,Dex!$P$22:$Q$276,2,FALSE),"")</f>
        <v/>
      </c>
      <c r="M852" s="5321"/>
      <c r="N852" s="5312"/>
      <c r="O852" s="5318" t="s">
        <v>515</v>
      </c>
      <c r="P852" s="5319">
        <f t="array" ref="P852">IFERROR(VLOOKUP(O837,Dex!$B$3:$N1361,10,FALSE),"")</f>
        <v>130</v>
      </c>
      <c r="Q852" s="5320" t="str">
        <f t="array" ref="Q852">IFERROR(VLOOKUP(P852,Dex!$P$22:$Q$276,2,FALSE),"")</f>
        <v/>
      </c>
      <c r="R852" s="5321"/>
      <c r="S852" s="2408"/>
      <c r="T852" s="2409"/>
      <c r="U852" s="2408"/>
      <c r="V852" s="2408"/>
      <c r="W852" s="2409"/>
      <c r="X852" s="5317"/>
      <c r="Y852" s="2409"/>
      <c r="Z852" s="2408"/>
      <c r="AA852" s="2408"/>
      <c r="AB852" s="2409"/>
      <c r="AC852" s="2409"/>
      <c r="AD852" s="2409"/>
      <c r="AE852" s="2409"/>
      <c r="AF852" s="2409"/>
      <c r="AG852" s="2409"/>
      <c r="AH852" s="2410"/>
      <c r="AI852" s="3543"/>
    </row>
    <row r="853" ht="16.5" customHeight="1">
      <c r="A853" s="3535"/>
      <c r="B853" s="2403"/>
      <c r="C853" s="2396"/>
      <c r="D853" s="5312"/>
      <c r="E853" s="5318" t="s">
        <v>516</v>
      </c>
      <c r="F853" s="5319">
        <f t="array" ref="F853">IFERROR(VLOOKUP(E837,Dex!$B$3:$N1361,11,FALSE),"")</f>
        <v>61</v>
      </c>
      <c r="G853" s="5320" t="str">
        <f t="array" ref="G853">IFERROR(VLOOKUP(F853,Dex!$P$22:$Q$276,2,FALSE),"")</f>
        <v/>
      </c>
      <c r="H853" s="5321"/>
      <c r="I853" s="5312"/>
      <c r="J853" s="5318" t="s">
        <v>516</v>
      </c>
      <c r="K853" s="5319">
        <f t="array" ref="K853">IFERROR(VLOOKUP(J837,Dex!$B$3:$N1361,11,FALSE),"")</f>
        <v>40</v>
      </c>
      <c r="L853" s="5320" t="str">
        <f t="array" ref="L853">IFERROR(VLOOKUP(K853,Dex!$P$22:$Q$276,2,FALSE),"")</f>
        <v/>
      </c>
      <c r="M853" s="5321"/>
      <c r="N853" s="5312"/>
      <c r="O853" s="5318" t="s">
        <v>516</v>
      </c>
      <c r="P853" s="5319">
        <f t="array" ref="P853">IFERROR(VLOOKUP(O837,Dex!$B$3:$N1361,11,FALSE),"")</f>
        <v>55</v>
      </c>
      <c r="Q853" s="5320" t="str">
        <f t="array" ref="Q853">IFERROR(VLOOKUP(P853,Dex!$P$22:$Q$276,2,FALSE),"")</f>
        <v/>
      </c>
      <c r="R853" s="5321"/>
      <c r="S853" s="2408"/>
      <c r="T853" s="2409"/>
      <c r="U853" s="2408"/>
      <c r="V853" s="2408"/>
      <c r="W853" s="2409"/>
      <c r="X853" s="5317"/>
      <c r="Y853" s="2409"/>
      <c r="Z853" s="2408"/>
      <c r="AA853" s="2408"/>
      <c r="AB853" s="2409"/>
      <c r="AC853" s="2409"/>
      <c r="AD853" s="2409"/>
      <c r="AE853" s="2409"/>
      <c r="AF853" s="2409"/>
      <c r="AG853" s="2409"/>
      <c r="AH853" s="2410"/>
      <c r="AI853" s="3543"/>
    </row>
    <row r="854" ht="16.5" customHeight="1">
      <c r="A854" s="3535"/>
      <c r="B854" s="2403"/>
      <c r="C854" s="2396"/>
      <c r="D854" s="5312"/>
      <c r="E854" s="5318" t="s">
        <v>517</v>
      </c>
      <c r="F854" s="5319">
        <f t="array" ref="F854">IFERROR(VLOOKUP(E837,Dex!$B$3:$N1361,12,FALSE),"")</f>
        <v>85</v>
      </c>
      <c r="G854" s="5320" t="str">
        <f t="array" ref="G854">IFERROR(VLOOKUP(F854,Dex!$P$22:$Q$276,2,FALSE),"")</f>
        <v/>
      </c>
      <c r="H854" s="5321"/>
      <c r="I854" s="5312"/>
      <c r="J854" s="5318" t="s">
        <v>517</v>
      </c>
      <c r="K854" s="5319">
        <f t="array" ref="K854">IFERROR(VLOOKUP(J837,Dex!$B$3:$N1361,12,FALSE),"")</f>
        <v>60</v>
      </c>
      <c r="L854" s="5320" t="str">
        <f t="array" ref="L854">IFERROR(VLOOKUP(K854,Dex!$P$22:$Q$276,2,FALSE),"")</f>
        <v/>
      </c>
      <c r="M854" s="5321"/>
      <c r="N854" s="5312"/>
      <c r="O854" s="5318" t="s">
        <v>517</v>
      </c>
      <c r="P854" s="5319">
        <f t="array" ref="P854">IFERROR(VLOOKUP(O837,Dex!$B$3:$N1361,12,FALSE),"")</f>
        <v>65</v>
      </c>
      <c r="Q854" s="5320" t="str">
        <f t="array" ref="Q854">IFERROR(VLOOKUP(P854,Dex!$P$22:$Q$276,2,FALSE),"")</f>
        <v/>
      </c>
      <c r="R854" s="5321"/>
      <c r="S854" s="2408"/>
      <c r="T854" s="2409"/>
      <c r="U854" s="2408"/>
      <c r="V854" s="2408"/>
      <c r="W854" s="2409"/>
      <c r="X854" s="5317"/>
      <c r="Y854" s="2409"/>
      <c r="Z854" s="2408"/>
      <c r="AA854" s="2408"/>
      <c r="AB854" s="2409"/>
      <c r="AC854" s="2409"/>
      <c r="AD854" s="2409"/>
      <c r="AE854" s="2409"/>
      <c r="AF854" s="2409"/>
      <c r="AG854" s="2409"/>
      <c r="AH854" s="2410"/>
      <c r="AI854" s="3543"/>
    </row>
    <row r="855" ht="16.5" customHeight="1">
      <c r="A855" s="3535"/>
      <c r="B855" s="2403"/>
      <c r="C855" s="1426" t="s">
        <v>745</v>
      </c>
      <c r="D855" s="5312"/>
      <c r="E855" s="5322" t="s">
        <v>518</v>
      </c>
      <c r="F855" s="5323">
        <f t="array" ref="F855">IFERROR(VLOOKUP(E837,Dex!$B$3:$N1361,13,FALSE),"")</f>
        <v>115</v>
      </c>
      <c r="G855" s="5320" t="str">
        <f t="array" ref="G855">IFERROR(VLOOKUP(F855,Dex!$P$22:$Q$276,2,FALSE),"")</f>
        <v/>
      </c>
      <c r="H855" s="5321"/>
      <c r="I855" s="5312"/>
      <c r="J855" s="5322" t="s">
        <v>518</v>
      </c>
      <c r="K855" s="5323">
        <f t="array" ref="K855">IFERROR(VLOOKUP(J837,Dex!$B$3:$N1361,13,FALSE),"")</f>
        <v>50</v>
      </c>
      <c r="L855" s="5320" t="str">
        <f t="array" ref="L855">IFERROR(VLOOKUP(K855,Dex!$P$22:$Q$276,2,FALSE),"")</f>
        <v/>
      </c>
      <c r="M855" s="5321"/>
      <c r="N855" s="5312"/>
      <c r="O855" s="5322" t="s">
        <v>518</v>
      </c>
      <c r="P855" s="5323">
        <f t="array" ref="P855">IFERROR(VLOOKUP(O837,Dex!$B$3:$N1361,13,FALSE),"")</f>
        <v>45</v>
      </c>
      <c r="Q855" s="5320" t="str">
        <f t="array" ref="Q855">IFERROR(VLOOKUP(P855,Dex!$P$22:$Q$276,2,FALSE),"")</f>
        <v/>
      </c>
      <c r="R855" s="5321"/>
      <c r="S855" s="2408"/>
      <c r="T855" s="2409"/>
      <c r="U855" s="2408"/>
      <c r="V855" s="2408"/>
      <c r="W855" s="2409"/>
      <c r="X855" s="5317"/>
      <c r="Y855" s="2409"/>
      <c r="Z855" s="2408"/>
      <c r="AA855" s="2408"/>
      <c r="AB855" s="2409"/>
      <c r="AC855" s="2409"/>
      <c r="AD855" s="2409"/>
      <c r="AE855" s="2409"/>
      <c r="AF855" s="2409"/>
      <c r="AG855" s="2409"/>
      <c r="AH855" s="2410"/>
      <c r="AI855" s="3543"/>
    </row>
    <row r="856" ht="16.5" customHeight="1">
      <c r="A856" s="3535"/>
      <c r="B856" s="2403"/>
      <c r="C856" s="1427" t="s">
        <v>746</v>
      </c>
      <c r="D856" s="5309"/>
      <c r="E856" s="5324" t="s">
        <v>519</v>
      </c>
      <c r="F856" s="630"/>
      <c r="G856" s="631"/>
      <c r="H856" s="632">
        <f>ROUNDDOWN((ROUNDDOWN(((((2*F855+31)*66)/100+5)),0))*1.1,0)</f>
        <v>194</v>
      </c>
      <c r="I856" s="5309"/>
      <c r="J856" s="5324" t="s">
        <v>519</v>
      </c>
      <c r="K856" s="630"/>
      <c r="L856" s="631"/>
      <c r="M856" s="632">
        <f>ROUNDDOWN((ROUNDDOWN(((((2*K855+31)*67)/100+5)),0))*1,0)</f>
        <v>92</v>
      </c>
      <c r="N856" s="5309"/>
      <c r="O856" s="5324" t="s">
        <v>519</v>
      </c>
      <c r="P856" s="630"/>
      <c r="Q856" s="631"/>
      <c r="R856" s="632">
        <f>ROUNDDOWN((ROUNDDOWN(((((2*P855+31)*66)/100+5)),0))*1,0)</f>
        <v>84</v>
      </c>
      <c r="S856" s="2408"/>
      <c r="T856" s="2409"/>
      <c r="U856" s="2408"/>
      <c r="V856" s="2408"/>
      <c r="W856" s="2409"/>
      <c r="X856" s="5317"/>
      <c r="Y856" s="2409"/>
      <c r="Z856" s="2408"/>
      <c r="AA856" s="2408"/>
      <c r="AB856" s="2409"/>
      <c r="AC856" s="2409"/>
      <c r="AD856" s="2409"/>
      <c r="AE856" s="2409"/>
      <c r="AF856" s="2409"/>
      <c r="AG856" s="2409"/>
      <c r="AH856" s="2410"/>
      <c r="AI856" s="3543"/>
    </row>
    <row r="857" ht="15.0" customHeight="1">
      <c r="A857" s="3446"/>
      <c r="B857" s="2440"/>
      <c r="C857" s="2441"/>
      <c r="D857" s="5331"/>
      <c r="E857" s="5332"/>
      <c r="F857" s="5332"/>
      <c r="G857" s="5332"/>
      <c r="H857" s="5332"/>
      <c r="I857" s="5331"/>
      <c r="J857" s="5332"/>
      <c r="K857" s="5332"/>
      <c r="L857" s="5332"/>
      <c r="M857" s="5332"/>
      <c r="N857" s="5331"/>
      <c r="O857" s="5332"/>
      <c r="P857" s="5332"/>
      <c r="Q857" s="5332"/>
      <c r="R857" s="5332"/>
      <c r="S857" s="5331"/>
      <c r="T857" s="5332"/>
      <c r="U857" s="5332"/>
      <c r="V857" s="5332"/>
      <c r="W857" s="5332"/>
      <c r="X857" s="2442"/>
      <c r="Y857" s="2442"/>
      <c r="Z857" s="2442"/>
      <c r="AA857" s="2442"/>
      <c r="AB857" s="2442"/>
      <c r="AC857" s="2442"/>
      <c r="AD857" s="2442"/>
      <c r="AE857" s="2442"/>
      <c r="AF857" s="2442"/>
      <c r="AG857" s="2442"/>
      <c r="AH857" s="2445"/>
      <c r="AI857" s="3452"/>
    </row>
    <row r="858" ht="15.0" customHeight="1">
      <c r="A858" s="3446"/>
      <c r="B858" s="5288"/>
      <c r="C858" s="5289"/>
      <c r="D858" s="5289"/>
      <c r="E858" s="5289"/>
      <c r="F858" s="5289"/>
      <c r="G858" s="5289"/>
      <c r="H858" s="5289"/>
      <c r="I858" s="5289"/>
      <c r="J858" s="5289"/>
      <c r="K858" s="5289"/>
      <c r="L858" s="5289"/>
      <c r="M858" s="5289"/>
      <c r="N858" s="5289"/>
      <c r="O858" s="5289"/>
      <c r="P858" s="5289"/>
      <c r="Q858" s="5289"/>
      <c r="R858" s="5289"/>
      <c r="S858" s="5289"/>
      <c r="T858" s="5289"/>
      <c r="U858" s="5289"/>
      <c r="V858" s="5289"/>
      <c r="W858" s="5289"/>
      <c r="X858" s="5289"/>
      <c r="Y858" s="5289"/>
      <c r="Z858" s="5289"/>
      <c r="AA858" s="5289"/>
      <c r="AB858" s="5289"/>
      <c r="AC858" s="5289"/>
      <c r="AD858" s="5289"/>
      <c r="AE858" s="5289"/>
      <c r="AF858" s="5289"/>
      <c r="AG858" s="5289"/>
      <c r="AH858" s="5290"/>
      <c r="AI858" s="3452"/>
    </row>
    <row r="859">
      <c r="A859" s="3446"/>
      <c r="B859" s="2327"/>
      <c r="C859" s="5291"/>
      <c r="D859" s="2346"/>
      <c r="E859" s="5292" t="s">
        <v>1617</v>
      </c>
      <c r="F859" s="2383"/>
      <c r="G859" s="2383"/>
      <c r="H859" s="2383"/>
      <c r="I859" s="2383"/>
      <c r="J859" s="2383"/>
      <c r="K859" s="2383"/>
      <c r="L859" s="2383"/>
      <c r="M859" s="2383"/>
      <c r="N859" s="2383"/>
      <c r="O859" s="2383"/>
      <c r="P859" s="2383"/>
      <c r="Q859" s="2383"/>
      <c r="R859" s="2383"/>
      <c r="S859" s="2383"/>
      <c r="T859" s="2383"/>
      <c r="U859" s="2383"/>
      <c r="V859" s="2383"/>
      <c r="W859" s="2383"/>
      <c r="X859" s="2383"/>
      <c r="Y859" s="2383"/>
      <c r="Z859" s="2383"/>
      <c r="AA859" s="2383"/>
      <c r="AB859" s="2383"/>
      <c r="AC859" s="2383"/>
      <c r="AD859" s="2383"/>
      <c r="AE859" s="2383"/>
      <c r="AF859" s="2383"/>
      <c r="AG859" s="5293"/>
      <c r="AH859" s="5294"/>
      <c r="AI859" s="3452"/>
    </row>
    <row r="860" ht="96.75" customHeight="1">
      <c r="A860" s="3446"/>
      <c r="B860" s="2358"/>
      <c r="C860" s="5295" t="str">
        <f>IMAGE("https://i.ibb.co/qsQbp4Z/Biker.png")</f>
        <v/>
      </c>
      <c r="D860" s="2343"/>
      <c r="E860" s="5296" t="str">
        <f t="array" ref="E860">IFERROR(VLOOKUP(E861,Dex!$B$3:$G1361,3,FALSE),"")</f>
        <v/>
      </c>
      <c r="F860" s="1945"/>
      <c r="G860" s="1945"/>
      <c r="H860" s="1946"/>
      <c r="I860" s="2343"/>
      <c r="J860" s="5296" t="str">
        <f t="array" ref="J860">IFERROR(VLOOKUP(J861,Dex!$B$3:$G1361,3,FALSE),"")</f>
        <v/>
      </c>
      <c r="K860" s="1945"/>
      <c r="L860" s="1945"/>
      <c r="M860" s="1946"/>
      <c r="N860" s="2343"/>
      <c r="O860" s="5296" t="str">
        <f t="array" ref="O860">IFERROR(VLOOKUP(O861,Dex!$B$3:$G1361,3,FALSE),"")</f>
        <v/>
      </c>
      <c r="P860" s="1945"/>
      <c r="Q860" s="1945"/>
      <c r="R860" s="1946"/>
      <c r="S860" s="2343"/>
      <c r="T860" s="5296" t="str">
        <f t="array" ref="T860">IFERROR(VLOOKUP(T861,Dex!$B$3:$G1361,3,FALSE),"")</f>
        <v/>
      </c>
      <c r="U860" s="1945"/>
      <c r="V860" s="1945"/>
      <c r="W860" s="1946"/>
      <c r="X860" s="2344"/>
      <c r="Y860" s="5296" t="str">
        <f t="array" ref="Y860">IFERROR(VLOOKUP(Y861,Dex!$B$3:$G1361,3,FALSE),"")</f>
        <v/>
      </c>
      <c r="Z860" s="1945"/>
      <c r="AA860" s="1945"/>
      <c r="AB860" s="1946"/>
      <c r="AC860" s="2345"/>
      <c r="AD860" s="2329"/>
      <c r="AE860" s="2332"/>
      <c r="AF860" s="2332"/>
      <c r="AG860" s="420"/>
      <c r="AH860" s="2334"/>
      <c r="AI860" s="3452"/>
    </row>
    <row r="861" ht="18.75" customHeight="1">
      <c r="A861" s="3689"/>
      <c r="B861" s="2419"/>
      <c r="C861" s="5297" t="s">
        <v>1618</v>
      </c>
      <c r="E861" s="2351" t="s">
        <v>1619</v>
      </c>
      <c r="F861" s="2352"/>
      <c r="G861" s="2352"/>
      <c r="H861" s="2353"/>
      <c r="J861" s="2351" t="s">
        <v>1277</v>
      </c>
      <c r="K861" s="2352"/>
      <c r="L861" s="2352"/>
      <c r="M861" s="2353"/>
      <c r="O861" s="2351" t="s">
        <v>95</v>
      </c>
      <c r="P861" s="2352"/>
      <c r="Q861" s="2352"/>
      <c r="R861" s="2353"/>
      <c r="T861" s="2351" t="s">
        <v>1465</v>
      </c>
      <c r="U861" s="2352"/>
      <c r="V861" s="2352"/>
      <c r="W861" s="2353"/>
      <c r="Y861" s="2351" t="s">
        <v>1620</v>
      </c>
      <c r="Z861" s="2352"/>
      <c r="AA861" s="2352"/>
      <c r="AB861" s="2353"/>
      <c r="AC861" s="302"/>
      <c r="AD861" s="2354"/>
      <c r="AE861" s="2332"/>
      <c r="AF861" s="2332"/>
      <c r="AG861" s="420"/>
      <c r="AH861" s="2356"/>
      <c r="AI861" s="3700"/>
    </row>
    <row r="862">
      <c r="A862" s="3701"/>
      <c r="B862" s="5298"/>
      <c r="C862" s="1638"/>
      <c r="E862" s="2360" t="s">
        <v>797</v>
      </c>
      <c r="F862" s="2361"/>
      <c r="G862" s="2361"/>
      <c r="H862" s="2362"/>
      <c r="J862" s="2360" t="s">
        <v>796</v>
      </c>
      <c r="K862" s="2361"/>
      <c r="L862" s="2361"/>
      <c r="M862" s="2362"/>
      <c r="O862" s="2360" t="s">
        <v>796</v>
      </c>
      <c r="P862" s="2361"/>
      <c r="Q862" s="2361"/>
      <c r="R862" s="2362"/>
      <c r="T862" s="2360" t="s">
        <v>796</v>
      </c>
      <c r="U862" s="2361"/>
      <c r="V862" s="2361"/>
      <c r="W862" s="2362"/>
      <c r="Y862" s="2360" t="s">
        <v>796</v>
      </c>
      <c r="Z862" s="2361"/>
      <c r="AA862" s="2361"/>
      <c r="AB862" s="2362"/>
      <c r="AC862" s="302"/>
      <c r="AD862" s="2758"/>
      <c r="AE862" s="2332"/>
      <c r="AF862" s="2332"/>
      <c r="AG862" s="420"/>
      <c r="AH862" s="5299"/>
      <c r="AI862" s="3709"/>
    </row>
    <row r="863" ht="25.5" customHeight="1">
      <c r="A863" s="3446"/>
      <c r="B863" s="2358"/>
      <c r="C863" s="1646"/>
      <c r="E863" s="2365"/>
      <c r="F863" s="2366" t="str">
        <f t="array" ref="F863">IFERROR(VLOOKUP(E861,Dex!$B$3:$H1361,5,FALSE),"")</f>
        <v/>
      </c>
      <c r="G863" s="2367"/>
      <c r="H863" s="2368"/>
      <c r="J863" s="2365"/>
      <c r="K863" s="2369" t="str">
        <f t="array" ref="K863">IFERROR(VLOOKUP(J861,Dex!$B$3:$H1361,5,FALSE),"")</f>
        <v/>
      </c>
      <c r="L863" s="2370" t="str">
        <f t="array" ref="L863">IFERROR(VLOOKUP(J861,Dex!$B$3:$H1361,7,FALSE),"")</f>
        <v/>
      </c>
      <c r="M863" s="2368"/>
      <c r="O863" s="2365"/>
      <c r="P863" s="2366" t="str">
        <f t="array" ref="P863">IFERROR(VLOOKUP(O861,Dex!$B$3:$H1361,5,FALSE),"")</f>
        <v/>
      </c>
      <c r="Q863" s="2367"/>
      <c r="R863" s="2368"/>
      <c r="T863" s="2365"/>
      <c r="U863" s="2369" t="str">
        <f t="array" ref="U863">IFERROR(VLOOKUP(T861,Dex!$B$3:$H1361,5,FALSE),"")</f>
        <v/>
      </c>
      <c r="V863" s="2370" t="str">
        <f t="array" ref="V863">IFERROR(VLOOKUP(T861,Dex!$B$3:$H1361,7,FALSE),"")</f>
        <v/>
      </c>
      <c r="W863" s="2368"/>
      <c r="Y863" s="2365"/>
      <c r="Z863" s="2369" t="str">
        <f t="array" ref="Z863">IFERROR(VLOOKUP(Y861,Dex!$B$3:$H1361,5,FALSE),"")</f>
        <v/>
      </c>
      <c r="AA863" s="2370" t="str">
        <f t="array" ref="AA863">IFERROR(VLOOKUP(Y861,Dex!$B$3:$H1361,7,FALSE),"")</f>
        <v/>
      </c>
      <c r="AB863" s="2368"/>
      <c r="AC863" s="302"/>
      <c r="AD863" s="2329"/>
      <c r="AE863" s="2332"/>
      <c r="AF863" s="2332"/>
      <c r="AG863" s="420"/>
      <c r="AH863" s="2334"/>
      <c r="AI863" s="3452"/>
    </row>
    <row r="864" ht="2.25" customHeight="1">
      <c r="A864" s="3446"/>
      <c r="B864" s="2358"/>
      <c r="C864" s="5047"/>
      <c r="E864" s="2371"/>
      <c r="F864" s="2372"/>
      <c r="G864" s="2372"/>
      <c r="H864" s="2373"/>
      <c r="J864" s="2371"/>
      <c r="K864" s="2372"/>
      <c r="L864" s="2372"/>
      <c r="M864" s="2373"/>
      <c r="O864" s="2371"/>
      <c r="P864" s="2372"/>
      <c r="Q864" s="2372"/>
      <c r="R864" s="2373"/>
      <c r="T864" s="2371"/>
      <c r="U864" s="2372"/>
      <c r="V864" s="2372"/>
      <c r="W864" s="2373"/>
      <c r="Y864" s="2371"/>
      <c r="Z864" s="2372"/>
      <c r="AA864" s="2372"/>
      <c r="AB864" s="2373"/>
      <c r="AC864" s="302"/>
      <c r="AD864" s="2374"/>
      <c r="AE864" s="2374"/>
      <c r="AF864" s="2374"/>
      <c r="AG864" s="2374"/>
      <c r="AH864" s="2334"/>
      <c r="AI864" s="3452"/>
    </row>
    <row r="865" ht="20.25" customHeight="1">
      <c r="A865" s="3446"/>
      <c r="B865" s="2327"/>
      <c r="C865" s="5300"/>
      <c r="E865" s="2376" t="s">
        <v>564</v>
      </c>
      <c r="F865" s="2377"/>
      <c r="G865" s="2377"/>
      <c r="H865" s="2378"/>
      <c r="J865" s="2376" t="s">
        <v>566</v>
      </c>
      <c r="K865" s="2377"/>
      <c r="L865" s="2377"/>
      <c r="M865" s="2378"/>
      <c r="O865" s="2376" t="s">
        <v>480</v>
      </c>
      <c r="P865" s="2377"/>
      <c r="Q865" s="2377"/>
      <c r="R865" s="2378"/>
      <c r="T865" s="2376" t="s">
        <v>564</v>
      </c>
      <c r="U865" s="2377"/>
      <c r="V865" s="2377"/>
      <c r="W865" s="2378"/>
      <c r="Y865" s="2376" t="s">
        <v>532</v>
      </c>
      <c r="Z865" s="2377"/>
      <c r="AA865" s="2377"/>
      <c r="AB865" s="2378"/>
      <c r="AC865" s="302"/>
      <c r="AD865" s="2329"/>
      <c r="AE865" s="2332"/>
      <c r="AF865" s="2332"/>
      <c r="AG865" s="420"/>
      <c r="AH865" s="2334"/>
      <c r="AI865" s="3452"/>
    </row>
    <row r="866">
      <c r="A866" s="3446"/>
      <c r="B866" s="2327"/>
      <c r="C866" s="2328"/>
      <c r="E866" s="2380" t="s">
        <v>56</v>
      </c>
      <c r="F866" s="2332"/>
      <c r="G866" s="2332"/>
      <c r="H866" s="2381"/>
      <c r="J866" s="2380" t="s">
        <v>483</v>
      </c>
      <c r="K866" s="2332"/>
      <c r="L866" s="2332"/>
      <c r="M866" s="2381"/>
      <c r="O866" s="2380" t="s">
        <v>74</v>
      </c>
      <c r="P866" s="2332"/>
      <c r="Q866" s="2332"/>
      <c r="R866" s="2381"/>
      <c r="T866" s="2380" t="s">
        <v>826</v>
      </c>
      <c r="U866" s="2332"/>
      <c r="V866" s="2332"/>
      <c r="W866" s="2381"/>
      <c r="Y866" s="2380" t="s">
        <v>1621</v>
      </c>
      <c r="Z866" s="2332"/>
      <c r="AA866" s="2332"/>
      <c r="AB866" s="2381"/>
      <c r="AC866" s="302"/>
      <c r="AD866" s="2329"/>
      <c r="AE866" s="2332"/>
      <c r="AF866" s="2332"/>
      <c r="AG866" s="420"/>
      <c r="AH866" s="2334"/>
      <c r="AI866" s="3452"/>
    </row>
    <row r="867" ht="20.25" customHeight="1">
      <c r="A867" s="3446"/>
      <c r="B867" s="2327"/>
      <c r="C867" s="2328"/>
      <c r="E867" s="2382" t="s">
        <v>541</v>
      </c>
      <c r="F867" s="2383"/>
      <c r="G867" s="5293"/>
      <c r="H867" s="5301" t="str">
        <f>IMAGE("https://raw.githubusercontent.com/msikma/pokesprite/master/items/hold-item/life-orb.png",3)</f>
        <v/>
      </c>
      <c r="J867" s="2382" t="s">
        <v>493</v>
      </c>
      <c r="K867" s="2383"/>
      <c r="L867" s="5293"/>
      <c r="M867" s="5301" t="str">
        <f>IMAGE("https://raw.githubusercontent.com/msikma/pokesprite/master/items/hold-item/air-balloon.png",3)</f>
        <v/>
      </c>
      <c r="O867" s="2382" t="s">
        <v>713</v>
      </c>
      <c r="P867" s="2383"/>
      <c r="Q867" s="5293"/>
      <c r="R867" s="5301" t="str">
        <f>IMAGE("https://raw.githubusercontent.com/msikma/pokesprite/master/items/hold-item/assault-vest.png",3)</f>
        <v/>
      </c>
      <c r="T867" s="2382" t="s">
        <v>770</v>
      </c>
      <c r="U867" s="2383"/>
      <c r="V867" s="5293"/>
      <c r="W867" s="5301" t="str">
        <f>IMAGE("https://raw.githubusercontent.com/msikma/pokesprite/master/items/gem/fire.png",3)</f>
        <v/>
      </c>
      <c r="Y867" s="2382" t="s">
        <v>1622</v>
      </c>
      <c r="Z867" s="2383"/>
      <c r="AA867" s="5293"/>
      <c r="AB867" s="5301" t="str">
        <f>IMAGE("https://raw.githubusercontent.com/msikma/pokesprite/master/items/mega-stone/lopunnite.png",3)</f>
        <v/>
      </c>
      <c r="AC867" s="302"/>
      <c r="AD867" s="2329"/>
      <c r="AE867" s="2332"/>
      <c r="AF867" s="2332"/>
      <c r="AG867" s="420"/>
      <c r="AH867" s="2334"/>
      <c r="AI867" s="3452"/>
    </row>
    <row r="868" ht="20.25" customHeight="1">
      <c r="A868" s="3446"/>
      <c r="B868" s="2327"/>
      <c r="C868" s="2396"/>
      <c r="E868" s="2376" t="s">
        <v>612</v>
      </c>
      <c r="F868" s="2377"/>
      <c r="G868" s="2386"/>
      <c r="H868" s="5302" t="str">
        <f t="shared" ref="H868:H869" si="24">IMAGE("https://raw.githubusercontent.com/msikma/pokesprite/master/misc/types/gen8/bug.png",4,20,20)</f>
        <v/>
      </c>
      <c r="J868" s="2376" t="s">
        <v>549</v>
      </c>
      <c r="K868" s="2377"/>
      <c r="L868" s="2386"/>
      <c r="M868" s="5302" t="str">
        <f>IMAGE("https://raw.githubusercontent.com/msikma/pokesprite/master/misc/types/gen8/ground.png",4,20,20)</f>
        <v/>
      </c>
      <c r="O868" s="2376" t="s">
        <v>549</v>
      </c>
      <c r="P868" s="2377"/>
      <c r="Q868" s="2386"/>
      <c r="R868" s="5302" t="str">
        <f>IMAGE("https://raw.githubusercontent.com/msikma/pokesprite/master/misc/types/gen8/ground.png",4,20,20)</f>
        <v/>
      </c>
      <c r="T868" s="2376" t="s">
        <v>543</v>
      </c>
      <c r="U868" s="2377"/>
      <c r="V868" s="2386"/>
      <c r="W868" s="5302" t="str">
        <f>IMAGE("https://raw.githubusercontent.com/msikma/pokesprite/master/misc/types/gen8/grass.png",4,20,20)</f>
        <v/>
      </c>
      <c r="Y868" s="2376" t="s">
        <v>777</v>
      </c>
      <c r="Z868" s="2377"/>
      <c r="AA868" s="2386"/>
      <c r="AB868" s="5302" t="str">
        <f t="shared" ref="AB868:AB869" si="25">IMAGE("https://raw.githubusercontent.com/msikma/pokesprite/master/misc/types/gen8/normal.png",4,20,20)</f>
        <v/>
      </c>
      <c r="AC868" s="302"/>
      <c r="AD868" s="2329"/>
      <c r="AE868" s="2332"/>
      <c r="AF868" s="2332"/>
      <c r="AG868" s="420"/>
      <c r="AH868" s="2334"/>
      <c r="AI868" s="3452"/>
    </row>
    <row r="869" ht="20.25" customHeight="1">
      <c r="A869" s="3446"/>
      <c r="B869" s="2327"/>
      <c r="C869" s="2396"/>
      <c r="E869" s="2380" t="s">
        <v>846</v>
      </c>
      <c r="F869" s="2332"/>
      <c r="G869" s="420"/>
      <c r="H869" s="5303" t="str">
        <f t="shared" si="24"/>
        <v/>
      </c>
      <c r="J869" s="2380" t="s">
        <v>739</v>
      </c>
      <c r="K869" s="2332"/>
      <c r="L869" s="420"/>
      <c r="M869" s="5303" t="str">
        <f>IMAGE("https://raw.githubusercontent.com/msikma/pokesprite/master/misc/types/gen8/steel.png",4,20,20)</f>
        <v/>
      </c>
      <c r="O869" s="2380" t="s">
        <v>621</v>
      </c>
      <c r="P869" s="2332"/>
      <c r="Q869" s="420"/>
      <c r="R869" s="5303" t="str">
        <f>IMAGE("https://raw.githubusercontent.com/msikma/pokesprite/master/misc/types/gen8/rock.png",4,20,20)</f>
        <v/>
      </c>
      <c r="T869" s="2380" t="s">
        <v>699</v>
      </c>
      <c r="U869" s="2332"/>
      <c r="V869" s="420"/>
      <c r="W869" s="5303" t="str">
        <f>IMAGE("https://raw.githubusercontent.com/msikma/pokesprite/master/misc/types/gen8/rock.png",4,20,20)</f>
        <v/>
      </c>
      <c r="Y869" s="2380" t="s">
        <v>1497</v>
      </c>
      <c r="Z869" s="2332"/>
      <c r="AA869" s="420"/>
      <c r="AB869" s="5303" t="str">
        <f t="shared" si="25"/>
        <v/>
      </c>
      <c r="AC869" s="302"/>
      <c r="AD869" s="2329"/>
      <c r="AE869" s="2332"/>
      <c r="AF869" s="2332"/>
      <c r="AG869" s="420"/>
      <c r="AH869" s="2334"/>
      <c r="AI869" s="3452"/>
    </row>
    <row r="870" ht="20.25" customHeight="1">
      <c r="A870" s="3446"/>
      <c r="B870" s="2327"/>
      <c r="C870" s="2396"/>
      <c r="E870" s="2380" t="s">
        <v>590</v>
      </c>
      <c r="F870" s="2332"/>
      <c r="G870" s="420"/>
      <c r="H870" s="5303" t="str">
        <f>IMAGE("https://raw.githubusercontent.com/msikma/pokesprite/master/misc/types/gen8/fighting.png",4,20,20)</f>
        <v/>
      </c>
      <c r="J870" s="2380" t="s">
        <v>621</v>
      </c>
      <c r="K870" s="2332"/>
      <c r="L870" s="420"/>
      <c r="M870" s="5303" t="str">
        <f>IMAGE("https://raw.githubusercontent.com/msikma/pokesprite/master/misc/types/gen8/rock.png",4,20,20)</f>
        <v/>
      </c>
      <c r="O870" s="2380" t="s">
        <v>591</v>
      </c>
      <c r="P870" s="2332"/>
      <c r="Q870" s="420"/>
      <c r="R870" s="5303" t="str">
        <f>IMAGE("https://raw.githubusercontent.com/msikma/pokesprite/master/misc/types/gen8/normal.png",4,20,20)</f>
        <v/>
      </c>
      <c r="T870" s="2380" t="s">
        <v>671</v>
      </c>
      <c r="U870" s="2332"/>
      <c r="V870" s="420"/>
      <c r="W870" s="5303" t="str">
        <f>IMAGE("https://raw.githubusercontent.com/msikma/pokesprite/master/misc/types/gen8/fire.png",4,20,20)</f>
        <v/>
      </c>
      <c r="Y870" s="2380" t="s">
        <v>583</v>
      </c>
      <c r="Z870" s="2332"/>
      <c r="AA870" s="420"/>
      <c r="AB870" s="5303" t="str">
        <f>IMAGE("https://raw.githubusercontent.com/msikma/pokesprite/master/misc/types/gen8/fighting.png",4,20,20)</f>
        <v/>
      </c>
      <c r="AC870" s="302"/>
      <c r="AD870" s="2329"/>
      <c r="AE870" s="2332"/>
      <c r="AF870" s="2332"/>
      <c r="AG870" s="420"/>
      <c r="AH870" s="2334"/>
      <c r="AI870" s="3452"/>
    </row>
    <row r="871" ht="21.0" customHeight="1">
      <c r="A871" s="3446"/>
      <c r="B871" s="2327"/>
      <c r="C871" s="2396"/>
      <c r="D871" s="2393"/>
      <c r="E871" s="5359" t="s">
        <v>614</v>
      </c>
      <c r="F871" s="5360"/>
      <c r="G871" s="301"/>
      <c r="H871" s="5361" t="str">
        <f>IMAGE("https://raw.githubusercontent.com/msikma/pokesprite/master/misc/types/gen8/poison.png",4,20,20)</f>
        <v/>
      </c>
      <c r="I871" s="2393"/>
      <c r="J871" s="5359" t="s">
        <v>287</v>
      </c>
      <c r="K871" s="5360"/>
      <c r="L871" s="301"/>
      <c r="M871" s="5361" t="str">
        <f>IMAGE("https://raw.githubusercontent.com/msikma/pokesprite/master/misc/types/gen8/normal.png",4,20,20)</f>
        <v/>
      </c>
      <c r="N871" s="2393"/>
      <c r="O871" s="5359" t="s">
        <v>720</v>
      </c>
      <c r="P871" s="5360"/>
      <c r="Q871" s="301"/>
      <c r="R871" s="5361" t="str">
        <f>IMAGE("https://raw.githubusercontent.com/msikma/pokesprite/master/misc/types/gen8/fighting.png",4,20,20)</f>
        <v/>
      </c>
      <c r="S871" s="2393"/>
      <c r="T871" s="5359" t="s">
        <v>987</v>
      </c>
      <c r="U871" s="5360"/>
      <c r="V871" s="301"/>
      <c r="W871" s="5361" t="str">
        <f>IMAGE("https://raw.githubusercontent.com/msikma/pokesprite/master/misc/types/gen8/grass.png",4,20,20)</f>
        <v/>
      </c>
      <c r="X871" s="2393"/>
      <c r="Y871" s="5359" t="s">
        <v>785</v>
      </c>
      <c r="Z871" s="5360"/>
      <c r="AA871" s="301"/>
      <c r="AB871" s="5361" t="str">
        <f>IMAGE("https://raw.githubusercontent.com/msikma/pokesprite/master/misc/types/gen8/ice.png",4,20,20)</f>
        <v/>
      </c>
      <c r="AC871" s="510"/>
      <c r="AD871" s="2329"/>
      <c r="AE871" s="2332"/>
      <c r="AF871" s="2332"/>
      <c r="AG871" s="420"/>
      <c r="AH871" s="2334"/>
      <c r="AI871" s="3452"/>
    </row>
    <row r="872" ht="3.0" customHeight="1">
      <c r="A872" s="3524"/>
      <c r="B872" s="2395"/>
      <c r="C872" s="2396"/>
      <c r="D872" s="2397"/>
      <c r="E872" s="5307"/>
      <c r="F872" s="5307"/>
      <c r="G872" s="5307"/>
      <c r="H872" s="5306"/>
      <c r="I872" s="2397"/>
      <c r="J872" s="5307"/>
      <c r="K872" s="5307"/>
      <c r="L872" s="5307"/>
      <c r="M872" s="5362"/>
      <c r="N872" s="2397"/>
      <c r="O872" s="5307"/>
      <c r="P872" s="5307"/>
      <c r="Q872" s="5307"/>
      <c r="R872" s="5308"/>
      <c r="S872" s="2397"/>
      <c r="T872" s="5307"/>
      <c r="U872" s="5307"/>
      <c r="V872" s="5307"/>
      <c r="W872" s="5308"/>
      <c r="X872" s="2397"/>
      <c r="Y872" s="5307"/>
      <c r="Z872" s="5307"/>
      <c r="AA872" s="5307"/>
      <c r="AB872" s="5308"/>
      <c r="AC872" s="2400"/>
      <c r="AD872" s="2400"/>
      <c r="AE872" s="2400"/>
      <c r="AF872" s="2400"/>
      <c r="AG872" s="2400"/>
      <c r="AH872" s="2401"/>
      <c r="AI872" s="3534"/>
    </row>
    <row r="873" ht="16.5" customHeight="1">
      <c r="A873" s="3535"/>
      <c r="B873" s="2403"/>
      <c r="C873" s="2396"/>
      <c r="D873" s="5309"/>
      <c r="E873" s="5310" t="s">
        <v>512</v>
      </c>
      <c r="F873" s="606"/>
      <c r="G873" s="606"/>
      <c r="H873" s="607"/>
      <c r="I873" s="5309"/>
      <c r="J873" s="5310" t="s">
        <v>512</v>
      </c>
      <c r="K873" s="606"/>
      <c r="L873" s="606"/>
      <c r="M873" s="607"/>
      <c r="N873" s="5326"/>
      <c r="O873" s="5310" t="s">
        <v>512</v>
      </c>
      <c r="P873" s="606"/>
      <c r="Q873" s="606"/>
      <c r="R873" s="607"/>
      <c r="S873" s="5309"/>
      <c r="T873" s="5310" t="s">
        <v>512</v>
      </c>
      <c r="U873" s="606"/>
      <c r="V873" s="606"/>
      <c r="W873" s="607"/>
      <c r="X873" s="5311"/>
      <c r="Y873" s="5310" t="s">
        <v>512</v>
      </c>
      <c r="Z873" s="606"/>
      <c r="AA873" s="606"/>
      <c r="AB873" s="607"/>
      <c r="AC873" s="2409"/>
      <c r="AD873" s="2409"/>
      <c r="AE873" s="2409"/>
      <c r="AF873" s="2409"/>
      <c r="AG873" s="2409"/>
      <c r="AH873" s="2410"/>
      <c r="AI873" s="3543"/>
    </row>
    <row r="874" ht="16.5" customHeight="1">
      <c r="A874" s="3535"/>
      <c r="B874" s="2403"/>
      <c r="C874" s="2396"/>
      <c r="D874" s="5312"/>
      <c r="E874" s="5313" t="s">
        <v>513</v>
      </c>
      <c r="F874" s="5314">
        <f t="array" ref="F874">IFERROR(VLOOKUP(E861,Dex!$B$3:$N1361,8,FALSE),"")</f>
        <v>80</v>
      </c>
      <c r="G874" s="5315" t="str">
        <f t="array" ref="G874">IFERROR(VLOOKUP(F874,Dex!$P$22:$Q$276,2,FALSE),"")</f>
        <v/>
      </c>
      <c r="H874" s="5316"/>
      <c r="I874" s="5312"/>
      <c r="J874" s="5313" t="s">
        <v>513</v>
      </c>
      <c r="K874" s="5314">
        <f t="array" ref="K874">IFERROR(VLOOKUP(J861,Dex!$B$3:$N1361,8,FALSE),"")</f>
        <v>110</v>
      </c>
      <c r="L874" s="5315" t="str">
        <f t="array" ref="L874">IFERROR(VLOOKUP(K874,Dex!$P$22:$Q$276,2,FALSE),"")</f>
        <v/>
      </c>
      <c r="M874" s="5316"/>
      <c r="N874" s="5363"/>
      <c r="O874" s="5313" t="s">
        <v>513</v>
      </c>
      <c r="P874" s="5314">
        <f t="array" ref="P874">IFERROR(VLOOKUP(O861,Dex!$B$3:$N1361,8,FALSE),"")</f>
        <v>85</v>
      </c>
      <c r="Q874" s="5315" t="str">
        <f t="array" ref="Q874">IFERROR(VLOOKUP(P874,Dex!$P$22:$Q$276,2,FALSE),"")</f>
        <v/>
      </c>
      <c r="R874" s="5316"/>
      <c r="S874" s="5312"/>
      <c r="T874" s="5313" t="s">
        <v>513</v>
      </c>
      <c r="U874" s="5314">
        <f t="array" ref="U874">IFERROR(VLOOKUP(T861,Dex!$B$3:$N1361,8,FALSE),"")</f>
        <v>60</v>
      </c>
      <c r="V874" s="5315" t="str">
        <f t="array" ref="V874">IFERROR(VLOOKUP(U874,Dex!$P$22:$Q$276,2,FALSE),"")</f>
        <v/>
      </c>
      <c r="W874" s="5316"/>
      <c r="X874" s="5317"/>
      <c r="Y874" s="5313" t="s">
        <v>513</v>
      </c>
      <c r="Z874" s="5314">
        <f t="array" ref="Z874">IFERROR(VLOOKUP(Y861,Dex!$B$3:$N1361,8,FALSE),"")</f>
        <v>65</v>
      </c>
      <c r="AA874" s="5315" t="str">
        <f t="array" ref="AA874">IFERROR(VLOOKUP(Z874,Dex!$P$22:$Q$276,2,FALSE),"")</f>
        <v/>
      </c>
      <c r="AB874" s="5316"/>
      <c r="AC874" s="2409"/>
      <c r="AD874" s="2409"/>
      <c r="AE874" s="2409"/>
      <c r="AF874" s="2409"/>
      <c r="AG874" s="2409"/>
      <c r="AH874" s="2410"/>
      <c r="AI874" s="3543"/>
    </row>
    <row r="875" ht="16.5" customHeight="1">
      <c r="A875" s="3535"/>
      <c r="B875" s="2403"/>
      <c r="C875" s="2396"/>
      <c r="D875" s="5312"/>
      <c r="E875" s="5318" t="s">
        <v>514</v>
      </c>
      <c r="F875" s="5319">
        <f t="array" ref="F875">IFERROR(VLOOKUP(E861,Dex!$B$3:$N1361,9,FALSE),"")</f>
        <v>70</v>
      </c>
      <c r="G875" s="5320" t="str">
        <f t="array" ref="G875">IFERROR(VLOOKUP(F875,Dex!$P$22:$Q$276,2,FALSE),"")</f>
        <v/>
      </c>
      <c r="H875" s="5321"/>
      <c r="I875" s="5312"/>
      <c r="J875" s="5318" t="s">
        <v>514</v>
      </c>
      <c r="K875" s="5319">
        <f t="array" ref="K875">IFERROR(VLOOKUP(J861,Dex!$B$3:$N1361,9,FALSE),"")</f>
        <v>135</v>
      </c>
      <c r="L875" s="5320" t="str">
        <f t="array" ref="L875">IFERROR(VLOOKUP(K875,Dex!$P$22:$Q$276,2,FALSE),"")</f>
        <v/>
      </c>
      <c r="M875" s="5321"/>
      <c r="N875" s="5363"/>
      <c r="O875" s="5318" t="s">
        <v>514</v>
      </c>
      <c r="P875" s="5319">
        <f t="array" ref="P875">IFERROR(VLOOKUP(O861,Dex!$B$3:$N1361,9,FALSE),"")</f>
        <v>135</v>
      </c>
      <c r="Q875" s="5320" t="str">
        <f t="array" ref="Q875">IFERROR(VLOOKUP(P875,Dex!$P$22:$Q$276,2,FALSE),"")</f>
        <v/>
      </c>
      <c r="R875" s="5321"/>
      <c r="S875" s="5312"/>
      <c r="T875" s="5318" t="s">
        <v>514</v>
      </c>
      <c r="U875" s="5319">
        <f t="array" ref="U875">IFERROR(VLOOKUP(T861,Dex!$B$3:$N1361,9,FALSE),"")</f>
        <v>70</v>
      </c>
      <c r="V875" s="5320" t="str">
        <f t="array" ref="V875">IFERROR(VLOOKUP(U875,Dex!$P$22:$Q$276,2,FALSE),"")</f>
        <v/>
      </c>
      <c r="W875" s="5321"/>
      <c r="X875" s="5317"/>
      <c r="Y875" s="5318" t="s">
        <v>514</v>
      </c>
      <c r="Z875" s="5319">
        <f t="array" ref="Z875">IFERROR(VLOOKUP(Y861,Dex!$B$3:$N1361,9,FALSE),"")</f>
        <v>136</v>
      </c>
      <c r="AA875" s="5320" t="str">
        <f t="array" ref="AA875">IFERROR(VLOOKUP(Z875,Dex!$P$22:$Q$276,2,FALSE),"")</f>
        <v/>
      </c>
      <c r="AB875" s="5321"/>
      <c r="AC875" s="2409"/>
      <c r="AD875" s="2409"/>
      <c r="AE875" s="2409"/>
      <c r="AF875" s="2409"/>
      <c r="AG875" s="2409"/>
      <c r="AH875" s="2410"/>
      <c r="AI875" s="3543"/>
    </row>
    <row r="876" ht="16.5" customHeight="1">
      <c r="A876" s="3535"/>
      <c r="B876" s="2403"/>
      <c r="C876" s="2396"/>
      <c r="D876" s="5312"/>
      <c r="E876" s="5318" t="s">
        <v>515</v>
      </c>
      <c r="F876" s="5319">
        <f t="array" ref="F876">IFERROR(VLOOKUP(E861,Dex!$B$3:$N1361,10,FALSE),"")</f>
        <v>40</v>
      </c>
      <c r="G876" s="5320" t="str">
        <f t="array" ref="G876">IFERROR(VLOOKUP(F876,Dex!$P$22:$Q$276,2,FALSE),"")</f>
        <v/>
      </c>
      <c r="H876" s="5321"/>
      <c r="I876" s="5312"/>
      <c r="J876" s="5318" t="s">
        <v>515</v>
      </c>
      <c r="K876" s="5319">
        <f t="array" ref="K876">IFERROR(VLOOKUP(J861,Dex!$B$3:$N1361,10,FALSE),"")</f>
        <v>60</v>
      </c>
      <c r="L876" s="5320" t="str">
        <f t="array" ref="L876">IFERROR(VLOOKUP(K876,Dex!$P$22:$Q$276,2,FALSE),"")</f>
        <v/>
      </c>
      <c r="M876" s="5321"/>
      <c r="N876" s="5363"/>
      <c r="O876" s="5318" t="s">
        <v>515</v>
      </c>
      <c r="P876" s="5319">
        <f t="array" ref="P876">IFERROR(VLOOKUP(O861,Dex!$B$3:$N1361,10,FALSE),"")</f>
        <v>130</v>
      </c>
      <c r="Q876" s="5320" t="str">
        <f t="array" ref="Q876">IFERROR(VLOOKUP(P876,Dex!$P$22:$Q$276,2,FALSE),"")</f>
        <v/>
      </c>
      <c r="R876" s="5321"/>
      <c r="S876" s="5312"/>
      <c r="T876" s="5318" t="s">
        <v>515</v>
      </c>
      <c r="U876" s="5319">
        <f t="array" ref="U876">IFERROR(VLOOKUP(T861,Dex!$B$3:$N1361,10,FALSE),"")</f>
        <v>65</v>
      </c>
      <c r="V876" s="5320" t="str">
        <f t="array" ref="V876">IFERROR(VLOOKUP(U876,Dex!$P$22:$Q$276,2,FALSE),"")</f>
        <v/>
      </c>
      <c r="W876" s="5321"/>
      <c r="X876" s="5317"/>
      <c r="Y876" s="5318" t="s">
        <v>515</v>
      </c>
      <c r="Z876" s="5319">
        <f t="array" ref="Z876">IFERROR(VLOOKUP(Y861,Dex!$B$3:$N1361,10,FALSE),"")</f>
        <v>94</v>
      </c>
      <c r="AA876" s="5320" t="str">
        <f t="array" ref="AA876">IFERROR(VLOOKUP(Z876,Dex!$P$22:$Q$276,2,FALSE),"")</f>
        <v/>
      </c>
      <c r="AB876" s="5321"/>
      <c r="AC876" s="2409"/>
      <c r="AD876" s="2409"/>
      <c r="AE876" s="2409"/>
      <c r="AF876" s="2409"/>
      <c r="AG876" s="2409"/>
      <c r="AH876" s="2410"/>
      <c r="AI876" s="3543"/>
    </row>
    <row r="877" ht="16.5" customHeight="1">
      <c r="A877" s="3535"/>
      <c r="B877" s="2403"/>
      <c r="C877" s="2396"/>
      <c r="D877" s="5312"/>
      <c r="E877" s="5318" t="s">
        <v>516</v>
      </c>
      <c r="F877" s="5319">
        <f t="array" ref="F877">IFERROR(VLOOKUP(E861,Dex!$B$3:$N1361,11,FALSE),"")</f>
        <v>100</v>
      </c>
      <c r="G877" s="5320" t="str">
        <f t="array" ref="G877">IFERROR(VLOOKUP(F877,Dex!$P$22:$Q$276,2,FALSE),"")</f>
        <v/>
      </c>
      <c r="H877" s="5321"/>
      <c r="I877" s="5312"/>
      <c r="J877" s="5318" t="s">
        <v>516</v>
      </c>
      <c r="K877" s="5319">
        <f t="array" ref="K877">IFERROR(VLOOKUP(J861,Dex!$B$3:$N1361,11,FALSE),"")</f>
        <v>50</v>
      </c>
      <c r="L877" s="5320" t="str">
        <f t="array" ref="L877">IFERROR(VLOOKUP(K877,Dex!$P$22:$Q$276,2,FALSE),"")</f>
        <v/>
      </c>
      <c r="M877" s="5321"/>
      <c r="N877" s="5363"/>
      <c r="O877" s="5318" t="s">
        <v>516</v>
      </c>
      <c r="P877" s="5319">
        <f t="array" ref="P877">IFERROR(VLOOKUP(O861,Dex!$B$3:$N1361,11,FALSE),"")</f>
        <v>60</v>
      </c>
      <c r="Q877" s="5320" t="str">
        <f t="array" ref="Q877">IFERROR(VLOOKUP(P877,Dex!$P$22:$Q$276,2,FALSE),"")</f>
        <v/>
      </c>
      <c r="R877" s="5321"/>
      <c r="S877" s="5312"/>
      <c r="T877" s="5318" t="s">
        <v>516</v>
      </c>
      <c r="U877" s="5319">
        <f t="array" ref="U877">IFERROR(VLOOKUP(T861,Dex!$B$3:$N1361,11,FALSE),"")</f>
        <v>125</v>
      </c>
      <c r="V877" s="5320" t="str">
        <f t="array" ref="V877">IFERROR(VLOOKUP(U877,Dex!$P$22:$Q$276,2,FALSE),"")</f>
        <v/>
      </c>
      <c r="W877" s="5321"/>
      <c r="X877" s="5317"/>
      <c r="Y877" s="5318" t="s">
        <v>516</v>
      </c>
      <c r="Z877" s="5319">
        <f t="array" ref="Z877">IFERROR(VLOOKUP(Y861,Dex!$B$3:$N1361,11,FALSE),"")</f>
        <v>54</v>
      </c>
      <c r="AA877" s="5320" t="str">
        <f t="array" ref="AA877">IFERROR(VLOOKUP(Z877,Dex!$P$22:$Q$276,2,FALSE),"")</f>
        <v/>
      </c>
      <c r="AB877" s="5321"/>
      <c r="AC877" s="2409"/>
      <c r="AD877" s="2409"/>
      <c r="AE877" s="2409"/>
      <c r="AF877" s="2409"/>
      <c r="AG877" s="2409"/>
      <c r="AH877" s="2410"/>
      <c r="AI877" s="3543"/>
    </row>
    <row r="878" ht="16.5" customHeight="1">
      <c r="A878" s="3535"/>
      <c r="B878" s="2403"/>
      <c r="C878" s="2396"/>
      <c r="D878" s="5312"/>
      <c r="E878" s="5318" t="s">
        <v>517</v>
      </c>
      <c r="F878" s="5319">
        <f t="array" ref="F878">IFERROR(VLOOKUP(E861,Dex!$B$3:$N1361,12,FALSE),"")</f>
        <v>60</v>
      </c>
      <c r="G878" s="5320" t="str">
        <f t="array" ref="G878">IFERROR(VLOOKUP(F878,Dex!$P$22:$Q$276,2,FALSE),"")</f>
        <v/>
      </c>
      <c r="H878" s="5321"/>
      <c r="I878" s="5312"/>
      <c r="J878" s="5318" t="s">
        <v>517</v>
      </c>
      <c r="K878" s="5319">
        <f t="array" ref="K878">IFERROR(VLOOKUP(J861,Dex!$B$3:$N1361,12,FALSE),"")</f>
        <v>65</v>
      </c>
      <c r="L878" s="5320" t="str">
        <f t="array" ref="L878">IFERROR(VLOOKUP(K878,Dex!$P$22:$Q$276,2,FALSE),"")</f>
        <v/>
      </c>
      <c r="M878" s="5321"/>
      <c r="N878" s="5363"/>
      <c r="O878" s="5318" t="s">
        <v>517</v>
      </c>
      <c r="P878" s="5319">
        <f t="array" ref="P878">IFERROR(VLOOKUP(O861,Dex!$B$3:$N1361,12,FALSE),"")</f>
        <v>80</v>
      </c>
      <c r="Q878" s="5320" t="str">
        <f t="array" ref="Q878">IFERROR(VLOOKUP(P878,Dex!$P$22:$Q$276,2,FALSE),"")</f>
        <v/>
      </c>
      <c r="R878" s="5321"/>
      <c r="S878" s="5312"/>
      <c r="T878" s="5318" t="s">
        <v>517</v>
      </c>
      <c r="U878" s="5319">
        <f t="array" ref="U878">IFERROR(VLOOKUP(T861,Dex!$B$3:$N1361,12,FALSE),"")</f>
        <v>105</v>
      </c>
      <c r="V878" s="5320" t="str">
        <f t="array" ref="V878">IFERROR(VLOOKUP(U878,Dex!$P$22:$Q$276,2,FALSE),"")</f>
        <v/>
      </c>
      <c r="W878" s="5321"/>
      <c r="X878" s="5317"/>
      <c r="Y878" s="5318" t="s">
        <v>517</v>
      </c>
      <c r="Z878" s="5319">
        <f t="array" ref="Z878">IFERROR(VLOOKUP(Y861,Dex!$B$3:$N1361,12,FALSE),"")</f>
        <v>96</v>
      </c>
      <c r="AA878" s="5320" t="str">
        <f t="array" ref="AA878">IFERROR(VLOOKUP(Z878,Dex!$P$22:$Q$276,2,FALSE),"")</f>
        <v/>
      </c>
      <c r="AB878" s="5321"/>
      <c r="AC878" s="2409"/>
      <c r="AD878" s="2409"/>
      <c r="AE878" s="2409"/>
      <c r="AF878" s="2409"/>
      <c r="AG878" s="2409"/>
      <c r="AH878" s="2410"/>
      <c r="AI878" s="3543"/>
    </row>
    <row r="879" ht="16.5" customHeight="1">
      <c r="A879" s="3535"/>
      <c r="B879" s="2403"/>
      <c r="C879" s="1426" t="s">
        <v>745</v>
      </c>
      <c r="D879" s="5312"/>
      <c r="E879" s="5322" t="s">
        <v>518</v>
      </c>
      <c r="F879" s="5323">
        <f t="array" ref="F879">IFERROR(VLOOKUP(E861,Dex!$B$3:$N1361,13,FALSE),"")</f>
        <v>145</v>
      </c>
      <c r="G879" s="5320" t="str">
        <f t="array" ref="G879">IFERROR(VLOOKUP(F879,Dex!$P$22:$Q$276,2,FALSE),"")</f>
        <v/>
      </c>
      <c r="H879" s="5321"/>
      <c r="I879" s="5312"/>
      <c r="J879" s="5322" t="s">
        <v>518</v>
      </c>
      <c r="K879" s="5323">
        <f t="array" ref="K879">IFERROR(VLOOKUP(J861,Dex!$B$3:$N1361,13,FALSE),"")</f>
        <v>88</v>
      </c>
      <c r="L879" s="5320" t="str">
        <f t="array" ref="L879">IFERROR(VLOOKUP(K879,Dex!$P$22:$Q$276,2,FALSE),"")</f>
        <v/>
      </c>
      <c r="M879" s="5321"/>
      <c r="N879" s="5363"/>
      <c r="O879" s="5322" t="s">
        <v>518</v>
      </c>
      <c r="P879" s="5323">
        <f t="array" ref="P879">IFERROR(VLOOKUP(O861,Dex!$B$3:$N1361,13,FALSE),"")</f>
        <v>25</v>
      </c>
      <c r="Q879" s="5320" t="str">
        <f t="array" ref="Q879">IFERROR(VLOOKUP(P879,Dex!$P$22:$Q$276,2,FALSE),"")</f>
        <v/>
      </c>
      <c r="R879" s="5321"/>
      <c r="S879" s="5312"/>
      <c r="T879" s="5322" t="s">
        <v>518</v>
      </c>
      <c r="U879" s="5323">
        <f t="array" ref="U879">IFERROR(VLOOKUP(T861,Dex!$B$3:$N1361,13,FALSE),"")</f>
        <v>90</v>
      </c>
      <c r="V879" s="5320" t="str">
        <f t="array" ref="V879">IFERROR(VLOOKUP(U879,Dex!$P$22:$Q$276,2,FALSE),"")</f>
        <v/>
      </c>
      <c r="W879" s="5321"/>
      <c r="X879" s="5317"/>
      <c r="Y879" s="5322" t="s">
        <v>518</v>
      </c>
      <c r="Z879" s="5323">
        <f t="array" ref="Z879">IFERROR(VLOOKUP(Y861,Dex!$B$3:$N1361,13,FALSE),"")</f>
        <v>135</v>
      </c>
      <c r="AA879" s="5320" t="str">
        <f t="array" ref="AA879">IFERROR(VLOOKUP(Z879,Dex!$P$22:$Q$276,2,FALSE),"")</f>
        <v/>
      </c>
      <c r="AB879" s="5321"/>
      <c r="AC879" s="2409"/>
      <c r="AD879" s="2409"/>
      <c r="AE879" s="2409"/>
      <c r="AF879" s="2409"/>
      <c r="AG879" s="2409"/>
      <c r="AH879" s="2410"/>
      <c r="AI879" s="3543"/>
    </row>
    <row r="880" ht="16.5" customHeight="1">
      <c r="A880" s="3535"/>
      <c r="B880" s="2403"/>
      <c r="C880" s="1427" t="s">
        <v>746</v>
      </c>
      <c r="D880" s="5309"/>
      <c r="E880" s="5324" t="s">
        <v>519</v>
      </c>
      <c r="F880" s="630"/>
      <c r="G880" s="631"/>
      <c r="H880" s="632">
        <f>ROUNDDOWN((ROUNDDOWN(((((2*F879+31)*65)/100+5)),0))*1.1,0)</f>
        <v>234</v>
      </c>
      <c r="I880" s="5309"/>
      <c r="J880" s="5325" t="s">
        <v>519</v>
      </c>
      <c r="K880" s="635"/>
      <c r="L880" s="636"/>
      <c r="M880" s="632">
        <f>ROUNDDOWN((ROUNDDOWN(((((2*K879+31)*66)/100+5)),0))*1,0)</f>
        <v>141</v>
      </c>
      <c r="N880" s="5309"/>
      <c r="O880" s="5324" t="s">
        <v>519</v>
      </c>
      <c r="P880" s="630"/>
      <c r="Q880" s="631"/>
      <c r="R880" s="632">
        <f>ROUNDDOWN((ROUNDDOWN(((((2*P879+31)*66)/100+5)),0))*1,0)</f>
        <v>58</v>
      </c>
      <c r="S880" s="5309"/>
      <c r="T880" s="5324" t="s">
        <v>519</v>
      </c>
      <c r="U880" s="630"/>
      <c r="V880" s="631"/>
      <c r="W880" s="632">
        <f>ROUNDDOWN((ROUNDDOWN(((((2*U879+30)*66)/100+5)),0))*1.1,0)</f>
        <v>157</v>
      </c>
      <c r="X880" s="5311"/>
      <c r="Y880" s="5324" t="s">
        <v>519</v>
      </c>
      <c r="Z880" s="630"/>
      <c r="AA880" s="631"/>
      <c r="AB880" s="632">
        <f>ROUNDDOWN((ROUNDDOWN(((((2*Z879+31)*66)/100+5)),0))*1.1,0)</f>
        <v>223</v>
      </c>
      <c r="AC880" s="2409"/>
      <c r="AD880" s="2409"/>
      <c r="AE880" s="2409"/>
      <c r="AF880" s="2409"/>
      <c r="AG880" s="2409"/>
      <c r="AH880" s="2410"/>
      <c r="AI880" s="3543"/>
    </row>
    <row r="881" ht="16.5" customHeight="1">
      <c r="A881" s="3535"/>
      <c r="B881" s="2403"/>
      <c r="C881" s="2396"/>
      <c r="D881" s="5326"/>
      <c r="E881" s="5328"/>
      <c r="F881" s="5328"/>
      <c r="G881" s="5328"/>
      <c r="H881" s="2396"/>
      <c r="I881" s="5326"/>
      <c r="J881" s="5327" t="s">
        <v>520</v>
      </c>
      <c r="K881" s="643"/>
      <c r="L881" s="644"/>
      <c r="M881" s="3064">
        <f>M880*2</f>
        <v>282</v>
      </c>
      <c r="N881" s="5326"/>
      <c r="O881" s="5328"/>
      <c r="P881" s="5328"/>
      <c r="Q881" s="5328"/>
      <c r="R881" s="2396"/>
      <c r="S881" s="5326"/>
      <c r="T881" s="5328"/>
      <c r="U881" s="5328"/>
      <c r="V881" s="5328"/>
      <c r="W881" s="2396"/>
      <c r="X881" s="2565"/>
      <c r="Y881" s="5328"/>
      <c r="Z881" s="5328"/>
      <c r="AA881" s="5328"/>
      <c r="AB881" s="2396"/>
      <c r="AC881" s="2409"/>
      <c r="AD881" s="2409"/>
      <c r="AE881" s="2409"/>
      <c r="AF881" s="2409"/>
      <c r="AG881" s="2409"/>
      <c r="AH881" s="2410"/>
      <c r="AI881" s="3543"/>
    </row>
    <row r="882" ht="15.0" customHeight="1">
      <c r="A882" s="3446"/>
      <c r="B882" s="2440"/>
      <c r="C882" s="2441"/>
      <c r="D882" s="5331"/>
      <c r="E882" s="5332"/>
      <c r="F882" s="5332"/>
      <c r="G882" s="5332"/>
      <c r="H882" s="5332"/>
      <c r="I882" s="5331"/>
      <c r="J882" s="5332"/>
      <c r="K882" s="5332"/>
      <c r="L882" s="5332"/>
      <c r="M882" s="5332"/>
      <c r="N882" s="5331"/>
      <c r="O882" s="5332"/>
      <c r="P882" s="5332"/>
      <c r="Q882" s="5332"/>
      <c r="R882" s="5332"/>
      <c r="S882" s="5331"/>
      <c r="T882" s="5332"/>
      <c r="U882" s="5332"/>
      <c r="V882" s="5332"/>
      <c r="W882" s="5332"/>
      <c r="X882" s="2442"/>
      <c r="Y882" s="5332"/>
      <c r="Z882" s="5332"/>
      <c r="AA882" s="5332"/>
      <c r="AB882" s="5332"/>
      <c r="AC882" s="2442"/>
      <c r="AD882" s="2442"/>
      <c r="AE882" s="2442"/>
      <c r="AF882" s="2442"/>
      <c r="AG882" s="2442"/>
      <c r="AH882" s="2445"/>
      <c r="AI882" s="3452"/>
    </row>
    <row r="883" ht="15.0" customHeight="1">
      <c r="A883" s="3446"/>
      <c r="B883" s="5288"/>
      <c r="C883" s="5289"/>
      <c r="D883" s="5289"/>
      <c r="E883" s="5289"/>
      <c r="F883" s="5289"/>
      <c r="G883" s="5289"/>
      <c r="H883" s="5289"/>
      <c r="I883" s="5289"/>
      <c r="J883" s="5289"/>
      <c r="K883" s="5289"/>
      <c r="L883" s="5289"/>
      <c r="M883" s="5289"/>
      <c r="N883" s="5289"/>
      <c r="O883" s="5289"/>
      <c r="P883" s="5289"/>
      <c r="Q883" s="5289"/>
      <c r="R883" s="5289"/>
      <c r="S883" s="5289"/>
      <c r="T883" s="5289"/>
      <c r="U883" s="5289"/>
      <c r="V883" s="5289"/>
      <c r="W883" s="5289"/>
      <c r="X883" s="5289"/>
      <c r="Y883" s="5289"/>
      <c r="Z883" s="5289"/>
      <c r="AA883" s="5289"/>
      <c r="AB883" s="5289"/>
      <c r="AC883" s="5289"/>
      <c r="AD883" s="5289"/>
      <c r="AE883" s="5289"/>
      <c r="AF883" s="5289"/>
      <c r="AG883" s="5289"/>
      <c r="AH883" s="5290"/>
      <c r="AI883" s="3452"/>
    </row>
    <row r="884">
      <c r="A884" s="3446"/>
      <c r="B884" s="2327"/>
      <c r="C884" s="5291"/>
      <c r="D884" s="2346"/>
      <c r="E884" s="5292" t="s">
        <v>1623</v>
      </c>
      <c r="F884" s="2383"/>
      <c r="G884" s="2383"/>
      <c r="H884" s="2383"/>
      <c r="I884" s="2383"/>
      <c r="J884" s="2383"/>
      <c r="K884" s="2383"/>
      <c r="L884" s="2383"/>
      <c r="M884" s="2383"/>
      <c r="N884" s="2383"/>
      <c r="O884" s="2383"/>
      <c r="P884" s="2383"/>
      <c r="Q884" s="2383"/>
      <c r="R884" s="2383"/>
      <c r="S884" s="2383"/>
      <c r="T884" s="2383"/>
      <c r="U884" s="2383"/>
      <c r="V884" s="2383"/>
      <c r="W884" s="2383"/>
      <c r="X884" s="2383"/>
      <c r="Y884" s="2383"/>
      <c r="Z884" s="2383"/>
      <c r="AA884" s="2383"/>
      <c r="AB884" s="2383"/>
      <c r="AC884" s="2383"/>
      <c r="AD884" s="2383"/>
      <c r="AE884" s="2383"/>
      <c r="AF884" s="2383"/>
      <c r="AG884" s="5293"/>
      <c r="AH884" s="5294"/>
      <c r="AI884" s="3452"/>
    </row>
    <row r="885" ht="96.75" customHeight="1">
      <c r="A885" s="3446"/>
      <c r="B885" s="2358"/>
      <c r="C885" s="5295" t="str">
        <f>IMAGE("https://i.ibb.co/Wv3HtLh/CueBall.png")</f>
        <v/>
      </c>
      <c r="D885" s="2343"/>
      <c r="E885" s="5296" t="str">
        <f t="array" ref="E885">IFERROR(VLOOKUP(E886,Dex!$B$3:$G1361,3,FALSE),"")</f>
        <v/>
      </c>
      <c r="F885" s="1945"/>
      <c r="G885" s="1945"/>
      <c r="H885" s="1946"/>
      <c r="I885" s="2343"/>
      <c r="J885" s="5296" t="str">
        <f t="array" ref="J885">IFERROR(VLOOKUP(J886,Dex!$B$3:$G1361,3,FALSE),"")</f>
        <v/>
      </c>
      <c r="K885" s="1945"/>
      <c r="L885" s="1945"/>
      <c r="M885" s="1946"/>
      <c r="N885" s="2343"/>
      <c r="O885" s="5296" t="str">
        <f t="array" ref="O885">IFERROR(VLOOKUP(O886,Dex!$B$3:$G1361,3,FALSE),"")</f>
        <v/>
      </c>
      <c r="P885" s="1945"/>
      <c r="Q885" s="1945"/>
      <c r="R885" s="1946"/>
      <c r="S885" s="2343"/>
      <c r="T885" s="5296" t="str">
        <f t="array" ref="T885">IFERROR(VLOOKUP(T886,Dex!$B$3:$G1361,3,FALSE),"")</f>
        <v/>
      </c>
      <c r="U885" s="1945"/>
      <c r="V885" s="1945"/>
      <c r="W885" s="1946"/>
      <c r="X885" s="2344"/>
      <c r="Y885" s="5296" t="str">
        <f t="array" ref="Y885">IFERROR(VLOOKUP(Y886,Dex!$B$3:$G1361,3,FALSE),"")</f>
        <v/>
      </c>
      <c r="Z885" s="1945"/>
      <c r="AA885" s="1945"/>
      <c r="AB885" s="1946"/>
      <c r="AC885" s="2345"/>
      <c r="AD885" s="2329"/>
      <c r="AE885" s="2332"/>
      <c r="AF885" s="2332"/>
      <c r="AG885" s="420"/>
      <c r="AH885" s="2334"/>
      <c r="AI885" s="3452"/>
    </row>
    <row r="886" ht="18.75" customHeight="1">
      <c r="A886" s="3689"/>
      <c r="B886" s="2419"/>
      <c r="C886" s="5297" t="s">
        <v>1624</v>
      </c>
      <c r="E886" s="2351" t="s">
        <v>1625</v>
      </c>
      <c r="F886" s="2352"/>
      <c r="G886" s="2352"/>
      <c r="H886" s="2353"/>
      <c r="J886" s="2351" t="s">
        <v>1181</v>
      </c>
      <c r="K886" s="2352"/>
      <c r="L886" s="2352"/>
      <c r="M886" s="2353"/>
      <c r="O886" s="2351" t="s">
        <v>840</v>
      </c>
      <c r="P886" s="2352"/>
      <c r="Q886" s="2352"/>
      <c r="R886" s="2353"/>
      <c r="T886" s="2351" t="s">
        <v>1108</v>
      </c>
      <c r="U886" s="2352"/>
      <c r="V886" s="2352"/>
      <c r="W886" s="2353"/>
      <c r="Y886" s="2351" t="s">
        <v>1626</v>
      </c>
      <c r="Z886" s="2352"/>
      <c r="AA886" s="2352"/>
      <c r="AB886" s="2353"/>
      <c r="AC886" s="302"/>
      <c r="AD886" s="2354"/>
      <c r="AE886" s="2332"/>
      <c r="AF886" s="2332"/>
      <c r="AG886" s="420"/>
      <c r="AH886" s="2356"/>
      <c r="AI886" s="3700"/>
    </row>
    <row r="887">
      <c r="A887" s="3701"/>
      <c r="B887" s="5298"/>
      <c r="C887" s="1638"/>
      <c r="E887" s="2360" t="s">
        <v>797</v>
      </c>
      <c r="F887" s="2361"/>
      <c r="G887" s="2361"/>
      <c r="H887" s="2362"/>
      <c r="J887" s="2360" t="s">
        <v>796</v>
      </c>
      <c r="K887" s="2361"/>
      <c r="L887" s="2361"/>
      <c r="M887" s="2362"/>
      <c r="O887" s="2360" t="s">
        <v>796</v>
      </c>
      <c r="P887" s="2361"/>
      <c r="Q887" s="2361"/>
      <c r="R887" s="2362"/>
      <c r="T887" s="2360" t="s">
        <v>796</v>
      </c>
      <c r="U887" s="2361"/>
      <c r="V887" s="2361"/>
      <c r="W887" s="2362"/>
      <c r="Y887" s="2360" t="s">
        <v>796</v>
      </c>
      <c r="Z887" s="2361"/>
      <c r="AA887" s="2361"/>
      <c r="AB887" s="2362"/>
      <c r="AC887" s="302"/>
      <c r="AD887" s="2758"/>
      <c r="AE887" s="2332"/>
      <c r="AF887" s="2332"/>
      <c r="AG887" s="420"/>
      <c r="AH887" s="5299"/>
      <c r="AI887" s="3709"/>
    </row>
    <row r="888" ht="25.5" customHeight="1">
      <c r="A888" s="3446"/>
      <c r="B888" s="2358"/>
      <c r="C888" s="1646"/>
      <c r="E888" s="2365"/>
      <c r="F888" s="2369" t="str">
        <f t="array" ref="F888">IFERROR(VLOOKUP(E886,Dex!$B$3:$H1361,5,FALSE),"")</f>
        <v/>
      </c>
      <c r="G888" s="2370" t="str">
        <f t="array" ref="G888">IFERROR(VLOOKUP(E886,Dex!$B$3:$H1361,7,FALSE),"")</f>
        <v/>
      </c>
      <c r="H888" s="2368"/>
      <c r="J888" s="2365"/>
      <c r="K888" s="2369" t="str">
        <f t="array" ref="K888">IFERROR(VLOOKUP(J886,Dex!$B$3:$H1361,5,FALSE),"")</f>
        <v/>
      </c>
      <c r="L888" s="2370" t="str">
        <f t="array" ref="L888">IFERROR(VLOOKUP(J886,Dex!$B$3:$H1361,7,FALSE),"")</f>
        <v/>
      </c>
      <c r="M888" s="2368"/>
      <c r="O888" s="2365"/>
      <c r="P888" s="2369" t="str">
        <f t="array" ref="P888">IFERROR(VLOOKUP(O886,Dex!$B$3:$H1361,5,FALSE),"")</f>
        <v/>
      </c>
      <c r="Q888" s="2370" t="str">
        <f t="array" ref="Q888">IFERROR(VLOOKUP(O886,Dex!$B$3:$H1361,7,FALSE),"")</f>
        <v/>
      </c>
      <c r="R888" s="2368"/>
      <c r="T888" s="2365"/>
      <c r="U888" s="2369" t="str">
        <f t="array" ref="U888">IFERROR(VLOOKUP(T886,Dex!$B$3:$H1361,5,FALSE),"")</f>
        <v/>
      </c>
      <c r="V888" s="2370" t="str">
        <f t="array" ref="V888">IFERROR(VLOOKUP(T886,Dex!$B$3:$H1361,7,FALSE),"")</f>
        <v/>
      </c>
      <c r="W888" s="2368"/>
      <c r="Y888" s="2365"/>
      <c r="Z888" s="2369" t="str">
        <f t="array" ref="Z888">IFERROR(VLOOKUP(Y886,Dex!$B$3:$H1361,5,FALSE),"")</f>
        <v/>
      </c>
      <c r="AA888" s="2370" t="str">
        <f t="array" ref="AA888">IFERROR(VLOOKUP(Y886,Dex!$B$3:$H1361,7,FALSE),"")</f>
        <v/>
      </c>
      <c r="AB888" s="2368"/>
      <c r="AC888" s="302"/>
      <c r="AD888" s="2329"/>
      <c r="AE888" s="2332"/>
      <c r="AF888" s="2332"/>
      <c r="AG888" s="420"/>
      <c r="AH888" s="2334"/>
      <c r="AI888" s="3452"/>
    </row>
    <row r="889" ht="2.25" customHeight="1">
      <c r="A889" s="3446"/>
      <c r="B889" s="2358"/>
      <c r="C889" s="5047"/>
      <c r="E889" s="2371"/>
      <c r="F889" s="2372"/>
      <c r="G889" s="2372"/>
      <c r="H889" s="2373"/>
      <c r="J889" s="2371"/>
      <c r="K889" s="2372"/>
      <c r="L889" s="2372"/>
      <c r="M889" s="2373"/>
      <c r="O889" s="2371"/>
      <c r="P889" s="2372"/>
      <c r="Q889" s="2372"/>
      <c r="R889" s="2373"/>
      <c r="T889" s="2371"/>
      <c r="U889" s="2372"/>
      <c r="V889" s="2372"/>
      <c r="W889" s="2373"/>
      <c r="Y889" s="2371"/>
      <c r="Z889" s="2372"/>
      <c r="AA889" s="2372"/>
      <c r="AB889" s="2373"/>
      <c r="AC889" s="302"/>
      <c r="AD889" s="2374"/>
      <c r="AE889" s="2374"/>
      <c r="AF889" s="2374"/>
      <c r="AG889" s="2374"/>
      <c r="AH889" s="2334"/>
      <c r="AI889" s="3452"/>
    </row>
    <row r="890" ht="20.25" customHeight="1">
      <c r="A890" s="3446"/>
      <c r="B890" s="2327"/>
      <c r="C890" s="5300"/>
      <c r="E890" s="2376" t="s">
        <v>529</v>
      </c>
      <c r="F890" s="2377"/>
      <c r="G890" s="2377"/>
      <c r="H890" s="2378"/>
      <c r="J890" s="2376" t="s">
        <v>532</v>
      </c>
      <c r="K890" s="2377"/>
      <c r="L890" s="2377"/>
      <c r="M890" s="2378"/>
      <c r="O890" s="2376" t="s">
        <v>566</v>
      </c>
      <c r="P890" s="2377"/>
      <c r="Q890" s="2377"/>
      <c r="R890" s="2378"/>
      <c r="T890" s="2376" t="s">
        <v>532</v>
      </c>
      <c r="U890" s="2377"/>
      <c r="V890" s="2377"/>
      <c r="W890" s="2378"/>
      <c r="Y890" s="2376" t="s">
        <v>532</v>
      </c>
      <c r="Z890" s="2377"/>
      <c r="AA890" s="2377"/>
      <c r="AB890" s="2378"/>
      <c r="AC890" s="302"/>
      <c r="AD890" s="2329"/>
      <c r="AE890" s="2332"/>
      <c r="AF890" s="2332"/>
      <c r="AG890" s="420"/>
      <c r="AH890" s="2334"/>
      <c r="AI890" s="3452"/>
    </row>
    <row r="891">
      <c r="A891" s="3446"/>
      <c r="B891" s="2327"/>
      <c r="C891" s="2328"/>
      <c r="E891" s="2380" t="s">
        <v>1627</v>
      </c>
      <c r="F891" s="2332"/>
      <c r="G891" s="2332"/>
      <c r="H891" s="2381"/>
      <c r="J891" s="2380" t="s">
        <v>1132</v>
      </c>
      <c r="K891" s="2332"/>
      <c r="L891" s="2332"/>
      <c r="M891" s="2381"/>
      <c r="O891" s="2380" t="s">
        <v>1628</v>
      </c>
      <c r="P891" s="2332"/>
      <c r="Q891" s="2332"/>
      <c r="R891" s="2381"/>
      <c r="T891" s="2380" t="s">
        <v>1601</v>
      </c>
      <c r="U891" s="2332"/>
      <c r="V891" s="2332"/>
      <c r="W891" s="2381"/>
      <c r="Y891" s="2380" t="s">
        <v>483</v>
      </c>
      <c r="Z891" s="2332"/>
      <c r="AA891" s="2332"/>
      <c r="AB891" s="2381"/>
      <c r="AC891" s="302"/>
      <c r="AD891" s="2329"/>
      <c r="AE891" s="2332"/>
      <c r="AF891" s="2332"/>
      <c r="AG891" s="420"/>
      <c r="AH891" s="2334"/>
      <c r="AI891" s="3452"/>
    </row>
    <row r="892" ht="20.25" customHeight="1">
      <c r="A892" s="3446"/>
      <c r="B892" s="2327"/>
      <c r="C892" s="2328"/>
      <c r="E892" s="2382" t="s">
        <v>1580</v>
      </c>
      <c r="F892" s="2383"/>
      <c r="G892" s="5293"/>
      <c r="H892" s="5301" t="str">
        <f>IMAGE("https://raw.githubusercontent.com/msikma/pokesprite/master/items/berry/rindo.png",3)</f>
        <v/>
      </c>
      <c r="J892" s="2382" t="s">
        <v>1616</v>
      </c>
      <c r="K892" s="2383"/>
      <c r="L892" s="5293"/>
      <c r="M892" s="5301" t="str">
        <f>IMAGE("https://raw.githubusercontent.com/msikma/pokesprite/master/items/gem/rock.png",3)</f>
        <v/>
      </c>
      <c r="O892" s="2382" t="s">
        <v>842</v>
      </c>
      <c r="P892" s="2383"/>
      <c r="Q892" s="5293"/>
      <c r="R892" s="5301" t="str">
        <f>IMAGE("https://raw.githubusercontent.com/msikma/pokesprite/master/items/mega-stone/scizorite.png",3)</f>
        <v/>
      </c>
      <c r="T892" s="2382" t="s">
        <v>573</v>
      </c>
      <c r="U892" s="2383"/>
      <c r="V892" s="5293"/>
      <c r="W892" s="5301" t="str">
        <f>IMAGE("https://raw.githubusercontent.com/msikma/pokesprite/master/items/hold-item/focus-sash.png",3)</f>
        <v/>
      </c>
      <c r="Y892" s="2382" t="s">
        <v>541</v>
      </c>
      <c r="Z892" s="2383"/>
      <c r="AA892" s="5293"/>
      <c r="AB892" s="5301" t="str">
        <f>IMAGE("https://raw.githubusercontent.com/msikma/pokesprite/master/items/hold-item/life-orb.png",3)</f>
        <v/>
      </c>
      <c r="AC892" s="302"/>
      <c r="AD892" s="2329"/>
      <c r="AE892" s="2332"/>
      <c r="AF892" s="2332"/>
      <c r="AG892" s="420"/>
      <c r="AH892" s="2334"/>
      <c r="AI892" s="3452"/>
    </row>
    <row r="893" ht="20.25" customHeight="1">
      <c r="A893" s="3446"/>
      <c r="B893" s="2327"/>
      <c r="C893" s="2396"/>
      <c r="E893" s="2376" t="s">
        <v>191</v>
      </c>
      <c r="F893" s="2377"/>
      <c r="G893" s="2386"/>
      <c r="H893" s="5302" t="str">
        <f>IMAGE("https://raw.githubusercontent.com/msikma/pokesprite/master/misc/types/gen8/rock.png",4,20,20)</f>
        <v/>
      </c>
      <c r="J893" s="2376" t="s">
        <v>693</v>
      </c>
      <c r="K893" s="2377"/>
      <c r="L893" s="2386"/>
      <c r="M893" s="5302" t="str">
        <f>IMAGE("https://raw.githubusercontent.com/msikma/pokesprite/master/misc/types/gen8/flying.png",4,20,20)</f>
        <v/>
      </c>
      <c r="O893" s="2376" t="s">
        <v>612</v>
      </c>
      <c r="P893" s="2377"/>
      <c r="Q893" s="2386"/>
      <c r="R893" s="5302" t="str">
        <f>IMAGE("https://raw.githubusercontent.com/msikma/pokesprite/master/misc/types/gen8/bug.png",4,20,20)</f>
        <v/>
      </c>
      <c r="T893" s="2376" t="s">
        <v>287</v>
      </c>
      <c r="U893" s="2377"/>
      <c r="V893" s="2386"/>
      <c r="W893" s="5302" t="str">
        <f>IMAGE("https://raw.githubusercontent.com/msikma/pokesprite/master/misc/types/gen8/normal.png",4,20,20)</f>
        <v/>
      </c>
      <c r="Y893" s="2376" t="s">
        <v>1629</v>
      </c>
      <c r="Z893" s="2377"/>
      <c r="AA893" s="2386"/>
      <c r="AB893" s="5302" t="str">
        <f>IMAGE("https://raw.githubusercontent.com/msikma/pokesprite/master/misc/types/gen8/grass.png",4,20,20)</f>
        <v/>
      </c>
      <c r="AC893" s="302"/>
      <c r="AD893" s="2329"/>
      <c r="AE893" s="2332"/>
      <c r="AF893" s="2332"/>
      <c r="AG893" s="420"/>
      <c r="AH893" s="2334"/>
      <c r="AI893" s="3452"/>
    </row>
    <row r="894" ht="20.25" customHeight="1">
      <c r="A894" s="3446"/>
      <c r="B894" s="2327"/>
      <c r="C894" s="2396"/>
      <c r="E894" s="2380" t="s">
        <v>542</v>
      </c>
      <c r="F894" s="2332"/>
      <c r="G894" s="420"/>
      <c r="H894" s="5303" t="str">
        <f>IMAGE("https://raw.githubusercontent.com/msikma/pokesprite/master/misc/types/gen8/water.png",4,20,20)</f>
        <v/>
      </c>
      <c r="J894" s="2380" t="s">
        <v>1137</v>
      </c>
      <c r="K894" s="2332"/>
      <c r="L894" s="420"/>
      <c r="M894" s="5303" t="str">
        <f>IMAGE("https://raw.githubusercontent.com/msikma/pokesprite/master/misc/types/gen8/rock.png",4,20,20)</f>
        <v/>
      </c>
      <c r="O894" s="2380" t="s">
        <v>831</v>
      </c>
      <c r="P894" s="2332"/>
      <c r="Q894" s="420"/>
      <c r="R894" s="5303" t="str">
        <f>IMAGE("https://raw.githubusercontent.com/msikma/pokesprite/master/misc/types/gen8/steel.png",4,20,20)</f>
        <v/>
      </c>
      <c r="T894" s="2380" t="s">
        <v>549</v>
      </c>
      <c r="U894" s="2332"/>
      <c r="V894" s="420"/>
      <c r="W894" s="5303" t="str">
        <f>IMAGE("https://raw.githubusercontent.com/msikma/pokesprite/master/misc/types/gen8/ground.png",4,20,20)</f>
        <v/>
      </c>
      <c r="Y894" s="2380" t="s">
        <v>554</v>
      </c>
      <c r="Z894" s="2332"/>
      <c r="AA894" s="420"/>
      <c r="AB894" s="5303" t="str">
        <f t="shared" ref="AB894:AB895" si="26">IMAGE("https://raw.githubusercontent.com/msikma/pokesprite/master/misc/types/gen8/dark.png",4,20,20)</f>
        <v/>
      </c>
      <c r="AC894" s="302"/>
      <c r="AD894" s="2329"/>
      <c r="AE894" s="2332"/>
      <c r="AF894" s="2332"/>
      <c r="AG894" s="420"/>
      <c r="AH894" s="2334"/>
      <c r="AI894" s="3452"/>
    </row>
    <row r="895" ht="20.25" customHeight="1">
      <c r="A895" s="3446"/>
      <c r="B895" s="2327"/>
      <c r="C895" s="2396"/>
      <c r="E895" s="2380" t="s">
        <v>549</v>
      </c>
      <c r="F895" s="2332"/>
      <c r="G895" s="420"/>
      <c r="H895" s="5303" t="str">
        <f>IMAGE("https://raw.githubusercontent.com/msikma/pokesprite/master/misc/types/gen8/ground.png",4,20,20)</f>
        <v/>
      </c>
      <c r="J895" s="2380" t="s">
        <v>549</v>
      </c>
      <c r="K895" s="2332"/>
      <c r="L895" s="420"/>
      <c r="M895" s="5303" t="str">
        <f>IMAGE("https://raw.githubusercontent.com/msikma/pokesprite/master/misc/types/gen8/ground.png",4,20,20)</f>
        <v/>
      </c>
      <c r="O895" s="2380" t="s">
        <v>803</v>
      </c>
      <c r="P895" s="2332"/>
      <c r="Q895" s="420"/>
      <c r="R895" s="5303" t="str">
        <f>IMAGE("https://raw.githubusercontent.com/msikma/pokesprite/master/misc/types/gen8/fighting.png",4,20,20)</f>
        <v/>
      </c>
      <c r="T895" s="2380" t="s">
        <v>621</v>
      </c>
      <c r="U895" s="2332"/>
      <c r="V895" s="420"/>
      <c r="W895" s="5303" t="str">
        <f>IMAGE("https://raw.githubusercontent.com/msikma/pokesprite/master/misc/types/gen8/rock.png",4,20,20)</f>
        <v/>
      </c>
      <c r="Y895" s="2380" t="s">
        <v>579</v>
      </c>
      <c r="Z895" s="2332"/>
      <c r="AA895" s="420"/>
      <c r="AB895" s="5303" t="str">
        <f t="shared" si="26"/>
        <v/>
      </c>
      <c r="AC895" s="302"/>
      <c r="AD895" s="2329"/>
      <c r="AE895" s="2332"/>
      <c r="AF895" s="2332"/>
      <c r="AG895" s="420"/>
      <c r="AH895" s="2334"/>
      <c r="AI895" s="3452"/>
    </row>
    <row r="896" ht="21.0" customHeight="1">
      <c r="A896" s="3446"/>
      <c r="B896" s="2327"/>
      <c r="C896" s="2396"/>
      <c r="D896" s="2393"/>
      <c r="E896" s="2389" t="s">
        <v>1359</v>
      </c>
      <c r="F896" s="2390"/>
      <c r="G896" s="2391"/>
      <c r="H896" s="5304" t="str">
        <f>IMAGE("https://raw.githubusercontent.com/msikma/pokesprite/master/misc/types/gen8/normal.png",4,20,20)</f>
        <v/>
      </c>
      <c r="I896" s="2393"/>
      <c r="J896" s="2389" t="s">
        <v>612</v>
      </c>
      <c r="K896" s="2390"/>
      <c r="L896" s="2391"/>
      <c r="M896" s="5304" t="str">
        <f>IMAGE("https://raw.githubusercontent.com/msikma/pokesprite/master/misc/types/gen8/bug.png",4,20,20)</f>
        <v/>
      </c>
      <c r="N896" s="2393"/>
      <c r="O896" s="2389" t="s">
        <v>579</v>
      </c>
      <c r="P896" s="2390"/>
      <c r="Q896" s="2391"/>
      <c r="R896" s="5304" t="str">
        <f>IMAGE("https://raw.githubusercontent.com/msikma/pokesprite/master/misc/types/gen8/dark.png",4,20,20)</f>
        <v/>
      </c>
      <c r="S896" s="2393"/>
      <c r="T896" s="2389" t="s">
        <v>154</v>
      </c>
      <c r="U896" s="2390"/>
      <c r="V896" s="2391"/>
      <c r="W896" s="5304" t="str">
        <f>IMAGE("https://raw.githubusercontent.com/msikma/pokesprite/master/misc/types/gen8/dragon.png",4,20,20)</f>
        <v/>
      </c>
      <c r="X896" s="2393"/>
      <c r="Y896" s="2389" t="s">
        <v>287</v>
      </c>
      <c r="Z896" s="2390"/>
      <c r="AA896" s="2391"/>
      <c r="AB896" s="5304" t="str">
        <f>IMAGE("https://raw.githubusercontent.com/msikma/pokesprite/master/misc/types/gen8/normal.png",4,20,20)</f>
        <v/>
      </c>
      <c r="AC896" s="510"/>
      <c r="AD896" s="2329"/>
      <c r="AE896" s="2332"/>
      <c r="AF896" s="2332"/>
      <c r="AG896" s="420"/>
      <c r="AH896" s="2334"/>
      <c r="AI896" s="3452"/>
    </row>
    <row r="897" ht="3.0" customHeight="1">
      <c r="A897" s="3524"/>
      <c r="B897" s="2395"/>
      <c r="C897" s="2396"/>
      <c r="D897" s="2397"/>
      <c r="E897" s="5307"/>
      <c r="F897" s="5307"/>
      <c r="G897" s="5307"/>
      <c r="H897" s="5306"/>
      <c r="I897" s="2397"/>
      <c r="J897" s="5307"/>
      <c r="K897" s="5307"/>
      <c r="L897" s="5307"/>
      <c r="M897" s="5306"/>
      <c r="N897" s="2397"/>
      <c r="O897" s="5307"/>
      <c r="P897" s="5307"/>
      <c r="Q897" s="5307"/>
      <c r="R897" s="5308"/>
      <c r="S897" s="2397"/>
      <c r="T897" s="5307"/>
      <c r="U897" s="5307"/>
      <c r="V897" s="5307"/>
      <c r="W897" s="5308"/>
      <c r="X897" s="2397"/>
      <c r="Y897" s="5307"/>
      <c r="Z897" s="5307"/>
      <c r="AA897" s="5307"/>
      <c r="AB897" s="5308"/>
      <c r="AC897" s="2400"/>
      <c r="AD897" s="2400"/>
      <c r="AE897" s="2400"/>
      <c r="AF897" s="2400"/>
      <c r="AG897" s="2400"/>
      <c r="AH897" s="2401"/>
      <c r="AI897" s="3534"/>
    </row>
    <row r="898" ht="16.5" customHeight="1">
      <c r="A898" s="3535"/>
      <c r="B898" s="2403"/>
      <c r="C898" s="2396"/>
      <c r="D898" s="5309"/>
      <c r="E898" s="5310" t="s">
        <v>512</v>
      </c>
      <c r="F898" s="606"/>
      <c r="G898" s="606"/>
      <c r="H898" s="607"/>
      <c r="I898" s="5309"/>
      <c r="J898" s="5310" t="s">
        <v>512</v>
      </c>
      <c r="K898" s="606"/>
      <c r="L898" s="606"/>
      <c r="M898" s="607"/>
      <c r="N898" s="5309"/>
      <c r="O898" s="5310" t="s">
        <v>512</v>
      </c>
      <c r="P898" s="606"/>
      <c r="Q898" s="606"/>
      <c r="R898" s="607"/>
      <c r="S898" s="5309"/>
      <c r="T898" s="5310" t="s">
        <v>512</v>
      </c>
      <c r="U898" s="606"/>
      <c r="V898" s="606"/>
      <c r="W898" s="607"/>
      <c r="X898" s="5311"/>
      <c r="Y898" s="5310" t="s">
        <v>512</v>
      </c>
      <c r="Z898" s="606"/>
      <c r="AA898" s="606"/>
      <c r="AB898" s="607"/>
      <c r="AC898" s="2409"/>
      <c r="AD898" s="2409"/>
      <c r="AE898" s="2409"/>
      <c r="AF898" s="2409"/>
      <c r="AG898" s="2409"/>
      <c r="AH898" s="2410"/>
      <c r="AI898" s="3543"/>
    </row>
    <row r="899" ht="16.5" customHeight="1">
      <c r="A899" s="3535"/>
      <c r="B899" s="2403"/>
      <c r="C899" s="2396"/>
      <c r="D899" s="5312"/>
      <c r="E899" s="5313" t="s">
        <v>513</v>
      </c>
      <c r="F899" s="5314">
        <f t="array" ref="F899">IFERROR(VLOOKUP(E886,Dex!$B$3:$N1361,8,FALSE),"")</f>
        <v>100</v>
      </c>
      <c r="G899" s="5315" t="str">
        <f t="array" ref="G899">IFERROR(VLOOKUP(F899,Dex!$P$22:$Q$276,2,FALSE),"")</f>
        <v/>
      </c>
      <c r="H899" s="5316"/>
      <c r="I899" s="5312"/>
      <c r="J899" s="5313" t="s">
        <v>513</v>
      </c>
      <c r="K899" s="5314">
        <f t="array" ref="K899">IFERROR(VLOOKUP(J886,Dex!$B$3:$N1361,8,FALSE),"")</f>
        <v>80</v>
      </c>
      <c r="L899" s="5315" t="str">
        <f t="array" ref="L899">IFERROR(VLOOKUP(K899,Dex!$P$22:$Q$276,2,FALSE),"")</f>
        <v/>
      </c>
      <c r="M899" s="5316"/>
      <c r="N899" s="5312"/>
      <c r="O899" s="5313" t="s">
        <v>513</v>
      </c>
      <c r="P899" s="5314">
        <f t="array" ref="P899">IFERROR(VLOOKUP(O886,Dex!$B$3:$N1361,8,FALSE),"")</f>
        <v>70</v>
      </c>
      <c r="Q899" s="5315" t="str">
        <f t="array" ref="Q899">IFERROR(VLOOKUP(P899,Dex!$P$22:$Q$276,2,FALSE),"")</f>
        <v/>
      </c>
      <c r="R899" s="5316"/>
      <c r="S899" s="5312"/>
      <c r="T899" s="5313" t="s">
        <v>513</v>
      </c>
      <c r="U899" s="5314">
        <f t="array" ref="U899">IFERROR(VLOOKUP(T886,Dex!$B$3:$N1361,8,FALSE),"")</f>
        <v>108</v>
      </c>
      <c r="V899" s="5315" t="str">
        <f t="array" ref="V899">IFERROR(VLOOKUP(U899,Dex!$P$22:$Q$276,2,FALSE),"")</f>
        <v/>
      </c>
      <c r="W899" s="5316"/>
      <c r="X899" s="5317"/>
      <c r="Y899" s="5313" t="s">
        <v>513</v>
      </c>
      <c r="Z899" s="5314">
        <f t="array" ref="Z899">IFERROR(VLOOKUP(Y886,Dex!$B$3:$N1361,8,FALSE),"")</f>
        <v>70</v>
      </c>
      <c r="AA899" s="5315" t="str">
        <f t="array" ref="AA899">IFERROR(VLOOKUP(Z899,Dex!$P$22:$Q$276,2,FALSE),"")</f>
        <v/>
      </c>
      <c r="AB899" s="5316"/>
      <c r="AC899" s="2409"/>
      <c r="AD899" s="2409"/>
      <c r="AE899" s="2409"/>
      <c r="AF899" s="2409"/>
      <c r="AG899" s="2409"/>
      <c r="AH899" s="2410"/>
      <c r="AI899" s="3543"/>
    </row>
    <row r="900" ht="16.5" customHeight="1">
      <c r="A900" s="3535"/>
      <c r="B900" s="2403"/>
      <c r="C900" s="2396"/>
      <c r="D900" s="5312"/>
      <c r="E900" s="5318" t="s">
        <v>514</v>
      </c>
      <c r="F900" s="5319">
        <f t="array" ref="F900">IFERROR(VLOOKUP(E886,Dex!$B$3:$N1361,9,FALSE),"")</f>
        <v>110</v>
      </c>
      <c r="G900" s="5320" t="str">
        <f t="array" ref="G900">IFERROR(VLOOKUP(F900,Dex!$P$22:$Q$276,2,FALSE),"")</f>
        <v/>
      </c>
      <c r="H900" s="5321"/>
      <c r="I900" s="5312"/>
      <c r="J900" s="5318" t="s">
        <v>514</v>
      </c>
      <c r="K900" s="5319">
        <f t="array" ref="K900">IFERROR(VLOOKUP(J886,Dex!$B$3:$N1361,9,FALSE),"")</f>
        <v>105</v>
      </c>
      <c r="L900" s="5320" t="str">
        <f t="array" ref="L900">IFERROR(VLOOKUP(K900,Dex!$P$22:$Q$276,2,FALSE),"")</f>
        <v/>
      </c>
      <c r="M900" s="5321"/>
      <c r="N900" s="5312"/>
      <c r="O900" s="5318" t="s">
        <v>514</v>
      </c>
      <c r="P900" s="5319">
        <f t="array" ref="P900">IFERROR(VLOOKUP(O886,Dex!$B$3:$N1361,9,FALSE),"")</f>
        <v>150</v>
      </c>
      <c r="Q900" s="5320" t="str">
        <f t="array" ref="Q900">IFERROR(VLOOKUP(P900,Dex!$P$22:$Q$276,2,FALSE),"")</f>
        <v/>
      </c>
      <c r="R900" s="5321"/>
      <c r="S900" s="5312"/>
      <c r="T900" s="5318" t="s">
        <v>514</v>
      </c>
      <c r="U900" s="5319">
        <f t="array" ref="U900">IFERROR(VLOOKUP(T886,Dex!$B$3:$N1361,9,FALSE),"")</f>
        <v>130</v>
      </c>
      <c r="V900" s="5320" t="str">
        <f t="array" ref="V900">IFERROR(VLOOKUP(U900,Dex!$P$22:$Q$276,2,FALSE),"")</f>
        <v/>
      </c>
      <c r="W900" s="5321"/>
      <c r="X900" s="5317"/>
      <c r="Y900" s="5318" t="s">
        <v>514</v>
      </c>
      <c r="Z900" s="5319">
        <f t="array" ref="Z900">IFERROR(VLOOKUP(Y886,Dex!$B$3:$N1361,9,FALSE),"")</f>
        <v>120</v>
      </c>
      <c r="AA900" s="5320" t="str">
        <f t="array" ref="AA900">IFERROR(VLOOKUP(Z900,Dex!$P$22:$Q$276,2,FALSE),"")</f>
        <v/>
      </c>
      <c r="AB900" s="5321"/>
      <c r="AC900" s="2409"/>
      <c r="AD900" s="2409"/>
      <c r="AE900" s="2409"/>
      <c r="AF900" s="2409"/>
      <c r="AG900" s="2409"/>
      <c r="AH900" s="2410"/>
      <c r="AI900" s="3543"/>
    </row>
    <row r="901" ht="16.5" customHeight="1">
      <c r="A901" s="3535"/>
      <c r="B901" s="2403"/>
      <c r="C901" s="2396"/>
      <c r="D901" s="5312"/>
      <c r="E901" s="5318" t="s">
        <v>515</v>
      </c>
      <c r="F901" s="5319">
        <f t="array" ref="F901">IFERROR(VLOOKUP(E886,Dex!$B$3:$N1361,10,FALSE),"")</f>
        <v>90</v>
      </c>
      <c r="G901" s="5320" t="str">
        <f t="array" ref="G901">IFERROR(VLOOKUP(F901,Dex!$P$22:$Q$276,2,FALSE),"")</f>
        <v/>
      </c>
      <c r="H901" s="5321"/>
      <c r="I901" s="5312"/>
      <c r="J901" s="5318" t="s">
        <v>515</v>
      </c>
      <c r="K901" s="5319">
        <f t="array" ref="K901">IFERROR(VLOOKUP(J886,Dex!$B$3:$N1361,10,FALSE),"")</f>
        <v>65</v>
      </c>
      <c r="L901" s="5320" t="str">
        <f t="array" ref="L901">IFERROR(VLOOKUP(K901,Dex!$P$22:$Q$276,2,FALSE),"")</f>
        <v/>
      </c>
      <c r="M901" s="5321"/>
      <c r="N901" s="5312"/>
      <c r="O901" s="5318" t="s">
        <v>515</v>
      </c>
      <c r="P901" s="5319">
        <f t="array" ref="P901">IFERROR(VLOOKUP(O886,Dex!$B$3:$N1361,10,FALSE),"")</f>
        <v>140</v>
      </c>
      <c r="Q901" s="5320" t="str">
        <f t="array" ref="Q901">IFERROR(VLOOKUP(P901,Dex!$P$22:$Q$276,2,FALSE),"")</f>
        <v/>
      </c>
      <c r="R901" s="5321"/>
      <c r="S901" s="5312"/>
      <c r="T901" s="5318" t="s">
        <v>515</v>
      </c>
      <c r="U901" s="5319">
        <f t="array" ref="U901">IFERROR(VLOOKUP(T886,Dex!$B$3:$N1361,10,FALSE),"")</f>
        <v>95</v>
      </c>
      <c r="V901" s="5320" t="str">
        <f t="array" ref="V901">IFERROR(VLOOKUP(U901,Dex!$P$22:$Q$276,2,FALSE),"")</f>
        <v/>
      </c>
      <c r="W901" s="5321"/>
      <c r="X901" s="5317"/>
      <c r="Y901" s="5318" t="s">
        <v>515</v>
      </c>
      <c r="Z901" s="5319">
        <f t="array" ref="Z901">IFERROR(VLOOKUP(Y886,Dex!$B$3:$N1361,10,FALSE),"")</f>
        <v>60</v>
      </c>
      <c r="AA901" s="5320" t="str">
        <f t="array" ref="AA901">IFERROR(VLOOKUP(Z901,Dex!$P$22:$Q$276,2,FALSE),"")</f>
        <v/>
      </c>
      <c r="AB901" s="5321"/>
      <c r="AC901" s="2409"/>
      <c r="AD901" s="2409"/>
      <c r="AE901" s="2409"/>
      <c r="AF901" s="2409"/>
      <c r="AG901" s="2409"/>
      <c r="AH901" s="2410"/>
      <c r="AI901" s="3543"/>
    </row>
    <row r="902" ht="16.5" customHeight="1">
      <c r="A902" s="3535"/>
      <c r="B902" s="2403"/>
      <c r="C902" s="2396"/>
      <c r="D902" s="5312"/>
      <c r="E902" s="5318" t="s">
        <v>516</v>
      </c>
      <c r="F902" s="5319">
        <f t="array" ref="F902">IFERROR(VLOOKUP(E886,Dex!$B$3:$N1361,11,FALSE),"")</f>
        <v>85</v>
      </c>
      <c r="G902" s="5320" t="str">
        <f t="array" ref="G902">IFERROR(VLOOKUP(F902,Dex!$P$22:$Q$276,2,FALSE),"")</f>
        <v/>
      </c>
      <c r="H902" s="5321"/>
      <c r="I902" s="5312"/>
      <c r="J902" s="5318" t="s">
        <v>516</v>
      </c>
      <c r="K902" s="5319">
        <f t="array" ref="K902">IFERROR(VLOOKUP(J886,Dex!$B$3:$N1361,11,FALSE),"")</f>
        <v>60</v>
      </c>
      <c r="L902" s="5320" t="str">
        <f t="array" ref="L902">IFERROR(VLOOKUP(K902,Dex!$P$22:$Q$276,2,FALSE),"")</f>
        <v/>
      </c>
      <c r="M902" s="5321"/>
      <c r="N902" s="5312"/>
      <c r="O902" s="5318" t="s">
        <v>516</v>
      </c>
      <c r="P902" s="5319">
        <f t="array" ref="P902">IFERROR(VLOOKUP(O886,Dex!$B$3:$N1361,11,FALSE),"")</f>
        <v>65</v>
      </c>
      <c r="Q902" s="5320" t="str">
        <f t="array" ref="Q902">IFERROR(VLOOKUP(P902,Dex!$P$22:$Q$276,2,FALSE),"")</f>
        <v/>
      </c>
      <c r="R902" s="5321"/>
      <c r="S902" s="5312"/>
      <c r="T902" s="5318" t="s">
        <v>516</v>
      </c>
      <c r="U902" s="5319">
        <f t="array" ref="U902">IFERROR(VLOOKUP(T886,Dex!$B$3:$N1361,11,FALSE),"")</f>
        <v>80</v>
      </c>
      <c r="V902" s="5320" t="str">
        <f t="array" ref="V902">IFERROR(VLOOKUP(U902,Dex!$P$22:$Q$276,2,FALSE),"")</f>
        <v/>
      </c>
      <c r="W902" s="5321"/>
      <c r="X902" s="5317"/>
      <c r="Y902" s="5318" t="s">
        <v>516</v>
      </c>
      <c r="Z902" s="5319">
        <f t="array" ref="Z902">IFERROR(VLOOKUP(Y886,Dex!$B$3:$N1361,11,FALSE),"")</f>
        <v>120</v>
      </c>
      <c r="AA902" s="5320" t="str">
        <f t="array" ref="AA902">IFERROR(VLOOKUP(Z902,Dex!$P$22:$Q$276,2,FALSE),"")</f>
        <v/>
      </c>
      <c r="AB902" s="5321"/>
      <c r="AC902" s="2409"/>
      <c r="AD902" s="2409"/>
      <c r="AE902" s="2409"/>
      <c r="AF902" s="2409"/>
      <c r="AG902" s="2409"/>
      <c r="AH902" s="2410"/>
      <c r="AI902" s="3543"/>
    </row>
    <row r="903" ht="16.5" customHeight="1">
      <c r="A903" s="3535"/>
      <c r="B903" s="2403"/>
      <c r="C903" s="2396"/>
      <c r="D903" s="5312"/>
      <c r="E903" s="5318" t="s">
        <v>517</v>
      </c>
      <c r="F903" s="5319">
        <f t="array" ref="F903">IFERROR(VLOOKUP(E886,Dex!$B$3:$N1361,12,FALSE),"")</f>
        <v>90</v>
      </c>
      <c r="G903" s="5320" t="str">
        <f t="array" ref="G903">IFERROR(VLOOKUP(F903,Dex!$P$22:$Q$276,2,FALSE),"")</f>
        <v/>
      </c>
      <c r="H903" s="5321"/>
      <c r="I903" s="5312"/>
      <c r="J903" s="5318" t="s">
        <v>517</v>
      </c>
      <c r="K903" s="5319">
        <f t="array" ref="K903">IFERROR(VLOOKUP(J886,Dex!$B$3:$N1361,12,FALSE),"")</f>
        <v>75</v>
      </c>
      <c r="L903" s="5320" t="str">
        <f t="array" ref="L903">IFERROR(VLOOKUP(K903,Dex!$P$22:$Q$276,2,FALSE),"")</f>
        <v/>
      </c>
      <c r="M903" s="5321"/>
      <c r="N903" s="5312"/>
      <c r="O903" s="5318" t="s">
        <v>517</v>
      </c>
      <c r="P903" s="5319">
        <f t="array" ref="P903">IFERROR(VLOOKUP(O886,Dex!$B$3:$N1361,12,FALSE),"")</f>
        <v>100</v>
      </c>
      <c r="Q903" s="5320" t="str">
        <f t="array" ref="Q903">IFERROR(VLOOKUP(P903,Dex!$P$22:$Q$276,2,FALSE),"")</f>
        <v/>
      </c>
      <c r="R903" s="5321"/>
      <c r="S903" s="5312"/>
      <c r="T903" s="5318" t="s">
        <v>517</v>
      </c>
      <c r="U903" s="5319">
        <f t="array" ref="U903">IFERROR(VLOOKUP(T886,Dex!$B$3:$N1361,12,FALSE),"")</f>
        <v>85</v>
      </c>
      <c r="V903" s="5320" t="str">
        <f t="array" ref="V903">IFERROR(VLOOKUP(U903,Dex!$P$22:$Q$276,2,FALSE),"")</f>
        <v/>
      </c>
      <c r="W903" s="5321"/>
      <c r="X903" s="5317"/>
      <c r="Y903" s="5318" t="s">
        <v>517</v>
      </c>
      <c r="Z903" s="5319">
        <f t="array" ref="Z903">IFERROR(VLOOKUP(Y886,Dex!$B$3:$N1361,12,FALSE),"")</f>
        <v>60</v>
      </c>
      <c r="AA903" s="5320" t="str">
        <f t="array" ref="AA903">IFERROR(VLOOKUP(Z903,Dex!$P$22:$Q$276,2,FALSE),"")</f>
        <v/>
      </c>
      <c r="AB903" s="5321"/>
      <c r="AC903" s="2409"/>
      <c r="AD903" s="2409"/>
      <c r="AE903" s="2409"/>
      <c r="AF903" s="2409"/>
      <c r="AG903" s="2409"/>
      <c r="AH903" s="2410"/>
      <c r="AI903" s="3543"/>
    </row>
    <row r="904" ht="16.5" customHeight="1">
      <c r="A904" s="3535"/>
      <c r="B904" s="2403"/>
      <c r="C904" s="1426" t="s">
        <v>745</v>
      </c>
      <c r="D904" s="5312"/>
      <c r="E904" s="5322" t="s">
        <v>518</v>
      </c>
      <c r="F904" s="5323">
        <f t="array" ref="F904">IFERROR(VLOOKUP(E886,Dex!$B$3:$N1361,13,FALSE),"")</f>
        <v>60</v>
      </c>
      <c r="G904" s="5320" t="str">
        <f t="array" ref="G904">IFERROR(VLOOKUP(F904,Dex!$P$22:$Q$276,2,FALSE),"")</f>
        <v/>
      </c>
      <c r="H904" s="5321"/>
      <c r="I904" s="5312"/>
      <c r="J904" s="5322" t="s">
        <v>518</v>
      </c>
      <c r="K904" s="5323">
        <f t="array" ref="K904">IFERROR(VLOOKUP(J886,Dex!$B$3:$N1361,13,FALSE),"")</f>
        <v>130</v>
      </c>
      <c r="L904" s="5320" t="str">
        <f t="array" ref="L904">IFERROR(VLOOKUP(K904,Dex!$P$22:$Q$276,2,FALSE),"")</f>
        <v/>
      </c>
      <c r="M904" s="5321"/>
      <c r="N904" s="5312"/>
      <c r="O904" s="5322" t="s">
        <v>518</v>
      </c>
      <c r="P904" s="5323">
        <f t="array" ref="P904">IFERROR(VLOOKUP(O886,Dex!$B$3:$N1361,13,FALSE),"")</f>
        <v>75</v>
      </c>
      <c r="Q904" s="5320" t="str">
        <f t="array" ref="Q904">IFERROR(VLOOKUP(P904,Dex!$P$22:$Q$276,2,FALSE),"")</f>
        <v/>
      </c>
      <c r="R904" s="5321"/>
      <c r="S904" s="5312"/>
      <c r="T904" s="5322" t="s">
        <v>518</v>
      </c>
      <c r="U904" s="5323">
        <f t="array" ref="U904">IFERROR(VLOOKUP(T886,Dex!$B$3:$N1361,13,FALSE),"")</f>
        <v>102</v>
      </c>
      <c r="V904" s="5320" t="str">
        <f t="array" ref="V904">IFERROR(VLOOKUP(U904,Dex!$P$22:$Q$276,2,FALSE),"")</f>
        <v/>
      </c>
      <c r="W904" s="5321"/>
      <c r="X904" s="5317"/>
      <c r="Y904" s="5322" t="s">
        <v>518</v>
      </c>
      <c r="Z904" s="5323">
        <f t="array" ref="Z904">IFERROR(VLOOKUP(Y886,Dex!$B$3:$N1361,13,FALSE),"")</f>
        <v>55</v>
      </c>
      <c r="AA904" s="5320" t="str">
        <f t="array" ref="AA904">IFERROR(VLOOKUP(Z904,Dex!$P$22:$Q$276,2,FALSE),"")</f>
        <v/>
      </c>
      <c r="AB904" s="5321"/>
      <c r="AC904" s="2409"/>
      <c r="AD904" s="2409"/>
      <c r="AE904" s="2409"/>
      <c r="AF904" s="2409"/>
      <c r="AG904" s="2409"/>
      <c r="AH904" s="2410"/>
      <c r="AI904" s="3543"/>
    </row>
    <row r="905" ht="16.5" customHeight="1">
      <c r="A905" s="3535"/>
      <c r="B905" s="2403"/>
      <c r="C905" s="1427" t="s">
        <v>746</v>
      </c>
      <c r="D905" s="5309"/>
      <c r="E905" s="5324" t="s">
        <v>519</v>
      </c>
      <c r="F905" s="630"/>
      <c r="G905" s="631"/>
      <c r="H905" s="632">
        <f>ROUNDDOWN((ROUNDDOWN(((((2*F904+31)*65)/100+5)),0))*0.9,0)</f>
        <v>92</v>
      </c>
      <c r="I905" s="5309"/>
      <c r="J905" s="5324" t="s">
        <v>519</v>
      </c>
      <c r="K905" s="630"/>
      <c r="L905" s="631"/>
      <c r="M905" s="632">
        <f>ROUNDDOWN((ROUNDDOWN(((((2*K904+31)*66)/100+5)),0))*1.1,0)</f>
        <v>216</v>
      </c>
      <c r="N905" s="5309"/>
      <c r="O905" s="5324" t="s">
        <v>519</v>
      </c>
      <c r="P905" s="630"/>
      <c r="Q905" s="631"/>
      <c r="R905" s="632">
        <f>ROUNDDOWN((ROUNDDOWN(((((2*P904+31)*66)/100+5)),0))*1,0)</f>
        <v>124</v>
      </c>
      <c r="S905" s="5309"/>
      <c r="T905" s="5324" t="s">
        <v>519</v>
      </c>
      <c r="U905" s="630"/>
      <c r="V905" s="631"/>
      <c r="W905" s="632">
        <f>ROUNDDOWN((ROUNDDOWN(((((2*U904+31)*66)/100+5)),0))*1.1,0)</f>
        <v>176</v>
      </c>
      <c r="X905" s="5311"/>
      <c r="Y905" s="5325" t="s">
        <v>519</v>
      </c>
      <c r="Z905" s="635"/>
      <c r="AA905" s="636"/>
      <c r="AB905" s="632">
        <f>ROUNDDOWN((ROUNDDOWN(((((2*Z904+31)*66)/100+5)),0))*1.1,0)</f>
        <v>107</v>
      </c>
      <c r="AC905" s="2409"/>
      <c r="AD905" s="2409"/>
      <c r="AE905" s="2409"/>
      <c r="AF905" s="2409"/>
      <c r="AG905" s="2409"/>
      <c r="AH905" s="2410"/>
      <c r="AI905" s="3543"/>
    </row>
    <row r="906" ht="16.5" customHeight="1">
      <c r="A906" s="3535"/>
      <c r="B906" s="2403"/>
      <c r="C906" s="2396"/>
      <c r="D906" s="5326"/>
      <c r="E906" s="5328"/>
      <c r="F906" s="5328"/>
      <c r="G906" s="5328"/>
      <c r="H906" s="2396"/>
      <c r="I906" s="5326"/>
      <c r="J906" s="5328"/>
      <c r="K906" s="5328"/>
      <c r="L906" s="5328"/>
      <c r="M906" s="2396"/>
      <c r="N906" s="5326"/>
      <c r="O906" s="5328"/>
      <c r="P906" s="5328"/>
      <c r="Q906" s="5328"/>
      <c r="R906" s="2396"/>
      <c r="S906" s="5326"/>
      <c r="T906" s="5328"/>
      <c r="U906" s="5328"/>
      <c r="V906" s="5328"/>
      <c r="W906" s="2396"/>
      <c r="X906" s="2565"/>
      <c r="Y906" s="5327" t="s">
        <v>520</v>
      </c>
      <c r="Z906" s="643"/>
      <c r="AA906" s="644"/>
      <c r="AB906" s="3064">
        <f>AB905*2</f>
        <v>214</v>
      </c>
      <c r="AC906" s="2409"/>
      <c r="AD906" s="2409"/>
      <c r="AE906" s="2409"/>
      <c r="AF906" s="2409"/>
      <c r="AG906" s="2409"/>
      <c r="AH906" s="2410"/>
      <c r="AI906" s="3543"/>
    </row>
    <row r="907" ht="15.0" customHeight="1">
      <c r="A907" s="3446"/>
      <c r="B907" s="2440"/>
      <c r="C907" s="2441"/>
      <c r="D907" s="5331"/>
      <c r="E907" s="5332"/>
      <c r="F907" s="5332"/>
      <c r="G907" s="5332"/>
      <c r="H907" s="5332"/>
      <c r="I907" s="5331"/>
      <c r="J907" s="5332"/>
      <c r="K907" s="5332"/>
      <c r="L907" s="5332"/>
      <c r="M907" s="5332"/>
      <c r="N907" s="5331"/>
      <c r="O907" s="5332"/>
      <c r="P907" s="5332"/>
      <c r="Q907" s="5332"/>
      <c r="R907" s="5332"/>
      <c r="S907" s="5331"/>
      <c r="T907" s="5332"/>
      <c r="U907" s="5332"/>
      <c r="V907" s="5332"/>
      <c r="W907" s="5332"/>
      <c r="X907" s="2442"/>
      <c r="Y907" s="5332"/>
      <c r="Z907" s="5332"/>
      <c r="AA907" s="5332"/>
      <c r="AB907" s="5332"/>
      <c r="AC907" s="2442"/>
      <c r="AD907" s="2442"/>
      <c r="AE907" s="2442"/>
      <c r="AF907" s="2442"/>
      <c r="AG907" s="2442"/>
      <c r="AH907" s="2445"/>
      <c r="AI907" s="3452"/>
    </row>
    <row r="908" ht="15.0" customHeight="1">
      <c r="A908" s="3446"/>
      <c r="B908" s="5288"/>
      <c r="C908" s="5289"/>
      <c r="D908" s="5289"/>
      <c r="E908" s="5289"/>
      <c r="F908" s="5289"/>
      <c r="G908" s="5289"/>
      <c r="H908" s="5289"/>
      <c r="I908" s="5289"/>
      <c r="J908" s="5289"/>
      <c r="K908" s="5289"/>
      <c r="L908" s="5289"/>
      <c r="M908" s="5289"/>
      <c r="N908" s="5289"/>
      <c r="O908" s="5289"/>
      <c r="P908" s="5289"/>
      <c r="Q908" s="5289"/>
      <c r="R908" s="5289"/>
      <c r="S908" s="5289"/>
      <c r="T908" s="5289"/>
      <c r="U908" s="5289"/>
      <c r="V908" s="5289"/>
      <c r="W908" s="5289"/>
      <c r="X908" s="5289"/>
      <c r="Y908" s="5289"/>
      <c r="Z908" s="5289"/>
      <c r="AA908" s="5289"/>
      <c r="AB908" s="5289"/>
      <c r="AC908" s="5289"/>
      <c r="AD908" s="5289"/>
      <c r="AE908" s="5289"/>
      <c r="AF908" s="5289"/>
      <c r="AG908" s="5289"/>
      <c r="AH908" s="5290"/>
      <c r="AI908" s="3452"/>
    </row>
    <row r="909">
      <c r="A909" s="3446"/>
      <c r="B909" s="2327"/>
      <c r="C909" s="5291"/>
      <c r="D909" s="2346"/>
      <c r="E909" s="5292" t="s">
        <v>1630</v>
      </c>
      <c r="F909" s="2383"/>
      <c r="G909" s="2383"/>
      <c r="H909" s="2383"/>
      <c r="I909" s="2383"/>
      <c r="J909" s="2383"/>
      <c r="K909" s="2383"/>
      <c r="L909" s="2383"/>
      <c r="M909" s="2383"/>
      <c r="N909" s="2383"/>
      <c r="O909" s="2383"/>
      <c r="P909" s="2383"/>
      <c r="Q909" s="2383"/>
      <c r="R909" s="2383"/>
      <c r="S909" s="2383"/>
      <c r="T909" s="2383"/>
      <c r="U909" s="2383"/>
      <c r="V909" s="2383"/>
      <c r="W909" s="2383"/>
      <c r="X909" s="2383"/>
      <c r="Y909" s="2383"/>
      <c r="Z909" s="2383"/>
      <c r="AA909" s="2383"/>
      <c r="AB909" s="2383"/>
      <c r="AC909" s="2383"/>
      <c r="AD909" s="2383"/>
      <c r="AE909" s="2383"/>
      <c r="AF909" s="2383"/>
      <c r="AG909" s="5293"/>
      <c r="AH909" s="5294"/>
      <c r="AI909" s="3452"/>
    </row>
    <row r="910" ht="96.75" customHeight="1">
      <c r="A910" s="3446"/>
      <c r="B910" s="2358"/>
      <c r="C910" s="5295" t="str">
        <f>IMAGE("https://i.ibb.co/qsQbp4Z/Biker.png")</f>
        <v/>
      </c>
      <c r="D910" s="2343"/>
      <c r="E910" s="5296" t="str">
        <f t="array" ref="E910">IFERROR(VLOOKUP(E911,Dex!$B$3:$G1361,3,FALSE),"")</f>
        <v/>
      </c>
      <c r="F910" s="1945"/>
      <c r="G910" s="1945"/>
      <c r="H910" s="1946"/>
      <c r="I910" s="2343"/>
      <c r="J910" s="5296" t="str">
        <f t="array" ref="J910">IFERROR(VLOOKUP(J911,Dex!$B$3:$G1361,3,FALSE),"")</f>
        <v/>
      </c>
      <c r="K910" s="1945"/>
      <c r="L910" s="1945"/>
      <c r="M910" s="1946"/>
      <c r="N910" s="2343"/>
      <c r="O910" s="5296" t="str">
        <f t="array" ref="O910">IFERROR(VLOOKUP(O911,Dex!$B$3:$G1361,3,FALSE),"")</f>
        <v/>
      </c>
      <c r="P910" s="1945"/>
      <c r="Q910" s="1945"/>
      <c r="R910" s="1946"/>
      <c r="S910" s="2343"/>
      <c r="T910" s="5296" t="str">
        <f t="array" ref="T910">IFERROR(VLOOKUP(T911,Dex!$B$3:$G1361,3,FALSE),"")</f>
        <v/>
      </c>
      <c r="U910" s="1945"/>
      <c r="V910" s="1945"/>
      <c r="W910" s="1946"/>
      <c r="X910" s="2344"/>
      <c r="Y910" s="5296" t="str">
        <f t="array" ref="Y910">IFERROR(VLOOKUP(Y911,Dex!$B$3:$G1361,3,FALSE),"")</f>
        <v/>
      </c>
      <c r="Z910" s="1945"/>
      <c r="AA910" s="1945"/>
      <c r="AB910" s="1946"/>
      <c r="AC910" s="2344"/>
      <c r="AD910" s="5296" t="str">
        <f t="array" ref="AD910">IFERROR(VLOOKUP(AD911,Dex!$B$3:$G1361,3,FALSE),"")</f>
        <v/>
      </c>
      <c r="AE910" s="1945"/>
      <c r="AF910" s="1945"/>
      <c r="AG910" s="1946"/>
      <c r="AH910" s="2563"/>
      <c r="AI910" s="3452"/>
    </row>
    <row r="911" ht="18.75" customHeight="1">
      <c r="A911" s="3689"/>
      <c r="B911" s="2419"/>
      <c r="C911" s="5297" t="s">
        <v>1631</v>
      </c>
      <c r="E911" s="2351" t="s">
        <v>224</v>
      </c>
      <c r="F911" s="2352"/>
      <c r="G911" s="2352"/>
      <c r="H911" s="2353"/>
      <c r="J911" s="2351" t="s">
        <v>1275</v>
      </c>
      <c r="K911" s="2352"/>
      <c r="L911" s="2352"/>
      <c r="M911" s="2353"/>
      <c r="O911" s="2351" t="s">
        <v>1632</v>
      </c>
      <c r="P911" s="2352"/>
      <c r="Q911" s="2352"/>
      <c r="R911" s="2353"/>
      <c r="T911" s="2351" t="s">
        <v>1633</v>
      </c>
      <c r="U911" s="2352"/>
      <c r="V911" s="2352"/>
      <c r="W911" s="2353"/>
      <c r="Y911" s="2351" t="s">
        <v>1634</v>
      </c>
      <c r="Z911" s="2352"/>
      <c r="AA911" s="2352"/>
      <c r="AB911" s="2353"/>
      <c r="AD911" s="2351" t="s">
        <v>1635</v>
      </c>
      <c r="AE911" s="2352"/>
      <c r="AF911" s="2352"/>
      <c r="AG911" s="2353"/>
      <c r="AH911" s="2564"/>
      <c r="AI911" s="3700"/>
    </row>
    <row r="912">
      <c r="A912" s="3701"/>
      <c r="B912" s="5298"/>
      <c r="C912" s="1638"/>
      <c r="E912" s="2360" t="s">
        <v>797</v>
      </c>
      <c r="F912" s="2361"/>
      <c r="G912" s="2361"/>
      <c r="H912" s="2362"/>
      <c r="J912" s="2360" t="s">
        <v>796</v>
      </c>
      <c r="K912" s="2361"/>
      <c r="L912" s="2361"/>
      <c r="M912" s="2362"/>
      <c r="O912" s="2360" t="s">
        <v>796</v>
      </c>
      <c r="P912" s="2361"/>
      <c r="Q912" s="2361"/>
      <c r="R912" s="2362"/>
      <c r="T912" s="2360" t="s">
        <v>796</v>
      </c>
      <c r="U912" s="2361"/>
      <c r="V912" s="2361"/>
      <c r="W912" s="2362"/>
      <c r="Y912" s="2360" t="s">
        <v>796</v>
      </c>
      <c r="Z912" s="2361"/>
      <c r="AA912" s="2361"/>
      <c r="AB912" s="2362"/>
      <c r="AD912" s="5364">
        <v>1.0</v>
      </c>
      <c r="AE912" s="2361"/>
      <c r="AF912" s="2361"/>
      <c r="AG912" s="2362"/>
      <c r="AH912" s="5365"/>
      <c r="AI912" s="3709"/>
    </row>
    <row r="913" ht="25.5" customHeight="1">
      <c r="A913" s="3446"/>
      <c r="B913" s="2358"/>
      <c r="C913" s="1646"/>
      <c r="E913" s="2365"/>
      <c r="F913" s="2369" t="str">
        <f t="array" ref="F913">IFERROR(VLOOKUP(E911,Dex!$B$3:$H1361,5,FALSE),"")</f>
        <v/>
      </c>
      <c r="G913" s="2370" t="str">
        <f t="array" ref="G913">IFERROR(VLOOKUP(E911,Dex!$B$3:$H1361,7,FALSE),"")</f>
        <v/>
      </c>
      <c r="H913" s="2368"/>
      <c r="J913" s="2365"/>
      <c r="K913" s="2369" t="str">
        <f t="array" ref="K913">IFERROR(VLOOKUP(J911,Dex!$B$3:$H1361,5,FALSE),"")</f>
        <v/>
      </c>
      <c r="L913" s="2370" t="str">
        <f t="array" ref="L913">IFERROR(VLOOKUP(J911,Dex!$B$3:$H1361,7,FALSE),"")</f>
        <v/>
      </c>
      <c r="M913" s="2368"/>
      <c r="O913" s="2365"/>
      <c r="P913" s="2369" t="str">
        <f t="array" ref="P913">IFERROR(VLOOKUP(O911,Dex!$B$3:$H1361,5,FALSE),"")</f>
        <v/>
      </c>
      <c r="Q913" s="2370" t="str">
        <f t="array" ref="Q913">IFERROR(VLOOKUP(O911,Dex!$B$3:$H1361,7,FALSE),"")</f>
        <v/>
      </c>
      <c r="R913" s="2368"/>
      <c r="T913" s="2365"/>
      <c r="U913" s="2369" t="str">
        <f t="array" ref="U913">IFERROR(VLOOKUP(T911,Dex!$B$3:$H1361,5,FALSE),"")</f>
        <v/>
      </c>
      <c r="V913" s="2370" t="str">
        <f t="array" ref="V913">IFERROR(VLOOKUP(T911,Dex!$B$3:$H1361,7,FALSE),"")</f>
        <v/>
      </c>
      <c r="W913" s="2368"/>
      <c r="Y913" s="2365"/>
      <c r="Z913" s="2369" t="str">
        <f t="array" ref="Z913">IFERROR(VLOOKUP(Y911,Dex!$B$3:$H1361,5,FALSE),"")</f>
        <v/>
      </c>
      <c r="AA913" s="2370" t="str">
        <f t="array" ref="AA913">IFERROR(VLOOKUP(Y911,Dex!$B$3:$H1361,7,FALSE),"")</f>
        <v/>
      </c>
      <c r="AB913" s="2368"/>
      <c r="AD913" s="2365"/>
      <c r="AE913" s="2369" t="str">
        <f t="array" ref="AE913">IFERROR(VLOOKUP(AD911,Dex!$B$3:$H1361,5,FALSE),"")</f>
        <v/>
      </c>
      <c r="AF913" s="2370" t="str">
        <f t="array" ref="AF913">IFERROR(VLOOKUP(AD911,Dex!$B$3:$H1361,7,FALSE),"")</f>
        <v/>
      </c>
      <c r="AG913" s="2368"/>
      <c r="AH913" s="2334"/>
      <c r="AI913" s="3452"/>
    </row>
    <row r="914" ht="2.25" customHeight="1">
      <c r="A914" s="3446"/>
      <c r="B914" s="2358"/>
      <c r="C914" s="5047"/>
      <c r="E914" s="2371"/>
      <c r="F914" s="2372"/>
      <c r="G914" s="2372"/>
      <c r="H914" s="2373"/>
      <c r="J914" s="2371"/>
      <c r="K914" s="2372"/>
      <c r="L914" s="2372"/>
      <c r="M914" s="2373"/>
      <c r="O914" s="2371"/>
      <c r="P914" s="2372"/>
      <c r="Q914" s="2372"/>
      <c r="R914" s="2373"/>
      <c r="T914" s="2371"/>
      <c r="U914" s="2372"/>
      <c r="V914" s="2372"/>
      <c r="W914" s="2373"/>
      <c r="Y914" s="2371"/>
      <c r="Z914" s="2372"/>
      <c r="AA914" s="2372"/>
      <c r="AB914" s="2373"/>
      <c r="AD914" s="2371"/>
      <c r="AE914" s="2372"/>
      <c r="AF914" s="2372"/>
      <c r="AG914" s="2373"/>
      <c r="AH914" s="2334"/>
      <c r="AI914" s="3452"/>
    </row>
    <row r="915" ht="20.25" customHeight="1">
      <c r="A915" s="3446"/>
      <c r="B915" s="2327"/>
      <c r="C915" s="5300"/>
      <c r="E915" s="2376" t="s">
        <v>754</v>
      </c>
      <c r="F915" s="2377"/>
      <c r="G915" s="2377"/>
      <c r="H915" s="2378"/>
      <c r="J915" s="2376" t="s">
        <v>532</v>
      </c>
      <c r="K915" s="2377"/>
      <c r="L915" s="2377"/>
      <c r="M915" s="2378"/>
      <c r="O915" s="2376" t="s">
        <v>532</v>
      </c>
      <c r="P915" s="2377"/>
      <c r="Q915" s="2377"/>
      <c r="R915" s="2378"/>
      <c r="T915" s="2376" t="s">
        <v>564</v>
      </c>
      <c r="U915" s="2377"/>
      <c r="V915" s="2377"/>
      <c r="W915" s="2378"/>
      <c r="Y915" s="2376" t="s">
        <v>565</v>
      </c>
      <c r="Z915" s="2377"/>
      <c r="AA915" s="2377"/>
      <c r="AB915" s="2378"/>
      <c r="AD915" s="2376" t="s">
        <v>481</v>
      </c>
      <c r="AE915" s="2377"/>
      <c r="AF915" s="2377"/>
      <c r="AG915" s="2378"/>
      <c r="AH915" s="2563"/>
      <c r="AI915" s="3452"/>
    </row>
    <row r="916">
      <c r="A916" s="3446"/>
      <c r="B916" s="2327"/>
      <c r="C916" s="2328"/>
      <c r="E916" s="2380" t="s">
        <v>1601</v>
      </c>
      <c r="F916" s="2332"/>
      <c r="G916" s="2332"/>
      <c r="H916" s="2381"/>
      <c r="J916" s="2380" t="s">
        <v>483</v>
      </c>
      <c r="K916" s="2332"/>
      <c r="L916" s="2332"/>
      <c r="M916" s="2381"/>
      <c r="O916" s="2380" t="s">
        <v>1636</v>
      </c>
      <c r="P916" s="2332"/>
      <c r="Q916" s="2332"/>
      <c r="R916" s="2381"/>
      <c r="T916" s="2380" t="s">
        <v>484</v>
      </c>
      <c r="U916" s="2332"/>
      <c r="V916" s="2332"/>
      <c r="W916" s="2381"/>
      <c r="Y916" s="2380" t="s">
        <v>781</v>
      </c>
      <c r="Z916" s="2332"/>
      <c r="AA916" s="2332"/>
      <c r="AB916" s="2381"/>
      <c r="AD916" s="2380" t="s">
        <v>603</v>
      </c>
      <c r="AE916" s="2332"/>
      <c r="AF916" s="2332"/>
      <c r="AG916" s="2381"/>
      <c r="AH916" s="2563"/>
      <c r="AI916" s="3452"/>
    </row>
    <row r="917" ht="20.25" customHeight="1">
      <c r="A917" s="3446"/>
      <c r="B917" s="2327"/>
      <c r="C917" s="2328"/>
      <c r="E917" s="2382" t="s">
        <v>573</v>
      </c>
      <c r="F917" s="2383"/>
      <c r="G917" s="5293"/>
      <c r="H917" s="5301" t="str">
        <f>IMAGE("https://raw.githubusercontent.com/msikma/pokesprite/master/items/hold-item/focus-sash.png",3)</f>
        <v/>
      </c>
      <c r="J917" s="2382" t="s">
        <v>540</v>
      </c>
      <c r="K917" s="2383"/>
      <c r="L917" s="5293"/>
      <c r="M917" s="5301" t="str">
        <f>IMAGE("https://raw.githubusercontent.com/msikma/pokesprite/master/items/hold-item/mystic-water.png",3)</f>
        <v/>
      </c>
      <c r="O917" s="2382" t="s">
        <v>1637</v>
      </c>
      <c r="P917" s="2383"/>
      <c r="Q917" s="5293"/>
      <c r="R917" s="5301" t="str">
        <f>IMAGE("https://raw.githubusercontent.com/msikma/pokesprite/master/items/mega-stone/beedrillite.png",3)</f>
        <v/>
      </c>
      <c r="T917" s="2382" t="s">
        <v>1638</v>
      </c>
      <c r="U917" s="2383"/>
      <c r="V917" s="5293"/>
      <c r="W917" s="5301" t="str">
        <f>IMAGE("https://raw.githubusercontent.com/msikma/pokesprite/master/items/z-crystals/firium-z--held.png",3)</f>
        <v/>
      </c>
      <c r="Y917" s="2382" t="s">
        <v>541</v>
      </c>
      <c r="Z917" s="2383"/>
      <c r="AA917" s="5293"/>
      <c r="AB917" s="5301" t="str">
        <f>IMAGE("https://raw.githubusercontent.com/msikma/pokesprite/master/items/hold-item/life-orb.png",3)</f>
        <v/>
      </c>
      <c r="AD917" s="2382" t="s">
        <v>1639</v>
      </c>
      <c r="AE917" s="2383"/>
      <c r="AF917" s="5293"/>
      <c r="AG917" s="5301" t="str">
        <f>IMAGE("https://raw.githubusercontent.com/msikma/pokesprite/master/items/hold-item/shell-bell.png",3)</f>
        <v/>
      </c>
      <c r="AH917" s="2334"/>
      <c r="AI917" s="3452"/>
    </row>
    <row r="918" ht="20.25" customHeight="1">
      <c r="A918" s="3446"/>
      <c r="B918" s="2327"/>
      <c r="C918" s="2396"/>
      <c r="E918" s="2376" t="s">
        <v>191</v>
      </c>
      <c r="F918" s="2377"/>
      <c r="G918" s="2386"/>
      <c r="H918" s="5302" t="str">
        <f>IMAGE("https://raw.githubusercontent.com/msikma/pokesprite/master/misc/types/gen8/rock.png",4,20,20)</f>
        <v/>
      </c>
      <c r="J918" s="2376" t="s">
        <v>938</v>
      </c>
      <c r="K918" s="2377"/>
      <c r="L918" s="2386"/>
      <c r="M918" s="5302" t="str">
        <f>IMAGE("https://raw.githubusercontent.com/msikma/pokesprite/master/misc/types/gen8/water.png",4,20,20)</f>
        <v/>
      </c>
      <c r="O918" s="2376" t="s">
        <v>612</v>
      </c>
      <c r="P918" s="2377"/>
      <c r="Q918" s="2386"/>
      <c r="R918" s="5302" t="str">
        <f>IMAGE("https://raw.githubusercontent.com/msikma/pokesprite/master/misc/types/gen8/bug.png",4,20,20)</f>
        <v/>
      </c>
      <c r="T918" s="2376" t="s">
        <v>581</v>
      </c>
      <c r="U918" s="2377"/>
      <c r="V918" s="2386"/>
      <c r="W918" s="5302" t="str">
        <f>IMAGE("https://raw.githubusercontent.com/msikma/pokesprite/master/misc/types/gen8/electric.png",4,20,20)</f>
        <v/>
      </c>
      <c r="Y918" s="2376" t="s">
        <v>612</v>
      </c>
      <c r="Z918" s="2377"/>
      <c r="AA918" s="2386"/>
      <c r="AB918" s="5302" t="str">
        <f>IMAGE("https://raw.githubusercontent.com/msikma/pokesprite/master/misc/types/gen8/bug.png",4,20,20)</f>
        <v/>
      </c>
      <c r="AD918" s="2376" t="s">
        <v>1089</v>
      </c>
      <c r="AE918" s="2377"/>
      <c r="AF918" s="2386"/>
      <c r="AG918" s="5302" t="str">
        <f>IMAGE("https://raw.githubusercontent.com/msikma/pokesprite/master/misc/types/gen8/normal.png",4,20,20)</f>
        <v/>
      </c>
      <c r="AH918" s="2334"/>
      <c r="AI918" s="3452"/>
    </row>
    <row r="919" ht="20.25" customHeight="1">
      <c r="A919" s="3446"/>
      <c r="B919" s="2327"/>
      <c r="C919" s="2396"/>
      <c r="E919" s="2380" t="s">
        <v>611</v>
      </c>
      <c r="F919" s="2332"/>
      <c r="G919" s="420"/>
      <c r="H919" s="5303" t="str">
        <f>IMAGE("https://raw.githubusercontent.com/msikma/pokesprite/master/misc/types/gen8/electric.png",4,20,20)</f>
        <v/>
      </c>
      <c r="J919" s="2380" t="s">
        <v>696</v>
      </c>
      <c r="K919" s="2332"/>
      <c r="L919" s="420"/>
      <c r="M919" s="5303" t="str">
        <f>IMAGE("https://raw.githubusercontent.com/msikma/pokesprite/master/misc/types/gen8/dragon.png",4,20,20)</f>
        <v/>
      </c>
      <c r="O919" s="2380" t="s">
        <v>1152</v>
      </c>
      <c r="P919" s="2332"/>
      <c r="Q919" s="420"/>
      <c r="R919" s="5303" t="str">
        <f>IMAGE("https://raw.githubusercontent.com/msikma/pokesprite/master/misc/types/gen8/ground.png",4,20,20)</f>
        <v/>
      </c>
      <c r="T919" s="2380" t="s">
        <v>1640</v>
      </c>
      <c r="U919" s="2332"/>
      <c r="V919" s="420"/>
      <c r="W919" s="5303" t="str">
        <f>IMAGE("https://raw.githubusercontent.com/msikma/pokesprite/master/misc/types/gen8/fire.png",4,20,20)</f>
        <v/>
      </c>
      <c r="Y919" s="2380" t="s">
        <v>649</v>
      </c>
      <c r="Z919" s="2332"/>
      <c r="AA919" s="420"/>
      <c r="AB919" s="5303" t="str">
        <f>IMAGE("https://raw.githubusercontent.com/msikma/pokesprite/master/misc/types/gen8/water.png",4,20,20)</f>
        <v/>
      </c>
      <c r="AD919" s="2380" t="s">
        <v>1165</v>
      </c>
      <c r="AE919" s="2332"/>
      <c r="AF919" s="2332"/>
      <c r="AG919" s="2381"/>
      <c r="AH919" s="2563"/>
      <c r="AI919" s="3452"/>
    </row>
    <row r="920" ht="20.25" customHeight="1">
      <c r="A920" s="3446"/>
      <c r="B920" s="2327"/>
      <c r="C920" s="2396"/>
      <c r="E920" s="2380" t="s">
        <v>644</v>
      </c>
      <c r="F920" s="2332"/>
      <c r="G920" s="420"/>
      <c r="H920" s="5303" t="str">
        <f>IMAGE("https://raw.githubusercontent.com/msikma/pokesprite/master/misc/types/gen8/ground.png",4,20,20)</f>
        <v/>
      </c>
      <c r="J920" s="2380" t="s">
        <v>939</v>
      </c>
      <c r="K920" s="2332"/>
      <c r="L920" s="420"/>
      <c r="M920" s="5303" t="str">
        <f>IMAGE("https://raw.githubusercontent.com/msikma/pokesprite/master/misc/types/gen8/psychic.png",4,20,20)</f>
        <v/>
      </c>
      <c r="O920" s="2380" t="s">
        <v>545</v>
      </c>
      <c r="P920" s="2332"/>
      <c r="Q920" s="420"/>
      <c r="R920" s="5303" t="str">
        <f>IMAGE("https://raw.githubusercontent.com/msikma/pokesprite/master/misc/types/gen8/poison.png",4,20,20)</f>
        <v/>
      </c>
      <c r="T920" s="2380" t="s">
        <v>611</v>
      </c>
      <c r="U920" s="2332"/>
      <c r="V920" s="420"/>
      <c r="W920" s="5303" t="str">
        <f>IMAGE("https://raw.githubusercontent.com/msikma/pokesprite/master/misc/types/gen8/electric.png",4,20,20)</f>
        <v/>
      </c>
      <c r="Y920" s="2380" t="s">
        <v>1231</v>
      </c>
      <c r="Z920" s="2332"/>
      <c r="AA920" s="420"/>
      <c r="AB920" s="5303" t="str">
        <f>IMAGE("https://raw.githubusercontent.com/msikma/pokesprite/master/misc/types/gen8/poison.png",4,20,20)</f>
        <v/>
      </c>
      <c r="AD920" s="2380" t="s">
        <v>1165</v>
      </c>
      <c r="AE920" s="2332"/>
      <c r="AF920" s="2332"/>
      <c r="AG920" s="2381"/>
      <c r="AH920" s="2563"/>
      <c r="AI920" s="3452"/>
    </row>
    <row r="921" ht="21.0" customHeight="1">
      <c r="A921" s="3446"/>
      <c r="B921" s="2327"/>
      <c r="C921" s="2396"/>
      <c r="D921" s="2393"/>
      <c r="E921" s="2389" t="s">
        <v>581</v>
      </c>
      <c r="F921" s="2390"/>
      <c r="G921" s="2391"/>
      <c r="H921" s="5304" t="str">
        <f>IMAGE("https://raw.githubusercontent.com/msikma/pokesprite/master/misc/types/gen8/electric.png",4,20,20)</f>
        <v/>
      </c>
      <c r="I921" s="2393"/>
      <c r="J921" s="2389" t="s">
        <v>762</v>
      </c>
      <c r="K921" s="2390"/>
      <c r="L921" s="2391"/>
      <c r="M921" s="5304" t="str">
        <f>IMAGE("https://raw.githubusercontent.com/msikma/pokesprite/master/misc/types/gen8/dark.png",4,20,20)</f>
        <v/>
      </c>
      <c r="N921" s="2393"/>
      <c r="O921" s="2389" t="s">
        <v>1146</v>
      </c>
      <c r="P921" s="2390"/>
      <c r="Q921" s="2391"/>
      <c r="R921" s="5304" t="str">
        <f>IMAGE("https://raw.githubusercontent.com/msikma/pokesprite/master/misc/types/gen8/dark.png",4,20,20)</f>
        <v/>
      </c>
      <c r="S921" s="2393"/>
      <c r="T921" s="2389" t="s">
        <v>553</v>
      </c>
      <c r="U921" s="2390"/>
      <c r="V921" s="2391"/>
      <c r="W921" s="5304" t="str">
        <f>IMAGE("https://raw.githubusercontent.com/msikma/pokesprite/master/misc/types/gen8/grass.png",4,20,20)</f>
        <v/>
      </c>
      <c r="X921" s="2393"/>
      <c r="Y921" s="2389" t="s">
        <v>670</v>
      </c>
      <c r="Z921" s="2390"/>
      <c r="AA921" s="2391"/>
      <c r="AB921" s="5304" t="str">
        <f>IMAGE("https://raw.githubusercontent.com/msikma/pokesprite/master/misc/types/gen8/ice.png",4,20,20)</f>
        <v/>
      </c>
      <c r="AC921" s="2393"/>
      <c r="AD921" s="2389" t="s">
        <v>1165</v>
      </c>
      <c r="AE921" s="2390"/>
      <c r="AF921" s="2390"/>
      <c r="AG921" s="5366"/>
      <c r="AH921" s="2563"/>
      <c r="AI921" s="3452"/>
    </row>
    <row r="922" ht="3.0" customHeight="1">
      <c r="A922" s="3524"/>
      <c r="B922" s="2395"/>
      <c r="C922" s="2396"/>
      <c r="D922" s="2397"/>
      <c r="E922" s="5307"/>
      <c r="F922" s="5307"/>
      <c r="G922" s="5307"/>
      <c r="H922" s="5306"/>
      <c r="I922" s="2397"/>
      <c r="J922" s="5307"/>
      <c r="K922" s="5307"/>
      <c r="L922" s="5307"/>
      <c r="M922" s="5306"/>
      <c r="N922" s="2397"/>
      <c r="O922" s="5307"/>
      <c r="P922" s="5307"/>
      <c r="Q922" s="5307"/>
      <c r="R922" s="5308"/>
      <c r="S922" s="2397"/>
      <c r="T922" s="5307"/>
      <c r="U922" s="5307"/>
      <c r="V922" s="5307"/>
      <c r="W922" s="5308"/>
      <c r="X922" s="2397"/>
      <c r="Y922" s="5307"/>
      <c r="Z922" s="5307"/>
      <c r="AA922" s="5307"/>
      <c r="AB922" s="5367"/>
      <c r="AC922" s="2400"/>
      <c r="AD922" s="5307"/>
      <c r="AE922" s="5307"/>
      <c r="AF922" s="5307"/>
      <c r="AG922" s="5367"/>
      <c r="AH922" s="2401"/>
      <c r="AI922" s="3534"/>
    </row>
    <row r="923" ht="16.5" customHeight="1">
      <c r="A923" s="3535"/>
      <c r="B923" s="2403"/>
      <c r="C923" s="2396"/>
      <c r="D923" s="5309"/>
      <c r="E923" s="5310" t="s">
        <v>512</v>
      </c>
      <c r="F923" s="606"/>
      <c r="G923" s="606"/>
      <c r="H923" s="607"/>
      <c r="I923" s="5309"/>
      <c r="J923" s="5310" t="s">
        <v>512</v>
      </c>
      <c r="K923" s="606"/>
      <c r="L923" s="606"/>
      <c r="M923" s="607"/>
      <c r="N923" s="5309"/>
      <c r="O923" s="5310" t="s">
        <v>512</v>
      </c>
      <c r="P923" s="606"/>
      <c r="Q923" s="606"/>
      <c r="R923" s="607"/>
      <c r="S923" s="5309"/>
      <c r="T923" s="5310" t="s">
        <v>512</v>
      </c>
      <c r="U923" s="606"/>
      <c r="V923" s="606"/>
      <c r="W923" s="607"/>
      <c r="X923" s="5311"/>
      <c r="Y923" s="5310" t="s">
        <v>512</v>
      </c>
      <c r="Z923" s="606"/>
      <c r="AA923" s="606"/>
      <c r="AB923" s="607"/>
      <c r="AC923" s="2566"/>
      <c r="AD923" s="5310" t="s">
        <v>512</v>
      </c>
      <c r="AE923" s="606"/>
      <c r="AF923" s="606"/>
      <c r="AG923" s="607"/>
      <c r="AH923" s="2410"/>
      <c r="AI923" s="3543"/>
    </row>
    <row r="924" ht="16.5" customHeight="1">
      <c r="A924" s="3535"/>
      <c r="B924" s="2403"/>
      <c r="C924" s="2396"/>
      <c r="D924" s="5312"/>
      <c r="E924" s="5313" t="s">
        <v>513</v>
      </c>
      <c r="F924" s="5314">
        <f t="array" ref="F924">IFERROR(VLOOKUP(E911,Dex!$B$3:$N1361,8,FALSE),"")</f>
        <v>109</v>
      </c>
      <c r="G924" s="5315" t="str">
        <f t="array" ref="G924">IFERROR(VLOOKUP(F924,Dex!$P$22:$Q$276,2,FALSE),"")</f>
        <v/>
      </c>
      <c r="H924" s="5316"/>
      <c r="I924" s="5312"/>
      <c r="J924" s="5313" t="s">
        <v>513</v>
      </c>
      <c r="K924" s="5314">
        <f t="array" ref="K924">IFERROR(VLOOKUP(J911,Dex!$B$3:$N1361,8,FALSE),"")</f>
        <v>90</v>
      </c>
      <c r="L924" s="5315" t="str">
        <f t="array" ref="L924">IFERROR(VLOOKUP(K924,Dex!$P$22:$Q$276,2,FALSE),"")</f>
        <v/>
      </c>
      <c r="M924" s="5316"/>
      <c r="N924" s="5312"/>
      <c r="O924" s="5313" t="s">
        <v>513</v>
      </c>
      <c r="P924" s="5314">
        <f t="array" ref="P924">IFERROR(VLOOKUP(O911,Dex!$B$3:$N1361,8,FALSE),"")</f>
        <v>65</v>
      </c>
      <c r="Q924" s="5315" t="str">
        <f t="array" ref="Q924">IFERROR(VLOOKUP(P924,Dex!$P$22:$Q$276,2,FALSE),"")</f>
        <v/>
      </c>
      <c r="R924" s="5316"/>
      <c r="S924" s="5312"/>
      <c r="T924" s="5313" t="s">
        <v>513</v>
      </c>
      <c r="U924" s="5314">
        <f t="array" ref="U924">IFERROR(VLOOKUP(T911,Dex!$B$3:$N1361,8,FALSE),"")</f>
        <v>50</v>
      </c>
      <c r="V924" s="5315" t="str">
        <f t="array" ref="V924">IFERROR(VLOOKUP(U924,Dex!$P$22:$Q$276,2,FALSE),"")</f>
        <v/>
      </c>
      <c r="W924" s="5316"/>
      <c r="X924" s="5317"/>
      <c r="Y924" s="5313" t="s">
        <v>513</v>
      </c>
      <c r="Z924" s="5314">
        <f t="array" ref="Z924">IFERROR(VLOOKUP(Y911,Dex!$B$3:$N1361,8,FALSE),"")</f>
        <v>72</v>
      </c>
      <c r="AA924" s="5315" t="str">
        <f t="array" ref="AA924">IFERROR(VLOOKUP(Z924,Dex!$P$22:$Q$276,2,FALSE),"")</f>
        <v/>
      </c>
      <c r="AB924" s="5316"/>
      <c r="AC924" s="2409"/>
      <c r="AD924" s="5313" t="s">
        <v>513</v>
      </c>
      <c r="AE924" s="5314">
        <f t="array" ref="AE924">IFERROR(VLOOKUP(AD911,Dex!$B$3:$N1361,8,FALSE),"")</f>
        <v>50</v>
      </c>
      <c r="AF924" s="5315" t="str">
        <f t="array" ref="AF924">IFERROR(VLOOKUP(AE924,Dex!$P$22:$Q$276,2,FALSE),"")</f>
        <v/>
      </c>
      <c r="AG924" s="5316"/>
      <c r="AH924" s="2410"/>
      <c r="AI924" s="3543"/>
    </row>
    <row r="925" ht="16.5" customHeight="1">
      <c r="A925" s="3535"/>
      <c r="B925" s="2403"/>
      <c r="C925" s="2396"/>
      <c r="D925" s="5312"/>
      <c r="E925" s="5318" t="s">
        <v>514</v>
      </c>
      <c r="F925" s="5319">
        <f t="array" ref="F925">IFERROR(VLOOKUP(E911,Dex!$B$3:$N1361,9,FALSE),"")</f>
        <v>66</v>
      </c>
      <c r="G925" s="5320" t="str">
        <f t="array" ref="G925">IFERROR(VLOOKUP(F925,Dex!$P$22:$Q$276,2,FALSE),"")</f>
        <v/>
      </c>
      <c r="H925" s="5321"/>
      <c r="I925" s="5312"/>
      <c r="J925" s="5318" t="s">
        <v>514</v>
      </c>
      <c r="K925" s="5319">
        <f t="array" ref="K925">IFERROR(VLOOKUP(J911,Dex!$B$3:$N1361,9,FALSE),"")</f>
        <v>90</v>
      </c>
      <c r="L925" s="5320" t="str">
        <f t="array" ref="L925">IFERROR(VLOOKUP(K925,Dex!$P$22:$Q$276,2,FALSE),"")</f>
        <v/>
      </c>
      <c r="M925" s="5321"/>
      <c r="N925" s="5312"/>
      <c r="O925" s="5318" t="s">
        <v>514</v>
      </c>
      <c r="P925" s="5319">
        <f t="array" ref="P925">IFERROR(VLOOKUP(O911,Dex!$B$3:$N1361,9,FALSE),"")</f>
        <v>150</v>
      </c>
      <c r="Q925" s="5320" t="str">
        <f t="array" ref="Q925">IFERROR(VLOOKUP(P925,Dex!$P$22:$Q$276,2,FALSE),"")</f>
        <v/>
      </c>
      <c r="R925" s="5321"/>
      <c r="S925" s="5312"/>
      <c r="T925" s="5318" t="s">
        <v>514</v>
      </c>
      <c r="U925" s="5319">
        <f t="array" ref="U925">IFERROR(VLOOKUP(T911,Dex!$B$3:$N1361,9,FALSE),"")</f>
        <v>65</v>
      </c>
      <c r="V925" s="5320" t="str">
        <f t="array" ref="V925">IFERROR(VLOOKUP(U925,Dex!$P$22:$Q$276,2,FALSE),"")</f>
        <v/>
      </c>
      <c r="W925" s="5321"/>
      <c r="X925" s="5317"/>
      <c r="Y925" s="5318" t="s">
        <v>514</v>
      </c>
      <c r="Z925" s="5319">
        <f t="array" ref="Z925">IFERROR(VLOOKUP(Y911,Dex!$B$3:$N1361,9,FALSE),"")</f>
        <v>95</v>
      </c>
      <c r="AA925" s="5320" t="str">
        <f t="array" ref="AA925">IFERROR(VLOOKUP(Z925,Dex!$P$22:$Q$276,2,FALSE),"")</f>
        <v/>
      </c>
      <c r="AB925" s="5321"/>
      <c r="AC925" s="2409"/>
      <c r="AD925" s="5318" t="s">
        <v>514</v>
      </c>
      <c r="AE925" s="5319">
        <f t="array" ref="AE925">IFERROR(VLOOKUP(AD911,Dex!$B$3:$N1361,9,FALSE),"")</f>
        <v>70</v>
      </c>
      <c r="AF925" s="5320" t="str">
        <f t="array" ref="AF925">IFERROR(VLOOKUP(AE925,Dex!$P$22:$Q$276,2,FALSE),"")</f>
        <v/>
      </c>
      <c r="AG925" s="5321"/>
      <c r="AH925" s="2410"/>
      <c r="AI925" s="3543"/>
    </row>
    <row r="926" ht="16.5" customHeight="1">
      <c r="A926" s="3535"/>
      <c r="B926" s="2403"/>
      <c r="C926" s="2396"/>
      <c r="D926" s="5312"/>
      <c r="E926" s="5318" t="s">
        <v>515</v>
      </c>
      <c r="F926" s="5319">
        <f t="array" ref="F926">IFERROR(VLOOKUP(E911,Dex!$B$3:$N1361,10,FALSE),"")</f>
        <v>84</v>
      </c>
      <c r="G926" s="5320" t="str">
        <f t="array" ref="G926">IFERROR(VLOOKUP(F926,Dex!$P$22:$Q$276,2,FALSE),"")</f>
        <v/>
      </c>
      <c r="H926" s="5321"/>
      <c r="I926" s="5312"/>
      <c r="J926" s="5318" t="s">
        <v>515</v>
      </c>
      <c r="K926" s="5319">
        <f t="array" ref="K926">IFERROR(VLOOKUP(J911,Dex!$B$3:$N1361,10,FALSE),"")</f>
        <v>100</v>
      </c>
      <c r="L926" s="5320" t="str">
        <f t="array" ref="L926">IFERROR(VLOOKUP(K926,Dex!$P$22:$Q$276,2,FALSE),"")</f>
        <v/>
      </c>
      <c r="M926" s="5321"/>
      <c r="N926" s="5312"/>
      <c r="O926" s="5318" t="s">
        <v>515</v>
      </c>
      <c r="P926" s="5319">
        <f t="array" ref="P926">IFERROR(VLOOKUP(O911,Dex!$B$3:$N1361,10,FALSE),"")</f>
        <v>40</v>
      </c>
      <c r="Q926" s="5320" t="str">
        <f t="array" ref="Q926">IFERROR(VLOOKUP(P926,Dex!$P$22:$Q$276,2,FALSE),"")</f>
        <v/>
      </c>
      <c r="R926" s="5321"/>
      <c r="S926" s="5312"/>
      <c r="T926" s="5318" t="s">
        <v>515</v>
      </c>
      <c r="U926" s="5319">
        <f t="array" ref="U926">IFERROR(VLOOKUP(T911,Dex!$B$3:$N1361,10,FALSE),"")</f>
        <v>107</v>
      </c>
      <c r="V926" s="5320" t="str">
        <f t="array" ref="V926">IFERROR(VLOOKUP(U926,Dex!$P$22:$Q$276,2,FALSE),"")</f>
        <v/>
      </c>
      <c r="W926" s="5321"/>
      <c r="X926" s="5317"/>
      <c r="Y926" s="5318" t="s">
        <v>515</v>
      </c>
      <c r="Z926" s="5319">
        <f t="array" ref="Z926">IFERROR(VLOOKUP(Y911,Dex!$B$3:$N1361,10,FALSE),"")</f>
        <v>67</v>
      </c>
      <c r="AA926" s="5320" t="str">
        <f t="array" ref="AA926">IFERROR(VLOOKUP(Z926,Dex!$P$22:$Q$276,2,FALSE),"")</f>
        <v/>
      </c>
      <c r="AB926" s="5321"/>
      <c r="AC926" s="2409"/>
      <c r="AD926" s="5318" t="s">
        <v>515</v>
      </c>
      <c r="AE926" s="5319">
        <f t="array" ref="AE926">IFERROR(VLOOKUP(AD911,Dex!$B$3:$N1361,10,FALSE),"")</f>
        <v>100</v>
      </c>
      <c r="AF926" s="5320" t="str">
        <f t="array" ref="AF926">IFERROR(VLOOKUP(AE926,Dex!$P$22:$Q$276,2,FALSE),"")</f>
        <v/>
      </c>
      <c r="AG926" s="5321"/>
      <c r="AH926" s="2410"/>
      <c r="AI926" s="3543"/>
    </row>
    <row r="927" ht="16.5" customHeight="1">
      <c r="A927" s="3535"/>
      <c r="B927" s="2403"/>
      <c r="C927" s="2396"/>
      <c r="D927" s="5312"/>
      <c r="E927" s="5318" t="s">
        <v>516</v>
      </c>
      <c r="F927" s="5319">
        <f t="array" ref="F927">IFERROR(VLOOKUP(E911,Dex!$B$3:$N1361,11,FALSE),"")</f>
        <v>81</v>
      </c>
      <c r="G927" s="5320" t="str">
        <f t="array" ref="G927">IFERROR(VLOOKUP(F927,Dex!$P$22:$Q$276,2,FALSE),"")</f>
        <v/>
      </c>
      <c r="H927" s="5321"/>
      <c r="I927" s="5312"/>
      <c r="J927" s="5318" t="s">
        <v>516</v>
      </c>
      <c r="K927" s="5319">
        <f t="array" ref="K927">IFERROR(VLOOKUP(J911,Dex!$B$3:$N1361,11,FALSE),"")</f>
        <v>70</v>
      </c>
      <c r="L927" s="5320" t="str">
        <f t="array" ref="L927">IFERROR(VLOOKUP(K927,Dex!$P$22:$Q$276,2,FALSE),"")</f>
        <v/>
      </c>
      <c r="M927" s="5321"/>
      <c r="N927" s="5312"/>
      <c r="O927" s="5318" t="s">
        <v>516</v>
      </c>
      <c r="P927" s="5319">
        <f t="array" ref="P927">IFERROR(VLOOKUP(O911,Dex!$B$3:$N1361,11,FALSE),"")</f>
        <v>15</v>
      </c>
      <c r="Q927" s="5320" t="str">
        <f t="array" ref="Q927">IFERROR(VLOOKUP(P927,Dex!$P$22:$Q$276,2,FALSE),"")</f>
        <v/>
      </c>
      <c r="R927" s="5321"/>
      <c r="S927" s="5312"/>
      <c r="T927" s="5318" t="s">
        <v>516</v>
      </c>
      <c r="U927" s="5319">
        <f t="array" ref="U927">IFERROR(VLOOKUP(T911,Dex!$B$3:$N1361,11,FALSE),"")</f>
        <v>105</v>
      </c>
      <c r="V927" s="5320" t="str">
        <f t="array" ref="V927">IFERROR(VLOOKUP(U927,Dex!$P$22:$Q$276,2,FALSE),"")</f>
        <v/>
      </c>
      <c r="W927" s="5321"/>
      <c r="X927" s="5317"/>
      <c r="Y927" s="5318" t="s">
        <v>516</v>
      </c>
      <c r="Z927" s="5319">
        <f t="array" ref="Z927">IFERROR(VLOOKUP(Y911,Dex!$B$3:$N1361,11,FALSE),"")</f>
        <v>103</v>
      </c>
      <c r="AA927" s="5320" t="str">
        <f t="array" ref="AA927">IFERROR(VLOOKUP(Z927,Dex!$P$22:$Q$276,2,FALSE),"")</f>
        <v/>
      </c>
      <c r="AB927" s="5321"/>
      <c r="AC927" s="2409"/>
      <c r="AD927" s="5318" t="s">
        <v>516</v>
      </c>
      <c r="AE927" s="5319">
        <f t="array" ref="AE927">IFERROR(VLOOKUP(AD911,Dex!$B$3:$N1361,11,FALSE),"")</f>
        <v>40</v>
      </c>
      <c r="AF927" s="5320" t="str">
        <f t="array" ref="AF927">IFERROR(VLOOKUP(AE927,Dex!$P$22:$Q$276,2,FALSE),"")</f>
        <v/>
      </c>
      <c r="AG927" s="5321"/>
      <c r="AH927" s="2410"/>
      <c r="AI927" s="3543"/>
    </row>
    <row r="928" ht="16.5" customHeight="1">
      <c r="A928" s="3535"/>
      <c r="B928" s="2403"/>
      <c r="C928" s="2396"/>
      <c r="D928" s="5312"/>
      <c r="E928" s="5318" t="s">
        <v>517</v>
      </c>
      <c r="F928" s="5319">
        <f t="array" ref="F928">IFERROR(VLOOKUP(E911,Dex!$B$3:$N1361,12,FALSE),"")</f>
        <v>99</v>
      </c>
      <c r="G928" s="5320" t="str">
        <f t="array" ref="G928">IFERROR(VLOOKUP(F928,Dex!$P$22:$Q$276,2,FALSE),"")</f>
        <v/>
      </c>
      <c r="H928" s="5321"/>
      <c r="I928" s="5312"/>
      <c r="J928" s="5318" t="s">
        <v>517</v>
      </c>
      <c r="K928" s="5319">
        <f t="array" ref="K928">IFERROR(VLOOKUP(J911,Dex!$B$3:$N1361,12,FALSE),"")</f>
        <v>80</v>
      </c>
      <c r="L928" s="5320" t="str">
        <f t="array" ref="L928">IFERROR(VLOOKUP(K928,Dex!$P$22:$Q$276,2,FALSE),"")</f>
        <v/>
      </c>
      <c r="M928" s="5321"/>
      <c r="N928" s="5312"/>
      <c r="O928" s="5318" t="s">
        <v>517</v>
      </c>
      <c r="P928" s="5319">
        <f t="array" ref="P928">IFERROR(VLOOKUP(O911,Dex!$B$3:$N1361,12,FALSE),"")</f>
        <v>80</v>
      </c>
      <c r="Q928" s="5320" t="str">
        <f t="array" ref="Q928">IFERROR(VLOOKUP(P928,Dex!$P$22:$Q$276,2,FALSE),"")</f>
        <v/>
      </c>
      <c r="R928" s="5321"/>
      <c r="S928" s="5312"/>
      <c r="T928" s="5318" t="s">
        <v>517</v>
      </c>
      <c r="U928" s="5319">
        <f t="array" ref="U928">IFERROR(VLOOKUP(T911,Dex!$B$3:$N1361,12,FALSE),"")</f>
        <v>107</v>
      </c>
      <c r="V928" s="5320" t="str">
        <f t="array" ref="V928">IFERROR(VLOOKUP(U928,Dex!$P$22:$Q$276,2,FALSE),"")</f>
        <v/>
      </c>
      <c r="W928" s="5321"/>
      <c r="X928" s="5317"/>
      <c r="Y928" s="5318" t="s">
        <v>517</v>
      </c>
      <c r="Z928" s="5319">
        <f t="array" ref="Z928">IFERROR(VLOOKUP(Y911,Dex!$B$3:$N1361,12,FALSE),"")</f>
        <v>71</v>
      </c>
      <c r="AA928" s="5320" t="str">
        <f t="array" ref="AA928">IFERROR(VLOOKUP(Z928,Dex!$P$22:$Q$276,2,FALSE),"")</f>
        <v/>
      </c>
      <c r="AB928" s="5321"/>
      <c r="AC928" s="2409"/>
      <c r="AD928" s="5318" t="s">
        <v>517</v>
      </c>
      <c r="AE928" s="5319">
        <f t="array" ref="AE928">IFERROR(VLOOKUP(AD911,Dex!$B$3:$N1361,12,FALSE),"")</f>
        <v>40</v>
      </c>
      <c r="AF928" s="5320" t="str">
        <f t="array" ref="AF928">IFERROR(VLOOKUP(AE928,Dex!$P$22:$Q$276,2,FALSE),"")</f>
        <v/>
      </c>
      <c r="AG928" s="5321"/>
      <c r="AH928" s="2410"/>
      <c r="AI928" s="3543"/>
    </row>
    <row r="929" ht="16.5" customHeight="1">
      <c r="A929" s="3535"/>
      <c r="B929" s="2403"/>
      <c r="C929" s="1426" t="s">
        <v>745</v>
      </c>
      <c r="D929" s="5312"/>
      <c r="E929" s="5322" t="s">
        <v>518</v>
      </c>
      <c r="F929" s="5323">
        <f t="array" ref="F929">IFERROR(VLOOKUP(E911,Dex!$B$3:$N1361,13,FALSE),"")</f>
        <v>32</v>
      </c>
      <c r="G929" s="5320" t="str">
        <f t="array" ref="G929">IFERROR(VLOOKUP(F929,Dex!$P$22:$Q$276,2,FALSE),"")</f>
        <v/>
      </c>
      <c r="H929" s="5321"/>
      <c r="I929" s="5312"/>
      <c r="J929" s="5322" t="s">
        <v>518</v>
      </c>
      <c r="K929" s="5323">
        <f t="array" ref="K929">IFERROR(VLOOKUP(J911,Dex!$B$3:$N1361,13,FALSE),"")</f>
        <v>75</v>
      </c>
      <c r="L929" s="5320" t="str">
        <f t="array" ref="L929">IFERROR(VLOOKUP(K929,Dex!$P$22:$Q$276,2,FALSE),"")</f>
        <v/>
      </c>
      <c r="M929" s="5321"/>
      <c r="N929" s="5312"/>
      <c r="O929" s="5322" t="s">
        <v>518</v>
      </c>
      <c r="P929" s="5323">
        <f t="array" ref="P929">IFERROR(VLOOKUP(O911,Dex!$B$3:$N1361,13,FALSE),"")</f>
        <v>145</v>
      </c>
      <c r="Q929" s="5320" t="str">
        <f t="array" ref="Q929">IFERROR(VLOOKUP(P929,Dex!$P$22:$Q$276,2,FALSE),"")</f>
        <v/>
      </c>
      <c r="R929" s="5321"/>
      <c r="S929" s="5312"/>
      <c r="T929" s="5322" t="s">
        <v>518</v>
      </c>
      <c r="U929" s="5323">
        <f t="array" ref="U929">IFERROR(VLOOKUP(T911,Dex!$B$3:$N1361,13,FALSE),"")</f>
        <v>86</v>
      </c>
      <c r="V929" s="5320" t="str">
        <f t="array" ref="V929">IFERROR(VLOOKUP(U929,Dex!$P$22:$Q$276,2,FALSE),"")</f>
        <v/>
      </c>
      <c r="W929" s="5321"/>
      <c r="X929" s="5317"/>
      <c r="Y929" s="5322" t="s">
        <v>518</v>
      </c>
      <c r="Z929" s="5323">
        <f t="array" ref="Z929">IFERROR(VLOOKUP(Y911,Dex!$B$3:$N1361,13,FALSE),"")</f>
        <v>122</v>
      </c>
      <c r="AA929" s="5320" t="str">
        <f t="array" ref="AA929">IFERROR(VLOOKUP(Z929,Dex!$P$22:$Q$276,2,FALSE),"")</f>
        <v/>
      </c>
      <c r="AB929" s="5321"/>
      <c r="AC929" s="2409"/>
      <c r="AD929" s="5322" t="s">
        <v>518</v>
      </c>
      <c r="AE929" s="5323">
        <f t="array" ref="AE929">IFERROR(VLOOKUP(AD911,Dex!$B$3:$N1361,13,FALSE),"")</f>
        <v>30</v>
      </c>
      <c r="AF929" s="5320" t="str">
        <f t="array" ref="AF929">IFERROR(VLOOKUP(AE929,Dex!$P$22:$Q$276,2,FALSE),"")</f>
        <v/>
      </c>
      <c r="AG929" s="5321"/>
      <c r="AH929" s="2410"/>
      <c r="AI929" s="3543"/>
    </row>
    <row r="930" ht="16.5" customHeight="1">
      <c r="A930" s="3535"/>
      <c r="B930" s="2403"/>
      <c r="C930" s="1427" t="s">
        <v>746</v>
      </c>
      <c r="D930" s="5309"/>
      <c r="E930" s="5324" t="s">
        <v>519</v>
      </c>
      <c r="F930" s="630"/>
      <c r="G930" s="631"/>
      <c r="H930" s="632">
        <f>ROUNDDOWN((ROUNDDOWN(((((2*F929+31)*65)/100+5)),0))*1,0)</f>
        <v>66</v>
      </c>
      <c r="I930" s="5309"/>
      <c r="J930" s="5325" t="s">
        <v>519</v>
      </c>
      <c r="K930" s="635"/>
      <c r="L930" s="636"/>
      <c r="M930" s="632">
        <f>ROUNDDOWN((ROUNDDOWN(((((2*K929+31)*66)/100+5)),0))*1.1,0)</f>
        <v>136</v>
      </c>
      <c r="N930" s="5309"/>
      <c r="O930" s="5324" t="s">
        <v>519</v>
      </c>
      <c r="P930" s="630"/>
      <c r="Q930" s="631"/>
      <c r="R930" s="632">
        <f>ROUNDDOWN((ROUNDDOWN(((((2*P929+31)*66)/100+5)),0))*1.1,0)</f>
        <v>237</v>
      </c>
      <c r="S930" s="5309"/>
      <c r="T930" s="5324" t="s">
        <v>519</v>
      </c>
      <c r="U930" s="630"/>
      <c r="V930" s="631"/>
      <c r="W930" s="632">
        <f>ROUNDDOWN((ROUNDDOWN(((((2*U929+31)*66)/100+5)),0))*1.1,0)</f>
        <v>151</v>
      </c>
      <c r="X930" s="5311"/>
      <c r="Y930" s="5324" t="s">
        <v>519</v>
      </c>
      <c r="Z930" s="630"/>
      <c r="AA930" s="631"/>
      <c r="AB930" s="632">
        <f>ROUNDDOWN((ROUNDDOWN(((((2*Z929+31)*66)/100+5)),0))*1.1,0)</f>
        <v>204</v>
      </c>
      <c r="AC930" s="2566"/>
      <c r="AD930" s="5324" t="s">
        <v>519</v>
      </c>
      <c r="AE930" s="630"/>
      <c r="AF930" s="631"/>
      <c r="AG930" s="632">
        <f>ROUNDDOWN((ROUNDDOWN(((((2*AE929+31)*1)/100+5)),0))*1,0)</f>
        <v>5</v>
      </c>
      <c r="AH930" s="2410"/>
      <c r="AI930" s="3543"/>
    </row>
    <row r="931" ht="16.5" customHeight="1">
      <c r="A931" s="3535"/>
      <c r="B931" s="2403"/>
      <c r="C931" s="2396"/>
      <c r="D931" s="5326"/>
      <c r="E931" s="5328"/>
      <c r="F931" s="5328"/>
      <c r="G931" s="5328"/>
      <c r="H931" s="2396"/>
      <c r="I931" s="5326"/>
      <c r="J931" s="5327" t="s">
        <v>520</v>
      </c>
      <c r="K931" s="643"/>
      <c r="L931" s="644"/>
      <c r="M931" s="3064">
        <f>M930*2</f>
        <v>272</v>
      </c>
      <c r="N931" s="5326"/>
      <c r="O931" s="5328"/>
      <c r="P931" s="5328"/>
      <c r="Q931" s="5328"/>
      <c r="R931" s="2396"/>
      <c r="S931" s="5326"/>
      <c r="T931" s="5328"/>
      <c r="U931" s="5328"/>
      <c r="V931" s="5328"/>
      <c r="W931" s="2396"/>
      <c r="X931" s="2407"/>
      <c r="Y931" s="5328"/>
      <c r="Z931" s="5328"/>
      <c r="AA931" s="5328"/>
      <c r="AB931" s="2396"/>
      <c r="AC931" s="2409"/>
      <c r="AD931" s="5328"/>
      <c r="AE931" s="5328"/>
      <c r="AF931" s="5328"/>
      <c r="AG931" s="2396"/>
      <c r="AH931" s="2410"/>
      <c r="AI931" s="3543"/>
    </row>
    <row r="932" ht="15.0" customHeight="1">
      <c r="A932" s="3446"/>
      <c r="B932" s="2440"/>
      <c r="C932" s="2441"/>
      <c r="D932" s="5331"/>
      <c r="E932" s="5332"/>
      <c r="F932" s="5332"/>
      <c r="G932" s="5332"/>
      <c r="H932" s="5332"/>
      <c r="I932" s="5331"/>
      <c r="J932" s="5332"/>
      <c r="K932" s="5332"/>
      <c r="L932" s="5332"/>
      <c r="M932" s="5332"/>
      <c r="N932" s="5331"/>
      <c r="O932" s="5332"/>
      <c r="P932" s="5332"/>
      <c r="Q932" s="5332"/>
      <c r="R932" s="5332"/>
      <c r="S932" s="5331"/>
      <c r="T932" s="5332"/>
      <c r="U932" s="5332"/>
      <c r="V932" s="5332"/>
      <c r="W932" s="5332"/>
      <c r="X932" s="2442"/>
      <c r="Y932" s="5332"/>
      <c r="Z932" s="5332"/>
      <c r="AA932" s="5332"/>
      <c r="AB932" s="5332"/>
      <c r="AC932" s="2442"/>
      <c r="AD932" s="5332"/>
      <c r="AE932" s="5332"/>
      <c r="AF932" s="5332"/>
      <c r="AG932" s="5332"/>
      <c r="AH932" s="2445"/>
      <c r="AI932" s="3452"/>
    </row>
    <row r="933" ht="15.0" customHeight="1">
      <c r="A933" s="3446"/>
      <c r="B933" s="5288"/>
      <c r="C933" s="5289"/>
      <c r="D933" s="5289"/>
      <c r="E933" s="5289"/>
      <c r="F933" s="5289"/>
      <c r="G933" s="5289"/>
      <c r="H933" s="5289"/>
      <c r="I933" s="5289"/>
      <c r="J933" s="5289"/>
      <c r="K933" s="5289"/>
      <c r="L933" s="5289"/>
      <c r="M933" s="5289"/>
      <c r="N933" s="5289"/>
      <c r="O933" s="5289"/>
      <c r="P933" s="5289"/>
      <c r="Q933" s="5289"/>
      <c r="R933" s="5289"/>
      <c r="S933" s="5289"/>
      <c r="T933" s="5289"/>
      <c r="U933" s="5289"/>
      <c r="V933" s="5289"/>
      <c r="W933" s="5289"/>
      <c r="X933" s="5289"/>
      <c r="Y933" s="5289"/>
      <c r="Z933" s="5289"/>
      <c r="AA933" s="5289"/>
      <c r="AB933" s="5289"/>
      <c r="AC933" s="5289"/>
      <c r="AD933" s="5289"/>
      <c r="AE933" s="5289"/>
      <c r="AF933" s="5289"/>
      <c r="AG933" s="5289"/>
      <c r="AH933" s="5290"/>
      <c r="AI933" s="3452"/>
    </row>
    <row r="934">
      <c r="A934" s="3446"/>
      <c r="B934" s="2327"/>
      <c r="C934" s="5291"/>
      <c r="D934" s="2346"/>
      <c r="E934" s="5292" t="s">
        <v>1641</v>
      </c>
      <c r="F934" s="2383"/>
      <c r="G934" s="2383"/>
      <c r="H934" s="2383"/>
      <c r="I934" s="2383"/>
      <c r="J934" s="2383"/>
      <c r="K934" s="2383"/>
      <c r="L934" s="2383"/>
      <c r="M934" s="2383"/>
      <c r="N934" s="2383"/>
      <c r="O934" s="2383"/>
      <c r="P934" s="2383"/>
      <c r="Q934" s="2383"/>
      <c r="R934" s="2383"/>
      <c r="S934" s="2383"/>
      <c r="T934" s="2383"/>
      <c r="U934" s="2383"/>
      <c r="V934" s="2383"/>
      <c r="W934" s="2383"/>
      <c r="X934" s="2383"/>
      <c r="Y934" s="2383"/>
      <c r="Z934" s="2383"/>
      <c r="AA934" s="2383"/>
      <c r="AB934" s="2383"/>
      <c r="AC934" s="2383"/>
      <c r="AD934" s="2383"/>
      <c r="AE934" s="2383"/>
      <c r="AF934" s="2383"/>
      <c r="AG934" s="5293"/>
      <c r="AH934" s="5294"/>
      <c r="AI934" s="3452"/>
    </row>
    <row r="935" ht="96.75" customHeight="1">
      <c r="A935" s="3446"/>
      <c r="B935" s="2358"/>
      <c r="C935" s="5295" t="str">
        <f>IMAGE("https://i.ibb.co/qsQbp4Z/Biker.png")</f>
        <v/>
      </c>
      <c r="D935" s="2343"/>
      <c r="E935" s="5296" t="str">
        <f t="array" ref="E935">IFERROR(VLOOKUP(E936,Dex!$B$3:$G1361,3,FALSE),"")</f>
        <v/>
      </c>
      <c r="F935" s="1945"/>
      <c r="G935" s="1945"/>
      <c r="H935" s="1946"/>
      <c r="I935" s="2343"/>
      <c r="J935" s="5296" t="str">
        <f t="array" ref="J935">IFERROR(VLOOKUP(J936,Dex!$B$3:$G1361,3,FALSE),"")</f>
        <v/>
      </c>
      <c r="K935" s="1945"/>
      <c r="L935" s="1945"/>
      <c r="M935" s="1946"/>
      <c r="N935" s="2343"/>
      <c r="O935" s="5296" t="str">
        <f t="array" ref="O935">IFERROR(VLOOKUP(O936,Dex!$B$3:$G1361,3,FALSE),"")</f>
        <v/>
      </c>
      <c r="P935" s="1945"/>
      <c r="Q935" s="1945"/>
      <c r="R935" s="1946"/>
      <c r="S935" s="2343"/>
      <c r="T935" s="5296" t="str">
        <f t="array" ref="T935">IFERROR(VLOOKUP(T936,Dex!$B$3:$G1361,3,FALSE),"")</f>
        <v/>
      </c>
      <c r="U935" s="1945"/>
      <c r="V935" s="1945"/>
      <c r="W935" s="1946"/>
      <c r="X935" s="2344"/>
      <c r="Y935" s="5296" t="str">
        <f t="array" ref="Y935">IFERROR(VLOOKUP(Y936,Dex!$B$3:$G1361,3,FALSE),"")</f>
        <v/>
      </c>
      <c r="Z935" s="1945"/>
      <c r="AA935" s="1945"/>
      <c r="AB935" s="1946"/>
      <c r="AC935" s="2345"/>
      <c r="AD935" s="2329"/>
      <c r="AE935" s="2332"/>
      <c r="AF935" s="2332"/>
      <c r="AG935" s="420"/>
      <c r="AH935" s="2334"/>
      <c r="AI935" s="3452"/>
    </row>
    <row r="936" ht="18.75" customHeight="1">
      <c r="A936" s="3689"/>
      <c r="B936" s="2419"/>
      <c r="C936" s="5297" t="s">
        <v>1642</v>
      </c>
      <c r="E936" s="2351" t="s">
        <v>950</v>
      </c>
      <c r="F936" s="2352"/>
      <c r="G936" s="2352"/>
      <c r="H936" s="2353"/>
      <c r="J936" s="2351" t="s">
        <v>1643</v>
      </c>
      <c r="K936" s="2352"/>
      <c r="L936" s="2352"/>
      <c r="M936" s="2353"/>
      <c r="O936" s="2351" t="s">
        <v>1644</v>
      </c>
      <c r="P936" s="2352"/>
      <c r="Q936" s="2352"/>
      <c r="R936" s="2353"/>
      <c r="T936" s="2351" t="s">
        <v>1645</v>
      </c>
      <c r="U936" s="2352"/>
      <c r="V936" s="2352"/>
      <c r="W936" s="2353"/>
      <c r="Y936" s="2351" t="s">
        <v>527</v>
      </c>
      <c r="Z936" s="2352"/>
      <c r="AA936" s="2352"/>
      <c r="AB936" s="2353"/>
      <c r="AC936" s="302"/>
      <c r="AD936" s="2354"/>
      <c r="AE936" s="2332"/>
      <c r="AF936" s="2332"/>
      <c r="AG936" s="420"/>
      <c r="AH936" s="2356"/>
      <c r="AI936" s="3700"/>
    </row>
    <row r="937">
      <c r="A937" s="3701"/>
      <c r="B937" s="5298"/>
      <c r="C937" s="1638"/>
      <c r="E937" s="2360" t="s">
        <v>797</v>
      </c>
      <c r="F937" s="2361"/>
      <c r="G937" s="2361"/>
      <c r="H937" s="2362"/>
      <c r="J937" s="2360" t="s">
        <v>796</v>
      </c>
      <c r="K937" s="2361"/>
      <c r="L937" s="2361"/>
      <c r="M937" s="2362"/>
      <c r="O937" s="2360" t="s">
        <v>796</v>
      </c>
      <c r="P937" s="2361"/>
      <c r="Q937" s="2361"/>
      <c r="R937" s="2362"/>
      <c r="T937" s="2360" t="s">
        <v>796</v>
      </c>
      <c r="U937" s="2361"/>
      <c r="V937" s="2361"/>
      <c r="W937" s="2362"/>
      <c r="Y937" s="2360" t="s">
        <v>796</v>
      </c>
      <c r="Z937" s="2361"/>
      <c r="AA937" s="2361"/>
      <c r="AB937" s="2362"/>
      <c r="AC937" s="302"/>
      <c r="AD937" s="2758"/>
      <c r="AE937" s="2332"/>
      <c r="AF937" s="2332"/>
      <c r="AG937" s="420"/>
      <c r="AH937" s="5299"/>
      <c r="AI937" s="3709"/>
    </row>
    <row r="938" ht="25.5" customHeight="1">
      <c r="A938" s="3446"/>
      <c r="B938" s="2358"/>
      <c r="C938" s="1646"/>
      <c r="E938" s="2365"/>
      <c r="F938" s="2369" t="str">
        <f t="array" ref="F938">IFERROR(VLOOKUP(E936,Dex!$B$3:$H1361,5,FALSE),"")</f>
        <v/>
      </c>
      <c r="G938" s="2370" t="str">
        <f t="array" ref="G938">IFERROR(VLOOKUP(E936,Dex!$B$3:$H1361,7,FALSE),"")</f>
        <v/>
      </c>
      <c r="H938" s="2368"/>
      <c r="J938" s="2365"/>
      <c r="K938" s="2369" t="str">
        <f t="array" ref="K938">IFERROR(VLOOKUP(J936,Dex!$B$3:$H1361,5,FALSE),"")</f>
        <v/>
      </c>
      <c r="L938" s="2370" t="str">
        <f t="array" ref="L938">IFERROR(VLOOKUP(J936,Dex!$B$3:$H1361,7,FALSE),"")</f>
        <v/>
      </c>
      <c r="M938" s="2368"/>
      <c r="O938" s="2365"/>
      <c r="P938" s="2369" t="str">
        <f t="array" ref="P938">IFERROR(VLOOKUP(O936,Dex!$B$3:$H1361,5,FALSE),"")</f>
        <v/>
      </c>
      <c r="Q938" s="2370" t="str">
        <f t="array" ref="Q938">IFERROR(VLOOKUP(O936,Dex!$B$3:$H1361,7,FALSE),"")</f>
        <v/>
      </c>
      <c r="R938" s="2368"/>
      <c r="T938" s="2365"/>
      <c r="U938" s="2369" t="str">
        <f t="array" ref="U938">IFERROR(VLOOKUP(T936,Dex!$B$3:$H1361,5,FALSE),"")</f>
        <v/>
      </c>
      <c r="V938" s="2370" t="str">
        <f t="array" ref="V938">IFERROR(VLOOKUP(T936,Dex!$B$3:$H1361,7,FALSE),"")</f>
        <v/>
      </c>
      <c r="W938" s="2368"/>
      <c r="Y938" s="2365"/>
      <c r="Z938" s="2369" t="str">
        <f t="array" ref="Z938">IFERROR(VLOOKUP(Y936,Dex!$B$3:$H1361,5,FALSE),"")</f>
        <v/>
      </c>
      <c r="AA938" s="2370" t="str">
        <f t="array" ref="AA938">IFERROR(VLOOKUP(Y936,Dex!$B$3:$H1361,7,FALSE),"")</f>
        <v/>
      </c>
      <c r="AB938" s="2368"/>
      <c r="AC938" s="302"/>
      <c r="AD938" s="2329"/>
      <c r="AE938" s="2332"/>
      <c r="AF938" s="2332"/>
      <c r="AG938" s="420"/>
      <c r="AH938" s="2334"/>
      <c r="AI938" s="3452"/>
    </row>
    <row r="939" ht="2.25" customHeight="1">
      <c r="A939" s="3446"/>
      <c r="B939" s="2358"/>
      <c r="C939" s="5047"/>
      <c r="E939" s="2371"/>
      <c r="F939" s="2372"/>
      <c r="G939" s="2372"/>
      <c r="H939" s="2373"/>
      <c r="J939" s="2371"/>
      <c r="K939" s="2372"/>
      <c r="L939" s="2372"/>
      <c r="M939" s="2373"/>
      <c r="O939" s="2371"/>
      <c r="P939" s="2372"/>
      <c r="Q939" s="2372"/>
      <c r="R939" s="2373"/>
      <c r="T939" s="2371"/>
      <c r="U939" s="2372"/>
      <c r="V939" s="2372"/>
      <c r="W939" s="2373"/>
      <c r="Y939" s="2371"/>
      <c r="Z939" s="2372"/>
      <c r="AA939" s="2372"/>
      <c r="AB939" s="2373"/>
      <c r="AC939" s="302"/>
      <c r="AD939" s="2374"/>
      <c r="AE939" s="2374"/>
      <c r="AF939" s="2374"/>
      <c r="AG939" s="2374"/>
      <c r="AH939" s="2334"/>
      <c r="AI939" s="3452"/>
    </row>
    <row r="940" ht="20.25" customHeight="1">
      <c r="A940" s="3446"/>
      <c r="B940" s="2327"/>
      <c r="C940" s="5300"/>
      <c r="E940" s="2376" t="s">
        <v>565</v>
      </c>
      <c r="F940" s="2377"/>
      <c r="G940" s="2377"/>
      <c r="H940" s="2378"/>
      <c r="J940" s="2376" t="s">
        <v>532</v>
      </c>
      <c r="K940" s="2377"/>
      <c r="L940" s="2377"/>
      <c r="M940" s="2378"/>
      <c r="O940" s="2376" t="s">
        <v>532</v>
      </c>
      <c r="P940" s="2377"/>
      <c r="Q940" s="2377"/>
      <c r="R940" s="2378"/>
      <c r="T940" s="2376" t="s">
        <v>565</v>
      </c>
      <c r="U940" s="2377"/>
      <c r="V940" s="2377"/>
      <c r="W940" s="2378"/>
      <c r="Y940" s="2376" t="s">
        <v>564</v>
      </c>
      <c r="Z940" s="2377"/>
      <c r="AA940" s="2377"/>
      <c r="AB940" s="2378"/>
      <c r="AC940" s="302"/>
      <c r="AD940" s="2329"/>
      <c r="AE940" s="2332"/>
      <c r="AF940" s="2332"/>
      <c r="AG940" s="420"/>
      <c r="AH940" s="2334"/>
      <c r="AI940" s="3452"/>
    </row>
    <row r="941" ht="20.25" customHeight="1">
      <c r="A941" s="3446"/>
      <c r="B941" s="2327"/>
      <c r="C941" s="2328"/>
      <c r="E941" s="2380" t="s">
        <v>603</v>
      </c>
      <c r="F941" s="2332"/>
      <c r="G941" s="2332"/>
      <c r="H941" s="2381"/>
      <c r="J941" s="2380" t="s">
        <v>91</v>
      </c>
      <c r="K941" s="2332"/>
      <c r="L941" s="2332"/>
      <c r="M941" s="2381"/>
      <c r="O941" s="2380" t="s">
        <v>1646</v>
      </c>
      <c r="P941" s="2332"/>
      <c r="Q941" s="2332"/>
      <c r="R941" s="2381"/>
      <c r="T941" s="2380" t="s">
        <v>60</v>
      </c>
      <c r="U941" s="2332"/>
      <c r="V941" s="2332"/>
      <c r="W941" s="2381"/>
      <c r="Y941" s="2380" t="s">
        <v>535</v>
      </c>
      <c r="Z941" s="2332"/>
      <c r="AA941" s="2332"/>
      <c r="AB941" s="2381"/>
      <c r="AC941" s="302"/>
      <c r="AD941" s="2329"/>
      <c r="AE941" s="2332"/>
      <c r="AF941" s="2332"/>
      <c r="AG941" s="420"/>
      <c r="AH941" s="2334"/>
      <c r="AI941" s="3452"/>
    </row>
    <row r="942" ht="20.25" customHeight="1">
      <c r="A942" s="3446"/>
      <c r="B942" s="2327"/>
      <c r="C942" s="2328"/>
      <c r="E942" s="2382" t="s">
        <v>1083</v>
      </c>
      <c r="F942" s="2383"/>
      <c r="G942" s="5293"/>
      <c r="H942" s="5301" t="str">
        <f>IMAGE("https://raw.githubusercontent.com/msikma/pokesprite/master/items/berry/custap.png",3)</f>
        <v/>
      </c>
      <c r="J942" s="2382" t="s">
        <v>489</v>
      </c>
      <c r="K942" s="2383"/>
      <c r="L942" s="5293"/>
      <c r="M942" s="5301" t="str">
        <f>IMAGE("https://raw.githubusercontent.com/msikma/pokesprite/master/items/hold-item/eviolite.png",3)</f>
        <v/>
      </c>
      <c r="O942" s="2382" t="s">
        <v>687</v>
      </c>
      <c r="P942" s="2383"/>
      <c r="Q942" s="5293"/>
      <c r="R942" s="5301" t="str">
        <f>IMAGE("https://raw.githubusercontent.com/msikma/pokesprite/master/items/z-crystals/flyinium-z--held.png",3)</f>
        <v/>
      </c>
      <c r="T942" s="2382" t="s">
        <v>1084</v>
      </c>
      <c r="U942" s="2383"/>
      <c r="V942" s="5293"/>
      <c r="W942" s="5301" t="str">
        <f>IMAGE("https://raw.githubusercontent.com/msikma/pokesprite/master/items/gem/flying.png",3)</f>
        <v/>
      </c>
      <c r="Y942" s="2382" t="s">
        <v>541</v>
      </c>
      <c r="Z942" s="2383"/>
      <c r="AA942" s="5293"/>
      <c r="AB942" s="5301" t="str">
        <f>IMAGE("https://raw.githubusercontent.com/msikma/pokesprite/master/items/hold-item/life-orb.png",3)</f>
        <v/>
      </c>
      <c r="AC942" s="302"/>
      <c r="AD942" s="2329"/>
      <c r="AE942" s="2332"/>
      <c r="AF942" s="2332"/>
      <c r="AG942" s="420"/>
      <c r="AH942" s="2334"/>
      <c r="AI942" s="3452"/>
    </row>
    <row r="943" ht="20.25" customHeight="1">
      <c r="A943" s="3446"/>
      <c r="B943" s="2327"/>
      <c r="C943" s="2396"/>
      <c r="E943" s="2376" t="s">
        <v>844</v>
      </c>
      <c r="F943" s="2377"/>
      <c r="G943" s="2386"/>
      <c r="H943" s="5302" t="str">
        <f t="shared" ref="H943:H944" si="27">IMAGE("https://raw.githubusercontent.com/msikma/pokesprite/master/misc/types/gen8/electric.png",4,20,20)</f>
        <v/>
      </c>
      <c r="J943" s="2376" t="s">
        <v>287</v>
      </c>
      <c r="K943" s="2377"/>
      <c r="L943" s="2386"/>
      <c r="M943" s="5302" t="str">
        <f>IMAGE("https://raw.githubusercontent.com/msikma/pokesprite/master/misc/types/gen8/normal.png",4,20,20)</f>
        <v/>
      </c>
      <c r="O943" s="2376" t="s">
        <v>219</v>
      </c>
      <c r="P943" s="2377"/>
      <c r="Q943" s="2386"/>
      <c r="R943" s="5302" t="str">
        <f>IMAGE("https://raw.githubusercontent.com/msikma/pokesprite/master/misc/types/gen8/dragon.png",4,20,20)</f>
        <v/>
      </c>
      <c r="T943" s="2376" t="s">
        <v>546</v>
      </c>
      <c r="U943" s="2377"/>
      <c r="V943" s="2386"/>
      <c r="W943" s="5302" t="str">
        <f>IMAGE("https://raw.githubusercontent.com/msikma/pokesprite/master/misc/types/gen8/flying.png",4,20,20)</f>
        <v/>
      </c>
      <c r="Y943" s="2376" t="s">
        <v>542</v>
      </c>
      <c r="Z943" s="2377"/>
      <c r="AA943" s="2386"/>
      <c r="AB943" s="5302" t="str">
        <f t="shared" ref="AB943:AB944" si="28">IMAGE("https://raw.githubusercontent.com/msikma/pokesprite/master/misc/types/gen8/water.png",4,20,20)</f>
        <v/>
      </c>
      <c r="AC943" s="302"/>
      <c r="AD943" s="2329"/>
      <c r="AE943" s="2332"/>
      <c r="AF943" s="2332"/>
      <c r="AG943" s="420"/>
      <c r="AH943" s="2334"/>
      <c r="AI943" s="3452"/>
    </row>
    <row r="944" ht="20.25" customHeight="1">
      <c r="A944" s="3446"/>
      <c r="B944" s="2327"/>
      <c r="C944" s="2396"/>
      <c r="E944" s="2380" t="s">
        <v>581</v>
      </c>
      <c r="F944" s="2332"/>
      <c r="G944" s="420"/>
      <c r="H944" s="5303" t="str">
        <f t="shared" si="27"/>
        <v/>
      </c>
      <c r="J944" s="2380" t="s">
        <v>579</v>
      </c>
      <c r="K944" s="2332"/>
      <c r="L944" s="420"/>
      <c r="M944" s="5303" t="str">
        <f t="shared" ref="M944:M945" si="29">IMAGE("https://raw.githubusercontent.com/msikma/pokesprite/master/misc/types/gen8/dark.png",4,20,20)</f>
        <v/>
      </c>
      <c r="O944" s="2380" t="s">
        <v>1102</v>
      </c>
      <c r="P944" s="2332"/>
      <c r="Q944" s="420"/>
      <c r="R944" s="5303" t="str">
        <f>IMAGE("https://raw.githubusercontent.com/msikma/pokesprite/master/misc/types/gen8/water.png",4,20,20)</f>
        <v/>
      </c>
      <c r="T944" s="2380" t="s">
        <v>649</v>
      </c>
      <c r="U944" s="2332"/>
      <c r="V944" s="420"/>
      <c r="W944" s="5303" t="str">
        <f>IMAGE("https://raw.githubusercontent.com/msikma/pokesprite/master/misc/types/gen8/water.png",4,20,20)</f>
        <v/>
      </c>
      <c r="Y944" s="2380" t="s">
        <v>649</v>
      </c>
      <c r="Z944" s="2332"/>
      <c r="AA944" s="420"/>
      <c r="AB944" s="5303" t="str">
        <f t="shared" si="28"/>
        <v/>
      </c>
      <c r="AC944" s="302"/>
      <c r="AD944" s="2329"/>
      <c r="AE944" s="2332"/>
      <c r="AF944" s="2332"/>
      <c r="AG944" s="420"/>
      <c r="AH944" s="2334"/>
      <c r="AI944" s="3452"/>
    </row>
    <row r="945" ht="20.25" customHeight="1">
      <c r="A945" s="3446"/>
      <c r="B945" s="2327"/>
      <c r="C945" s="2396"/>
      <c r="E945" s="2380" t="s">
        <v>591</v>
      </c>
      <c r="F945" s="2332"/>
      <c r="G945" s="420"/>
      <c r="H945" s="5303" t="str">
        <f>IMAGE("https://raw.githubusercontent.com/msikma/pokesprite/master/misc/types/gen8/normal.png",4,20,20)</f>
        <v/>
      </c>
      <c r="J945" s="2380" t="s">
        <v>554</v>
      </c>
      <c r="K945" s="2332"/>
      <c r="L945" s="420"/>
      <c r="M945" s="5303" t="str">
        <f t="shared" si="29"/>
        <v/>
      </c>
      <c r="O945" s="2380" t="s">
        <v>549</v>
      </c>
      <c r="P945" s="2332"/>
      <c r="Q945" s="420"/>
      <c r="R945" s="5303" t="str">
        <f>IMAGE("https://raw.githubusercontent.com/msikma/pokesprite/master/misc/types/gen8/ground.png",4,20,20)</f>
        <v/>
      </c>
      <c r="T945" s="2380" t="s">
        <v>739</v>
      </c>
      <c r="U945" s="2332"/>
      <c r="V945" s="420"/>
      <c r="W945" s="5303" t="str">
        <f>IMAGE("https://raw.githubusercontent.com/msikma/pokesprite/master/misc/types/gen8/steel.png",4,20,20)</f>
        <v/>
      </c>
      <c r="Y945" s="2380" t="s">
        <v>844</v>
      </c>
      <c r="Z945" s="2332"/>
      <c r="AA945" s="420"/>
      <c r="AB945" s="5303" t="str">
        <f>IMAGE("https://raw.githubusercontent.com/msikma/pokesprite/master/misc/types/gen8/electric.png",4,20,20)</f>
        <v/>
      </c>
      <c r="AC945" s="302"/>
      <c r="AD945" s="2329"/>
      <c r="AE945" s="2332"/>
      <c r="AF945" s="2332"/>
      <c r="AG945" s="420"/>
      <c r="AH945" s="2334"/>
      <c r="AI945" s="3452"/>
    </row>
    <row r="946" ht="21.0" customHeight="1">
      <c r="A946" s="3446"/>
      <c r="B946" s="2327"/>
      <c r="C946" s="2396"/>
      <c r="D946" s="2393"/>
      <c r="E946" s="2389" t="s">
        <v>720</v>
      </c>
      <c r="F946" s="2390"/>
      <c r="G946" s="2391"/>
      <c r="H946" s="5304" t="str">
        <f>IMAGE("https://raw.githubusercontent.com/msikma/pokesprite/master/misc/types/gen8/fighting.png",4,20,20)</f>
        <v/>
      </c>
      <c r="I946" s="2393"/>
      <c r="J946" s="2389" t="s">
        <v>739</v>
      </c>
      <c r="K946" s="2390"/>
      <c r="L946" s="2391"/>
      <c r="M946" s="5304" t="str">
        <f>IMAGE("https://raw.githubusercontent.com/msikma/pokesprite/master/misc/types/gen8/steel.png",4,20,20)</f>
        <v/>
      </c>
      <c r="N946" s="2393"/>
      <c r="O946" s="2389" t="s">
        <v>1223</v>
      </c>
      <c r="P946" s="2390"/>
      <c r="Q946" s="2391"/>
      <c r="R946" s="5304" t="str">
        <f>IMAGE("https://raw.githubusercontent.com/msikma/pokesprite/master/misc/types/gen8/flying.png",4,20,20)</f>
        <v/>
      </c>
      <c r="S946" s="2393"/>
      <c r="T946" s="2389" t="s">
        <v>549</v>
      </c>
      <c r="U946" s="2390"/>
      <c r="V946" s="2391"/>
      <c r="W946" s="5304" t="str">
        <f>IMAGE("https://raw.githubusercontent.com/msikma/pokesprite/master/misc/types/gen8/ground.png",4,20,20)</f>
        <v/>
      </c>
      <c r="X946" s="2393"/>
      <c r="Y946" s="2389" t="s">
        <v>669</v>
      </c>
      <c r="Z946" s="2390"/>
      <c r="AA946" s="2391"/>
      <c r="AB946" s="5304" t="str">
        <f>IMAGE("https://raw.githubusercontent.com/msikma/pokesprite/master/misc/types/gen8/psychic.png",4,20,20)</f>
        <v/>
      </c>
      <c r="AC946" s="510"/>
      <c r="AD946" s="2329"/>
      <c r="AE946" s="2332"/>
      <c r="AF946" s="2332"/>
      <c r="AG946" s="420"/>
      <c r="AH946" s="2334"/>
      <c r="AI946" s="3452"/>
    </row>
    <row r="947" ht="3.0" customHeight="1">
      <c r="A947" s="3524"/>
      <c r="B947" s="2395"/>
      <c r="C947" s="2396"/>
      <c r="D947" s="2397"/>
      <c r="E947" s="5307"/>
      <c r="F947" s="5307"/>
      <c r="G947" s="5307"/>
      <c r="H947" s="5306"/>
      <c r="I947" s="2397"/>
      <c r="J947" s="5307"/>
      <c r="K947" s="5307"/>
      <c r="L947" s="5307"/>
      <c r="M947" s="5306"/>
      <c r="N947" s="2397"/>
      <c r="O947" s="5307"/>
      <c r="P947" s="5307"/>
      <c r="Q947" s="5307"/>
      <c r="R947" s="5308"/>
      <c r="S947" s="2397"/>
      <c r="T947" s="5307"/>
      <c r="U947" s="5307"/>
      <c r="V947" s="5307"/>
      <c r="W947" s="5308"/>
      <c r="X947" s="2397"/>
      <c r="Y947" s="5307"/>
      <c r="Z947" s="5307"/>
      <c r="AA947" s="5307"/>
      <c r="AB947" s="5308"/>
      <c r="AC947" s="2400"/>
      <c r="AD947" s="2400"/>
      <c r="AE947" s="2400"/>
      <c r="AF947" s="2400"/>
      <c r="AG947" s="2400"/>
      <c r="AH947" s="2401"/>
      <c r="AI947" s="3534"/>
    </row>
    <row r="948" ht="16.5" customHeight="1">
      <c r="A948" s="3535"/>
      <c r="B948" s="2403"/>
      <c r="C948" s="2396"/>
      <c r="D948" s="5309"/>
      <c r="E948" s="5310" t="s">
        <v>512</v>
      </c>
      <c r="F948" s="606"/>
      <c r="G948" s="606"/>
      <c r="H948" s="607"/>
      <c r="I948" s="5309"/>
      <c r="J948" s="5310" t="s">
        <v>512</v>
      </c>
      <c r="K948" s="606"/>
      <c r="L948" s="606"/>
      <c r="M948" s="607"/>
      <c r="N948" s="5309"/>
      <c r="O948" s="5310" t="s">
        <v>512</v>
      </c>
      <c r="P948" s="606"/>
      <c r="Q948" s="606"/>
      <c r="R948" s="607"/>
      <c r="S948" s="5309"/>
      <c r="T948" s="5310" t="s">
        <v>512</v>
      </c>
      <c r="U948" s="606"/>
      <c r="V948" s="606"/>
      <c r="W948" s="607"/>
      <c r="X948" s="5311"/>
      <c r="Y948" s="5310" t="s">
        <v>512</v>
      </c>
      <c r="Z948" s="606"/>
      <c r="AA948" s="606"/>
      <c r="AB948" s="607"/>
      <c r="AC948" s="2409"/>
      <c r="AD948" s="2409"/>
      <c r="AE948" s="2409"/>
      <c r="AF948" s="2409"/>
      <c r="AG948" s="2409"/>
      <c r="AH948" s="2410"/>
      <c r="AI948" s="3543"/>
    </row>
    <row r="949" ht="16.5" customHeight="1">
      <c r="A949" s="3535"/>
      <c r="B949" s="2403"/>
      <c r="C949" s="2396"/>
      <c r="D949" s="5312"/>
      <c r="E949" s="5313" t="s">
        <v>513</v>
      </c>
      <c r="F949" s="5314">
        <f t="array" ref="F949">IFERROR(VLOOKUP(E936,Dex!$B$3:$N1361,8,FALSE),"")</f>
        <v>70</v>
      </c>
      <c r="G949" s="5315" t="str">
        <f t="array" ref="G949">IFERROR(VLOOKUP(F949,Dex!$P$22:$Q$276,2,FALSE),"")</f>
        <v/>
      </c>
      <c r="H949" s="5316"/>
      <c r="I949" s="5312"/>
      <c r="J949" s="5313" t="s">
        <v>513</v>
      </c>
      <c r="K949" s="5314">
        <f t="array" ref="K949">IFERROR(VLOOKUP(J936,Dex!$B$3:$N1361,8,FALSE),"")</f>
        <v>65</v>
      </c>
      <c r="L949" s="5315" t="str">
        <f t="array" ref="L949">IFERROR(VLOOKUP(K949,Dex!$P$22:$Q$276,2,FALSE),"")</f>
        <v/>
      </c>
      <c r="M949" s="5316"/>
      <c r="N949" s="5312"/>
      <c r="O949" s="5313" t="s">
        <v>513</v>
      </c>
      <c r="P949" s="5314">
        <f t="array" ref="P949">IFERROR(VLOOKUP(O936,Dex!$B$3:$N1361,8,FALSE),"")</f>
        <v>110</v>
      </c>
      <c r="Q949" s="5315" t="str">
        <f t="array" ref="Q949">IFERROR(VLOOKUP(P949,Dex!$P$22:$Q$276,2,FALSE),"")</f>
        <v/>
      </c>
      <c r="R949" s="5316"/>
      <c r="S949" s="5312"/>
      <c r="T949" s="5313" t="s">
        <v>513</v>
      </c>
      <c r="U949" s="5314">
        <f t="array" ref="U949">IFERROR(VLOOKUP(T936,Dex!$B$3:$N1361,8,FALSE),"")</f>
        <v>95</v>
      </c>
      <c r="V949" s="5315" t="str">
        <f t="array" ref="V949">IFERROR(VLOOKUP(U949,Dex!$P$22:$Q$276,2,FALSE),"")</f>
        <v/>
      </c>
      <c r="W949" s="5316"/>
      <c r="X949" s="5317"/>
      <c r="Y949" s="5313" t="s">
        <v>513</v>
      </c>
      <c r="Z949" s="5314">
        <f t="array" ref="Z949">IFERROR(VLOOKUP(Y936,Dex!$B$3:$N1361,8,FALSE),"")</f>
        <v>60</v>
      </c>
      <c r="AA949" s="5315" t="str">
        <f t="array" ref="AA949">IFERROR(VLOOKUP(Z949,Dex!$P$22:$Q$276,2,FALSE),"")</f>
        <v/>
      </c>
      <c r="AB949" s="5316"/>
      <c r="AC949" s="2409"/>
      <c r="AD949" s="2409"/>
      <c r="AE949" s="2409"/>
      <c r="AF949" s="2409"/>
      <c r="AG949" s="2409"/>
      <c r="AH949" s="2410"/>
      <c r="AI949" s="3543"/>
    </row>
    <row r="950" ht="16.5" customHeight="1">
      <c r="A950" s="3535"/>
      <c r="B950" s="2403"/>
      <c r="C950" s="2396"/>
      <c r="D950" s="5312"/>
      <c r="E950" s="5318" t="s">
        <v>514</v>
      </c>
      <c r="F950" s="5319">
        <f t="array" ref="F950">IFERROR(VLOOKUP(E936,Dex!$B$3:$N1361,9,FALSE),"")</f>
        <v>70</v>
      </c>
      <c r="G950" s="5320" t="str">
        <f t="array" ref="G950">IFERROR(VLOOKUP(F950,Dex!$P$22:$Q$276,2,FALSE),"")</f>
        <v/>
      </c>
      <c r="H950" s="5321"/>
      <c r="I950" s="5312"/>
      <c r="J950" s="5318" t="s">
        <v>514</v>
      </c>
      <c r="K950" s="5319">
        <f t="array" ref="K950">IFERROR(VLOOKUP(J936,Dex!$B$3:$N1361,9,FALSE),"")</f>
        <v>125</v>
      </c>
      <c r="L950" s="5320" t="str">
        <f t="array" ref="L950">IFERROR(VLOOKUP(K950,Dex!$P$22:$Q$276,2,FALSE),"")</f>
        <v/>
      </c>
      <c r="M950" s="5321"/>
      <c r="N950" s="5312"/>
      <c r="O950" s="5318" t="s">
        <v>514</v>
      </c>
      <c r="P950" s="5319">
        <f t="array" ref="P950">IFERROR(VLOOKUP(O936,Dex!$B$3:$N1361,9,FALSE),"")</f>
        <v>78</v>
      </c>
      <c r="Q950" s="5320" t="str">
        <f t="array" ref="Q950">IFERROR(VLOOKUP(P950,Dex!$P$22:$Q$276,2,FALSE),"")</f>
        <v/>
      </c>
      <c r="R950" s="5321"/>
      <c r="S950" s="5312"/>
      <c r="T950" s="5318" t="s">
        <v>514</v>
      </c>
      <c r="U950" s="5319">
        <f t="array" ref="U950">IFERROR(VLOOKUP(T936,Dex!$B$3:$N1361,9,FALSE),"")</f>
        <v>135</v>
      </c>
      <c r="V950" s="5320" t="str">
        <f t="array" ref="V950">IFERROR(VLOOKUP(U950,Dex!$P$22:$Q$276,2,FALSE),"")</f>
        <v/>
      </c>
      <c r="W950" s="5321"/>
      <c r="X950" s="5317"/>
      <c r="Y950" s="5318" t="s">
        <v>514</v>
      </c>
      <c r="Z950" s="5319">
        <f t="array" ref="Z950">IFERROR(VLOOKUP(Y936,Dex!$B$3:$N1361,9,FALSE),"")</f>
        <v>75</v>
      </c>
      <c r="AA950" s="5320" t="str">
        <f t="array" ref="AA950">IFERROR(VLOOKUP(Z950,Dex!$P$22:$Q$276,2,FALSE),"")</f>
        <v/>
      </c>
      <c r="AB950" s="5321"/>
      <c r="AC950" s="2409"/>
      <c r="AD950" s="2409"/>
      <c r="AE950" s="2409"/>
      <c r="AF950" s="2409"/>
      <c r="AG950" s="2409"/>
      <c r="AH950" s="2410"/>
      <c r="AI950" s="3543"/>
    </row>
    <row r="951" ht="16.5" customHeight="1">
      <c r="A951" s="3535"/>
      <c r="B951" s="2403"/>
      <c r="C951" s="2396"/>
      <c r="D951" s="5312"/>
      <c r="E951" s="5318" t="s">
        <v>515</v>
      </c>
      <c r="F951" s="5319">
        <f t="array" ref="F951">IFERROR(VLOOKUP(E936,Dex!$B$3:$N1361,10,FALSE),"")</f>
        <v>115</v>
      </c>
      <c r="G951" s="5320" t="str">
        <f t="array" ref="G951">IFERROR(VLOOKUP(F951,Dex!$P$22:$Q$276,2,FALSE),"")</f>
        <v/>
      </c>
      <c r="H951" s="5321"/>
      <c r="I951" s="5312"/>
      <c r="J951" s="5318" t="s">
        <v>515</v>
      </c>
      <c r="K951" s="5319">
        <f t="array" ref="K951">IFERROR(VLOOKUP(J936,Dex!$B$3:$N1361,10,FALSE),"")</f>
        <v>100</v>
      </c>
      <c r="L951" s="5320" t="str">
        <f t="array" ref="L951">IFERROR(VLOOKUP(K951,Dex!$P$22:$Q$276,2,FALSE),"")</f>
        <v/>
      </c>
      <c r="M951" s="5321"/>
      <c r="N951" s="5312"/>
      <c r="O951" s="5318" t="s">
        <v>515</v>
      </c>
      <c r="P951" s="5319">
        <f t="array" ref="P951">IFERROR(VLOOKUP(O936,Dex!$B$3:$N1361,10,FALSE),"")</f>
        <v>73</v>
      </c>
      <c r="Q951" s="5320" t="str">
        <f t="array" ref="Q951">IFERROR(VLOOKUP(P951,Dex!$P$22:$Q$276,2,FALSE),"")</f>
        <v/>
      </c>
      <c r="R951" s="5321"/>
      <c r="S951" s="5312"/>
      <c r="T951" s="5318" t="s">
        <v>515</v>
      </c>
      <c r="U951" s="5319">
        <f t="array" ref="U951">IFERROR(VLOOKUP(T936,Dex!$B$3:$N1361,10,FALSE),"")</f>
        <v>80</v>
      </c>
      <c r="V951" s="5320" t="str">
        <f t="array" ref="V951">IFERROR(VLOOKUP(U951,Dex!$P$22:$Q$276,2,FALSE),"")</f>
        <v/>
      </c>
      <c r="W951" s="5321"/>
      <c r="X951" s="5317"/>
      <c r="Y951" s="5318" t="s">
        <v>515</v>
      </c>
      <c r="Z951" s="5319">
        <f t="array" ref="Z951">IFERROR(VLOOKUP(Y936,Dex!$B$3:$N1361,10,FALSE),"")</f>
        <v>85</v>
      </c>
      <c r="AA951" s="5320" t="str">
        <f t="array" ref="AA951">IFERROR(VLOOKUP(Z951,Dex!$P$22:$Q$276,2,FALSE),"")</f>
        <v/>
      </c>
      <c r="AB951" s="5321"/>
      <c r="AC951" s="2409"/>
      <c r="AD951" s="2409"/>
      <c r="AE951" s="2409"/>
      <c r="AF951" s="2409"/>
      <c r="AG951" s="2409"/>
      <c r="AH951" s="2410"/>
      <c r="AI951" s="3543"/>
    </row>
    <row r="952" ht="16.5" customHeight="1">
      <c r="A952" s="3535"/>
      <c r="B952" s="2403"/>
      <c r="C952" s="2396"/>
      <c r="D952" s="5312"/>
      <c r="E952" s="5318" t="s">
        <v>516</v>
      </c>
      <c r="F952" s="5319">
        <f t="array" ref="F952">IFERROR(VLOOKUP(E936,Dex!$B$3:$N1361,11,FALSE),"")</f>
        <v>130</v>
      </c>
      <c r="G952" s="5320" t="str">
        <f t="array" ref="G952">IFERROR(VLOOKUP(F952,Dex!$P$22:$Q$276,2,FALSE),"")</f>
        <v/>
      </c>
      <c r="H952" s="5321"/>
      <c r="I952" s="5312"/>
      <c r="J952" s="5318" t="s">
        <v>516</v>
      </c>
      <c r="K952" s="5319">
        <f t="array" ref="K952">IFERROR(VLOOKUP(J936,Dex!$B$3:$N1361,11,FALSE),"")</f>
        <v>60</v>
      </c>
      <c r="L952" s="5320" t="str">
        <f t="array" ref="L952">IFERROR(VLOOKUP(K952,Dex!$P$22:$Q$276,2,FALSE),"")</f>
        <v/>
      </c>
      <c r="M952" s="5321"/>
      <c r="N952" s="5312"/>
      <c r="O952" s="5318" t="s">
        <v>516</v>
      </c>
      <c r="P952" s="5319">
        <f t="array" ref="P952">IFERROR(VLOOKUP(O936,Dex!$B$3:$N1361,11,FALSE),"")</f>
        <v>76</v>
      </c>
      <c r="Q952" s="5320" t="str">
        <f t="array" ref="Q952">IFERROR(VLOOKUP(P952,Dex!$P$22:$Q$276,2,FALSE),"")</f>
        <v/>
      </c>
      <c r="R952" s="5321"/>
      <c r="S952" s="5312"/>
      <c r="T952" s="5318" t="s">
        <v>516</v>
      </c>
      <c r="U952" s="5319">
        <f t="array" ref="U952">IFERROR(VLOOKUP(T936,Dex!$B$3:$N1361,11,FALSE),"")</f>
        <v>110</v>
      </c>
      <c r="V952" s="5320" t="str">
        <f t="array" ref="V952">IFERROR(VLOOKUP(U952,Dex!$P$22:$Q$276,2,FALSE),"")</f>
        <v/>
      </c>
      <c r="W952" s="5321"/>
      <c r="X952" s="5317"/>
      <c r="Y952" s="5318" t="s">
        <v>516</v>
      </c>
      <c r="Z952" s="5319">
        <f t="array" ref="Z952">IFERROR(VLOOKUP(Y936,Dex!$B$3:$N1361,11,FALSE),"")</f>
        <v>100</v>
      </c>
      <c r="AA952" s="5320" t="str">
        <f t="array" ref="AA952">IFERROR(VLOOKUP(Z952,Dex!$P$22:$Q$276,2,FALSE),"")</f>
        <v/>
      </c>
      <c r="AB952" s="5321"/>
      <c r="AC952" s="2409"/>
      <c r="AD952" s="2409"/>
      <c r="AE952" s="2409"/>
      <c r="AF952" s="2409"/>
      <c r="AG952" s="2409"/>
      <c r="AH952" s="2410"/>
      <c r="AI952" s="3543"/>
    </row>
    <row r="953" ht="16.5" customHeight="1">
      <c r="A953" s="3535"/>
      <c r="B953" s="2403"/>
      <c r="C953" s="2396"/>
      <c r="D953" s="5312"/>
      <c r="E953" s="5318" t="s">
        <v>517</v>
      </c>
      <c r="F953" s="5319">
        <f t="array" ref="F953">IFERROR(VLOOKUP(E936,Dex!$B$3:$N1361,12,FALSE),"")</f>
        <v>90</v>
      </c>
      <c r="G953" s="5320" t="str">
        <f t="array" ref="G953">IFERROR(VLOOKUP(F953,Dex!$P$22:$Q$276,2,FALSE),"")</f>
        <v/>
      </c>
      <c r="H953" s="5321"/>
      <c r="I953" s="5312"/>
      <c r="J953" s="5318" t="s">
        <v>517</v>
      </c>
      <c r="K953" s="5319">
        <f t="array" ref="K953">IFERROR(VLOOKUP(J936,Dex!$B$3:$N1361,12,FALSE),"")</f>
        <v>70</v>
      </c>
      <c r="L953" s="5320" t="str">
        <f t="array" ref="L953">IFERROR(VLOOKUP(K953,Dex!$P$22:$Q$276,2,FALSE),"")</f>
        <v/>
      </c>
      <c r="M953" s="5321"/>
      <c r="N953" s="5312"/>
      <c r="O953" s="5318" t="s">
        <v>517</v>
      </c>
      <c r="P953" s="5319">
        <f t="array" ref="P953">IFERROR(VLOOKUP(O936,Dex!$B$3:$N1361,12,FALSE),"")</f>
        <v>71</v>
      </c>
      <c r="Q953" s="5320" t="str">
        <f t="array" ref="Q953">IFERROR(VLOOKUP(P953,Dex!$P$22:$Q$276,2,FALSE),"")</f>
        <v/>
      </c>
      <c r="R953" s="5321"/>
      <c r="S953" s="5312"/>
      <c r="T953" s="5318" t="s">
        <v>517</v>
      </c>
      <c r="U953" s="5319">
        <f t="array" ref="U953">IFERROR(VLOOKUP(T936,Dex!$B$3:$N1361,12,FALSE),"")</f>
        <v>80</v>
      </c>
      <c r="V953" s="5320" t="str">
        <f t="array" ref="V953">IFERROR(VLOOKUP(U953,Dex!$P$22:$Q$276,2,FALSE),"")</f>
        <v/>
      </c>
      <c r="W953" s="5321"/>
      <c r="X953" s="5317"/>
      <c r="Y953" s="5318" t="s">
        <v>517</v>
      </c>
      <c r="Z953" s="5319">
        <f t="array" ref="Z953">IFERROR(VLOOKUP(Y936,Dex!$B$3:$N1361,12,FALSE),"")</f>
        <v>85</v>
      </c>
      <c r="AA953" s="5320" t="str">
        <f t="array" ref="AA953">IFERROR(VLOOKUP(Z953,Dex!$P$22:$Q$276,2,FALSE),"")</f>
        <v/>
      </c>
      <c r="AB953" s="5321"/>
      <c r="AC953" s="2409"/>
      <c r="AD953" s="2409"/>
      <c r="AE953" s="2409"/>
      <c r="AF953" s="2409"/>
      <c r="AG953" s="2409"/>
      <c r="AH953" s="2410"/>
      <c r="AI953" s="3543"/>
    </row>
    <row r="954" ht="16.5" customHeight="1">
      <c r="A954" s="3535"/>
      <c r="B954" s="2403"/>
      <c r="C954" s="1426" t="s">
        <v>745</v>
      </c>
      <c r="D954" s="5312"/>
      <c r="E954" s="5322" t="s">
        <v>518</v>
      </c>
      <c r="F954" s="5323">
        <f t="array" ref="F954">IFERROR(VLOOKUP(E936,Dex!$B$3:$N1361,13,FALSE),"")</f>
        <v>60</v>
      </c>
      <c r="G954" s="5320" t="str">
        <f t="array" ref="G954">IFERROR(VLOOKUP(F954,Dex!$P$22:$Q$276,2,FALSE),"")</f>
        <v/>
      </c>
      <c r="H954" s="5321"/>
      <c r="I954" s="5312"/>
      <c r="J954" s="5322" t="s">
        <v>518</v>
      </c>
      <c r="K954" s="5323">
        <f t="array" ref="K954">IFERROR(VLOOKUP(J936,Dex!$B$3:$N1361,13,FALSE),"")</f>
        <v>70</v>
      </c>
      <c r="L954" s="5320" t="str">
        <f t="array" ref="L954">IFERROR(VLOOKUP(K954,Dex!$P$22:$Q$276,2,FALSE),"")</f>
        <v/>
      </c>
      <c r="M954" s="5321"/>
      <c r="N954" s="5312"/>
      <c r="O954" s="5322" t="s">
        <v>518</v>
      </c>
      <c r="P954" s="5323">
        <f t="array" ref="P954">IFERROR(VLOOKUP(O936,Dex!$B$3:$N1361,13,FALSE),"")</f>
        <v>60</v>
      </c>
      <c r="Q954" s="5320" t="str">
        <f t="array" ref="Q954">IFERROR(VLOOKUP(P954,Dex!$P$22:$Q$276,2,FALSE),"")</f>
        <v/>
      </c>
      <c r="R954" s="5321"/>
      <c r="S954" s="5312"/>
      <c r="T954" s="5322" t="s">
        <v>518</v>
      </c>
      <c r="U954" s="5323">
        <f t="array" ref="U954">IFERROR(VLOOKUP(T936,Dex!$B$3:$N1361,13,FALSE),"")</f>
        <v>100</v>
      </c>
      <c r="V954" s="5320" t="str">
        <f t="array" ref="V954">IFERROR(VLOOKUP(U954,Dex!$P$22:$Q$276,2,FALSE),"")</f>
        <v/>
      </c>
      <c r="W954" s="5321"/>
      <c r="X954" s="5317"/>
      <c r="Y954" s="5322" t="s">
        <v>518</v>
      </c>
      <c r="Z954" s="5323">
        <f t="array" ref="Z954">IFERROR(VLOOKUP(Y936,Dex!$B$3:$N1361,13,FALSE),"")</f>
        <v>115</v>
      </c>
      <c r="AA954" s="5320" t="str">
        <f t="array" ref="AA954">IFERROR(VLOOKUP(Z954,Dex!$P$22:$Q$276,2,FALSE),"")</f>
        <v/>
      </c>
      <c r="AB954" s="5321"/>
      <c r="AC954" s="2409"/>
      <c r="AD954" s="2409"/>
      <c r="AE954" s="2409"/>
      <c r="AF954" s="2409"/>
      <c r="AG954" s="2409"/>
      <c r="AH954" s="2410"/>
      <c r="AI954" s="3543"/>
    </row>
    <row r="955" ht="16.5" customHeight="1">
      <c r="A955" s="3535"/>
      <c r="B955" s="2403"/>
      <c r="C955" s="1427" t="s">
        <v>746</v>
      </c>
      <c r="D955" s="5309"/>
      <c r="E955" s="5324" t="s">
        <v>519</v>
      </c>
      <c r="F955" s="630"/>
      <c r="G955" s="631"/>
      <c r="H955" s="632">
        <f>ROUNDDOWN((ROUNDDOWN(((((2*F954+31)*65)/100+5)),0))*1.1,0)</f>
        <v>113</v>
      </c>
      <c r="I955" s="5309"/>
      <c r="J955" s="5324" t="s">
        <v>519</v>
      </c>
      <c r="K955" s="630"/>
      <c r="L955" s="631"/>
      <c r="M955" s="632">
        <f>ROUNDDOWN((ROUNDDOWN(((((2*K954+31)*66)/100+5)),0))*1.1,0)</f>
        <v>128</v>
      </c>
      <c r="N955" s="5309"/>
      <c r="O955" s="5324" t="s">
        <v>519</v>
      </c>
      <c r="P955" s="630"/>
      <c r="Q955" s="631"/>
      <c r="R955" s="632">
        <f>ROUNDDOWN((ROUNDDOWN(((((2*P954+31)*66)/100+5)),0))*1.1,0)</f>
        <v>114</v>
      </c>
      <c r="S955" s="5309"/>
      <c r="T955" s="5324" t="s">
        <v>519</v>
      </c>
      <c r="U955" s="630"/>
      <c r="V955" s="631"/>
      <c r="W955" s="632">
        <f>ROUNDDOWN((ROUNDDOWN(((((2*U954+31)*66)/100+5)),0))*1.1,0)</f>
        <v>172</v>
      </c>
      <c r="X955" s="5311"/>
      <c r="Y955" s="5324" t="s">
        <v>519</v>
      </c>
      <c r="Z955" s="630"/>
      <c r="AA955" s="631"/>
      <c r="AB955" s="632">
        <f>ROUNDDOWN((ROUNDDOWN(((((2*Z954+31)*66)/100+5)),0))*1.1,0)</f>
        <v>194</v>
      </c>
      <c r="AC955" s="2409"/>
      <c r="AD955" s="2409"/>
      <c r="AE955" s="2409"/>
      <c r="AF955" s="2409"/>
      <c r="AG955" s="2409"/>
      <c r="AH955" s="2410"/>
      <c r="AI955" s="3543"/>
    </row>
    <row r="956" ht="15.0" customHeight="1">
      <c r="A956" s="3446"/>
      <c r="B956" s="2440"/>
      <c r="C956" s="2441"/>
      <c r="D956" s="5331"/>
      <c r="E956" s="5332"/>
      <c r="F956" s="5332"/>
      <c r="G956" s="5332"/>
      <c r="H956" s="5332"/>
      <c r="I956" s="5331"/>
      <c r="J956" s="5332"/>
      <c r="K956" s="5332"/>
      <c r="L956" s="5332"/>
      <c r="M956" s="5332"/>
      <c r="N956" s="5331"/>
      <c r="O956" s="5332"/>
      <c r="P956" s="5332"/>
      <c r="Q956" s="5332"/>
      <c r="R956" s="5332"/>
      <c r="S956" s="5331"/>
      <c r="T956" s="5332"/>
      <c r="U956" s="5332"/>
      <c r="V956" s="5332"/>
      <c r="W956" s="5332"/>
      <c r="X956" s="2442"/>
      <c r="Y956" s="2444"/>
      <c r="Z956" s="2444"/>
      <c r="AA956" s="2444"/>
      <c r="AB956" s="2442"/>
      <c r="AC956" s="2442"/>
      <c r="AD956" s="2442"/>
      <c r="AE956" s="2442"/>
      <c r="AF956" s="2442"/>
      <c r="AG956" s="2442"/>
      <c r="AH956" s="2445"/>
      <c r="AI956" s="3452"/>
    </row>
    <row r="957" ht="15.0" customHeight="1">
      <c r="A957" s="3446"/>
      <c r="B957" s="5003"/>
      <c r="C957" s="5004"/>
      <c r="D957" s="5005"/>
      <c r="E957" s="5006"/>
      <c r="F957" s="5006"/>
      <c r="G957" s="5006"/>
      <c r="H957" s="5006"/>
      <c r="I957" s="5006"/>
      <c r="J957" s="5006"/>
      <c r="K957" s="5006"/>
      <c r="L957" s="5006"/>
      <c r="M957" s="5006"/>
      <c r="N957" s="5006"/>
      <c r="O957" s="5006"/>
      <c r="P957" s="5006"/>
      <c r="Q957" s="5006"/>
      <c r="R957" s="5006"/>
      <c r="S957" s="5006"/>
      <c r="T957" s="5006"/>
      <c r="U957" s="5006"/>
      <c r="V957" s="5006"/>
      <c r="W957" s="5006"/>
      <c r="X957" s="5006"/>
      <c r="Y957" s="5006"/>
      <c r="Z957" s="5006"/>
      <c r="AA957" s="5006"/>
      <c r="AB957" s="5006"/>
      <c r="AC957" s="5006"/>
      <c r="AD957" s="5006"/>
      <c r="AE957" s="5006"/>
      <c r="AF957" s="5006"/>
      <c r="AG957" s="5006"/>
      <c r="AH957" s="5007"/>
      <c r="AI957" s="3452"/>
    </row>
    <row r="958">
      <c r="A958" s="3446"/>
      <c r="B958" s="5008"/>
      <c r="C958" s="5009"/>
      <c r="D958" s="5010"/>
      <c r="E958" s="5011" t="s">
        <v>1647</v>
      </c>
      <c r="F958" s="5012"/>
      <c r="G958" s="5012"/>
      <c r="H958" s="5012"/>
      <c r="I958" s="5012"/>
      <c r="J958" s="5012"/>
      <c r="K958" s="5012"/>
      <c r="L958" s="5012"/>
      <c r="M958" s="5012"/>
      <c r="N958" s="5012"/>
      <c r="O958" s="5012"/>
      <c r="P958" s="5012"/>
      <c r="Q958" s="5012"/>
      <c r="R958" s="5012"/>
      <c r="S958" s="5012"/>
      <c r="T958" s="5012"/>
      <c r="U958" s="5012"/>
      <c r="V958" s="5012"/>
      <c r="W958" s="5012"/>
      <c r="X958" s="5012"/>
      <c r="Y958" s="5012"/>
      <c r="Z958" s="5012"/>
      <c r="AA958" s="5012"/>
      <c r="AB958" s="5012"/>
      <c r="AC958" s="5012"/>
      <c r="AD958" s="5012"/>
      <c r="AE958" s="5012"/>
      <c r="AF958" s="5012"/>
      <c r="AG958" s="5013"/>
      <c r="AH958" s="5014"/>
      <c r="AI958" s="3452"/>
    </row>
    <row r="959" ht="96.75" customHeight="1">
      <c r="A959" s="3446"/>
      <c r="B959" s="5015"/>
      <c r="C959" s="5016" t="str">
        <f>IMAGE("https://i.ibb.co/26GFSbd/Bird-Keeper.png")</f>
        <v/>
      </c>
      <c r="D959" s="5017"/>
      <c r="E959" s="5018" t="str">
        <f t="array" ref="E959">IFERROR(VLOOKUP(E960,Dex!$B$3:$G1361,3,FALSE),"")</f>
        <v/>
      </c>
      <c r="F959" s="606"/>
      <c r="G959" s="606"/>
      <c r="H959" s="4452"/>
      <c r="I959" s="5019"/>
      <c r="J959" s="5018" t="str">
        <f t="array" ref="J959">IFERROR(VLOOKUP(J960,Dex!$B$3:$G1361,3,FALSE),"")</f>
        <v/>
      </c>
      <c r="K959" s="606"/>
      <c r="L959" s="606"/>
      <c r="M959" s="4452"/>
      <c r="N959" s="5019"/>
      <c r="O959" s="5018" t="str">
        <f t="array" ref="O959">IFERROR(VLOOKUP(O960,Dex!$B$3:$G1361,3,FALSE),"")</f>
        <v/>
      </c>
      <c r="P959" s="606"/>
      <c r="Q959" s="606"/>
      <c r="R959" s="4452"/>
      <c r="S959" s="5019"/>
      <c r="T959" s="5018" t="str">
        <f t="array" ref="T959">IFERROR(VLOOKUP(T960,Dex!$B$3:$G1361,3,FALSE),"")</f>
        <v/>
      </c>
      <c r="U959" s="606"/>
      <c r="V959" s="606"/>
      <c r="W959" s="4452"/>
      <c r="X959" s="5020"/>
      <c r="Y959" s="5018" t="str">
        <f t="array" ref="Y959">IFERROR(VLOOKUP(Y960,Dex!$B$3:$G1361,3,FALSE),"")</f>
        <v/>
      </c>
      <c r="Z959" s="606"/>
      <c r="AA959" s="606"/>
      <c r="AB959" s="4452"/>
      <c r="AC959" s="5021"/>
      <c r="AD959" s="5022"/>
      <c r="AE959" s="5023"/>
      <c r="AF959" s="5023"/>
      <c r="AG959" s="5024"/>
      <c r="AH959" s="5025"/>
      <c r="AI959" s="3452"/>
    </row>
    <row r="960" ht="18.75" customHeight="1">
      <c r="A960" s="3689"/>
      <c r="B960" s="5026"/>
      <c r="C960" s="5027" t="s">
        <v>1648</v>
      </c>
      <c r="D960" s="5028"/>
      <c r="E960" s="5029" t="s">
        <v>1649</v>
      </c>
      <c r="F960" s="5030"/>
      <c r="G960" s="5030"/>
      <c r="H960" s="5031"/>
      <c r="J960" s="5029" t="s">
        <v>1650</v>
      </c>
      <c r="K960" s="5030"/>
      <c r="L960" s="5030"/>
      <c r="M960" s="5031"/>
      <c r="O960" s="5029" t="s">
        <v>1651</v>
      </c>
      <c r="P960" s="5030"/>
      <c r="Q960" s="5030"/>
      <c r="R960" s="5031"/>
      <c r="T960" s="5029" t="s">
        <v>1652</v>
      </c>
      <c r="U960" s="5030"/>
      <c r="V960" s="5030"/>
      <c r="W960" s="5031"/>
      <c r="Y960" s="5029" t="s">
        <v>1455</v>
      </c>
      <c r="Z960" s="5030"/>
      <c r="AA960" s="5030"/>
      <c r="AB960" s="5031"/>
      <c r="AC960" s="5032"/>
      <c r="AD960" s="5033"/>
      <c r="AE960" s="5023"/>
      <c r="AF960" s="5023"/>
      <c r="AG960" s="5024"/>
      <c r="AH960" s="5034"/>
      <c r="AI960" s="3700"/>
    </row>
    <row r="961">
      <c r="A961" s="3701"/>
      <c r="B961" s="5035"/>
      <c r="C961" s="1638"/>
      <c r="D961" s="5036"/>
      <c r="E961" s="5037" t="s">
        <v>729</v>
      </c>
      <c r="F961" s="5038"/>
      <c r="G961" s="5038"/>
      <c r="H961" s="5039"/>
      <c r="J961" s="5037" t="s">
        <v>796</v>
      </c>
      <c r="K961" s="5038"/>
      <c r="L961" s="5038"/>
      <c r="M961" s="5039"/>
      <c r="O961" s="5037" t="s">
        <v>796</v>
      </c>
      <c r="P961" s="5038"/>
      <c r="Q961" s="5038"/>
      <c r="R961" s="5039"/>
      <c r="T961" s="5037" t="s">
        <v>796</v>
      </c>
      <c r="U961" s="5038"/>
      <c r="V961" s="5038"/>
      <c r="W961" s="5039"/>
      <c r="Y961" s="5037" t="s">
        <v>796</v>
      </c>
      <c r="Z961" s="5038"/>
      <c r="AA961" s="5038"/>
      <c r="AB961" s="5039"/>
      <c r="AC961" s="5032"/>
      <c r="AD961" s="5040"/>
      <c r="AE961" s="5023"/>
      <c r="AF961" s="5023"/>
      <c r="AG961" s="5024"/>
      <c r="AH961" s="5041"/>
      <c r="AI961" s="3709"/>
    </row>
    <row r="962" ht="25.5" customHeight="1">
      <c r="A962" s="3446"/>
      <c r="B962" s="5015"/>
      <c r="C962" s="1646"/>
      <c r="D962" s="5042"/>
      <c r="E962" s="5043"/>
      <c r="F962" s="5044" t="str">
        <f t="array" ref="F962">IFERROR(VLOOKUP(E960,Dex!$B$3:$H1361,5,FALSE),"")</f>
        <v/>
      </c>
      <c r="G962" s="5045" t="str">
        <f t="array" ref="G962">IFERROR(VLOOKUP(E960,Dex!$B$3:$H1361,7,FALSE),"")</f>
        <v/>
      </c>
      <c r="H962" s="5046"/>
      <c r="J962" s="5043"/>
      <c r="K962" s="5044" t="str">
        <f t="array" ref="K962">IFERROR(VLOOKUP(J960,Dex!$B$3:$H1361,5,FALSE),"")</f>
        <v/>
      </c>
      <c r="L962" s="5045" t="str">
        <f t="array" ref="L962">IFERROR(VLOOKUP(J960,Dex!$B$3:$H1361,7,FALSE),"")</f>
        <v/>
      </c>
      <c r="M962" s="5046"/>
      <c r="O962" s="5043"/>
      <c r="P962" s="5286" t="str">
        <f t="array" ref="P962">IFERROR(VLOOKUP(O960,Dex!$B$3:$H1361,5,FALSE),"")</f>
        <v/>
      </c>
      <c r="Q962" s="5287"/>
      <c r="R962" s="5046"/>
      <c r="T962" s="5043"/>
      <c r="U962" s="5286" t="str">
        <f t="array" ref="U962">IFERROR(VLOOKUP(T960,Dex!$B$3:$H1361,5,FALSE),"")</f>
        <v/>
      </c>
      <c r="V962" s="5287"/>
      <c r="W962" s="5046"/>
      <c r="Y962" s="5043"/>
      <c r="Z962" s="5044" t="str">
        <f t="array" ref="Z962">IFERROR(VLOOKUP(Y960,Dex!$B$3:$H1361,5,FALSE),"")</f>
        <v/>
      </c>
      <c r="AA962" s="5045" t="str">
        <f t="array" ref="AA962">IFERROR(VLOOKUP(Y960,Dex!$B$3:$H1361,7,FALSE),"")</f>
        <v/>
      </c>
      <c r="AB962" s="5046"/>
      <c r="AC962" s="5032"/>
      <c r="AD962" s="5022"/>
      <c r="AE962" s="5023"/>
      <c r="AF962" s="5023"/>
      <c r="AG962" s="5024"/>
      <c r="AH962" s="5025"/>
      <c r="AI962" s="3452"/>
    </row>
    <row r="963" ht="2.25" customHeight="1">
      <c r="A963" s="3446"/>
      <c r="B963" s="5008"/>
      <c r="C963" s="5047"/>
      <c r="D963" s="5048"/>
      <c r="E963" s="5049"/>
      <c r="F963" s="5050"/>
      <c r="G963" s="5050"/>
      <c r="H963" s="5051"/>
      <c r="J963" s="5049"/>
      <c r="K963" s="5050"/>
      <c r="L963" s="5050"/>
      <c r="M963" s="5051"/>
      <c r="O963" s="5049"/>
      <c r="P963" s="5050"/>
      <c r="Q963" s="5050"/>
      <c r="R963" s="5051"/>
      <c r="T963" s="5049"/>
      <c r="U963" s="5050"/>
      <c r="V963" s="5050"/>
      <c r="W963" s="5051"/>
      <c r="Y963" s="5049"/>
      <c r="Z963" s="5050"/>
      <c r="AA963" s="5050"/>
      <c r="AB963" s="5051"/>
      <c r="AC963" s="5032"/>
      <c r="AD963" s="5052"/>
      <c r="AE963" s="5052"/>
      <c r="AF963" s="5052"/>
      <c r="AG963" s="5052"/>
      <c r="AH963" s="5025"/>
      <c r="AI963" s="3452"/>
    </row>
    <row r="964" ht="20.25" customHeight="1">
      <c r="A964" s="3446"/>
      <c r="B964" s="5008"/>
      <c r="C964" s="5053"/>
      <c r="D964" s="5022"/>
      <c r="E964" s="5054" t="s">
        <v>564</v>
      </c>
      <c r="F964" s="5055"/>
      <c r="G964" s="5055"/>
      <c r="H964" s="5056"/>
      <c r="J964" s="5054" t="s">
        <v>532</v>
      </c>
      <c r="K964" s="5055"/>
      <c r="L964" s="5055"/>
      <c r="M964" s="5056"/>
      <c r="O964" s="5054" t="s">
        <v>482</v>
      </c>
      <c r="P964" s="5055"/>
      <c r="Q964" s="5055"/>
      <c r="R964" s="5056"/>
      <c r="T964" s="5054" t="s">
        <v>564</v>
      </c>
      <c r="U964" s="5055"/>
      <c r="V964" s="5055"/>
      <c r="W964" s="5056"/>
      <c r="Y964" s="5054" t="s">
        <v>564</v>
      </c>
      <c r="Z964" s="5055"/>
      <c r="AA964" s="5055"/>
      <c r="AB964" s="5056"/>
      <c r="AC964" s="5032"/>
      <c r="AD964" s="5022"/>
      <c r="AE964" s="5023"/>
      <c r="AF964" s="5023"/>
      <c r="AG964" s="5024"/>
      <c r="AH964" s="5025"/>
      <c r="AI964" s="3452"/>
    </row>
    <row r="965" ht="20.25" customHeight="1">
      <c r="A965" s="3446"/>
      <c r="B965" s="5008"/>
      <c r="C965" s="5053"/>
      <c r="D965" s="5022"/>
      <c r="E965" s="5057" t="s">
        <v>1456</v>
      </c>
      <c r="F965" s="5023"/>
      <c r="G965" s="5023"/>
      <c r="H965" s="5058"/>
      <c r="J965" s="5057" t="s">
        <v>534</v>
      </c>
      <c r="K965" s="5023"/>
      <c r="L965" s="5023"/>
      <c r="M965" s="5058"/>
      <c r="O965" s="5057" t="s">
        <v>89</v>
      </c>
      <c r="P965" s="5023"/>
      <c r="Q965" s="5023"/>
      <c r="R965" s="5058"/>
      <c r="T965" s="5057" t="s">
        <v>94</v>
      </c>
      <c r="U965" s="5023"/>
      <c r="V965" s="5023"/>
      <c r="W965" s="5058"/>
      <c r="Y965" s="5057" t="s">
        <v>56</v>
      </c>
      <c r="Z965" s="5023"/>
      <c r="AA965" s="5023"/>
      <c r="AB965" s="5058"/>
      <c r="AC965" s="5032"/>
      <c r="AD965" s="5022"/>
      <c r="AE965" s="5023"/>
      <c r="AF965" s="5023"/>
      <c r="AG965" s="5024"/>
      <c r="AH965" s="5025"/>
      <c r="AI965" s="3452"/>
    </row>
    <row r="966" ht="20.25" customHeight="1">
      <c r="A966" s="3446"/>
      <c r="B966" s="5008"/>
      <c r="C966" s="5053"/>
      <c r="D966" s="5022"/>
      <c r="E966" s="5059" t="s">
        <v>573</v>
      </c>
      <c r="F966" s="5012"/>
      <c r="G966" s="5013"/>
      <c r="H966" s="5060" t="str">
        <f>IMAGE("https://raw.githubusercontent.com/msikma/pokesprite/master/items/hold-item/focus-sash.png",3)</f>
        <v/>
      </c>
      <c r="J966" s="5059" t="s">
        <v>1653</v>
      </c>
      <c r="K966" s="5012"/>
      <c r="L966" s="5013"/>
      <c r="M966" s="5060" t="str">
        <f>IMAGE("https://i.ibb.co/Qb0yYP8/wellspring.png",4,28,28)</f>
        <v/>
      </c>
      <c r="O966" s="5059" t="s">
        <v>489</v>
      </c>
      <c r="P966" s="5012"/>
      <c r="Q966" s="5013"/>
      <c r="R966" s="5060" t="str">
        <f>IMAGE("https://raw.githubusercontent.com/msikma/pokesprite/master/items/hold-item/eviolite.png",3)</f>
        <v/>
      </c>
      <c r="T966" s="5059" t="s">
        <v>493</v>
      </c>
      <c r="U966" s="5012"/>
      <c r="V966" s="5013"/>
      <c r="W966" s="5060" t="str">
        <f>IMAGE("https://raw.githubusercontent.com/msikma/pokesprite/master/items/hold-item/air-balloon.png",3)</f>
        <v/>
      </c>
      <c r="Y966" s="5059" t="s">
        <v>541</v>
      </c>
      <c r="Z966" s="5012"/>
      <c r="AA966" s="5013"/>
      <c r="AB966" s="5060" t="str">
        <f>IMAGE("https://raw.githubusercontent.com/msikma/pokesprite/master/items/hold-item/life-orb.png",3)</f>
        <v/>
      </c>
      <c r="AC966" s="5032"/>
      <c r="AD966" s="5022"/>
      <c r="AE966" s="5023"/>
      <c r="AF966" s="5023"/>
      <c r="AG966" s="5024"/>
      <c r="AH966" s="5025"/>
      <c r="AI966" s="3452"/>
    </row>
    <row r="967" ht="20.25" customHeight="1">
      <c r="A967" s="3446"/>
      <c r="B967" s="5008"/>
      <c r="C967" s="5061"/>
      <c r="D967" s="5022"/>
      <c r="E967" s="5054" t="s">
        <v>592</v>
      </c>
      <c r="F967" s="5055"/>
      <c r="G967" s="5062"/>
      <c r="H967" s="5063" t="str">
        <f>IMAGE("https://raw.githubusercontent.com/msikma/pokesprite/master/misc/types/gen8/water.png",4,20,20)</f>
        <v/>
      </c>
      <c r="J967" s="5054" t="s">
        <v>609</v>
      </c>
      <c r="K967" s="5055"/>
      <c r="L967" s="5062"/>
      <c r="M967" s="5063" t="str">
        <f>IMAGE("https://raw.githubusercontent.com/msikma/pokesprite/master/misc/types/gen8/water.png",4,20,20)</f>
        <v/>
      </c>
      <c r="O967" s="5054" t="s">
        <v>844</v>
      </c>
      <c r="P967" s="5055"/>
      <c r="Q967" s="5062"/>
      <c r="R967" s="5063" t="str">
        <f>IMAGE("https://raw.githubusercontent.com/msikma/pokesprite/master/misc/types/gen8/electric.png",4,20,20)</f>
        <v/>
      </c>
      <c r="T967" s="5054" t="s">
        <v>133</v>
      </c>
      <c r="U967" s="5055"/>
      <c r="V967" s="5062"/>
      <c r="W967" s="5063" t="str">
        <f>IMAGE("https://raw.githubusercontent.com/msikma/pokesprite/master/misc/types/gen8/electric.png",4,20,20)</f>
        <v/>
      </c>
      <c r="Y967" s="5054" t="s">
        <v>844</v>
      </c>
      <c r="Z967" s="5055"/>
      <c r="AA967" s="5062"/>
      <c r="AB967" s="5063" t="str">
        <f>IMAGE("https://raw.githubusercontent.com/msikma/pokesprite/master/misc/types/gen8/electric.png",4,20,20)</f>
        <v/>
      </c>
      <c r="AC967" s="5032"/>
      <c r="AD967" s="5022"/>
      <c r="AE967" s="5023"/>
      <c r="AF967" s="5023"/>
      <c r="AG967" s="5024"/>
      <c r="AH967" s="5025"/>
      <c r="AI967" s="3452"/>
    </row>
    <row r="968" ht="20.25" customHeight="1">
      <c r="A968" s="3446"/>
      <c r="B968" s="5008"/>
      <c r="C968" s="5061"/>
      <c r="D968" s="5022"/>
      <c r="E968" s="5057" t="s">
        <v>546</v>
      </c>
      <c r="F968" s="5023"/>
      <c r="G968" s="5024"/>
      <c r="H968" s="5064" t="str">
        <f>IMAGE("https://raw.githubusercontent.com/msikma/pokesprite/master/misc/types/gen8/flying.png",4,20,20)</f>
        <v/>
      </c>
      <c r="J968" s="5057" t="s">
        <v>616</v>
      </c>
      <c r="K968" s="5023"/>
      <c r="L968" s="5024"/>
      <c r="M968" s="5064" t="str">
        <f>IMAGE("https://raw.githubusercontent.com/msikma/pokesprite/master/misc/types/gen8/grass.png",4,20,20)</f>
        <v/>
      </c>
      <c r="O968" s="5057" t="s">
        <v>670</v>
      </c>
      <c r="P968" s="5023"/>
      <c r="Q968" s="5024"/>
      <c r="R968" s="5064" t="str">
        <f>IMAGE("https://raw.githubusercontent.com/msikma/pokesprite/master/misc/types/gen8/ice.png",4,20,20)</f>
        <v/>
      </c>
      <c r="T968" s="5057" t="s">
        <v>544</v>
      </c>
      <c r="U968" s="5023"/>
      <c r="V968" s="5024"/>
      <c r="W968" s="5064" t="str">
        <f>IMAGE("https://raw.githubusercontent.com/msikma/pokesprite/master/misc/types/gen8/water.png",4,20,20)</f>
        <v/>
      </c>
      <c r="Y968" s="5057" t="s">
        <v>644</v>
      </c>
      <c r="Z968" s="5023"/>
      <c r="AA968" s="5024"/>
      <c r="AB968" s="5064" t="str">
        <f>IMAGE("https://raw.githubusercontent.com/msikma/pokesprite/master/misc/types/gen8/ground.png",4,20,20)</f>
        <v/>
      </c>
      <c r="AC968" s="5032"/>
      <c r="AD968" s="5022"/>
      <c r="AE968" s="5023"/>
      <c r="AF968" s="5023"/>
      <c r="AG968" s="5024"/>
      <c r="AH968" s="5025"/>
      <c r="AI968" s="3452"/>
    </row>
    <row r="969" ht="20.25" customHeight="1">
      <c r="A969" s="3446"/>
      <c r="B969" s="5008"/>
      <c r="C969" s="5061"/>
      <c r="D969" s="5022"/>
      <c r="E969" s="5057" t="s">
        <v>670</v>
      </c>
      <c r="F969" s="5023"/>
      <c r="G969" s="5024"/>
      <c r="H969" s="5064" t="str">
        <f>IMAGE("https://raw.githubusercontent.com/msikma/pokesprite/master/misc/types/gen8/ice.png",4,20,20)</f>
        <v/>
      </c>
      <c r="J969" s="5057" t="s">
        <v>959</v>
      </c>
      <c r="K969" s="5023"/>
      <c r="L969" s="5024"/>
      <c r="M969" s="5064" t="str">
        <f>IMAGE("https://raw.githubusercontent.com/msikma/pokesprite/master/misc/types/gen8/fairy.png",4,20,20)</f>
        <v/>
      </c>
      <c r="O969" s="5057" t="s">
        <v>1242</v>
      </c>
      <c r="P969" s="5023"/>
      <c r="Q969" s="5024"/>
      <c r="R969" s="5064" t="str">
        <f>IMAGE("https://raw.githubusercontent.com/msikma/pokesprite/master/misc/types/gen8/dark.png",4,20,20)</f>
        <v/>
      </c>
      <c r="T969" s="5057" t="s">
        <v>587</v>
      </c>
      <c r="U969" s="5023"/>
      <c r="V969" s="5024"/>
      <c r="W969" s="5064" t="str">
        <f>IMAGE("https://raw.githubusercontent.com/msikma/pokesprite/master/misc/types/gen8/ice.png",4,20,20)</f>
        <v/>
      </c>
      <c r="Y969" s="5057" t="s">
        <v>773</v>
      </c>
      <c r="Z969" s="5023"/>
      <c r="AA969" s="5024"/>
      <c r="AB969" s="5064" t="str">
        <f>IMAGE("https://raw.githubusercontent.com/msikma/pokesprite/master/misc/types/gen8/poison.png",4,20,20)</f>
        <v/>
      </c>
      <c r="AC969" s="5032"/>
      <c r="AD969" s="5022"/>
      <c r="AE969" s="5023"/>
      <c r="AF969" s="5023"/>
      <c r="AG969" s="5024"/>
      <c r="AH969" s="5025"/>
      <c r="AI969" s="3452"/>
    </row>
    <row r="970" ht="21.0" customHeight="1">
      <c r="A970" s="3446"/>
      <c r="B970" s="5008"/>
      <c r="C970" s="5061"/>
      <c r="D970" s="5022"/>
      <c r="E970" s="5065" t="s">
        <v>551</v>
      </c>
      <c r="F970" s="5066"/>
      <c r="G970" s="5067"/>
      <c r="H970" s="5068" t="str">
        <f>IMAGE("https://raw.githubusercontent.com/msikma/pokesprite/master/misc/types/gen8/flying.png",4,20,20)</f>
        <v/>
      </c>
      <c r="I970" s="5069"/>
      <c r="J970" s="5065" t="s">
        <v>612</v>
      </c>
      <c r="K970" s="5066"/>
      <c r="L970" s="5067"/>
      <c r="M970" s="5068" t="str">
        <f>IMAGE("https://raw.githubusercontent.com/msikma/pokesprite/master/misc/types/gen8/bug.png",4,20,20)</f>
        <v/>
      </c>
      <c r="N970" s="5069"/>
      <c r="O970" s="5065" t="s">
        <v>623</v>
      </c>
      <c r="P970" s="5066"/>
      <c r="Q970" s="5067"/>
      <c r="R970" s="5068" t="str">
        <f>IMAGE("https://raw.githubusercontent.com/msikma/pokesprite/master/misc/types/gen8/psychic.png",4,20,20)</f>
        <v/>
      </c>
      <c r="S970" s="5069"/>
      <c r="T970" s="5065" t="s">
        <v>647</v>
      </c>
      <c r="U970" s="5066"/>
      <c r="V970" s="5067"/>
      <c r="W970" s="5068" t="str">
        <f>IMAGE("https://raw.githubusercontent.com/msikma/pokesprite/master/misc/types/gen8/ghost.png",4,20,20)</f>
        <v/>
      </c>
      <c r="X970" s="5069"/>
      <c r="Y970" s="5065" t="s">
        <v>1654</v>
      </c>
      <c r="Z970" s="5066"/>
      <c r="AA970" s="5067"/>
      <c r="AB970" s="5068" t="str">
        <f>IMAGE("https://raw.githubusercontent.com/msikma/pokesprite/master/misc/types/gen8/water.png",4,20,20)</f>
        <v/>
      </c>
      <c r="AC970" s="5070"/>
      <c r="AD970" s="5022"/>
      <c r="AE970" s="5023"/>
      <c r="AF970" s="5023"/>
      <c r="AG970" s="5024"/>
      <c r="AH970" s="5025"/>
      <c r="AI970" s="3452"/>
    </row>
    <row r="971" ht="3.0" customHeight="1">
      <c r="A971" s="3524"/>
      <c r="B971" s="5071"/>
      <c r="C971" s="5061"/>
      <c r="D971" s="5072"/>
      <c r="E971" s="5075"/>
      <c r="F971" s="5075"/>
      <c r="G971" s="5075"/>
      <c r="H971" s="5074"/>
      <c r="I971" s="5072"/>
      <c r="J971" s="5075"/>
      <c r="K971" s="5075"/>
      <c r="L971" s="5075"/>
      <c r="M971" s="5074"/>
      <c r="N971" s="5072"/>
      <c r="O971" s="5075"/>
      <c r="P971" s="5075"/>
      <c r="Q971" s="5075"/>
      <c r="R971" s="5076"/>
      <c r="S971" s="5077"/>
      <c r="T971" s="5075"/>
      <c r="U971" s="5075"/>
      <c r="V971" s="5075"/>
      <c r="W971" s="5076"/>
      <c r="X971" s="5072"/>
      <c r="Y971" s="5075"/>
      <c r="Z971" s="5075"/>
      <c r="AA971" s="5075"/>
      <c r="AB971" s="5076"/>
      <c r="AC971" s="5078"/>
      <c r="AD971" s="5078"/>
      <c r="AE971" s="5078"/>
      <c r="AF971" s="5078"/>
      <c r="AG971" s="5078"/>
      <c r="AH971" s="5079"/>
      <c r="AI971" s="3534"/>
    </row>
    <row r="972" ht="16.5" customHeight="1">
      <c r="A972" s="3535"/>
      <c r="B972" s="5080"/>
      <c r="C972" s="5061"/>
      <c r="D972" s="5106"/>
      <c r="E972" s="5082" t="s">
        <v>512</v>
      </c>
      <c r="F972" s="606"/>
      <c r="G972" s="5083"/>
      <c r="H972" s="5084" t="s">
        <v>1554</v>
      </c>
      <c r="I972" s="5085"/>
      <c r="J972" s="5082" t="s">
        <v>512</v>
      </c>
      <c r="K972" s="606"/>
      <c r="L972" s="5083"/>
      <c r="M972" s="5084" t="s">
        <v>1554</v>
      </c>
      <c r="N972" s="5085"/>
      <c r="O972" s="5082" t="s">
        <v>512</v>
      </c>
      <c r="P972" s="606"/>
      <c r="Q972" s="5083"/>
      <c r="R972" s="5084" t="s">
        <v>1554</v>
      </c>
      <c r="S972" s="5086"/>
      <c r="T972" s="5082" t="s">
        <v>512</v>
      </c>
      <c r="U972" s="606"/>
      <c r="V972" s="5083"/>
      <c r="W972" s="5084" t="s">
        <v>1554</v>
      </c>
      <c r="X972" s="5087"/>
      <c r="Y972" s="5082" t="s">
        <v>512</v>
      </c>
      <c r="Z972" s="606"/>
      <c r="AA972" s="5083"/>
      <c r="AB972" s="5084" t="s">
        <v>1554</v>
      </c>
      <c r="AC972" s="5088"/>
      <c r="AD972" s="5088"/>
      <c r="AE972" s="5088"/>
      <c r="AF972" s="5088"/>
      <c r="AG972" s="5088"/>
      <c r="AH972" s="5089"/>
      <c r="AI972" s="3543"/>
    </row>
    <row r="973" ht="16.5" customHeight="1">
      <c r="A973" s="3535"/>
      <c r="B973" s="5080"/>
      <c r="C973" s="5061"/>
      <c r="D973" s="5081"/>
      <c r="E973" s="5090" t="s">
        <v>513</v>
      </c>
      <c r="F973" s="5091">
        <f t="array" ref="F973">IFERROR(VLOOKUP(E960,Dex!$B$3:$N1361,8,FALSE),"")</f>
        <v>85</v>
      </c>
      <c r="G973" s="5092" t="str">
        <f t="array" ref="G973">IFERROR(VLOOKUP(F973,Dex!$P$22:$Q$276,2,FALSE),"")</f>
        <v/>
      </c>
      <c r="H973" s="5093"/>
      <c r="I973" s="5094"/>
      <c r="J973" s="5090" t="s">
        <v>513</v>
      </c>
      <c r="K973" s="5091">
        <f t="array" ref="K973">IFERROR(VLOOKUP(J960,Dex!$B$3:$N1361,8,FALSE),"")</f>
        <v>80</v>
      </c>
      <c r="L973" s="5092" t="str">
        <f t="array" ref="L973">IFERROR(VLOOKUP(K973,Dex!$P$22:$Q$276,2,FALSE),"")</f>
        <v/>
      </c>
      <c r="M973" s="5093"/>
      <c r="N973" s="5095"/>
      <c r="O973" s="5090" t="s">
        <v>513</v>
      </c>
      <c r="P973" s="5091">
        <f t="array" ref="P973">IFERROR(VLOOKUP(O960,Dex!$B$3:$N1361,8,FALSE),"")</f>
        <v>85</v>
      </c>
      <c r="Q973" s="5092" t="str">
        <f t="array" ref="Q973">IFERROR(VLOOKUP(P973,Dex!$P$22:$Q$276,2,FALSE),"")</f>
        <v/>
      </c>
      <c r="R973" s="5093"/>
      <c r="S973" s="5096"/>
      <c r="T973" s="5090" t="s">
        <v>513</v>
      </c>
      <c r="U973" s="5091">
        <f t="array" ref="U973">IFERROR(VLOOKUP(T960,Dex!$B$3:$N1361,8,FALSE),"")</f>
        <v>90</v>
      </c>
      <c r="V973" s="5092" t="str">
        <f t="array" ref="V973">IFERROR(VLOOKUP(U973,Dex!$P$22:$Q$276,2,FALSE),"")</f>
        <v/>
      </c>
      <c r="W973" s="5093"/>
      <c r="X973" s="5097"/>
      <c r="Y973" s="5090" t="s">
        <v>513</v>
      </c>
      <c r="Z973" s="5091">
        <f t="array" ref="Z973">IFERROR(VLOOKUP(Y960,Dex!$B$3:$N1361,8,FALSE),"")</f>
        <v>90</v>
      </c>
      <c r="AA973" s="5092" t="str">
        <f t="array" ref="AA973">IFERROR(VLOOKUP(Z973,Dex!$P$22:$Q$276,2,FALSE),"")</f>
        <v/>
      </c>
      <c r="AB973" s="5093"/>
      <c r="AC973" s="5088"/>
      <c r="AD973" s="5088"/>
      <c r="AE973" s="5088"/>
      <c r="AF973" s="5088"/>
      <c r="AG973" s="5088"/>
      <c r="AH973" s="5089"/>
      <c r="AI973" s="3543"/>
    </row>
    <row r="974" ht="16.5" customHeight="1">
      <c r="A974" s="3535"/>
      <c r="B974" s="5080"/>
      <c r="C974" s="5061"/>
      <c r="D974" s="5081"/>
      <c r="E974" s="5098" t="s">
        <v>514</v>
      </c>
      <c r="F974" s="5099">
        <f t="array" ref="F974">IFERROR(VLOOKUP(E960,Dex!$B$3:$N1361,9,FALSE),"")</f>
        <v>85</v>
      </c>
      <c r="G974" s="5100" t="str">
        <f t="array" ref="G974">IFERROR(VLOOKUP(F974,Dex!$P$22:$Q$276,2,FALSE),"")</f>
        <v/>
      </c>
      <c r="H974" s="5101"/>
      <c r="I974" s="5094"/>
      <c r="J974" s="5098" t="s">
        <v>514</v>
      </c>
      <c r="K974" s="5099">
        <f t="array" ref="K974">IFERROR(VLOOKUP(J960,Dex!$B$3:$N1361,9,FALSE),"")</f>
        <v>120</v>
      </c>
      <c r="L974" s="5100" t="str">
        <f t="array" ref="L974">IFERROR(VLOOKUP(K974,Dex!$P$22:$Q$276,2,FALSE),"")</f>
        <v/>
      </c>
      <c r="M974" s="5101"/>
      <c r="N974" s="5095"/>
      <c r="O974" s="5098" t="s">
        <v>514</v>
      </c>
      <c r="P974" s="5099">
        <f t="array" ref="P974">IFERROR(VLOOKUP(O960,Dex!$B$3:$N1361,9,FALSE),"")</f>
        <v>80</v>
      </c>
      <c r="Q974" s="5100" t="str">
        <f t="array" ref="Q974">IFERROR(VLOOKUP(P974,Dex!$P$22:$Q$276,2,FALSE),"")</f>
        <v/>
      </c>
      <c r="R974" s="5101"/>
      <c r="S974" s="5096"/>
      <c r="T974" s="5098" t="s">
        <v>514</v>
      </c>
      <c r="U974" s="5099">
        <f t="array" ref="U974">IFERROR(VLOOKUP(T960,Dex!$B$3:$N1361,9,FALSE),"")</f>
        <v>85</v>
      </c>
      <c r="V974" s="5100" t="str">
        <f t="array" ref="V974">IFERROR(VLOOKUP(U974,Dex!$P$22:$Q$276,2,FALSE),"")</f>
        <v/>
      </c>
      <c r="W974" s="5101"/>
      <c r="X974" s="5097"/>
      <c r="Y974" s="5098" t="s">
        <v>514</v>
      </c>
      <c r="Z974" s="5099">
        <f t="array" ref="Z974">IFERROR(VLOOKUP(Y960,Dex!$B$3:$N1361,9,FALSE),"")</f>
        <v>92</v>
      </c>
      <c r="AA974" s="5100" t="str">
        <f t="array" ref="AA974">IFERROR(VLOOKUP(Z974,Dex!$P$22:$Q$276,2,FALSE),"")</f>
        <v/>
      </c>
      <c r="AB974" s="5101"/>
      <c r="AC974" s="5088"/>
      <c r="AD974" s="5088"/>
      <c r="AE974" s="5088"/>
      <c r="AF974" s="5088"/>
      <c r="AG974" s="5088"/>
      <c r="AH974" s="5089"/>
      <c r="AI974" s="3543"/>
    </row>
    <row r="975" ht="16.5" customHeight="1">
      <c r="A975" s="3535"/>
      <c r="B975" s="5080"/>
      <c r="C975" s="5061"/>
      <c r="D975" s="5081"/>
      <c r="E975" s="5098" t="s">
        <v>515</v>
      </c>
      <c r="F975" s="5099">
        <f t="array" ref="F975">IFERROR(VLOOKUP(E960,Dex!$B$3:$N1361,10,FALSE),"")</f>
        <v>65</v>
      </c>
      <c r="G975" s="5100" t="str">
        <f t="array" ref="G975">IFERROR(VLOOKUP(F975,Dex!$P$22:$Q$276,2,FALSE),"")</f>
        <v/>
      </c>
      <c r="H975" s="5101"/>
      <c r="I975" s="5094"/>
      <c r="J975" s="5098" t="s">
        <v>515</v>
      </c>
      <c r="K975" s="5099">
        <f t="array" ref="K975">IFERROR(VLOOKUP(J960,Dex!$B$3:$N1361,10,FALSE),"")</f>
        <v>84</v>
      </c>
      <c r="L975" s="5100" t="str">
        <f t="array" ref="L975">IFERROR(VLOOKUP(K975,Dex!$P$22:$Q$276,2,FALSE),"")</f>
        <v/>
      </c>
      <c r="M975" s="5101"/>
      <c r="N975" s="5095"/>
      <c r="O975" s="5098" t="s">
        <v>515</v>
      </c>
      <c r="P975" s="5099">
        <f t="array" ref="P975">IFERROR(VLOOKUP(O960,Dex!$B$3:$N1361,10,FALSE),"")</f>
        <v>90</v>
      </c>
      <c r="Q975" s="5100" t="str">
        <f t="array" ref="Q975">IFERROR(VLOOKUP(P975,Dex!$P$22:$Q$276,2,FALSE),"")</f>
        <v/>
      </c>
      <c r="R975" s="5101"/>
      <c r="S975" s="5096"/>
      <c r="T975" s="5098" t="s">
        <v>515</v>
      </c>
      <c r="U975" s="5099">
        <f t="array" ref="U975">IFERROR(VLOOKUP(T960,Dex!$B$3:$N1361,10,FALSE),"")</f>
        <v>75</v>
      </c>
      <c r="V975" s="5100" t="str">
        <f t="array" ref="V975">IFERROR(VLOOKUP(U975,Dex!$P$22:$Q$276,2,FALSE),"")</f>
        <v/>
      </c>
      <c r="W975" s="5101"/>
      <c r="X975" s="5097"/>
      <c r="Y975" s="5098" t="s">
        <v>515</v>
      </c>
      <c r="Z975" s="5099">
        <f t="array" ref="Z975">IFERROR(VLOOKUP(Y960,Dex!$B$3:$N1361,10,FALSE),"")</f>
        <v>87</v>
      </c>
      <c r="AA975" s="5100" t="str">
        <f t="array" ref="AA975">IFERROR(VLOOKUP(Z975,Dex!$P$22:$Q$276,2,FALSE),"")</f>
        <v/>
      </c>
      <c r="AB975" s="5101"/>
      <c r="AC975" s="5088"/>
      <c r="AD975" s="5088"/>
      <c r="AE975" s="5088"/>
      <c r="AF975" s="5088"/>
      <c r="AG975" s="5088"/>
      <c r="AH975" s="5089"/>
      <c r="AI975" s="3543"/>
    </row>
    <row r="976" ht="16.5" customHeight="1">
      <c r="A976" s="3535"/>
      <c r="B976" s="5080"/>
      <c r="C976" s="5061"/>
      <c r="D976" s="5081"/>
      <c r="E976" s="5098" t="s">
        <v>516</v>
      </c>
      <c r="F976" s="5099">
        <f t="array" ref="F976">IFERROR(VLOOKUP(E960,Dex!$B$3:$N1361,11,FALSE),"")</f>
        <v>100</v>
      </c>
      <c r="G976" s="5100" t="str">
        <f t="array" ref="G976">IFERROR(VLOOKUP(F976,Dex!$P$22:$Q$276,2,FALSE),"")</f>
        <v/>
      </c>
      <c r="H976" s="5101"/>
      <c r="I976" s="5094"/>
      <c r="J976" s="5098" t="s">
        <v>516</v>
      </c>
      <c r="K976" s="5099">
        <f t="array" ref="K976">IFERROR(VLOOKUP(J960,Dex!$B$3:$N1361,11,FALSE),"")</f>
        <v>60</v>
      </c>
      <c r="L976" s="5100" t="str">
        <f t="array" ref="L976">IFERROR(VLOOKUP(K976,Dex!$P$22:$Q$276,2,FALSE),"")</f>
        <v/>
      </c>
      <c r="M976" s="5101"/>
      <c r="N976" s="5095"/>
      <c r="O976" s="5098" t="s">
        <v>516</v>
      </c>
      <c r="P976" s="5099">
        <f t="array" ref="P976">IFERROR(VLOOKUP(O960,Dex!$B$3:$N1361,11,FALSE),"")</f>
        <v>105</v>
      </c>
      <c r="Q976" s="5100" t="str">
        <f t="array" ref="Q976">IFERROR(VLOOKUP(P976,Dex!$P$22:$Q$276,2,FALSE),"")</f>
        <v/>
      </c>
      <c r="R976" s="5101"/>
      <c r="S976" s="5096"/>
      <c r="T976" s="5098" t="s">
        <v>516</v>
      </c>
      <c r="U976" s="5099">
        <f t="array" ref="U976">IFERROR(VLOOKUP(T960,Dex!$B$3:$N1361,11,FALSE),"")</f>
        <v>115</v>
      </c>
      <c r="V976" s="5100" t="str">
        <f t="array" ref="V976">IFERROR(VLOOKUP(U976,Dex!$P$22:$Q$276,2,FALSE),"")</f>
        <v/>
      </c>
      <c r="W976" s="5101"/>
      <c r="X976" s="5097"/>
      <c r="Y976" s="5098" t="s">
        <v>516</v>
      </c>
      <c r="Z976" s="5099">
        <f t="array" ref="Z976">IFERROR(VLOOKUP(Y960,Dex!$B$3:$N1361,11,FALSE),"")</f>
        <v>75</v>
      </c>
      <c r="AA976" s="5100" t="str">
        <f t="array" ref="AA976">IFERROR(VLOOKUP(Z976,Dex!$P$22:$Q$276,2,FALSE),"")</f>
        <v/>
      </c>
      <c r="AB976" s="5101"/>
      <c r="AC976" s="5088"/>
      <c r="AD976" s="5088"/>
      <c r="AE976" s="5088"/>
      <c r="AF976" s="5088"/>
      <c r="AG976" s="5088"/>
      <c r="AH976" s="5089"/>
      <c r="AI976" s="3543"/>
    </row>
    <row r="977" ht="16.5" customHeight="1">
      <c r="A977" s="3535"/>
      <c r="B977" s="5080"/>
      <c r="C977" s="5061"/>
      <c r="D977" s="5081"/>
      <c r="E977" s="5098" t="s">
        <v>517</v>
      </c>
      <c r="F977" s="5099">
        <f t="array" ref="F977">IFERROR(VLOOKUP(E960,Dex!$B$3:$N1361,12,FALSE),"")</f>
        <v>95</v>
      </c>
      <c r="G977" s="5100" t="str">
        <f t="array" ref="G977">IFERROR(VLOOKUP(F977,Dex!$P$22:$Q$276,2,FALSE),"")</f>
        <v/>
      </c>
      <c r="H977" s="5101"/>
      <c r="I977" s="5094"/>
      <c r="J977" s="5098" t="s">
        <v>517</v>
      </c>
      <c r="K977" s="5099">
        <f t="array" ref="K977">IFERROR(VLOOKUP(J960,Dex!$B$3:$N1361,12,FALSE),"")</f>
        <v>96</v>
      </c>
      <c r="L977" s="5100" t="str">
        <f t="array" ref="L977">IFERROR(VLOOKUP(K977,Dex!$P$22:$Q$276,2,FALSE),"")</f>
        <v/>
      </c>
      <c r="M977" s="5101"/>
      <c r="N977" s="5095"/>
      <c r="O977" s="5098" t="s">
        <v>517</v>
      </c>
      <c r="P977" s="5099">
        <f t="array" ref="P977">IFERROR(VLOOKUP(O960,Dex!$B$3:$N1361,12,FALSE),"")</f>
        <v>95</v>
      </c>
      <c r="Q977" s="5100" t="str">
        <f t="array" ref="Q977">IFERROR(VLOOKUP(P977,Dex!$P$22:$Q$276,2,FALSE),"")</f>
        <v/>
      </c>
      <c r="R977" s="5101"/>
      <c r="S977" s="5096"/>
      <c r="T977" s="5098" t="s">
        <v>517</v>
      </c>
      <c r="U977" s="5099">
        <f t="array" ref="U977">IFERROR(VLOOKUP(T960,Dex!$B$3:$N1361,12,FALSE),"")</f>
        <v>100</v>
      </c>
      <c r="V977" s="5100" t="str">
        <f t="array" ref="V977">IFERROR(VLOOKUP(U977,Dex!$P$22:$Q$276,2,FALSE),"")</f>
        <v/>
      </c>
      <c r="W977" s="5101"/>
      <c r="X977" s="5097"/>
      <c r="Y977" s="5098" t="s">
        <v>517</v>
      </c>
      <c r="Z977" s="5099">
        <f t="array" ref="Z977">IFERROR(VLOOKUP(Y960,Dex!$B$3:$N1361,12,FALSE),"")</f>
        <v>85</v>
      </c>
      <c r="AA977" s="5100" t="str">
        <f t="array" ref="AA977">IFERROR(VLOOKUP(Z977,Dex!$P$22:$Q$276,2,FALSE),"")</f>
        <v/>
      </c>
      <c r="AB977" s="5101"/>
      <c r="AC977" s="5088"/>
      <c r="AD977" s="5088"/>
      <c r="AE977" s="5088"/>
      <c r="AF977" s="5088"/>
      <c r="AG977" s="5088"/>
      <c r="AH977" s="5089"/>
      <c r="AI977" s="3543"/>
    </row>
    <row r="978" ht="16.5" customHeight="1">
      <c r="A978" s="3535"/>
      <c r="B978" s="5080"/>
      <c r="C978" s="1426" t="s">
        <v>745</v>
      </c>
      <c r="D978" s="5081"/>
      <c r="E978" s="5102" t="s">
        <v>518</v>
      </c>
      <c r="F978" s="5103">
        <f t="array" ref="F978">IFERROR(VLOOKUP(E960,Dex!$B$3:$N1361,13,FALSE),"")</f>
        <v>105</v>
      </c>
      <c r="G978" s="5100" t="str">
        <f t="array" ref="G978">IFERROR(VLOOKUP(F978,Dex!$P$22:$Q$276,2,FALSE),"")</f>
        <v/>
      </c>
      <c r="H978" s="5101"/>
      <c r="I978" s="5094"/>
      <c r="J978" s="5102" t="s">
        <v>518</v>
      </c>
      <c r="K978" s="5103">
        <f t="array" ref="K978">IFERROR(VLOOKUP(J960,Dex!$B$3:$N1361,13,FALSE),"")</f>
        <v>110</v>
      </c>
      <c r="L978" s="5100" t="str">
        <f t="array" ref="L978">IFERROR(VLOOKUP(K978,Dex!$P$22:$Q$276,2,FALSE),"")</f>
        <v/>
      </c>
      <c r="M978" s="5101"/>
      <c r="N978" s="5095"/>
      <c r="O978" s="5102" t="s">
        <v>518</v>
      </c>
      <c r="P978" s="5103">
        <f t="array" ref="P978">IFERROR(VLOOKUP(O960,Dex!$B$3:$N1361,13,FALSE),"")</f>
        <v>60</v>
      </c>
      <c r="Q978" s="5100" t="str">
        <f t="array" ref="Q978">IFERROR(VLOOKUP(P978,Dex!$P$22:$Q$276,2,FALSE),"")</f>
        <v/>
      </c>
      <c r="R978" s="5101"/>
      <c r="S978" s="5096"/>
      <c r="T978" s="5102" t="s">
        <v>518</v>
      </c>
      <c r="U978" s="5103">
        <f t="array" ref="U978">IFERROR(VLOOKUP(T960,Dex!$B$3:$N1361,13,FALSE),"")</f>
        <v>115</v>
      </c>
      <c r="V978" s="5100" t="str">
        <f t="array" ref="V978">IFERROR(VLOOKUP(U978,Dex!$P$22:$Q$276,2,FALSE),"")</f>
        <v/>
      </c>
      <c r="W978" s="5101"/>
      <c r="X978" s="5097"/>
      <c r="Y978" s="5102" t="s">
        <v>518</v>
      </c>
      <c r="Z978" s="5103">
        <f t="array" ref="Z978">IFERROR(VLOOKUP(Y960,Dex!$B$3:$N1361,13,FALSE),"")</f>
        <v>76</v>
      </c>
      <c r="AA978" s="5100" t="str">
        <f t="array" ref="AA978">IFERROR(VLOOKUP(Z978,Dex!$P$22:$Q$276,2,FALSE),"")</f>
        <v/>
      </c>
      <c r="AB978" s="5101"/>
      <c r="AC978" s="5088"/>
      <c r="AD978" s="5088"/>
      <c r="AE978" s="5088"/>
      <c r="AF978" s="5088"/>
      <c r="AG978" s="5088"/>
      <c r="AH978" s="5089"/>
      <c r="AI978" s="3543"/>
    </row>
    <row r="979" ht="16.5" customHeight="1">
      <c r="A979" s="3535"/>
      <c r="B979" s="5080"/>
      <c r="C979" s="1427" t="s">
        <v>746</v>
      </c>
      <c r="D979" s="5106"/>
      <c r="E979" s="5107" t="s">
        <v>519</v>
      </c>
      <c r="F979" s="630"/>
      <c r="G979" s="631"/>
      <c r="H979" s="632">
        <f>ROUNDDOWN((ROUNDDOWN(((((2*F978+31)*68)/100+5)),0))*1.1,0)</f>
        <v>184</v>
      </c>
      <c r="I979" s="5085"/>
      <c r="J979" s="5107" t="s">
        <v>519</v>
      </c>
      <c r="K979" s="630"/>
      <c r="L979" s="631"/>
      <c r="M979" s="632">
        <f>ROUNDDOWN((ROUNDDOWN(((((2*K978+31)*66)/100+5)),0))*1.1,0)</f>
        <v>187</v>
      </c>
      <c r="N979" s="5085"/>
      <c r="O979" s="5107" t="s">
        <v>519</v>
      </c>
      <c r="P979" s="630"/>
      <c r="Q979" s="631"/>
      <c r="R979" s="632">
        <f>ROUNDDOWN((ROUNDDOWN(((((2*P978+31)*66)/100+5)),0))*1,0)</f>
        <v>104</v>
      </c>
      <c r="S979" s="5108"/>
      <c r="T979" s="5107" t="s">
        <v>519</v>
      </c>
      <c r="U979" s="630"/>
      <c r="V979" s="631"/>
      <c r="W979" s="632">
        <f>ROUNDDOWN((ROUNDDOWN(((((2*U978+31)*66)/100+5)),0))*1.1,0)</f>
        <v>194</v>
      </c>
      <c r="X979" s="5087"/>
      <c r="Y979" s="5107" t="s">
        <v>519</v>
      </c>
      <c r="Z979" s="630"/>
      <c r="AA979" s="631"/>
      <c r="AB979" s="632">
        <f>ROUNDDOWN((ROUNDDOWN(((((2*Z978+31)*66)/100+5)),0))*1.1,0)</f>
        <v>137</v>
      </c>
      <c r="AC979" s="5088"/>
      <c r="AD979" s="5088"/>
      <c r="AE979" s="5088"/>
      <c r="AF979" s="5088"/>
      <c r="AG979" s="5088"/>
      <c r="AH979" s="5089"/>
      <c r="AI979" s="3543"/>
    </row>
    <row r="980" ht="15.0" customHeight="1">
      <c r="A980" s="3446"/>
      <c r="B980" s="5120"/>
      <c r="C980" s="5121"/>
      <c r="D980" s="5122"/>
      <c r="E980" s="5368"/>
      <c r="F980" s="5368"/>
      <c r="G980" s="5368"/>
      <c r="H980" s="5123"/>
      <c r="I980" s="5122"/>
      <c r="J980" s="5125"/>
      <c r="K980" s="5125"/>
      <c r="L980" s="5125"/>
      <c r="M980" s="5122"/>
      <c r="N980" s="5122"/>
      <c r="O980" s="5124"/>
      <c r="P980" s="5124"/>
      <c r="Q980" s="5124"/>
      <c r="R980" s="5123"/>
      <c r="S980" s="5122"/>
      <c r="T980" s="5125"/>
      <c r="U980" s="5125"/>
      <c r="V980" s="5125"/>
      <c r="W980" s="5122"/>
      <c r="X980" s="5122"/>
      <c r="Y980" s="5125"/>
      <c r="Z980" s="5125"/>
      <c r="AA980" s="5125"/>
      <c r="AB980" s="5122"/>
      <c r="AC980" s="5122"/>
      <c r="AD980" s="5122"/>
      <c r="AE980" s="5122"/>
      <c r="AF980" s="5122"/>
      <c r="AG980" s="5122"/>
      <c r="AH980" s="5126"/>
      <c r="AI980" s="3452"/>
    </row>
    <row r="981">
      <c r="A981" s="3446"/>
      <c r="B981" s="5369"/>
      <c r="C981" s="5370"/>
      <c r="D981" s="5371"/>
      <c r="E981" s="5372"/>
      <c r="F981" s="5372"/>
      <c r="G981" s="5372"/>
      <c r="H981" s="5372"/>
      <c r="I981" s="5372"/>
      <c r="J981" s="5372"/>
      <c r="K981" s="5372"/>
      <c r="L981" s="5372"/>
      <c r="M981" s="5372"/>
      <c r="N981" s="5372"/>
      <c r="O981" s="5372"/>
      <c r="P981" s="5372"/>
      <c r="Q981" s="5372"/>
      <c r="R981" s="5372"/>
      <c r="S981" s="5372"/>
      <c r="T981" s="5372"/>
      <c r="U981" s="5372"/>
      <c r="V981" s="5372"/>
      <c r="W981" s="5372"/>
      <c r="X981" s="5372"/>
      <c r="Y981" s="5372"/>
      <c r="Z981" s="5372"/>
      <c r="AA981" s="5372"/>
      <c r="AB981" s="5372"/>
      <c r="AC981" s="5372"/>
      <c r="AD981" s="5372"/>
      <c r="AE981" s="5372"/>
      <c r="AF981" s="5372"/>
      <c r="AG981" s="5372"/>
      <c r="AH981" s="5373"/>
      <c r="AI981" s="3452"/>
    </row>
    <row r="982">
      <c r="A982" s="3446"/>
      <c r="B982" s="5374"/>
      <c r="C982" s="5375"/>
      <c r="D982" s="5376"/>
      <c r="E982" s="5377" t="s">
        <v>1655</v>
      </c>
      <c r="F982" s="5378"/>
      <c r="G982" s="5378"/>
      <c r="H982" s="5378"/>
      <c r="I982" s="5378"/>
      <c r="J982" s="5378"/>
      <c r="K982" s="5378"/>
      <c r="L982" s="5378"/>
      <c r="M982" s="5378"/>
      <c r="N982" s="5378"/>
      <c r="O982" s="5378"/>
      <c r="P982" s="5378"/>
      <c r="Q982" s="5378"/>
      <c r="R982" s="5378"/>
      <c r="S982" s="5378"/>
      <c r="T982" s="5378"/>
      <c r="U982" s="5378"/>
      <c r="V982" s="5378"/>
      <c r="W982" s="5378"/>
      <c r="X982" s="5378"/>
      <c r="Y982" s="5378"/>
      <c r="Z982" s="5378"/>
      <c r="AA982" s="5378"/>
      <c r="AB982" s="5378"/>
      <c r="AC982" s="5378"/>
      <c r="AD982" s="5378"/>
      <c r="AE982" s="5378"/>
      <c r="AF982" s="5378"/>
      <c r="AG982" s="5379"/>
      <c r="AH982" s="5380"/>
      <c r="AI982" s="3452"/>
    </row>
    <row r="983" ht="96.75" customHeight="1">
      <c r="A983" s="3446"/>
      <c r="B983" s="5381"/>
      <c r="C983" s="5382" t="str">
        <f>IMAGE("https://i.ibb.co/31XckWH/Dragon-Tamer.png")</f>
        <v/>
      </c>
      <c r="D983" s="5383"/>
      <c r="E983" s="5384" t="str">
        <f t="array" ref="E983">IFERROR(VLOOKUP(E984,Dex!$B$3:$G1361,3,FALSE),"")</f>
        <v/>
      </c>
      <c r="F983" s="1945"/>
      <c r="G983" s="1945"/>
      <c r="H983" s="1946"/>
      <c r="I983" s="5383"/>
      <c r="J983" s="5384" t="str">
        <f t="array" ref="J983">IFERROR(VLOOKUP(J984,Dex!$B$3:$G1361,3,FALSE),"")</f>
        <v/>
      </c>
      <c r="K983" s="1945"/>
      <c r="L983" s="1945"/>
      <c r="M983" s="1946"/>
      <c r="N983" s="5383"/>
      <c r="O983" s="5384" t="str">
        <f t="array" ref="O983">IFERROR(VLOOKUP(O984,Dex!$B$3:$G1361,3,FALSE),"")</f>
        <v/>
      </c>
      <c r="P983" s="1945"/>
      <c r="Q983" s="1945"/>
      <c r="R983" s="1946"/>
      <c r="S983" s="5383"/>
      <c r="T983" s="5384" t="str">
        <f t="array" ref="T983">IFERROR(VLOOKUP(T984,Dex!$B$3:$G1361,3,FALSE),"")</f>
        <v/>
      </c>
      <c r="U983" s="1945"/>
      <c r="V983" s="1945"/>
      <c r="W983" s="1946"/>
      <c r="X983" s="5385"/>
      <c r="Y983" s="5384" t="str">
        <f t="array" ref="Y983">IFERROR(VLOOKUP(Y984,Dex!$B$3:$G1361,3,FALSE),"")</f>
        <v/>
      </c>
      <c r="Z983" s="1945"/>
      <c r="AA983" s="1945"/>
      <c r="AB983" s="1946"/>
      <c r="AC983" s="5386"/>
      <c r="AD983" s="5387"/>
      <c r="AE983" s="5388"/>
      <c r="AF983" s="5388"/>
      <c r="AG983" s="5389"/>
      <c r="AH983" s="5390"/>
      <c r="AI983" s="3452"/>
    </row>
    <row r="984" ht="18.75" customHeight="1">
      <c r="A984" s="3689"/>
      <c r="B984" s="5391"/>
      <c r="C984" s="5392" t="s">
        <v>1656</v>
      </c>
      <c r="D984" s="5393"/>
      <c r="E984" s="5394" t="s">
        <v>1657</v>
      </c>
      <c r="F984" s="5395"/>
      <c r="G984" s="5395"/>
      <c r="H984" s="5396"/>
      <c r="I984" s="5393"/>
      <c r="J984" s="5394" t="s">
        <v>1658</v>
      </c>
      <c r="K984" s="5395"/>
      <c r="L984" s="5395"/>
      <c r="M984" s="5396"/>
      <c r="N984" s="5393"/>
      <c r="O984" s="5394" t="s">
        <v>1659</v>
      </c>
      <c r="P984" s="5395"/>
      <c r="Q984" s="5395"/>
      <c r="R984" s="5396"/>
      <c r="S984" s="5393"/>
      <c r="T984" s="5394" t="s">
        <v>1110</v>
      </c>
      <c r="U984" s="5395"/>
      <c r="V984" s="5395"/>
      <c r="W984" s="5396"/>
      <c r="Y984" s="5394" t="s">
        <v>1660</v>
      </c>
      <c r="Z984" s="5395"/>
      <c r="AA984" s="5395"/>
      <c r="AB984" s="5396"/>
      <c r="AC984" s="5397"/>
      <c r="AD984" s="5398"/>
      <c r="AE984" s="5388"/>
      <c r="AF984" s="5388"/>
      <c r="AG984" s="5389"/>
      <c r="AH984" s="5399"/>
      <c r="AI984" s="3700"/>
    </row>
    <row r="985">
      <c r="A985" s="3701"/>
      <c r="B985" s="5400"/>
      <c r="C985" s="1638"/>
      <c r="D985" s="5401"/>
      <c r="E985" s="5402" t="s">
        <v>796</v>
      </c>
      <c r="F985" s="5403"/>
      <c r="G985" s="5403"/>
      <c r="H985" s="5404"/>
      <c r="I985" s="5401"/>
      <c r="J985" s="5402" t="s">
        <v>796</v>
      </c>
      <c r="K985" s="5403"/>
      <c r="L985" s="5403"/>
      <c r="M985" s="5404"/>
      <c r="N985" s="5401"/>
      <c r="O985" s="5402" t="s">
        <v>796</v>
      </c>
      <c r="P985" s="5403"/>
      <c r="Q985" s="5403"/>
      <c r="R985" s="5404"/>
      <c r="S985" s="5401"/>
      <c r="T985" s="5402" t="s">
        <v>796</v>
      </c>
      <c r="U985" s="5403"/>
      <c r="V985" s="5403"/>
      <c r="W985" s="5404"/>
      <c r="Y985" s="5402" t="s">
        <v>796</v>
      </c>
      <c r="Z985" s="5403"/>
      <c r="AA985" s="5403"/>
      <c r="AB985" s="5404"/>
      <c r="AC985" s="5397"/>
      <c r="AD985" s="5405"/>
      <c r="AE985" s="5388"/>
      <c r="AF985" s="5388"/>
      <c r="AG985" s="5389"/>
      <c r="AH985" s="5406"/>
      <c r="AI985" s="3709"/>
    </row>
    <row r="986" ht="25.5" customHeight="1">
      <c r="A986" s="3446"/>
      <c r="B986" s="5381"/>
      <c r="C986" s="1646"/>
      <c r="D986" s="5407"/>
      <c r="E986" s="5408"/>
      <c r="F986" s="5409" t="str">
        <f t="array" ref="F986">IFERROR(VLOOKUP(E984,Dex!$B$3:$H1361,5,FALSE),"")</f>
        <v/>
      </c>
      <c r="G986" s="5410"/>
      <c r="H986" s="5411"/>
      <c r="I986" s="5407"/>
      <c r="J986" s="5408"/>
      <c r="K986" s="5409" t="str">
        <f t="array" ref="K986">IFERROR(VLOOKUP(J984,Dex!$B$3:$H1361,5,FALSE),"")</f>
        <v/>
      </c>
      <c r="L986" s="5410"/>
      <c r="M986" s="5411"/>
      <c r="N986" s="5407"/>
      <c r="O986" s="5408"/>
      <c r="P986" s="5412" t="str">
        <f t="array" ref="P986">IFERROR(VLOOKUP(O984,Dex!$B$3:$H1361,5,FALSE),"")</f>
        <v/>
      </c>
      <c r="Q986" s="5413" t="str">
        <f t="array" ref="Q986">IFERROR(VLOOKUP(O984,Dex!$B$3:$H1361,7,FALSE),"")</f>
        <v/>
      </c>
      <c r="R986" s="5411"/>
      <c r="S986" s="5407"/>
      <c r="T986" s="5408"/>
      <c r="U986" s="5412" t="str">
        <f t="array" ref="U986">IFERROR(VLOOKUP(T984,Dex!$B$3:$H1361,5,FALSE),"")</f>
        <v/>
      </c>
      <c r="V986" s="5413" t="str">
        <f t="array" ref="V986">IFERROR(VLOOKUP(T984,Dex!$B$3:$H1361,7,FALSE),"")</f>
        <v/>
      </c>
      <c r="W986" s="5411"/>
      <c r="Y986" s="5408"/>
      <c r="Z986" s="5412" t="str">
        <f t="array" ref="Z986">IFERROR(VLOOKUP(Y984,Dex!$B$3:$H1361,5,FALSE),"")</f>
        <v/>
      </c>
      <c r="AA986" s="5413" t="str">
        <f t="array" ref="AA986">IFERROR(VLOOKUP(Y984,Dex!$B$3:$H1361,7,FALSE),"")</f>
        <v/>
      </c>
      <c r="AB986" s="5411"/>
      <c r="AC986" s="5397"/>
      <c r="AD986" s="5387"/>
      <c r="AE986" s="5388"/>
      <c r="AF986" s="5388"/>
      <c r="AG986" s="5389"/>
      <c r="AH986" s="5390"/>
      <c r="AI986" s="3452"/>
    </row>
    <row r="987" ht="2.25" customHeight="1">
      <c r="A987" s="3446"/>
      <c r="B987" s="5374"/>
      <c r="C987" s="5414"/>
      <c r="D987" s="5387"/>
      <c r="E987" s="5415"/>
      <c r="F987" s="5416"/>
      <c r="G987" s="5416"/>
      <c r="H987" s="5417"/>
      <c r="I987" s="5387"/>
      <c r="J987" s="5415"/>
      <c r="K987" s="5416"/>
      <c r="L987" s="5416"/>
      <c r="M987" s="5417"/>
      <c r="N987" s="5387"/>
      <c r="O987" s="5415"/>
      <c r="P987" s="5416"/>
      <c r="Q987" s="5416"/>
      <c r="R987" s="5417"/>
      <c r="S987" s="5387"/>
      <c r="T987" s="5415"/>
      <c r="U987" s="5416"/>
      <c r="V987" s="5416"/>
      <c r="W987" s="5417"/>
      <c r="Y987" s="5415"/>
      <c r="Z987" s="5416"/>
      <c r="AA987" s="5416"/>
      <c r="AB987" s="5417"/>
      <c r="AC987" s="5397"/>
      <c r="AD987" s="5418"/>
      <c r="AE987" s="5418"/>
      <c r="AF987" s="5418"/>
      <c r="AG987" s="5418"/>
      <c r="AH987" s="5390"/>
      <c r="AI987" s="3452"/>
    </row>
    <row r="988" ht="20.25" customHeight="1">
      <c r="A988" s="3446"/>
      <c r="B988" s="5374"/>
      <c r="C988" s="5419"/>
      <c r="D988" s="5387"/>
      <c r="E988" s="5420" t="s">
        <v>482</v>
      </c>
      <c r="F988" s="5421"/>
      <c r="G988" s="5421"/>
      <c r="H988" s="5422"/>
      <c r="I988" s="5407"/>
      <c r="J988" s="5420" t="s">
        <v>531</v>
      </c>
      <c r="K988" s="5421"/>
      <c r="L988" s="5421"/>
      <c r="M988" s="5422"/>
      <c r="N988" s="5407"/>
      <c r="O988" s="5420" t="s">
        <v>531</v>
      </c>
      <c r="P988" s="5421"/>
      <c r="Q988" s="5421"/>
      <c r="R988" s="5422"/>
      <c r="S988" s="5407"/>
      <c r="T988" s="5420" t="s">
        <v>564</v>
      </c>
      <c r="U988" s="5421"/>
      <c r="V988" s="5421"/>
      <c r="W988" s="5422"/>
      <c r="Y988" s="5420" t="s">
        <v>531</v>
      </c>
      <c r="Z988" s="5421"/>
      <c r="AA988" s="5421"/>
      <c r="AB988" s="5422"/>
      <c r="AC988" s="5397"/>
      <c r="AD988" s="5387"/>
      <c r="AE988" s="5388"/>
      <c r="AF988" s="5388"/>
      <c r="AG988" s="5389"/>
      <c r="AH988" s="5390"/>
      <c r="AI988" s="3452"/>
    </row>
    <row r="989">
      <c r="A989" s="3446"/>
      <c r="B989" s="5374"/>
      <c r="C989" s="5419"/>
      <c r="D989" s="5387"/>
      <c r="E989" s="5423" t="s">
        <v>487</v>
      </c>
      <c r="F989" s="5388"/>
      <c r="G989" s="5388"/>
      <c r="H989" s="5424"/>
      <c r="I989" s="5407"/>
      <c r="J989" s="5423" t="s">
        <v>97</v>
      </c>
      <c r="K989" s="5388"/>
      <c r="L989" s="5388"/>
      <c r="M989" s="5424"/>
      <c r="N989" s="5407"/>
      <c r="O989" s="5423" t="s">
        <v>1661</v>
      </c>
      <c r="P989" s="5388"/>
      <c r="Q989" s="5388"/>
      <c r="R989" s="5424"/>
      <c r="S989" s="5407"/>
      <c r="T989" s="5423" t="s">
        <v>484</v>
      </c>
      <c r="U989" s="5388"/>
      <c r="V989" s="5388"/>
      <c r="W989" s="5424"/>
      <c r="Y989" s="5423" t="s">
        <v>1662</v>
      </c>
      <c r="Z989" s="5388"/>
      <c r="AA989" s="5388"/>
      <c r="AB989" s="5424"/>
      <c r="AC989" s="5397"/>
      <c r="AD989" s="5387"/>
      <c r="AE989" s="5388"/>
      <c r="AF989" s="5388"/>
      <c r="AG989" s="5389"/>
      <c r="AH989" s="5390"/>
      <c r="AI989" s="3452"/>
    </row>
    <row r="990" ht="20.25" customHeight="1">
      <c r="A990" s="3446"/>
      <c r="B990" s="5374"/>
      <c r="C990" s="5419"/>
      <c r="D990" s="5387"/>
      <c r="E990" s="5425" t="s">
        <v>713</v>
      </c>
      <c r="F990" s="5378"/>
      <c r="G990" s="5379"/>
      <c r="H990" s="5426" t="str">
        <f>IMAGE("https://raw.githubusercontent.com/msikma/pokesprite/master/items/hold-item/assault-vest.png",3)</f>
        <v/>
      </c>
      <c r="I990" s="5387"/>
      <c r="J990" s="5425" t="s">
        <v>537</v>
      </c>
      <c r="K990" s="5378"/>
      <c r="L990" s="5379"/>
      <c r="M990" s="5426" t="str">
        <f>IMAGE("https://raw.githubusercontent.com/msikma/pokesprite/master/items/berry/sitrus.png",3)</f>
        <v/>
      </c>
      <c r="N990" s="5387"/>
      <c r="O990" s="5425" t="s">
        <v>1663</v>
      </c>
      <c r="P990" s="5378"/>
      <c r="Q990" s="5379"/>
      <c r="R990" s="5426" t="str">
        <f>IMAGE("https://raw.githubusercontent.com/msikma/pokesprite/master/items/mega-stone/swampertite.png",3)</f>
        <v/>
      </c>
      <c r="S990" s="5387"/>
      <c r="T990" s="5425" t="s">
        <v>1664</v>
      </c>
      <c r="U990" s="5378"/>
      <c r="V990" s="5379"/>
      <c r="W990" s="5426" t="str">
        <f>IMAGE("https://raw.githubusercontent.com/msikma/pokesprite/master/items/hold-item/soul-dew.png",3)</f>
        <v/>
      </c>
      <c r="Y990" s="5425" t="s">
        <v>1084</v>
      </c>
      <c r="Z990" s="5378"/>
      <c r="AA990" s="5379"/>
      <c r="AB990" s="5426" t="str">
        <f>IMAGE("https://raw.githubusercontent.com/msikma/pokesprite/master/items/gem/flying.png",3)</f>
        <v/>
      </c>
      <c r="AC990" s="5397"/>
      <c r="AD990" s="5387"/>
      <c r="AE990" s="5388"/>
      <c r="AF990" s="5388"/>
      <c r="AG990" s="5389"/>
      <c r="AH990" s="5390"/>
      <c r="AI990" s="3452"/>
    </row>
    <row r="991" ht="20.25" customHeight="1">
      <c r="A991" s="3446"/>
      <c r="B991" s="5374"/>
      <c r="C991" s="5427"/>
      <c r="D991" s="5428" t="s">
        <v>1322</v>
      </c>
      <c r="E991" s="5420" t="s">
        <v>494</v>
      </c>
      <c r="F991" s="5421"/>
      <c r="G991" s="5429"/>
      <c r="H991" s="5430" t="str">
        <f>IMAGE("https://raw.githubusercontent.com/msikma/pokesprite/master/misc/types/gen8/ground.png",4,20,20)</f>
        <v/>
      </c>
      <c r="I991" s="5428" t="s">
        <v>1322</v>
      </c>
      <c r="J991" s="5420" t="s">
        <v>1322</v>
      </c>
      <c r="K991" s="5421"/>
      <c r="L991" s="5429"/>
      <c r="M991" s="5430" t="str">
        <f>IMAGE("https://raw.githubusercontent.com/msikma/pokesprite/master/misc/types/gen8/water.png",4,20,20)</f>
        <v/>
      </c>
      <c r="N991" s="5428" t="s">
        <v>1322</v>
      </c>
      <c r="O991" s="5420" t="s">
        <v>610</v>
      </c>
      <c r="P991" s="5421"/>
      <c r="Q991" s="5429"/>
      <c r="R991" s="5430" t="str">
        <f>IMAGE("https://raw.githubusercontent.com/msikma/pokesprite/master/misc/types/gen8/water.png",4,20,20)</f>
        <v/>
      </c>
      <c r="S991" s="5428" t="s">
        <v>1322</v>
      </c>
      <c r="T991" s="5420" t="s">
        <v>592</v>
      </c>
      <c r="U991" s="5421"/>
      <c r="V991" s="5429"/>
      <c r="W991" s="5430" t="str">
        <f>IMAGE("https://raw.githubusercontent.com/msikma/pokesprite/master/misc/types/gen8/water.png",4,20,20)</f>
        <v/>
      </c>
      <c r="Y991" s="5420" t="s">
        <v>546</v>
      </c>
      <c r="Z991" s="5421"/>
      <c r="AA991" s="5429"/>
      <c r="AB991" s="5430" t="str">
        <f>IMAGE("https://raw.githubusercontent.com/msikma/pokesprite/master/misc/types/gen8/flying.png",4,20,20)</f>
        <v/>
      </c>
      <c r="AC991" s="5397"/>
      <c r="AD991" s="5387"/>
      <c r="AE991" s="5388"/>
      <c r="AF991" s="5388"/>
      <c r="AG991" s="5389"/>
      <c r="AH991" s="5390"/>
      <c r="AI991" s="3452"/>
    </row>
    <row r="992" ht="20.25" customHeight="1">
      <c r="A992" s="3446"/>
      <c r="B992" s="5374"/>
      <c r="C992" s="5427"/>
      <c r="D992" s="5428" t="s">
        <v>844</v>
      </c>
      <c r="E992" s="5423" t="s">
        <v>844</v>
      </c>
      <c r="F992" s="5388"/>
      <c r="G992" s="5389"/>
      <c r="H992" s="5431" t="str">
        <f>IMAGE("https://raw.githubusercontent.com/msikma/pokesprite/master/misc/types/gen8/electric.png",4,20,20)</f>
        <v/>
      </c>
      <c r="I992" s="5428" t="s">
        <v>844</v>
      </c>
      <c r="J992" s="5423" t="s">
        <v>670</v>
      </c>
      <c r="K992" s="5388"/>
      <c r="L992" s="5389"/>
      <c r="M992" s="5431" t="str">
        <f>IMAGE("https://raw.githubusercontent.com/msikma/pokesprite/master/misc/types/gen8/ice.png",4,20,20)</f>
        <v/>
      </c>
      <c r="N992" s="5428" t="s">
        <v>844</v>
      </c>
      <c r="O992" s="5423" t="s">
        <v>617</v>
      </c>
      <c r="P992" s="5388"/>
      <c r="Q992" s="5389"/>
      <c r="R992" s="5431" t="str">
        <f>IMAGE("https://raw.githubusercontent.com/msikma/pokesprite/master/misc/types/gen8/dragon.png",4,20,20)</f>
        <v/>
      </c>
      <c r="S992" s="5428" t="s">
        <v>844</v>
      </c>
      <c r="T992" s="5423" t="s">
        <v>617</v>
      </c>
      <c r="U992" s="5388"/>
      <c r="V992" s="5389"/>
      <c r="W992" s="5431" t="str">
        <f>IMAGE("https://raw.githubusercontent.com/msikma/pokesprite/master/misc/types/gen8/dragon.png",4,20,20)</f>
        <v/>
      </c>
      <c r="Y992" s="5423" t="s">
        <v>844</v>
      </c>
      <c r="Z992" s="5388"/>
      <c r="AA992" s="5389"/>
      <c r="AB992" s="5431" t="str">
        <f>IMAGE("https://raw.githubusercontent.com/msikma/pokesprite/master/misc/types/gen8/electric.png",4,20,20)</f>
        <v/>
      </c>
      <c r="AC992" s="5397"/>
      <c r="AD992" s="5387"/>
      <c r="AE992" s="5388"/>
      <c r="AF992" s="5388"/>
      <c r="AG992" s="5389"/>
      <c r="AH992" s="5390"/>
      <c r="AI992" s="3452"/>
    </row>
    <row r="993" ht="20.25" customHeight="1">
      <c r="A993" s="3446"/>
      <c r="B993" s="5374"/>
      <c r="C993" s="5427"/>
      <c r="D993" s="5428" t="s">
        <v>777</v>
      </c>
      <c r="E993" s="5423" t="s">
        <v>590</v>
      </c>
      <c r="F993" s="5388"/>
      <c r="G993" s="5389"/>
      <c r="H993" s="5431" t="str">
        <f>IMAGE("https://raw.githubusercontent.com/msikma/pokesprite/master/misc/types/gen8/fighting.png",4,20,20)</f>
        <v/>
      </c>
      <c r="I993" s="5428" t="s">
        <v>777</v>
      </c>
      <c r="J993" s="5423" t="s">
        <v>1665</v>
      </c>
      <c r="K993" s="5388"/>
      <c r="L993" s="5389"/>
      <c r="M993" s="5431" t="str">
        <f>IMAGE("https://raw.githubusercontent.com/msikma/pokesprite/master/misc/types/gen8/psychic.png",4,20,20)</f>
        <v/>
      </c>
      <c r="N993" s="5428" t="s">
        <v>777</v>
      </c>
      <c r="O993" s="5423" t="s">
        <v>844</v>
      </c>
      <c r="P993" s="5388"/>
      <c r="Q993" s="5389"/>
      <c r="R993" s="5431" t="str">
        <f>IMAGE("https://raw.githubusercontent.com/msikma/pokesprite/master/misc/types/gen8/electric.png",4,20,20)</f>
        <v/>
      </c>
      <c r="S993" s="5428" t="s">
        <v>777</v>
      </c>
      <c r="T993" s="5423" t="s">
        <v>611</v>
      </c>
      <c r="U993" s="5388"/>
      <c r="V993" s="5389"/>
      <c r="W993" s="5431" t="str">
        <f>IMAGE("https://raw.githubusercontent.com/msikma/pokesprite/master/misc/types/gen8/electric.png",4,20,20)</f>
        <v/>
      </c>
      <c r="Y993" s="5423" t="s">
        <v>649</v>
      </c>
      <c r="Z993" s="5388"/>
      <c r="AA993" s="5389"/>
      <c r="AB993" s="5431" t="str">
        <f>IMAGE("https://raw.githubusercontent.com/msikma/pokesprite/master/misc/types/gen8/water.png",4,20,20)</f>
        <v/>
      </c>
      <c r="AC993" s="5397"/>
      <c r="AD993" s="5387"/>
      <c r="AE993" s="5388"/>
      <c r="AF993" s="5388"/>
      <c r="AG993" s="5389"/>
      <c r="AH993" s="5390"/>
      <c r="AI993" s="3452"/>
    </row>
    <row r="994" ht="21.0" customHeight="1">
      <c r="A994" s="3446"/>
      <c r="B994" s="5374"/>
      <c r="C994" s="5427"/>
      <c r="D994" s="5428" t="s">
        <v>1401</v>
      </c>
      <c r="E994" s="5432" t="s">
        <v>586</v>
      </c>
      <c r="F994" s="5433"/>
      <c r="G994" s="5434"/>
      <c r="H994" s="5435" t="str">
        <f>IMAGE("https://raw.githubusercontent.com/msikma/pokesprite/master/misc/types/gen8/ice.png",4,20,20)</f>
        <v/>
      </c>
      <c r="I994" s="5428" t="s">
        <v>1401</v>
      </c>
      <c r="J994" s="5432" t="s">
        <v>553</v>
      </c>
      <c r="K994" s="5433"/>
      <c r="L994" s="5434"/>
      <c r="M994" s="5435" t="str">
        <f>IMAGE("https://raw.githubusercontent.com/msikma/pokesprite/master/misc/types/gen8/grass.png",4,20,20)</f>
        <v/>
      </c>
      <c r="N994" s="5428" t="s">
        <v>1401</v>
      </c>
      <c r="O994" s="5432" t="s">
        <v>586</v>
      </c>
      <c r="P994" s="5433"/>
      <c r="Q994" s="5434"/>
      <c r="R994" s="5435" t="str">
        <f>IMAGE("https://raw.githubusercontent.com/msikma/pokesprite/master/misc/types/gen8/ice.png",4,20,20)</f>
        <v/>
      </c>
      <c r="S994" s="5428" t="s">
        <v>1401</v>
      </c>
      <c r="T994" s="5432" t="s">
        <v>718</v>
      </c>
      <c r="U994" s="5433"/>
      <c r="V994" s="5434"/>
      <c r="W994" s="5435" t="str">
        <f>IMAGE("https://raw.githubusercontent.com/msikma/pokesprite/master/misc/types/gen8/fighting.png",4,20,20)</f>
        <v/>
      </c>
      <c r="X994" s="5436"/>
      <c r="Y994" s="5432" t="s">
        <v>670</v>
      </c>
      <c r="Z994" s="5433"/>
      <c r="AA994" s="5434"/>
      <c r="AB994" s="5435" t="str">
        <f>IMAGE("https://raw.githubusercontent.com/msikma/pokesprite/master/misc/types/gen8/ice.png",4,20,20)</f>
        <v/>
      </c>
      <c r="AC994" s="5437"/>
      <c r="AD994" s="5387"/>
      <c r="AE994" s="5388"/>
      <c r="AF994" s="5388"/>
      <c r="AG994" s="5389"/>
      <c r="AH994" s="5390"/>
      <c r="AI994" s="3452"/>
    </row>
    <row r="995" ht="3.0" customHeight="1">
      <c r="A995" s="3524"/>
      <c r="B995" s="5438"/>
      <c r="C995" s="5427"/>
      <c r="D995" s="5439"/>
      <c r="E995" s="5440"/>
      <c r="F995" s="5440"/>
      <c r="G995" s="5440"/>
      <c r="H995" s="5441"/>
      <c r="I995" s="5439"/>
      <c r="J995" s="5442"/>
      <c r="K995" s="5442"/>
      <c r="L995" s="5442"/>
      <c r="M995" s="5441"/>
      <c r="N995" s="5439"/>
      <c r="O995" s="5442"/>
      <c r="P995" s="5442"/>
      <c r="Q995" s="5442"/>
      <c r="R995" s="5443"/>
      <c r="S995" s="5439"/>
      <c r="T995" s="5442"/>
      <c r="U995" s="5442"/>
      <c r="V995" s="5442"/>
      <c r="W995" s="5443"/>
      <c r="X995" s="5439"/>
      <c r="Y995" s="5442"/>
      <c r="Z995" s="5442"/>
      <c r="AA995" s="5442"/>
      <c r="AB995" s="5443"/>
      <c r="AC995" s="5444"/>
      <c r="AD995" s="5444"/>
      <c r="AE995" s="5444"/>
      <c r="AF995" s="5444"/>
      <c r="AG995" s="5444"/>
      <c r="AH995" s="5445"/>
      <c r="AI995" s="3534"/>
    </row>
    <row r="996" ht="16.5" customHeight="1">
      <c r="A996" s="3535"/>
      <c r="B996" s="5446"/>
      <c r="C996" s="5427"/>
      <c r="D996" s="5447"/>
      <c r="E996" s="5448" t="s">
        <v>512</v>
      </c>
      <c r="F996" s="606"/>
      <c r="G996" s="606"/>
      <c r="H996" s="607"/>
      <c r="I996" s="5449"/>
      <c r="J996" s="5448" t="s">
        <v>512</v>
      </c>
      <c r="K996" s="606"/>
      <c r="L996" s="606"/>
      <c r="M996" s="607"/>
      <c r="N996" s="5449"/>
      <c r="O996" s="5448" t="s">
        <v>512</v>
      </c>
      <c r="P996" s="606"/>
      <c r="Q996" s="606"/>
      <c r="R996" s="607"/>
      <c r="S996" s="5449"/>
      <c r="T996" s="5448" t="s">
        <v>512</v>
      </c>
      <c r="U996" s="606"/>
      <c r="V996" s="606"/>
      <c r="W996" s="607"/>
      <c r="X996" s="5450"/>
      <c r="Y996" s="5448" t="s">
        <v>512</v>
      </c>
      <c r="Z996" s="606"/>
      <c r="AA996" s="606"/>
      <c r="AB996" s="607"/>
      <c r="AC996" s="5451"/>
      <c r="AD996" s="5451"/>
      <c r="AE996" s="5451"/>
      <c r="AF996" s="5451"/>
      <c r="AG996" s="5451"/>
      <c r="AH996" s="5452"/>
      <c r="AI996" s="3543"/>
    </row>
    <row r="997" ht="16.5" customHeight="1">
      <c r="A997" s="3535"/>
      <c r="B997" s="5446"/>
      <c r="C997" s="5427"/>
      <c r="D997" s="5447"/>
      <c r="E997" s="5453" t="s">
        <v>513</v>
      </c>
      <c r="F997" s="5454">
        <f t="array" ref="F997">IFERROR(VLOOKUP(E984,Dex!$B$3:$N1361,8,FALSE),"")</f>
        <v>80</v>
      </c>
      <c r="G997" s="5455" t="str">
        <f t="array" ref="G997">IFERROR(VLOOKUP(F997,Dex!$P$22:$Q$276,2,FALSE),"")</f>
        <v/>
      </c>
      <c r="H997" s="5456"/>
      <c r="I997" s="5447"/>
      <c r="J997" s="5453" t="s">
        <v>513</v>
      </c>
      <c r="K997" s="5454">
        <f t="array" ref="K997">IFERROR(VLOOKUP(J984,Dex!$B$3:$N1361,8,FALSE),"")</f>
        <v>95</v>
      </c>
      <c r="L997" s="5455" t="str">
        <f t="array" ref="L997">IFERROR(VLOOKUP(K997,Dex!$P$22:$Q$276,2,FALSE),"")</f>
        <v/>
      </c>
      <c r="M997" s="5456"/>
      <c r="N997" s="5447"/>
      <c r="O997" s="5453" t="s">
        <v>513</v>
      </c>
      <c r="P997" s="5454">
        <f t="array" ref="P997">IFERROR(VLOOKUP(O984,Dex!$B$3:$N1361,8,FALSE),"")</f>
        <v>130</v>
      </c>
      <c r="Q997" s="5455" t="str">
        <f t="array" ref="Q997">IFERROR(VLOOKUP(P997,Dex!$P$22:$Q$276,2,FALSE),"")</f>
        <v/>
      </c>
      <c r="R997" s="5456"/>
      <c r="S997" s="5447"/>
      <c r="T997" s="5453" t="s">
        <v>513</v>
      </c>
      <c r="U997" s="5454">
        <f t="array" ref="U997">IFERROR(VLOOKUP(T984,Dex!$B$3:$N1361,8,FALSE),"")</f>
        <v>80</v>
      </c>
      <c r="V997" s="5455" t="str">
        <f t="array" ref="V997">IFERROR(VLOOKUP(U997,Dex!$P$22:$Q$276,2,FALSE),"")</f>
        <v/>
      </c>
      <c r="W997" s="5456"/>
      <c r="X997" s="5457"/>
      <c r="Y997" s="5453" t="s">
        <v>513</v>
      </c>
      <c r="Z997" s="5454">
        <f t="array" ref="Z997">IFERROR(VLOOKUP(Y984,Dex!$B$3:$N1361,8,FALSE),"")</f>
        <v>91</v>
      </c>
      <c r="AA997" s="5455" t="str">
        <f t="array" ref="AA997">IFERROR(VLOOKUP(Z997,Dex!$P$22:$Q$276,2,FALSE),"")</f>
        <v/>
      </c>
      <c r="AB997" s="5456"/>
      <c r="AC997" s="5451"/>
      <c r="AD997" s="5451"/>
      <c r="AE997" s="5451"/>
      <c r="AF997" s="5451"/>
      <c r="AG997" s="5451"/>
      <c r="AH997" s="5452"/>
      <c r="AI997" s="3543"/>
    </row>
    <row r="998" ht="16.5" customHeight="1">
      <c r="A998" s="3535"/>
      <c r="B998" s="5446"/>
      <c r="C998" s="5427"/>
      <c r="D998" s="5447"/>
      <c r="E998" s="5458" t="s">
        <v>514</v>
      </c>
      <c r="F998" s="5459">
        <f t="array" ref="F998">IFERROR(VLOOKUP(E984,Dex!$B$3:$N1361,9,FALSE),"")</f>
        <v>50</v>
      </c>
      <c r="G998" s="5460" t="str">
        <f t="array" ref="G998">IFERROR(VLOOKUP(F998,Dex!$P$22:$Q$276,2,FALSE),"")</f>
        <v/>
      </c>
      <c r="H998" s="5461"/>
      <c r="I998" s="5447"/>
      <c r="J998" s="5458" t="s">
        <v>514</v>
      </c>
      <c r="K998" s="5459">
        <f t="array" ref="K998">IFERROR(VLOOKUP(J984,Dex!$B$3:$N1361,9,FALSE),"")</f>
        <v>60</v>
      </c>
      <c r="L998" s="5460" t="str">
        <f t="array" ref="L998">IFERROR(VLOOKUP(K998,Dex!$P$22:$Q$276,2,FALSE),"")</f>
        <v/>
      </c>
      <c r="M998" s="5461"/>
      <c r="N998" s="5447"/>
      <c r="O998" s="5458" t="s">
        <v>514</v>
      </c>
      <c r="P998" s="5459">
        <f t="array" ref="P998">IFERROR(VLOOKUP(O984,Dex!$B$3:$N1361,9,FALSE),"")</f>
        <v>105</v>
      </c>
      <c r="Q998" s="5460" t="str">
        <f t="array" ref="Q998">IFERROR(VLOOKUP(P998,Dex!$P$22:$Q$276,2,FALSE),"")</f>
        <v/>
      </c>
      <c r="R998" s="5461"/>
      <c r="S998" s="5447"/>
      <c r="T998" s="5458" t="s">
        <v>514</v>
      </c>
      <c r="U998" s="5459">
        <f t="array" ref="U998">IFERROR(VLOOKUP(T984,Dex!$B$3:$N1361,9,FALSE),"")</f>
        <v>80</v>
      </c>
      <c r="V998" s="5460" t="str">
        <f t="array" ref="V998">IFERROR(VLOOKUP(U998,Dex!$P$22:$Q$276,2,FALSE),"")</f>
        <v/>
      </c>
      <c r="W998" s="5461"/>
      <c r="X998" s="5457"/>
      <c r="Y998" s="5458" t="s">
        <v>514</v>
      </c>
      <c r="Z998" s="5459">
        <f t="array" ref="Z998">IFERROR(VLOOKUP(Y984,Dex!$B$3:$N1361,9,FALSE),"")</f>
        <v>134</v>
      </c>
      <c r="AA998" s="5460" t="str">
        <f t="array" ref="AA998">IFERROR(VLOOKUP(Z998,Dex!$P$22:$Q$276,2,FALSE),"")</f>
        <v/>
      </c>
      <c r="AB998" s="5461"/>
      <c r="AC998" s="5451"/>
      <c r="AD998" s="5451"/>
      <c r="AE998" s="5451"/>
      <c r="AF998" s="5451"/>
      <c r="AG998" s="5451"/>
      <c r="AH998" s="5452"/>
      <c r="AI998" s="3543"/>
    </row>
    <row r="999" ht="16.5" customHeight="1">
      <c r="A999" s="3535"/>
      <c r="B999" s="5446"/>
      <c r="C999" s="5427"/>
      <c r="D999" s="5447"/>
      <c r="E999" s="5458" t="s">
        <v>515</v>
      </c>
      <c r="F999" s="5459">
        <f t="array" ref="F999">IFERROR(VLOOKUP(E984,Dex!$B$3:$N1361,10,FALSE),"")</f>
        <v>100</v>
      </c>
      <c r="G999" s="5460" t="str">
        <f t="array" ref="G999">IFERROR(VLOOKUP(F999,Dex!$P$22:$Q$276,2,FALSE),"")</f>
        <v/>
      </c>
      <c r="H999" s="5461"/>
      <c r="I999" s="5447"/>
      <c r="J999" s="5458" t="s">
        <v>515</v>
      </c>
      <c r="K999" s="5459">
        <f t="array" ref="K999">IFERROR(VLOOKUP(J984,Dex!$B$3:$N1361,10,FALSE),"")</f>
        <v>84</v>
      </c>
      <c r="L999" s="5460" t="str">
        <f t="array" ref="L999">IFERROR(VLOOKUP(K999,Dex!$P$22:$Q$276,2,FALSE),"")</f>
        <v/>
      </c>
      <c r="M999" s="5461"/>
      <c r="N999" s="5447"/>
      <c r="O999" s="5458" t="s">
        <v>515</v>
      </c>
      <c r="P999" s="5459">
        <f t="array" ref="P999">IFERROR(VLOOKUP(O984,Dex!$B$3:$N1361,10,FALSE),"")</f>
        <v>90</v>
      </c>
      <c r="Q999" s="5460" t="str">
        <f t="array" ref="Q999">IFERROR(VLOOKUP(P999,Dex!$P$22:$Q$276,2,FALSE),"")</f>
        <v/>
      </c>
      <c r="R999" s="5461"/>
      <c r="S999" s="5447"/>
      <c r="T999" s="5458" t="s">
        <v>515</v>
      </c>
      <c r="U999" s="5459">
        <f t="array" ref="U999">IFERROR(VLOOKUP(T984,Dex!$B$3:$N1361,10,FALSE),"")</f>
        <v>90</v>
      </c>
      <c r="V999" s="5460" t="str">
        <f t="array" ref="V999">IFERROR(VLOOKUP(U999,Dex!$P$22:$Q$276,2,FALSE),"")</f>
        <v/>
      </c>
      <c r="W999" s="5461"/>
      <c r="X999" s="5457"/>
      <c r="Y999" s="5458" t="s">
        <v>515</v>
      </c>
      <c r="Z999" s="5459">
        <f t="array" ref="Z999">IFERROR(VLOOKUP(Y984,Dex!$B$3:$N1361,10,FALSE),"")</f>
        <v>95</v>
      </c>
      <c r="AA999" s="5460" t="str">
        <f t="array" ref="AA999">IFERROR(VLOOKUP(Z999,Dex!$P$22:$Q$276,2,FALSE),"")</f>
        <v/>
      </c>
      <c r="AB999" s="5461"/>
      <c r="AC999" s="5451"/>
      <c r="AD999" s="5451"/>
      <c r="AE999" s="5451"/>
      <c r="AF999" s="5451"/>
      <c r="AG999" s="5451"/>
      <c r="AH999" s="5452"/>
      <c r="AI999" s="3543"/>
    </row>
    <row r="1000" ht="16.5" customHeight="1">
      <c r="A1000" s="3535"/>
      <c r="B1000" s="5446"/>
      <c r="C1000" s="5427"/>
      <c r="D1000" s="5447"/>
      <c r="E1000" s="5458" t="s">
        <v>516</v>
      </c>
      <c r="F1000" s="5459">
        <f t="array" ref="F1000">IFERROR(VLOOKUP(E984,Dex!$B$3:$N1361,11,FALSE),"")</f>
        <v>100</v>
      </c>
      <c r="G1000" s="5460" t="str">
        <f t="array" ref="G1000">IFERROR(VLOOKUP(F1000,Dex!$P$22:$Q$276,2,FALSE),"")</f>
        <v/>
      </c>
      <c r="H1000" s="5461"/>
      <c r="I1000" s="5447"/>
      <c r="J1000" s="5458" t="s">
        <v>516</v>
      </c>
      <c r="K1000" s="5459">
        <f t="array" ref="K1000">IFERROR(VLOOKUP(J984,Dex!$B$3:$N1361,11,FALSE),"")</f>
        <v>100</v>
      </c>
      <c r="L1000" s="5460" t="str">
        <f t="array" ref="L1000">IFERROR(VLOOKUP(K1000,Dex!$P$22:$Q$276,2,FALSE),"")</f>
        <v/>
      </c>
      <c r="M1000" s="5461"/>
      <c r="N1000" s="5447"/>
      <c r="O1000" s="5458" t="s">
        <v>516</v>
      </c>
      <c r="P1000" s="5459">
        <f t="array" ref="P1000">IFERROR(VLOOKUP(O984,Dex!$B$3:$N1361,11,FALSE),"")</f>
        <v>115</v>
      </c>
      <c r="Q1000" s="5460" t="str">
        <f t="array" ref="Q1000">IFERROR(VLOOKUP(P1000,Dex!$P$22:$Q$276,2,FALSE),"")</f>
        <v/>
      </c>
      <c r="R1000" s="5461"/>
      <c r="S1000" s="5447"/>
      <c r="T1000" s="5458" t="s">
        <v>516</v>
      </c>
      <c r="U1000" s="5459">
        <f t="array" ref="U1000">IFERROR(VLOOKUP(T984,Dex!$B$3:$N1361,11,FALSE),"")</f>
        <v>110</v>
      </c>
      <c r="V1000" s="5460" t="str">
        <f t="array" ref="V1000">IFERROR(VLOOKUP(U1000,Dex!$P$22:$Q$276,2,FALSE),"")</f>
        <v/>
      </c>
      <c r="W1000" s="5461"/>
      <c r="X1000" s="5457"/>
      <c r="Y1000" s="5458" t="s">
        <v>516</v>
      </c>
      <c r="Z1000" s="5459">
        <f t="array" ref="Z1000">IFERROR(VLOOKUP(Y984,Dex!$B$3:$N1361,11,FALSE),"")</f>
        <v>100</v>
      </c>
      <c r="AA1000" s="5460" t="str">
        <f t="array" ref="AA1000">IFERROR(VLOOKUP(Z1000,Dex!$P$22:$Q$276,2,FALSE),"")</f>
        <v/>
      </c>
      <c r="AB1000" s="5461"/>
      <c r="AC1000" s="5451"/>
      <c r="AD1000" s="5451"/>
      <c r="AE1000" s="5451"/>
      <c r="AF1000" s="5451"/>
      <c r="AG1000" s="5451"/>
      <c r="AH1000" s="5452"/>
      <c r="AI1000" s="3543"/>
    </row>
    <row r="1001" ht="16.5" customHeight="1">
      <c r="A1001" s="3535"/>
      <c r="B1001" s="5446"/>
      <c r="C1001" s="5427"/>
      <c r="D1001" s="5447"/>
      <c r="E1001" s="5458" t="s">
        <v>517</v>
      </c>
      <c r="F1001" s="5459">
        <f t="array" ref="F1001">IFERROR(VLOOKUP(E984,Dex!$B$3:$N1361,12,FALSE),"")</f>
        <v>200</v>
      </c>
      <c r="G1001" s="5460" t="str">
        <f t="array" ref="G1001">IFERROR(VLOOKUP(F1001,Dex!$P$22:$Q$276,2,FALSE),"")</f>
        <v/>
      </c>
      <c r="H1001" s="5461"/>
      <c r="I1001" s="5447"/>
      <c r="J1001" s="5458" t="s">
        <v>517</v>
      </c>
      <c r="K1001" s="5459">
        <f t="array" ref="K1001">IFERROR(VLOOKUP(J984,Dex!$B$3:$N1361,12,FALSE),"")</f>
        <v>125</v>
      </c>
      <c r="L1001" s="5460" t="str">
        <f t="array" ref="L1001">IFERROR(VLOOKUP(K1001,Dex!$P$22:$Q$276,2,FALSE),"")</f>
        <v/>
      </c>
      <c r="M1001" s="5461"/>
      <c r="N1001" s="5447"/>
      <c r="O1001" s="5458" t="s">
        <v>517</v>
      </c>
      <c r="P1001" s="5459">
        <f t="array" ref="P1001">IFERROR(VLOOKUP(O984,Dex!$B$3:$N1361,12,FALSE),"")</f>
        <v>105</v>
      </c>
      <c r="Q1001" s="5460" t="str">
        <f t="array" ref="Q1001">IFERROR(VLOOKUP(P1001,Dex!$P$22:$Q$276,2,FALSE),"")</f>
        <v/>
      </c>
      <c r="R1001" s="5461"/>
      <c r="S1001" s="5447"/>
      <c r="T1001" s="5458" t="s">
        <v>517</v>
      </c>
      <c r="U1001" s="5459">
        <f t="array" ref="U1001">IFERROR(VLOOKUP(T984,Dex!$B$3:$N1361,12,FALSE),"")</f>
        <v>130</v>
      </c>
      <c r="V1001" s="5460" t="str">
        <f t="array" ref="V1001">IFERROR(VLOOKUP(U1001,Dex!$P$22:$Q$276,2,FALSE),"")</f>
        <v/>
      </c>
      <c r="W1001" s="5461"/>
      <c r="X1001" s="5457"/>
      <c r="Y1001" s="5458" t="s">
        <v>517</v>
      </c>
      <c r="Z1001" s="5459">
        <f t="array" ref="Z1001">IFERROR(VLOOKUP(Y984,Dex!$B$3:$N1361,12,FALSE),"")</f>
        <v>100</v>
      </c>
      <c r="AA1001" s="5460" t="str">
        <f t="array" ref="AA1001">IFERROR(VLOOKUP(Z1001,Dex!$P$22:$Q$276,2,FALSE),"")</f>
        <v/>
      </c>
      <c r="AB1001" s="5461"/>
      <c r="AC1001" s="5451"/>
      <c r="AD1001" s="5451"/>
      <c r="AE1001" s="5451"/>
      <c r="AF1001" s="5451"/>
      <c r="AG1001" s="5451"/>
      <c r="AH1001" s="5452"/>
      <c r="AI1001" s="3543"/>
    </row>
    <row r="1002" ht="16.5" customHeight="1">
      <c r="A1002" s="3535"/>
      <c r="B1002" s="5446"/>
      <c r="C1002" s="1426" t="s">
        <v>745</v>
      </c>
      <c r="D1002" s="5447"/>
      <c r="E1002" s="5462" t="s">
        <v>518</v>
      </c>
      <c r="F1002" s="5463">
        <f t="array" ref="F1002">IFERROR(VLOOKUP(E984,Dex!$B$3:$N1361,13,FALSE),"")</f>
        <v>50</v>
      </c>
      <c r="G1002" s="5464" t="str">
        <f t="array" ref="G1002">IFERROR(VLOOKUP(F1002,Dex!$P$22:$Q$276,2,FALSE),"")</f>
        <v/>
      </c>
      <c r="H1002" s="5465"/>
      <c r="I1002" s="5447"/>
      <c r="J1002" s="5462" t="s">
        <v>518</v>
      </c>
      <c r="K1002" s="5463">
        <f t="array" ref="K1002">IFERROR(VLOOKUP(J984,Dex!$B$3:$N1361,13,FALSE),"")</f>
        <v>86</v>
      </c>
      <c r="L1002" s="5464" t="str">
        <f t="array" ref="L1002">IFERROR(VLOOKUP(K1002,Dex!$P$22:$Q$276,2,FALSE),"")</f>
        <v/>
      </c>
      <c r="M1002" s="5465"/>
      <c r="N1002" s="5447"/>
      <c r="O1002" s="5462" t="s">
        <v>518</v>
      </c>
      <c r="P1002" s="5463">
        <f t="array" ref="P1002">IFERROR(VLOOKUP(O984,Dex!$B$3:$N1361,13,FALSE),"")</f>
        <v>70</v>
      </c>
      <c r="Q1002" s="5464" t="str">
        <f t="array" ref="Q1002">IFERROR(VLOOKUP(P1002,Dex!$P$22:$Q$276,2,FALSE),"")</f>
        <v/>
      </c>
      <c r="R1002" s="5465"/>
      <c r="S1002" s="5447"/>
      <c r="T1002" s="5462" t="s">
        <v>518</v>
      </c>
      <c r="U1002" s="5463">
        <f t="array" ref="U1002">IFERROR(VLOOKUP(T984,Dex!$B$3:$N1361,13,FALSE),"")</f>
        <v>110</v>
      </c>
      <c r="V1002" s="5464" t="str">
        <f t="array" ref="V1002">IFERROR(VLOOKUP(U1002,Dex!$P$22:$Q$276,2,FALSE),"")</f>
        <v/>
      </c>
      <c r="W1002" s="5465"/>
      <c r="X1002" s="5457"/>
      <c r="Y1002" s="5462" t="s">
        <v>518</v>
      </c>
      <c r="Z1002" s="5463">
        <f t="array" ref="Z1002">IFERROR(VLOOKUP(Y984,Dex!$B$3:$N1361,13,FALSE),"")</f>
        <v>80</v>
      </c>
      <c r="AA1002" s="5464" t="str">
        <f t="array" ref="AA1002">IFERROR(VLOOKUP(Z1002,Dex!$P$22:$Q$276,2,FALSE),"")</f>
        <v/>
      </c>
      <c r="AB1002" s="5465"/>
      <c r="AC1002" s="5451"/>
      <c r="AD1002" s="5451"/>
      <c r="AE1002" s="5451"/>
      <c r="AF1002" s="5451"/>
      <c r="AG1002" s="5451"/>
      <c r="AH1002" s="5452"/>
      <c r="AI1002" s="3543"/>
    </row>
    <row r="1003" ht="16.5" customHeight="1">
      <c r="A1003" s="3535"/>
      <c r="B1003" s="5446"/>
      <c r="C1003" s="1427" t="s">
        <v>746</v>
      </c>
      <c r="D1003" s="5449"/>
      <c r="E1003" s="5466" t="s">
        <v>519</v>
      </c>
      <c r="F1003" s="630"/>
      <c r="G1003" s="631"/>
      <c r="H1003" s="632">
        <f>ROUNDDOWN((ROUNDDOWN(((((2*F1002+31)*66)/100+5)),0))*1,0)</f>
        <v>91</v>
      </c>
      <c r="I1003" s="5449"/>
      <c r="J1003" s="5466" t="s">
        <v>519</v>
      </c>
      <c r="K1003" s="630"/>
      <c r="L1003" s="631"/>
      <c r="M1003" s="632">
        <f>ROUNDDOWN((ROUNDDOWN(((((2*K1002+31)*66)/100+5)),0))*1,0)</f>
        <v>138</v>
      </c>
      <c r="N1003" s="5449"/>
      <c r="O1003" s="5466" t="s">
        <v>519</v>
      </c>
      <c r="P1003" s="630"/>
      <c r="Q1003" s="631"/>
      <c r="R1003" s="632">
        <f>ROUNDDOWN((ROUNDDOWN(((((2*P1002+31)*66)/100+5)),0))*1,0)</f>
        <v>117</v>
      </c>
      <c r="S1003" s="5449"/>
      <c r="T1003" s="5466" t="s">
        <v>519</v>
      </c>
      <c r="U1003" s="630"/>
      <c r="V1003" s="631"/>
      <c r="W1003" s="632">
        <f>ROUNDDOWN((ROUNDDOWN(((((2*U1002+31)*66)/100+5)),0))*1.1,0)</f>
        <v>187</v>
      </c>
      <c r="X1003" s="5450"/>
      <c r="Y1003" s="5466" t="s">
        <v>519</v>
      </c>
      <c r="Z1003" s="630"/>
      <c r="AA1003" s="631"/>
      <c r="AB1003" s="632">
        <f>ROUNDDOWN((ROUNDDOWN(((((2*Z1002+31)*66)/100+5)),0))*1,0)</f>
        <v>131</v>
      </c>
      <c r="AC1003" s="5451"/>
      <c r="AD1003" s="5451"/>
      <c r="AE1003" s="5451"/>
      <c r="AF1003" s="5451"/>
      <c r="AG1003" s="5451"/>
      <c r="AH1003" s="5452"/>
      <c r="AI1003" s="3543"/>
    </row>
    <row r="1004" ht="16.5" customHeight="1">
      <c r="A1004" s="3535"/>
      <c r="B1004" s="5467"/>
      <c r="C1004" s="5468"/>
      <c r="D1004" s="5469"/>
      <c r="E1004" s="5470"/>
      <c r="F1004" s="5471"/>
      <c r="G1004" s="5472"/>
      <c r="H1004" s="5472"/>
      <c r="I1004" s="5469"/>
      <c r="J1004" s="5473"/>
      <c r="K1004" s="5473"/>
      <c r="L1004" s="5474"/>
      <c r="M1004" s="5472"/>
      <c r="N1004" s="5469"/>
      <c r="O1004" s="5473"/>
      <c r="P1004" s="5473"/>
      <c r="Q1004" s="5474"/>
      <c r="R1004" s="5472"/>
      <c r="S1004" s="5469"/>
      <c r="T1004" s="5473"/>
      <c r="U1004" s="5473"/>
      <c r="V1004" s="5474"/>
      <c r="W1004" s="5472"/>
      <c r="X1004" s="5475"/>
      <c r="Y1004" s="5474"/>
      <c r="Z1004" s="5473"/>
      <c r="AA1004" s="5473"/>
      <c r="AB1004" s="5475"/>
      <c r="AC1004" s="5475"/>
      <c r="AD1004" s="5475"/>
      <c r="AE1004" s="5475"/>
      <c r="AF1004" s="5475"/>
      <c r="AG1004" s="5475"/>
      <c r="AH1004" s="5476"/>
      <c r="AI1004" s="3543"/>
    </row>
    <row r="1005" ht="15.0" customHeight="1">
      <c r="A1005" s="3446"/>
      <c r="B1005" s="3567"/>
      <c r="C1005" s="3568"/>
      <c r="D1005" s="3569"/>
      <c r="E1005" s="3569"/>
      <c r="F1005" s="3569"/>
      <c r="G1005" s="3569"/>
      <c r="H1005" s="3569"/>
      <c r="I1005" s="3569"/>
      <c r="J1005" s="3569"/>
      <c r="K1005" s="3569"/>
      <c r="L1005" s="3569"/>
      <c r="M1005" s="3569"/>
      <c r="N1005" s="3569"/>
      <c r="O1005" s="3569"/>
      <c r="P1005" s="3569"/>
      <c r="Q1005" s="3569"/>
      <c r="R1005" s="3569"/>
      <c r="S1005" s="3569"/>
      <c r="T1005" s="3569"/>
      <c r="U1005" s="3569"/>
      <c r="V1005" s="3569"/>
      <c r="W1005" s="3569"/>
      <c r="X1005" s="3569"/>
      <c r="Y1005" s="3569"/>
      <c r="Z1005" s="3569"/>
      <c r="AA1005" s="3569"/>
      <c r="AB1005" s="3569"/>
      <c r="AC1005" s="3569"/>
      <c r="AD1005" s="3569"/>
      <c r="AE1005" s="3569"/>
      <c r="AF1005" s="3569"/>
      <c r="AG1005" s="3569"/>
      <c r="AH1005" s="3571"/>
      <c r="AI1005" s="3452"/>
    </row>
    <row r="1006">
      <c r="A1006" s="3446"/>
      <c r="B1006" s="4579"/>
      <c r="C1006" s="4580"/>
      <c r="D1006" s="3581"/>
      <c r="E1006" s="4581" t="s">
        <v>1666</v>
      </c>
      <c r="F1006" s="3617"/>
      <c r="G1006" s="3617"/>
      <c r="H1006" s="3617"/>
      <c r="I1006" s="3617"/>
      <c r="J1006" s="3617"/>
      <c r="K1006" s="3617"/>
      <c r="L1006" s="3617"/>
      <c r="M1006" s="3617"/>
      <c r="N1006" s="3617"/>
      <c r="O1006" s="3617"/>
      <c r="P1006" s="3617"/>
      <c r="Q1006" s="3617"/>
      <c r="R1006" s="3617"/>
      <c r="S1006" s="3617"/>
      <c r="T1006" s="3617"/>
      <c r="U1006" s="3617"/>
      <c r="V1006" s="3617"/>
      <c r="W1006" s="3617"/>
      <c r="X1006" s="3617"/>
      <c r="Y1006" s="3617"/>
      <c r="Z1006" s="3617"/>
      <c r="AA1006" s="3617"/>
      <c r="AB1006" s="3617"/>
      <c r="AC1006" s="3617"/>
      <c r="AD1006" s="3617"/>
      <c r="AE1006" s="3617"/>
      <c r="AF1006" s="3617"/>
      <c r="AG1006" s="3618"/>
      <c r="AH1006" s="4582"/>
      <c r="AI1006" s="3452"/>
    </row>
    <row r="1007" ht="96.75" customHeight="1">
      <c r="A1007" s="3453"/>
      <c r="B1007" s="3572"/>
      <c r="C1007" s="3573" t="str">
        <f>IMAGE("https://i.ibb.co/TKBZjnF/Ace-Trainer-M.png")</f>
        <v/>
      </c>
      <c r="D1007" s="3574"/>
      <c r="E1007" s="3575" t="str">
        <f t="array" ref="E1007">IFERROR(VLOOKUP(E1008,Dex!$B$3:$G1361,3,FALSE),"")</f>
        <v/>
      </c>
      <c r="F1007" s="606"/>
      <c r="G1007" s="606"/>
      <c r="H1007" s="607"/>
      <c r="I1007" s="3576"/>
      <c r="J1007" s="3575" t="str">
        <f t="array" ref="J1007">IFERROR(VLOOKUP(J1008,Dex!$B$3:$G1361,3,FALSE),"")</f>
        <v/>
      </c>
      <c r="K1007" s="606"/>
      <c r="L1007" s="606"/>
      <c r="M1007" s="607"/>
      <c r="N1007" s="4583"/>
      <c r="O1007" s="3575" t="str">
        <f t="array" ref="O1007">IFERROR(VLOOKUP(O1008,Dex!$B$3:$G1361,3,FALSE),"")</f>
        <v/>
      </c>
      <c r="P1007" s="606"/>
      <c r="Q1007" s="606"/>
      <c r="R1007" s="607"/>
      <c r="S1007" s="4584"/>
      <c r="T1007" s="3575" t="str">
        <f t="array" ref="T1007">IFERROR(VLOOKUP(T1008,Dex!$B$3:$G1361,3,FALSE),"")</f>
        <v/>
      </c>
      <c r="U1007" s="606"/>
      <c r="V1007" s="606"/>
      <c r="W1007" s="607"/>
      <c r="X1007" s="4583"/>
      <c r="Y1007" s="3575" t="str">
        <f t="array" ref="Y1007">IFERROR(VLOOKUP(Y1008,Dex!$B$3:$G1361,3,FALSE),"")</f>
        <v/>
      </c>
      <c r="Z1007" s="606"/>
      <c r="AA1007" s="606"/>
      <c r="AB1007" s="607"/>
      <c r="AC1007" s="4585"/>
      <c r="AD1007" s="3578"/>
      <c r="AE1007" s="3579"/>
      <c r="AF1007" s="3579"/>
      <c r="AG1007" s="3580"/>
      <c r="AH1007" s="3583"/>
      <c r="AI1007" s="3466"/>
    </row>
    <row r="1008" ht="18.75" customHeight="1">
      <c r="A1008" s="3467"/>
      <c r="B1008" s="3584"/>
      <c r="C1008" s="3585" t="s">
        <v>1667</v>
      </c>
      <c r="D1008" s="3586"/>
      <c r="E1008" s="3587" t="s">
        <v>1342</v>
      </c>
      <c r="F1008" s="3588"/>
      <c r="G1008" s="3588"/>
      <c r="H1008" s="3589"/>
      <c r="J1008" s="3587" t="s">
        <v>1668</v>
      </c>
      <c r="K1008" s="3588"/>
      <c r="L1008" s="3588"/>
      <c r="M1008" s="3589"/>
      <c r="O1008" s="3587" t="s">
        <v>1669</v>
      </c>
      <c r="P1008" s="3588"/>
      <c r="Q1008" s="3588"/>
      <c r="R1008" s="3589"/>
      <c r="T1008" s="3587" t="s">
        <v>1670</v>
      </c>
      <c r="U1008" s="3588"/>
      <c r="V1008" s="3588"/>
      <c r="W1008" s="3589"/>
      <c r="Y1008" s="3587" t="s">
        <v>1671</v>
      </c>
      <c r="Z1008" s="3588"/>
      <c r="AA1008" s="3588"/>
      <c r="AB1008" s="3589"/>
      <c r="AC1008" s="3590"/>
      <c r="AD1008" s="3591"/>
      <c r="AE1008" s="3579"/>
      <c r="AF1008" s="3579"/>
      <c r="AG1008" s="3580"/>
      <c r="AH1008" s="3593"/>
      <c r="AI1008" s="3478"/>
    </row>
    <row r="1009">
      <c r="A1009" s="3479"/>
      <c r="B1009" s="3594"/>
      <c r="C1009" s="1638"/>
      <c r="D1009" s="3595"/>
      <c r="E1009" s="3596" t="s">
        <v>796</v>
      </c>
      <c r="F1009" s="3597"/>
      <c r="G1009" s="3597"/>
      <c r="H1009" s="3598"/>
      <c r="J1009" s="3596" t="s">
        <v>796</v>
      </c>
      <c r="K1009" s="3597"/>
      <c r="L1009" s="3597"/>
      <c r="M1009" s="3598"/>
      <c r="O1009" s="3596" t="s">
        <v>796</v>
      </c>
      <c r="P1009" s="3597"/>
      <c r="Q1009" s="3597"/>
      <c r="R1009" s="3598"/>
      <c r="T1009" s="3596" t="s">
        <v>796</v>
      </c>
      <c r="U1009" s="3597"/>
      <c r="V1009" s="3597"/>
      <c r="W1009" s="3598"/>
      <c r="Y1009" s="3596" t="s">
        <v>796</v>
      </c>
      <c r="Z1009" s="3597"/>
      <c r="AA1009" s="3597"/>
      <c r="AB1009" s="3598"/>
      <c r="AC1009" s="3590"/>
      <c r="AD1009" s="3599"/>
      <c r="AE1009" s="3579"/>
      <c r="AF1009" s="3579"/>
      <c r="AG1009" s="3580"/>
      <c r="AH1009" s="3600"/>
      <c r="AI1009" s="3487"/>
    </row>
    <row r="1010" ht="25.5" customHeight="1">
      <c r="A1010" s="3453"/>
      <c r="B1010" s="3572"/>
      <c r="C1010" s="1646"/>
      <c r="D1010" s="3574"/>
      <c r="E1010" s="3601"/>
      <c r="F1010" s="4588" t="str">
        <f t="array" ref="F1010">IFERROR(VLOOKUP(E1008,Dex!$B$3:$H1361,5,FALSE),"")</f>
        <v/>
      </c>
      <c r="G1010" s="4589" t="str">
        <f t="array" ref="G1010">IFERROR(VLOOKUP(E1008,Dex!$B$3:$H1361,7,FALSE),"")</f>
        <v/>
      </c>
      <c r="H1010" s="3604"/>
      <c r="J1010" s="3601"/>
      <c r="K1010" s="4588" t="str">
        <f t="array" ref="K1010">IFERROR(VLOOKUP(J1008,Dex!$B$3:$H1361,5,FALSE),"")</f>
        <v/>
      </c>
      <c r="L1010" s="4589" t="str">
        <f t="array" ref="L1010">IFERROR(VLOOKUP(J1008,Dex!$B$3:$H1361,7,FALSE),"")</f>
        <v/>
      </c>
      <c r="M1010" s="3604"/>
      <c r="O1010" s="3601"/>
      <c r="P1010" s="4588" t="str">
        <f t="array" ref="P1010">IFERROR(VLOOKUP(O1008,Dex!$B$3:$H1361,5,FALSE),"")</f>
        <v/>
      </c>
      <c r="Q1010" s="4589" t="str">
        <f t="array" ref="Q1010">IFERROR(VLOOKUP(O1008,Dex!$B$3:$H1361,7,FALSE),"")</f>
        <v/>
      </c>
      <c r="R1010" s="3604"/>
      <c r="T1010" s="3601"/>
      <c r="U1010" s="4588" t="str">
        <f t="array" ref="U1010">IFERROR(VLOOKUP(T1008,Dex!$B$3:$H1361,5,FALSE),"")</f>
        <v/>
      </c>
      <c r="V1010" s="4589" t="str">
        <f t="array" ref="V1010">IFERROR(VLOOKUP(T1008,Dex!$B$3:$H1361,7,FALSE),"")</f>
        <v/>
      </c>
      <c r="W1010" s="3604"/>
      <c r="Y1010" s="3601"/>
      <c r="Z1010" s="4588" t="str">
        <f t="array" ref="Z1010">IFERROR(VLOOKUP(Y1008,Dex!$B$3:$H1361,5,FALSE),"")</f>
        <v/>
      </c>
      <c r="AA1010" s="4589" t="str">
        <f t="array" ref="AA1010">IFERROR(VLOOKUP(Y1008,Dex!$B$3:$H1361,7,FALSE),"")</f>
        <v/>
      </c>
      <c r="AB1010" s="3604"/>
      <c r="AC1010" s="3590"/>
      <c r="AD1010" s="3578"/>
      <c r="AE1010" s="3579"/>
      <c r="AF1010" s="3579"/>
      <c r="AG1010" s="3580"/>
      <c r="AH1010" s="3583"/>
      <c r="AI1010" s="3466"/>
    </row>
    <row r="1011" ht="2.25" customHeight="1">
      <c r="A1011" s="3453"/>
      <c r="B1011" s="3572"/>
      <c r="C1011" s="3605"/>
      <c r="D1011" s="3574"/>
      <c r="E1011" s="3606"/>
      <c r="F1011" s="3607"/>
      <c r="G1011" s="3607"/>
      <c r="H1011" s="3608"/>
      <c r="J1011" s="3606"/>
      <c r="K1011" s="3607"/>
      <c r="L1011" s="3607"/>
      <c r="M1011" s="3608"/>
      <c r="O1011" s="3606"/>
      <c r="P1011" s="3607"/>
      <c r="Q1011" s="3607"/>
      <c r="R1011" s="3608"/>
      <c r="T1011" s="3606"/>
      <c r="U1011" s="3607"/>
      <c r="V1011" s="3607"/>
      <c r="W1011" s="3608"/>
      <c r="Y1011" s="3606"/>
      <c r="Z1011" s="3607"/>
      <c r="AA1011" s="3607"/>
      <c r="AB1011" s="3608"/>
      <c r="AC1011" s="3590"/>
      <c r="AD1011" s="3609"/>
      <c r="AE1011" s="3609"/>
      <c r="AF1011" s="3609"/>
      <c r="AG1011" s="3609"/>
      <c r="AH1011" s="3583"/>
      <c r="AI1011" s="3466"/>
    </row>
    <row r="1012" ht="20.25" customHeight="1">
      <c r="A1012" s="3453"/>
      <c r="B1012" s="3572"/>
      <c r="C1012" s="3605"/>
      <c r="D1012" s="3574"/>
      <c r="E1012" s="3610" t="s">
        <v>564</v>
      </c>
      <c r="F1012" s="3611"/>
      <c r="G1012" s="3611"/>
      <c r="H1012" s="3612"/>
      <c r="J1012" s="3610" t="s">
        <v>566</v>
      </c>
      <c r="K1012" s="3611"/>
      <c r="L1012" s="3611"/>
      <c r="M1012" s="3612"/>
      <c r="O1012" s="3610" t="s">
        <v>532</v>
      </c>
      <c r="P1012" s="3611"/>
      <c r="Q1012" s="3611"/>
      <c r="R1012" s="3612"/>
      <c r="T1012" s="3610" t="s">
        <v>531</v>
      </c>
      <c r="U1012" s="3611"/>
      <c r="V1012" s="3611"/>
      <c r="W1012" s="3612"/>
      <c r="Y1012" s="3610" t="s">
        <v>564</v>
      </c>
      <c r="Z1012" s="3611"/>
      <c r="AA1012" s="3611"/>
      <c r="AB1012" s="3612"/>
      <c r="AC1012" s="3590"/>
      <c r="AD1012" s="3578"/>
      <c r="AE1012" s="3579"/>
      <c r="AF1012" s="3579"/>
      <c r="AG1012" s="3580"/>
      <c r="AH1012" s="3583"/>
      <c r="AI1012" s="3466"/>
    </row>
    <row r="1013">
      <c r="A1013" s="3453"/>
      <c r="B1013" s="3572"/>
      <c r="C1013" s="3613"/>
      <c r="D1013" s="3574"/>
      <c r="E1013" s="3614" t="s">
        <v>1579</v>
      </c>
      <c r="F1013" s="3579"/>
      <c r="G1013" s="3579"/>
      <c r="H1013" s="3615"/>
      <c r="J1013" s="3614" t="s">
        <v>533</v>
      </c>
      <c r="K1013" s="3579"/>
      <c r="L1013" s="3579"/>
      <c r="M1013" s="3615"/>
      <c r="O1013" s="3614" t="s">
        <v>1672</v>
      </c>
      <c r="P1013" s="3579"/>
      <c r="Q1013" s="3579"/>
      <c r="R1013" s="3615"/>
      <c r="T1013" s="3614" t="s">
        <v>533</v>
      </c>
      <c r="U1013" s="3579"/>
      <c r="V1013" s="3579"/>
      <c r="W1013" s="3615"/>
      <c r="Y1013" s="3614" t="s">
        <v>756</v>
      </c>
      <c r="Z1013" s="3579"/>
      <c r="AA1013" s="3579"/>
      <c r="AB1013" s="3615"/>
      <c r="AC1013" s="3590"/>
      <c r="AD1013" s="3578"/>
      <c r="AE1013" s="3579"/>
      <c r="AF1013" s="3579"/>
      <c r="AG1013" s="3580"/>
      <c r="AH1013" s="3583"/>
      <c r="AI1013" s="3466"/>
    </row>
    <row r="1014" ht="20.25" customHeight="1">
      <c r="A1014" s="3453"/>
      <c r="B1014" s="3572"/>
      <c r="C1014" s="3592"/>
      <c r="D1014" s="3574"/>
      <c r="E1014" s="3616" t="s">
        <v>1261</v>
      </c>
      <c r="F1014" s="3617"/>
      <c r="G1014" s="3618"/>
      <c r="H1014" s="3619" t="str">
        <f>IMAGE("https://raw.githubusercontent.com/msikma/pokesprite/master/items/z-crystals/ghostium-z--held.png",3)</f>
        <v/>
      </c>
      <c r="J1014" s="3616" t="s">
        <v>686</v>
      </c>
      <c r="K1014" s="3617"/>
      <c r="L1014" s="3618"/>
      <c r="M1014" s="3619" t="str">
        <f>IMAGE("https://raw.githubusercontent.com/msikma/pokesprite/master/items/gem/water.png",3)</f>
        <v/>
      </c>
      <c r="O1014" s="3616" t="s">
        <v>1673</v>
      </c>
      <c r="P1014" s="3617"/>
      <c r="Q1014" s="3618"/>
      <c r="R1014" s="3619" t="str">
        <f>IMAGE("https://raw.githubusercontent.com/msikma/pokesprite/master/items/mega-stone/pinsirite.png",3)</f>
        <v/>
      </c>
      <c r="T1014" s="3616" t="s">
        <v>573</v>
      </c>
      <c r="U1014" s="3617"/>
      <c r="V1014" s="3618"/>
      <c r="W1014" s="3619" t="str">
        <f>IMAGE("https://raw.githubusercontent.com/msikma/pokesprite/master/items/hold-item/focus-sash.png",3)</f>
        <v/>
      </c>
      <c r="Y1014" s="3616" t="s">
        <v>1084</v>
      </c>
      <c r="Z1014" s="3617"/>
      <c r="AA1014" s="3618"/>
      <c r="AB1014" s="3619" t="str">
        <f>IMAGE("https://raw.githubusercontent.com/msikma/pokesprite/master/items/gem/flying.png",3)</f>
        <v/>
      </c>
      <c r="AC1014" s="3590"/>
      <c r="AD1014" s="3578"/>
      <c r="AE1014" s="3579"/>
      <c r="AF1014" s="3579"/>
      <c r="AG1014" s="3580"/>
      <c r="AH1014" s="3583"/>
      <c r="AI1014" s="3466"/>
    </row>
    <row r="1015" ht="20.25" customHeight="1">
      <c r="A1015" s="3453"/>
      <c r="B1015" s="3572"/>
      <c r="C1015" s="3620"/>
      <c r="D1015" s="3574"/>
      <c r="E1015" s="3610" t="s">
        <v>647</v>
      </c>
      <c r="F1015" s="3611"/>
      <c r="G1015" s="3621"/>
      <c r="H1015" s="3622" t="str">
        <f>IMAGE("https://raw.githubusercontent.com/msikma/pokesprite/master/misc/types/gen8/ghost.png",4,20,20)</f>
        <v/>
      </c>
      <c r="J1015" s="3610" t="s">
        <v>760</v>
      </c>
      <c r="K1015" s="3611"/>
      <c r="L1015" s="3621"/>
      <c r="M1015" s="3622" t="str">
        <f>IMAGE("https://raw.githubusercontent.com/msikma/pokesprite/master/misc/types/gen8/water.png",4,20,20)</f>
        <v/>
      </c>
      <c r="O1015" s="3610" t="s">
        <v>830</v>
      </c>
      <c r="P1015" s="3611"/>
      <c r="Q1015" s="3621"/>
      <c r="R1015" s="3622" t="str">
        <f>IMAGE("https://raw.githubusercontent.com/msikma/pokesprite/master/misc/types/gen8/bug.png",4,20,20)</f>
        <v/>
      </c>
      <c r="T1015" s="3610" t="s">
        <v>273</v>
      </c>
      <c r="U1015" s="3611"/>
      <c r="V1015" s="3621"/>
      <c r="W1015" s="3622" t="str">
        <f>IMAGE("https://raw.githubusercontent.com/msikma/pokesprite/master/misc/types/gen8/normal.png",4,20,20)</f>
        <v/>
      </c>
      <c r="Y1015" s="3610" t="s">
        <v>844</v>
      </c>
      <c r="Z1015" s="3611"/>
      <c r="AA1015" s="3621"/>
      <c r="AB1015" s="3622" t="str">
        <f>IMAGE("https://raw.githubusercontent.com/msikma/pokesprite/master/misc/types/gen8/electric.png",4,20,20)</f>
        <v/>
      </c>
      <c r="AC1015" s="3590"/>
      <c r="AD1015" s="3578"/>
      <c r="AE1015" s="3579"/>
      <c r="AF1015" s="3579"/>
      <c r="AG1015" s="3580"/>
      <c r="AH1015" s="3583"/>
      <c r="AI1015" s="3466"/>
    </row>
    <row r="1016" ht="20.25" customHeight="1">
      <c r="A1016" s="3453"/>
      <c r="B1016" s="3572"/>
      <c r="C1016" s="3605"/>
      <c r="D1016" s="3574"/>
      <c r="E1016" s="3614" t="s">
        <v>844</v>
      </c>
      <c r="F1016" s="3579"/>
      <c r="G1016" s="3580"/>
      <c r="H1016" s="3623" t="str">
        <f>IMAGE("https://raw.githubusercontent.com/msikma/pokesprite/master/misc/types/gen8/electric.png",4,20,20)</f>
        <v/>
      </c>
      <c r="J1016" s="3614" t="s">
        <v>834</v>
      </c>
      <c r="K1016" s="3579"/>
      <c r="L1016" s="3580"/>
      <c r="M1016" s="3623" t="str">
        <f>IMAGE("https://raw.githubusercontent.com/msikma/pokesprite/master/misc/types/gen8/rock.png",4,20,20)</f>
        <v/>
      </c>
      <c r="O1016" s="3614" t="s">
        <v>928</v>
      </c>
      <c r="P1016" s="3579"/>
      <c r="Q1016" s="3580"/>
      <c r="R1016" s="3623" t="str">
        <f t="shared" ref="R1016:R1017" si="30">IMAGE("https://raw.githubusercontent.com/msikma/pokesprite/master/misc/types/gen8/flying.png",4,20,20)</f>
        <v/>
      </c>
      <c r="T1016" s="3614" t="s">
        <v>649</v>
      </c>
      <c r="U1016" s="3579"/>
      <c r="V1016" s="3580"/>
      <c r="W1016" s="3623" t="str">
        <f>IMAGE("https://raw.githubusercontent.com/msikma/pokesprite/master/misc/types/gen8/water.png",4,20,20)</f>
        <v/>
      </c>
      <c r="Y1016" s="3614" t="s">
        <v>699</v>
      </c>
      <c r="Z1016" s="3579"/>
      <c r="AA1016" s="3580"/>
      <c r="AB1016" s="3623" t="str">
        <f>IMAGE("https://raw.githubusercontent.com/msikma/pokesprite/master/misc/types/gen8/water.png",4,20,20)</f>
        <v/>
      </c>
      <c r="AC1016" s="3590"/>
      <c r="AD1016" s="3578"/>
      <c r="AE1016" s="3579"/>
      <c r="AF1016" s="3579"/>
      <c r="AG1016" s="3580"/>
      <c r="AH1016" s="3583"/>
      <c r="AI1016" s="3466"/>
    </row>
    <row r="1017" ht="20.25" customHeight="1">
      <c r="A1017" s="3453"/>
      <c r="B1017" s="3572"/>
      <c r="C1017" s="3605"/>
      <c r="D1017" s="3574"/>
      <c r="E1017" s="3614" t="s">
        <v>617</v>
      </c>
      <c r="F1017" s="3579"/>
      <c r="G1017" s="3580"/>
      <c r="H1017" s="3623" t="str">
        <f>IMAGE("https://raw.githubusercontent.com/msikma/pokesprite/master/misc/types/gen8/dragon.png",4,20,20)</f>
        <v/>
      </c>
      <c r="J1017" s="3614" t="s">
        <v>624</v>
      </c>
      <c r="K1017" s="3579"/>
      <c r="L1017" s="3580"/>
      <c r="M1017" s="3623" t="str">
        <f>IMAGE("https://raw.githubusercontent.com/msikma/pokesprite/master/misc/types/gen8/fighting.png",4,20,20)</f>
        <v/>
      </c>
      <c r="O1017" s="3614" t="s">
        <v>806</v>
      </c>
      <c r="P1017" s="3579"/>
      <c r="Q1017" s="3580"/>
      <c r="R1017" s="3623" t="str">
        <f t="shared" si="30"/>
        <v/>
      </c>
      <c r="T1017" s="3614" t="s">
        <v>670</v>
      </c>
      <c r="U1017" s="3579"/>
      <c r="V1017" s="3580"/>
      <c r="W1017" s="3623" t="str">
        <f>IMAGE("https://raw.githubusercontent.com/msikma/pokesprite/master/misc/types/gen8/ice.png",4,20,20)</f>
        <v/>
      </c>
      <c r="Y1017" s="3614" t="s">
        <v>546</v>
      </c>
      <c r="Z1017" s="3579"/>
      <c r="AA1017" s="3580"/>
      <c r="AB1017" s="3623" t="str">
        <f>IMAGE("https://raw.githubusercontent.com/msikma/pokesprite/master/misc/types/gen8/flying.png",4,20,20)</f>
        <v/>
      </c>
      <c r="AC1017" s="3590"/>
      <c r="AD1017" s="3578"/>
      <c r="AE1017" s="3579"/>
      <c r="AF1017" s="3579"/>
      <c r="AG1017" s="3580"/>
      <c r="AH1017" s="3583"/>
      <c r="AI1017" s="3466"/>
    </row>
    <row r="1018" ht="21.0" customHeight="1">
      <c r="A1018" s="3453"/>
      <c r="B1018" s="3572"/>
      <c r="C1018" s="3605"/>
      <c r="D1018" s="3574"/>
      <c r="E1018" s="3624" t="s">
        <v>612</v>
      </c>
      <c r="F1018" s="3625"/>
      <c r="G1018" s="3626"/>
      <c r="H1018" s="3627" t="str">
        <f>IMAGE("https://raw.githubusercontent.com/msikma/pokesprite/master/misc/types/gen8/bug.png",4,20,20)</f>
        <v/>
      </c>
      <c r="I1018" s="3628"/>
      <c r="J1018" s="3624" t="s">
        <v>974</v>
      </c>
      <c r="K1018" s="3625"/>
      <c r="L1018" s="3626"/>
      <c r="M1018" s="3627" t="str">
        <f>IMAGE("https://raw.githubusercontent.com/msikma/pokesprite/master/misc/types/gen8/water.png",4,20,20)</f>
        <v/>
      </c>
      <c r="N1018" s="3628"/>
      <c r="O1018" s="3624" t="s">
        <v>583</v>
      </c>
      <c r="P1018" s="3625"/>
      <c r="Q1018" s="3626"/>
      <c r="R1018" s="3627" t="str">
        <f>IMAGE("https://raw.githubusercontent.com/msikma/pokesprite/master/misc/types/gen8/fighting.png",4,20,20)</f>
        <v/>
      </c>
      <c r="S1018" s="3628"/>
      <c r="T1018" s="3624" t="s">
        <v>1021</v>
      </c>
      <c r="U1018" s="3625"/>
      <c r="V1018" s="3626"/>
      <c r="W1018" s="3627" t="str">
        <f>IMAGE("https://raw.githubusercontent.com/msikma/pokesprite/master/misc/types/gen8/rock.png",4,20,20)</f>
        <v/>
      </c>
      <c r="X1018" s="3628"/>
      <c r="Y1018" s="3624" t="s">
        <v>581</v>
      </c>
      <c r="Z1018" s="3625"/>
      <c r="AA1018" s="3626"/>
      <c r="AB1018" s="3627" t="str">
        <f>IMAGE("https://raw.githubusercontent.com/msikma/pokesprite/master/misc/types/gen8/electric.png",4,20,20)</f>
        <v/>
      </c>
      <c r="AC1018" s="3629"/>
      <c r="AD1018" s="3578"/>
      <c r="AE1018" s="3579"/>
      <c r="AF1018" s="3579"/>
      <c r="AG1018" s="3580"/>
      <c r="AH1018" s="3583"/>
      <c r="AI1018" s="3466"/>
    </row>
    <row r="1019" ht="3.0" customHeight="1">
      <c r="A1019" s="3524"/>
      <c r="B1019" s="3630"/>
      <c r="C1019" s="3631"/>
      <c r="D1019" s="3632"/>
      <c r="E1019" s="3634"/>
      <c r="F1019" s="3634"/>
      <c r="G1019" s="3634"/>
      <c r="H1019" s="3633"/>
      <c r="I1019" s="3632"/>
      <c r="J1019" s="3634"/>
      <c r="K1019" s="3634"/>
      <c r="L1019" s="3634"/>
      <c r="M1019" s="3633"/>
      <c r="N1019" s="3632"/>
      <c r="O1019" s="3634"/>
      <c r="P1019" s="3634"/>
      <c r="Q1019" s="3634"/>
      <c r="R1019" s="3633"/>
      <c r="S1019" s="3635"/>
      <c r="T1019" s="3634"/>
      <c r="U1019" s="3634"/>
      <c r="V1019" s="3634"/>
      <c r="W1019" s="3633"/>
      <c r="X1019" s="3632"/>
      <c r="Y1019" s="3634"/>
      <c r="Z1019" s="3634"/>
      <c r="AA1019" s="3634"/>
      <c r="AB1019" s="3633"/>
      <c r="AC1019" s="3637"/>
      <c r="AD1019" s="3637"/>
      <c r="AE1019" s="3637"/>
      <c r="AF1019" s="3637"/>
      <c r="AG1019" s="3637"/>
      <c r="AH1019" s="3638"/>
      <c r="AI1019" s="3534"/>
    </row>
    <row r="1020" ht="16.5" customHeight="1">
      <c r="A1020" s="3535"/>
      <c r="B1020" s="3639"/>
      <c r="C1020" s="3631"/>
      <c r="D1020" s="4590"/>
      <c r="E1020" s="3641" t="s">
        <v>512</v>
      </c>
      <c r="F1020" s="606"/>
      <c r="G1020" s="606"/>
      <c r="H1020" s="607"/>
      <c r="I1020" s="3642"/>
      <c r="J1020" s="3641" t="s">
        <v>512</v>
      </c>
      <c r="K1020" s="606"/>
      <c r="L1020" s="606"/>
      <c r="M1020" s="607"/>
      <c r="N1020" s="4590"/>
      <c r="O1020" s="3641" t="s">
        <v>512</v>
      </c>
      <c r="P1020" s="606"/>
      <c r="Q1020" s="606"/>
      <c r="R1020" s="607"/>
      <c r="S1020" s="4591"/>
      <c r="T1020" s="3641" t="s">
        <v>512</v>
      </c>
      <c r="U1020" s="606"/>
      <c r="V1020" s="606"/>
      <c r="W1020" s="607"/>
      <c r="X1020" s="4592"/>
      <c r="Y1020" s="3641" t="s">
        <v>512</v>
      </c>
      <c r="Z1020" s="606"/>
      <c r="AA1020" s="606"/>
      <c r="AB1020" s="607"/>
      <c r="AC1020" s="3644"/>
      <c r="AD1020" s="3644"/>
      <c r="AE1020" s="3644"/>
      <c r="AF1020" s="3644"/>
      <c r="AG1020" s="3644"/>
      <c r="AH1020" s="3645"/>
      <c r="AI1020" s="3543"/>
    </row>
    <row r="1021" ht="16.5" customHeight="1">
      <c r="A1021" s="3535"/>
      <c r="B1021" s="3639"/>
      <c r="C1021" s="3631"/>
      <c r="D1021" s="3640"/>
      <c r="E1021" s="3646" t="s">
        <v>513</v>
      </c>
      <c r="F1021" s="3647">
        <f t="array" ref="F1021">IFERROR(VLOOKUP(E1008,Dex!$B$3:$N1361,8,FALSE),"")</f>
        <v>88</v>
      </c>
      <c r="G1021" s="3648" t="str">
        <f t="array" ref="G1021">IFERROR(VLOOKUP(F1021,Dex!$P$22:$Q$276,2,FALSE),"")</f>
        <v/>
      </c>
      <c r="H1021" s="3649"/>
      <c r="I1021" s="3650"/>
      <c r="J1021" s="3646" t="s">
        <v>513</v>
      </c>
      <c r="K1021" s="3647">
        <f t="array" ref="K1021">IFERROR(VLOOKUP(J1008,Dex!$B$3:$N1361,8,FALSE),"")</f>
        <v>60</v>
      </c>
      <c r="L1021" s="3648" t="str">
        <f t="array" ref="L1021">IFERROR(VLOOKUP(K1021,Dex!$P$22:$Q$276,2,FALSE),"")</f>
        <v/>
      </c>
      <c r="M1021" s="3649"/>
      <c r="N1021" s="3640"/>
      <c r="O1021" s="3646" t="s">
        <v>513</v>
      </c>
      <c r="P1021" s="3647">
        <f t="array" ref="P1021">IFERROR(VLOOKUP(O1008,Dex!$B$3:$N1361,8,FALSE),"")</f>
        <v>65</v>
      </c>
      <c r="Q1021" s="3648" t="str">
        <f t="array" ref="Q1021">IFERROR(VLOOKUP(P1021,Dex!$P$22:$Q$276,2,FALSE),"")</f>
        <v/>
      </c>
      <c r="R1021" s="3649"/>
      <c r="S1021" s="3644"/>
      <c r="T1021" s="3646" t="s">
        <v>513</v>
      </c>
      <c r="U1021" s="3647">
        <f t="array" ref="U1021">IFERROR(VLOOKUP(T1008,Dex!$B$3:$N1361,8,FALSE),"")</f>
        <v>70</v>
      </c>
      <c r="V1021" s="3648" t="str">
        <f t="array" ref="V1021">IFERROR(VLOOKUP(U1021,Dex!$P$22:$Q$276,2,FALSE),"")</f>
        <v/>
      </c>
      <c r="W1021" s="3649"/>
      <c r="X1021" s="3644"/>
      <c r="Y1021" s="3646" t="s">
        <v>513</v>
      </c>
      <c r="Z1021" s="3647">
        <f t="array" ref="Z1021">IFERROR(VLOOKUP(Y1008,Dex!$B$3:$N1361,8,FALSE),"")</f>
        <v>70</v>
      </c>
      <c r="AA1021" s="3648" t="str">
        <f t="array" ref="AA1021">IFERROR(VLOOKUP(Z1021,Dex!$P$22:$Q$276,2,FALSE),"")</f>
        <v/>
      </c>
      <c r="AB1021" s="3649"/>
      <c r="AC1021" s="3644"/>
      <c r="AD1021" s="3644"/>
      <c r="AE1021" s="3644"/>
      <c r="AF1021" s="3644"/>
      <c r="AG1021" s="3644"/>
      <c r="AH1021" s="3645"/>
      <c r="AI1021" s="3543"/>
    </row>
    <row r="1022" ht="16.5" customHeight="1">
      <c r="A1022" s="3535"/>
      <c r="B1022" s="3639"/>
      <c r="C1022" s="3631"/>
      <c r="D1022" s="3640"/>
      <c r="E1022" s="3652" t="s">
        <v>514</v>
      </c>
      <c r="F1022" s="3653">
        <f t="array" ref="F1022">IFERROR(VLOOKUP(E1008,Dex!$B$3:$N1361,9,FALSE),"")</f>
        <v>120</v>
      </c>
      <c r="G1022" s="3654" t="str">
        <f t="array" ref="G1022">IFERROR(VLOOKUP(F1022,Dex!$P$22:$Q$276,2,FALSE),"")</f>
        <v/>
      </c>
      <c r="H1022" s="3655"/>
      <c r="I1022" s="3650"/>
      <c r="J1022" s="3652" t="s">
        <v>514</v>
      </c>
      <c r="K1022" s="3653">
        <f t="array" ref="K1022">IFERROR(VLOOKUP(J1008,Dex!$B$3:$N1361,9,FALSE),"")</f>
        <v>115</v>
      </c>
      <c r="L1022" s="3654" t="str">
        <f t="array" ref="L1022">IFERROR(VLOOKUP(K1022,Dex!$P$22:$Q$276,2,FALSE),"")</f>
        <v/>
      </c>
      <c r="M1022" s="3655"/>
      <c r="N1022" s="3640"/>
      <c r="O1022" s="3652" t="s">
        <v>514</v>
      </c>
      <c r="P1022" s="3653">
        <f t="array" ref="P1022">IFERROR(VLOOKUP(O1008,Dex!$B$3:$N1361,9,FALSE),"")</f>
        <v>155</v>
      </c>
      <c r="Q1022" s="3654" t="str">
        <f t="array" ref="Q1022">IFERROR(VLOOKUP(P1022,Dex!$P$22:$Q$276,2,FALSE),"")</f>
        <v/>
      </c>
      <c r="R1022" s="3655"/>
      <c r="S1022" s="3644"/>
      <c r="T1022" s="3652" t="s">
        <v>514</v>
      </c>
      <c r="U1022" s="3653">
        <f t="array" ref="U1022">IFERROR(VLOOKUP(T1008,Dex!$B$3:$N1361,9,FALSE),"")</f>
        <v>60</v>
      </c>
      <c r="V1022" s="3654" t="str">
        <f t="array" ref="V1022">IFERROR(VLOOKUP(U1022,Dex!$P$22:$Q$276,2,FALSE),"")</f>
        <v/>
      </c>
      <c r="W1022" s="3655"/>
      <c r="X1022" s="3644"/>
      <c r="Y1022" s="3652" t="s">
        <v>514</v>
      </c>
      <c r="Z1022" s="3653">
        <f t="array" ref="Z1022">IFERROR(VLOOKUP(Y1008,Dex!$B$3:$N1361,9,FALSE),"")</f>
        <v>70</v>
      </c>
      <c r="AA1022" s="3654" t="str">
        <f t="array" ref="AA1022">IFERROR(VLOOKUP(Z1022,Dex!$P$22:$Q$276,2,FALSE),"")</f>
        <v/>
      </c>
      <c r="AB1022" s="3655"/>
      <c r="AC1022" s="3644"/>
      <c r="AD1022" s="3644"/>
      <c r="AE1022" s="3644"/>
      <c r="AF1022" s="3644"/>
      <c r="AG1022" s="3644"/>
      <c r="AH1022" s="3645"/>
      <c r="AI1022" s="3543"/>
    </row>
    <row r="1023" ht="16.5" customHeight="1">
      <c r="A1023" s="3535"/>
      <c r="B1023" s="3639"/>
      <c r="C1023" s="3631"/>
      <c r="D1023" s="3640"/>
      <c r="E1023" s="3652" t="s">
        <v>515</v>
      </c>
      <c r="F1023" s="3653">
        <f t="array" ref="F1023">IFERROR(VLOOKUP(E1008,Dex!$B$3:$N1361,10,FALSE),"")</f>
        <v>75</v>
      </c>
      <c r="G1023" s="3654" t="str">
        <f t="array" ref="G1023">IFERROR(VLOOKUP(F1023,Dex!$P$22:$Q$276,2,FALSE),"")</f>
        <v/>
      </c>
      <c r="H1023" s="3655"/>
      <c r="I1023" s="3650"/>
      <c r="J1023" s="3652" t="s">
        <v>515</v>
      </c>
      <c r="K1023" s="3653">
        <f t="array" ref="K1023">IFERROR(VLOOKUP(J1008,Dex!$B$3:$N1361,10,FALSE),"")</f>
        <v>105</v>
      </c>
      <c r="L1023" s="3654" t="str">
        <f t="array" ref="L1023">IFERROR(VLOOKUP(K1023,Dex!$P$22:$Q$276,2,FALSE),"")</f>
        <v/>
      </c>
      <c r="M1023" s="3655"/>
      <c r="N1023" s="3640"/>
      <c r="O1023" s="3652" t="s">
        <v>515</v>
      </c>
      <c r="P1023" s="3653">
        <f t="array" ref="P1023">IFERROR(VLOOKUP(O1008,Dex!$B$3:$N1361,10,FALSE),"")</f>
        <v>120</v>
      </c>
      <c r="Q1023" s="3654" t="str">
        <f t="array" ref="Q1023">IFERROR(VLOOKUP(P1023,Dex!$P$22:$Q$276,2,FALSE),"")</f>
        <v/>
      </c>
      <c r="R1023" s="3655"/>
      <c r="S1023" s="3644"/>
      <c r="T1023" s="3652" t="s">
        <v>515</v>
      </c>
      <c r="U1023" s="3653">
        <f t="array" ref="U1023">IFERROR(VLOOKUP(T1008,Dex!$B$3:$N1361,10,FALSE),"")</f>
        <v>125</v>
      </c>
      <c r="V1023" s="3654" t="str">
        <f t="array" ref="V1023">IFERROR(VLOOKUP(U1023,Dex!$P$22:$Q$276,2,FALSE),"")</f>
        <v/>
      </c>
      <c r="W1023" s="3655"/>
      <c r="X1023" s="3644"/>
      <c r="Y1023" s="3652" t="s">
        <v>515</v>
      </c>
      <c r="Z1023" s="3653">
        <f t="array" ref="Z1023">IFERROR(VLOOKUP(Y1008,Dex!$B$3:$N1361,10,FALSE),"")</f>
        <v>60</v>
      </c>
      <c r="AA1023" s="3654" t="str">
        <f t="array" ref="AA1023">IFERROR(VLOOKUP(Z1023,Dex!$P$22:$Q$276,2,FALSE),"")</f>
        <v/>
      </c>
      <c r="AB1023" s="3655"/>
      <c r="AC1023" s="3644"/>
      <c r="AD1023" s="3644"/>
      <c r="AE1023" s="3644"/>
      <c r="AF1023" s="3644"/>
      <c r="AG1023" s="3644"/>
      <c r="AH1023" s="3645"/>
      <c r="AI1023" s="3543"/>
    </row>
    <row r="1024" ht="16.5" customHeight="1">
      <c r="A1024" s="3535"/>
      <c r="B1024" s="3639"/>
      <c r="C1024" s="3631"/>
      <c r="D1024" s="3640"/>
      <c r="E1024" s="3652" t="s">
        <v>516</v>
      </c>
      <c r="F1024" s="3653">
        <f t="array" ref="F1024">IFERROR(VLOOKUP(E1008,Dex!$B$3:$N1361,11,FALSE),"")</f>
        <v>100</v>
      </c>
      <c r="G1024" s="3654" t="str">
        <f t="array" ref="G1024">IFERROR(VLOOKUP(F1024,Dex!$P$22:$Q$276,2,FALSE),"")</f>
        <v/>
      </c>
      <c r="H1024" s="3655"/>
      <c r="I1024" s="3650"/>
      <c r="J1024" s="3652" t="s">
        <v>516</v>
      </c>
      <c r="K1024" s="3653">
        <f t="array" ref="K1024">IFERROR(VLOOKUP(J1008,Dex!$B$3:$N1361,11,FALSE),"")</f>
        <v>65</v>
      </c>
      <c r="L1024" s="3654" t="str">
        <f t="array" ref="L1024">IFERROR(VLOOKUP(K1024,Dex!$P$22:$Q$276,2,FALSE),"")</f>
        <v/>
      </c>
      <c r="M1024" s="3655"/>
      <c r="N1024" s="3640"/>
      <c r="O1024" s="3652" t="s">
        <v>516</v>
      </c>
      <c r="P1024" s="3653">
        <f t="array" ref="P1024">IFERROR(VLOOKUP(O1008,Dex!$B$3:$N1361,11,FALSE),"")</f>
        <v>65</v>
      </c>
      <c r="Q1024" s="3654" t="str">
        <f t="array" ref="Q1024">IFERROR(VLOOKUP(P1024,Dex!$P$22:$Q$276,2,FALSE),"")</f>
        <v/>
      </c>
      <c r="R1024" s="3655"/>
      <c r="S1024" s="3644"/>
      <c r="T1024" s="3652" t="s">
        <v>516</v>
      </c>
      <c r="U1024" s="3653">
        <f t="array" ref="U1024">IFERROR(VLOOKUP(T1008,Dex!$B$3:$N1361,11,FALSE),"")</f>
        <v>115</v>
      </c>
      <c r="V1024" s="3654" t="str">
        <f t="array" ref="V1024">IFERROR(VLOOKUP(U1024,Dex!$P$22:$Q$276,2,FALSE),"")</f>
        <v/>
      </c>
      <c r="W1024" s="3655"/>
      <c r="X1024" s="3644"/>
      <c r="Y1024" s="3652" t="s">
        <v>516</v>
      </c>
      <c r="Z1024" s="3653">
        <f t="array" ref="Z1024">IFERROR(VLOOKUP(Y1008,Dex!$B$3:$N1361,11,FALSE),"")</f>
        <v>105</v>
      </c>
      <c r="AA1024" s="3654" t="str">
        <f t="array" ref="AA1024">IFERROR(VLOOKUP(Z1024,Dex!$P$22:$Q$276,2,FALSE),"")</f>
        <v/>
      </c>
      <c r="AB1024" s="3655"/>
      <c r="AC1024" s="3644"/>
      <c r="AD1024" s="3644"/>
      <c r="AE1024" s="3644"/>
      <c r="AF1024" s="3644"/>
      <c r="AG1024" s="3644"/>
      <c r="AH1024" s="3645"/>
      <c r="AI1024" s="3543"/>
    </row>
    <row r="1025" ht="16.5" customHeight="1">
      <c r="A1025" s="3535"/>
      <c r="B1025" s="3639"/>
      <c r="C1025" s="3631"/>
      <c r="D1025" s="3640"/>
      <c r="E1025" s="3652" t="s">
        <v>517</v>
      </c>
      <c r="F1025" s="3653">
        <f t="array" ref="F1025">IFERROR(VLOOKUP(E1008,Dex!$B$3:$N1361,12,FALSE),"")</f>
        <v>75</v>
      </c>
      <c r="G1025" s="3654" t="str">
        <f t="array" ref="G1025">IFERROR(VLOOKUP(F1025,Dex!$P$22:$Q$276,2,FALSE),"")</f>
        <v/>
      </c>
      <c r="H1025" s="3655"/>
      <c r="I1025" s="3650"/>
      <c r="J1025" s="3652" t="s">
        <v>517</v>
      </c>
      <c r="K1025" s="3653">
        <f t="array" ref="K1025">IFERROR(VLOOKUP(J1008,Dex!$B$3:$N1361,12,FALSE),"")</f>
        <v>70</v>
      </c>
      <c r="L1025" s="3654" t="str">
        <f t="array" ref="L1025">IFERROR(VLOOKUP(K1025,Dex!$P$22:$Q$276,2,FALSE),"")</f>
        <v/>
      </c>
      <c r="M1025" s="3655"/>
      <c r="N1025" s="3640"/>
      <c r="O1025" s="3652" t="s">
        <v>517</v>
      </c>
      <c r="P1025" s="3653">
        <f t="array" ref="P1025">IFERROR(VLOOKUP(O1008,Dex!$B$3:$N1361,12,FALSE),"")</f>
        <v>90</v>
      </c>
      <c r="Q1025" s="3654" t="str">
        <f t="array" ref="Q1025">IFERROR(VLOOKUP(P1025,Dex!$P$22:$Q$276,2,FALSE),"")</f>
        <v/>
      </c>
      <c r="R1025" s="3655"/>
      <c r="S1025" s="3644"/>
      <c r="T1025" s="3652" t="s">
        <v>517</v>
      </c>
      <c r="U1025" s="3653">
        <f t="array" ref="U1025">IFERROR(VLOOKUP(T1008,Dex!$B$3:$N1361,12,FALSE),"")</f>
        <v>70</v>
      </c>
      <c r="V1025" s="3654" t="str">
        <f t="array" ref="V1025">IFERROR(VLOOKUP(U1025,Dex!$P$22:$Q$276,2,FALSE),"")</f>
        <v/>
      </c>
      <c r="W1025" s="3655"/>
      <c r="X1025" s="3644"/>
      <c r="Y1025" s="3652" t="s">
        <v>517</v>
      </c>
      <c r="Z1025" s="3653">
        <f t="array" ref="Z1025">IFERROR(VLOOKUP(Y1008,Dex!$B$3:$N1361,12,FALSE),"")</f>
        <v>60</v>
      </c>
      <c r="AA1025" s="3654" t="str">
        <f t="array" ref="AA1025">IFERROR(VLOOKUP(Z1025,Dex!$P$22:$Q$276,2,FALSE),"")</f>
        <v/>
      </c>
      <c r="AB1025" s="3655"/>
      <c r="AC1025" s="3644"/>
      <c r="AD1025" s="3644"/>
      <c r="AE1025" s="3644"/>
      <c r="AF1025" s="3644"/>
      <c r="AG1025" s="3644"/>
      <c r="AH1025" s="3645"/>
      <c r="AI1025" s="3543"/>
    </row>
    <row r="1026" ht="16.5" customHeight="1">
      <c r="A1026" s="3535"/>
      <c r="B1026" s="3639"/>
      <c r="C1026" s="1426" t="s">
        <v>745</v>
      </c>
      <c r="D1026" s="3640"/>
      <c r="E1026" s="3658" t="s">
        <v>518</v>
      </c>
      <c r="F1026" s="3659">
        <f t="array" ref="F1026">IFERROR(VLOOKUP(E1008,Dex!$B$3:$N1361,13,FALSE),"")</f>
        <v>142</v>
      </c>
      <c r="G1026" s="3660" t="str">
        <f t="array" ref="G1026">IFERROR(VLOOKUP(F1026,Dex!$P$22:$Q$276,2,FALSE),"")</f>
        <v/>
      </c>
      <c r="H1026" s="3661"/>
      <c r="I1026" s="3650"/>
      <c r="J1026" s="3658" t="s">
        <v>518</v>
      </c>
      <c r="K1026" s="3659">
        <f t="array" ref="K1026">IFERROR(VLOOKUP(J1008,Dex!$B$3:$N1361,13,FALSE),"")</f>
        <v>80</v>
      </c>
      <c r="L1026" s="5477" t="str">
        <f t="array" ref="L1026">IFERROR(VLOOKUP(K1026,Dex!$P$22:$Q$276,2,FALSE),"")</f>
        <v/>
      </c>
      <c r="M1026" s="5478"/>
      <c r="N1026" s="3640"/>
      <c r="O1026" s="3658" t="s">
        <v>518</v>
      </c>
      <c r="P1026" s="3659">
        <f t="array" ref="P1026">IFERROR(VLOOKUP(O1008,Dex!$B$3:$N1361,13,FALSE),"")</f>
        <v>105</v>
      </c>
      <c r="Q1026" s="3660" t="str">
        <f t="array" ref="Q1026">IFERROR(VLOOKUP(P1026,Dex!$P$22:$Q$276,2,FALSE),"")</f>
        <v/>
      </c>
      <c r="R1026" s="3661"/>
      <c r="S1026" s="3644"/>
      <c r="T1026" s="3658" t="s">
        <v>518</v>
      </c>
      <c r="U1026" s="3659">
        <f t="array" ref="U1026">IFERROR(VLOOKUP(T1008,Dex!$B$3:$N1361,13,FALSE),"")</f>
        <v>55</v>
      </c>
      <c r="V1026" s="3660" t="str">
        <f t="array" ref="V1026">IFERROR(VLOOKUP(U1026,Dex!$P$22:$Q$276,2,FALSE),"")</f>
        <v/>
      </c>
      <c r="W1026" s="3661"/>
      <c r="X1026" s="3644"/>
      <c r="Y1026" s="3658" t="s">
        <v>518</v>
      </c>
      <c r="Z1026" s="3659">
        <f t="array" ref="Z1026">IFERROR(VLOOKUP(Y1008,Dex!$B$3:$N1361,13,FALSE),"")</f>
        <v>125</v>
      </c>
      <c r="AA1026" s="3660" t="str">
        <f t="array" ref="AA1026">IFERROR(VLOOKUP(Z1026,Dex!$P$22:$Q$276,2,FALSE),"")</f>
        <v/>
      </c>
      <c r="AB1026" s="3661"/>
      <c r="AC1026" s="3644"/>
      <c r="AD1026" s="3644"/>
      <c r="AE1026" s="3644"/>
      <c r="AF1026" s="3644"/>
      <c r="AG1026" s="3644"/>
      <c r="AH1026" s="3645"/>
      <c r="AI1026" s="3543"/>
    </row>
    <row r="1027" ht="16.5" customHeight="1">
      <c r="A1027" s="3535"/>
      <c r="B1027" s="3639"/>
      <c r="C1027" s="1427" t="s">
        <v>746</v>
      </c>
      <c r="D1027" s="4590"/>
      <c r="E1027" s="3662" t="s">
        <v>519</v>
      </c>
      <c r="F1027" s="630"/>
      <c r="G1027" s="631"/>
      <c r="H1027" s="632">
        <f>ROUNDDOWN((ROUNDDOWN(((((2*F1026+31)*66)/100+5)),0))*1.1,0)</f>
        <v>233</v>
      </c>
      <c r="I1027" s="3642"/>
      <c r="J1027" s="4593" t="s">
        <v>519</v>
      </c>
      <c r="K1027" s="635"/>
      <c r="L1027" s="636"/>
      <c r="M1027" s="632">
        <f>ROUNDDOWN((ROUNDDOWN(((((2*K1026+31)*66)/100+5)),0))*1,0)</f>
        <v>131</v>
      </c>
      <c r="N1027" s="4590"/>
      <c r="O1027" s="3662" t="s">
        <v>519</v>
      </c>
      <c r="P1027" s="630"/>
      <c r="Q1027" s="631"/>
      <c r="R1027" s="632">
        <f>ROUNDDOWN((ROUNDDOWN(((((2*P1026+31)*66)/100+5)),0))*1.1,0)</f>
        <v>180</v>
      </c>
      <c r="S1027" s="4592"/>
      <c r="T1027" s="4593" t="s">
        <v>519</v>
      </c>
      <c r="U1027" s="635"/>
      <c r="V1027" s="636"/>
      <c r="W1027" s="632">
        <f>ROUNDDOWN((ROUNDDOWN(((((2*U1026+31)*66)/100+5)),0))*1,0)</f>
        <v>98</v>
      </c>
      <c r="X1027" s="4592"/>
      <c r="Y1027" s="3662" t="s">
        <v>519</v>
      </c>
      <c r="Z1027" s="630"/>
      <c r="AA1027" s="631"/>
      <c r="AB1027" s="632">
        <f>ROUNDDOWN((ROUNDDOWN(((((2*Z1026+31)*66)/100+5)),0))*1.1,0)</f>
        <v>209</v>
      </c>
      <c r="AC1027" s="3644"/>
      <c r="AD1027" s="3644"/>
      <c r="AE1027" s="3644"/>
      <c r="AF1027" s="3644"/>
      <c r="AG1027" s="3644"/>
      <c r="AH1027" s="3645"/>
      <c r="AI1027" s="3543"/>
    </row>
    <row r="1028" ht="16.5" customHeight="1">
      <c r="A1028" s="3535"/>
      <c r="B1028" s="4594"/>
      <c r="C1028" s="5479"/>
      <c r="D1028" s="5480"/>
      <c r="E1028" s="5481"/>
      <c r="F1028" s="5481"/>
      <c r="G1028" s="5481"/>
      <c r="H1028" s="5479"/>
      <c r="I1028" s="5482"/>
      <c r="J1028" s="4597" t="s">
        <v>555</v>
      </c>
      <c r="K1028" s="643"/>
      <c r="L1028" s="644"/>
      <c r="M1028" s="3064">
        <f>M1027*2</f>
        <v>262</v>
      </c>
      <c r="N1028" s="5480"/>
      <c r="O1028" s="5481"/>
      <c r="P1028" s="5481"/>
      <c r="Q1028" s="5481"/>
      <c r="R1028" s="5479"/>
      <c r="S1028" s="4598"/>
      <c r="T1028" s="4597" t="s">
        <v>555</v>
      </c>
      <c r="U1028" s="643"/>
      <c r="V1028" s="644"/>
      <c r="W1028" s="3064">
        <f>W1027*2</f>
        <v>196</v>
      </c>
      <c r="X1028" s="4598"/>
      <c r="Y1028" s="5481"/>
      <c r="Z1028" s="5481"/>
      <c r="AA1028" s="5481"/>
      <c r="AB1028" s="5479"/>
      <c r="AC1028" s="4599"/>
      <c r="AD1028" s="4599"/>
      <c r="AE1028" s="4599"/>
      <c r="AF1028" s="4599"/>
      <c r="AG1028" s="4599"/>
      <c r="AH1028" s="4600"/>
      <c r="AI1028" s="3543"/>
    </row>
    <row r="1029" ht="15.0" customHeight="1">
      <c r="A1029" s="3453"/>
      <c r="B1029" s="3663"/>
      <c r="C1029" s="3664"/>
      <c r="D1029" s="3665"/>
      <c r="E1029" s="3666"/>
      <c r="F1029" s="3666"/>
      <c r="G1029" s="3666"/>
      <c r="H1029" s="3667"/>
      <c r="I1029" s="3667"/>
      <c r="J1029" s="3666"/>
      <c r="K1029" s="3666"/>
      <c r="L1029" s="3666"/>
      <c r="M1029" s="3667"/>
      <c r="N1029" s="3669"/>
      <c r="O1029" s="3670"/>
      <c r="P1029" s="3670"/>
      <c r="Q1029" s="3671"/>
      <c r="R1029" s="3671"/>
      <c r="S1029" s="3671"/>
      <c r="T1029" s="3670"/>
      <c r="U1029" s="3670"/>
      <c r="V1029" s="3670"/>
      <c r="W1029" s="3672"/>
      <c r="X1029" s="3669"/>
      <c r="Y1029" s="3670"/>
      <c r="Z1029" s="3670"/>
      <c r="AA1029" s="3670"/>
      <c r="AB1029" s="3672"/>
      <c r="AC1029" s="3672"/>
      <c r="AD1029" s="3672"/>
      <c r="AE1029" s="3672"/>
      <c r="AF1029" s="3672"/>
      <c r="AG1029" s="3672"/>
      <c r="AH1029" s="3673"/>
      <c r="AI1029" s="3466"/>
    </row>
    <row r="1030" ht="15.0" customHeight="1">
      <c r="A1030" s="3446"/>
      <c r="B1030" s="5483"/>
      <c r="C1030" s="5484"/>
      <c r="D1030" s="5485"/>
      <c r="E1030" s="5486"/>
      <c r="F1030" s="5486"/>
      <c r="G1030" s="5486"/>
      <c r="H1030" s="5486"/>
      <c r="I1030" s="5485"/>
      <c r="J1030" s="5486"/>
      <c r="K1030" s="5486"/>
      <c r="L1030" s="5486"/>
      <c r="M1030" s="5486"/>
      <c r="N1030" s="5485"/>
      <c r="O1030" s="5486"/>
      <c r="P1030" s="5486"/>
      <c r="Q1030" s="5486"/>
      <c r="R1030" s="5486"/>
      <c r="S1030" s="5485"/>
      <c r="T1030" s="5486"/>
      <c r="U1030" s="5486"/>
      <c r="V1030" s="5486"/>
      <c r="W1030" s="5486"/>
      <c r="X1030" s="5485"/>
      <c r="Y1030" s="5486"/>
      <c r="Z1030" s="5486"/>
      <c r="AA1030" s="5486"/>
      <c r="AB1030" s="5486"/>
      <c r="AC1030" s="5485"/>
      <c r="AD1030" s="5486"/>
      <c r="AE1030" s="5486"/>
      <c r="AF1030" s="5486"/>
      <c r="AG1030" s="5486"/>
      <c r="AH1030" s="5487"/>
      <c r="AI1030" s="3452"/>
    </row>
    <row r="1031" ht="96.75" customHeight="1">
      <c r="A1031" s="3453"/>
      <c r="B1031" s="5488"/>
      <c r="C1031" s="5489" t="str">
        <f>IMAGE("https://i.ibb.co/1mP8Wps/Juggler.png")</f>
        <v/>
      </c>
      <c r="D1031" s="5490"/>
      <c r="E1031" s="5491" t="str">
        <f t="array" ref="E1031">IFERROR(VLOOKUP(E1032,Dex!$B$3:$G1361,3,FALSE),"")</f>
        <v/>
      </c>
      <c r="F1031" s="606"/>
      <c r="G1031" s="606"/>
      <c r="H1031" s="607"/>
      <c r="I1031" s="5492"/>
      <c r="J1031" s="5491" t="str">
        <f t="array" ref="J1031">IFERROR(VLOOKUP(J1032,Dex!$B$3:$G1361,3,FALSE),"")</f>
        <v/>
      </c>
      <c r="K1031" s="606"/>
      <c r="L1031" s="606"/>
      <c r="M1031" s="607"/>
      <c r="N1031" s="5492"/>
      <c r="O1031" s="5491" t="str">
        <f t="array" ref="O1031">IFERROR(VLOOKUP(O1032,Dex!$B$3:$G1361,3,FALSE),"")</f>
        <v/>
      </c>
      <c r="P1031" s="606"/>
      <c r="Q1031" s="606"/>
      <c r="R1031" s="607"/>
      <c r="S1031" s="5492"/>
      <c r="T1031" s="5491" t="str">
        <f t="array" ref="T1031">IFERROR(VLOOKUP(T1032,Dex!$B$3:$G1361,3,FALSE),"")</f>
        <v/>
      </c>
      <c r="U1031" s="606"/>
      <c r="V1031" s="606"/>
      <c r="W1031" s="607"/>
      <c r="X1031" s="5492"/>
      <c r="Y1031" s="5491" t="str">
        <f t="array" ref="Y1031">IFERROR(VLOOKUP(Y1032,Dex!$B$3:$G1361,3,FALSE),"")</f>
        <v/>
      </c>
      <c r="Z1031" s="606"/>
      <c r="AA1031" s="606"/>
      <c r="AB1031" s="607"/>
      <c r="AC1031" s="5492"/>
      <c r="AD1031" s="5491" t="str">
        <f t="array" ref="AD1031">IFERROR(VLOOKUP(AD1032,Dex!$B$3:$G1361,3,FALSE),"")</f>
        <v/>
      </c>
      <c r="AE1031" s="606"/>
      <c r="AF1031" s="606"/>
      <c r="AG1031" s="607"/>
      <c r="AH1031" s="5493"/>
      <c r="AI1031" s="3466"/>
    </row>
    <row r="1032" ht="18.75" customHeight="1">
      <c r="A1032" s="3467"/>
      <c r="B1032" s="5494"/>
      <c r="C1032" s="3469" t="s">
        <v>1674</v>
      </c>
      <c r="D1032" s="5495"/>
      <c r="E1032" s="5496" t="s">
        <v>295</v>
      </c>
      <c r="F1032" s="3472"/>
      <c r="G1032" s="3472"/>
      <c r="H1032" s="5497"/>
      <c r="I1032" s="3470"/>
      <c r="J1032" s="5496" t="s">
        <v>1675</v>
      </c>
      <c r="K1032" s="3472"/>
      <c r="L1032" s="3472"/>
      <c r="M1032" s="5497"/>
      <c r="N1032" s="3470"/>
      <c r="O1032" s="5496" t="s">
        <v>1676</v>
      </c>
      <c r="P1032" s="3472"/>
      <c r="Q1032" s="3472"/>
      <c r="R1032" s="5497"/>
      <c r="S1032" s="3470"/>
      <c r="T1032" s="5496" t="s">
        <v>1677</v>
      </c>
      <c r="U1032" s="3472"/>
      <c r="V1032" s="3472"/>
      <c r="W1032" s="5497"/>
      <c r="X1032" s="3470"/>
      <c r="Y1032" s="5496" t="s">
        <v>1678</v>
      </c>
      <c r="Z1032" s="3472"/>
      <c r="AA1032" s="3472"/>
      <c r="AB1032" s="5497"/>
      <c r="AC1032" s="3470"/>
      <c r="AD1032" s="5496" t="s">
        <v>1679</v>
      </c>
      <c r="AE1032" s="3472"/>
      <c r="AF1032" s="3472"/>
      <c r="AG1032" s="5497"/>
      <c r="AH1032" s="5498"/>
      <c r="AI1032" s="3478"/>
    </row>
    <row r="1033">
      <c r="A1033" s="3479"/>
      <c r="B1033" s="5499"/>
      <c r="C1033" s="1638"/>
      <c r="D1033" s="5500"/>
      <c r="E1033" s="5501" t="s">
        <v>729</v>
      </c>
      <c r="F1033" s="3483"/>
      <c r="G1033" s="3483"/>
      <c r="H1033" s="5502"/>
      <c r="I1033" s="3481"/>
      <c r="J1033" s="5501" t="s">
        <v>729</v>
      </c>
      <c r="K1033" s="3483"/>
      <c r="L1033" s="3483"/>
      <c r="M1033" s="5502"/>
      <c r="N1033" s="3481"/>
      <c r="O1033" s="5501" t="s">
        <v>729</v>
      </c>
      <c r="P1033" s="3483"/>
      <c r="Q1033" s="3483"/>
      <c r="R1033" s="5502"/>
      <c r="S1033" s="3481"/>
      <c r="T1033" s="5501" t="s">
        <v>729</v>
      </c>
      <c r="U1033" s="3483"/>
      <c r="V1033" s="3483"/>
      <c r="W1033" s="5502"/>
      <c r="X1033" s="3481"/>
      <c r="Y1033" s="5501" t="s">
        <v>729</v>
      </c>
      <c r="Z1033" s="3483"/>
      <c r="AA1033" s="3483"/>
      <c r="AB1033" s="5502"/>
      <c r="AC1033" s="3481"/>
      <c r="AD1033" s="5501" t="s">
        <v>729</v>
      </c>
      <c r="AE1033" s="3483"/>
      <c r="AF1033" s="3483"/>
      <c r="AG1033" s="5502"/>
      <c r="AH1033" s="5503"/>
      <c r="AI1033" s="3487"/>
    </row>
    <row r="1034" ht="25.5" customHeight="1">
      <c r="A1034" s="3453"/>
      <c r="B1034" s="5488"/>
      <c r="C1034" s="1646"/>
      <c r="D1034" s="5490"/>
      <c r="E1034" s="5504"/>
      <c r="F1034" s="3490" t="str">
        <f t="array" ref="F1034">IFERROR(VLOOKUP(E1032,Dex!$B$3:$H1361,5,FALSE),"")</f>
        <v/>
      </c>
      <c r="G1034" s="3491" t="str">
        <f t="array" ref="G1034">IFERROR(VLOOKUP(E1032,Dex!$B$3:$H1361,7,FALSE),"")</f>
        <v/>
      </c>
      <c r="H1034" s="5505"/>
      <c r="I1034" s="5490"/>
      <c r="J1034" s="5504"/>
      <c r="K1034" s="3490" t="str">
        <f t="array" ref="K1034">IFERROR(VLOOKUP(J1032,Dex!$B$3:$H1361,5,FALSE),"")</f>
        <v/>
      </c>
      <c r="L1034" s="3491" t="str">
        <f t="array" ref="L1034">IFERROR(VLOOKUP(J1032,Dex!$B$3:$H1361,7,FALSE),"")</f>
        <v/>
      </c>
      <c r="M1034" s="5505"/>
      <c r="N1034" s="5490"/>
      <c r="O1034" s="5504"/>
      <c r="P1034" s="3493" t="str">
        <f t="array" ref="P1034">IFERROR(VLOOKUP(O1032,Dex!$B$3:$H1361,5,FALSE),"")</f>
        <v/>
      </c>
      <c r="Q1034" s="3494"/>
      <c r="R1034" s="5505"/>
      <c r="S1034" s="5490"/>
      <c r="T1034" s="5504"/>
      <c r="U1034" s="3490" t="str">
        <f t="array" ref="U1034">IFERROR(VLOOKUP(T1032,Dex!$B$3:$H1361,5,FALSE),"")</f>
        <v/>
      </c>
      <c r="V1034" s="3491" t="str">
        <f t="array" ref="V1034">IFERROR(VLOOKUP(T1032,Dex!$B$3:$H1361,7,FALSE),"")</f>
        <v/>
      </c>
      <c r="W1034" s="5505"/>
      <c r="X1034" s="5490"/>
      <c r="Y1034" s="5504"/>
      <c r="Z1034" s="3493" t="str">
        <f t="array" ref="Z1034">IFERROR(VLOOKUP(Y1032,Dex!$B$3:$H1361,5,FALSE),"")</f>
        <v/>
      </c>
      <c r="AA1034" s="3494"/>
      <c r="AB1034" s="5505"/>
      <c r="AC1034" s="5490"/>
      <c r="AD1034" s="5504"/>
      <c r="AE1034" s="3490" t="str">
        <f t="array" ref="AE1034">IFERROR(VLOOKUP(AD1032,Dex!$B$3:$H1361,5,FALSE),"")</f>
        <v/>
      </c>
      <c r="AF1034" s="3491" t="str">
        <f t="array" ref="AF1034">IFERROR(VLOOKUP(AD1032,Dex!$B$3:$H1361,7,FALSE),"")</f>
        <v/>
      </c>
      <c r="AG1034" s="5505"/>
      <c r="AH1034" s="5506"/>
      <c r="AI1034" s="3466"/>
    </row>
    <row r="1035" ht="2.25" customHeight="1">
      <c r="A1035" s="3453"/>
      <c r="B1035" s="3454"/>
      <c r="C1035" s="5507"/>
      <c r="D1035" s="3456"/>
      <c r="E1035" s="5508"/>
      <c r="F1035" s="5509"/>
      <c r="G1035" s="5509"/>
      <c r="H1035" s="5510"/>
      <c r="I1035" s="3456"/>
      <c r="J1035" s="5508"/>
      <c r="K1035" s="5509"/>
      <c r="L1035" s="5509"/>
      <c r="M1035" s="5510"/>
      <c r="N1035" s="3456"/>
      <c r="O1035" s="5508"/>
      <c r="P1035" s="5509"/>
      <c r="Q1035" s="5509"/>
      <c r="R1035" s="5510"/>
      <c r="S1035" s="3456"/>
      <c r="T1035" s="5508"/>
      <c r="U1035" s="5509"/>
      <c r="V1035" s="5509"/>
      <c r="W1035" s="5510"/>
      <c r="X1035" s="3456"/>
      <c r="Y1035" s="5508"/>
      <c r="Z1035" s="5509"/>
      <c r="AA1035" s="5509"/>
      <c r="AB1035" s="5510"/>
      <c r="AC1035" s="3456"/>
      <c r="AD1035" s="5508"/>
      <c r="AE1035" s="5509"/>
      <c r="AF1035" s="5509"/>
      <c r="AG1035" s="5510"/>
      <c r="AH1035" s="5506"/>
      <c r="AI1035" s="3466"/>
    </row>
    <row r="1036" ht="20.25" customHeight="1">
      <c r="A1036" s="3453"/>
      <c r="B1036" s="3454"/>
      <c r="C1036" s="3515"/>
      <c r="D1036" s="3456"/>
      <c r="E1036" s="3501" t="s">
        <v>564</v>
      </c>
      <c r="F1036" s="3502"/>
      <c r="G1036" s="3502"/>
      <c r="H1036" s="3503"/>
      <c r="I1036" s="5492"/>
      <c r="J1036" s="3501" t="s">
        <v>482</v>
      </c>
      <c r="K1036" s="3502"/>
      <c r="L1036" s="3502"/>
      <c r="M1036" s="3503"/>
      <c r="N1036" s="5492"/>
      <c r="O1036" s="3501" t="s">
        <v>565</v>
      </c>
      <c r="P1036" s="3502"/>
      <c r="Q1036" s="3502"/>
      <c r="R1036" s="3503"/>
      <c r="S1036" s="5492"/>
      <c r="T1036" s="3501" t="s">
        <v>634</v>
      </c>
      <c r="U1036" s="3502"/>
      <c r="V1036" s="3502"/>
      <c r="W1036" s="3503"/>
      <c r="X1036" s="5492"/>
      <c r="Y1036" s="3501" t="s">
        <v>532</v>
      </c>
      <c r="Z1036" s="3502"/>
      <c r="AA1036" s="3502"/>
      <c r="AB1036" s="3503"/>
      <c r="AC1036" s="5492"/>
      <c r="AD1036" s="3501" t="s">
        <v>565</v>
      </c>
      <c r="AE1036" s="3502"/>
      <c r="AF1036" s="3502"/>
      <c r="AG1036" s="3503"/>
      <c r="AH1036" s="5493"/>
      <c r="AI1036" s="3466"/>
    </row>
    <row r="1037" ht="20.25" customHeight="1">
      <c r="A1037" s="3453"/>
      <c r="B1037" s="3454"/>
      <c r="C1037" s="3504"/>
      <c r="D1037" s="3456"/>
      <c r="E1037" s="3505" t="s">
        <v>100</v>
      </c>
      <c r="F1037" s="3462"/>
      <c r="G1037" s="3462"/>
      <c r="H1037" s="3506"/>
      <c r="I1037" s="5492"/>
      <c r="J1037" s="3505" t="s">
        <v>75</v>
      </c>
      <c r="K1037" s="3462"/>
      <c r="L1037" s="3462"/>
      <c r="M1037" s="3506"/>
      <c r="N1037" s="5492"/>
      <c r="O1037" s="3505" t="s">
        <v>1680</v>
      </c>
      <c r="P1037" s="3462"/>
      <c r="Q1037" s="3462"/>
      <c r="R1037" s="3506"/>
      <c r="S1037" s="5492"/>
      <c r="T1037" s="3505" t="s">
        <v>1681</v>
      </c>
      <c r="U1037" s="3462"/>
      <c r="V1037" s="3462"/>
      <c r="W1037" s="3506"/>
      <c r="X1037" s="5492"/>
      <c r="Y1037" s="3505" t="s">
        <v>1333</v>
      </c>
      <c r="Z1037" s="3462"/>
      <c r="AA1037" s="3462"/>
      <c r="AB1037" s="3506"/>
      <c r="AC1037" s="5492"/>
      <c r="AD1037" s="3505" t="s">
        <v>534</v>
      </c>
      <c r="AE1037" s="3462"/>
      <c r="AF1037" s="3462"/>
      <c r="AG1037" s="3506"/>
      <c r="AH1037" s="5493"/>
      <c r="AI1037" s="3466"/>
    </row>
    <row r="1038" ht="20.25" customHeight="1">
      <c r="A1038" s="3453"/>
      <c r="B1038" s="3454"/>
      <c r="C1038" s="3476"/>
      <c r="D1038" s="3456"/>
      <c r="E1038" s="3507" t="s">
        <v>541</v>
      </c>
      <c r="F1038" s="3508"/>
      <c r="G1038" s="3509"/>
      <c r="H1038" s="3510" t="str">
        <f>IMAGE("https://raw.githubusercontent.com/msikma/pokesprite/master/items/hold-item/life-orb.png",3)</f>
        <v/>
      </c>
      <c r="I1038" s="3456"/>
      <c r="J1038" s="3507" t="s">
        <v>541</v>
      </c>
      <c r="K1038" s="3508"/>
      <c r="L1038" s="3509"/>
      <c r="M1038" s="3510" t="str">
        <f>IMAGE("https://raw.githubusercontent.com/msikma/pokesprite/master/items/hold-item/life-orb.png",3)</f>
        <v/>
      </c>
      <c r="N1038" s="3456"/>
      <c r="O1038" s="3507" t="s">
        <v>541</v>
      </c>
      <c r="P1038" s="3508"/>
      <c r="Q1038" s="3509"/>
      <c r="R1038" s="3510" t="str">
        <f>IMAGE("https://raw.githubusercontent.com/msikma/pokesprite/master/items/hold-item/life-orb.png",3)</f>
        <v/>
      </c>
      <c r="S1038" s="3456"/>
      <c r="T1038" s="3507" t="s">
        <v>733</v>
      </c>
      <c r="U1038" s="3508"/>
      <c r="V1038" s="3509"/>
      <c r="W1038" s="3510" t="str">
        <f>IMAGE("https://raw.githubusercontent.com/msikma/pokesprite/master/items/hold-item/leftovers.png",3)</f>
        <v/>
      </c>
      <c r="X1038" s="3456"/>
      <c r="Y1038" s="3507" t="s">
        <v>541</v>
      </c>
      <c r="Z1038" s="3508"/>
      <c r="AA1038" s="3509"/>
      <c r="AB1038" s="3510" t="str">
        <f>IMAGE("https://raw.githubusercontent.com/msikma/pokesprite/master/items/hold-item/life-orb.png",3)</f>
        <v/>
      </c>
      <c r="AC1038" s="3456"/>
      <c r="AD1038" s="3507" t="s">
        <v>541</v>
      </c>
      <c r="AE1038" s="3508"/>
      <c r="AF1038" s="3509"/>
      <c r="AG1038" s="3510" t="str">
        <f>IMAGE("https://raw.githubusercontent.com/msikma/pokesprite/master/items/hold-item/life-orb.png",3)</f>
        <v/>
      </c>
      <c r="AH1038" s="5506"/>
      <c r="AI1038" s="3466"/>
    </row>
    <row r="1039" ht="20.25" customHeight="1">
      <c r="A1039" s="3453"/>
      <c r="B1039" s="3454"/>
      <c r="C1039" s="3512"/>
      <c r="D1039" s="3456"/>
      <c r="E1039" s="3501" t="s">
        <v>1247</v>
      </c>
      <c r="F1039" s="3502"/>
      <c r="G1039" s="3513"/>
      <c r="H1039" s="3514" t="str">
        <f>IMAGE("https://raw.githubusercontent.com/msikma/pokesprite/master/misc/types/gen8/fairy.png",4,20,20)</f>
        <v/>
      </c>
      <c r="I1039" s="3456"/>
      <c r="J1039" s="3501" t="s">
        <v>1247</v>
      </c>
      <c r="K1039" s="3502"/>
      <c r="L1039" s="3513"/>
      <c r="M1039" s="3514" t="str">
        <f>IMAGE("https://raw.githubusercontent.com/msikma/pokesprite/master/misc/types/gen8/fairy.png",4,20,20)</f>
        <v/>
      </c>
      <c r="N1039" s="3456"/>
      <c r="O1039" s="3501" t="s">
        <v>591</v>
      </c>
      <c r="P1039" s="3502"/>
      <c r="Q1039" s="3513"/>
      <c r="R1039" s="3514" t="str">
        <f t="shared" ref="R1039:R1040" si="31">IMAGE("https://raw.githubusercontent.com/msikma/pokesprite/master/misc/types/gen8/electric.png",4,20,20)</f>
        <v/>
      </c>
      <c r="S1039" s="3456"/>
      <c r="T1039" s="3501" t="s">
        <v>591</v>
      </c>
      <c r="U1039" s="3502"/>
      <c r="V1039" s="3513"/>
      <c r="W1039" s="3514" t="str">
        <f>IMAGE("https://raw.githubusercontent.com/msikma/pokesprite/master/misc/types/gen8/normal.png",4,20,20)</f>
        <v/>
      </c>
      <c r="X1039" s="3456"/>
      <c r="Y1039" s="3501" t="s">
        <v>591</v>
      </c>
      <c r="Z1039" s="3502"/>
      <c r="AA1039" s="3513"/>
      <c r="AB1039" s="3514" t="str">
        <f t="shared" ref="AB1039:AB1040" si="32">IMAGE("https://raw.githubusercontent.com/msikma/pokesprite/master/misc/types/gen8/normal.png",4,20,20)</f>
        <v/>
      </c>
      <c r="AC1039" s="3456"/>
      <c r="AD1039" s="3501" t="s">
        <v>591</v>
      </c>
      <c r="AE1039" s="3502"/>
      <c r="AF1039" s="3513"/>
      <c r="AG1039" s="3514" t="str">
        <f>IMAGE("https://raw.githubusercontent.com/msikma/pokesprite/master/misc/types/gen8/normal.png",4,20,20)</f>
        <v/>
      </c>
      <c r="AH1039" s="5506"/>
      <c r="AI1039" s="3466"/>
    </row>
    <row r="1040" ht="20.25" customHeight="1">
      <c r="A1040" s="3453"/>
      <c r="B1040" s="3454"/>
      <c r="C1040" s="3515"/>
      <c r="D1040" s="3456"/>
      <c r="E1040" s="3505" t="s">
        <v>552</v>
      </c>
      <c r="F1040" s="3462"/>
      <c r="G1040" s="3463"/>
      <c r="H1040" s="3516" t="str">
        <f>IMAGE("https://raw.githubusercontent.com/msikma/pokesprite/master/misc/types/gen8/psychic.png",4,20,20)</f>
        <v/>
      </c>
      <c r="I1040" s="3456"/>
      <c r="J1040" s="3505" t="s">
        <v>552</v>
      </c>
      <c r="K1040" s="3462"/>
      <c r="L1040" s="3463"/>
      <c r="M1040" s="3516" t="str">
        <f>IMAGE("https://raw.githubusercontent.com/msikma/pokesprite/master/misc/types/gen8/psychic.png",4,20,20)</f>
        <v/>
      </c>
      <c r="N1040" s="3456"/>
      <c r="O1040" s="3505" t="s">
        <v>743</v>
      </c>
      <c r="P1040" s="3462"/>
      <c r="Q1040" s="3463"/>
      <c r="R1040" s="3516" t="str">
        <f t="shared" si="31"/>
        <v/>
      </c>
      <c r="S1040" s="3456"/>
      <c r="T1040" s="3505" t="s">
        <v>619</v>
      </c>
      <c r="U1040" s="3462"/>
      <c r="V1040" s="3463"/>
      <c r="W1040" s="3516" t="str">
        <f>IMAGE("https://raw.githubusercontent.com/msikma/pokesprite/master/misc/types/gen8/fire.png",4,20,20)</f>
        <v/>
      </c>
      <c r="X1040" s="3456"/>
      <c r="Y1040" s="3505" t="s">
        <v>1339</v>
      </c>
      <c r="Z1040" s="3462"/>
      <c r="AA1040" s="3463"/>
      <c r="AB1040" s="3516" t="str">
        <f t="shared" si="32"/>
        <v/>
      </c>
      <c r="AC1040" s="3456"/>
      <c r="AD1040" s="3505" t="s">
        <v>648</v>
      </c>
      <c r="AE1040" s="3462"/>
      <c r="AF1040" s="3463"/>
      <c r="AG1040" s="3516" t="str">
        <f>IMAGE("https://raw.githubusercontent.com/msikma/pokesprite/master/misc/types/gen8/water.png",4,20,20)</f>
        <v/>
      </c>
      <c r="AH1040" s="5506"/>
      <c r="AI1040" s="3466"/>
    </row>
    <row r="1041" ht="20.25" customHeight="1">
      <c r="A1041" s="3453"/>
      <c r="B1041" s="3454"/>
      <c r="C1041" s="3515"/>
      <c r="D1041" s="3456"/>
      <c r="E1041" s="3505" t="s">
        <v>862</v>
      </c>
      <c r="F1041" s="3462"/>
      <c r="G1041" s="3463"/>
      <c r="H1041" s="3516" t="str">
        <f>IMAGE("https://raw.githubusercontent.com/msikma/pokesprite/master/misc/types/gen8/fire.png",4,20,20)</f>
        <v/>
      </c>
      <c r="I1041" s="3456"/>
      <c r="J1041" s="3505" t="s">
        <v>862</v>
      </c>
      <c r="K1041" s="3462"/>
      <c r="L1041" s="3463"/>
      <c r="M1041" s="3516" t="str">
        <f>IMAGE("https://raw.githubusercontent.com/msikma/pokesprite/master/misc/types/gen8/fire.png",4,20,20)</f>
        <v/>
      </c>
      <c r="N1041" s="3456"/>
      <c r="O1041" s="3505" t="s">
        <v>590</v>
      </c>
      <c r="P1041" s="3462"/>
      <c r="Q1041" s="3463"/>
      <c r="R1041" s="3516" t="str">
        <f>IMAGE("https://raw.githubusercontent.com/msikma/pokesprite/master/misc/types/gen8/fighting.png",4,20,20)</f>
        <v/>
      </c>
      <c r="S1041" s="3456"/>
      <c r="T1041" s="3505" t="s">
        <v>585</v>
      </c>
      <c r="U1041" s="3462"/>
      <c r="V1041" s="3463"/>
      <c r="W1041" s="3516" t="str">
        <f>IMAGE("https://raw.githubusercontent.com/msikma/pokesprite/master/misc/types/gen8/dragon.png",4,20,20)</f>
        <v/>
      </c>
      <c r="X1041" s="3456"/>
      <c r="Y1041" s="3505" t="s">
        <v>812</v>
      </c>
      <c r="Z1041" s="3462"/>
      <c r="AA1041" s="3463"/>
      <c r="AB1041" s="3516" t="str">
        <f>IMAGE("https://raw.githubusercontent.com/msikma/pokesprite/master/misc/types/gen8/dark.png",4,20,20)</f>
        <v/>
      </c>
      <c r="AC1041" s="3456"/>
      <c r="AD1041" s="3505" t="s">
        <v>619</v>
      </c>
      <c r="AE1041" s="3462"/>
      <c r="AF1041" s="3463"/>
      <c r="AG1041" s="3516" t="str">
        <f>IMAGE("https://raw.githubusercontent.com/msikma/pokesprite/master/misc/types/gen8/fire.png",4,20,20)</f>
        <v/>
      </c>
      <c r="AH1041" s="5506"/>
      <c r="AI1041" s="3466"/>
    </row>
    <row r="1042" ht="21.0" customHeight="1">
      <c r="A1042" s="3453"/>
      <c r="B1042" s="3454"/>
      <c r="C1042" s="3515"/>
      <c r="D1042" s="3456"/>
      <c r="E1042" s="3517" t="s">
        <v>590</v>
      </c>
      <c r="F1042" s="3518"/>
      <c r="G1042" s="3521"/>
      <c r="H1042" s="3522" t="str">
        <f>IMAGE("https://raw.githubusercontent.com/msikma/pokesprite/master/misc/types/gen8/fighting.png",4,20,20)</f>
        <v/>
      </c>
      <c r="I1042" s="3456"/>
      <c r="J1042" s="3517" t="s">
        <v>786</v>
      </c>
      <c r="K1042" s="3518"/>
      <c r="L1042" s="3521"/>
      <c r="M1042" s="3522" t="str">
        <f>IMAGE("https://raw.githubusercontent.com/msikma/pokesprite/master/misc/types/gen8/fairy.png",4,20,20)</f>
        <v/>
      </c>
      <c r="N1042" s="3456"/>
      <c r="O1042" s="3517" t="s">
        <v>553</v>
      </c>
      <c r="P1042" s="3518"/>
      <c r="Q1042" s="3521"/>
      <c r="R1042" s="3522" t="str">
        <f>IMAGE("https://raw.githubusercontent.com/msikma/pokesprite/master/misc/types/gen8/grass.png",4,20,20)</f>
        <v/>
      </c>
      <c r="S1042" s="3456"/>
      <c r="T1042" s="3517" t="s">
        <v>590</v>
      </c>
      <c r="U1042" s="3518"/>
      <c r="V1042" s="3521"/>
      <c r="W1042" s="3522" t="str">
        <f>IMAGE("https://raw.githubusercontent.com/msikma/pokesprite/master/misc/types/gen8/fighting.png",4,20,20)</f>
        <v/>
      </c>
      <c r="X1042" s="3456"/>
      <c r="Y1042" s="3517" t="s">
        <v>1682</v>
      </c>
      <c r="Z1042" s="3518"/>
      <c r="AA1042" s="3521"/>
      <c r="AB1042" s="3522" t="str">
        <f>IMAGE("https://raw.githubusercontent.com/msikma/pokesprite/master/misc/types/gen8/ghost.png",4,20,20)</f>
        <v/>
      </c>
      <c r="AC1042" s="3456"/>
      <c r="AD1042" s="3517" t="s">
        <v>644</v>
      </c>
      <c r="AE1042" s="3518"/>
      <c r="AF1042" s="3521"/>
      <c r="AG1042" s="3522" t="str">
        <f>IMAGE("https://raw.githubusercontent.com/msikma/pokesprite/master/misc/types/gen8/ground.png",4,20,20)</f>
        <v/>
      </c>
      <c r="AH1042" s="5506"/>
      <c r="AI1042" s="3466"/>
    </row>
    <row r="1043" ht="3.0" customHeight="1">
      <c r="A1043" s="3524"/>
      <c r="B1043" s="3525"/>
      <c r="C1043" s="3526"/>
      <c r="D1043" s="3527"/>
      <c r="E1043" s="3529"/>
      <c r="F1043" s="3529"/>
      <c r="G1043" s="3529"/>
      <c r="H1043" s="5511"/>
      <c r="I1043" s="3527"/>
      <c r="J1043" s="3529"/>
      <c r="K1043" s="3529"/>
      <c r="L1043" s="3529"/>
      <c r="M1043" s="3529"/>
      <c r="N1043" s="3527"/>
      <c r="O1043" s="3529"/>
      <c r="P1043" s="3529"/>
      <c r="Q1043" s="3529"/>
      <c r="R1043" s="3529"/>
      <c r="S1043" s="3527"/>
      <c r="T1043" s="3529"/>
      <c r="U1043" s="3529"/>
      <c r="V1043" s="3529"/>
      <c r="W1043" s="3529"/>
      <c r="X1043" s="3527"/>
      <c r="Y1043" s="3529"/>
      <c r="Z1043" s="3529"/>
      <c r="AA1043" s="3529"/>
      <c r="AB1043" s="3529"/>
      <c r="AC1043" s="3527"/>
      <c r="AD1043" s="3529"/>
      <c r="AE1043" s="3529"/>
      <c r="AF1043" s="3529"/>
      <c r="AG1043" s="3529"/>
      <c r="AH1043" s="3533"/>
      <c r="AI1043" s="3534"/>
    </row>
    <row r="1044" ht="16.5" customHeight="1">
      <c r="A1044" s="3535"/>
      <c r="B1044" s="3536"/>
      <c r="C1044" s="3526"/>
      <c r="D1044" s="3771"/>
      <c r="E1044" s="5512" t="s">
        <v>512</v>
      </c>
      <c r="F1044" s="606"/>
      <c r="G1044" s="606"/>
      <c r="H1044" s="607"/>
      <c r="I1044" s="3771"/>
      <c r="J1044" s="5512" t="s">
        <v>512</v>
      </c>
      <c r="K1044" s="606"/>
      <c r="L1044" s="606"/>
      <c r="M1044" s="607"/>
      <c r="N1044" s="3771"/>
      <c r="O1044" s="5512" t="s">
        <v>512</v>
      </c>
      <c r="P1044" s="606"/>
      <c r="Q1044" s="606"/>
      <c r="R1044" s="607"/>
      <c r="S1044" s="3771"/>
      <c r="T1044" s="5512" t="s">
        <v>512</v>
      </c>
      <c r="U1044" s="606"/>
      <c r="V1044" s="606"/>
      <c r="W1044" s="607"/>
      <c r="X1044" s="3771"/>
      <c r="Y1044" s="5512" t="s">
        <v>512</v>
      </c>
      <c r="Z1044" s="606"/>
      <c r="AA1044" s="606"/>
      <c r="AB1044" s="607"/>
      <c r="AC1044" s="3771"/>
      <c r="AD1044" s="5512" t="s">
        <v>512</v>
      </c>
      <c r="AE1044" s="606"/>
      <c r="AF1044" s="606"/>
      <c r="AG1044" s="607"/>
      <c r="AH1044" s="5513"/>
      <c r="AI1044" s="3543"/>
    </row>
    <row r="1045" ht="16.5" customHeight="1">
      <c r="A1045" s="3535"/>
      <c r="B1045" s="3536"/>
      <c r="C1045" s="3526"/>
      <c r="D1045" s="5514"/>
      <c r="E1045" s="5515" t="s">
        <v>513</v>
      </c>
      <c r="F1045" s="5516">
        <f t="array" ref="F1045">IFERROR(VLOOKUP(E1032,Dex!$B$3:$N1361,8,FALSE),"")</f>
        <v>50</v>
      </c>
      <c r="G1045" s="5517" t="str">
        <f t="array" ref="G1045">IFERROR(VLOOKUP(F1045,Dex!$P$22:$Q$276,2,FALSE),"")</f>
        <v/>
      </c>
      <c r="H1045" s="5518"/>
      <c r="I1045" s="5514"/>
      <c r="J1045" s="5515" t="s">
        <v>513</v>
      </c>
      <c r="K1045" s="5516">
        <f t="array" ref="K1045">IFERROR(VLOOKUP(J1032,Dex!$B$3:$N1361,8,FALSE),"")</f>
        <v>57</v>
      </c>
      <c r="L1045" s="5517" t="str">
        <f t="array" ref="L1045">IFERROR(VLOOKUP(K1045,Dex!$P$22:$Q$276,2,FALSE),"")</f>
        <v/>
      </c>
      <c r="M1045" s="5518"/>
      <c r="N1045" s="5514"/>
      <c r="O1045" s="5515" t="s">
        <v>513</v>
      </c>
      <c r="P1045" s="5516">
        <f t="array" ref="P1045">IFERROR(VLOOKUP(O1032,Dex!$B$3:$N1361,8,FALSE),"")</f>
        <v>60</v>
      </c>
      <c r="Q1045" s="5517" t="str">
        <f t="array" ref="Q1045">IFERROR(VLOOKUP(P1045,Dex!$P$22:$Q$276,2,FALSE),"")</f>
        <v/>
      </c>
      <c r="R1045" s="5518"/>
      <c r="S1045" s="5514"/>
      <c r="T1045" s="5515" t="s">
        <v>513</v>
      </c>
      <c r="U1045" s="5516">
        <f t="array" ref="U1045">IFERROR(VLOOKUP(T1032,Dex!$B$3:$N1361,8,FALSE),"")</f>
        <v>70</v>
      </c>
      <c r="V1045" s="5517" t="str">
        <f t="array" ref="V1045">IFERROR(VLOOKUP(U1045,Dex!$P$22:$Q$276,2,FALSE),"")</f>
        <v/>
      </c>
      <c r="W1045" s="5518"/>
      <c r="X1045" s="5514"/>
      <c r="Y1045" s="5515" t="s">
        <v>513</v>
      </c>
      <c r="Z1045" s="5516">
        <f t="array" ref="Z1045">IFERROR(VLOOKUP(Y1032,Dex!$B$3:$N1361,8,FALSE),"")</f>
        <v>100</v>
      </c>
      <c r="AA1045" s="5517" t="str">
        <f t="array" ref="AA1045">IFERROR(VLOOKUP(Z1045,Dex!$P$22:$Q$276,2,FALSE),"")</f>
        <v/>
      </c>
      <c r="AB1045" s="5518"/>
      <c r="AC1045" s="5514"/>
      <c r="AD1045" s="5515" t="s">
        <v>513</v>
      </c>
      <c r="AE1045" s="5516">
        <f t="array" ref="AE1045">IFERROR(VLOOKUP(AD1032,Dex!$B$3:$N1361,8,FALSE),"")</f>
        <v>80</v>
      </c>
      <c r="AF1045" s="5517" t="str">
        <f t="array" ref="AF1045">IFERROR(VLOOKUP(AE1045,Dex!$P$22:$Q$276,2,FALSE),"")</f>
        <v/>
      </c>
      <c r="AG1045" s="5518"/>
      <c r="AH1045" s="5513"/>
      <c r="AI1045" s="3543"/>
    </row>
    <row r="1046" ht="16.5" customHeight="1">
      <c r="A1046" s="3535"/>
      <c r="B1046" s="3536"/>
      <c r="C1046" s="3526"/>
      <c r="D1046" s="5514"/>
      <c r="E1046" s="5519" t="s">
        <v>514</v>
      </c>
      <c r="F1046" s="5520">
        <f t="array" ref="F1046">IFERROR(VLOOKUP(E1032,Dex!$B$3:$N1361,9,FALSE),"")</f>
        <v>45</v>
      </c>
      <c r="G1046" s="5521" t="str">
        <f t="array" ref="G1046">IFERROR(VLOOKUP(F1046,Dex!$P$22:$Q$276,2,FALSE),"")</f>
        <v/>
      </c>
      <c r="H1046" s="5522"/>
      <c r="I1046" s="5514"/>
      <c r="J1046" s="5519" t="s">
        <v>514</v>
      </c>
      <c r="K1046" s="5520">
        <f t="array" ref="K1046">IFERROR(VLOOKUP(J1032,Dex!$B$3:$N1361,9,FALSE),"")</f>
        <v>90</v>
      </c>
      <c r="L1046" s="5521" t="str">
        <f t="array" ref="L1046">IFERROR(VLOOKUP(K1046,Dex!$P$22:$Q$276,2,FALSE),"")</f>
        <v/>
      </c>
      <c r="M1046" s="5522"/>
      <c r="N1046" s="5514"/>
      <c r="O1046" s="5519" t="s">
        <v>514</v>
      </c>
      <c r="P1046" s="5520">
        <f t="array" ref="P1046">IFERROR(VLOOKUP(O1032,Dex!$B$3:$N1361,9,FALSE),"")</f>
        <v>55</v>
      </c>
      <c r="Q1046" s="5521" t="str">
        <f t="array" ref="Q1046">IFERROR(VLOOKUP(P1046,Dex!$P$22:$Q$276,2,FALSE),"")</f>
        <v/>
      </c>
      <c r="R1046" s="5522"/>
      <c r="S1046" s="5514"/>
      <c r="T1046" s="5519" t="s">
        <v>514</v>
      </c>
      <c r="U1046" s="5520">
        <f t="array" ref="U1046">IFERROR(VLOOKUP(T1032,Dex!$B$3:$N1361,9,FALSE),"")</f>
        <v>58</v>
      </c>
      <c r="V1046" s="5521" t="str">
        <f t="array" ref="V1046">IFERROR(VLOOKUP(U1046,Dex!$P$22:$Q$276,2,FALSE),"")</f>
        <v/>
      </c>
      <c r="W1046" s="5522"/>
      <c r="X1046" s="5514"/>
      <c r="Y1046" s="5519" t="s">
        <v>514</v>
      </c>
      <c r="Z1046" s="5520">
        <f t="array" ref="Z1046">IFERROR(VLOOKUP(Y1032,Dex!$B$3:$N1361,9,FALSE),"")</f>
        <v>100</v>
      </c>
      <c r="AA1046" s="5521" t="str">
        <f t="array" ref="AA1046">IFERROR(VLOOKUP(Z1046,Dex!$P$22:$Q$276,2,FALSE),"")</f>
        <v/>
      </c>
      <c r="AB1046" s="5522"/>
      <c r="AC1046" s="5514"/>
      <c r="AD1046" s="5519" t="s">
        <v>514</v>
      </c>
      <c r="AE1046" s="5520">
        <f t="array" ref="AE1046">IFERROR(VLOOKUP(AD1032,Dex!$B$3:$N1361,9,FALSE),"")</f>
        <v>110</v>
      </c>
      <c r="AF1046" s="5521" t="str">
        <f t="array" ref="AF1046">IFERROR(VLOOKUP(AE1046,Dex!$P$22:$Q$276,2,FALSE),"")</f>
        <v/>
      </c>
      <c r="AG1046" s="5522"/>
      <c r="AH1046" s="5513"/>
      <c r="AI1046" s="3543"/>
    </row>
    <row r="1047" ht="16.5" customHeight="1">
      <c r="A1047" s="3535"/>
      <c r="B1047" s="3536"/>
      <c r="C1047" s="3526"/>
      <c r="D1047" s="5514"/>
      <c r="E1047" s="5519" t="s">
        <v>515</v>
      </c>
      <c r="F1047" s="5520">
        <f t="array" ref="F1047">IFERROR(VLOOKUP(E1032,Dex!$B$3:$N1361,10,FALSE),"")</f>
        <v>65</v>
      </c>
      <c r="G1047" s="5521" t="str">
        <f t="array" ref="G1047">IFERROR(VLOOKUP(F1047,Dex!$P$22:$Q$276,2,FALSE),"")</f>
        <v/>
      </c>
      <c r="H1047" s="5522"/>
      <c r="I1047" s="5514"/>
      <c r="J1047" s="5519" t="s">
        <v>515</v>
      </c>
      <c r="K1047" s="5520">
        <f t="array" ref="K1047">IFERROR(VLOOKUP(J1032,Dex!$B$3:$N1361,10,FALSE),"")</f>
        <v>95</v>
      </c>
      <c r="L1047" s="5521" t="str">
        <f t="array" ref="L1047">IFERROR(VLOOKUP(K1047,Dex!$P$22:$Q$276,2,FALSE),"")</f>
        <v/>
      </c>
      <c r="M1047" s="5522"/>
      <c r="N1047" s="5514"/>
      <c r="O1047" s="5519" t="s">
        <v>515</v>
      </c>
      <c r="P1047" s="5520">
        <f t="array" ref="P1047">IFERROR(VLOOKUP(O1032,Dex!$B$3:$N1361,10,FALSE),"")</f>
        <v>70</v>
      </c>
      <c r="Q1047" s="5521" t="str">
        <f t="array" ref="Q1047">IFERROR(VLOOKUP(P1047,Dex!$P$22:$Q$276,2,FALSE),"")</f>
        <v/>
      </c>
      <c r="R1047" s="5522"/>
      <c r="S1047" s="5514"/>
      <c r="T1047" s="5519" t="s">
        <v>515</v>
      </c>
      <c r="U1047" s="5520">
        <f t="array" ref="U1047">IFERROR(VLOOKUP(T1032,Dex!$B$3:$N1361,10,FALSE),"")</f>
        <v>135</v>
      </c>
      <c r="V1047" s="5521" t="str">
        <f t="array" ref="V1047">IFERROR(VLOOKUP(U1047,Dex!$P$22:$Q$276,2,FALSE),"")</f>
        <v/>
      </c>
      <c r="W1047" s="5522"/>
      <c r="X1047" s="5514"/>
      <c r="Y1047" s="5519" t="s">
        <v>515</v>
      </c>
      <c r="Z1047" s="5520">
        <f t="array" ref="Z1047">IFERROR(VLOOKUP(Y1032,Dex!$B$3:$N1361,10,FALSE),"")</f>
        <v>100</v>
      </c>
      <c r="AA1047" s="5521" t="str">
        <f t="array" ref="AA1047">IFERROR(VLOOKUP(Z1047,Dex!$P$22:$Q$276,2,FALSE),"")</f>
        <v/>
      </c>
      <c r="AB1047" s="5522"/>
      <c r="AC1047" s="5514"/>
      <c r="AD1047" s="5519" t="s">
        <v>515</v>
      </c>
      <c r="AE1047" s="5520">
        <f t="array" ref="AE1047">IFERROR(VLOOKUP(AD1032,Dex!$B$3:$N1361,10,FALSE),"")</f>
        <v>120</v>
      </c>
      <c r="AF1047" s="5521" t="str">
        <f t="array" ref="AF1047">IFERROR(VLOOKUP(AE1047,Dex!$P$22:$Q$276,2,FALSE),"")</f>
        <v/>
      </c>
      <c r="AG1047" s="5522"/>
      <c r="AH1047" s="5513"/>
      <c r="AI1047" s="3543"/>
    </row>
    <row r="1048" ht="16.5" customHeight="1">
      <c r="A1048" s="3535"/>
      <c r="B1048" s="3536"/>
      <c r="C1048" s="3526"/>
      <c r="D1048" s="5514"/>
      <c r="E1048" s="5519" t="s">
        <v>516</v>
      </c>
      <c r="F1048" s="5520">
        <f t="array" ref="F1048">IFERROR(VLOOKUP(E1032,Dex!$B$3:$N1361,11,FALSE),"")</f>
        <v>100</v>
      </c>
      <c r="G1048" s="5521" t="str">
        <f t="array" ref="G1048">IFERROR(VLOOKUP(F1048,Dex!$P$22:$Q$276,2,FALSE),"")</f>
        <v/>
      </c>
      <c r="H1048" s="5522"/>
      <c r="I1048" s="5514"/>
      <c r="J1048" s="5519" t="s">
        <v>516</v>
      </c>
      <c r="K1048" s="5520">
        <f t="array" ref="K1048">IFERROR(VLOOKUP(J1032,Dex!$B$3:$N1361,11,FALSE),"")</f>
        <v>136</v>
      </c>
      <c r="L1048" s="5521" t="str">
        <f t="array" ref="L1048">IFERROR(VLOOKUP(K1048,Dex!$P$22:$Q$276,2,FALSE),"")</f>
        <v/>
      </c>
      <c r="M1048" s="5522"/>
      <c r="N1048" s="5514"/>
      <c r="O1048" s="5519" t="s">
        <v>516</v>
      </c>
      <c r="P1048" s="5520">
        <f t="array" ref="P1048">IFERROR(VLOOKUP(O1032,Dex!$B$3:$N1361,11,FALSE),"")</f>
        <v>100</v>
      </c>
      <c r="Q1048" s="5521" t="str">
        <f t="array" ref="Q1048">IFERROR(VLOOKUP(P1048,Dex!$P$22:$Q$276,2,FALSE),"")</f>
        <v/>
      </c>
      <c r="R1048" s="5522"/>
      <c r="S1048" s="5514"/>
      <c r="T1048" s="5519" t="s">
        <v>516</v>
      </c>
      <c r="U1048" s="5520">
        <f t="array" ref="U1048">IFERROR(VLOOKUP(T1032,Dex!$B$3:$N1361,11,FALSE),"")</f>
        <v>91</v>
      </c>
      <c r="V1048" s="5521" t="str">
        <f t="array" ref="V1048">IFERROR(VLOOKUP(U1048,Dex!$P$22:$Q$276,2,FALSE),"")</f>
        <v/>
      </c>
      <c r="W1048" s="5522"/>
      <c r="X1048" s="5514"/>
      <c r="Y1048" s="5519" t="s">
        <v>516</v>
      </c>
      <c r="Z1048" s="5520">
        <f t="array" ref="Z1048">IFERROR(VLOOKUP(Y1032,Dex!$B$3:$N1361,11,FALSE),"")</f>
        <v>100</v>
      </c>
      <c r="AA1048" s="5521" t="str">
        <f t="array" ref="AA1048">IFERROR(VLOOKUP(Z1048,Dex!$P$22:$Q$276,2,FALSE),"")</f>
        <v/>
      </c>
      <c r="AB1048" s="5522"/>
      <c r="AC1048" s="5514"/>
      <c r="AD1048" s="5519" t="s">
        <v>516</v>
      </c>
      <c r="AE1048" s="5520">
        <f t="array" ref="AE1048">IFERROR(VLOOKUP(AD1032,Dex!$B$3:$N1361,11,FALSE),"")</f>
        <v>130</v>
      </c>
      <c r="AF1048" s="5521" t="str">
        <f t="array" ref="AF1048">IFERROR(VLOOKUP(AE1048,Dex!$P$22:$Q$276,2,FALSE),"")</f>
        <v/>
      </c>
      <c r="AG1048" s="5522"/>
      <c r="AH1048" s="5513"/>
      <c r="AI1048" s="3543"/>
    </row>
    <row r="1049" ht="16.5" customHeight="1">
      <c r="A1049" s="3535"/>
      <c r="B1049" s="3536"/>
      <c r="C1049" s="5523"/>
      <c r="D1049" s="5514"/>
      <c r="E1049" s="5519" t="s">
        <v>517</v>
      </c>
      <c r="F1049" s="5520">
        <f t="array" ref="F1049">IFERROR(VLOOKUP(E1032,Dex!$B$3:$N1361,12,FALSE),"")</f>
        <v>120</v>
      </c>
      <c r="G1049" s="5521" t="str">
        <f t="array" ref="G1049">IFERROR(VLOOKUP(F1049,Dex!$P$22:$Q$276,2,FALSE),"")</f>
        <v/>
      </c>
      <c r="H1049" s="5522"/>
      <c r="I1049" s="5514"/>
      <c r="J1049" s="5519" t="s">
        <v>517</v>
      </c>
      <c r="K1049" s="5520">
        <f t="array" ref="K1049">IFERROR(VLOOKUP(J1032,Dex!$B$3:$N1361,12,FALSE),"")</f>
        <v>103</v>
      </c>
      <c r="L1049" s="5521" t="str">
        <f t="array" ref="L1049">IFERROR(VLOOKUP(K1049,Dex!$P$22:$Q$276,2,FALSE),"")</f>
        <v/>
      </c>
      <c r="M1049" s="5522"/>
      <c r="N1049" s="5514"/>
      <c r="O1049" s="5519" t="s">
        <v>517</v>
      </c>
      <c r="P1049" s="5520">
        <f t="array" ref="P1049">IFERROR(VLOOKUP(O1032,Dex!$B$3:$N1361,12,FALSE),"")</f>
        <v>80</v>
      </c>
      <c r="Q1049" s="5521" t="str">
        <f t="array" ref="Q1049">IFERROR(VLOOKUP(P1049,Dex!$P$22:$Q$276,2,FALSE),"")</f>
        <v/>
      </c>
      <c r="R1049" s="5522"/>
      <c r="S1049" s="5514"/>
      <c r="T1049" s="5519" t="s">
        <v>517</v>
      </c>
      <c r="U1049" s="5520">
        <f t="array" ref="U1049">IFERROR(VLOOKUP(T1032,Dex!$B$3:$N1361,12,FALSE),"")</f>
        <v>85</v>
      </c>
      <c r="V1049" s="5521" t="str">
        <f t="array" ref="V1049">IFERROR(VLOOKUP(U1049,Dex!$P$22:$Q$276,2,FALSE),"")</f>
        <v/>
      </c>
      <c r="W1049" s="5522"/>
      <c r="X1049" s="5514"/>
      <c r="Y1049" s="5519" t="s">
        <v>517</v>
      </c>
      <c r="Z1049" s="5520">
        <f t="array" ref="Z1049">IFERROR(VLOOKUP(Y1032,Dex!$B$3:$N1361,12,FALSE),"")</f>
        <v>100</v>
      </c>
      <c r="AA1049" s="5521" t="str">
        <f t="array" ref="AA1049">IFERROR(VLOOKUP(Z1049,Dex!$P$22:$Q$276,2,FALSE),"")</f>
        <v/>
      </c>
      <c r="AB1049" s="5522"/>
      <c r="AC1049" s="5514"/>
      <c r="AD1049" s="5519" t="s">
        <v>517</v>
      </c>
      <c r="AE1049" s="5520">
        <f t="array" ref="AE1049">IFERROR(VLOOKUP(AD1032,Dex!$B$3:$N1361,12,FALSE),"")</f>
        <v>90</v>
      </c>
      <c r="AF1049" s="5521" t="str">
        <f t="array" ref="AF1049">IFERROR(VLOOKUP(AE1049,Dex!$P$22:$Q$276,2,FALSE),"")</f>
        <v/>
      </c>
      <c r="AG1049" s="5522"/>
      <c r="AH1049" s="5513"/>
      <c r="AI1049" s="3543"/>
    </row>
    <row r="1050" ht="16.5" customHeight="1">
      <c r="A1050" s="3535"/>
      <c r="B1050" s="5524"/>
      <c r="C1050" s="1426" t="s">
        <v>745</v>
      </c>
      <c r="D1050" s="5525"/>
      <c r="E1050" s="5526" t="s">
        <v>518</v>
      </c>
      <c r="F1050" s="5527">
        <f t="array" ref="F1050">IFERROR(VLOOKUP(E1032,Dex!$B$3:$N1361,13,FALSE),"")</f>
        <v>90</v>
      </c>
      <c r="G1050" s="5528" t="str">
        <f t="array" ref="G1050">IFERROR(VLOOKUP(F1050,Dex!$P$22:$Q$276,2,FALSE),"")</f>
        <v/>
      </c>
      <c r="H1050" s="5529"/>
      <c r="I1050" s="5525"/>
      <c r="J1050" s="5526" t="s">
        <v>518</v>
      </c>
      <c r="K1050" s="5527">
        <f t="array" ref="K1050">IFERROR(VLOOKUP(J1032,Dex!$B$3:$N1361,13,FALSE),"")</f>
        <v>29</v>
      </c>
      <c r="L1050" s="5528" t="str">
        <f t="array" ref="L1050">IFERROR(VLOOKUP(K1050,Dex!$P$22:$Q$276,2,FALSE),"")</f>
        <v/>
      </c>
      <c r="M1050" s="5529"/>
      <c r="N1050" s="5525"/>
      <c r="O1050" s="5526" t="s">
        <v>518</v>
      </c>
      <c r="P1050" s="5527">
        <f t="array" ref="P1050">IFERROR(VLOOKUP(O1032,Dex!$B$3:$N1361,13,FALSE),"")</f>
        <v>150</v>
      </c>
      <c r="Q1050" s="5528" t="str">
        <f t="array" ref="Q1050">IFERROR(VLOOKUP(P1050,Dex!$P$22:$Q$276,2,FALSE),"")</f>
        <v/>
      </c>
      <c r="R1050" s="5529"/>
      <c r="S1050" s="5525"/>
      <c r="T1050" s="5526" t="s">
        <v>518</v>
      </c>
      <c r="U1050" s="5527">
        <f t="array" ref="U1050">IFERROR(VLOOKUP(T1032,Dex!$B$3:$N1361,13,FALSE),"")</f>
        <v>36</v>
      </c>
      <c r="V1050" s="5528" t="str">
        <f t="array" ref="V1050">IFERROR(VLOOKUP(U1050,Dex!$P$22:$Q$276,2,FALSE),"")</f>
        <v/>
      </c>
      <c r="W1050" s="5529"/>
      <c r="X1050" s="5525"/>
      <c r="Y1050" s="5526" t="s">
        <v>518</v>
      </c>
      <c r="Z1050" s="5527">
        <f t="array" ref="Z1050">IFERROR(VLOOKUP(Y1032,Dex!$B$3:$N1361,13,FALSE),"")</f>
        <v>100</v>
      </c>
      <c r="AA1050" s="5528" t="str">
        <f t="array" ref="AA1050">IFERROR(VLOOKUP(Z1050,Dex!$P$22:$Q$276,2,FALSE),"")</f>
        <v/>
      </c>
      <c r="AB1050" s="5529"/>
      <c r="AC1050" s="5525"/>
      <c r="AD1050" s="5526" t="s">
        <v>518</v>
      </c>
      <c r="AE1050" s="5527">
        <f t="array" ref="AE1050">IFERROR(VLOOKUP(AD1032,Dex!$B$3:$N1361,13,FALSE),"")</f>
        <v>70</v>
      </c>
      <c r="AF1050" s="5528" t="str">
        <f t="array" ref="AF1050">IFERROR(VLOOKUP(AE1050,Dex!$P$22:$Q$276,2,FALSE),"")</f>
        <v/>
      </c>
      <c r="AG1050" s="5529"/>
      <c r="AH1050" s="5513"/>
      <c r="AI1050" s="3543"/>
    </row>
    <row r="1051" ht="16.5" customHeight="1">
      <c r="A1051" s="3535"/>
      <c r="B1051" s="5524"/>
      <c r="C1051" s="1427" t="s">
        <v>746</v>
      </c>
      <c r="D1051" s="5530"/>
      <c r="E1051" s="5531" t="s">
        <v>519</v>
      </c>
      <c r="F1051" s="630"/>
      <c r="G1051" s="631"/>
      <c r="H1051" s="632">
        <f>ROUNDDOWN((ROUNDDOWN(((((2*F1050+31)*68)/100+5)),0))*1.1,0)</f>
        <v>162</v>
      </c>
      <c r="I1051" s="5530"/>
      <c r="J1051" s="5531" t="s">
        <v>519</v>
      </c>
      <c r="K1051" s="630"/>
      <c r="L1051" s="631"/>
      <c r="M1051" s="632">
        <f>ROUNDDOWN((ROUNDDOWN(((((2*K1050+31)*68)/100+5)),0))*1,0)</f>
        <v>65</v>
      </c>
      <c r="N1051" s="5530"/>
      <c r="O1051" s="5531" t="s">
        <v>519</v>
      </c>
      <c r="P1051" s="630"/>
      <c r="Q1051" s="631"/>
      <c r="R1051" s="632">
        <f>ROUNDDOWN((ROUNDDOWN(((((2*P1050+31)*68)/100+5)),0))*1.1,0)</f>
        <v>253</v>
      </c>
      <c r="S1051" s="5530"/>
      <c r="T1051" s="5531" t="s">
        <v>519</v>
      </c>
      <c r="U1051" s="630"/>
      <c r="V1051" s="631"/>
      <c r="W1051" s="632">
        <f>ROUNDDOWN((ROUNDDOWN(((((2*U1050+31)*68)/100+5)),0))*0.9,0)</f>
        <v>67</v>
      </c>
      <c r="X1051" s="5530"/>
      <c r="Y1051" s="5531" t="s">
        <v>519</v>
      </c>
      <c r="Z1051" s="630"/>
      <c r="AA1051" s="631"/>
      <c r="AB1051" s="632">
        <f>ROUNDDOWN((ROUNDDOWN(((((2*Z1050+31)*68)/100+5)),0))*1.1,0)</f>
        <v>178</v>
      </c>
      <c r="AC1051" s="5530"/>
      <c r="AD1051" s="5531" t="s">
        <v>519</v>
      </c>
      <c r="AE1051" s="630"/>
      <c r="AF1051" s="631"/>
      <c r="AG1051" s="632">
        <f>ROUNDDOWN((ROUNDDOWN(((((2*AE1050+31)*68)/100+5)),0))*1.1,0)</f>
        <v>133</v>
      </c>
      <c r="AH1051" s="5532"/>
      <c r="AI1051" s="3543"/>
    </row>
    <row r="1052" ht="15.0" customHeight="1">
      <c r="A1052" s="3453"/>
      <c r="B1052" s="3558"/>
      <c r="C1052" s="3559"/>
      <c r="D1052" s="3560"/>
      <c r="E1052" s="3561"/>
      <c r="F1052" s="3561"/>
      <c r="G1052" s="3561"/>
      <c r="H1052" s="3562"/>
      <c r="I1052" s="3560"/>
      <c r="J1052" s="3561"/>
      <c r="K1052" s="3561"/>
      <c r="L1052" s="3561"/>
      <c r="M1052" s="3562"/>
      <c r="N1052" s="3560"/>
      <c r="O1052" s="3561"/>
      <c r="P1052" s="3561"/>
      <c r="Q1052" s="3561"/>
      <c r="R1052" s="3562"/>
      <c r="S1052" s="3560"/>
      <c r="T1052" s="3561"/>
      <c r="U1052" s="3561"/>
      <c r="V1052" s="3561"/>
      <c r="W1052" s="3562"/>
      <c r="X1052" s="3560"/>
      <c r="Y1052" s="3561"/>
      <c r="Z1052" s="3561"/>
      <c r="AA1052" s="3561"/>
      <c r="AB1052" s="3562"/>
      <c r="AC1052" s="3560"/>
      <c r="AD1052" s="3561"/>
      <c r="AE1052" s="3561"/>
      <c r="AF1052" s="3561"/>
      <c r="AG1052" s="3562"/>
      <c r="AH1052" s="3566"/>
      <c r="AI1052" s="3466"/>
    </row>
    <row r="1053" ht="15.0" customHeight="1">
      <c r="A1053" s="3446"/>
      <c r="B1053" s="5533"/>
      <c r="C1053" s="5534"/>
      <c r="D1053" s="5535"/>
      <c r="E1053" s="5536"/>
      <c r="F1053" s="5536"/>
      <c r="G1053" s="5536"/>
      <c r="H1053" s="5536"/>
      <c r="I1053" s="5535"/>
      <c r="J1053" s="5536"/>
      <c r="K1053" s="5536"/>
      <c r="L1053" s="5536"/>
      <c r="M1053" s="5536"/>
      <c r="N1053" s="5535"/>
      <c r="O1053" s="5536"/>
      <c r="P1053" s="5536"/>
      <c r="Q1053" s="5536"/>
      <c r="R1053" s="5536"/>
      <c r="S1053" s="5535"/>
      <c r="T1053" s="5536"/>
      <c r="U1053" s="5536"/>
      <c r="V1053" s="5536"/>
      <c r="W1053" s="5536"/>
      <c r="X1053" s="5535"/>
      <c r="Y1053" s="5536"/>
      <c r="Z1053" s="5536"/>
      <c r="AA1053" s="5536"/>
      <c r="AB1053" s="5536"/>
      <c r="AC1053" s="5535"/>
      <c r="AD1053" s="5536"/>
      <c r="AE1053" s="5536"/>
      <c r="AF1053" s="5536"/>
      <c r="AG1053" s="5536"/>
      <c r="AH1053" s="5537"/>
      <c r="AI1053" s="3452"/>
    </row>
    <row r="1054" ht="96.75" customHeight="1">
      <c r="A1054" s="3453"/>
      <c r="B1054" s="5538"/>
      <c r="C1054" s="5539" t="str">
        <f>IMAGE("https://i.ibb.co/gZ60Dh8/Scientist.png")</f>
        <v/>
      </c>
      <c r="D1054" s="5540"/>
      <c r="E1054" s="5541" t="str">
        <f t="array" ref="E1054">IFERROR(VLOOKUP(E1055,Dex!$B$3:$G1361,3,FALSE),"")</f>
        <v/>
      </c>
      <c r="F1054" s="606"/>
      <c r="G1054" s="606"/>
      <c r="H1054" s="607"/>
      <c r="I1054" s="5540"/>
      <c r="J1054" s="5541" t="str">
        <f t="array" ref="J1054">IFERROR(VLOOKUP(J1055,Dex!$B$3:$G1361,3,FALSE),"")</f>
        <v/>
      </c>
      <c r="K1054" s="606"/>
      <c r="L1054" s="606"/>
      <c r="M1054" s="607"/>
      <c r="N1054" s="5540"/>
      <c r="O1054" s="5541" t="str">
        <f t="array" ref="O1054">IFERROR(VLOOKUP(O1055,Dex!$B$3:$G1361,3,FALSE),"")</f>
        <v/>
      </c>
      <c r="P1054" s="606"/>
      <c r="Q1054" s="606"/>
      <c r="R1054" s="607"/>
      <c r="S1054" s="5540"/>
      <c r="T1054" s="5541" t="str">
        <f t="array" ref="T1054">IFERROR(VLOOKUP(T1055,Dex!$B$3:$G1361,3,FALSE),"")</f>
        <v/>
      </c>
      <c r="U1054" s="606"/>
      <c r="V1054" s="606"/>
      <c r="W1054" s="607"/>
      <c r="X1054" s="5540"/>
      <c r="Y1054" s="5541" t="str">
        <f t="array" ref="Y1054">IFERROR(VLOOKUP(Y1055,Dex!$B$3:$G1361,3,FALSE),"")</f>
        <v/>
      </c>
      <c r="Z1054" s="606"/>
      <c r="AA1054" s="606"/>
      <c r="AB1054" s="607"/>
      <c r="AC1054" s="5540"/>
      <c r="AD1054" s="5541" t="str">
        <f t="array" ref="AD1054">IFERROR(VLOOKUP(AD1055,Dex!$B$3:$G1361,3,FALSE),"")</f>
        <v/>
      </c>
      <c r="AE1054" s="606"/>
      <c r="AF1054" s="606"/>
      <c r="AG1054" s="607"/>
      <c r="AH1054" s="5542"/>
      <c r="AI1054" s="3466"/>
    </row>
    <row r="1055" ht="18.75" customHeight="1">
      <c r="A1055" s="3467"/>
      <c r="B1055" s="5543"/>
      <c r="C1055" s="5544" t="s">
        <v>1683</v>
      </c>
      <c r="D1055" s="5545"/>
      <c r="E1055" s="5546" t="s">
        <v>1541</v>
      </c>
      <c r="F1055" s="5547"/>
      <c r="G1055" s="5547"/>
      <c r="H1055" s="5548"/>
      <c r="I1055" s="5545"/>
      <c r="J1055" s="5546" t="s">
        <v>1684</v>
      </c>
      <c r="K1055" s="5547"/>
      <c r="L1055" s="5547"/>
      <c r="M1055" s="5548"/>
      <c r="N1055" s="5545"/>
      <c r="O1055" s="5546" t="s">
        <v>1685</v>
      </c>
      <c r="P1055" s="5547"/>
      <c r="Q1055" s="5547"/>
      <c r="R1055" s="5548"/>
      <c r="S1055" s="5545"/>
      <c r="T1055" s="5546" t="s">
        <v>1594</v>
      </c>
      <c r="U1055" s="5547"/>
      <c r="V1055" s="5547"/>
      <c r="W1055" s="5548"/>
      <c r="X1055" s="5545"/>
      <c r="Y1055" s="5546" t="s">
        <v>1686</v>
      </c>
      <c r="Z1055" s="5547"/>
      <c r="AA1055" s="5547"/>
      <c r="AB1055" s="5548"/>
      <c r="AC1055" s="5545"/>
      <c r="AD1055" s="5546" t="s">
        <v>1687</v>
      </c>
      <c r="AE1055" s="5547"/>
      <c r="AF1055" s="5547"/>
      <c r="AG1055" s="5548"/>
      <c r="AH1055" s="5549"/>
      <c r="AI1055" s="3478"/>
    </row>
    <row r="1056">
      <c r="A1056" s="3479"/>
      <c r="B1056" s="5550"/>
      <c r="C1056" s="1638"/>
      <c r="D1056" s="5551"/>
      <c r="E1056" s="5552" t="s">
        <v>796</v>
      </c>
      <c r="F1056" s="5553"/>
      <c r="G1056" s="5553"/>
      <c r="H1056" s="5554"/>
      <c r="I1056" s="5551"/>
      <c r="J1056" s="5552" t="s">
        <v>967</v>
      </c>
      <c r="K1056" s="5553"/>
      <c r="L1056" s="5553"/>
      <c r="M1056" s="5554"/>
      <c r="N1056" s="5551"/>
      <c r="O1056" s="5552" t="s">
        <v>729</v>
      </c>
      <c r="P1056" s="5553"/>
      <c r="Q1056" s="5553"/>
      <c r="R1056" s="5554"/>
      <c r="S1056" s="5551"/>
      <c r="T1056" s="5552" t="s">
        <v>729</v>
      </c>
      <c r="U1056" s="5553"/>
      <c r="V1056" s="5553"/>
      <c r="W1056" s="5554"/>
      <c r="X1056" s="5551"/>
      <c r="Y1056" s="5552" t="s">
        <v>729</v>
      </c>
      <c r="Z1056" s="5553"/>
      <c r="AA1056" s="5553"/>
      <c r="AB1056" s="5554"/>
      <c r="AC1056" s="5551"/>
      <c r="AD1056" s="5552" t="s">
        <v>729</v>
      </c>
      <c r="AE1056" s="5553"/>
      <c r="AF1056" s="5553"/>
      <c r="AG1056" s="5554"/>
      <c r="AH1056" s="5555"/>
      <c r="AI1056" s="3487"/>
    </row>
    <row r="1057" ht="25.5" customHeight="1">
      <c r="A1057" s="3453"/>
      <c r="B1057" s="5538"/>
      <c r="C1057" s="1646"/>
      <c r="D1057" s="5540"/>
      <c r="E1057" s="5556"/>
      <c r="F1057" s="5557" t="str">
        <f t="array" ref="F1057">IFERROR(VLOOKUP(E1055,Dex!$B$3:$H1361,5,FALSE),"")</f>
        <v/>
      </c>
      <c r="G1057" s="5558" t="str">
        <f t="array" ref="G1057">IFERROR(VLOOKUP(E1055,Dex!$B$3:$H1361,7,FALSE),"")</f>
        <v/>
      </c>
      <c r="H1057" s="5559"/>
      <c r="I1057" s="5540"/>
      <c r="J1057" s="5556"/>
      <c r="K1057" s="5557" t="str">
        <f t="array" ref="K1057">IFERROR(VLOOKUP(J1055,Dex!$B$3:$H1361,5,FALSE),"")</f>
        <v/>
      </c>
      <c r="L1057" s="5558" t="str">
        <f t="array" ref="L1057">IFERROR(VLOOKUP(J1055,Dex!$B$3:$H1361,7,FALSE),"")</f>
        <v/>
      </c>
      <c r="M1057" s="5559"/>
      <c r="N1057" s="5540"/>
      <c r="O1057" s="5556"/>
      <c r="P1057" s="5557" t="str">
        <f t="array" ref="P1057">IFERROR(VLOOKUP(O1055,Dex!$B$3:$H1361,5,FALSE),"")</f>
        <v/>
      </c>
      <c r="Q1057" s="5558" t="str">
        <f t="array" ref="Q1057">IFERROR(VLOOKUP(O1055,Dex!$B$3:$H1361,7,FALSE),"")</f>
        <v/>
      </c>
      <c r="R1057" s="5559"/>
      <c r="S1057" s="5540"/>
      <c r="T1057" s="5556"/>
      <c r="U1057" s="5557" t="str">
        <f t="array" ref="U1057">IFERROR(VLOOKUP(T1055,Dex!$B$3:$H1361,5,FALSE),"")</f>
        <v/>
      </c>
      <c r="V1057" s="5558" t="str">
        <f t="array" ref="V1057">IFERROR(VLOOKUP(T1055,Dex!$B$3:$H1361,7,FALSE),"")</f>
        <v/>
      </c>
      <c r="W1057" s="5559"/>
      <c r="X1057" s="5540"/>
      <c r="Y1057" s="5556"/>
      <c r="Z1057" s="5560" t="str">
        <f t="array" ref="Z1057">IFERROR(VLOOKUP(Y1055,Dex!$B$3:$H1361,5,FALSE),"")</f>
        <v/>
      </c>
      <c r="AA1057" s="5561"/>
      <c r="AB1057" s="5559"/>
      <c r="AC1057" s="5540"/>
      <c r="AD1057" s="5556"/>
      <c r="AE1057" s="5557" t="str">
        <f t="array" ref="AE1057">IFERROR(VLOOKUP(AD1055,Dex!$B$3:$H1361,5,FALSE),"")</f>
        <v/>
      </c>
      <c r="AF1057" s="5558" t="str">
        <f t="array" ref="AF1057">IFERROR(VLOOKUP(AD1055,Dex!$B$3:$H1361,7,FALSE),"")</f>
        <v/>
      </c>
      <c r="AG1057" s="5559"/>
      <c r="AH1057" s="5562"/>
      <c r="AI1057" s="3466"/>
    </row>
    <row r="1058" ht="2.25" customHeight="1">
      <c r="A1058" s="3453"/>
      <c r="B1058" s="5563"/>
      <c r="C1058" s="5564"/>
      <c r="D1058" s="5565"/>
      <c r="E1058" s="5566"/>
      <c r="F1058" s="5567"/>
      <c r="G1058" s="5567"/>
      <c r="H1058" s="5568"/>
      <c r="I1058" s="5565"/>
      <c r="J1058" s="5566"/>
      <c r="K1058" s="5567"/>
      <c r="L1058" s="5567"/>
      <c r="M1058" s="5568"/>
      <c r="N1058" s="5565"/>
      <c r="O1058" s="5566"/>
      <c r="P1058" s="5567"/>
      <c r="Q1058" s="5567"/>
      <c r="R1058" s="5568"/>
      <c r="S1058" s="5565"/>
      <c r="T1058" s="5566"/>
      <c r="U1058" s="5567"/>
      <c r="V1058" s="5567"/>
      <c r="W1058" s="5568"/>
      <c r="X1058" s="5565"/>
      <c r="Y1058" s="5566"/>
      <c r="Z1058" s="5567"/>
      <c r="AA1058" s="5567"/>
      <c r="AB1058" s="5568"/>
      <c r="AC1058" s="5565"/>
      <c r="AD1058" s="5566"/>
      <c r="AE1058" s="5567"/>
      <c r="AF1058" s="5567"/>
      <c r="AG1058" s="5568"/>
      <c r="AH1058" s="5562"/>
      <c r="AI1058" s="3466"/>
    </row>
    <row r="1059" ht="20.25" customHeight="1">
      <c r="A1059" s="3453"/>
      <c r="B1059" s="5563"/>
      <c r="C1059" s="5569"/>
      <c r="D1059" s="5565"/>
      <c r="E1059" s="5570" t="s">
        <v>532</v>
      </c>
      <c r="F1059" s="5571"/>
      <c r="G1059" s="5571"/>
      <c r="H1059" s="5572"/>
      <c r="I1059" s="5565"/>
      <c r="J1059" s="5570" t="s">
        <v>532</v>
      </c>
      <c r="K1059" s="5571"/>
      <c r="L1059" s="5571"/>
      <c r="M1059" s="5572"/>
      <c r="N1059" s="5565"/>
      <c r="O1059" s="5570" t="s">
        <v>564</v>
      </c>
      <c r="P1059" s="5571"/>
      <c r="Q1059" s="5571"/>
      <c r="R1059" s="5572"/>
      <c r="S1059" s="5565"/>
      <c r="T1059" s="5570" t="s">
        <v>565</v>
      </c>
      <c r="U1059" s="5571"/>
      <c r="V1059" s="5571"/>
      <c r="W1059" s="5572"/>
      <c r="X1059" s="5565"/>
      <c r="Y1059" s="5570" t="s">
        <v>532</v>
      </c>
      <c r="Z1059" s="5571"/>
      <c r="AA1059" s="5571"/>
      <c r="AB1059" s="5572"/>
      <c r="AC1059" s="5565"/>
      <c r="AD1059" s="5570" t="s">
        <v>565</v>
      </c>
      <c r="AE1059" s="5571"/>
      <c r="AF1059" s="5571"/>
      <c r="AG1059" s="5572"/>
      <c r="AH1059" s="5542"/>
      <c r="AI1059" s="3466"/>
    </row>
    <row r="1060" ht="20.25" customHeight="1">
      <c r="A1060" s="3453"/>
      <c r="B1060" s="5563"/>
      <c r="C1060" s="5573"/>
      <c r="D1060" s="5565"/>
      <c r="E1060" s="5574" t="s">
        <v>1688</v>
      </c>
      <c r="F1060" s="5575"/>
      <c r="G1060" s="5575"/>
      <c r="H1060" s="5576"/>
      <c r="I1060" s="5565"/>
      <c r="J1060" s="5574" t="s">
        <v>825</v>
      </c>
      <c r="K1060" s="5575"/>
      <c r="L1060" s="5575"/>
      <c r="M1060" s="5576"/>
      <c r="N1060" s="5565"/>
      <c r="O1060" s="5577" t="s">
        <v>1689</v>
      </c>
      <c r="P1060" s="5575"/>
      <c r="Q1060" s="5575"/>
      <c r="R1060" s="5576"/>
      <c r="S1060" s="5565"/>
      <c r="T1060" s="5574" t="s">
        <v>1483</v>
      </c>
      <c r="U1060" s="5575"/>
      <c r="V1060" s="5575"/>
      <c r="W1060" s="5576"/>
      <c r="X1060" s="5565"/>
      <c r="Y1060" s="5574" t="s">
        <v>1559</v>
      </c>
      <c r="Z1060" s="5575"/>
      <c r="AA1060" s="5575"/>
      <c r="AB1060" s="5576"/>
      <c r="AC1060" s="5565"/>
      <c r="AD1060" s="5574" t="s">
        <v>827</v>
      </c>
      <c r="AE1060" s="5575"/>
      <c r="AF1060" s="5575"/>
      <c r="AG1060" s="5576"/>
      <c r="AH1060" s="5542"/>
      <c r="AI1060" s="3466"/>
    </row>
    <row r="1061" ht="20.25" customHeight="1">
      <c r="A1061" s="3453"/>
      <c r="B1061" s="5563"/>
      <c r="C1061" s="5578"/>
      <c r="D1061" s="5565"/>
      <c r="E1061" s="5579" t="s">
        <v>573</v>
      </c>
      <c r="F1061" s="5580"/>
      <c r="G1061" s="5581"/>
      <c r="H1061" s="5582" t="str">
        <f>IMAGE("https://raw.githubusercontent.com/msikma/pokesprite/master/items/hold-item/focus-sash.png",3)</f>
        <v/>
      </c>
      <c r="I1061" s="5565"/>
      <c r="J1061" s="5579" t="s">
        <v>540</v>
      </c>
      <c r="K1061" s="5580"/>
      <c r="L1061" s="5581"/>
      <c r="M1061" s="5582" t="str">
        <f>IMAGE("https://raw.githubusercontent.com/msikma/pokesprite/master/items/hold-item/mystic-water.png",3)</f>
        <v/>
      </c>
      <c r="N1061" s="5565"/>
      <c r="O1061" s="5579" t="s">
        <v>1690</v>
      </c>
      <c r="P1061" s="5580"/>
      <c r="Q1061" s="5581"/>
      <c r="R1061" s="5582" t="str">
        <f>IMAGE("https://raw.githubusercontent.com/msikma/pokesprite/master/items/mega-stone/pidgeotite.png",3)</f>
        <v/>
      </c>
      <c r="S1061" s="5565"/>
      <c r="T1061" s="5579" t="s">
        <v>685</v>
      </c>
      <c r="U1061" s="5580"/>
      <c r="V1061" s="5581"/>
      <c r="W1061" s="5582" t="str">
        <f>IMAGE("https://raw.githubusercontent.com/msikma/pokesprite/master/items/gem/fighting.png",3)</f>
        <v/>
      </c>
      <c r="X1061" s="5565"/>
      <c r="Y1061" s="5579" t="s">
        <v>1004</v>
      </c>
      <c r="Z1061" s="5580"/>
      <c r="AA1061" s="5581"/>
      <c r="AB1061" s="5582" t="str">
        <f>IMAGE("https://raw.githubusercontent.com/msikma/pokesprite/master/items/z-crystals/eevium-z--held.png",3)</f>
        <v/>
      </c>
      <c r="AC1061" s="5565"/>
      <c r="AD1061" s="5579" t="s">
        <v>541</v>
      </c>
      <c r="AE1061" s="5580"/>
      <c r="AF1061" s="5581"/>
      <c r="AG1061" s="5582" t="str">
        <f>IMAGE("https://raw.githubusercontent.com/msikma/pokesprite/master/items/hold-item/life-orb.png",3)</f>
        <v/>
      </c>
      <c r="AH1061" s="5562"/>
      <c r="AI1061" s="3466"/>
    </row>
    <row r="1062" ht="20.25" customHeight="1">
      <c r="A1062" s="3453"/>
      <c r="B1062" s="5563"/>
      <c r="C1062" s="5583"/>
      <c r="D1062" s="5565"/>
      <c r="E1062" s="5570" t="s">
        <v>182</v>
      </c>
      <c r="F1062" s="5571"/>
      <c r="G1062" s="5584"/>
      <c r="H1062" s="5585" t="str">
        <f>IMAGE("https://raw.githubusercontent.com/msikma/pokesprite/master/misc/types/gen8/ground.png",4,20,20)</f>
        <v/>
      </c>
      <c r="I1062" s="5565"/>
      <c r="J1062" s="5570" t="s">
        <v>1691</v>
      </c>
      <c r="K1062" s="5571"/>
      <c r="L1062" s="5584"/>
      <c r="M1062" s="5585" t="str">
        <f>IMAGE("https://raw.githubusercontent.com/msikma/pokesprite/master/misc/types/gen8/dark.png",4,20,20)</f>
        <v/>
      </c>
      <c r="N1062" s="5565"/>
      <c r="O1062" s="5570" t="s">
        <v>546</v>
      </c>
      <c r="P1062" s="5571"/>
      <c r="Q1062" s="5584"/>
      <c r="R1062" s="5585" t="str">
        <f>IMAGE("https://raw.githubusercontent.com/msikma/pokesprite/master/misc/types/gen8/flying.png",4,20,20)</f>
        <v/>
      </c>
      <c r="S1062" s="5565"/>
      <c r="T1062" s="5570" t="s">
        <v>583</v>
      </c>
      <c r="U1062" s="5571"/>
      <c r="V1062" s="5584"/>
      <c r="W1062" s="5585" t="str">
        <f>IMAGE("https://raw.githubusercontent.com/msikma/pokesprite/master/misc/types/gen8/fighting.png",4,20,20)</f>
        <v/>
      </c>
      <c r="X1062" s="5565"/>
      <c r="Y1062" s="5570" t="s">
        <v>1007</v>
      </c>
      <c r="Z1062" s="5571"/>
      <c r="AA1062" s="5584"/>
      <c r="AB1062" s="5585" t="str">
        <f>IMAGE("https://raw.githubusercontent.com/msikma/pokesprite/master/misc/types/gen8/normal.png",4,20,20)</f>
        <v/>
      </c>
      <c r="AC1062" s="5565"/>
      <c r="AD1062" s="5570" t="s">
        <v>549</v>
      </c>
      <c r="AE1062" s="5571"/>
      <c r="AF1062" s="5584"/>
      <c r="AG1062" s="5585" t="str">
        <f>IMAGE("https://raw.githubusercontent.com/msikma/pokesprite/master/misc/types/gen8/ground.png",4,20,20)</f>
        <v/>
      </c>
      <c r="AH1062" s="5562"/>
      <c r="AI1062" s="3466"/>
    </row>
    <row r="1063" ht="20.25" customHeight="1">
      <c r="A1063" s="3453"/>
      <c r="B1063" s="5563"/>
      <c r="C1063" s="5569"/>
      <c r="D1063" s="5565"/>
      <c r="E1063" s="5574" t="s">
        <v>785</v>
      </c>
      <c r="F1063" s="5575"/>
      <c r="G1063" s="5586"/>
      <c r="H1063" s="5587" t="str">
        <f>IMAGE("https://raw.githubusercontent.com/msikma/pokesprite/master/misc/types/gen8/ice.png",4,20,20)</f>
        <v/>
      </c>
      <c r="I1063" s="5565"/>
      <c r="J1063" s="5574" t="s">
        <v>1692</v>
      </c>
      <c r="K1063" s="5575"/>
      <c r="L1063" s="5586"/>
      <c r="M1063" s="5587" t="str">
        <f t="shared" ref="M1063:M1064" si="33">IMAGE("https://raw.githubusercontent.com/msikma/pokesprite/master/misc/types/gen8/water.png",4,20,20)</f>
        <v/>
      </c>
      <c r="N1063" s="5565"/>
      <c r="O1063" s="5574" t="s">
        <v>590</v>
      </c>
      <c r="P1063" s="5575"/>
      <c r="Q1063" s="5586"/>
      <c r="R1063" s="5587" t="str">
        <f>IMAGE("https://raw.githubusercontent.com/msikma/pokesprite/master/misc/types/gen8/fighting.png",4,20,20)</f>
        <v/>
      </c>
      <c r="S1063" s="5565"/>
      <c r="T1063" s="5574" t="s">
        <v>694</v>
      </c>
      <c r="U1063" s="5575"/>
      <c r="V1063" s="5586"/>
      <c r="W1063" s="5587" t="str">
        <f>IMAGE("https://raw.githubusercontent.com/msikma/pokesprite/master/misc/types/gen8/fire.png",4,20,20)</f>
        <v/>
      </c>
      <c r="X1063" s="5565"/>
      <c r="Y1063" s="5574" t="s">
        <v>1693</v>
      </c>
      <c r="Z1063" s="5575"/>
      <c r="AA1063" s="5586"/>
      <c r="AB1063" s="5587" t="str">
        <f>IMAGE("https://raw.githubusercontent.com/msikma/pokesprite/master/misc/types/gen8/grass.png",4,20,20)</f>
        <v/>
      </c>
      <c r="AC1063" s="5565"/>
      <c r="AD1063" s="5574" t="s">
        <v>617</v>
      </c>
      <c r="AE1063" s="5575"/>
      <c r="AF1063" s="5586"/>
      <c r="AG1063" s="5587" t="str">
        <f>IMAGE("https://raw.githubusercontent.com/msikma/pokesprite/master/misc/types/gen8/dragon.png",4,20,20)</f>
        <v/>
      </c>
      <c r="AH1063" s="5562"/>
      <c r="AI1063" s="3466"/>
    </row>
    <row r="1064" ht="20.25" customHeight="1">
      <c r="A1064" s="3453"/>
      <c r="B1064" s="5563"/>
      <c r="C1064" s="5569"/>
      <c r="D1064" s="5565"/>
      <c r="E1064" s="5574" t="s">
        <v>1694</v>
      </c>
      <c r="F1064" s="5575"/>
      <c r="G1064" s="5586"/>
      <c r="H1064" s="5587" t="str">
        <f t="shared" ref="H1064:H1065" si="34">IMAGE("https://raw.githubusercontent.com/msikma/pokesprite/master/misc/types/gen8/ghost.png",4,20,20)</f>
        <v/>
      </c>
      <c r="I1064" s="5565"/>
      <c r="J1064" s="5574" t="s">
        <v>974</v>
      </c>
      <c r="K1064" s="5575"/>
      <c r="L1064" s="5586"/>
      <c r="M1064" s="5587" t="str">
        <f t="shared" si="33"/>
        <v/>
      </c>
      <c r="N1064" s="5565"/>
      <c r="O1064" s="5574" t="s">
        <v>1243</v>
      </c>
      <c r="P1064" s="5575"/>
      <c r="Q1064" s="5586"/>
      <c r="R1064" s="5587" t="str">
        <f>IMAGE("https://raw.githubusercontent.com/msikma/pokesprite/master/misc/types/gen8/fire.png",4,20,20)</f>
        <v/>
      </c>
      <c r="S1064" s="5565"/>
      <c r="T1064" s="5574" t="s">
        <v>905</v>
      </c>
      <c r="U1064" s="5575"/>
      <c r="V1064" s="5586"/>
      <c r="W1064" s="5587" t="str">
        <f>IMAGE("https://raw.githubusercontent.com/msikma/pokesprite/master/misc/types/gen8/electric.png",4,20,20)</f>
        <v/>
      </c>
      <c r="X1064" s="5565"/>
      <c r="Y1064" s="5574" t="s">
        <v>1583</v>
      </c>
      <c r="Z1064" s="5575"/>
      <c r="AA1064" s="5586"/>
      <c r="AB1064" s="5587" t="str">
        <f>IMAGE("https://raw.githubusercontent.com/msikma/pokesprite/master/misc/types/gen8/fighting.png",4,20,20)</f>
        <v/>
      </c>
      <c r="AC1064" s="5565"/>
      <c r="AD1064" s="5574" t="s">
        <v>612</v>
      </c>
      <c r="AE1064" s="5575"/>
      <c r="AF1064" s="5586"/>
      <c r="AG1064" s="5587" t="str">
        <f>IMAGE("https://raw.githubusercontent.com/msikma/pokesprite/master/misc/types/gen8/bug.png",4,20,20)</f>
        <v/>
      </c>
      <c r="AH1064" s="5562"/>
      <c r="AI1064" s="3466"/>
    </row>
    <row r="1065" ht="21.0" customHeight="1">
      <c r="A1065" s="3453"/>
      <c r="B1065" s="5563"/>
      <c r="C1065" s="5569"/>
      <c r="D1065" s="5565"/>
      <c r="E1065" s="5588" t="s">
        <v>148</v>
      </c>
      <c r="F1065" s="5589"/>
      <c r="G1065" s="5590"/>
      <c r="H1065" s="5591" t="str">
        <f t="shared" si="34"/>
        <v/>
      </c>
      <c r="I1065" s="5565"/>
      <c r="J1065" s="5588" t="s">
        <v>624</v>
      </c>
      <c r="K1065" s="5589"/>
      <c r="L1065" s="5590"/>
      <c r="M1065" s="5591" t="str">
        <f>IMAGE("https://raw.githubusercontent.com/msikma/pokesprite/master/misc/types/gen8/fighting.png",4,20,20)</f>
        <v/>
      </c>
      <c r="N1065" s="5565"/>
      <c r="O1065" s="5588" t="s">
        <v>612</v>
      </c>
      <c r="P1065" s="5589"/>
      <c r="Q1065" s="5590"/>
      <c r="R1065" s="5591" t="str">
        <f>IMAGE("https://raw.githubusercontent.com/msikma/pokesprite/master/misc/types/gen8/bug.png",4,20,20)</f>
        <v/>
      </c>
      <c r="S1065" s="5565"/>
      <c r="T1065" s="5588" t="s">
        <v>742</v>
      </c>
      <c r="U1065" s="5589"/>
      <c r="V1065" s="5590"/>
      <c r="W1065" s="5591" t="str">
        <f>IMAGE("https://raw.githubusercontent.com/msikma/pokesprite/master/misc/types/gen8/grass.png",4,20,20)</f>
        <v/>
      </c>
      <c r="X1065" s="5565"/>
      <c r="Y1065" s="5588" t="s">
        <v>579</v>
      </c>
      <c r="Z1065" s="5589"/>
      <c r="AA1065" s="5590"/>
      <c r="AB1065" s="5591" t="str">
        <f>IMAGE("https://raw.githubusercontent.com/msikma/pokesprite/master/misc/types/gen8/dark.png",4,20,20)</f>
        <v/>
      </c>
      <c r="AC1065" s="5565"/>
      <c r="AD1065" s="5588" t="s">
        <v>621</v>
      </c>
      <c r="AE1065" s="5589"/>
      <c r="AF1065" s="5590"/>
      <c r="AG1065" s="5591" t="str">
        <f>IMAGE("https://raw.githubusercontent.com/msikma/pokesprite/master/misc/types/gen8/rock.png",4,20,20)</f>
        <v/>
      </c>
      <c r="AH1065" s="5562"/>
      <c r="AI1065" s="3466"/>
    </row>
    <row r="1066" ht="3.0" customHeight="1">
      <c r="A1066" s="3524"/>
      <c r="B1066" s="5592"/>
      <c r="C1066" s="5593"/>
      <c r="D1066" s="5594"/>
      <c r="E1066" s="5595"/>
      <c r="F1066" s="5595"/>
      <c r="G1066" s="5595"/>
      <c r="H1066" s="5596"/>
      <c r="I1066" s="5594"/>
      <c r="J1066" s="5595"/>
      <c r="K1066" s="5595"/>
      <c r="L1066" s="5595"/>
      <c r="M1066" s="5595"/>
      <c r="N1066" s="5594"/>
      <c r="O1066" s="5595"/>
      <c r="P1066" s="5595"/>
      <c r="Q1066" s="5595"/>
      <c r="R1066" s="5595"/>
      <c r="S1066" s="5594"/>
      <c r="T1066" s="5595"/>
      <c r="U1066" s="5595"/>
      <c r="V1066" s="5595"/>
      <c r="W1066" s="5595"/>
      <c r="X1066" s="5594"/>
      <c r="Y1066" s="5595"/>
      <c r="Z1066" s="5595"/>
      <c r="AA1066" s="5595"/>
      <c r="AB1066" s="5595"/>
      <c r="AC1066" s="5594"/>
      <c r="AD1066" s="5595"/>
      <c r="AE1066" s="5595"/>
      <c r="AF1066" s="5595"/>
      <c r="AG1066" s="5595"/>
      <c r="AH1066" s="5597"/>
      <c r="AI1066" s="3534"/>
    </row>
    <row r="1067" ht="16.5" customHeight="1">
      <c r="A1067" s="3535"/>
      <c r="B1067" s="5598"/>
      <c r="C1067" s="5593"/>
      <c r="D1067" s="5599"/>
      <c r="E1067" s="5600" t="s">
        <v>512</v>
      </c>
      <c r="F1067" s="606"/>
      <c r="G1067" s="606"/>
      <c r="H1067" s="607"/>
      <c r="I1067" s="5599"/>
      <c r="J1067" s="5600" t="s">
        <v>512</v>
      </c>
      <c r="K1067" s="606"/>
      <c r="L1067" s="606"/>
      <c r="M1067" s="607"/>
      <c r="N1067" s="5599"/>
      <c r="O1067" s="5600" t="s">
        <v>512</v>
      </c>
      <c r="P1067" s="606"/>
      <c r="Q1067" s="606"/>
      <c r="R1067" s="607"/>
      <c r="S1067" s="5599"/>
      <c r="T1067" s="5600" t="s">
        <v>512</v>
      </c>
      <c r="U1067" s="606"/>
      <c r="V1067" s="606"/>
      <c r="W1067" s="607"/>
      <c r="X1067" s="5599"/>
      <c r="Y1067" s="5600" t="s">
        <v>512</v>
      </c>
      <c r="Z1067" s="606"/>
      <c r="AA1067" s="606"/>
      <c r="AB1067" s="607"/>
      <c r="AC1067" s="5599"/>
      <c r="AD1067" s="5600" t="s">
        <v>512</v>
      </c>
      <c r="AE1067" s="606"/>
      <c r="AF1067" s="606"/>
      <c r="AG1067" s="607"/>
      <c r="AH1067" s="5601"/>
      <c r="AI1067" s="3543"/>
    </row>
    <row r="1068" ht="16.5" customHeight="1">
      <c r="A1068" s="3535"/>
      <c r="B1068" s="5598"/>
      <c r="C1068" s="5593"/>
      <c r="D1068" s="5602"/>
      <c r="E1068" s="5603" t="s">
        <v>513</v>
      </c>
      <c r="F1068" s="5604">
        <f t="array" ref="F1068">IFERROR(VLOOKUP(E1055,Dex!$B$3:$N1361,8,FALSE),"")</f>
        <v>70</v>
      </c>
      <c r="G1068" s="5605" t="str">
        <f t="array" ref="G1068">IFERROR(VLOOKUP(F1068,Dex!$P$22:$Q$276,2,FALSE),"")</f>
        <v/>
      </c>
      <c r="H1068" s="5606"/>
      <c r="I1068" s="5602"/>
      <c r="J1068" s="5603" t="s">
        <v>513</v>
      </c>
      <c r="K1068" s="5604">
        <f t="array" ref="K1068">IFERROR(VLOOKUP(J1055,Dex!$B$3:$N1361,8,FALSE),"")</f>
        <v>95</v>
      </c>
      <c r="L1068" s="5605" t="str">
        <f t="array" ref="L1068">IFERROR(VLOOKUP(K1068,Dex!$P$22:$Q$276,2,FALSE),"")</f>
        <v/>
      </c>
      <c r="M1068" s="5606"/>
      <c r="N1068" s="5602"/>
      <c r="O1068" s="5603" t="s">
        <v>513</v>
      </c>
      <c r="P1068" s="5604">
        <f t="array" ref="P1068">IFERROR(VLOOKUP(O1055,Dex!$B$3:$N1361,8,FALSE),"")</f>
        <v>83</v>
      </c>
      <c r="Q1068" s="5605" t="str">
        <f t="array" ref="Q1068">IFERROR(VLOOKUP(P1068,Dex!$P$22:$Q$276,2,FALSE),"")</f>
        <v/>
      </c>
      <c r="R1068" s="5606"/>
      <c r="S1068" s="5602"/>
      <c r="T1068" s="5603" t="s">
        <v>513</v>
      </c>
      <c r="U1068" s="5604">
        <f t="array" ref="U1068">IFERROR(VLOOKUP(T1055,Dex!$B$3:$N1361,8,FALSE),"")</f>
        <v>110</v>
      </c>
      <c r="V1068" s="5605" t="str">
        <f t="array" ref="V1068">IFERROR(VLOOKUP(U1068,Dex!$P$22:$Q$276,2,FALSE),"")</f>
        <v/>
      </c>
      <c r="W1068" s="5606"/>
      <c r="X1068" s="5602"/>
      <c r="Y1068" s="5603" t="s">
        <v>513</v>
      </c>
      <c r="Z1068" s="5604">
        <f t="array" ref="Z1068">IFERROR(VLOOKUP(Y1055,Dex!$B$3:$N1361,8,FALSE),"")</f>
        <v>65</v>
      </c>
      <c r="AA1068" s="5605" t="str">
        <f t="array" ref="AA1068">IFERROR(VLOOKUP(Z1068,Dex!$P$22:$Q$276,2,FALSE),"")</f>
        <v/>
      </c>
      <c r="AB1068" s="5606"/>
      <c r="AC1068" s="5602"/>
      <c r="AD1068" s="5603" t="s">
        <v>513</v>
      </c>
      <c r="AE1068" s="5604">
        <f t="array" ref="AE1068">IFERROR(VLOOKUP(AD1055,Dex!$B$3:$N1361,8,FALSE),"")</f>
        <v>100</v>
      </c>
      <c r="AF1068" s="5605" t="str">
        <f t="array" ref="AF1068">IFERROR(VLOOKUP(AE1068,Dex!$P$22:$Q$276,2,FALSE),"")</f>
        <v/>
      </c>
      <c r="AG1068" s="5606"/>
      <c r="AH1068" s="5601"/>
      <c r="AI1068" s="3543"/>
    </row>
    <row r="1069" ht="16.5" customHeight="1">
      <c r="A1069" s="3535"/>
      <c r="B1069" s="5598"/>
      <c r="C1069" s="5593"/>
      <c r="D1069" s="5602"/>
      <c r="E1069" s="5607" t="s">
        <v>514</v>
      </c>
      <c r="F1069" s="5608">
        <f t="array" ref="F1069">IFERROR(VLOOKUP(E1055,Dex!$B$3:$N1361,9,FALSE),"")</f>
        <v>95</v>
      </c>
      <c r="G1069" s="5609" t="str">
        <f t="array" ref="G1069">IFERROR(VLOOKUP(F1069,Dex!$P$22:$Q$276,2,FALSE),"")</f>
        <v/>
      </c>
      <c r="H1069" s="5610"/>
      <c r="I1069" s="5602"/>
      <c r="J1069" s="5607" t="s">
        <v>514</v>
      </c>
      <c r="K1069" s="5608">
        <f t="array" ref="K1069">IFERROR(VLOOKUP(J1055,Dex!$B$3:$N1361,9,FALSE),"")</f>
        <v>108</v>
      </c>
      <c r="L1069" s="5609" t="str">
        <f t="array" ref="L1069">IFERROR(VLOOKUP(K1069,Dex!$P$22:$Q$276,2,FALSE),"")</f>
        <v/>
      </c>
      <c r="M1069" s="5610"/>
      <c r="N1069" s="5602"/>
      <c r="O1069" s="5607" t="s">
        <v>514</v>
      </c>
      <c r="P1069" s="5608">
        <f t="array" ref="P1069">IFERROR(VLOOKUP(O1055,Dex!$B$3:$N1361,9,FALSE),"")</f>
        <v>80</v>
      </c>
      <c r="Q1069" s="5609" t="str">
        <f t="array" ref="Q1069">IFERROR(VLOOKUP(P1069,Dex!$P$22:$Q$276,2,FALSE),"")</f>
        <v/>
      </c>
      <c r="R1069" s="5610"/>
      <c r="S1069" s="5602"/>
      <c r="T1069" s="5607" t="s">
        <v>514</v>
      </c>
      <c r="U1069" s="5608">
        <f t="array" ref="U1069">IFERROR(VLOOKUP(T1055,Dex!$B$3:$N1361,9,FALSE),"")</f>
        <v>123</v>
      </c>
      <c r="V1069" s="5609" t="str">
        <f t="array" ref="V1069">IFERROR(VLOOKUP(U1069,Dex!$P$22:$Q$276,2,FALSE),"")</f>
        <v/>
      </c>
      <c r="W1069" s="5610"/>
      <c r="X1069" s="5602"/>
      <c r="Y1069" s="5607" t="s">
        <v>514</v>
      </c>
      <c r="Z1069" s="5608">
        <f t="array" ref="Z1069">IFERROR(VLOOKUP(Y1055,Dex!$B$3:$N1361,9,FALSE),"")</f>
        <v>130</v>
      </c>
      <c r="AA1069" s="5609" t="str">
        <f t="array" ref="AA1069">IFERROR(VLOOKUP(Z1069,Dex!$P$22:$Q$276,2,FALSE),"")</f>
        <v/>
      </c>
      <c r="AB1069" s="5610"/>
      <c r="AC1069" s="5602"/>
      <c r="AD1069" s="5607" t="s">
        <v>514</v>
      </c>
      <c r="AE1069" s="5608">
        <f t="array" ref="AE1069">IFERROR(VLOOKUP(AD1055,Dex!$B$3:$N1361,9,FALSE),"")</f>
        <v>100</v>
      </c>
      <c r="AF1069" s="5609" t="str">
        <f t="array" ref="AF1069">IFERROR(VLOOKUP(AE1069,Dex!$P$22:$Q$276,2,FALSE),"")</f>
        <v/>
      </c>
      <c r="AG1069" s="5610"/>
      <c r="AH1069" s="5601"/>
      <c r="AI1069" s="3543"/>
    </row>
    <row r="1070" ht="16.5" customHeight="1">
      <c r="A1070" s="3535"/>
      <c r="B1070" s="5598"/>
      <c r="C1070" s="5593"/>
      <c r="D1070" s="5602"/>
      <c r="E1070" s="5607" t="s">
        <v>515</v>
      </c>
      <c r="F1070" s="5608">
        <f t="array" ref="F1070">IFERROR(VLOOKUP(E1055,Dex!$B$3:$N1361,10,FALSE),"")</f>
        <v>70</v>
      </c>
      <c r="G1070" s="5609" t="str">
        <f t="array" ref="G1070">IFERROR(VLOOKUP(F1070,Dex!$P$22:$Q$276,2,FALSE),"")</f>
        <v/>
      </c>
      <c r="H1070" s="5610"/>
      <c r="I1070" s="5602"/>
      <c r="J1070" s="5607" t="s">
        <v>515</v>
      </c>
      <c r="K1070" s="5608">
        <f t="array" ref="K1070">IFERROR(VLOOKUP(J1055,Dex!$B$3:$N1361,10,FALSE),"")</f>
        <v>85</v>
      </c>
      <c r="L1070" s="5609" t="str">
        <f t="array" ref="L1070">IFERROR(VLOOKUP(K1070,Dex!$P$22:$Q$276,2,FALSE),"")</f>
        <v/>
      </c>
      <c r="M1070" s="5610"/>
      <c r="N1070" s="5602"/>
      <c r="O1070" s="5607" t="s">
        <v>515</v>
      </c>
      <c r="P1070" s="5608">
        <f t="array" ref="P1070">IFERROR(VLOOKUP(O1055,Dex!$B$3:$N1361,10,FALSE),"")</f>
        <v>80</v>
      </c>
      <c r="Q1070" s="5609" t="str">
        <f t="array" ref="Q1070">IFERROR(VLOOKUP(P1070,Dex!$P$22:$Q$276,2,FALSE),"")</f>
        <v/>
      </c>
      <c r="R1070" s="5610"/>
      <c r="S1070" s="5602"/>
      <c r="T1070" s="5607" t="s">
        <v>515</v>
      </c>
      <c r="U1070" s="5608">
        <f t="array" ref="U1070">IFERROR(VLOOKUP(T1055,Dex!$B$3:$N1361,10,FALSE),"")</f>
        <v>65</v>
      </c>
      <c r="V1070" s="5609" t="str">
        <f t="array" ref="V1070">IFERROR(VLOOKUP(U1070,Dex!$P$22:$Q$276,2,FALSE),"")</f>
        <v/>
      </c>
      <c r="W1070" s="5610"/>
      <c r="X1070" s="5602"/>
      <c r="Y1070" s="5607" t="s">
        <v>515</v>
      </c>
      <c r="Z1070" s="5608">
        <f t="array" ref="Z1070">IFERROR(VLOOKUP(Y1055,Dex!$B$3:$N1361,10,FALSE),"")</f>
        <v>110</v>
      </c>
      <c r="AA1070" s="5609" t="str">
        <f t="array" ref="AA1070">IFERROR(VLOOKUP(Z1070,Dex!$P$22:$Q$276,2,FALSE),"")</f>
        <v/>
      </c>
      <c r="AB1070" s="5610"/>
      <c r="AC1070" s="5602"/>
      <c r="AD1070" s="5607" t="s">
        <v>515</v>
      </c>
      <c r="AE1070" s="5608">
        <f t="array" ref="AE1070">IFERROR(VLOOKUP(AD1055,Dex!$B$3:$N1361,10,FALSE),"")</f>
        <v>80</v>
      </c>
      <c r="AF1070" s="5609" t="str">
        <f t="array" ref="AF1070">IFERROR(VLOOKUP(AE1070,Dex!$P$22:$Q$276,2,FALSE),"")</f>
        <v/>
      </c>
      <c r="AG1070" s="5610"/>
      <c r="AH1070" s="5601"/>
      <c r="AI1070" s="3543"/>
    </row>
    <row r="1071" ht="16.5" customHeight="1">
      <c r="A1071" s="3535"/>
      <c r="B1071" s="5598"/>
      <c r="C1071" s="5593"/>
      <c r="D1071" s="5602"/>
      <c r="E1071" s="5607" t="s">
        <v>516</v>
      </c>
      <c r="F1071" s="5608">
        <f t="array" ref="F1071">IFERROR(VLOOKUP(E1055,Dex!$B$3:$N1361,11,FALSE),"")</f>
        <v>95</v>
      </c>
      <c r="G1071" s="5609" t="str">
        <f t="array" ref="G1071">IFERROR(VLOOKUP(F1071,Dex!$P$22:$Q$276,2,FALSE),"")</f>
        <v/>
      </c>
      <c r="H1071" s="5610"/>
      <c r="I1071" s="5602"/>
      <c r="J1071" s="5607" t="s">
        <v>516</v>
      </c>
      <c r="K1071" s="5608">
        <f t="array" ref="K1071">IFERROR(VLOOKUP(J1055,Dex!$B$3:$N1361,11,FALSE),"")</f>
        <v>95</v>
      </c>
      <c r="L1071" s="5609" t="str">
        <f t="array" ref="L1071">IFERROR(VLOOKUP(K1071,Dex!$P$22:$Q$276,2,FALSE),"")</f>
        <v/>
      </c>
      <c r="M1071" s="5610"/>
      <c r="N1071" s="5602"/>
      <c r="O1071" s="5607" t="s">
        <v>516</v>
      </c>
      <c r="P1071" s="5608">
        <f t="array" ref="P1071">IFERROR(VLOOKUP(O1055,Dex!$B$3:$N1361,11,FALSE),"")</f>
        <v>135</v>
      </c>
      <c r="Q1071" s="5609" t="str">
        <f t="array" ref="Q1071">IFERROR(VLOOKUP(P1071,Dex!$P$22:$Q$276,2,FALSE),"")</f>
        <v/>
      </c>
      <c r="R1071" s="5610"/>
      <c r="S1071" s="5602"/>
      <c r="T1071" s="5607" t="s">
        <v>516</v>
      </c>
      <c r="U1071" s="5608">
        <f t="array" ref="U1071">IFERROR(VLOOKUP(T1055,Dex!$B$3:$N1361,11,FALSE),"")</f>
        <v>100</v>
      </c>
      <c r="V1071" s="5609" t="str">
        <f t="array" ref="V1071">IFERROR(VLOOKUP(U1071,Dex!$P$22:$Q$276,2,FALSE),"")</f>
        <v/>
      </c>
      <c r="W1071" s="5610"/>
      <c r="X1071" s="5602"/>
      <c r="Y1071" s="5607" t="s">
        <v>516</v>
      </c>
      <c r="Z1071" s="5608">
        <f t="array" ref="Z1071">IFERROR(VLOOKUP(Y1055,Dex!$B$3:$N1361,11,FALSE),"")</f>
        <v>60</v>
      </c>
      <c r="AA1071" s="5609" t="str">
        <f t="array" ref="AA1071">IFERROR(VLOOKUP(Z1071,Dex!$P$22:$Q$276,2,FALSE),"")</f>
        <v/>
      </c>
      <c r="AB1071" s="5610"/>
      <c r="AC1071" s="5602"/>
      <c r="AD1071" s="5607" t="s">
        <v>516</v>
      </c>
      <c r="AE1071" s="5608">
        <f t="array" ref="AE1071">IFERROR(VLOOKUP(AD1055,Dex!$B$3:$N1361,11,FALSE),"")</f>
        <v>100</v>
      </c>
      <c r="AF1071" s="5609" t="str">
        <f t="array" ref="AF1071">IFERROR(VLOOKUP(AE1071,Dex!$P$22:$Q$276,2,FALSE),"")</f>
        <v/>
      </c>
      <c r="AG1071" s="5610"/>
      <c r="AH1071" s="5601"/>
      <c r="AI1071" s="3543"/>
    </row>
    <row r="1072" ht="16.5" customHeight="1">
      <c r="A1072" s="3535"/>
      <c r="B1072" s="5598"/>
      <c r="C1072" s="5611"/>
      <c r="D1072" s="5602"/>
      <c r="E1072" s="5607" t="s">
        <v>517</v>
      </c>
      <c r="F1072" s="5608">
        <f t="array" ref="F1072">IFERROR(VLOOKUP(E1055,Dex!$B$3:$N1361,12,FALSE),"")</f>
        <v>70</v>
      </c>
      <c r="G1072" s="5609" t="str">
        <f t="array" ref="G1072">IFERROR(VLOOKUP(F1072,Dex!$P$22:$Q$276,2,FALSE),"")</f>
        <v/>
      </c>
      <c r="H1072" s="5610"/>
      <c r="I1072" s="5602"/>
      <c r="J1072" s="5607" t="s">
        <v>517</v>
      </c>
      <c r="K1072" s="5608">
        <f t="array" ref="K1072">IFERROR(VLOOKUP(J1055,Dex!$B$3:$N1361,12,FALSE),"")</f>
        <v>70</v>
      </c>
      <c r="L1072" s="5609" t="str">
        <f t="array" ref="L1072">IFERROR(VLOOKUP(K1072,Dex!$P$22:$Q$276,2,FALSE),"")</f>
        <v/>
      </c>
      <c r="M1072" s="5610"/>
      <c r="N1072" s="5602"/>
      <c r="O1072" s="5607" t="s">
        <v>517</v>
      </c>
      <c r="P1072" s="5608">
        <f t="array" ref="P1072">IFERROR(VLOOKUP(O1055,Dex!$B$3:$N1361,12,FALSE),"")</f>
        <v>80</v>
      </c>
      <c r="Q1072" s="5609" t="str">
        <f t="array" ref="Q1072">IFERROR(VLOOKUP(P1072,Dex!$P$22:$Q$276,2,FALSE),"")</f>
        <v/>
      </c>
      <c r="R1072" s="5610"/>
      <c r="S1072" s="5602"/>
      <c r="T1072" s="5607" t="s">
        <v>517</v>
      </c>
      <c r="U1072" s="5608">
        <f t="array" ref="U1072">IFERROR(VLOOKUP(T1055,Dex!$B$3:$N1361,12,FALSE),"")</f>
        <v>65</v>
      </c>
      <c r="V1072" s="5609" t="str">
        <f t="array" ref="V1072">IFERROR(VLOOKUP(U1072,Dex!$P$22:$Q$276,2,FALSE),"")</f>
        <v/>
      </c>
      <c r="W1072" s="5610"/>
      <c r="X1072" s="5602"/>
      <c r="Y1072" s="5607" t="s">
        <v>517</v>
      </c>
      <c r="Z1072" s="5608">
        <f t="array" ref="Z1072">IFERROR(VLOOKUP(Y1055,Dex!$B$3:$N1361,12,FALSE),"")</f>
        <v>65</v>
      </c>
      <c r="AA1072" s="5609" t="str">
        <f t="array" ref="AA1072">IFERROR(VLOOKUP(Z1072,Dex!$P$22:$Q$276,2,FALSE),"")</f>
        <v/>
      </c>
      <c r="AB1072" s="5610"/>
      <c r="AC1072" s="5602"/>
      <c r="AD1072" s="5607" t="s">
        <v>517</v>
      </c>
      <c r="AE1072" s="5608">
        <f t="array" ref="AE1072">IFERROR(VLOOKUP(AD1055,Dex!$B$3:$N1361,12,FALSE),"")</f>
        <v>80</v>
      </c>
      <c r="AF1072" s="5609" t="str">
        <f t="array" ref="AF1072">IFERROR(VLOOKUP(AE1072,Dex!$P$22:$Q$276,2,FALSE),"")</f>
        <v/>
      </c>
      <c r="AG1072" s="5610"/>
      <c r="AH1072" s="5601"/>
      <c r="AI1072" s="3543"/>
    </row>
    <row r="1073" ht="16.5" customHeight="1">
      <c r="A1073" s="3535"/>
      <c r="B1073" s="5612"/>
      <c r="C1073" s="1426" t="s">
        <v>745</v>
      </c>
      <c r="D1073" s="5613"/>
      <c r="E1073" s="5614" t="s">
        <v>518</v>
      </c>
      <c r="F1073" s="5615">
        <f t="array" ref="F1073">IFERROR(VLOOKUP(E1055,Dex!$B$3:$N1361,13,FALSE),"")</f>
        <v>110</v>
      </c>
      <c r="G1073" s="5616" t="str">
        <f t="array" ref="G1073">IFERROR(VLOOKUP(F1073,Dex!$P$22:$Q$276,2,FALSE),"")</f>
        <v/>
      </c>
      <c r="H1073" s="5617"/>
      <c r="I1073" s="5613"/>
      <c r="J1073" s="5614" t="s">
        <v>518</v>
      </c>
      <c r="K1073" s="5615">
        <f t="array" ref="K1073">IFERROR(VLOOKUP(J1055,Dex!$B$3:$N1361,13,FALSE),"")</f>
        <v>90</v>
      </c>
      <c r="L1073" s="5616" t="str">
        <f t="array" ref="L1073">IFERROR(VLOOKUP(K1073,Dex!$P$22:$Q$276,2,FALSE),"")</f>
        <v/>
      </c>
      <c r="M1073" s="5617"/>
      <c r="N1073" s="5613"/>
      <c r="O1073" s="5614" t="s">
        <v>518</v>
      </c>
      <c r="P1073" s="5615">
        <f t="array" ref="P1073">IFERROR(VLOOKUP(O1055,Dex!$B$3:$N1361,13,FALSE),"")</f>
        <v>121</v>
      </c>
      <c r="Q1073" s="5616" t="str">
        <f t="array" ref="Q1073">IFERROR(VLOOKUP(P1073,Dex!$P$22:$Q$276,2,FALSE),"")</f>
        <v/>
      </c>
      <c r="R1073" s="5617"/>
      <c r="S1073" s="5613"/>
      <c r="T1073" s="5614" t="s">
        <v>518</v>
      </c>
      <c r="U1073" s="5615">
        <f t="array" ref="U1073">IFERROR(VLOOKUP(T1055,Dex!$B$3:$N1361,13,FALSE),"")</f>
        <v>65</v>
      </c>
      <c r="V1073" s="5618" t="str">
        <f t="array" ref="V1073">IFERROR(VLOOKUP(U1073,Dex!$P$22:$Q$276,2,FALSE),"")</f>
        <v/>
      </c>
      <c r="W1073" s="5619"/>
      <c r="X1073" s="5613"/>
      <c r="Y1073" s="5614" t="s">
        <v>518</v>
      </c>
      <c r="Z1073" s="5615">
        <f t="array" ref="Z1073">IFERROR(VLOOKUP(Y1055,Dex!$B$3:$N1361,13,FALSE),"")</f>
        <v>95</v>
      </c>
      <c r="AA1073" s="5616" t="str">
        <f t="array" ref="AA1073">IFERROR(VLOOKUP(Z1073,Dex!$P$22:$Q$276,2,FALSE),"")</f>
        <v/>
      </c>
      <c r="AB1073" s="5617"/>
      <c r="AC1073" s="5613"/>
      <c r="AD1073" s="5614" t="s">
        <v>518</v>
      </c>
      <c r="AE1073" s="5615">
        <f t="array" ref="AE1073">IFERROR(VLOOKUP(AD1055,Dex!$B$3:$N1361,13,FALSE),"")</f>
        <v>100</v>
      </c>
      <c r="AF1073" s="5616" t="str">
        <f t="array" ref="AF1073">IFERROR(VLOOKUP(AE1073,Dex!$P$22:$Q$276,2,FALSE),"")</f>
        <v/>
      </c>
      <c r="AG1073" s="5617"/>
      <c r="AH1073" s="5601"/>
      <c r="AI1073" s="3543"/>
    </row>
    <row r="1074" ht="16.5" customHeight="1">
      <c r="A1074" s="3535"/>
      <c r="B1074" s="5612"/>
      <c r="C1074" s="1427" t="s">
        <v>1695</v>
      </c>
      <c r="D1074" s="5620"/>
      <c r="E1074" s="5621" t="s">
        <v>519</v>
      </c>
      <c r="F1074" s="630"/>
      <c r="G1074" s="631"/>
      <c r="H1074" s="632">
        <f>ROUNDDOWN((ROUNDDOWN(((((2*F1073+31)*74)/100+5)),0))*1.1,0)</f>
        <v>209</v>
      </c>
      <c r="I1074" s="5620"/>
      <c r="J1074" s="5621" t="s">
        <v>519</v>
      </c>
      <c r="K1074" s="630"/>
      <c r="L1074" s="631"/>
      <c r="M1074" s="632">
        <f>ROUNDDOWN((ROUNDDOWN(((((2*K1073+31)*75)/100+5)),0))*1.1,0)</f>
        <v>179</v>
      </c>
      <c r="N1074" s="5620"/>
      <c r="O1074" s="5621" t="s">
        <v>519</v>
      </c>
      <c r="P1074" s="630"/>
      <c r="Q1074" s="631"/>
      <c r="R1074" s="632">
        <f>ROUNDDOWN((ROUNDDOWN(((((2*P1073+31)*76)/100+5)),0))*1.1,0)</f>
        <v>233</v>
      </c>
      <c r="S1074" s="5620"/>
      <c r="T1074" s="5622" t="s">
        <v>519</v>
      </c>
      <c r="U1074" s="635"/>
      <c r="V1074" s="636"/>
      <c r="W1074" s="632">
        <f>ROUNDDOWN((ROUNDDOWN(((((2*U1073+31)*76)/100+5)),0))*1.1,0)</f>
        <v>139</v>
      </c>
      <c r="X1074" s="5620"/>
      <c r="Y1074" s="5622" t="s">
        <v>519</v>
      </c>
      <c r="Z1074" s="635"/>
      <c r="AA1074" s="636"/>
      <c r="AB1074" s="632">
        <f>ROUNDDOWN((ROUNDDOWN(((((2*Z1073+31)*76)/100+5)),0))*1.1,0)</f>
        <v>189</v>
      </c>
      <c r="AC1074" s="5620"/>
      <c r="AD1074" s="5621" t="s">
        <v>519</v>
      </c>
      <c r="AE1074" s="630"/>
      <c r="AF1074" s="631"/>
      <c r="AG1074" s="632">
        <f>ROUNDDOWN((ROUNDDOWN(((((2*AE1073+31)*76)/100+5)),0))*1.1,0)</f>
        <v>198</v>
      </c>
      <c r="AH1074" s="5623"/>
      <c r="AI1074" s="3543"/>
    </row>
    <row r="1075" ht="16.5" customHeight="1">
      <c r="A1075" s="3535"/>
      <c r="B1075" s="5598"/>
      <c r="C1075" s="5624"/>
      <c r="D1075" s="5625"/>
      <c r="E1075" s="5624"/>
      <c r="F1075" s="5624"/>
      <c r="G1075" s="5624"/>
      <c r="H1075" s="5624"/>
      <c r="I1075" s="5625"/>
      <c r="J1075" s="5624"/>
      <c r="K1075" s="5624"/>
      <c r="L1075" s="5624"/>
      <c r="M1075" s="5624"/>
      <c r="N1075" s="5625"/>
      <c r="O1075" s="5624"/>
      <c r="P1075" s="5624"/>
      <c r="Q1075" s="5624"/>
      <c r="R1075" s="5624"/>
      <c r="S1075" s="5599"/>
      <c r="T1075" s="5626" t="s">
        <v>1489</v>
      </c>
      <c r="U1075" s="643"/>
      <c r="V1075" s="644"/>
      <c r="W1075" s="645">
        <f>ROUNDDOWN(W1074*1.5,0)</f>
        <v>208</v>
      </c>
      <c r="X1075" s="5627"/>
      <c r="Y1075" s="5626" t="s">
        <v>1013</v>
      </c>
      <c r="Z1075" s="643"/>
      <c r="AA1075" s="644"/>
      <c r="AB1075" s="3064">
        <f>AB1074*2</f>
        <v>378</v>
      </c>
      <c r="AC1075" s="5628"/>
      <c r="AD1075" s="5624"/>
      <c r="AE1075" s="5624"/>
      <c r="AF1075" s="5624"/>
      <c r="AG1075" s="5624"/>
      <c r="AH1075" s="5629"/>
      <c r="AI1075" s="3543"/>
    </row>
    <row r="1076" ht="15.0" customHeight="1">
      <c r="A1076" s="3453"/>
      <c r="B1076" s="5630"/>
      <c r="C1076" s="5631"/>
      <c r="D1076" s="5632"/>
      <c r="E1076" s="5631"/>
      <c r="F1076" s="5631"/>
      <c r="G1076" s="5631"/>
      <c r="H1076" s="5631"/>
      <c r="I1076" s="5632"/>
      <c r="J1076" s="5631"/>
      <c r="K1076" s="5631"/>
      <c r="L1076" s="5631"/>
      <c r="M1076" s="5631"/>
      <c r="N1076" s="5632"/>
      <c r="O1076" s="5631"/>
      <c r="P1076" s="5631"/>
      <c r="Q1076" s="5631"/>
      <c r="R1076" s="5631"/>
      <c r="S1076" s="5632"/>
      <c r="T1076" s="5633"/>
      <c r="U1076" s="5633"/>
      <c r="V1076" s="5633"/>
      <c r="W1076" s="5634"/>
      <c r="X1076" s="5632"/>
      <c r="Y1076" s="5633"/>
      <c r="Z1076" s="5633"/>
      <c r="AA1076" s="5633"/>
      <c r="AB1076" s="5634"/>
      <c r="AC1076" s="5632"/>
      <c r="AD1076" s="5631"/>
      <c r="AE1076" s="5631"/>
      <c r="AF1076" s="5631"/>
      <c r="AG1076" s="5631"/>
      <c r="AH1076" s="5635"/>
      <c r="AI1076" s="3466"/>
    </row>
    <row r="1077" ht="15.0" customHeight="1">
      <c r="A1077" s="3689"/>
      <c r="B1077" s="5636"/>
      <c r="C1077" s="5637"/>
      <c r="D1077" s="5638"/>
      <c r="E1077" s="5639"/>
      <c r="F1077" s="5639"/>
      <c r="G1077" s="5639"/>
      <c r="H1077" s="5639"/>
      <c r="I1077" s="5638"/>
      <c r="J1077" s="5639"/>
      <c r="K1077" s="5639"/>
      <c r="L1077" s="5639"/>
      <c r="M1077" s="5639"/>
      <c r="N1077" s="5638"/>
      <c r="O1077" s="5639"/>
      <c r="P1077" s="5639"/>
      <c r="Q1077" s="5639"/>
      <c r="R1077" s="5639"/>
      <c r="S1077" s="5638"/>
      <c r="T1077" s="5639"/>
      <c r="U1077" s="5639"/>
      <c r="V1077" s="5639"/>
      <c r="W1077" s="5639"/>
      <c r="X1077" s="5638"/>
      <c r="Y1077" s="5639"/>
      <c r="Z1077" s="5639"/>
      <c r="AA1077" s="5639"/>
      <c r="AB1077" s="5639"/>
      <c r="AC1077" s="5640"/>
      <c r="AD1077" s="5639"/>
      <c r="AE1077" s="5639"/>
      <c r="AF1077" s="5639"/>
      <c r="AG1077" s="5639"/>
      <c r="AH1077" s="5641"/>
      <c r="AI1077" s="3700"/>
    </row>
    <row r="1078" ht="15.0" customHeight="1">
      <c r="A1078" s="3446"/>
      <c r="B1078" s="5642"/>
      <c r="C1078" s="5643"/>
      <c r="D1078" s="5644"/>
      <c r="E1078" s="5645" t="s">
        <v>1696</v>
      </c>
      <c r="F1078" s="5646"/>
      <c r="G1078" s="5646"/>
      <c r="H1078" s="5646"/>
      <c r="I1078" s="5646"/>
      <c r="J1078" s="5646"/>
      <c r="K1078" s="5646"/>
      <c r="L1078" s="5646"/>
      <c r="M1078" s="5646"/>
      <c r="N1078" s="5646"/>
      <c r="O1078" s="5646"/>
      <c r="P1078" s="5646"/>
      <c r="Q1078" s="5646"/>
      <c r="R1078" s="5646"/>
      <c r="S1078" s="5646"/>
      <c r="T1078" s="5646"/>
      <c r="U1078" s="5646"/>
      <c r="V1078" s="5646"/>
      <c r="W1078" s="5646"/>
      <c r="X1078" s="5646"/>
      <c r="Y1078" s="5646"/>
      <c r="Z1078" s="5646"/>
      <c r="AA1078" s="5646"/>
      <c r="AB1078" s="5646"/>
      <c r="AC1078" s="5646"/>
      <c r="AD1078" s="5646"/>
      <c r="AE1078" s="5646"/>
      <c r="AF1078" s="5646"/>
      <c r="AG1078" s="5647"/>
      <c r="AH1078" s="5648"/>
      <c r="AI1078" s="3452"/>
    </row>
    <row r="1079" ht="96.75" customHeight="1">
      <c r="A1079" s="3689"/>
      <c r="B1079" s="5649"/>
      <c r="C1079" s="5650" t="str">
        <f>IMAGE("https://i.ibb.co/r4MDjgq/Burglar.png")</f>
        <v/>
      </c>
      <c r="D1079" s="5651"/>
      <c r="E1079" s="5652" t="str">
        <f t="array" ref="E1079">IFERROR(VLOOKUP(E1080,Dex!$B$3:$G1361,3,FALSE),"")</f>
        <v/>
      </c>
      <c r="F1079" s="1945"/>
      <c r="G1079" s="1945"/>
      <c r="H1079" s="1946"/>
      <c r="I1079" s="5651"/>
      <c r="J1079" s="5652" t="str">
        <f t="array" ref="J1079">IFERROR(VLOOKUP(J1080,Dex!$B$3:$G1361,3,FALSE),"")</f>
        <v/>
      </c>
      <c r="K1079" s="1945"/>
      <c r="L1079" s="1945"/>
      <c r="M1079" s="1946"/>
      <c r="N1079" s="5651"/>
      <c r="O1079" s="5652" t="str">
        <f t="array" ref="O1079">IFERROR(VLOOKUP(O1080,Dex!$B$3:$G1361,3,FALSE),"")</f>
        <v/>
      </c>
      <c r="P1079" s="1945"/>
      <c r="Q1079" s="1945"/>
      <c r="R1079" s="1946"/>
      <c r="S1079" s="5651"/>
      <c r="T1079" s="5652" t="str">
        <f t="array" ref="T1079">IFERROR(VLOOKUP(T1080,Dex!$B$3:$G1361,3,FALSE),"")</f>
        <v/>
      </c>
      <c r="U1079" s="1945"/>
      <c r="V1079" s="1945"/>
      <c r="W1079" s="1946"/>
      <c r="X1079" s="5651"/>
      <c r="Y1079" s="5652" t="str">
        <f t="array" ref="Y1079">IFERROR(VLOOKUP(Y1080,Dex!$B$3:$G1361,3,FALSE),"")</f>
        <v/>
      </c>
      <c r="Z1079" s="1945"/>
      <c r="AA1079" s="1945"/>
      <c r="AB1079" s="1946"/>
      <c r="AC1079" s="5653"/>
      <c r="AD1079" s="5652" t="str">
        <f t="array" ref="AD1079">IFERROR(VLOOKUP(AD1080,Dex!$B$3:$G1361,3,FALSE),"")</f>
        <v/>
      </c>
      <c r="AE1079" s="1945"/>
      <c r="AF1079" s="1945"/>
      <c r="AG1079" s="1946"/>
      <c r="AH1079" s="5654"/>
      <c r="AI1079" s="3700"/>
    </row>
    <row r="1080" ht="18.75" customHeight="1">
      <c r="A1080" s="3689"/>
      <c r="B1080" s="5649"/>
      <c r="C1080" s="5655" t="s">
        <v>1697</v>
      </c>
      <c r="D1080" s="5656"/>
      <c r="E1080" s="5657" t="s">
        <v>1157</v>
      </c>
      <c r="F1080" s="5658"/>
      <c r="G1080" s="5658"/>
      <c r="H1080" s="5659"/>
      <c r="I1080" s="5656"/>
      <c r="J1080" s="5657" t="s">
        <v>112</v>
      </c>
      <c r="K1080" s="5658"/>
      <c r="L1080" s="5658"/>
      <c r="M1080" s="5659"/>
      <c r="N1080" s="5656"/>
      <c r="O1080" s="5657" t="s">
        <v>1698</v>
      </c>
      <c r="P1080" s="5658"/>
      <c r="Q1080" s="5658"/>
      <c r="R1080" s="5659"/>
      <c r="S1080" s="5656"/>
      <c r="T1080" s="5657" t="s">
        <v>1620</v>
      </c>
      <c r="U1080" s="5658"/>
      <c r="V1080" s="5658"/>
      <c r="W1080" s="5659"/>
      <c r="X1080" s="5656"/>
      <c r="Y1080" s="5657" t="s">
        <v>1699</v>
      </c>
      <c r="Z1080" s="5658"/>
      <c r="AA1080" s="5658"/>
      <c r="AB1080" s="5659"/>
      <c r="AD1080" s="5657" t="s">
        <v>1253</v>
      </c>
      <c r="AE1080" s="5658"/>
      <c r="AF1080" s="5658"/>
      <c r="AG1080" s="5659"/>
      <c r="AH1080" s="5654"/>
      <c r="AI1080" s="3700"/>
    </row>
    <row r="1081" ht="15.0" customHeight="1">
      <c r="A1081" s="3689"/>
      <c r="B1081" s="5649"/>
      <c r="C1081" s="1638"/>
      <c r="D1081" s="5656"/>
      <c r="E1081" s="5660" t="s">
        <v>796</v>
      </c>
      <c r="F1081" s="5661"/>
      <c r="G1081" s="5661"/>
      <c r="H1081" s="5662"/>
      <c r="I1081" s="5656"/>
      <c r="J1081" s="5660" t="s">
        <v>967</v>
      </c>
      <c r="K1081" s="5661"/>
      <c r="L1081" s="5661"/>
      <c r="M1081" s="5662"/>
      <c r="N1081" s="5656"/>
      <c r="O1081" s="5660" t="s">
        <v>967</v>
      </c>
      <c r="P1081" s="5661"/>
      <c r="Q1081" s="5661"/>
      <c r="R1081" s="5662"/>
      <c r="S1081" s="5656"/>
      <c r="T1081" s="5660" t="s">
        <v>729</v>
      </c>
      <c r="U1081" s="5661"/>
      <c r="V1081" s="5661"/>
      <c r="W1081" s="5662"/>
      <c r="X1081" s="5656"/>
      <c r="Y1081" s="5660" t="s">
        <v>729</v>
      </c>
      <c r="Z1081" s="5661"/>
      <c r="AA1081" s="5661"/>
      <c r="AB1081" s="5662"/>
      <c r="AD1081" s="5660" t="s">
        <v>729</v>
      </c>
      <c r="AE1081" s="5661"/>
      <c r="AF1081" s="5661"/>
      <c r="AG1081" s="5662"/>
      <c r="AH1081" s="5654"/>
      <c r="AI1081" s="3700"/>
    </row>
    <row r="1082" ht="25.5" customHeight="1">
      <c r="A1082" s="3689"/>
      <c r="B1082" s="5649"/>
      <c r="C1082" s="1646"/>
      <c r="D1082" s="5663"/>
      <c r="E1082" s="5664"/>
      <c r="F1082" s="5665" t="str">
        <f t="array" ref="F1082">IFERROR(VLOOKUP(E1080,Dex!$B$3:$H1361,5,FALSE),"")</f>
        <v/>
      </c>
      <c r="G1082" s="5666"/>
      <c r="H1082" s="5667"/>
      <c r="I1082" s="5663"/>
      <c r="J1082" s="5664"/>
      <c r="K1082" s="5665" t="str">
        <f t="array" ref="K1082">IFERROR(VLOOKUP(J1080,Dex!$B$3:$H1361,5,FALSE),"")</f>
        <v/>
      </c>
      <c r="L1082" s="5666"/>
      <c r="M1082" s="5667"/>
      <c r="N1082" s="5663"/>
      <c r="O1082" s="5664"/>
      <c r="P1082" s="5668" t="str">
        <f t="array" ref="P1082">IFERROR(VLOOKUP(O1080,Dex!$B$3:$H1361,5,FALSE),"")</f>
        <v/>
      </c>
      <c r="Q1082" s="5669" t="str">
        <f t="array" ref="Q1082">IFERROR(VLOOKUP(O1080,Dex!$B$3:$H1361,7,FALSE),"")</f>
        <v/>
      </c>
      <c r="R1082" s="5667"/>
      <c r="S1082" s="5663"/>
      <c r="T1082" s="5664"/>
      <c r="U1082" s="5668" t="str">
        <f t="array" ref="U1082">IFERROR(VLOOKUP(T1080,Dex!$B$3:$H1361,5,FALSE),"")</f>
        <v/>
      </c>
      <c r="V1082" s="5669" t="str">
        <f t="array" ref="V1082">IFERROR(VLOOKUP(T1080,Dex!$B$3:$H1361,7,FALSE),"")</f>
        <v/>
      </c>
      <c r="W1082" s="5667"/>
      <c r="X1082" s="5663"/>
      <c r="Y1082" s="5664"/>
      <c r="Z1082" s="5665" t="str">
        <f t="array" ref="Z1082">IFERROR(VLOOKUP(Y1080,Dex!$B$3:$H1361,5,FALSE),"")</f>
        <v/>
      </c>
      <c r="AA1082" s="5666"/>
      <c r="AB1082" s="5667"/>
      <c r="AD1082" s="5664"/>
      <c r="AE1082" s="5668" t="str">
        <f t="array" ref="AE1082">IFERROR(VLOOKUP(AD1080,Dex!$B$3:$H1361,5,FALSE),"")</f>
        <v/>
      </c>
      <c r="AF1082" s="5669" t="str">
        <f t="array" ref="AF1082">IFERROR(VLOOKUP(AD1080,Dex!$B$3:$H1361,7,FALSE),"")</f>
        <v/>
      </c>
      <c r="AG1082" s="5667"/>
      <c r="AH1082" s="5670"/>
      <c r="AI1082" s="3700"/>
    </row>
    <row r="1083" ht="2.25" customHeight="1">
      <c r="A1083" s="3689"/>
      <c r="B1083" s="5671"/>
      <c r="C1083" s="5672"/>
      <c r="D1083" s="5673"/>
      <c r="E1083" s="5674"/>
      <c r="F1083" s="5675"/>
      <c r="G1083" s="5675"/>
      <c r="H1083" s="5676"/>
      <c r="I1083" s="5673"/>
      <c r="J1083" s="5674"/>
      <c r="K1083" s="5675"/>
      <c r="L1083" s="5675"/>
      <c r="M1083" s="5676"/>
      <c r="N1083" s="5673"/>
      <c r="O1083" s="5674"/>
      <c r="P1083" s="5675"/>
      <c r="Q1083" s="5675"/>
      <c r="R1083" s="5676"/>
      <c r="S1083" s="5673"/>
      <c r="T1083" s="5674"/>
      <c r="U1083" s="5675"/>
      <c r="V1083" s="5675"/>
      <c r="W1083" s="5676"/>
      <c r="X1083" s="5673"/>
      <c r="Y1083" s="5674"/>
      <c r="Z1083" s="5675"/>
      <c r="AA1083" s="5675"/>
      <c r="AB1083" s="5676"/>
      <c r="AD1083" s="5674"/>
      <c r="AE1083" s="5675"/>
      <c r="AF1083" s="5675"/>
      <c r="AG1083" s="5676"/>
      <c r="AH1083" s="5670"/>
      <c r="AI1083" s="3700"/>
    </row>
    <row r="1084" ht="20.25" customHeight="1">
      <c r="A1084" s="3689"/>
      <c r="B1084" s="5671"/>
      <c r="C1084" s="5643"/>
      <c r="D1084" s="5673"/>
      <c r="E1084" s="5677" t="s">
        <v>566</v>
      </c>
      <c r="F1084" s="5678"/>
      <c r="G1084" s="5678"/>
      <c r="H1084" s="5679"/>
      <c r="I1084" s="5663"/>
      <c r="J1084" s="5677" t="s">
        <v>566</v>
      </c>
      <c r="K1084" s="5678"/>
      <c r="L1084" s="5678"/>
      <c r="M1084" s="5679"/>
      <c r="N1084" s="5663"/>
      <c r="O1084" s="5677" t="s">
        <v>532</v>
      </c>
      <c r="P1084" s="5678"/>
      <c r="Q1084" s="5678"/>
      <c r="R1084" s="5679"/>
      <c r="S1084" s="5663"/>
      <c r="T1084" s="5677" t="s">
        <v>532</v>
      </c>
      <c r="U1084" s="5678"/>
      <c r="V1084" s="5678"/>
      <c r="W1084" s="5679"/>
      <c r="X1084" s="5663"/>
      <c r="Y1084" s="5677" t="s">
        <v>564</v>
      </c>
      <c r="Z1084" s="5678"/>
      <c r="AA1084" s="5678"/>
      <c r="AB1084" s="5679"/>
      <c r="AD1084" s="5677" t="s">
        <v>564</v>
      </c>
      <c r="AE1084" s="5678"/>
      <c r="AF1084" s="5678"/>
      <c r="AG1084" s="5679"/>
      <c r="AH1084" s="5654"/>
      <c r="AI1084" s="3700"/>
    </row>
    <row r="1085">
      <c r="A1085" s="3689"/>
      <c r="B1085" s="5671"/>
      <c r="C1085" s="5680"/>
      <c r="D1085" s="5673"/>
      <c r="E1085" s="5681" t="s">
        <v>60</v>
      </c>
      <c r="F1085" s="5646"/>
      <c r="G1085" s="5646"/>
      <c r="H1085" s="5682"/>
      <c r="I1085" s="5663"/>
      <c r="J1085" s="5681" t="s">
        <v>65</v>
      </c>
      <c r="K1085" s="5646"/>
      <c r="L1085" s="5646"/>
      <c r="M1085" s="5682"/>
      <c r="N1085" s="5663"/>
      <c r="O1085" s="5681" t="s">
        <v>1172</v>
      </c>
      <c r="P1085" s="5646"/>
      <c r="Q1085" s="5646"/>
      <c r="R1085" s="5682"/>
      <c r="S1085" s="5663"/>
      <c r="T1085" s="5681" t="s">
        <v>1700</v>
      </c>
      <c r="U1085" s="5646"/>
      <c r="V1085" s="5646"/>
      <c r="W1085" s="5682"/>
      <c r="X1085" s="5663"/>
      <c r="Y1085" s="5681" t="s">
        <v>117</v>
      </c>
      <c r="Z1085" s="5646"/>
      <c r="AA1085" s="5646"/>
      <c r="AB1085" s="5682"/>
      <c r="AD1085" s="5681" t="s">
        <v>97</v>
      </c>
      <c r="AE1085" s="5646"/>
      <c r="AF1085" s="5646"/>
      <c r="AG1085" s="5682"/>
      <c r="AH1085" s="5654"/>
      <c r="AI1085" s="3700"/>
    </row>
    <row r="1086" ht="20.25" customHeight="1">
      <c r="A1086" s="3689"/>
      <c r="B1086" s="5671"/>
      <c r="C1086" s="5683"/>
      <c r="D1086" s="5673"/>
      <c r="E1086" s="5684" t="s">
        <v>733</v>
      </c>
      <c r="F1086" s="5685"/>
      <c r="G1086" s="5686"/>
      <c r="H1086" s="5687" t="str">
        <f>IMAGE("https://raw.githubusercontent.com/msikma/pokesprite/master/items/hold-item/leftovers.png",3)</f>
        <v/>
      </c>
      <c r="I1086" s="5673"/>
      <c r="J1086" s="5684" t="s">
        <v>713</v>
      </c>
      <c r="K1086" s="5685"/>
      <c r="L1086" s="5686"/>
      <c r="M1086" s="5687" t="str">
        <f>IMAGE("https://raw.githubusercontent.com/msikma/pokesprite/master/items/hold-item/assault-vest.png",3)</f>
        <v/>
      </c>
      <c r="N1086" s="5673"/>
      <c r="O1086" s="5684" t="s">
        <v>541</v>
      </c>
      <c r="P1086" s="5685"/>
      <c r="Q1086" s="5686"/>
      <c r="R1086" s="5687" t="str">
        <f>IMAGE("https://raw.githubusercontent.com/msikma/pokesprite/master/items/hold-item/life-orb.png",3)</f>
        <v/>
      </c>
      <c r="S1086" s="5673"/>
      <c r="T1086" s="5684" t="s">
        <v>1622</v>
      </c>
      <c r="U1086" s="5685"/>
      <c r="V1086" s="5686"/>
      <c r="W1086" s="5687" t="str">
        <f>IMAGE("https://raw.githubusercontent.com/msikma/pokesprite/master/items/mega-stone/lopunnite.png",3)</f>
        <v/>
      </c>
      <c r="X1086" s="5673"/>
      <c r="Y1086" s="5684" t="s">
        <v>1261</v>
      </c>
      <c r="Z1086" s="5685"/>
      <c r="AA1086" s="5686"/>
      <c r="AB1086" s="5687" t="str">
        <f>IMAGE("https://raw.githubusercontent.com/msikma/pokesprite/master/items/z-crystals/ghostium-z--held.png",3)</f>
        <v/>
      </c>
      <c r="AD1086" s="5684" t="s">
        <v>607</v>
      </c>
      <c r="AE1086" s="5685"/>
      <c r="AF1086" s="5686"/>
      <c r="AG1086" s="5687" t="str">
        <f>IMAGE("https://raw.githubusercontent.com/msikma/pokesprite/master/items/hold-item/grassy-seed.png",3)</f>
        <v/>
      </c>
      <c r="AH1086" s="5670"/>
      <c r="AI1086" s="3700"/>
    </row>
    <row r="1087" ht="20.25" customHeight="1">
      <c r="A1087" s="3689"/>
      <c r="B1087" s="5671"/>
      <c r="C1087" s="5688"/>
      <c r="D1087" s="5673"/>
      <c r="E1087" s="5677" t="s">
        <v>878</v>
      </c>
      <c r="F1087" s="5678"/>
      <c r="G1087" s="5689"/>
      <c r="H1087" s="5690" t="str">
        <f>IMAGE("https://raw.githubusercontent.com/msikma/pokesprite/master/misc/types/gen8/fire.png",4,20,20)</f>
        <v/>
      </c>
      <c r="I1087" s="5673"/>
      <c r="J1087" s="5677" t="s">
        <v>777</v>
      </c>
      <c r="K1087" s="5678"/>
      <c r="L1087" s="5689"/>
      <c r="M1087" s="5690" t="str">
        <f>IMAGE("https://raw.githubusercontent.com/msikma/pokesprite/master/misc/types/gen8/normal.png",4,20,20)</f>
        <v/>
      </c>
      <c r="N1087" s="5673"/>
      <c r="O1087" s="5677" t="s">
        <v>1324</v>
      </c>
      <c r="P1087" s="5678"/>
      <c r="Q1087" s="5689"/>
      <c r="R1087" s="5690" t="str">
        <f>IMAGE("https://raw.githubusercontent.com/msikma/pokesprite/master/misc/types/gen8/bug.png",4,20,20)</f>
        <v/>
      </c>
      <c r="S1087" s="5673"/>
      <c r="T1087" s="5677" t="s">
        <v>612</v>
      </c>
      <c r="U1087" s="5678"/>
      <c r="V1087" s="5689"/>
      <c r="W1087" s="5690" t="str">
        <f>IMAGE("https://raw.githubusercontent.com/msikma/pokesprite/master/misc/types/gen8/bug.png",4,20,20)</f>
        <v/>
      </c>
      <c r="X1087" s="5673"/>
      <c r="Y1087" s="5677" t="s">
        <v>647</v>
      </c>
      <c r="Z1087" s="5678"/>
      <c r="AA1087" s="5689"/>
      <c r="AB1087" s="5690" t="str">
        <f>IMAGE("https://raw.githubusercontent.com/msikma/pokesprite/master/misc/types/gen8/ghost.png",4,20,20)</f>
        <v/>
      </c>
      <c r="AD1087" s="5677" t="s">
        <v>170</v>
      </c>
      <c r="AE1087" s="5678"/>
      <c r="AF1087" s="5689"/>
      <c r="AG1087" s="5690" t="str">
        <f>IMAGE("https://raw.githubusercontent.com/msikma/pokesprite/master/misc/types/gen8/psychic.png",4,20,20)</f>
        <v/>
      </c>
      <c r="AH1087" s="5670"/>
      <c r="AI1087" s="3700"/>
    </row>
    <row r="1088" ht="20.25" customHeight="1">
      <c r="A1088" s="3689"/>
      <c r="B1088" s="5671"/>
      <c r="C1088" s="5643"/>
      <c r="D1088" s="5673"/>
      <c r="E1088" s="5681" t="s">
        <v>958</v>
      </c>
      <c r="F1088" s="5646"/>
      <c r="G1088" s="5647"/>
      <c r="H1088" s="5691" t="str">
        <f>IMAGE("https://raw.githubusercontent.com/msikma/pokesprite/master/misc/types/gen8/normal.png",4,20,20)</f>
        <v/>
      </c>
      <c r="I1088" s="5673"/>
      <c r="J1088" s="5681" t="s">
        <v>615</v>
      </c>
      <c r="K1088" s="5646"/>
      <c r="L1088" s="5647"/>
      <c r="M1088" s="5691" t="str">
        <f>IMAGE("https://raw.githubusercontent.com/msikma/pokesprite/master/misc/types/gen8/grass.png",4,20,20)</f>
        <v/>
      </c>
      <c r="N1088" s="5673"/>
      <c r="O1088" s="5681" t="s">
        <v>545</v>
      </c>
      <c r="P1088" s="5646"/>
      <c r="Q1088" s="5647"/>
      <c r="R1088" s="5691" t="str">
        <f>IMAGE("https://raw.githubusercontent.com/msikma/pokesprite/master/misc/types/gen8/poison.png",4,20,20)</f>
        <v/>
      </c>
      <c r="S1088" s="5673"/>
      <c r="T1088" s="5681" t="s">
        <v>1497</v>
      </c>
      <c r="U1088" s="5646"/>
      <c r="V1088" s="5647"/>
      <c r="W1088" s="5691" t="str">
        <f>IMAGE("https://raw.githubusercontent.com/msikma/pokesprite/master/misc/types/gen8/normal.png",4,20,20)</f>
        <v/>
      </c>
      <c r="X1088" s="5673"/>
      <c r="Y1088" s="5681" t="s">
        <v>1463</v>
      </c>
      <c r="Z1088" s="5646"/>
      <c r="AA1088" s="5647"/>
      <c r="AB1088" s="5691" t="str">
        <f>IMAGE("https://raw.githubusercontent.com/msikma/pokesprite/master/misc/types/gen8/fighting.png",4,20,20)</f>
        <v/>
      </c>
      <c r="AD1088" s="5681" t="s">
        <v>551</v>
      </c>
      <c r="AE1088" s="5646"/>
      <c r="AF1088" s="5647"/>
      <c r="AG1088" s="5691" t="str">
        <f>IMAGE("https://raw.githubusercontent.com/msikma/pokesprite/master/misc/types/gen8/flying.png",4,20,20)</f>
        <v/>
      </c>
      <c r="AH1088" s="5670"/>
      <c r="AI1088" s="3700"/>
    </row>
    <row r="1089" ht="20.25" customHeight="1">
      <c r="A1089" s="3689"/>
      <c r="B1089" s="5671"/>
      <c r="C1089" s="5643"/>
      <c r="D1089" s="5673"/>
      <c r="E1089" s="5681" t="s">
        <v>694</v>
      </c>
      <c r="F1089" s="5646"/>
      <c r="G1089" s="5647"/>
      <c r="H1089" s="5691" t="str">
        <f>IMAGE("https://raw.githubusercontent.com/msikma/pokesprite/master/misc/types/gen8/fire.png",4,20,20)</f>
        <v/>
      </c>
      <c r="I1089" s="5673"/>
      <c r="J1089" s="5681" t="s">
        <v>612</v>
      </c>
      <c r="K1089" s="5646"/>
      <c r="L1089" s="5647"/>
      <c r="M1089" s="5691" t="str">
        <f>IMAGE("https://raw.githubusercontent.com/msikma/pokesprite/master/misc/types/gen8/bug.png",4,20,20)</f>
        <v/>
      </c>
      <c r="N1089" s="5673"/>
      <c r="O1089" s="5681" t="s">
        <v>667</v>
      </c>
      <c r="P1089" s="5646"/>
      <c r="Q1089" s="5647"/>
      <c r="R1089" s="5691" t="str">
        <f>IMAGE("https://raw.githubusercontent.com/msikma/pokesprite/master/misc/types/gen8/dark.png",4,20,20)</f>
        <v/>
      </c>
      <c r="S1089" s="5673"/>
      <c r="T1089" s="5681" t="s">
        <v>583</v>
      </c>
      <c r="U1089" s="5646"/>
      <c r="V1089" s="5647"/>
      <c r="W1089" s="5691" t="str">
        <f>IMAGE("https://raw.githubusercontent.com/msikma/pokesprite/master/misc/types/gen8/fighting.png",4,20,20)</f>
        <v/>
      </c>
      <c r="X1089" s="5673"/>
      <c r="Y1089" s="5681" t="s">
        <v>666</v>
      </c>
      <c r="Z1089" s="5646"/>
      <c r="AA1089" s="5647"/>
      <c r="AB1089" s="5691" t="str">
        <f>IMAGE("https://raw.githubusercontent.com/msikma/pokesprite/master/misc/types/gen8/dark.png",4,20,20)</f>
        <v/>
      </c>
      <c r="AD1089" s="5681" t="s">
        <v>1701</v>
      </c>
      <c r="AE1089" s="5646"/>
      <c r="AF1089" s="5647"/>
      <c r="AG1089" s="5691" t="str">
        <f>IMAGE("https://raw.githubusercontent.com/msikma/pokesprite/master/misc/types/gen8/psychic.png",4,20,20)</f>
        <v/>
      </c>
      <c r="AH1089" s="5670"/>
      <c r="AI1089" s="3700"/>
    </row>
    <row r="1090" ht="21.0" customHeight="1">
      <c r="A1090" s="3689"/>
      <c r="B1090" s="5671"/>
      <c r="C1090" s="5643"/>
      <c r="D1090" s="5673"/>
      <c r="E1090" s="5692" t="s">
        <v>1702</v>
      </c>
      <c r="F1090" s="5693"/>
      <c r="G1090" s="5694"/>
      <c r="H1090" s="5695" t="str">
        <f>IMAGE("https://raw.githubusercontent.com/msikma/pokesprite/master/misc/types/gen8/normal.png",4,20,20)</f>
        <v/>
      </c>
      <c r="I1090" s="5673"/>
      <c r="J1090" s="5692" t="s">
        <v>579</v>
      </c>
      <c r="K1090" s="5693"/>
      <c r="L1090" s="5694"/>
      <c r="M1090" s="5695" t="str">
        <f>IMAGE("https://raw.githubusercontent.com/msikma/pokesprite/master/misc/types/gen8/dark.png",4,20,20)</f>
        <v/>
      </c>
      <c r="N1090" s="5673"/>
      <c r="O1090" s="5692" t="s">
        <v>1349</v>
      </c>
      <c r="P1090" s="5693"/>
      <c r="Q1090" s="5694"/>
      <c r="R1090" s="5695" t="str">
        <f>IMAGE("https://raw.githubusercontent.com/msikma/pokesprite/master/misc/types/gen8/water.png",4,20,20)</f>
        <v/>
      </c>
      <c r="S1090" s="5673"/>
      <c r="T1090" s="5692" t="s">
        <v>785</v>
      </c>
      <c r="U1090" s="5693"/>
      <c r="V1090" s="5694"/>
      <c r="W1090" s="5695" t="str">
        <f>IMAGE("https://raw.githubusercontent.com/msikma/pokesprite/master/misc/types/gen8/ice.png",4,20,20)</f>
        <v/>
      </c>
      <c r="X1090" s="5673"/>
      <c r="Y1090" s="5692" t="s">
        <v>698</v>
      </c>
      <c r="Z1090" s="5693"/>
      <c r="AA1090" s="5694"/>
      <c r="AB1090" s="5695" t="str">
        <f>IMAGE("https://raw.githubusercontent.com/msikma/pokesprite/master/misc/types/gen8/normal.png",4,20,20)</f>
        <v/>
      </c>
      <c r="AC1090" s="5696"/>
      <c r="AD1090" s="5692" t="s">
        <v>805</v>
      </c>
      <c r="AE1090" s="5693"/>
      <c r="AF1090" s="5694"/>
      <c r="AG1090" s="5695" t="str">
        <f>IMAGE("https://raw.githubusercontent.com/msikma/pokesprite/master/misc/types/gen8/flying.png",4,20,20)</f>
        <v/>
      </c>
      <c r="AH1090" s="5670"/>
      <c r="AI1090" s="3700"/>
    </row>
    <row r="1091" ht="3.0" customHeight="1">
      <c r="A1091" s="3524"/>
      <c r="B1091" s="5697"/>
      <c r="C1091" s="5698"/>
      <c r="D1091" s="5699"/>
      <c r="E1091" s="5700"/>
      <c r="F1091" s="5700"/>
      <c r="G1091" s="5700"/>
      <c r="H1091" s="5701"/>
      <c r="I1091" s="5699"/>
      <c r="J1091" s="5702"/>
      <c r="K1091" s="5702"/>
      <c r="L1091" s="5702"/>
      <c r="M1091" s="5701"/>
      <c r="N1091" s="5699"/>
      <c r="O1091" s="5702"/>
      <c r="P1091" s="5702"/>
      <c r="Q1091" s="5702"/>
      <c r="R1091" s="5701"/>
      <c r="S1091" s="5699"/>
      <c r="T1091" s="5702"/>
      <c r="U1091" s="5702"/>
      <c r="V1091" s="5702"/>
      <c r="W1091" s="5701"/>
      <c r="X1091" s="5699"/>
      <c r="Y1091" s="5702"/>
      <c r="Z1091" s="5702"/>
      <c r="AA1091" s="5702"/>
      <c r="AB1091" s="5701"/>
      <c r="AC1091" s="5699"/>
      <c r="AD1091" s="5702"/>
      <c r="AE1091" s="5702"/>
      <c r="AF1091" s="5702"/>
      <c r="AG1091" s="5701"/>
      <c r="AH1091" s="5703"/>
      <c r="AI1091" s="3534"/>
    </row>
    <row r="1092" ht="16.5" customHeight="1">
      <c r="A1092" s="3535"/>
      <c r="B1092" s="5704"/>
      <c r="C1092" s="5698"/>
      <c r="D1092" s="5705"/>
      <c r="E1092" s="5706" t="s">
        <v>512</v>
      </c>
      <c r="F1092" s="606"/>
      <c r="G1092" s="606"/>
      <c r="H1092" s="607"/>
      <c r="I1092" s="5707"/>
      <c r="J1092" s="5706" t="s">
        <v>512</v>
      </c>
      <c r="K1092" s="606"/>
      <c r="L1092" s="606"/>
      <c r="M1092" s="607"/>
      <c r="N1092" s="5707"/>
      <c r="O1092" s="5706" t="s">
        <v>512</v>
      </c>
      <c r="P1092" s="606"/>
      <c r="Q1092" s="606"/>
      <c r="R1092" s="607"/>
      <c r="S1092" s="5707"/>
      <c r="T1092" s="5706" t="s">
        <v>512</v>
      </c>
      <c r="U1092" s="606"/>
      <c r="V1092" s="606"/>
      <c r="W1092" s="607"/>
      <c r="X1092" s="5707"/>
      <c r="Y1092" s="5706" t="s">
        <v>512</v>
      </c>
      <c r="Z1092" s="606"/>
      <c r="AA1092" s="606"/>
      <c r="AB1092" s="607"/>
      <c r="AC1092" s="5708"/>
      <c r="AD1092" s="5706" t="s">
        <v>512</v>
      </c>
      <c r="AE1092" s="606"/>
      <c r="AF1092" s="606"/>
      <c r="AG1092" s="607"/>
      <c r="AH1092" s="5709"/>
      <c r="AI1092" s="3543"/>
    </row>
    <row r="1093" ht="16.5" customHeight="1">
      <c r="A1093" s="3535"/>
      <c r="B1093" s="5704"/>
      <c r="C1093" s="5698"/>
      <c r="D1093" s="5705"/>
      <c r="E1093" s="5710" t="s">
        <v>513</v>
      </c>
      <c r="F1093" s="5711">
        <f t="array" ref="F1093">IFERROR(VLOOKUP(E1080,Dex!$B$3:$N1361,8,FALSE),"")</f>
        <v>90</v>
      </c>
      <c r="G1093" s="5712" t="str">
        <f t="array" ref="G1093">IFERROR(VLOOKUP(F1093,Dex!$P$22:$Q$276,2,FALSE),"")</f>
        <v/>
      </c>
      <c r="H1093" s="5713"/>
      <c r="I1093" s="5705"/>
      <c r="J1093" s="5710" t="s">
        <v>513</v>
      </c>
      <c r="K1093" s="5711">
        <f t="array" ref="K1093">IFERROR(VLOOKUP(J1080,Dex!$B$3:$N1361,8,FALSE),"")</f>
        <v>100</v>
      </c>
      <c r="L1093" s="5712" t="str">
        <f t="array" ref="L1093">IFERROR(VLOOKUP(K1093,Dex!$P$22:$Q$276,2,FALSE),"")</f>
        <v/>
      </c>
      <c r="M1093" s="5713"/>
      <c r="N1093" s="5705"/>
      <c r="O1093" s="5710" t="s">
        <v>513</v>
      </c>
      <c r="P1093" s="5711">
        <f t="array" ref="P1093">IFERROR(VLOOKUP(O1080,Dex!$B$3:$N1361,8,FALSE),"")</f>
        <v>70</v>
      </c>
      <c r="Q1093" s="5712" t="str">
        <f t="array" ref="Q1093">IFERROR(VLOOKUP(P1093,Dex!$P$22:$Q$276,2,FALSE),"")</f>
        <v/>
      </c>
      <c r="R1093" s="5713"/>
      <c r="S1093" s="5705"/>
      <c r="T1093" s="5710" t="s">
        <v>513</v>
      </c>
      <c r="U1093" s="5711">
        <f t="array" ref="U1093">IFERROR(VLOOKUP(T1080,Dex!$B$3:$N1361,8,FALSE),"")</f>
        <v>65</v>
      </c>
      <c r="V1093" s="5712" t="str">
        <f t="array" ref="V1093">IFERROR(VLOOKUP(U1093,Dex!$P$22:$Q$276,2,FALSE),"")</f>
        <v/>
      </c>
      <c r="W1093" s="5713"/>
      <c r="X1093" s="5705"/>
      <c r="Y1093" s="5710" t="s">
        <v>513</v>
      </c>
      <c r="Z1093" s="5711">
        <f t="array" ref="Z1093">IFERROR(VLOOKUP(Y1080,Dex!$B$3:$N1361,8,FALSE),"")</f>
        <v>100</v>
      </c>
      <c r="AA1093" s="5712" t="str">
        <f t="array" ref="AA1093">IFERROR(VLOOKUP(Z1093,Dex!$P$22:$Q$276,2,FALSE),"")</f>
        <v/>
      </c>
      <c r="AB1093" s="5713"/>
      <c r="AC1093" s="5714"/>
      <c r="AD1093" s="5710" t="s">
        <v>513</v>
      </c>
      <c r="AE1093" s="5711">
        <f t="array" ref="AE1093">IFERROR(VLOOKUP(AD1080,Dex!$B$3:$N1361,8,FALSE),"")</f>
        <v>90</v>
      </c>
      <c r="AF1093" s="5712" t="str">
        <f t="array" ref="AF1093">IFERROR(VLOOKUP(AE1093,Dex!$P$22:$Q$276,2,FALSE),"")</f>
        <v/>
      </c>
      <c r="AG1093" s="5713"/>
      <c r="AH1093" s="5709"/>
      <c r="AI1093" s="3543"/>
    </row>
    <row r="1094" ht="16.5" customHeight="1">
      <c r="A1094" s="3535"/>
      <c r="B1094" s="5704"/>
      <c r="C1094" s="5698"/>
      <c r="D1094" s="5705"/>
      <c r="E1094" s="5715" t="s">
        <v>514</v>
      </c>
      <c r="F1094" s="5716">
        <f t="array" ref="F1094">IFERROR(VLOOKUP(E1080,Dex!$B$3:$N1361,9,FALSE),"")</f>
        <v>110</v>
      </c>
      <c r="G1094" s="5717" t="str">
        <f t="array" ref="G1094">IFERROR(VLOOKUP(F1094,Dex!$P$22:$Q$276,2,FALSE),"")</f>
        <v/>
      </c>
      <c r="H1094" s="5718"/>
      <c r="I1094" s="5705"/>
      <c r="J1094" s="5715" t="s">
        <v>514</v>
      </c>
      <c r="K1094" s="5716">
        <f t="array" ref="K1094">IFERROR(VLOOKUP(J1080,Dex!$B$3:$N1361,9,FALSE),"")</f>
        <v>125</v>
      </c>
      <c r="L1094" s="5717" t="str">
        <f t="array" ref="L1094">IFERROR(VLOOKUP(K1094,Dex!$P$22:$Q$276,2,FALSE),"")</f>
        <v/>
      </c>
      <c r="M1094" s="5718"/>
      <c r="N1094" s="5705"/>
      <c r="O1094" s="5715" t="s">
        <v>514</v>
      </c>
      <c r="P1094" s="5716">
        <f t="array" ref="P1094">IFERROR(VLOOKUP(O1080,Dex!$B$3:$N1361,9,FALSE),"")</f>
        <v>80</v>
      </c>
      <c r="Q1094" s="5717" t="str">
        <f t="array" ref="Q1094">IFERROR(VLOOKUP(P1094,Dex!$P$22:$Q$276,2,FALSE),"")</f>
        <v/>
      </c>
      <c r="R1094" s="5718"/>
      <c r="S1094" s="5705"/>
      <c r="T1094" s="5715" t="s">
        <v>514</v>
      </c>
      <c r="U1094" s="5716">
        <f t="array" ref="U1094">IFERROR(VLOOKUP(T1080,Dex!$B$3:$N1361,9,FALSE),"")</f>
        <v>136</v>
      </c>
      <c r="V1094" s="5717" t="str">
        <f t="array" ref="V1094">IFERROR(VLOOKUP(U1094,Dex!$P$22:$Q$276,2,FALSE),"")</f>
        <v/>
      </c>
      <c r="W1094" s="5718"/>
      <c r="X1094" s="5705"/>
      <c r="Y1094" s="5715" t="s">
        <v>514</v>
      </c>
      <c r="Z1094" s="5716">
        <f t="array" ref="Z1094">IFERROR(VLOOKUP(Y1080,Dex!$B$3:$N1361,9,FALSE),"")</f>
        <v>65</v>
      </c>
      <c r="AA1094" s="5717" t="str">
        <f t="array" ref="AA1094">IFERROR(VLOOKUP(Z1094,Dex!$P$22:$Q$276,2,FALSE),"")</f>
        <v/>
      </c>
      <c r="AB1094" s="5718"/>
      <c r="AC1094" s="5714"/>
      <c r="AD1094" s="5715" t="s">
        <v>514</v>
      </c>
      <c r="AE1094" s="5716">
        <f t="array" ref="AE1094">IFERROR(VLOOKUP(AD1080,Dex!$B$3:$N1361,9,FALSE),"")</f>
        <v>70</v>
      </c>
      <c r="AF1094" s="5717" t="str">
        <f t="array" ref="AF1094">IFERROR(VLOOKUP(AE1094,Dex!$P$22:$Q$276,2,FALSE),"")</f>
        <v/>
      </c>
      <c r="AG1094" s="5718"/>
      <c r="AH1094" s="5709"/>
      <c r="AI1094" s="3543"/>
    </row>
    <row r="1095" ht="16.5" customHeight="1">
      <c r="A1095" s="3535"/>
      <c r="B1095" s="5704"/>
      <c r="C1095" s="5698"/>
      <c r="D1095" s="5705"/>
      <c r="E1095" s="5715" t="s">
        <v>515</v>
      </c>
      <c r="F1095" s="5716">
        <f t="array" ref="F1095">IFERROR(VLOOKUP(E1080,Dex!$B$3:$N1361,10,FALSE),"")</f>
        <v>80</v>
      </c>
      <c r="G1095" s="5717" t="str">
        <f t="array" ref="G1095">IFERROR(VLOOKUP(F1095,Dex!$P$22:$Q$276,2,FALSE),"")</f>
        <v/>
      </c>
      <c r="H1095" s="5718"/>
      <c r="I1095" s="5705"/>
      <c r="J1095" s="5715" t="s">
        <v>515</v>
      </c>
      <c r="K1095" s="5716">
        <f t="array" ref="K1095">IFERROR(VLOOKUP(J1080,Dex!$B$3:$N1361,10,FALSE),"")</f>
        <v>90</v>
      </c>
      <c r="L1095" s="5717" t="str">
        <f t="array" ref="L1095">IFERROR(VLOOKUP(K1095,Dex!$P$22:$Q$276,2,FALSE),"")</f>
        <v/>
      </c>
      <c r="M1095" s="5718"/>
      <c r="N1095" s="5705"/>
      <c r="O1095" s="5715" t="s">
        <v>515</v>
      </c>
      <c r="P1095" s="5716">
        <f t="array" ref="P1095">IFERROR(VLOOKUP(O1080,Dex!$B$3:$N1361,10,FALSE),"")</f>
        <v>110</v>
      </c>
      <c r="Q1095" s="5717" t="str">
        <f t="array" ref="Q1095">IFERROR(VLOOKUP(P1095,Dex!$P$22:$Q$276,2,FALSE),"")</f>
        <v/>
      </c>
      <c r="R1095" s="5718"/>
      <c r="S1095" s="5705"/>
      <c r="T1095" s="5715" t="s">
        <v>515</v>
      </c>
      <c r="U1095" s="5716">
        <f t="array" ref="U1095">IFERROR(VLOOKUP(T1080,Dex!$B$3:$N1361,10,FALSE),"")</f>
        <v>94</v>
      </c>
      <c r="V1095" s="5717" t="str">
        <f t="array" ref="V1095">IFERROR(VLOOKUP(U1095,Dex!$P$22:$Q$276,2,FALSE),"")</f>
        <v/>
      </c>
      <c r="W1095" s="5718"/>
      <c r="X1095" s="5705"/>
      <c r="Y1095" s="5715" t="s">
        <v>515</v>
      </c>
      <c r="Z1095" s="5716">
        <f t="array" ref="Z1095">IFERROR(VLOOKUP(Y1080,Dex!$B$3:$N1361,10,FALSE),"")</f>
        <v>60</v>
      </c>
      <c r="AA1095" s="5717" t="str">
        <f t="array" ref="AA1095">IFERROR(VLOOKUP(Z1095,Dex!$P$22:$Q$276,2,FALSE),"")</f>
        <v/>
      </c>
      <c r="AB1095" s="5718"/>
      <c r="AC1095" s="5714"/>
      <c r="AD1095" s="5715" t="s">
        <v>515</v>
      </c>
      <c r="AE1095" s="5716">
        <f t="array" ref="AE1095">IFERROR(VLOOKUP(AD1080,Dex!$B$3:$N1361,10,FALSE),"")</f>
        <v>95</v>
      </c>
      <c r="AF1095" s="5717" t="str">
        <f t="array" ref="AF1095">IFERROR(VLOOKUP(AE1095,Dex!$P$22:$Q$276,2,FALSE),"")</f>
        <v/>
      </c>
      <c r="AG1095" s="5718"/>
      <c r="AH1095" s="5709"/>
      <c r="AI1095" s="3543"/>
    </row>
    <row r="1096" ht="16.5" customHeight="1">
      <c r="A1096" s="3535"/>
      <c r="B1096" s="5704"/>
      <c r="C1096" s="5698"/>
      <c r="D1096" s="5705"/>
      <c r="E1096" s="5715" t="s">
        <v>516</v>
      </c>
      <c r="F1096" s="5716">
        <f t="array" ref="F1096">IFERROR(VLOOKUP(E1080,Dex!$B$3:$N1361,11,FALSE),"")</f>
        <v>100</v>
      </c>
      <c r="G1096" s="5717" t="str">
        <f t="array" ref="G1096">IFERROR(VLOOKUP(F1096,Dex!$P$22:$Q$276,2,FALSE),"")</f>
        <v/>
      </c>
      <c r="H1096" s="5718"/>
      <c r="I1096" s="5705"/>
      <c r="J1096" s="5715" t="s">
        <v>516</v>
      </c>
      <c r="K1096" s="5716">
        <f t="array" ref="K1096">IFERROR(VLOOKUP(J1080,Dex!$B$3:$N1361,11,FALSE),"")</f>
        <v>60</v>
      </c>
      <c r="L1096" s="5717" t="str">
        <f t="array" ref="L1096">IFERROR(VLOOKUP(K1096,Dex!$P$22:$Q$276,2,FALSE),"")</f>
        <v/>
      </c>
      <c r="M1096" s="5718"/>
      <c r="N1096" s="5705"/>
      <c r="O1096" s="5715" t="s">
        <v>516</v>
      </c>
      <c r="P1096" s="5716">
        <f t="array" ref="P1096">IFERROR(VLOOKUP(O1080,Dex!$B$3:$N1361,11,FALSE),"")</f>
        <v>60</v>
      </c>
      <c r="Q1096" s="5717" t="str">
        <f t="array" ref="Q1096">IFERROR(VLOOKUP(P1096,Dex!$P$22:$Q$276,2,FALSE),"")</f>
        <v/>
      </c>
      <c r="R1096" s="5718"/>
      <c r="S1096" s="5705"/>
      <c r="T1096" s="5715" t="s">
        <v>516</v>
      </c>
      <c r="U1096" s="5716">
        <f t="array" ref="U1096">IFERROR(VLOOKUP(T1080,Dex!$B$3:$N1361,11,FALSE),"")</f>
        <v>54</v>
      </c>
      <c r="V1096" s="5717" t="str">
        <f t="array" ref="V1096">IFERROR(VLOOKUP(U1096,Dex!$P$22:$Q$276,2,FALSE),"")</f>
        <v/>
      </c>
      <c r="W1096" s="5718"/>
      <c r="X1096" s="5705"/>
      <c r="Y1096" s="5715" t="s">
        <v>516</v>
      </c>
      <c r="Z1096" s="5716">
        <f t="array" ref="Z1096">IFERROR(VLOOKUP(Y1080,Dex!$B$3:$N1361,11,FALSE),"")</f>
        <v>145</v>
      </c>
      <c r="AA1096" s="5717" t="str">
        <f t="array" ref="AA1096">IFERROR(VLOOKUP(Z1096,Dex!$P$22:$Q$276,2,FALSE),"")</f>
        <v/>
      </c>
      <c r="AB1096" s="5718"/>
      <c r="AC1096" s="5714"/>
      <c r="AD1096" s="5715" t="s">
        <v>516</v>
      </c>
      <c r="AE1096" s="5716">
        <f t="array" ref="AE1096">IFERROR(VLOOKUP(AD1080,Dex!$B$3:$N1361,11,FALSE),"")</f>
        <v>125</v>
      </c>
      <c r="AF1096" s="5717" t="str">
        <f t="array" ref="AF1096">IFERROR(VLOOKUP(AE1096,Dex!$P$22:$Q$276,2,FALSE),"")</f>
        <v/>
      </c>
      <c r="AG1096" s="5718"/>
      <c r="AH1096" s="5709"/>
      <c r="AI1096" s="3543"/>
    </row>
    <row r="1097" ht="16.5" customHeight="1">
      <c r="A1097" s="3535"/>
      <c r="B1097" s="5704"/>
      <c r="C1097" s="5719"/>
      <c r="D1097" s="5705"/>
      <c r="E1097" s="5715" t="s">
        <v>517</v>
      </c>
      <c r="F1097" s="5716">
        <f t="array" ref="F1097">IFERROR(VLOOKUP(E1080,Dex!$B$3:$N1361,12,FALSE),"")</f>
        <v>80</v>
      </c>
      <c r="G1097" s="5717" t="str">
        <f t="array" ref="G1097">IFERROR(VLOOKUP(F1097,Dex!$P$22:$Q$276,2,FALSE),"")</f>
        <v/>
      </c>
      <c r="H1097" s="5718"/>
      <c r="I1097" s="5705"/>
      <c r="J1097" s="5715" t="s">
        <v>517</v>
      </c>
      <c r="K1097" s="5716">
        <f t="array" ref="K1097">IFERROR(VLOOKUP(J1080,Dex!$B$3:$N1361,12,FALSE),"")</f>
        <v>70</v>
      </c>
      <c r="L1097" s="5717" t="str">
        <f t="array" ref="L1097">IFERROR(VLOOKUP(K1097,Dex!$P$22:$Q$276,2,FALSE),"")</f>
        <v/>
      </c>
      <c r="M1097" s="5718"/>
      <c r="N1097" s="5705"/>
      <c r="O1097" s="5715" t="s">
        <v>517</v>
      </c>
      <c r="P1097" s="5716">
        <f t="array" ref="P1097">IFERROR(VLOOKUP(O1080,Dex!$B$3:$N1361,12,FALSE),"")</f>
        <v>75</v>
      </c>
      <c r="Q1097" s="5717" t="str">
        <f t="array" ref="Q1097">IFERROR(VLOOKUP(P1097,Dex!$P$22:$Q$276,2,FALSE),"")</f>
        <v/>
      </c>
      <c r="R1097" s="5718"/>
      <c r="S1097" s="5705"/>
      <c r="T1097" s="5715" t="s">
        <v>517</v>
      </c>
      <c r="U1097" s="5716">
        <f t="array" ref="U1097">IFERROR(VLOOKUP(T1080,Dex!$B$3:$N1361,12,FALSE),"")</f>
        <v>96</v>
      </c>
      <c r="V1097" s="5717" t="str">
        <f t="array" ref="V1097">IFERROR(VLOOKUP(U1097,Dex!$P$22:$Q$276,2,FALSE),"")</f>
        <v/>
      </c>
      <c r="W1097" s="5718"/>
      <c r="X1097" s="5705"/>
      <c r="Y1097" s="5715" t="s">
        <v>517</v>
      </c>
      <c r="Z1097" s="5716">
        <f t="array" ref="Z1097">IFERROR(VLOOKUP(Y1080,Dex!$B$3:$N1361,12,FALSE),"")</f>
        <v>80</v>
      </c>
      <c r="AA1097" s="5717" t="str">
        <f t="array" ref="AA1097">IFERROR(VLOOKUP(Z1097,Dex!$P$22:$Q$276,2,FALSE),"")</f>
        <v/>
      </c>
      <c r="AB1097" s="5718"/>
      <c r="AC1097" s="5714"/>
      <c r="AD1097" s="5715" t="s">
        <v>517</v>
      </c>
      <c r="AE1097" s="5716">
        <f t="array" ref="AE1097">IFERROR(VLOOKUP(AD1080,Dex!$B$3:$N1361,12,FALSE),"")</f>
        <v>100</v>
      </c>
      <c r="AF1097" s="5717" t="str">
        <f t="array" ref="AF1097">IFERROR(VLOOKUP(AE1097,Dex!$P$22:$Q$276,2,FALSE),"")</f>
        <v/>
      </c>
      <c r="AG1097" s="5718"/>
      <c r="AH1097" s="5709"/>
      <c r="AI1097" s="3543"/>
    </row>
    <row r="1098" ht="16.5" customHeight="1">
      <c r="A1098" s="3535"/>
      <c r="B1098" s="5720"/>
      <c r="C1098" s="1426" t="s">
        <v>745</v>
      </c>
      <c r="D1098" s="5721"/>
      <c r="E1098" s="5722" t="s">
        <v>518</v>
      </c>
      <c r="F1098" s="5723">
        <f t="array" ref="F1098">IFERROR(VLOOKUP(E1080,Dex!$B$3:$N1361,13,FALSE),"")</f>
        <v>95</v>
      </c>
      <c r="G1098" s="5717" t="str">
        <f t="array" ref="G1098">IFERROR(VLOOKUP(F1098,Dex!$P$22:$Q$276,2,FALSE),"")</f>
        <v/>
      </c>
      <c r="H1098" s="5718"/>
      <c r="I1098" s="5721"/>
      <c r="J1098" s="5722" t="s">
        <v>518</v>
      </c>
      <c r="K1098" s="5723">
        <f t="array" ref="K1098">IFERROR(VLOOKUP(J1080,Dex!$B$3:$N1361,13,FALSE),"")</f>
        <v>85</v>
      </c>
      <c r="L1098" s="5717" t="str">
        <f t="array" ref="L1098">IFERROR(VLOOKUP(K1098,Dex!$P$22:$Q$276,2,FALSE),"")</f>
        <v/>
      </c>
      <c r="M1098" s="5718"/>
      <c r="N1098" s="5721"/>
      <c r="O1098" s="5722" t="s">
        <v>518</v>
      </c>
      <c r="P1098" s="5723">
        <f t="array" ref="P1098">IFERROR(VLOOKUP(O1080,Dex!$B$3:$N1361,13,FALSE),"")</f>
        <v>95</v>
      </c>
      <c r="Q1098" s="5717" t="str">
        <f t="array" ref="Q1098">IFERROR(VLOOKUP(P1098,Dex!$P$22:$Q$276,2,FALSE),"")</f>
        <v/>
      </c>
      <c r="R1098" s="5718"/>
      <c r="S1098" s="5721"/>
      <c r="T1098" s="5722" t="s">
        <v>518</v>
      </c>
      <c r="U1098" s="5723">
        <f t="array" ref="U1098">IFERROR(VLOOKUP(T1080,Dex!$B$3:$N1361,13,FALSE),"")</f>
        <v>135</v>
      </c>
      <c r="V1098" s="5717" t="str">
        <f t="array" ref="V1098">IFERROR(VLOOKUP(U1098,Dex!$P$22:$Q$276,2,FALSE),"")</f>
        <v/>
      </c>
      <c r="W1098" s="5718"/>
      <c r="X1098" s="5721"/>
      <c r="Y1098" s="5722" t="s">
        <v>518</v>
      </c>
      <c r="Z1098" s="5723">
        <f t="array" ref="Z1098">IFERROR(VLOOKUP(Y1080,Dex!$B$3:$N1361,13,FALSE),"")</f>
        <v>130</v>
      </c>
      <c r="AA1098" s="5717" t="str">
        <f t="array" ref="AA1098">IFERROR(VLOOKUP(Z1098,Dex!$P$22:$Q$276,2,FALSE),"")</f>
        <v/>
      </c>
      <c r="AB1098" s="5718"/>
      <c r="AC1098" s="5714"/>
      <c r="AD1098" s="5722" t="s">
        <v>518</v>
      </c>
      <c r="AE1098" s="5723">
        <f t="array" ref="AE1098">IFERROR(VLOOKUP(AD1080,Dex!$B$3:$N1361,13,FALSE),"")</f>
        <v>100</v>
      </c>
      <c r="AF1098" s="5717" t="str">
        <f t="array" ref="AF1098">IFERROR(VLOOKUP(AE1098,Dex!$P$22:$Q$276,2,FALSE),"")</f>
        <v/>
      </c>
      <c r="AG1098" s="5718"/>
      <c r="AH1098" s="5709"/>
      <c r="AI1098" s="3543"/>
    </row>
    <row r="1099" ht="16.5" customHeight="1">
      <c r="A1099" s="3535"/>
      <c r="B1099" s="5720"/>
      <c r="C1099" s="1427" t="s">
        <v>1695</v>
      </c>
      <c r="D1099" s="5721"/>
      <c r="E1099" s="5724" t="s">
        <v>519</v>
      </c>
      <c r="F1099" s="630"/>
      <c r="G1099" s="631"/>
      <c r="H1099" s="632">
        <f>ROUNDDOWN((ROUNDDOWN(((((2*F1098+31)*74)/100+5)),0))*1,0)</f>
        <v>168</v>
      </c>
      <c r="I1099" s="5725"/>
      <c r="J1099" s="5724" t="s">
        <v>519</v>
      </c>
      <c r="K1099" s="630"/>
      <c r="L1099" s="631"/>
      <c r="M1099" s="632">
        <f>ROUNDDOWN((ROUNDDOWN(((((2*K1098+31)*75)/100+5)),0))*1,0)</f>
        <v>155</v>
      </c>
      <c r="N1099" s="5725"/>
      <c r="O1099" s="5724" t="s">
        <v>519</v>
      </c>
      <c r="P1099" s="630"/>
      <c r="Q1099" s="631"/>
      <c r="R1099" s="632">
        <f>ROUNDDOWN((ROUNDDOWN(((((2*P1098+31)*75)/100+5)),0))*1.1,0)</f>
        <v>187</v>
      </c>
      <c r="S1099" s="5725"/>
      <c r="T1099" s="5724" t="s">
        <v>519</v>
      </c>
      <c r="U1099" s="630"/>
      <c r="V1099" s="631"/>
      <c r="W1099" s="632">
        <f>ROUNDDOWN((ROUNDDOWN(((((2*U1098+31)*76)/100+5)),0))*1.1,0)</f>
        <v>256</v>
      </c>
      <c r="X1099" s="5725"/>
      <c r="Y1099" s="5724" t="s">
        <v>519</v>
      </c>
      <c r="Z1099" s="630"/>
      <c r="AA1099" s="631"/>
      <c r="AB1099" s="632">
        <f>ROUNDDOWN((ROUNDDOWN(((((2*Z1098+31)*76)/100+5)),0))*1.1,0)</f>
        <v>248</v>
      </c>
      <c r="AC1099" s="5708"/>
      <c r="AD1099" s="5724" t="s">
        <v>519</v>
      </c>
      <c r="AE1099" s="630"/>
      <c r="AF1099" s="631"/>
      <c r="AG1099" s="632">
        <f>ROUNDDOWN((ROUNDDOWN(((((2*AE1098+31)*76)/100+5)),0))*1.1,0)</f>
        <v>198</v>
      </c>
      <c r="AH1099" s="5709"/>
      <c r="AI1099" s="3543"/>
    </row>
    <row r="1100" ht="15.0" customHeight="1">
      <c r="A1100" s="3689"/>
      <c r="B1100" s="5726"/>
      <c r="C1100" s="5727"/>
      <c r="D1100" s="5728"/>
      <c r="E1100" s="5727"/>
      <c r="F1100" s="5727"/>
      <c r="G1100" s="5727"/>
      <c r="H1100" s="5727"/>
      <c r="I1100" s="5728"/>
      <c r="J1100" s="5729"/>
      <c r="K1100" s="5729"/>
      <c r="L1100" s="5729"/>
      <c r="M1100" s="5727"/>
      <c r="N1100" s="5728"/>
      <c r="O1100" s="5729"/>
      <c r="P1100" s="5729"/>
      <c r="Q1100" s="5729"/>
      <c r="R1100" s="5727"/>
      <c r="S1100" s="5728"/>
      <c r="T1100" s="5729"/>
      <c r="U1100" s="5729"/>
      <c r="V1100" s="5729"/>
      <c r="W1100" s="5727"/>
      <c r="X1100" s="5728"/>
      <c r="Y1100" s="5729"/>
      <c r="Z1100" s="5729"/>
      <c r="AA1100" s="5729"/>
      <c r="AB1100" s="5727"/>
      <c r="AC1100" s="5728"/>
      <c r="AD1100" s="5729"/>
      <c r="AE1100" s="5729"/>
      <c r="AF1100" s="5729"/>
      <c r="AG1100" s="5728"/>
      <c r="AH1100" s="5730"/>
      <c r="AI1100" s="3700"/>
    </row>
    <row r="1101" ht="15.0" customHeight="1">
      <c r="A1101" s="3446"/>
      <c r="B1101" s="3567"/>
      <c r="C1101" s="3568"/>
      <c r="D1101" s="3569"/>
      <c r="E1101" s="3569"/>
      <c r="F1101" s="3569"/>
      <c r="G1101" s="3569"/>
      <c r="H1101" s="3569"/>
      <c r="I1101" s="3569"/>
      <c r="J1101" s="3569"/>
      <c r="K1101" s="3569"/>
      <c r="L1101" s="3569"/>
      <c r="M1101" s="3569"/>
      <c r="N1101" s="3569"/>
      <c r="O1101" s="3569"/>
      <c r="P1101" s="3569"/>
      <c r="Q1101" s="3569"/>
      <c r="R1101" s="3569"/>
      <c r="S1101" s="3569"/>
      <c r="T1101" s="3569"/>
      <c r="U1101" s="3569"/>
      <c r="V1101" s="3569"/>
      <c r="W1101" s="3569"/>
      <c r="X1101" s="3569"/>
      <c r="Y1101" s="3569"/>
      <c r="Z1101" s="3569"/>
      <c r="AA1101" s="3569"/>
      <c r="AB1101" s="3569"/>
      <c r="AC1101" s="3569"/>
      <c r="AD1101" s="3569"/>
      <c r="AE1101" s="3569"/>
      <c r="AF1101" s="3569"/>
      <c r="AG1101" s="3569"/>
      <c r="AH1101" s="3571"/>
      <c r="AI1101" s="3452"/>
    </row>
    <row r="1102">
      <c r="A1102" s="3446"/>
      <c r="B1102" s="4579"/>
      <c r="C1102" s="4580"/>
      <c r="D1102" s="3581"/>
      <c r="E1102" s="4581" t="s">
        <v>1703</v>
      </c>
      <c r="F1102" s="3617"/>
      <c r="G1102" s="3617"/>
      <c r="H1102" s="3617"/>
      <c r="I1102" s="3617"/>
      <c r="J1102" s="3617"/>
      <c r="K1102" s="3617"/>
      <c r="L1102" s="3617"/>
      <c r="M1102" s="3617"/>
      <c r="N1102" s="3617"/>
      <c r="O1102" s="3617"/>
      <c r="P1102" s="3617"/>
      <c r="Q1102" s="3617"/>
      <c r="R1102" s="3617"/>
      <c r="S1102" s="3617"/>
      <c r="T1102" s="3617"/>
      <c r="U1102" s="3617"/>
      <c r="V1102" s="3617"/>
      <c r="W1102" s="3617"/>
      <c r="X1102" s="3617"/>
      <c r="Y1102" s="3617"/>
      <c r="Z1102" s="3617"/>
      <c r="AA1102" s="3617"/>
      <c r="AB1102" s="3617"/>
      <c r="AC1102" s="3617"/>
      <c r="AD1102" s="3617"/>
      <c r="AE1102" s="3617"/>
      <c r="AF1102" s="3617"/>
      <c r="AG1102" s="3618"/>
      <c r="AH1102" s="4582"/>
      <c r="AI1102" s="3452"/>
    </row>
    <row r="1103" ht="96.75" customHeight="1">
      <c r="A1103" s="3453"/>
      <c r="B1103" s="3572"/>
      <c r="C1103" s="3573" t="str">
        <f>IMAGE("https://i.ibb.co/TKBZjnF/Ace-Trainer-M.png")</f>
        <v/>
      </c>
      <c r="D1103" s="3574"/>
      <c r="E1103" s="3575" t="str">
        <f t="array" ref="E1103">IFERROR(VLOOKUP(E1104,Dex!$B$3:$G1361,3,FALSE),"")</f>
        <v/>
      </c>
      <c r="F1103" s="606"/>
      <c r="G1103" s="606"/>
      <c r="H1103" s="607"/>
      <c r="I1103" s="3576"/>
      <c r="J1103" s="3575" t="str">
        <f t="array" ref="J1103">IFERROR(VLOOKUP(J1104,Dex!$B$3:$G1361,3,FALSE),"")</f>
        <v/>
      </c>
      <c r="K1103" s="606"/>
      <c r="L1103" s="606"/>
      <c r="M1103" s="607"/>
      <c r="N1103" s="4583"/>
      <c r="O1103" s="3575" t="str">
        <f t="array" ref="O1103">IFERROR(VLOOKUP(O1104,Dex!$B$3:$G1361,3,FALSE),"")</f>
        <v/>
      </c>
      <c r="P1103" s="606"/>
      <c r="Q1103" s="606"/>
      <c r="R1103" s="607"/>
      <c r="S1103" s="4584"/>
      <c r="T1103" s="3575" t="str">
        <f t="array" ref="T1103">IFERROR(VLOOKUP(T1104,Dex!$B$3:$G1361,3,FALSE),"")</f>
        <v/>
      </c>
      <c r="U1103" s="606"/>
      <c r="V1103" s="606"/>
      <c r="W1103" s="607"/>
      <c r="X1103" s="4583"/>
      <c r="Y1103" s="3575" t="str">
        <f t="array" ref="Y1103">IFERROR(VLOOKUP(Y1104,Dex!$B$3:$G1361,3,FALSE),"")</f>
        <v/>
      </c>
      <c r="Z1103" s="606"/>
      <c r="AA1103" s="606"/>
      <c r="AB1103" s="607"/>
      <c r="AC1103" s="4585"/>
      <c r="AD1103" s="3578"/>
      <c r="AE1103" s="3579"/>
      <c r="AF1103" s="3579"/>
      <c r="AG1103" s="3580"/>
      <c r="AH1103" s="3583"/>
      <c r="AI1103" s="3466"/>
    </row>
    <row r="1104" ht="18.75" customHeight="1">
      <c r="A1104" s="3467"/>
      <c r="B1104" s="3584"/>
      <c r="C1104" s="3585" t="s">
        <v>1704</v>
      </c>
      <c r="D1104" s="3586"/>
      <c r="E1104" s="5731" t="s">
        <v>1705</v>
      </c>
      <c r="F1104" s="3588"/>
      <c r="G1104" s="3588"/>
      <c r="H1104" s="5732"/>
      <c r="J1104" s="5731" t="s">
        <v>1503</v>
      </c>
      <c r="K1104" s="3588"/>
      <c r="L1104" s="3588"/>
      <c r="M1104" s="5732"/>
      <c r="O1104" s="5731" t="s">
        <v>1576</v>
      </c>
      <c r="P1104" s="3588"/>
      <c r="Q1104" s="3588"/>
      <c r="R1104" s="5732"/>
      <c r="T1104" s="5731" t="s">
        <v>1328</v>
      </c>
      <c r="U1104" s="3588"/>
      <c r="V1104" s="3588"/>
      <c r="W1104" s="5732"/>
      <c r="Y1104" s="5731" t="s">
        <v>1706</v>
      </c>
      <c r="Z1104" s="3588"/>
      <c r="AA1104" s="3588"/>
      <c r="AB1104" s="5732"/>
      <c r="AC1104" s="3590"/>
      <c r="AD1104" s="3591"/>
      <c r="AE1104" s="3579"/>
      <c r="AF1104" s="3579"/>
      <c r="AG1104" s="3580"/>
      <c r="AH1104" s="3593"/>
      <c r="AI1104" s="3478"/>
    </row>
    <row r="1105">
      <c r="A1105" s="3479"/>
      <c r="B1105" s="3594"/>
      <c r="C1105" s="1638"/>
      <c r="D1105" s="3595"/>
      <c r="E1105" s="4586" t="s">
        <v>729</v>
      </c>
      <c r="F1105" s="3597"/>
      <c r="G1105" s="3597"/>
      <c r="H1105" s="4587"/>
      <c r="J1105" s="4586" t="s">
        <v>729</v>
      </c>
      <c r="K1105" s="3597"/>
      <c r="L1105" s="3597"/>
      <c r="M1105" s="4587"/>
      <c r="O1105" s="4586" t="s">
        <v>729</v>
      </c>
      <c r="P1105" s="3597"/>
      <c r="Q1105" s="3597"/>
      <c r="R1105" s="4587"/>
      <c r="T1105" s="4586" t="s">
        <v>729</v>
      </c>
      <c r="U1105" s="3597"/>
      <c r="V1105" s="3597"/>
      <c r="W1105" s="4587"/>
      <c r="Y1105" s="4586" t="s">
        <v>729</v>
      </c>
      <c r="Z1105" s="3597"/>
      <c r="AA1105" s="3597"/>
      <c r="AB1105" s="4587"/>
      <c r="AC1105" s="3590"/>
      <c r="AD1105" s="3599"/>
      <c r="AE1105" s="3579"/>
      <c r="AF1105" s="3579"/>
      <c r="AG1105" s="3580"/>
      <c r="AH1105" s="3600"/>
      <c r="AI1105" s="3487"/>
    </row>
    <row r="1106" ht="25.5" customHeight="1">
      <c r="A1106" s="3453"/>
      <c r="B1106" s="3572"/>
      <c r="C1106" s="1646"/>
      <c r="D1106" s="3574"/>
      <c r="E1106" s="5733"/>
      <c r="F1106" s="4588" t="str">
        <f t="array" ref="F1106">IFERROR(VLOOKUP(E1104,Dex!$B$3:$H1361,5,FALSE),"")</f>
        <v/>
      </c>
      <c r="G1106" s="4589" t="str">
        <f t="array" ref="G1106">IFERROR(VLOOKUP(E1104,Dex!$B$3:$H1361,7,FALSE),"")</f>
        <v/>
      </c>
      <c r="H1106" s="5734"/>
      <c r="J1106" s="5733"/>
      <c r="K1106" s="4588" t="str">
        <f t="array" ref="K1106">IFERROR(VLOOKUP(J1104,Dex!$B$3:$H1361,5,FALSE),"")</f>
        <v/>
      </c>
      <c r="L1106" s="4589" t="str">
        <f t="array" ref="L1106">IFERROR(VLOOKUP(J1104,Dex!$B$3:$H1361,7,FALSE),"")</f>
        <v/>
      </c>
      <c r="M1106" s="5734"/>
      <c r="O1106" s="5733"/>
      <c r="P1106" s="4588" t="str">
        <f t="array" ref="P1106">IFERROR(VLOOKUP(O1104,Dex!$B$3:$H1361,5,FALSE),"")</f>
        <v/>
      </c>
      <c r="Q1106" s="4589" t="str">
        <f t="array" ref="Q1106">IFERROR(VLOOKUP(O1104,Dex!$B$3:$H1361,7,FALSE),"")</f>
        <v/>
      </c>
      <c r="R1106" s="5734"/>
      <c r="T1106" s="5733"/>
      <c r="U1106" s="4588" t="str">
        <f t="array" ref="U1106">IFERROR(VLOOKUP(T1104,Dex!$B$3:$H1361,5,FALSE),"")</f>
        <v/>
      </c>
      <c r="V1106" s="4589" t="str">
        <f t="array" ref="V1106">IFERROR(VLOOKUP(T1104,Dex!$B$3:$H1361,7,FALSE),"")</f>
        <v/>
      </c>
      <c r="W1106" s="5734"/>
      <c r="Y1106" s="5733"/>
      <c r="Z1106" s="4588" t="str">
        <f t="array" ref="Z1106">IFERROR(VLOOKUP(Y1104,Dex!$B$3:$H1361,5,FALSE),"")</f>
        <v/>
      </c>
      <c r="AA1106" s="4589" t="str">
        <f t="array" ref="AA1106">IFERROR(VLOOKUP(Y1104,Dex!$B$3:$H1361,7,FALSE),"")</f>
        <v/>
      </c>
      <c r="AB1106" s="5734"/>
      <c r="AC1106" s="3590"/>
      <c r="AD1106" s="3578"/>
      <c r="AE1106" s="3579"/>
      <c r="AF1106" s="3579"/>
      <c r="AG1106" s="3580"/>
      <c r="AH1106" s="3583"/>
      <c r="AI1106" s="3466"/>
    </row>
    <row r="1107" ht="2.25" customHeight="1">
      <c r="A1107" s="3453"/>
      <c r="B1107" s="3572"/>
      <c r="C1107" s="3605"/>
      <c r="D1107" s="3574"/>
      <c r="E1107" s="5735"/>
      <c r="F1107" s="5736"/>
      <c r="G1107" s="5736"/>
      <c r="H1107" s="5737"/>
      <c r="J1107" s="5735"/>
      <c r="K1107" s="5736"/>
      <c r="L1107" s="5736"/>
      <c r="M1107" s="5737"/>
      <c r="O1107" s="5735"/>
      <c r="P1107" s="5736"/>
      <c r="Q1107" s="5736"/>
      <c r="R1107" s="5737"/>
      <c r="T1107" s="5735"/>
      <c r="U1107" s="5736"/>
      <c r="V1107" s="5736"/>
      <c r="W1107" s="5737"/>
      <c r="Y1107" s="5735"/>
      <c r="Z1107" s="5736"/>
      <c r="AA1107" s="5736"/>
      <c r="AB1107" s="5737"/>
      <c r="AC1107" s="3590"/>
      <c r="AD1107" s="3609"/>
      <c r="AE1107" s="3609"/>
      <c r="AF1107" s="3609"/>
      <c r="AG1107" s="3609"/>
      <c r="AH1107" s="3583"/>
      <c r="AI1107" s="3466"/>
    </row>
    <row r="1108" ht="20.25" customHeight="1">
      <c r="A1108" s="3453"/>
      <c r="B1108" s="3572"/>
      <c r="C1108" s="3605"/>
      <c r="D1108" s="3574"/>
      <c r="E1108" s="3610" t="s">
        <v>532</v>
      </c>
      <c r="F1108" s="3611"/>
      <c r="G1108" s="3611"/>
      <c r="H1108" s="3612"/>
      <c r="J1108" s="3610" t="s">
        <v>532</v>
      </c>
      <c r="K1108" s="3611"/>
      <c r="L1108" s="3611"/>
      <c r="M1108" s="3612"/>
      <c r="O1108" s="3610" t="s">
        <v>532</v>
      </c>
      <c r="P1108" s="3611"/>
      <c r="Q1108" s="3611"/>
      <c r="R1108" s="3612"/>
      <c r="T1108" s="3610" t="s">
        <v>564</v>
      </c>
      <c r="U1108" s="3611"/>
      <c r="V1108" s="3611"/>
      <c r="W1108" s="3612"/>
      <c r="Y1108" s="3610" t="s">
        <v>532</v>
      </c>
      <c r="Z1108" s="3611"/>
      <c r="AA1108" s="3611"/>
      <c r="AB1108" s="3612"/>
      <c r="AC1108" s="3590"/>
      <c r="AD1108" s="3578"/>
      <c r="AE1108" s="3579"/>
      <c r="AF1108" s="3579"/>
      <c r="AG1108" s="3580"/>
      <c r="AH1108" s="3583"/>
      <c r="AI1108" s="3466"/>
    </row>
    <row r="1109">
      <c r="A1109" s="3453"/>
      <c r="B1109" s="3572"/>
      <c r="C1109" s="3613"/>
      <c r="D1109" s="3574"/>
      <c r="E1109" s="3614" t="s">
        <v>91</v>
      </c>
      <c r="F1109" s="3579"/>
      <c r="G1109" s="3579"/>
      <c r="H1109" s="3615"/>
      <c r="J1109" s="3614" t="s">
        <v>1132</v>
      </c>
      <c r="K1109" s="3579"/>
      <c r="L1109" s="3579"/>
      <c r="M1109" s="3615"/>
      <c r="O1109" s="3614" t="s">
        <v>96</v>
      </c>
      <c r="P1109" s="3579"/>
      <c r="Q1109" s="3579"/>
      <c r="R1109" s="3615"/>
      <c r="T1109" s="3614" t="s">
        <v>76</v>
      </c>
      <c r="U1109" s="3579"/>
      <c r="V1109" s="3579"/>
      <c r="W1109" s="3615"/>
      <c r="Y1109" s="3614" t="s">
        <v>1707</v>
      </c>
      <c r="Z1109" s="3579"/>
      <c r="AA1109" s="3579"/>
      <c r="AB1109" s="3615"/>
      <c r="AC1109" s="3590"/>
      <c r="AD1109" s="3578"/>
      <c r="AE1109" s="3579"/>
      <c r="AF1109" s="3579"/>
      <c r="AG1109" s="3580"/>
      <c r="AH1109" s="3583"/>
      <c r="AI1109" s="3466"/>
    </row>
    <row r="1110" ht="20.25" customHeight="1">
      <c r="A1110" s="3453"/>
      <c r="B1110" s="3572"/>
      <c r="C1110" s="3592"/>
      <c r="D1110" s="3574"/>
      <c r="E1110" s="3616" t="s">
        <v>1084</v>
      </c>
      <c r="F1110" s="3617"/>
      <c r="G1110" s="3618"/>
      <c r="H1110" s="3619" t="str">
        <f>IMAGE("https://raw.githubusercontent.com/msikma/pokesprite/master/items/gem/flying.png",3)</f>
        <v/>
      </c>
      <c r="J1110" s="3616" t="s">
        <v>770</v>
      </c>
      <c r="K1110" s="3617"/>
      <c r="L1110" s="3618"/>
      <c r="M1110" s="3619" t="str">
        <f>IMAGE("https://raw.githubusercontent.com/msikma/pokesprite/master/items/gem/fire.png",3)</f>
        <v/>
      </c>
      <c r="O1110" s="3616" t="s">
        <v>1708</v>
      </c>
      <c r="P1110" s="3617"/>
      <c r="Q1110" s="3618"/>
      <c r="R1110" s="3619" t="str">
        <f>IMAGE("https://raw.githubusercontent.com/msikma/pokesprite/master/items/z-crystals/rockium-z--held.png",3)</f>
        <v/>
      </c>
      <c r="T1110" s="3616" t="s">
        <v>541</v>
      </c>
      <c r="U1110" s="3617"/>
      <c r="V1110" s="3618"/>
      <c r="W1110" s="3619" t="str">
        <f>IMAGE("https://raw.githubusercontent.com/msikma/pokesprite/master/items/hold-item/life-orb.png",3)</f>
        <v/>
      </c>
      <c r="Y1110" s="3616" t="s">
        <v>1709</v>
      </c>
      <c r="Z1110" s="3617"/>
      <c r="AA1110" s="3618"/>
      <c r="AB1110" s="3619" t="str">
        <f>IMAGE("https://raw.githubusercontent.com/msikma/pokesprite/master/items/mega-stone/charizardite-y.png",3)</f>
        <v/>
      </c>
      <c r="AC1110" s="3590"/>
      <c r="AD1110" s="3578"/>
      <c r="AE1110" s="3579"/>
      <c r="AF1110" s="3579"/>
      <c r="AG1110" s="3580"/>
      <c r="AH1110" s="3583"/>
      <c r="AI1110" s="3466"/>
    </row>
    <row r="1111" ht="20.25" customHeight="1">
      <c r="A1111" s="3453"/>
      <c r="B1111" s="3572"/>
      <c r="C1111" s="3620"/>
      <c r="D1111" s="3574"/>
      <c r="E1111" s="3610" t="s">
        <v>613</v>
      </c>
      <c r="F1111" s="3611"/>
      <c r="G1111" s="3621"/>
      <c r="H1111" s="3622" t="str">
        <f>IMAGE("https://raw.githubusercontent.com/msikma/pokesprite/master/misc/types/gen8/flying.png",4,20,20)</f>
        <v/>
      </c>
      <c r="J1111" s="3610" t="s">
        <v>1137</v>
      </c>
      <c r="K1111" s="3611"/>
      <c r="L1111" s="3621"/>
      <c r="M1111" s="3622" t="str">
        <f>IMAGE("https://raw.githubusercontent.com/msikma/pokesprite/master/misc/types/gen8/rock.png",4,20,20)</f>
        <v/>
      </c>
      <c r="O1111" s="3610" t="s">
        <v>621</v>
      </c>
      <c r="P1111" s="3611"/>
      <c r="Q1111" s="3621"/>
      <c r="R1111" s="3622" t="str">
        <f>IMAGE("https://raw.githubusercontent.com/msikma/pokesprite/master/misc/types/gen8/rock.png",4,20,20)</f>
        <v/>
      </c>
      <c r="T1111" s="3610" t="s">
        <v>1710</v>
      </c>
      <c r="U1111" s="3611"/>
      <c r="V1111" s="3621"/>
      <c r="W1111" s="3622" t="str">
        <f>IMAGE("https://raw.githubusercontent.com/msikma/pokesprite/master/misc/types/gen8/fire.png",4,20,20)</f>
        <v/>
      </c>
      <c r="Y1111" s="3610" t="s">
        <v>694</v>
      </c>
      <c r="Z1111" s="3611"/>
      <c r="AA1111" s="3621"/>
      <c r="AB1111" s="3622" t="str">
        <f>IMAGE("https://raw.githubusercontent.com/msikma/pokesprite/master/misc/types/gen8/fire.png",4,20,20)</f>
        <v/>
      </c>
      <c r="AC1111" s="3590"/>
      <c r="AD1111" s="3578"/>
      <c r="AE1111" s="3579"/>
      <c r="AF1111" s="3579"/>
      <c r="AG1111" s="3580"/>
      <c r="AH1111" s="3583"/>
      <c r="AI1111" s="3466"/>
    </row>
    <row r="1112" ht="20.25" customHeight="1">
      <c r="A1112" s="3453"/>
      <c r="B1112" s="3572"/>
      <c r="C1112" s="3605"/>
      <c r="D1112" s="3574"/>
      <c r="E1112" s="3614" t="s">
        <v>583</v>
      </c>
      <c r="F1112" s="3579"/>
      <c r="G1112" s="3580"/>
      <c r="H1112" s="3623" t="str">
        <f>IMAGE("https://raw.githubusercontent.com/msikma/pokesprite/master/misc/types/gen8/fighting.png",4,20,20)</f>
        <v/>
      </c>
      <c r="J1112" s="3614" t="s">
        <v>694</v>
      </c>
      <c r="K1112" s="3579"/>
      <c r="L1112" s="3580"/>
      <c r="M1112" s="3623" t="str">
        <f>IMAGE("https://raw.githubusercontent.com/msikma/pokesprite/master/misc/types/gen8/fire.png",4,20,20)</f>
        <v/>
      </c>
      <c r="O1112" s="3614" t="s">
        <v>549</v>
      </c>
      <c r="P1112" s="3579"/>
      <c r="Q1112" s="3580"/>
      <c r="R1112" s="3623" t="str">
        <f>IMAGE("https://raw.githubusercontent.com/msikma/pokesprite/master/misc/types/gen8/ground.png",4,20,20)</f>
        <v/>
      </c>
      <c r="T1112" s="3614" t="s">
        <v>669</v>
      </c>
      <c r="U1112" s="3579"/>
      <c r="V1112" s="3580"/>
      <c r="W1112" s="3623" t="str">
        <f>IMAGE("https://raw.githubusercontent.com/msikma/pokesprite/master/misc/types/gen8/psychic.png",4,20,20)</f>
        <v/>
      </c>
      <c r="Y1112" s="3614" t="s">
        <v>1324</v>
      </c>
      <c r="Z1112" s="3579"/>
      <c r="AA1112" s="3580"/>
      <c r="AB1112" s="3623" t="str">
        <f>IMAGE("https://raw.githubusercontent.com/msikma/pokesprite/master/misc/types/gen8/bug.png",4,20,20)</f>
        <v/>
      </c>
      <c r="AC1112" s="3590"/>
      <c r="AD1112" s="3578"/>
      <c r="AE1112" s="3579"/>
      <c r="AF1112" s="3579"/>
      <c r="AG1112" s="3580"/>
      <c r="AH1112" s="3583"/>
      <c r="AI1112" s="3466"/>
    </row>
    <row r="1113" ht="20.25" customHeight="1">
      <c r="A1113" s="3453"/>
      <c r="B1113" s="3572"/>
      <c r="C1113" s="3605"/>
      <c r="D1113" s="3574"/>
      <c r="E1113" s="3614" t="s">
        <v>612</v>
      </c>
      <c r="F1113" s="3579"/>
      <c r="G1113" s="3580"/>
      <c r="H1113" s="3623" t="str">
        <f>IMAGE("https://raw.githubusercontent.com/msikma/pokesprite/master/misc/types/gen8/bug.png",4,20,20)</f>
        <v/>
      </c>
      <c r="J1113" s="3614" t="s">
        <v>905</v>
      </c>
      <c r="K1113" s="3579"/>
      <c r="L1113" s="3580"/>
      <c r="M1113" s="3623" t="str">
        <f>IMAGE("https://raw.githubusercontent.com/msikma/pokesprite/master/misc/types/gen8/electric.png",4,20,20)</f>
        <v/>
      </c>
      <c r="O1113" s="3614" t="s">
        <v>1020</v>
      </c>
      <c r="P1113" s="3579"/>
      <c r="Q1113" s="3580"/>
      <c r="R1113" s="3623" t="str">
        <f>IMAGE("https://raw.githubusercontent.com/msikma/pokesprite/master/misc/types/gen8/fire.png",4,20,20)</f>
        <v/>
      </c>
      <c r="T1113" s="3614" t="s">
        <v>742</v>
      </c>
      <c r="U1113" s="3579"/>
      <c r="V1113" s="3580"/>
      <c r="W1113" s="3623" t="str">
        <f>IMAGE("https://raw.githubusercontent.com/msikma/pokesprite/master/misc/types/gen8/grass.png",4,20,20)</f>
        <v/>
      </c>
      <c r="Y1113" s="3614" t="s">
        <v>616</v>
      </c>
      <c r="Z1113" s="3579"/>
      <c r="AA1113" s="3580"/>
      <c r="AB1113" s="3623" t="str">
        <f>IMAGE("https://raw.githubusercontent.com/msikma/pokesprite/master/misc/types/gen8/grass.png",4,20,20)</f>
        <v/>
      </c>
      <c r="AC1113" s="3590"/>
      <c r="AD1113" s="3578"/>
      <c r="AE1113" s="3579"/>
      <c r="AF1113" s="3579"/>
      <c r="AG1113" s="3580"/>
      <c r="AH1113" s="3583"/>
      <c r="AI1113" s="3466"/>
    </row>
    <row r="1114" ht="21.0" customHeight="1">
      <c r="A1114" s="3453"/>
      <c r="B1114" s="3572"/>
      <c r="C1114" s="3605"/>
      <c r="D1114" s="3574"/>
      <c r="E1114" s="3624" t="s">
        <v>1711</v>
      </c>
      <c r="F1114" s="3625"/>
      <c r="G1114" s="3626"/>
      <c r="H1114" s="3627" t="str">
        <f>IMAGE("https://raw.githubusercontent.com/msikma/pokesprite/master/misc/types/gen8/fighting.png",4,20,20)</f>
        <v/>
      </c>
      <c r="I1114" s="3628"/>
      <c r="J1114" s="3624" t="s">
        <v>1488</v>
      </c>
      <c r="K1114" s="3625"/>
      <c r="L1114" s="3626"/>
      <c r="M1114" s="3627" t="str">
        <f>IMAGE("https://raw.githubusercontent.com/msikma/pokesprite/master/misc/types/gen8/rock.png",4,20,20)</f>
        <v/>
      </c>
      <c r="N1114" s="3628"/>
      <c r="O1114" s="3624" t="s">
        <v>1712</v>
      </c>
      <c r="P1114" s="3625"/>
      <c r="Q1114" s="3626"/>
      <c r="R1114" s="3627" t="str">
        <f>IMAGE("https://raw.githubusercontent.com/msikma/pokesprite/master/misc/types/gen8/bug.png",4,20,20)</f>
        <v/>
      </c>
      <c r="S1114" s="3628"/>
      <c r="T1114" s="3624" t="s">
        <v>647</v>
      </c>
      <c r="U1114" s="3625"/>
      <c r="V1114" s="3626"/>
      <c r="W1114" s="3627" t="str">
        <f>IMAGE("https://raw.githubusercontent.com/msikma/pokesprite/master/misc/types/gen8/ghost.png",4,20,20)</f>
        <v/>
      </c>
      <c r="X1114" s="3628"/>
      <c r="Y1114" s="3624" t="s">
        <v>192</v>
      </c>
      <c r="Z1114" s="3625"/>
      <c r="AA1114" s="3626"/>
      <c r="AB1114" s="3627" t="str">
        <f>IMAGE("https://raw.githubusercontent.com/msikma/pokesprite/master/misc/types/gen8/poison.png",4,20,20)</f>
        <v/>
      </c>
      <c r="AC1114" s="3629"/>
      <c r="AD1114" s="3578"/>
      <c r="AE1114" s="3579"/>
      <c r="AF1114" s="3579"/>
      <c r="AG1114" s="3580"/>
      <c r="AH1114" s="3583"/>
      <c r="AI1114" s="3466"/>
    </row>
    <row r="1115" ht="3.0" customHeight="1">
      <c r="A1115" s="3524"/>
      <c r="B1115" s="3630"/>
      <c r="C1115" s="3631"/>
      <c r="D1115" s="3632"/>
      <c r="E1115" s="3634"/>
      <c r="F1115" s="3634"/>
      <c r="G1115" s="3634"/>
      <c r="H1115" s="3633"/>
      <c r="I1115" s="3632"/>
      <c r="J1115" s="3634"/>
      <c r="K1115" s="3634"/>
      <c r="L1115" s="3634"/>
      <c r="M1115" s="3633"/>
      <c r="N1115" s="3632"/>
      <c r="O1115" s="3634"/>
      <c r="P1115" s="3634"/>
      <c r="Q1115" s="3634"/>
      <c r="R1115" s="3633"/>
      <c r="S1115" s="3635"/>
      <c r="T1115" s="3634"/>
      <c r="U1115" s="3634"/>
      <c r="V1115" s="3634"/>
      <c r="W1115" s="3633"/>
      <c r="X1115" s="3632"/>
      <c r="Y1115" s="3634"/>
      <c r="Z1115" s="3634"/>
      <c r="AA1115" s="3634"/>
      <c r="AB1115" s="3633"/>
      <c r="AC1115" s="3637"/>
      <c r="AD1115" s="3637"/>
      <c r="AE1115" s="3637"/>
      <c r="AF1115" s="3637"/>
      <c r="AG1115" s="3637"/>
      <c r="AH1115" s="3638"/>
      <c r="AI1115" s="3534"/>
    </row>
    <row r="1116" ht="16.5" customHeight="1">
      <c r="A1116" s="3535"/>
      <c r="B1116" s="3639"/>
      <c r="C1116" s="3631"/>
      <c r="D1116" s="4590"/>
      <c r="E1116" s="3641" t="s">
        <v>512</v>
      </c>
      <c r="F1116" s="606"/>
      <c r="G1116" s="606"/>
      <c r="H1116" s="607"/>
      <c r="I1116" s="3642"/>
      <c r="J1116" s="3641" t="s">
        <v>512</v>
      </c>
      <c r="K1116" s="606"/>
      <c r="L1116" s="606"/>
      <c r="M1116" s="607"/>
      <c r="N1116" s="4590"/>
      <c r="O1116" s="3641" t="s">
        <v>512</v>
      </c>
      <c r="P1116" s="606"/>
      <c r="Q1116" s="606"/>
      <c r="R1116" s="607"/>
      <c r="S1116" s="4591"/>
      <c r="T1116" s="3641" t="s">
        <v>512</v>
      </c>
      <c r="U1116" s="606"/>
      <c r="V1116" s="606"/>
      <c r="W1116" s="607"/>
      <c r="X1116" s="4592"/>
      <c r="Y1116" s="3641" t="s">
        <v>512</v>
      </c>
      <c r="Z1116" s="606"/>
      <c r="AA1116" s="606"/>
      <c r="AB1116" s="607"/>
      <c r="AC1116" s="3644"/>
      <c r="AD1116" s="3644"/>
      <c r="AE1116" s="3644"/>
      <c r="AF1116" s="3644"/>
      <c r="AG1116" s="3644"/>
      <c r="AH1116" s="3645"/>
      <c r="AI1116" s="3543"/>
    </row>
    <row r="1117" ht="16.5" customHeight="1">
      <c r="A1117" s="3535"/>
      <c r="B1117" s="3639"/>
      <c r="C1117" s="3631"/>
      <c r="D1117" s="3640"/>
      <c r="E1117" s="3646" t="s">
        <v>513</v>
      </c>
      <c r="F1117" s="3647">
        <f t="array" ref="F1117">IFERROR(VLOOKUP(E1104,Dex!$B$3:$N1361,8,FALSE),"")</f>
        <v>90</v>
      </c>
      <c r="G1117" s="3648" t="str">
        <f t="array" ref="G1117">IFERROR(VLOOKUP(F1117,Dex!$P$22:$Q$276,2,FALSE),"")</f>
        <v/>
      </c>
      <c r="H1117" s="3649"/>
      <c r="I1117" s="3650"/>
      <c r="J1117" s="3646" t="s">
        <v>513</v>
      </c>
      <c r="K1117" s="3647">
        <f t="array" ref="K1117">IFERROR(VLOOKUP(J1104,Dex!$B$3:$N1361,8,FALSE),"")</f>
        <v>95</v>
      </c>
      <c r="L1117" s="3648" t="str">
        <f t="array" ref="L1117">IFERROR(VLOOKUP(K1117,Dex!$P$22:$Q$276,2,FALSE),"")</f>
        <v/>
      </c>
      <c r="M1117" s="3649"/>
      <c r="N1117" s="3640"/>
      <c r="O1117" s="3646" t="s">
        <v>513</v>
      </c>
      <c r="P1117" s="3647">
        <f t="array" ref="P1117">IFERROR(VLOOKUP(O1104,Dex!$B$3:$N1361,8,FALSE),"")</f>
        <v>115</v>
      </c>
      <c r="Q1117" s="3648" t="str">
        <f t="array" ref="Q1117">IFERROR(VLOOKUP(P1117,Dex!$P$22:$Q$276,2,FALSE),"")</f>
        <v/>
      </c>
      <c r="R1117" s="3649"/>
      <c r="S1117" s="3644"/>
      <c r="T1117" s="3646" t="s">
        <v>513</v>
      </c>
      <c r="U1117" s="3647">
        <f t="array" ref="U1117">IFERROR(VLOOKUP(T1104,Dex!$B$3:$N1361,8,FALSE),"")</f>
        <v>75</v>
      </c>
      <c r="V1117" s="3648" t="str">
        <f t="array" ref="V1117">IFERROR(VLOOKUP(U1117,Dex!$P$22:$Q$276,2,FALSE),"")</f>
        <v/>
      </c>
      <c r="W1117" s="3649"/>
      <c r="X1117" s="3644"/>
      <c r="Y1117" s="3646" t="s">
        <v>513</v>
      </c>
      <c r="Z1117" s="3647">
        <f t="array" ref="Z1117">IFERROR(VLOOKUP(Y1104,Dex!$B$3:$N1361,8,FALSE),"")</f>
        <v>100</v>
      </c>
      <c r="AA1117" s="3648" t="str">
        <f t="array" ref="AA1117">IFERROR(VLOOKUP(Z1117,Dex!$P$22:$Q$276,2,FALSE),"")</f>
        <v/>
      </c>
      <c r="AB1117" s="3649"/>
      <c r="AC1117" s="3644"/>
      <c r="AD1117" s="3644"/>
      <c r="AE1117" s="3644"/>
      <c r="AF1117" s="3644"/>
      <c r="AG1117" s="3644"/>
      <c r="AH1117" s="3645"/>
      <c r="AI1117" s="3543"/>
    </row>
    <row r="1118" ht="16.5" customHeight="1">
      <c r="A1118" s="3535"/>
      <c r="B1118" s="3639"/>
      <c r="C1118" s="3631"/>
      <c r="D1118" s="3640"/>
      <c r="E1118" s="3652" t="s">
        <v>514</v>
      </c>
      <c r="F1118" s="3653">
        <f t="array" ref="F1118">IFERROR(VLOOKUP(E1104,Dex!$B$3:$N1361,9,FALSE),"")</f>
        <v>125</v>
      </c>
      <c r="G1118" s="3654" t="str">
        <f t="array" ref="G1118">IFERROR(VLOOKUP(F1118,Dex!$P$22:$Q$276,2,FALSE),"")</f>
        <v/>
      </c>
      <c r="H1118" s="3655"/>
      <c r="I1118" s="3650"/>
      <c r="J1118" s="3652" t="s">
        <v>514</v>
      </c>
      <c r="K1118" s="3653">
        <f t="array" ref="K1118">IFERROR(VLOOKUP(J1104,Dex!$B$3:$N1361,9,FALSE),"")</f>
        <v>125</v>
      </c>
      <c r="L1118" s="3654" t="str">
        <f t="array" ref="L1118">IFERROR(VLOOKUP(K1118,Dex!$P$22:$Q$276,2,FALSE),"")</f>
        <v/>
      </c>
      <c r="M1118" s="3655"/>
      <c r="N1118" s="3640"/>
      <c r="O1118" s="3652" t="s">
        <v>514</v>
      </c>
      <c r="P1118" s="3653">
        <f t="array" ref="P1118">IFERROR(VLOOKUP(O1104,Dex!$B$3:$N1361,9,FALSE),"")</f>
        <v>140</v>
      </c>
      <c r="Q1118" s="3654" t="str">
        <f t="array" ref="Q1118">IFERROR(VLOOKUP(P1118,Dex!$P$22:$Q$276,2,FALSE),"")</f>
        <v/>
      </c>
      <c r="R1118" s="3655"/>
      <c r="S1118" s="3644"/>
      <c r="T1118" s="3652" t="s">
        <v>514</v>
      </c>
      <c r="U1118" s="3653">
        <f t="array" ref="U1118">IFERROR(VLOOKUP(T1104,Dex!$B$3:$N1361,9,FALSE),"")</f>
        <v>69</v>
      </c>
      <c r="V1118" s="3654" t="str">
        <f t="array" ref="V1118">IFERROR(VLOOKUP(U1118,Dex!$P$22:$Q$276,2,FALSE),"")</f>
        <v/>
      </c>
      <c r="W1118" s="3655"/>
      <c r="X1118" s="3644"/>
      <c r="Y1118" s="3652" t="s">
        <v>514</v>
      </c>
      <c r="Z1118" s="3653">
        <f t="array" ref="Z1118">IFERROR(VLOOKUP(Y1104,Dex!$B$3:$N1361,9,FALSE),"")</f>
        <v>150</v>
      </c>
      <c r="AA1118" s="3654" t="str">
        <f t="array" ref="AA1118">IFERROR(VLOOKUP(Z1118,Dex!$P$22:$Q$276,2,FALSE),"")</f>
        <v/>
      </c>
      <c r="AB1118" s="3655"/>
      <c r="AC1118" s="3644"/>
      <c r="AD1118" s="3644"/>
      <c r="AE1118" s="3644"/>
      <c r="AF1118" s="3644"/>
      <c r="AG1118" s="3644"/>
      <c r="AH1118" s="3645"/>
      <c r="AI1118" s="3543"/>
    </row>
    <row r="1119" ht="16.5" customHeight="1">
      <c r="A1119" s="3535"/>
      <c r="B1119" s="3639"/>
      <c r="C1119" s="3631"/>
      <c r="D1119" s="3640"/>
      <c r="E1119" s="3652" t="s">
        <v>515</v>
      </c>
      <c r="F1119" s="3653">
        <f t="array" ref="F1119">IFERROR(VLOOKUP(E1104,Dex!$B$3:$N1361,10,FALSE),"")</f>
        <v>90</v>
      </c>
      <c r="G1119" s="3654" t="str">
        <f t="array" ref="G1119">IFERROR(VLOOKUP(F1119,Dex!$P$22:$Q$276,2,FALSE),"")</f>
        <v/>
      </c>
      <c r="H1119" s="3655"/>
      <c r="I1119" s="3650"/>
      <c r="J1119" s="3652" t="s">
        <v>515</v>
      </c>
      <c r="K1119" s="3653">
        <f t="array" ref="K1119">IFERROR(VLOOKUP(J1104,Dex!$B$3:$N1361,10,FALSE),"")</f>
        <v>80</v>
      </c>
      <c r="L1119" s="3654" t="str">
        <f t="array" ref="L1119">IFERROR(VLOOKUP(K1119,Dex!$P$22:$Q$276,2,FALSE),"")</f>
        <v/>
      </c>
      <c r="M1119" s="3655"/>
      <c r="N1119" s="3640"/>
      <c r="O1119" s="3652" t="s">
        <v>515</v>
      </c>
      <c r="P1119" s="3653">
        <f t="array" ref="P1119">IFERROR(VLOOKUP(O1104,Dex!$B$3:$N1361,10,FALSE),"")</f>
        <v>130</v>
      </c>
      <c r="Q1119" s="3654" t="str">
        <f t="array" ref="Q1119">IFERROR(VLOOKUP(P1119,Dex!$P$22:$Q$276,2,FALSE),"")</f>
        <v/>
      </c>
      <c r="R1119" s="3655"/>
      <c r="S1119" s="3644"/>
      <c r="T1119" s="3652" t="s">
        <v>515</v>
      </c>
      <c r="U1119" s="3653">
        <f t="array" ref="U1119">IFERROR(VLOOKUP(T1104,Dex!$B$3:$N1361,10,FALSE),"")</f>
        <v>72</v>
      </c>
      <c r="V1119" s="3654" t="str">
        <f t="array" ref="V1119">IFERROR(VLOOKUP(U1119,Dex!$P$22:$Q$276,2,FALSE),"")</f>
        <v/>
      </c>
      <c r="W1119" s="3655"/>
      <c r="X1119" s="3644"/>
      <c r="Y1119" s="3652" t="s">
        <v>515</v>
      </c>
      <c r="Z1119" s="3653">
        <f t="array" ref="Z1119">IFERROR(VLOOKUP(Y1104,Dex!$B$3:$N1361,10,FALSE),"")</f>
        <v>80</v>
      </c>
      <c r="AA1119" s="3654" t="str">
        <f t="array" ref="AA1119">IFERROR(VLOOKUP(Z1119,Dex!$P$22:$Q$276,2,FALSE),"")</f>
        <v/>
      </c>
      <c r="AB1119" s="3655"/>
      <c r="AC1119" s="3644"/>
      <c r="AD1119" s="3644"/>
      <c r="AE1119" s="3644"/>
      <c r="AF1119" s="3644"/>
      <c r="AG1119" s="3644"/>
      <c r="AH1119" s="3645"/>
      <c r="AI1119" s="3543"/>
    </row>
    <row r="1120" ht="16.5" customHeight="1">
      <c r="A1120" s="3535"/>
      <c r="B1120" s="3639"/>
      <c r="C1120" s="3631"/>
      <c r="D1120" s="3640"/>
      <c r="E1120" s="3652" t="s">
        <v>516</v>
      </c>
      <c r="F1120" s="3653">
        <f t="array" ref="F1120">IFERROR(VLOOKUP(E1104,Dex!$B$3:$N1361,11,FALSE),"")</f>
        <v>85</v>
      </c>
      <c r="G1120" s="3654" t="str">
        <f t="array" ref="G1120">IFERROR(VLOOKUP(F1120,Dex!$P$22:$Q$276,2,FALSE),"")</f>
        <v/>
      </c>
      <c r="H1120" s="3655"/>
      <c r="I1120" s="3650"/>
      <c r="J1120" s="3652" t="s">
        <v>516</v>
      </c>
      <c r="K1120" s="3653">
        <f t="array" ref="K1120">IFERROR(VLOOKUP(J1104,Dex!$B$3:$N1361,11,FALSE),"")</f>
        <v>85</v>
      </c>
      <c r="L1120" s="3654" t="str">
        <f t="array" ref="L1120">IFERROR(VLOOKUP(K1120,Dex!$P$22:$Q$276,2,FALSE),"")</f>
        <v/>
      </c>
      <c r="M1120" s="3655"/>
      <c r="N1120" s="3640"/>
      <c r="O1120" s="3652" t="s">
        <v>516</v>
      </c>
      <c r="P1120" s="3653">
        <f t="array" ref="P1120">IFERROR(VLOOKUP(O1104,Dex!$B$3:$N1361,11,FALSE),"")</f>
        <v>55</v>
      </c>
      <c r="Q1120" s="3654" t="str">
        <f t="array" ref="Q1120">IFERROR(VLOOKUP(P1120,Dex!$P$22:$Q$276,2,FALSE),"")</f>
        <v/>
      </c>
      <c r="R1120" s="3655"/>
      <c r="S1120" s="3644"/>
      <c r="T1120" s="3652" t="s">
        <v>516</v>
      </c>
      <c r="U1120" s="3653">
        <f t="array" ref="U1120">IFERROR(VLOOKUP(T1104,Dex!$B$3:$N1361,11,FALSE),"")</f>
        <v>114</v>
      </c>
      <c r="V1120" s="3654" t="str">
        <f t="array" ref="V1120">IFERROR(VLOOKUP(U1120,Dex!$P$22:$Q$276,2,FALSE),"")</f>
        <v/>
      </c>
      <c r="W1120" s="3655"/>
      <c r="X1120" s="3644"/>
      <c r="Y1120" s="3652" t="s">
        <v>516</v>
      </c>
      <c r="Z1120" s="3653">
        <f t="array" ref="Z1120">IFERROR(VLOOKUP(Y1104,Dex!$B$3:$N1361,11,FALSE),"")</f>
        <v>90</v>
      </c>
      <c r="AA1120" s="3654" t="str">
        <f t="array" ref="AA1120">IFERROR(VLOOKUP(Z1120,Dex!$P$22:$Q$276,2,FALSE),"")</f>
        <v/>
      </c>
      <c r="AB1120" s="3655"/>
      <c r="AC1120" s="3644"/>
      <c r="AD1120" s="3644"/>
      <c r="AE1120" s="3644"/>
      <c r="AF1120" s="3644"/>
      <c r="AG1120" s="3644"/>
      <c r="AH1120" s="3645"/>
      <c r="AI1120" s="3543"/>
    </row>
    <row r="1121" ht="16.5" customHeight="1">
      <c r="A1121" s="3535"/>
      <c r="B1121" s="3639"/>
      <c r="C1121" s="3631"/>
      <c r="D1121" s="3640"/>
      <c r="E1121" s="3652" t="s">
        <v>517</v>
      </c>
      <c r="F1121" s="3653">
        <f t="array" ref="F1121">IFERROR(VLOOKUP(E1104,Dex!$B$3:$N1361,12,FALSE),"")</f>
        <v>90</v>
      </c>
      <c r="G1121" s="3654" t="str">
        <f t="array" ref="G1121">IFERROR(VLOOKUP(F1121,Dex!$P$22:$Q$276,2,FALSE),"")</f>
        <v/>
      </c>
      <c r="H1121" s="3655"/>
      <c r="I1121" s="3650"/>
      <c r="J1121" s="3652" t="s">
        <v>517</v>
      </c>
      <c r="K1121" s="3653">
        <f t="array" ref="K1121">IFERROR(VLOOKUP(J1104,Dex!$B$3:$N1361,12,FALSE),"")</f>
        <v>80</v>
      </c>
      <c r="L1121" s="3654" t="str">
        <f t="array" ref="L1121">IFERROR(VLOOKUP(K1121,Dex!$P$22:$Q$276,2,FALSE),"")</f>
        <v/>
      </c>
      <c r="M1121" s="3655"/>
      <c r="N1121" s="3640"/>
      <c r="O1121" s="3652" t="s">
        <v>517</v>
      </c>
      <c r="P1121" s="3653">
        <f t="array" ref="P1121">IFERROR(VLOOKUP(O1104,Dex!$B$3:$N1361,12,FALSE),"")</f>
        <v>55</v>
      </c>
      <c r="Q1121" s="3654" t="str">
        <f t="array" ref="Q1121">IFERROR(VLOOKUP(P1121,Dex!$P$22:$Q$276,2,FALSE),"")</f>
        <v/>
      </c>
      <c r="R1121" s="3655"/>
      <c r="S1121" s="3644"/>
      <c r="T1121" s="3652" t="s">
        <v>517</v>
      </c>
      <c r="U1121" s="3653">
        <f t="array" ref="U1121">IFERROR(VLOOKUP(T1104,Dex!$B$3:$N1361,12,FALSE),"")</f>
        <v>100</v>
      </c>
      <c r="V1121" s="3654" t="str">
        <f t="array" ref="V1121">IFERROR(VLOOKUP(U1121,Dex!$P$22:$Q$276,2,FALSE),"")</f>
        <v/>
      </c>
      <c r="W1121" s="3655"/>
      <c r="X1121" s="3644"/>
      <c r="Y1121" s="3652" t="s">
        <v>517</v>
      </c>
      <c r="Z1121" s="3653">
        <f t="array" ref="Z1121">IFERROR(VLOOKUP(Y1104,Dex!$B$3:$N1361,12,FALSE),"")</f>
        <v>110</v>
      </c>
      <c r="AA1121" s="3654" t="str">
        <f t="array" ref="AA1121">IFERROR(VLOOKUP(Z1121,Dex!$P$22:$Q$276,2,FALSE),"")</f>
        <v/>
      </c>
      <c r="AB1121" s="3655"/>
      <c r="AC1121" s="3644"/>
      <c r="AD1121" s="3644"/>
      <c r="AE1121" s="3644"/>
      <c r="AF1121" s="3644"/>
      <c r="AG1121" s="3644"/>
      <c r="AH1121" s="3645"/>
      <c r="AI1121" s="3543"/>
    </row>
    <row r="1122" ht="16.5" customHeight="1">
      <c r="A1122" s="3535"/>
      <c r="B1122" s="3639"/>
      <c r="C1122" s="1426" t="s">
        <v>745</v>
      </c>
      <c r="D1122" s="3640"/>
      <c r="E1122" s="3658" t="s">
        <v>518</v>
      </c>
      <c r="F1122" s="3659">
        <f t="array" ref="F1122">IFERROR(VLOOKUP(E1104,Dex!$B$3:$N1361,13,FALSE),"")</f>
        <v>100</v>
      </c>
      <c r="G1122" s="3660" t="str">
        <f t="array" ref="G1122">IFERROR(VLOOKUP(F1122,Dex!$P$22:$Q$276,2,FALSE),"")</f>
        <v/>
      </c>
      <c r="H1122" s="3661"/>
      <c r="I1122" s="3650"/>
      <c r="J1122" s="3658" t="s">
        <v>518</v>
      </c>
      <c r="K1122" s="3659">
        <f t="array" ref="K1122">IFERROR(VLOOKUP(J1104,Dex!$B$3:$N1361,13,FALSE),"")</f>
        <v>90</v>
      </c>
      <c r="L1122" s="3660" t="str">
        <f t="array" ref="L1122">IFERROR(VLOOKUP(K1122,Dex!$P$22:$Q$276,2,FALSE),"")</f>
        <v/>
      </c>
      <c r="M1122" s="3661"/>
      <c r="N1122" s="3640"/>
      <c r="O1122" s="3658" t="s">
        <v>518</v>
      </c>
      <c r="P1122" s="3659">
        <f t="array" ref="P1122">IFERROR(VLOOKUP(O1104,Dex!$B$3:$N1361,13,FALSE),"")</f>
        <v>40</v>
      </c>
      <c r="Q1122" s="3660" t="str">
        <f t="array" ref="Q1122">IFERROR(VLOOKUP(P1122,Dex!$P$22:$Q$276,2,FALSE),"")</f>
        <v/>
      </c>
      <c r="R1122" s="3661"/>
      <c r="S1122" s="3644"/>
      <c r="T1122" s="3658" t="s">
        <v>518</v>
      </c>
      <c r="U1122" s="3659">
        <f t="array" ref="U1122">IFERROR(VLOOKUP(T1104,Dex!$B$3:$N1361,13,FALSE),"")</f>
        <v>104</v>
      </c>
      <c r="V1122" s="3660" t="str">
        <f t="array" ref="V1122">IFERROR(VLOOKUP(U1122,Dex!$P$22:$Q$276,2,FALSE),"")</f>
        <v/>
      </c>
      <c r="W1122" s="3661"/>
      <c r="X1122" s="3644"/>
      <c r="Y1122" s="3658" t="s">
        <v>518</v>
      </c>
      <c r="Z1122" s="3659">
        <f t="array" ref="Z1122">IFERROR(VLOOKUP(Y1104,Dex!$B$3:$N1361,13,FALSE),"")</f>
        <v>85</v>
      </c>
      <c r="AA1122" s="3660" t="str">
        <f t="array" ref="AA1122">IFERROR(VLOOKUP(Z1122,Dex!$P$22:$Q$276,2,FALSE),"")</f>
        <v/>
      </c>
      <c r="AB1122" s="3661"/>
      <c r="AC1122" s="3644"/>
      <c r="AD1122" s="3644"/>
      <c r="AE1122" s="3644"/>
      <c r="AF1122" s="3644"/>
      <c r="AG1122" s="3644"/>
      <c r="AH1122" s="3645"/>
      <c r="AI1122" s="3543"/>
    </row>
    <row r="1123" ht="16.5" customHeight="1">
      <c r="A1123" s="3535"/>
      <c r="B1123" s="3639"/>
      <c r="C1123" s="1427" t="s">
        <v>1695</v>
      </c>
      <c r="D1123" s="4590"/>
      <c r="E1123" s="3662" t="s">
        <v>519</v>
      </c>
      <c r="F1123" s="630"/>
      <c r="G1123" s="631"/>
      <c r="H1123" s="632">
        <f>ROUNDDOWN((ROUNDDOWN(((((2*F1122+31)*76)/100+5)),0))*1.1,0)</f>
        <v>198</v>
      </c>
      <c r="I1123" s="3642"/>
      <c r="J1123" s="3662" t="s">
        <v>519</v>
      </c>
      <c r="K1123" s="630"/>
      <c r="L1123" s="631"/>
      <c r="M1123" s="632">
        <f>ROUNDDOWN((ROUNDDOWN(((((2*K1122+31)*76)/100+5)),0))*1.1,0)</f>
        <v>181</v>
      </c>
      <c r="N1123" s="4590"/>
      <c r="O1123" s="3662" t="s">
        <v>519</v>
      </c>
      <c r="P1123" s="630"/>
      <c r="Q1123" s="631"/>
      <c r="R1123" s="632">
        <f>ROUNDDOWN((ROUNDDOWN(((((2*P1122+31)*76)/100+5)),0))*1.1,0)</f>
        <v>97</v>
      </c>
      <c r="S1123" s="4592"/>
      <c r="T1123" s="3662" t="s">
        <v>519</v>
      </c>
      <c r="U1123" s="630"/>
      <c r="V1123" s="631"/>
      <c r="W1123" s="632">
        <f>ROUNDDOWN((ROUNDDOWN(((((2*U1122+31)*76)/100+5)),0))*1.1,0)</f>
        <v>204</v>
      </c>
      <c r="X1123" s="4592"/>
      <c r="Y1123" s="3662" t="s">
        <v>519</v>
      </c>
      <c r="Z1123" s="630"/>
      <c r="AA1123" s="631"/>
      <c r="AB1123" s="632">
        <f>ROUNDDOWN((ROUNDDOWN(((((2*Z1122+31)*76)/100+5)),0))*1.1,0)</f>
        <v>172</v>
      </c>
      <c r="AC1123" s="3644"/>
      <c r="AD1123" s="3644"/>
      <c r="AE1123" s="3644"/>
      <c r="AF1123" s="3644"/>
      <c r="AG1123" s="3644"/>
      <c r="AH1123" s="3645"/>
      <c r="AI1123" s="3543"/>
    </row>
    <row r="1124" ht="15.0" customHeight="1">
      <c r="A1124" s="3453"/>
      <c r="B1124" s="3663"/>
      <c r="C1124" s="3664"/>
      <c r="D1124" s="3665"/>
      <c r="E1124" s="3668"/>
      <c r="F1124" s="3668"/>
      <c r="G1124" s="3668"/>
      <c r="H1124" s="3667"/>
      <c r="I1124" s="3667"/>
      <c r="J1124" s="3668"/>
      <c r="K1124" s="3668"/>
      <c r="L1124" s="3668"/>
      <c r="M1124" s="3667"/>
      <c r="N1124" s="3669"/>
      <c r="O1124" s="5738"/>
      <c r="P1124" s="5738"/>
      <c r="Q1124" s="5739"/>
      <c r="R1124" s="3671"/>
      <c r="S1124" s="3671"/>
      <c r="T1124" s="5738"/>
      <c r="U1124" s="5738"/>
      <c r="V1124" s="5739"/>
      <c r="W1124" s="3671"/>
      <c r="X1124" s="3669"/>
      <c r="Y1124" s="4601"/>
      <c r="Z1124" s="4601"/>
      <c r="AA1124" s="4601"/>
      <c r="AB1124" s="3672"/>
      <c r="AC1124" s="3672"/>
      <c r="AD1124" s="3672"/>
      <c r="AE1124" s="3672"/>
      <c r="AF1124" s="3672"/>
      <c r="AG1124" s="3672"/>
      <c r="AH1124" s="3673"/>
      <c r="AI1124" s="3466"/>
    </row>
    <row r="1125" ht="15.0" customHeight="1">
      <c r="A1125" s="3446"/>
      <c r="B1125" s="3567"/>
      <c r="C1125" s="3568"/>
      <c r="D1125" s="3569"/>
      <c r="E1125" s="3569"/>
      <c r="F1125" s="3569"/>
      <c r="G1125" s="3569"/>
      <c r="H1125" s="3569"/>
      <c r="I1125" s="3569"/>
      <c r="J1125" s="3569"/>
      <c r="K1125" s="3569"/>
      <c r="L1125" s="3569"/>
      <c r="M1125" s="3569"/>
      <c r="N1125" s="3569"/>
      <c r="O1125" s="3569"/>
      <c r="P1125" s="3569"/>
      <c r="Q1125" s="3569"/>
      <c r="R1125" s="3569"/>
      <c r="S1125" s="3569"/>
      <c r="T1125" s="3569"/>
      <c r="U1125" s="3569"/>
      <c r="V1125" s="3569"/>
      <c r="W1125" s="3569"/>
      <c r="X1125" s="3569"/>
      <c r="Y1125" s="3569"/>
      <c r="Z1125" s="3569"/>
      <c r="AA1125" s="3569"/>
      <c r="AB1125" s="3569"/>
      <c r="AC1125" s="3569"/>
      <c r="AD1125" s="3569"/>
      <c r="AE1125" s="3569"/>
      <c r="AF1125" s="3569"/>
      <c r="AG1125" s="3569"/>
      <c r="AH1125" s="3571"/>
      <c r="AI1125" s="3452"/>
    </row>
    <row r="1126">
      <c r="A1126" s="3446"/>
      <c r="B1126" s="4579"/>
      <c r="C1126" s="4580"/>
      <c r="D1126" s="3581"/>
      <c r="E1126" s="4581" t="s">
        <v>1713</v>
      </c>
      <c r="F1126" s="3617"/>
      <c r="G1126" s="3617"/>
      <c r="H1126" s="3617"/>
      <c r="I1126" s="3617"/>
      <c r="J1126" s="3617"/>
      <c r="K1126" s="3617"/>
      <c r="L1126" s="3617"/>
      <c r="M1126" s="3617"/>
      <c r="N1126" s="3617"/>
      <c r="O1126" s="3617"/>
      <c r="P1126" s="3617"/>
      <c r="Q1126" s="3617"/>
      <c r="R1126" s="3617"/>
      <c r="S1126" s="3617"/>
      <c r="T1126" s="3617"/>
      <c r="U1126" s="3617"/>
      <c r="V1126" s="3617"/>
      <c r="W1126" s="3617"/>
      <c r="X1126" s="3617"/>
      <c r="Y1126" s="3617"/>
      <c r="Z1126" s="3617"/>
      <c r="AA1126" s="3617"/>
      <c r="AB1126" s="3617"/>
      <c r="AC1126" s="3617"/>
      <c r="AD1126" s="3617"/>
      <c r="AE1126" s="3617"/>
      <c r="AF1126" s="3617"/>
      <c r="AG1126" s="3618"/>
      <c r="AH1126" s="4582"/>
      <c r="AI1126" s="3452"/>
    </row>
    <row r="1127" ht="96.75" customHeight="1">
      <c r="A1127" s="3453"/>
      <c r="B1127" s="3572"/>
      <c r="C1127" s="3573" t="str">
        <f>IMAGE("https://i.ibb.co/26kF6WW/Ace-Trainer-F.png")</f>
        <v/>
      </c>
      <c r="D1127" s="3574"/>
      <c r="E1127" s="3575" t="str">
        <f t="array" ref="E1127">IFERROR(VLOOKUP(E1128,Dex!$B$3:$G1361,3,FALSE),"")</f>
        <v/>
      </c>
      <c r="F1127" s="606"/>
      <c r="G1127" s="606"/>
      <c r="H1127" s="607"/>
      <c r="I1127" s="3576"/>
      <c r="J1127" s="3575" t="str">
        <f t="array" ref="J1127">IFERROR(VLOOKUP(J1128,Dex!$B$3:$G1361,3,FALSE),"")</f>
        <v/>
      </c>
      <c r="K1127" s="606"/>
      <c r="L1127" s="606"/>
      <c r="M1127" s="607"/>
      <c r="N1127" s="4583"/>
      <c r="O1127" s="3575" t="str">
        <f t="array" ref="O1127">IFERROR(VLOOKUP(O1128,Dex!$B$3:$G1361,3,FALSE),"")</f>
        <v/>
      </c>
      <c r="P1127" s="606"/>
      <c r="Q1127" s="606"/>
      <c r="R1127" s="607"/>
      <c r="S1127" s="4584"/>
      <c r="T1127" s="3575" t="str">
        <f t="array" ref="T1127">IFERROR(VLOOKUP(T1128,Dex!$B$3:$G1361,3,FALSE),"")</f>
        <v/>
      </c>
      <c r="U1127" s="606"/>
      <c r="V1127" s="606"/>
      <c r="W1127" s="607"/>
      <c r="X1127" s="4583"/>
      <c r="Y1127" s="3575" t="str">
        <f t="array" ref="Y1127">IFERROR(VLOOKUP(Y1128,Dex!$B$3:$G1361,3,FALSE),"")</f>
        <v/>
      </c>
      <c r="Z1127" s="606"/>
      <c r="AA1127" s="606"/>
      <c r="AB1127" s="607"/>
      <c r="AC1127" s="4585"/>
      <c r="AD1127" s="3578"/>
      <c r="AE1127" s="3579"/>
      <c r="AF1127" s="3579"/>
      <c r="AG1127" s="3580"/>
      <c r="AH1127" s="3583"/>
      <c r="AI1127" s="3466"/>
    </row>
    <row r="1128" ht="18.75" customHeight="1">
      <c r="A1128" s="3467"/>
      <c r="B1128" s="3584"/>
      <c r="C1128" s="3585" t="s">
        <v>1714</v>
      </c>
      <c r="D1128" s="3586"/>
      <c r="E1128" s="3587" t="s">
        <v>1715</v>
      </c>
      <c r="F1128" s="3588"/>
      <c r="G1128" s="3588"/>
      <c r="H1128" s="3589"/>
      <c r="J1128" s="3587" t="s">
        <v>1047</v>
      </c>
      <c r="K1128" s="3588"/>
      <c r="L1128" s="3588"/>
      <c r="M1128" s="3589"/>
      <c r="O1128" s="3587" t="s">
        <v>946</v>
      </c>
      <c r="P1128" s="3588"/>
      <c r="Q1128" s="3588"/>
      <c r="R1128" s="3589"/>
      <c r="T1128" s="3587" t="s">
        <v>1716</v>
      </c>
      <c r="U1128" s="3588"/>
      <c r="V1128" s="3588"/>
      <c r="W1128" s="3589"/>
      <c r="Y1128" s="3587" t="s">
        <v>1717</v>
      </c>
      <c r="Z1128" s="3588"/>
      <c r="AA1128" s="3588"/>
      <c r="AB1128" s="3589"/>
      <c r="AC1128" s="3590"/>
      <c r="AD1128" s="3591"/>
      <c r="AE1128" s="3579"/>
      <c r="AF1128" s="3579"/>
      <c r="AG1128" s="3580"/>
      <c r="AH1128" s="3593"/>
      <c r="AI1128" s="3478"/>
    </row>
    <row r="1129">
      <c r="A1129" s="3479"/>
      <c r="B1129" s="3594"/>
      <c r="C1129" s="1638"/>
      <c r="D1129" s="3595"/>
      <c r="E1129" s="4586" t="s">
        <v>729</v>
      </c>
      <c r="F1129" s="3597"/>
      <c r="G1129" s="3597"/>
      <c r="H1129" s="4587"/>
      <c r="J1129" s="4586" t="s">
        <v>729</v>
      </c>
      <c r="K1129" s="3597"/>
      <c r="L1129" s="3597"/>
      <c r="M1129" s="4587"/>
      <c r="O1129" s="4586" t="s">
        <v>729</v>
      </c>
      <c r="P1129" s="3597"/>
      <c r="Q1129" s="3597"/>
      <c r="R1129" s="4587"/>
      <c r="T1129" s="4586" t="s">
        <v>729</v>
      </c>
      <c r="U1129" s="3597"/>
      <c r="V1129" s="3597"/>
      <c r="W1129" s="4587"/>
      <c r="Y1129" s="4586" t="s">
        <v>729</v>
      </c>
      <c r="Z1129" s="3597"/>
      <c r="AA1129" s="3597"/>
      <c r="AB1129" s="4587"/>
      <c r="AC1129" s="3590"/>
      <c r="AD1129" s="3599"/>
      <c r="AE1129" s="3579"/>
      <c r="AF1129" s="3579"/>
      <c r="AG1129" s="3580"/>
      <c r="AH1129" s="3600"/>
      <c r="AI1129" s="3487"/>
    </row>
    <row r="1130" ht="25.5" customHeight="1">
      <c r="A1130" s="3453"/>
      <c r="B1130" s="3572"/>
      <c r="C1130" s="1646"/>
      <c r="D1130" s="3574"/>
      <c r="E1130" s="3601"/>
      <c r="F1130" s="3602" t="str">
        <f t="array" ref="F1130">IFERROR(VLOOKUP(E1128,Dex!$B$3:$H1361,5,FALSE),"")</f>
        <v/>
      </c>
      <c r="G1130" s="3603"/>
      <c r="H1130" s="3604"/>
      <c r="J1130" s="3601"/>
      <c r="K1130" s="3602" t="str">
        <f t="array" ref="K1130">IFERROR(VLOOKUP(J1128,Dex!$B$3:$H1361,5,FALSE),"")</f>
        <v/>
      </c>
      <c r="L1130" s="3603"/>
      <c r="M1130" s="3604"/>
      <c r="O1130" s="3601"/>
      <c r="P1130" s="4588" t="str">
        <f t="array" ref="P1130">IFERROR(VLOOKUP(O1128,Dex!$B$3:$H1361,5,FALSE),"")</f>
        <v/>
      </c>
      <c r="Q1130" s="4589" t="str">
        <f t="array" ref="Q1130">IFERROR(VLOOKUP(O1128,Dex!$B$3:$H1361,7,FALSE),"")</f>
        <v/>
      </c>
      <c r="R1130" s="3604"/>
      <c r="T1130" s="3601"/>
      <c r="U1130" s="4588" t="str">
        <f t="array" ref="U1130">IFERROR(VLOOKUP(T1128,Dex!$B$3:$H1361,5,FALSE),"")</f>
        <v/>
      </c>
      <c r="V1130" s="4589" t="str">
        <f t="array" ref="V1130">IFERROR(VLOOKUP(T1128,Dex!$B$3:$H1361,7,FALSE),"")</f>
        <v/>
      </c>
      <c r="W1130" s="3604"/>
      <c r="Y1130" s="3601"/>
      <c r="Z1130" s="4588" t="str">
        <f t="array" ref="Z1130">IFERROR(VLOOKUP(Y1128,Dex!$B$3:$H1361,5,FALSE),"")</f>
        <v/>
      </c>
      <c r="AA1130" s="4589" t="str">
        <f t="array" ref="AA1130">IFERROR(VLOOKUP(Y1128,Dex!$B$3:$H1361,7,FALSE),"")</f>
        <v/>
      </c>
      <c r="AB1130" s="3604"/>
      <c r="AC1130" s="3590"/>
      <c r="AD1130" s="3578"/>
      <c r="AE1130" s="3579"/>
      <c r="AF1130" s="3579"/>
      <c r="AG1130" s="3580"/>
      <c r="AH1130" s="3583"/>
      <c r="AI1130" s="3466"/>
    </row>
    <row r="1131" ht="2.25" customHeight="1">
      <c r="A1131" s="3453"/>
      <c r="B1131" s="3572"/>
      <c r="C1131" s="3605"/>
      <c r="D1131" s="3574"/>
      <c r="E1131" s="3606"/>
      <c r="F1131" s="3607"/>
      <c r="G1131" s="3607"/>
      <c r="H1131" s="3608"/>
      <c r="J1131" s="3606"/>
      <c r="K1131" s="3607"/>
      <c r="L1131" s="3607"/>
      <c r="M1131" s="3608"/>
      <c r="O1131" s="3606"/>
      <c r="P1131" s="3607"/>
      <c r="Q1131" s="3607"/>
      <c r="R1131" s="3608"/>
      <c r="T1131" s="3606"/>
      <c r="U1131" s="3607"/>
      <c r="V1131" s="3607"/>
      <c r="W1131" s="3608"/>
      <c r="Y1131" s="3606"/>
      <c r="Z1131" s="3607"/>
      <c r="AA1131" s="3607"/>
      <c r="AB1131" s="3608"/>
      <c r="AC1131" s="3590"/>
      <c r="AD1131" s="3609"/>
      <c r="AE1131" s="3609"/>
      <c r="AF1131" s="3609"/>
      <c r="AG1131" s="3609"/>
      <c r="AH1131" s="3583"/>
      <c r="AI1131" s="3466"/>
    </row>
    <row r="1132" ht="20.25" customHeight="1">
      <c r="A1132" s="3453"/>
      <c r="B1132" s="3572"/>
      <c r="C1132" s="3605"/>
      <c r="D1132" s="3574"/>
      <c r="E1132" s="3610" t="s">
        <v>532</v>
      </c>
      <c r="F1132" s="3611"/>
      <c r="G1132" s="3611"/>
      <c r="H1132" s="3612"/>
      <c r="J1132" s="3610" t="s">
        <v>532</v>
      </c>
      <c r="K1132" s="3611"/>
      <c r="L1132" s="3611"/>
      <c r="M1132" s="3612"/>
      <c r="O1132" s="3610" t="s">
        <v>532</v>
      </c>
      <c r="P1132" s="3611"/>
      <c r="Q1132" s="3611"/>
      <c r="R1132" s="3612"/>
      <c r="T1132" s="3610" t="s">
        <v>531</v>
      </c>
      <c r="U1132" s="3611"/>
      <c r="V1132" s="3611"/>
      <c r="W1132" s="3612"/>
      <c r="Y1132" s="3610" t="s">
        <v>564</v>
      </c>
      <c r="Z1132" s="3611"/>
      <c r="AA1132" s="3611"/>
      <c r="AB1132" s="3612"/>
      <c r="AC1132" s="3590"/>
      <c r="AD1132" s="3578"/>
      <c r="AE1132" s="3579"/>
      <c r="AF1132" s="3579"/>
      <c r="AG1132" s="3580"/>
      <c r="AH1132" s="3583"/>
      <c r="AI1132" s="3466"/>
    </row>
    <row r="1133" ht="20.25" customHeight="1">
      <c r="A1133" s="3453"/>
      <c r="B1133" s="3572"/>
      <c r="C1133" s="3613"/>
      <c r="D1133" s="3574"/>
      <c r="E1133" s="3614" t="s">
        <v>1718</v>
      </c>
      <c r="F1133" s="3579"/>
      <c r="G1133" s="3579"/>
      <c r="H1133" s="3615"/>
      <c r="J1133" s="3614" t="s">
        <v>56</v>
      </c>
      <c r="K1133" s="3579"/>
      <c r="L1133" s="3579"/>
      <c r="M1133" s="3615"/>
      <c r="O1133" s="3614" t="s">
        <v>1719</v>
      </c>
      <c r="P1133" s="3579"/>
      <c r="Q1133" s="3579"/>
      <c r="R1133" s="3615"/>
      <c r="T1133" s="3614" t="s">
        <v>58</v>
      </c>
      <c r="U1133" s="3579"/>
      <c r="V1133" s="3579"/>
      <c r="W1133" s="3615"/>
      <c r="Y1133" s="3614" t="s">
        <v>980</v>
      </c>
      <c r="Z1133" s="3579"/>
      <c r="AA1133" s="3579"/>
      <c r="AB1133" s="3615"/>
      <c r="AC1133" s="3590"/>
      <c r="AD1133" s="3578"/>
      <c r="AE1133" s="3579"/>
      <c r="AF1133" s="3579"/>
      <c r="AG1133" s="3580"/>
      <c r="AH1133" s="3583"/>
      <c r="AI1133" s="3466"/>
    </row>
    <row r="1134" ht="20.25" customHeight="1">
      <c r="A1134" s="3453"/>
      <c r="B1134" s="3572"/>
      <c r="C1134" s="3592"/>
      <c r="D1134" s="3574"/>
      <c r="E1134" s="3616" t="s">
        <v>573</v>
      </c>
      <c r="F1134" s="3617"/>
      <c r="G1134" s="3618"/>
      <c r="H1134" s="3619" t="str">
        <f>IMAGE("https://raw.githubusercontent.com/msikma/pokesprite/master/items/hold-item/focus-sash.png",3)</f>
        <v/>
      </c>
      <c r="J1134" s="3616" t="s">
        <v>541</v>
      </c>
      <c r="K1134" s="3617"/>
      <c r="L1134" s="3618"/>
      <c r="M1134" s="3619" t="str">
        <f>IMAGE("https://raw.githubusercontent.com/msikma/pokesprite/master/items/hold-item/life-orb.png",3)</f>
        <v/>
      </c>
      <c r="O1134" s="3616" t="s">
        <v>1084</v>
      </c>
      <c r="P1134" s="3617"/>
      <c r="Q1134" s="3618"/>
      <c r="R1134" s="3619" t="str">
        <f>IMAGE("https://raw.githubusercontent.com/msikma/pokesprite/master/items/gem/flying.png",3)</f>
        <v/>
      </c>
      <c r="T1134" s="3616" t="s">
        <v>713</v>
      </c>
      <c r="U1134" s="3617"/>
      <c r="V1134" s="3618"/>
      <c r="W1134" s="3619" t="str">
        <f>IMAGE("https://raw.githubusercontent.com/msikma/pokesprite/master/items/hold-item/assault-vest.png",3)</f>
        <v/>
      </c>
      <c r="Y1134" s="3616" t="s">
        <v>1638</v>
      </c>
      <c r="Z1134" s="3617"/>
      <c r="AA1134" s="3618"/>
      <c r="AB1134" s="3619" t="str">
        <f>IMAGE("https://raw.githubusercontent.com/msikma/pokesprite/master/items/z-crystals/firium-z--held.png",3)</f>
        <v/>
      </c>
      <c r="AC1134" s="3590"/>
      <c r="AD1134" s="3578"/>
      <c r="AE1134" s="3579"/>
      <c r="AF1134" s="3579"/>
      <c r="AG1134" s="3580"/>
      <c r="AH1134" s="3583"/>
      <c r="AI1134" s="3466"/>
    </row>
    <row r="1135" ht="20.25" customHeight="1">
      <c r="A1135" s="3453"/>
      <c r="B1135" s="3572"/>
      <c r="C1135" s="3620"/>
      <c r="D1135" s="3574"/>
      <c r="E1135" s="3610" t="s">
        <v>191</v>
      </c>
      <c r="F1135" s="3611"/>
      <c r="G1135" s="3621"/>
      <c r="H1135" s="3622" t="str">
        <f>IMAGE("https://raw.githubusercontent.com/msikma/pokesprite/master/misc/types/gen8/rock.png",4,20,20)</f>
        <v/>
      </c>
      <c r="J1135" s="3610" t="s">
        <v>694</v>
      </c>
      <c r="K1135" s="3611"/>
      <c r="L1135" s="3621"/>
      <c r="M1135" s="3622" t="str">
        <f>IMAGE("https://raw.githubusercontent.com/msikma/pokesprite/master/misc/types/gen8/fire.png",4,20,20)</f>
        <v/>
      </c>
      <c r="O1135" s="3610" t="s">
        <v>287</v>
      </c>
      <c r="P1135" s="3611"/>
      <c r="Q1135" s="3621"/>
      <c r="R1135" s="3622" t="str">
        <f>IMAGE("https://raw.githubusercontent.com/msikma/pokesprite/master/misc/types/gen8/normal.png",4,20,20)</f>
        <v/>
      </c>
      <c r="T1135" s="3610" t="s">
        <v>581</v>
      </c>
      <c r="U1135" s="3611"/>
      <c r="V1135" s="3621"/>
      <c r="W1135" s="3622" t="str">
        <f>IMAGE("https://raw.githubusercontent.com/msikma/pokesprite/master/misc/types/gen8/electric.png",4,20,20)</f>
        <v/>
      </c>
      <c r="Y1135" s="3610" t="s">
        <v>1211</v>
      </c>
      <c r="Z1135" s="3611"/>
      <c r="AA1135" s="3621"/>
      <c r="AB1135" s="3622" t="str">
        <f>IMAGE("https://raw.githubusercontent.com/msikma/pokesprite/master/misc/types/gen8/fire.png",4,20,20)</f>
        <v/>
      </c>
      <c r="AC1135" s="3590"/>
      <c r="AD1135" s="3578"/>
      <c r="AE1135" s="3579"/>
      <c r="AF1135" s="3579"/>
      <c r="AG1135" s="3580"/>
      <c r="AH1135" s="3583"/>
      <c r="AI1135" s="3466"/>
    </row>
    <row r="1136" ht="20.25" customHeight="1">
      <c r="A1136" s="3453"/>
      <c r="B1136" s="3572"/>
      <c r="C1136" s="3605"/>
      <c r="D1136" s="3574"/>
      <c r="E1136" s="3614" t="s">
        <v>1089</v>
      </c>
      <c r="F1136" s="3579"/>
      <c r="G1136" s="3580"/>
      <c r="H1136" s="3623" t="str">
        <f>IMAGE("https://raw.githubusercontent.com/msikma/pokesprite/master/misc/types/gen8/normal.png",4,20,20)</f>
        <v/>
      </c>
      <c r="J1136" s="3614" t="s">
        <v>612</v>
      </c>
      <c r="K1136" s="3579"/>
      <c r="L1136" s="3580"/>
      <c r="M1136" s="3623" t="str">
        <f>IMAGE("https://raw.githubusercontent.com/msikma/pokesprite/master/misc/types/gen8/bug.png",4,20,20)</f>
        <v/>
      </c>
      <c r="O1136" s="3614" t="s">
        <v>549</v>
      </c>
      <c r="P1136" s="3579"/>
      <c r="Q1136" s="3580"/>
      <c r="R1136" s="3623" t="str">
        <f>IMAGE("https://raw.githubusercontent.com/msikma/pokesprite/master/misc/types/gen8/ground.png",4,20,20)</f>
        <v/>
      </c>
      <c r="T1136" s="3614" t="s">
        <v>699</v>
      </c>
      <c r="U1136" s="3579"/>
      <c r="V1136" s="3580"/>
      <c r="W1136" s="3623" t="str">
        <f>IMAGE("https://raw.githubusercontent.com/msikma/pokesprite/master/misc/types/gen8/fire.png",4,20,20)</f>
        <v/>
      </c>
      <c r="Y1136" s="3614" t="s">
        <v>692</v>
      </c>
      <c r="Z1136" s="3579"/>
      <c r="AA1136" s="3580"/>
      <c r="AB1136" s="3623" t="str">
        <f>IMAGE("https://raw.githubusercontent.com/msikma/pokesprite/master/misc/types/gen8/grass.png",4,20,20)</f>
        <v/>
      </c>
      <c r="AC1136" s="3590"/>
      <c r="AD1136" s="3578"/>
      <c r="AE1136" s="3579"/>
      <c r="AF1136" s="3579"/>
      <c r="AG1136" s="3580"/>
      <c r="AH1136" s="3583"/>
      <c r="AI1136" s="3466"/>
    </row>
    <row r="1137" ht="20.25" customHeight="1">
      <c r="A1137" s="3453"/>
      <c r="B1137" s="3572"/>
      <c r="C1137" s="3605"/>
      <c r="D1137" s="3574"/>
      <c r="E1137" s="3614" t="s">
        <v>1488</v>
      </c>
      <c r="F1137" s="3579"/>
      <c r="G1137" s="3580"/>
      <c r="H1137" s="3623" t="str">
        <f t="shared" ref="H1137:H1138" si="35">IMAGE("https://raw.githubusercontent.com/msikma/pokesprite/master/misc/types/gen8/rock.png",4,20,20)</f>
        <v/>
      </c>
      <c r="J1137" s="3614" t="s">
        <v>588</v>
      </c>
      <c r="K1137" s="3579"/>
      <c r="L1137" s="3580"/>
      <c r="M1137" s="3623" t="str">
        <f>IMAGE("https://raw.githubusercontent.com/msikma/pokesprite/master/misc/types/gen8/rock.png",4,20,20)</f>
        <v/>
      </c>
      <c r="O1137" s="3614" t="s">
        <v>613</v>
      </c>
      <c r="P1137" s="3579"/>
      <c r="Q1137" s="3580"/>
      <c r="R1137" s="3623" t="str">
        <f>IMAGE("https://raw.githubusercontent.com/msikma/pokesprite/master/misc/types/gen8/flying.png",4,20,20)</f>
        <v/>
      </c>
      <c r="T1137" s="3614" t="s">
        <v>1720</v>
      </c>
      <c r="U1137" s="3579"/>
      <c r="V1137" s="3580"/>
      <c r="W1137" s="3623" t="str">
        <f>IMAGE("https://raw.githubusercontent.com/msikma/pokesprite/master/misc/types/gen8/electric.png",4,20,20)</f>
        <v/>
      </c>
      <c r="Y1137" s="3614" t="s">
        <v>805</v>
      </c>
      <c r="Z1137" s="3579"/>
      <c r="AA1137" s="3580"/>
      <c r="AB1137" s="3623" t="str">
        <f>IMAGE("https://raw.githubusercontent.com/msikma/pokesprite/master/misc/types/gen8/flying.png",4,20,20)</f>
        <v/>
      </c>
      <c r="AC1137" s="3590"/>
      <c r="AD1137" s="3578"/>
      <c r="AE1137" s="3579"/>
      <c r="AF1137" s="3579"/>
      <c r="AG1137" s="3580"/>
      <c r="AH1137" s="3583"/>
      <c r="AI1137" s="3466"/>
    </row>
    <row r="1138" ht="21.0" customHeight="1">
      <c r="A1138" s="3453"/>
      <c r="B1138" s="3572"/>
      <c r="C1138" s="3605"/>
      <c r="D1138" s="3574"/>
      <c r="E1138" s="3624" t="s">
        <v>498</v>
      </c>
      <c r="F1138" s="3625"/>
      <c r="G1138" s="3626"/>
      <c r="H1138" s="3627" t="str">
        <f t="shared" si="35"/>
        <v/>
      </c>
      <c r="I1138" s="3628"/>
      <c r="J1138" s="3624" t="s">
        <v>549</v>
      </c>
      <c r="K1138" s="3625"/>
      <c r="L1138" s="3626"/>
      <c r="M1138" s="3627" t="str">
        <f>IMAGE("https://raw.githubusercontent.com/msikma/pokesprite/master/misc/types/gen8/ground.png",4,20,20)</f>
        <v/>
      </c>
      <c r="N1138" s="3628"/>
      <c r="O1138" s="3624" t="s">
        <v>588</v>
      </c>
      <c r="P1138" s="3625"/>
      <c r="Q1138" s="3626"/>
      <c r="R1138" s="3627" t="str">
        <f>IMAGE("https://raw.githubusercontent.com/msikma/pokesprite/master/misc/types/gen8/rock.png",4,20,20)</f>
        <v/>
      </c>
      <c r="S1138" s="3628"/>
      <c r="T1138" s="3624" t="s">
        <v>692</v>
      </c>
      <c r="U1138" s="3625"/>
      <c r="V1138" s="3626"/>
      <c r="W1138" s="3627" t="str">
        <f>IMAGE("https://raw.githubusercontent.com/msikma/pokesprite/master/misc/types/gen8/grass.png",4,20,20)</f>
        <v/>
      </c>
      <c r="X1138" s="3628"/>
      <c r="Y1138" s="3624" t="s">
        <v>1265</v>
      </c>
      <c r="Z1138" s="3625"/>
      <c r="AA1138" s="3626"/>
      <c r="AB1138" s="3627" t="str">
        <f>IMAGE("https://raw.githubusercontent.com/msikma/pokesprite/master/misc/types/gen8/ground.png",4,20,20)</f>
        <v/>
      </c>
      <c r="AC1138" s="3629"/>
      <c r="AD1138" s="3578"/>
      <c r="AE1138" s="3579"/>
      <c r="AF1138" s="3579"/>
      <c r="AG1138" s="3580"/>
      <c r="AH1138" s="3583"/>
      <c r="AI1138" s="3466"/>
    </row>
    <row r="1139" ht="3.0" customHeight="1">
      <c r="A1139" s="3524"/>
      <c r="B1139" s="3630"/>
      <c r="C1139" s="3631"/>
      <c r="D1139" s="3632"/>
      <c r="E1139" s="3634"/>
      <c r="F1139" s="3634"/>
      <c r="G1139" s="3634"/>
      <c r="H1139" s="3633"/>
      <c r="I1139" s="3632"/>
      <c r="J1139" s="3634"/>
      <c r="K1139" s="3634"/>
      <c r="L1139" s="3634"/>
      <c r="M1139" s="3633"/>
      <c r="N1139" s="3632"/>
      <c r="O1139" s="3634"/>
      <c r="P1139" s="3634"/>
      <c r="Q1139" s="3634"/>
      <c r="R1139" s="3633"/>
      <c r="S1139" s="3635"/>
      <c r="T1139" s="3634"/>
      <c r="U1139" s="3634"/>
      <c r="V1139" s="3634"/>
      <c r="W1139" s="3633"/>
      <c r="X1139" s="3632"/>
      <c r="Y1139" s="3634"/>
      <c r="Z1139" s="3634"/>
      <c r="AA1139" s="3634"/>
      <c r="AB1139" s="3633"/>
      <c r="AC1139" s="3637"/>
      <c r="AD1139" s="3637"/>
      <c r="AE1139" s="3637"/>
      <c r="AF1139" s="3637"/>
      <c r="AG1139" s="3637"/>
      <c r="AH1139" s="3638"/>
      <c r="AI1139" s="3534"/>
    </row>
    <row r="1140" ht="16.5" customHeight="1">
      <c r="A1140" s="3535"/>
      <c r="B1140" s="3639"/>
      <c r="C1140" s="3631"/>
      <c r="D1140" s="4590"/>
      <c r="E1140" s="3641" t="s">
        <v>512</v>
      </c>
      <c r="F1140" s="606"/>
      <c r="G1140" s="606"/>
      <c r="H1140" s="607"/>
      <c r="I1140" s="3642"/>
      <c r="J1140" s="3641" t="s">
        <v>512</v>
      </c>
      <c r="K1140" s="606"/>
      <c r="L1140" s="606"/>
      <c r="M1140" s="607"/>
      <c r="N1140" s="4590"/>
      <c r="O1140" s="3641" t="s">
        <v>512</v>
      </c>
      <c r="P1140" s="606"/>
      <c r="Q1140" s="606"/>
      <c r="R1140" s="607"/>
      <c r="S1140" s="4591"/>
      <c r="T1140" s="3641" t="s">
        <v>512</v>
      </c>
      <c r="U1140" s="606"/>
      <c r="V1140" s="606"/>
      <c r="W1140" s="607"/>
      <c r="X1140" s="4592"/>
      <c r="Y1140" s="3641" t="s">
        <v>512</v>
      </c>
      <c r="Z1140" s="606"/>
      <c r="AA1140" s="606"/>
      <c r="AB1140" s="607"/>
      <c r="AC1140" s="3644"/>
      <c r="AD1140" s="3644"/>
      <c r="AE1140" s="3644"/>
      <c r="AF1140" s="3644"/>
      <c r="AG1140" s="3644"/>
      <c r="AH1140" s="3645"/>
      <c r="AI1140" s="3543"/>
    </row>
    <row r="1141" ht="16.5" customHeight="1">
      <c r="A1141" s="3535"/>
      <c r="B1141" s="3639"/>
      <c r="C1141" s="3631"/>
      <c r="D1141" s="3640"/>
      <c r="E1141" s="3646" t="s">
        <v>513</v>
      </c>
      <c r="F1141" s="3647">
        <f t="array" ref="F1141">IFERROR(VLOOKUP(E1128,Dex!$B$3:$N1361,8,FALSE),"")</f>
        <v>75</v>
      </c>
      <c r="G1141" s="3648" t="str">
        <f t="array" ref="G1141">IFERROR(VLOOKUP(F1141,Dex!$P$22:$Q$276,2,FALSE),"")</f>
        <v/>
      </c>
      <c r="H1141" s="3649"/>
      <c r="I1141" s="3650"/>
      <c r="J1141" s="3646" t="s">
        <v>513</v>
      </c>
      <c r="K1141" s="3647">
        <f t="array" ref="K1141">IFERROR(VLOOKUP(J1128,Dex!$B$3:$N1361,8,FALSE),"")</f>
        <v>105</v>
      </c>
      <c r="L1141" s="3648" t="str">
        <f t="array" ref="L1141">IFERROR(VLOOKUP(K1141,Dex!$P$22:$Q$276,2,FALSE),"")</f>
        <v/>
      </c>
      <c r="M1141" s="3649"/>
      <c r="N1141" s="3640"/>
      <c r="O1141" s="3646" t="s">
        <v>513</v>
      </c>
      <c r="P1141" s="3647">
        <f t="array" ref="P1141">IFERROR(VLOOKUP(O1128,Dex!$B$3:$N1361,8,FALSE),"")</f>
        <v>75</v>
      </c>
      <c r="Q1141" s="3648" t="str">
        <f t="array" ref="Q1141">IFERROR(VLOOKUP(P1141,Dex!$P$22:$Q$276,2,FALSE),"")</f>
        <v/>
      </c>
      <c r="R1141" s="3649"/>
      <c r="S1141" s="3644"/>
      <c r="T1141" s="3646" t="s">
        <v>513</v>
      </c>
      <c r="U1141" s="3647">
        <f t="array" ref="U1141">IFERROR(VLOOKUP(T1128,Dex!$B$3:$N1361,8,FALSE),"")</f>
        <v>125</v>
      </c>
      <c r="V1141" s="3648" t="str">
        <f t="array" ref="V1141">IFERROR(VLOOKUP(U1141,Dex!$P$22:$Q$276,2,FALSE),"")</f>
        <v/>
      </c>
      <c r="W1141" s="3649"/>
      <c r="X1141" s="3644"/>
      <c r="Y1141" s="3646" t="s">
        <v>513</v>
      </c>
      <c r="Z1141" s="3647">
        <f t="array" ref="Z1141">IFERROR(VLOOKUP(Y1128,Dex!$B$3:$N1361,8,FALSE),"")</f>
        <v>78</v>
      </c>
      <c r="AA1141" s="3648" t="str">
        <f t="array" ref="AA1141">IFERROR(VLOOKUP(Z1141,Dex!$P$22:$Q$276,2,FALSE),"")</f>
        <v/>
      </c>
      <c r="AB1141" s="3649"/>
      <c r="AC1141" s="3644"/>
      <c r="AD1141" s="3644"/>
      <c r="AE1141" s="3644"/>
      <c r="AF1141" s="3644"/>
      <c r="AG1141" s="3644"/>
      <c r="AH1141" s="3645"/>
      <c r="AI1141" s="3543"/>
    </row>
    <row r="1142" ht="16.5" customHeight="1">
      <c r="A1142" s="3535"/>
      <c r="B1142" s="3639"/>
      <c r="C1142" s="3631"/>
      <c r="D1142" s="3640"/>
      <c r="E1142" s="3652" t="s">
        <v>514</v>
      </c>
      <c r="F1142" s="3653">
        <f t="array" ref="F1142">IFERROR(VLOOKUP(E1128,Dex!$B$3:$N1361,9,FALSE),"")</f>
        <v>115</v>
      </c>
      <c r="G1142" s="3654" t="str">
        <f t="array" ref="G1142">IFERROR(VLOOKUP(F1142,Dex!$P$22:$Q$276,2,FALSE),"")</f>
        <v/>
      </c>
      <c r="H1142" s="3655"/>
      <c r="I1142" s="3650"/>
      <c r="J1142" s="3652" t="s">
        <v>514</v>
      </c>
      <c r="K1142" s="3653">
        <f t="array" ref="K1142">IFERROR(VLOOKUP(J1128,Dex!$B$3:$N1361,9,FALSE),"")</f>
        <v>140</v>
      </c>
      <c r="L1142" s="3654" t="str">
        <f t="array" ref="L1142">IFERROR(VLOOKUP(K1142,Dex!$P$22:$Q$276,2,FALSE),"")</f>
        <v/>
      </c>
      <c r="M1142" s="3655"/>
      <c r="N1142" s="3640"/>
      <c r="O1142" s="3652" t="s">
        <v>514</v>
      </c>
      <c r="P1142" s="3653">
        <f t="array" ref="P1142">IFERROR(VLOOKUP(O1128,Dex!$B$3:$N1361,9,FALSE),"")</f>
        <v>95</v>
      </c>
      <c r="Q1142" s="3654" t="str">
        <f t="array" ref="Q1142">IFERROR(VLOOKUP(P1142,Dex!$P$22:$Q$276,2,FALSE),"")</f>
        <v/>
      </c>
      <c r="R1142" s="3655"/>
      <c r="S1142" s="3644"/>
      <c r="T1142" s="3652" t="s">
        <v>514</v>
      </c>
      <c r="U1142" s="3653">
        <f t="array" ref="U1142">IFERROR(VLOOKUP(T1128,Dex!$B$3:$N1361,9,FALSE),"")</f>
        <v>73</v>
      </c>
      <c r="V1142" s="3654" t="str">
        <f t="array" ref="V1142">IFERROR(VLOOKUP(U1142,Dex!$P$22:$Q$276,2,FALSE),"")</f>
        <v/>
      </c>
      <c r="W1142" s="3655"/>
      <c r="X1142" s="3644"/>
      <c r="Y1142" s="3652" t="s">
        <v>514</v>
      </c>
      <c r="Z1142" s="3653">
        <f t="array" ref="Z1142">IFERROR(VLOOKUP(Y1128,Dex!$B$3:$N1361,9,FALSE),"")</f>
        <v>84</v>
      </c>
      <c r="AA1142" s="3654" t="str">
        <f t="array" ref="AA1142">IFERROR(VLOOKUP(Z1142,Dex!$P$22:$Q$276,2,FALSE),"")</f>
        <v/>
      </c>
      <c r="AB1142" s="3655"/>
      <c r="AC1142" s="3644"/>
      <c r="AD1142" s="3644"/>
      <c r="AE1142" s="3644"/>
      <c r="AF1142" s="3644"/>
      <c r="AG1142" s="3644"/>
      <c r="AH1142" s="3645"/>
      <c r="AI1142" s="3543"/>
    </row>
    <row r="1143" ht="16.5" customHeight="1">
      <c r="A1143" s="3535"/>
      <c r="B1143" s="3639"/>
      <c r="C1143" s="3631"/>
      <c r="D1143" s="3640"/>
      <c r="E1143" s="3652" t="s">
        <v>515</v>
      </c>
      <c r="F1143" s="3653">
        <f t="array" ref="F1143">IFERROR(VLOOKUP(E1128,Dex!$B$3:$N1361,10,FALSE),"")</f>
        <v>65</v>
      </c>
      <c r="G1143" s="3654" t="str">
        <f t="array" ref="G1143">IFERROR(VLOOKUP(F1143,Dex!$P$22:$Q$276,2,FALSE),"")</f>
        <v/>
      </c>
      <c r="H1143" s="3655"/>
      <c r="I1143" s="3650"/>
      <c r="J1143" s="3652" t="s">
        <v>515</v>
      </c>
      <c r="K1143" s="3653">
        <f t="array" ref="K1143">IFERROR(VLOOKUP(J1128,Dex!$B$3:$N1361,10,FALSE),"")</f>
        <v>55</v>
      </c>
      <c r="L1143" s="3654" t="str">
        <f t="array" ref="L1143">IFERROR(VLOOKUP(K1143,Dex!$P$22:$Q$276,2,FALSE),"")</f>
        <v/>
      </c>
      <c r="M1143" s="3655"/>
      <c r="N1143" s="3640"/>
      <c r="O1143" s="3652" t="s">
        <v>515</v>
      </c>
      <c r="P1143" s="3653">
        <f t="array" ref="P1143">IFERROR(VLOOKUP(O1128,Dex!$B$3:$N1361,10,FALSE),"")</f>
        <v>125</v>
      </c>
      <c r="Q1143" s="3654" t="str">
        <f t="array" ref="Q1143">IFERROR(VLOOKUP(P1143,Dex!$P$22:$Q$276,2,FALSE),"")</f>
        <v/>
      </c>
      <c r="R1143" s="3655"/>
      <c r="S1143" s="3644"/>
      <c r="T1143" s="3652" t="s">
        <v>515</v>
      </c>
      <c r="U1143" s="3653">
        <f t="array" ref="U1143">IFERROR(VLOOKUP(T1128,Dex!$B$3:$N1361,10,FALSE),"")</f>
        <v>91</v>
      </c>
      <c r="V1143" s="3654" t="str">
        <f t="array" ref="V1143">IFERROR(VLOOKUP(U1143,Dex!$P$22:$Q$276,2,FALSE),"")</f>
        <v/>
      </c>
      <c r="W1143" s="3655"/>
      <c r="X1143" s="3644"/>
      <c r="Y1143" s="3652" t="s">
        <v>515</v>
      </c>
      <c r="Z1143" s="3653">
        <f t="array" ref="Z1143">IFERROR(VLOOKUP(Y1128,Dex!$B$3:$N1361,10,FALSE),"")</f>
        <v>78</v>
      </c>
      <c r="AA1143" s="3654" t="str">
        <f t="array" ref="AA1143">IFERROR(VLOOKUP(Z1143,Dex!$P$22:$Q$276,2,FALSE),"")</f>
        <v/>
      </c>
      <c r="AB1143" s="3655"/>
      <c r="AC1143" s="3644"/>
      <c r="AD1143" s="3644"/>
      <c r="AE1143" s="3644"/>
      <c r="AF1143" s="3644"/>
      <c r="AG1143" s="3644"/>
      <c r="AH1143" s="3645"/>
      <c r="AI1143" s="3543"/>
    </row>
    <row r="1144" ht="16.5" customHeight="1">
      <c r="A1144" s="3535"/>
      <c r="B1144" s="3639"/>
      <c r="C1144" s="3631"/>
      <c r="D1144" s="3640"/>
      <c r="E1144" s="3652" t="s">
        <v>516</v>
      </c>
      <c r="F1144" s="3653">
        <f t="array" ref="F1144">IFERROR(VLOOKUP(E1128,Dex!$B$3:$N1361,11,FALSE),"")</f>
        <v>55</v>
      </c>
      <c r="G1144" s="3654" t="str">
        <f t="array" ref="G1144">IFERROR(VLOOKUP(F1144,Dex!$P$22:$Q$276,2,FALSE),"")</f>
        <v/>
      </c>
      <c r="H1144" s="3655"/>
      <c r="I1144" s="3650"/>
      <c r="J1144" s="3652" t="s">
        <v>516</v>
      </c>
      <c r="K1144" s="3653">
        <f t="array" ref="K1144">IFERROR(VLOOKUP(J1128,Dex!$B$3:$N1361,11,FALSE),"")</f>
        <v>30</v>
      </c>
      <c r="L1144" s="3654" t="str">
        <f t="array" ref="L1144">IFERROR(VLOOKUP(K1144,Dex!$P$22:$Q$276,2,FALSE),"")</f>
        <v/>
      </c>
      <c r="M1144" s="3655"/>
      <c r="N1144" s="3640"/>
      <c r="O1144" s="3652" t="s">
        <v>516</v>
      </c>
      <c r="P1144" s="3653">
        <f t="array" ref="P1144">IFERROR(VLOOKUP(O1128,Dex!$B$3:$N1361,11,FALSE),"")</f>
        <v>45</v>
      </c>
      <c r="Q1144" s="3654" t="str">
        <f t="array" ref="Q1144">IFERROR(VLOOKUP(P1144,Dex!$P$22:$Q$276,2,FALSE),"")</f>
        <v/>
      </c>
      <c r="R1144" s="3655"/>
      <c r="S1144" s="3644"/>
      <c r="T1144" s="3652" t="s">
        <v>516</v>
      </c>
      <c r="U1144" s="3653">
        <f t="array" ref="U1144">IFERROR(VLOOKUP(T1128,Dex!$B$3:$N1361,11,FALSE),"")</f>
        <v>137</v>
      </c>
      <c r="V1144" s="3654" t="str">
        <f t="array" ref="V1144">IFERROR(VLOOKUP(U1144,Dex!$P$22:$Q$276,2,FALSE),"")</f>
        <v/>
      </c>
      <c r="W1144" s="3655"/>
      <c r="X1144" s="3644"/>
      <c r="Y1144" s="3652" t="s">
        <v>516</v>
      </c>
      <c r="Z1144" s="3653">
        <f t="array" ref="Z1144">IFERROR(VLOOKUP(Y1128,Dex!$B$3:$N1361,11,FALSE),"")</f>
        <v>109</v>
      </c>
      <c r="AA1144" s="3654" t="str">
        <f t="array" ref="AA1144">IFERROR(VLOOKUP(Z1144,Dex!$P$22:$Q$276,2,FALSE),"")</f>
        <v/>
      </c>
      <c r="AB1144" s="3655"/>
      <c r="AC1144" s="3644"/>
      <c r="AD1144" s="3644"/>
      <c r="AE1144" s="3644"/>
      <c r="AF1144" s="3644"/>
      <c r="AG1144" s="3644"/>
      <c r="AH1144" s="3645"/>
      <c r="AI1144" s="3543"/>
    </row>
    <row r="1145" ht="16.5" customHeight="1">
      <c r="A1145" s="3535"/>
      <c r="B1145" s="3639"/>
      <c r="C1145" s="3631"/>
      <c r="D1145" s="3640"/>
      <c r="E1145" s="3652" t="s">
        <v>517</v>
      </c>
      <c r="F1145" s="3653">
        <f t="array" ref="F1145">IFERROR(VLOOKUP(E1128,Dex!$B$3:$N1361,12,FALSE),"")</f>
        <v>65</v>
      </c>
      <c r="G1145" s="3654" t="str">
        <f t="array" ref="G1145">IFERROR(VLOOKUP(F1145,Dex!$P$22:$Q$276,2,FALSE),"")</f>
        <v/>
      </c>
      <c r="H1145" s="3655"/>
      <c r="I1145" s="3650"/>
      <c r="J1145" s="3652" t="s">
        <v>517</v>
      </c>
      <c r="K1145" s="3653">
        <f t="array" ref="K1145">IFERROR(VLOOKUP(J1128,Dex!$B$3:$N1361,12,FALSE),"")</f>
        <v>55</v>
      </c>
      <c r="L1145" s="3654" t="str">
        <f t="array" ref="L1145">IFERROR(VLOOKUP(K1145,Dex!$P$22:$Q$276,2,FALSE),"")</f>
        <v/>
      </c>
      <c r="M1145" s="3655"/>
      <c r="N1145" s="3640"/>
      <c r="O1145" s="3652" t="s">
        <v>517</v>
      </c>
      <c r="P1145" s="3653">
        <f t="array" ref="P1145">IFERROR(VLOOKUP(O1128,Dex!$B$3:$N1361,12,FALSE),"")</f>
        <v>75</v>
      </c>
      <c r="Q1145" s="3654" t="str">
        <f t="array" ref="Q1145">IFERROR(VLOOKUP(P1145,Dex!$P$22:$Q$276,2,FALSE),"")</f>
        <v/>
      </c>
      <c r="R1145" s="3655"/>
      <c r="S1145" s="3644"/>
      <c r="T1145" s="3652" t="s">
        <v>517</v>
      </c>
      <c r="U1145" s="3653">
        <f t="array" ref="U1145">IFERROR(VLOOKUP(T1128,Dex!$B$3:$N1361,12,FALSE),"")</f>
        <v>89</v>
      </c>
      <c r="V1145" s="3654" t="str">
        <f t="array" ref="V1145">IFERROR(VLOOKUP(U1145,Dex!$P$22:$Q$276,2,FALSE),"")</f>
        <v/>
      </c>
      <c r="W1145" s="3655"/>
      <c r="X1145" s="3644"/>
      <c r="Y1145" s="3652" t="s">
        <v>517</v>
      </c>
      <c r="Z1145" s="3653">
        <f t="array" ref="Z1145">IFERROR(VLOOKUP(Y1128,Dex!$B$3:$N1361,12,FALSE),"")</f>
        <v>85</v>
      </c>
      <c r="AA1145" s="3654" t="str">
        <f t="array" ref="AA1145">IFERROR(VLOOKUP(Z1145,Dex!$P$22:$Q$276,2,FALSE),"")</f>
        <v/>
      </c>
      <c r="AB1145" s="3655"/>
      <c r="AC1145" s="3644"/>
      <c r="AD1145" s="3644"/>
      <c r="AE1145" s="3644"/>
      <c r="AF1145" s="3644"/>
      <c r="AG1145" s="3644"/>
      <c r="AH1145" s="3645"/>
      <c r="AI1145" s="3543"/>
    </row>
    <row r="1146" ht="16.5" customHeight="1">
      <c r="A1146" s="3535"/>
      <c r="B1146" s="3639"/>
      <c r="C1146" s="1426" t="s">
        <v>745</v>
      </c>
      <c r="D1146" s="3640"/>
      <c r="E1146" s="3658" t="s">
        <v>518</v>
      </c>
      <c r="F1146" s="3659">
        <f t="array" ref="F1146">IFERROR(VLOOKUP(E1128,Dex!$B$3:$N1361,13,FALSE),"")</f>
        <v>112</v>
      </c>
      <c r="G1146" s="3660" t="str">
        <f t="array" ref="G1146">IFERROR(VLOOKUP(F1146,Dex!$P$22:$Q$276,2,FALSE),"")</f>
        <v/>
      </c>
      <c r="H1146" s="3661"/>
      <c r="I1146" s="3650"/>
      <c r="J1146" s="3658" t="s">
        <v>518</v>
      </c>
      <c r="K1146" s="3659">
        <f t="array" ref="K1146">IFERROR(VLOOKUP(J1128,Dex!$B$3:$N1361,13,FALSE),"")</f>
        <v>95</v>
      </c>
      <c r="L1146" s="3660" t="str">
        <f t="array" ref="L1146">IFERROR(VLOOKUP(K1146,Dex!$P$22:$Q$276,2,FALSE),"")</f>
        <v/>
      </c>
      <c r="M1146" s="3661"/>
      <c r="N1146" s="3640"/>
      <c r="O1146" s="3658" t="s">
        <v>518</v>
      </c>
      <c r="P1146" s="3659">
        <f t="array" ref="P1146">IFERROR(VLOOKUP(O1128,Dex!$B$3:$N1361,13,FALSE),"")</f>
        <v>95</v>
      </c>
      <c r="Q1146" s="3660" t="str">
        <f t="array" ref="Q1146">IFERROR(VLOOKUP(P1146,Dex!$P$22:$Q$276,2,FALSE),"")</f>
        <v/>
      </c>
      <c r="R1146" s="3661"/>
      <c r="S1146" s="3644"/>
      <c r="T1146" s="3658" t="s">
        <v>518</v>
      </c>
      <c r="U1146" s="3659">
        <f t="array" ref="U1146">IFERROR(VLOOKUP(T1128,Dex!$B$3:$N1361,13,FALSE),"")</f>
        <v>75</v>
      </c>
      <c r="V1146" s="3660" t="str">
        <f t="array" ref="V1146">IFERROR(VLOOKUP(U1146,Dex!$P$22:$Q$276,2,FALSE),"")</f>
        <v/>
      </c>
      <c r="W1146" s="3661"/>
      <c r="X1146" s="3644"/>
      <c r="Y1146" s="3658" t="s">
        <v>518</v>
      </c>
      <c r="Z1146" s="3659">
        <f t="array" ref="Z1146">IFERROR(VLOOKUP(Y1128,Dex!$B$3:$N1361,13,FALSE),"")</f>
        <v>100</v>
      </c>
      <c r="AA1146" s="3660" t="str">
        <f t="array" ref="AA1146">IFERROR(VLOOKUP(Z1146,Dex!$P$22:$Q$276,2,FALSE),"")</f>
        <v/>
      </c>
      <c r="AB1146" s="3661"/>
      <c r="AC1146" s="3644"/>
      <c r="AD1146" s="3644"/>
      <c r="AE1146" s="3644"/>
      <c r="AF1146" s="3644"/>
      <c r="AG1146" s="3644"/>
      <c r="AH1146" s="3645"/>
      <c r="AI1146" s="3543"/>
    </row>
    <row r="1147" ht="16.5" customHeight="1">
      <c r="A1147" s="3535"/>
      <c r="B1147" s="3639"/>
      <c r="C1147" s="1427" t="s">
        <v>1695</v>
      </c>
      <c r="D1147" s="4590"/>
      <c r="E1147" s="3662" t="s">
        <v>519</v>
      </c>
      <c r="F1147" s="630"/>
      <c r="G1147" s="631"/>
      <c r="H1147" s="632">
        <f>ROUNDDOWN((ROUNDDOWN(((((2*F1146+31)*76)/100+5)),0))*1.1,0)</f>
        <v>217</v>
      </c>
      <c r="I1147" s="3642"/>
      <c r="J1147" s="3662" t="s">
        <v>519</v>
      </c>
      <c r="K1147" s="630"/>
      <c r="L1147" s="631"/>
      <c r="M1147" s="632">
        <f>ROUNDDOWN((ROUNDDOWN(((((2*K1146+31)*76)/100+5)),0))*1.1,0)</f>
        <v>189</v>
      </c>
      <c r="N1147" s="4590"/>
      <c r="O1147" s="3662" t="s">
        <v>519</v>
      </c>
      <c r="P1147" s="630"/>
      <c r="Q1147" s="631"/>
      <c r="R1147" s="632">
        <f>ROUNDDOWN((ROUNDDOWN(((((2*P1146+31)*76)/100+5)),0))*1.1,0)</f>
        <v>189</v>
      </c>
      <c r="S1147" s="4592"/>
      <c r="T1147" s="3662" t="s">
        <v>519</v>
      </c>
      <c r="U1147" s="630"/>
      <c r="V1147" s="631"/>
      <c r="W1147" s="632">
        <f>ROUNDDOWN((ROUNDDOWN(((((2*U1146+31)*76)/100+5)),0))*1,0)</f>
        <v>142</v>
      </c>
      <c r="X1147" s="4592"/>
      <c r="Y1147" s="3662" t="s">
        <v>519</v>
      </c>
      <c r="Z1147" s="630"/>
      <c r="AA1147" s="631"/>
      <c r="AB1147" s="632">
        <f>ROUNDDOWN((ROUNDDOWN(((((2*Z1146+31)*76)/100+5)),0))*1.1,0)</f>
        <v>198</v>
      </c>
      <c r="AC1147" s="3644"/>
      <c r="AD1147" s="3644"/>
      <c r="AE1147" s="3644"/>
      <c r="AF1147" s="3644"/>
      <c r="AG1147" s="3644"/>
      <c r="AH1147" s="3645"/>
      <c r="AI1147" s="3543"/>
    </row>
    <row r="1148" ht="15.0" customHeight="1">
      <c r="A1148" s="3453"/>
      <c r="B1148" s="3663"/>
      <c r="C1148" s="3664"/>
      <c r="D1148" s="3665"/>
      <c r="E1148" s="3668"/>
      <c r="F1148" s="3668"/>
      <c r="G1148" s="3668"/>
      <c r="H1148" s="3667"/>
      <c r="I1148" s="3667"/>
      <c r="J1148" s="3668"/>
      <c r="K1148" s="3668"/>
      <c r="L1148" s="3668"/>
      <c r="M1148" s="3667"/>
      <c r="N1148" s="3669"/>
      <c r="O1148" s="5738"/>
      <c r="P1148" s="5738"/>
      <c r="Q1148" s="5739"/>
      <c r="R1148" s="3671"/>
      <c r="S1148" s="3671"/>
      <c r="T1148" s="5738"/>
      <c r="U1148" s="5738"/>
      <c r="V1148" s="5739"/>
      <c r="W1148" s="3671"/>
      <c r="X1148" s="3669"/>
      <c r="Y1148" s="4601"/>
      <c r="Z1148" s="4601"/>
      <c r="AA1148" s="4601"/>
      <c r="AB1148" s="3672"/>
      <c r="AC1148" s="3672"/>
      <c r="AD1148" s="3672"/>
      <c r="AE1148" s="3672"/>
      <c r="AF1148" s="3672"/>
      <c r="AG1148" s="3672"/>
      <c r="AH1148" s="3673"/>
      <c r="AI1148" s="3466"/>
    </row>
    <row r="1149" ht="15.0" customHeight="1">
      <c r="A1149" s="3446"/>
      <c r="B1149" s="3567"/>
      <c r="C1149" s="3568"/>
      <c r="D1149" s="3569"/>
      <c r="E1149" s="3569"/>
      <c r="F1149" s="3569"/>
      <c r="G1149" s="3569"/>
      <c r="H1149" s="3569"/>
      <c r="I1149" s="3569"/>
      <c r="J1149" s="3569"/>
      <c r="K1149" s="3569"/>
      <c r="L1149" s="3569"/>
      <c r="M1149" s="3569"/>
      <c r="N1149" s="3569"/>
      <c r="O1149" s="3569"/>
      <c r="P1149" s="3569"/>
      <c r="Q1149" s="3569"/>
      <c r="R1149" s="3569"/>
      <c r="S1149" s="3569"/>
      <c r="T1149" s="3569"/>
      <c r="U1149" s="3569"/>
      <c r="V1149" s="3569"/>
      <c r="W1149" s="3569"/>
      <c r="X1149" s="3569"/>
      <c r="Y1149" s="3569"/>
      <c r="Z1149" s="3569"/>
      <c r="AA1149" s="3569"/>
      <c r="AB1149" s="3569"/>
      <c r="AC1149" s="3569"/>
      <c r="AD1149" s="3569"/>
      <c r="AE1149" s="3569"/>
      <c r="AF1149" s="3569"/>
      <c r="AG1149" s="3569"/>
      <c r="AH1149" s="3571"/>
      <c r="AI1149" s="3452"/>
    </row>
    <row r="1150">
      <c r="A1150" s="3446"/>
      <c r="B1150" s="4579"/>
      <c r="C1150" s="4580"/>
      <c r="D1150" s="3581"/>
      <c r="E1150" s="4581" t="s">
        <v>1721</v>
      </c>
      <c r="F1150" s="3617"/>
      <c r="G1150" s="3617"/>
      <c r="H1150" s="3617"/>
      <c r="I1150" s="3617"/>
      <c r="J1150" s="3617"/>
      <c r="K1150" s="3617"/>
      <c r="L1150" s="3617"/>
      <c r="M1150" s="3617"/>
      <c r="N1150" s="3617"/>
      <c r="O1150" s="3617"/>
      <c r="P1150" s="3617"/>
      <c r="Q1150" s="3617"/>
      <c r="R1150" s="3617"/>
      <c r="S1150" s="3617"/>
      <c r="T1150" s="3617"/>
      <c r="U1150" s="3617"/>
      <c r="V1150" s="3617"/>
      <c r="W1150" s="3617"/>
      <c r="X1150" s="3617"/>
      <c r="Y1150" s="3617"/>
      <c r="Z1150" s="3617"/>
      <c r="AA1150" s="3617"/>
      <c r="AB1150" s="3617"/>
      <c r="AC1150" s="3617"/>
      <c r="AD1150" s="3617"/>
      <c r="AE1150" s="3617"/>
      <c r="AF1150" s="3617"/>
      <c r="AG1150" s="3618"/>
      <c r="AH1150" s="4582"/>
      <c r="AI1150" s="3452"/>
    </row>
    <row r="1151" ht="96.75" customHeight="1">
      <c r="A1151" s="3453"/>
      <c r="B1151" s="3572"/>
      <c r="C1151" s="3573" t="str">
        <f>IMAGE("https://i.ibb.co/TKBZjnF/Ace-Trainer-M.png")</f>
        <v/>
      </c>
      <c r="D1151" s="3574"/>
      <c r="E1151" s="3575" t="str">
        <f t="array" ref="E1151">IFERROR(VLOOKUP(E1152,Dex!$B$3:$G1361,3,FALSE),"")</f>
        <v/>
      </c>
      <c r="F1151" s="606"/>
      <c r="G1151" s="606"/>
      <c r="H1151" s="607"/>
      <c r="I1151" s="3576"/>
      <c r="J1151" s="3575" t="str">
        <f t="array" ref="J1151">IFERROR(VLOOKUP(J1152,Dex!$B$3:$G1361,3,FALSE),"")</f>
        <v/>
      </c>
      <c r="K1151" s="606"/>
      <c r="L1151" s="606"/>
      <c r="M1151" s="607"/>
      <c r="N1151" s="4583"/>
      <c r="O1151" s="3575" t="str">
        <f t="array" ref="O1151">IFERROR(VLOOKUP(O1152,Dex!$B$3:$G1361,3,FALSE),"")</f>
        <v/>
      </c>
      <c r="P1151" s="606"/>
      <c r="Q1151" s="606"/>
      <c r="R1151" s="607"/>
      <c r="S1151" s="4584"/>
      <c r="T1151" s="3575" t="str">
        <f t="array" ref="T1151">IFERROR(VLOOKUP(T1152,Dex!$B$3:$G1361,3,FALSE),"")</f>
        <v/>
      </c>
      <c r="U1151" s="606"/>
      <c r="V1151" s="606"/>
      <c r="W1151" s="607"/>
      <c r="X1151" s="4583"/>
      <c r="Y1151" s="3575" t="str">
        <f t="array" ref="Y1151">IFERROR(VLOOKUP(Y1152,Dex!$B$3:$G1361,3,FALSE),"")</f>
        <v/>
      </c>
      <c r="Z1151" s="606"/>
      <c r="AA1151" s="606"/>
      <c r="AB1151" s="607"/>
      <c r="AC1151" s="4585"/>
      <c r="AD1151" s="3578"/>
      <c r="AE1151" s="3579"/>
      <c r="AF1151" s="3579"/>
      <c r="AG1151" s="3580"/>
      <c r="AH1151" s="3583"/>
      <c r="AI1151" s="3466"/>
    </row>
    <row r="1152" ht="18.75" customHeight="1">
      <c r="A1152" s="3467"/>
      <c r="B1152" s="3584"/>
      <c r="C1152" s="3585" t="s">
        <v>1722</v>
      </c>
      <c r="D1152" s="3586"/>
      <c r="E1152" s="3587" t="s">
        <v>1723</v>
      </c>
      <c r="F1152" s="3588"/>
      <c r="G1152" s="3588"/>
      <c r="H1152" s="3589"/>
      <c r="J1152" s="3587" t="s">
        <v>1344</v>
      </c>
      <c r="K1152" s="3588"/>
      <c r="L1152" s="3588"/>
      <c r="M1152" s="3589"/>
      <c r="O1152" s="3587" t="s">
        <v>1505</v>
      </c>
      <c r="P1152" s="3588"/>
      <c r="Q1152" s="3588"/>
      <c r="R1152" s="3589"/>
      <c r="T1152" s="3587" t="s">
        <v>1277</v>
      </c>
      <c r="U1152" s="3588"/>
      <c r="V1152" s="3588"/>
      <c r="W1152" s="3589"/>
      <c r="Y1152" s="3587" t="s">
        <v>1724</v>
      </c>
      <c r="Z1152" s="3588"/>
      <c r="AA1152" s="3588"/>
      <c r="AB1152" s="3589"/>
      <c r="AC1152" s="3590"/>
      <c r="AD1152" s="3591"/>
      <c r="AE1152" s="3579"/>
      <c r="AF1152" s="3579"/>
      <c r="AG1152" s="3580"/>
      <c r="AH1152" s="3593"/>
      <c r="AI1152" s="3478"/>
    </row>
    <row r="1153">
      <c r="A1153" s="3479"/>
      <c r="B1153" s="3594"/>
      <c r="C1153" s="1638"/>
      <c r="D1153" s="3595"/>
      <c r="E1153" s="4586" t="s">
        <v>729</v>
      </c>
      <c r="F1153" s="3597"/>
      <c r="G1153" s="3597"/>
      <c r="H1153" s="4587"/>
      <c r="J1153" s="4586" t="s">
        <v>729</v>
      </c>
      <c r="K1153" s="3597"/>
      <c r="L1153" s="3597"/>
      <c r="M1153" s="4587"/>
      <c r="O1153" s="4586" t="s">
        <v>729</v>
      </c>
      <c r="P1153" s="3597"/>
      <c r="Q1153" s="3597"/>
      <c r="R1153" s="4587"/>
      <c r="T1153" s="4586" t="s">
        <v>729</v>
      </c>
      <c r="U1153" s="3597"/>
      <c r="V1153" s="3597"/>
      <c r="W1153" s="4587"/>
      <c r="Y1153" s="4586" t="s">
        <v>729</v>
      </c>
      <c r="Z1153" s="3597"/>
      <c r="AA1153" s="3597"/>
      <c r="AB1153" s="4587"/>
      <c r="AC1153" s="3590"/>
      <c r="AD1153" s="3599"/>
      <c r="AE1153" s="3579"/>
      <c r="AF1153" s="3579"/>
      <c r="AG1153" s="3580"/>
      <c r="AH1153" s="3600"/>
      <c r="AI1153" s="3487"/>
    </row>
    <row r="1154" ht="25.5" customHeight="1">
      <c r="A1154" s="3453"/>
      <c r="B1154" s="3572"/>
      <c r="C1154" s="1646"/>
      <c r="D1154" s="3574"/>
      <c r="E1154" s="3601"/>
      <c r="F1154" s="3602" t="str">
        <f t="array" ref="F1154">IFERROR(VLOOKUP(E1152,Dex!$B$3:$H1361,5,FALSE),"")</f>
        <v/>
      </c>
      <c r="G1154" s="3603"/>
      <c r="H1154" s="3604"/>
      <c r="J1154" s="3601"/>
      <c r="K1154" s="4588" t="str">
        <f t="array" ref="K1154">IFERROR(VLOOKUP(J1152,Dex!$B$3:$H1361,5,FALSE),"")</f>
        <v/>
      </c>
      <c r="L1154" s="4589" t="str">
        <f t="array" ref="L1154">IFERROR(VLOOKUP(J1152,Dex!$B$3:$H1361,7,FALSE),"")</f>
        <v/>
      </c>
      <c r="M1154" s="3604"/>
      <c r="O1154" s="3601"/>
      <c r="P1154" s="4588" t="str">
        <f t="array" ref="P1154">IFERROR(VLOOKUP(O1152,Dex!$B$3:$H1361,5,FALSE),"")</f>
        <v/>
      </c>
      <c r="Q1154" s="4589" t="str">
        <f t="array" ref="Q1154">IFERROR(VLOOKUP(O1152,Dex!$B$3:$H1361,7,FALSE),"")</f>
        <v/>
      </c>
      <c r="R1154" s="3604"/>
      <c r="T1154" s="3601"/>
      <c r="U1154" s="4588" t="str">
        <f t="array" ref="U1154">IFERROR(VLOOKUP(T1152,Dex!$B$3:$H1361,5,FALSE),"")</f>
        <v/>
      </c>
      <c r="V1154" s="4589" t="str">
        <f t="array" ref="V1154">IFERROR(VLOOKUP(T1152,Dex!$B$3:$H1361,7,FALSE),"")</f>
        <v/>
      </c>
      <c r="W1154" s="3604"/>
      <c r="Y1154" s="3601"/>
      <c r="Z1154" s="4588" t="str">
        <f t="array" ref="Z1154">IFERROR(VLOOKUP(Y1152,Dex!$B$3:$H1361,5,FALSE),"")</f>
        <v/>
      </c>
      <c r="AA1154" s="4589" t="str">
        <f t="array" ref="AA1154">IFERROR(VLOOKUP(Y1152,Dex!$B$3:$H1361,7,FALSE),"")</f>
        <v/>
      </c>
      <c r="AB1154" s="3604"/>
      <c r="AC1154" s="3590"/>
      <c r="AD1154" s="3578"/>
      <c r="AE1154" s="3579"/>
      <c r="AF1154" s="3579"/>
      <c r="AG1154" s="3580"/>
      <c r="AH1154" s="3583"/>
      <c r="AI1154" s="3466"/>
    </row>
    <row r="1155" ht="2.25" customHeight="1">
      <c r="A1155" s="3453"/>
      <c r="B1155" s="3572"/>
      <c r="C1155" s="3605"/>
      <c r="D1155" s="3574"/>
      <c r="E1155" s="3606"/>
      <c r="F1155" s="3607"/>
      <c r="G1155" s="3607"/>
      <c r="H1155" s="3608"/>
      <c r="J1155" s="3606"/>
      <c r="K1155" s="3607"/>
      <c r="L1155" s="3607"/>
      <c r="M1155" s="3608"/>
      <c r="O1155" s="3606"/>
      <c r="P1155" s="3607"/>
      <c r="Q1155" s="3607"/>
      <c r="R1155" s="3608"/>
      <c r="T1155" s="3606"/>
      <c r="U1155" s="3607"/>
      <c r="V1155" s="3607"/>
      <c r="W1155" s="3608"/>
      <c r="Y1155" s="3606"/>
      <c r="Z1155" s="3607"/>
      <c r="AA1155" s="3607"/>
      <c r="AB1155" s="3608"/>
      <c r="AC1155" s="3590"/>
      <c r="AD1155" s="3609"/>
      <c r="AE1155" s="3609"/>
      <c r="AF1155" s="3609"/>
      <c r="AG1155" s="3609"/>
      <c r="AH1155" s="3583"/>
      <c r="AI1155" s="3466"/>
    </row>
    <row r="1156" ht="20.25" customHeight="1">
      <c r="A1156" s="3453"/>
      <c r="B1156" s="3572"/>
      <c r="C1156" s="3605"/>
      <c r="D1156" s="3574"/>
      <c r="E1156" s="3610" t="s">
        <v>532</v>
      </c>
      <c r="F1156" s="3611"/>
      <c r="G1156" s="3611"/>
      <c r="H1156" s="3612"/>
      <c r="J1156" s="3610" t="s">
        <v>565</v>
      </c>
      <c r="K1156" s="3611"/>
      <c r="L1156" s="3611"/>
      <c r="M1156" s="3612"/>
      <c r="O1156" s="3610" t="s">
        <v>564</v>
      </c>
      <c r="P1156" s="3611"/>
      <c r="Q1156" s="3611"/>
      <c r="R1156" s="3612"/>
      <c r="T1156" s="3610" t="s">
        <v>566</v>
      </c>
      <c r="U1156" s="3611"/>
      <c r="V1156" s="3611"/>
      <c r="W1156" s="3612"/>
      <c r="Y1156" s="3610" t="s">
        <v>564</v>
      </c>
      <c r="Z1156" s="3611"/>
      <c r="AA1156" s="3611"/>
      <c r="AB1156" s="3612"/>
      <c r="AC1156" s="3590"/>
      <c r="AD1156" s="3578"/>
      <c r="AE1156" s="3579"/>
      <c r="AF1156" s="3579"/>
      <c r="AG1156" s="3580"/>
      <c r="AH1156" s="3583"/>
      <c r="AI1156" s="3466"/>
    </row>
    <row r="1157">
      <c r="A1157" s="3453"/>
      <c r="B1157" s="3572"/>
      <c r="C1157" s="3613"/>
      <c r="D1157" s="3574"/>
      <c r="E1157" s="3614" t="s">
        <v>1725</v>
      </c>
      <c r="F1157" s="3579"/>
      <c r="G1157" s="3579"/>
      <c r="H1157" s="3615"/>
      <c r="J1157" s="3614" t="s">
        <v>1726</v>
      </c>
      <c r="K1157" s="3579"/>
      <c r="L1157" s="3579"/>
      <c r="M1157" s="3615"/>
      <c r="O1157" s="3614" t="s">
        <v>827</v>
      </c>
      <c r="P1157" s="3579"/>
      <c r="Q1157" s="3579"/>
      <c r="R1157" s="3615"/>
      <c r="T1157" s="3614" t="s">
        <v>755</v>
      </c>
      <c r="U1157" s="3579"/>
      <c r="V1157" s="3579"/>
      <c r="W1157" s="3615"/>
      <c r="Y1157" s="3614" t="s">
        <v>1363</v>
      </c>
      <c r="Z1157" s="3579"/>
      <c r="AA1157" s="3579"/>
      <c r="AB1157" s="3615"/>
      <c r="AC1157" s="3590"/>
      <c r="AD1157" s="3578"/>
      <c r="AE1157" s="3579"/>
      <c r="AF1157" s="3579"/>
      <c r="AG1157" s="3580"/>
      <c r="AH1157" s="3583"/>
      <c r="AI1157" s="3466"/>
    </row>
    <row r="1158" ht="20.25" customHeight="1">
      <c r="A1158" s="3453"/>
      <c r="B1158" s="3572"/>
      <c r="C1158" s="3592"/>
      <c r="D1158" s="3574"/>
      <c r="E1158" s="3616" t="s">
        <v>573</v>
      </c>
      <c r="F1158" s="3617"/>
      <c r="G1158" s="3618"/>
      <c r="H1158" s="3619" t="str">
        <f>IMAGE("https://raw.githubusercontent.com/msikma/pokesprite/master/items/hold-item/focus-sash.png",3)</f>
        <v/>
      </c>
      <c r="J1158" s="3616" t="s">
        <v>1346</v>
      </c>
      <c r="K1158" s="3617"/>
      <c r="L1158" s="3618"/>
      <c r="M1158" s="3619" t="str">
        <f>IMAGE("https://raw.githubusercontent.com/msikma/pokesprite/master/items/mega-stone/salamencite.png",3)</f>
        <v/>
      </c>
      <c r="O1158" s="3616" t="s">
        <v>541</v>
      </c>
      <c r="P1158" s="3617"/>
      <c r="Q1158" s="3618"/>
      <c r="R1158" s="3619" t="str">
        <f>IMAGE("https://raw.githubusercontent.com/msikma/pokesprite/master/items/hold-item/life-orb.png",3)</f>
        <v/>
      </c>
      <c r="T1158" s="3616" t="s">
        <v>1727</v>
      </c>
      <c r="U1158" s="3617"/>
      <c r="V1158" s="3618"/>
      <c r="W1158" s="3619" t="str">
        <f>IMAGE("https://raw.githubusercontent.com/msikma/pokesprite/master/items/gem/ground.png",3)</f>
        <v/>
      </c>
      <c r="Y1158" s="3616" t="s">
        <v>770</v>
      </c>
      <c r="Z1158" s="3617"/>
      <c r="AA1158" s="3618"/>
      <c r="AB1158" s="3619" t="str">
        <f>IMAGE("https://raw.githubusercontent.com/msikma/pokesprite/master/items/gem/fire.png",3)</f>
        <v/>
      </c>
      <c r="AC1158" s="3590"/>
      <c r="AD1158" s="3578"/>
      <c r="AE1158" s="3579"/>
      <c r="AF1158" s="3579"/>
      <c r="AG1158" s="3580"/>
      <c r="AH1158" s="3583"/>
      <c r="AI1158" s="3466"/>
    </row>
    <row r="1159" ht="20.25" customHeight="1">
      <c r="A1159" s="3453"/>
      <c r="B1159" s="3572"/>
      <c r="C1159" s="3620"/>
      <c r="D1159" s="3574"/>
      <c r="E1159" s="3610" t="s">
        <v>1221</v>
      </c>
      <c r="F1159" s="3611"/>
      <c r="G1159" s="3621"/>
      <c r="H1159" s="3622" t="str">
        <f>IMAGE("https://raw.githubusercontent.com/msikma/pokesprite/master/misc/types/gen8/fire.png",4,20,20)</f>
        <v/>
      </c>
      <c r="J1159" s="3610" t="s">
        <v>1243</v>
      </c>
      <c r="K1159" s="3611"/>
      <c r="L1159" s="3621"/>
      <c r="M1159" s="3622" t="str">
        <f>IMAGE("https://raw.githubusercontent.com/msikma/pokesprite/master/misc/types/gen8/fire.png",4,20,20)</f>
        <v/>
      </c>
      <c r="O1159" s="3610" t="s">
        <v>805</v>
      </c>
      <c r="P1159" s="3611"/>
      <c r="Q1159" s="3621"/>
      <c r="R1159" s="3622" t="str">
        <f>IMAGE("https://raw.githubusercontent.com/msikma/pokesprite/master/misc/types/gen8/flying.png",4,20,20)</f>
        <v/>
      </c>
      <c r="T1159" s="3610" t="s">
        <v>622</v>
      </c>
      <c r="U1159" s="3611"/>
      <c r="V1159" s="3621"/>
      <c r="W1159" s="3622" t="str">
        <f>IMAGE("https://raw.githubusercontent.com/msikma/pokesprite/master/misc/types/gen8/ground.png",4,20,20)</f>
        <v/>
      </c>
      <c r="Y1159" s="3610" t="s">
        <v>1211</v>
      </c>
      <c r="Z1159" s="3611"/>
      <c r="AA1159" s="3621"/>
      <c r="AB1159" s="3622" t="str">
        <f>IMAGE("https://raw.githubusercontent.com/msikma/pokesprite/master/misc/types/gen8/fire.png",4,20,20)</f>
        <v/>
      </c>
      <c r="AC1159" s="3590"/>
      <c r="AD1159" s="3578"/>
      <c r="AE1159" s="3579"/>
      <c r="AF1159" s="3579"/>
      <c r="AG1159" s="3580"/>
      <c r="AH1159" s="3583"/>
      <c r="AI1159" s="3466"/>
    </row>
    <row r="1160" ht="20.25" customHeight="1">
      <c r="A1160" s="3453"/>
      <c r="B1160" s="3572"/>
      <c r="C1160" s="3605"/>
      <c r="D1160" s="3574"/>
      <c r="E1160" s="3614" t="s">
        <v>1728</v>
      </c>
      <c r="F1160" s="3579"/>
      <c r="G1160" s="3580"/>
      <c r="H1160" s="3623" t="str">
        <f>IMAGE("https://raw.githubusercontent.com/msikma/pokesprite/master/misc/types/gen8/fighting.png",4,20,20)</f>
        <v/>
      </c>
      <c r="J1160" s="3614" t="s">
        <v>293</v>
      </c>
      <c r="K1160" s="3579"/>
      <c r="L1160" s="3580"/>
      <c r="M1160" s="3623" t="str">
        <f t="shared" ref="M1160:M1161" si="36">IMAGE("https://raw.githubusercontent.com/msikma/pokesprite/master/misc/types/gen8/flying.png",4,20,20)</f>
        <v/>
      </c>
      <c r="O1160" s="3614" t="s">
        <v>1243</v>
      </c>
      <c r="P1160" s="3579"/>
      <c r="Q1160" s="3580"/>
      <c r="R1160" s="3623" t="str">
        <f>IMAGE("https://raw.githubusercontent.com/msikma/pokesprite/master/misc/types/gen8/fire.png",4,20,20)</f>
        <v/>
      </c>
      <c r="T1160" s="3614" t="s">
        <v>739</v>
      </c>
      <c r="U1160" s="3579"/>
      <c r="V1160" s="3580"/>
      <c r="W1160" s="3623" t="str">
        <f>IMAGE("https://raw.githubusercontent.com/msikma/pokesprite/master/misc/types/gen8/steel.png",4,20,20)</f>
        <v/>
      </c>
      <c r="Y1160" s="3614" t="s">
        <v>846</v>
      </c>
      <c r="Z1160" s="3579"/>
      <c r="AA1160" s="3580"/>
      <c r="AB1160" s="3623" t="str">
        <f>IMAGE("https://raw.githubusercontent.com/msikma/pokesprite/master/misc/types/gen8/bug.png",4,20,20)</f>
        <v/>
      </c>
      <c r="AC1160" s="3590"/>
      <c r="AD1160" s="3578"/>
      <c r="AE1160" s="3579"/>
      <c r="AF1160" s="3579"/>
      <c r="AG1160" s="3580"/>
      <c r="AH1160" s="3583"/>
      <c r="AI1160" s="3466"/>
    </row>
    <row r="1161" ht="20.25" customHeight="1">
      <c r="A1161" s="3453"/>
      <c r="B1161" s="3572"/>
      <c r="C1161" s="3605"/>
      <c r="D1161" s="3574"/>
      <c r="E1161" s="3614" t="s">
        <v>1231</v>
      </c>
      <c r="F1161" s="3579"/>
      <c r="G1161" s="3580"/>
      <c r="H1161" s="3623" t="str">
        <f>IMAGE("https://raw.githubusercontent.com/msikma/pokesprite/master/misc/types/gen8/poison.png",4,20,20)</f>
        <v/>
      </c>
      <c r="J1161" s="3614" t="s">
        <v>928</v>
      </c>
      <c r="K1161" s="3579"/>
      <c r="L1161" s="3580"/>
      <c r="M1161" s="3623" t="str">
        <f t="shared" si="36"/>
        <v/>
      </c>
      <c r="O1161" s="3614" t="s">
        <v>551</v>
      </c>
      <c r="P1161" s="3579"/>
      <c r="Q1161" s="3580"/>
      <c r="R1161" s="3623" t="str">
        <f>IMAGE("https://raw.githubusercontent.com/msikma/pokesprite/master/misc/types/gen8/flying.png",4,20,20)</f>
        <v/>
      </c>
      <c r="T1161" s="3614" t="s">
        <v>549</v>
      </c>
      <c r="U1161" s="3579"/>
      <c r="V1161" s="3580"/>
      <c r="W1161" s="3623" t="str">
        <f>IMAGE("https://raw.githubusercontent.com/msikma/pokesprite/master/misc/types/gen8/ground.png",4,20,20)</f>
        <v/>
      </c>
      <c r="Y1161" s="3614" t="s">
        <v>543</v>
      </c>
      <c r="Z1161" s="3579"/>
      <c r="AA1161" s="3580"/>
      <c r="AB1161" s="3623" t="str">
        <f>IMAGE("https://raw.githubusercontent.com/msikma/pokesprite/master/misc/types/gen8/grass.png",4,20,20)</f>
        <v/>
      </c>
      <c r="AC1161" s="3590"/>
      <c r="AD1161" s="3578"/>
      <c r="AE1161" s="3579"/>
      <c r="AF1161" s="3579"/>
      <c r="AG1161" s="3580"/>
      <c r="AH1161" s="3583"/>
      <c r="AI1161" s="3466"/>
    </row>
    <row r="1162" ht="21.0" customHeight="1">
      <c r="A1162" s="3453"/>
      <c r="B1162" s="3572"/>
      <c r="C1162" s="3605"/>
      <c r="D1162" s="3574"/>
      <c r="E1162" s="3624" t="s">
        <v>554</v>
      </c>
      <c r="F1162" s="3625"/>
      <c r="G1162" s="3626"/>
      <c r="H1162" s="3627" t="str">
        <f>IMAGE("https://raw.githubusercontent.com/msikma/pokesprite/master/misc/types/gen8/dark.png",4,20,20)</f>
        <v/>
      </c>
      <c r="I1162" s="3628"/>
      <c r="J1162" s="3624" t="s">
        <v>617</v>
      </c>
      <c r="K1162" s="3625"/>
      <c r="L1162" s="3626"/>
      <c r="M1162" s="3627" t="str">
        <f>IMAGE("https://raw.githubusercontent.com/msikma/pokesprite/master/misc/types/gen8/dragon.png",4,20,20)</f>
        <v/>
      </c>
      <c r="N1162" s="3628"/>
      <c r="O1162" s="3624" t="s">
        <v>142</v>
      </c>
      <c r="P1162" s="3625"/>
      <c r="Q1162" s="3626"/>
      <c r="R1162" s="3627" t="str">
        <f>IMAGE("https://raw.githubusercontent.com/msikma/pokesprite/master/misc/types/gen8/psychic.png",4,20,20)</f>
        <v/>
      </c>
      <c r="S1162" s="3628"/>
      <c r="T1162" s="3624" t="s">
        <v>588</v>
      </c>
      <c r="U1162" s="3625"/>
      <c r="V1162" s="3626"/>
      <c r="W1162" s="3627" t="str">
        <f>IMAGE("https://raw.githubusercontent.com/msikma/pokesprite/master/misc/types/gen8/rock.png",4,20,20)</f>
        <v/>
      </c>
      <c r="X1162" s="3628"/>
      <c r="Y1162" s="3624" t="s">
        <v>669</v>
      </c>
      <c r="Z1162" s="3625"/>
      <c r="AA1162" s="3626"/>
      <c r="AB1162" s="3627" t="str">
        <f>IMAGE("https://raw.githubusercontent.com/msikma/pokesprite/master/misc/types/gen8/psychic.png",4,20,20)</f>
        <v/>
      </c>
      <c r="AC1162" s="3629"/>
      <c r="AD1162" s="3578"/>
      <c r="AE1162" s="3579"/>
      <c r="AF1162" s="3579"/>
      <c r="AG1162" s="3580"/>
      <c r="AH1162" s="3583"/>
      <c r="AI1162" s="3466"/>
    </row>
    <row r="1163" ht="3.0" customHeight="1">
      <c r="A1163" s="3524"/>
      <c r="B1163" s="3630"/>
      <c r="C1163" s="3631"/>
      <c r="D1163" s="3632"/>
      <c r="E1163" s="3634"/>
      <c r="F1163" s="3634"/>
      <c r="G1163" s="3634"/>
      <c r="H1163" s="3633"/>
      <c r="I1163" s="3632"/>
      <c r="J1163" s="3634"/>
      <c r="K1163" s="3634"/>
      <c r="L1163" s="3634"/>
      <c r="M1163" s="3633"/>
      <c r="N1163" s="3632"/>
      <c r="O1163" s="3634"/>
      <c r="P1163" s="3634"/>
      <c r="Q1163" s="3634"/>
      <c r="R1163" s="3633"/>
      <c r="S1163" s="3635"/>
      <c r="T1163" s="3634"/>
      <c r="U1163" s="3634"/>
      <c r="V1163" s="3634"/>
      <c r="W1163" s="3633"/>
      <c r="X1163" s="3632"/>
      <c r="Y1163" s="3634"/>
      <c r="Z1163" s="3634"/>
      <c r="AA1163" s="3634"/>
      <c r="AB1163" s="3633"/>
      <c r="AC1163" s="3637"/>
      <c r="AD1163" s="3637"/>
      <c r="AE1163" s="3637"/>
      <c r="AF1163" s="3637"/>
      <c r="AG1163" s="3637"/>
      <c r="AH1163" s="3638"/>
      <c r="AI1163" s="3534"/>
    </row>
    <row r="1164" ht="16.5" customHeight="1">
      <c r="A1164" s="3535"/>
      <c r="B1164" s="3639"/>
      <c r="C1164" s="3631"/>
      <c r="D1164" s="4590"/>
      <c r="E1164" s="3641" t="s">
        <v>512</v>
      </c>
      <c r="F1164" s="606"/>
      <c r="G1164" s="606"/>
      <c r="H1164" s="607"/>
      <c r="I1164" s="3642"/>
      <c r="J1164" s="3641" t="s">
        <v>512</v>
      </c>
      <c r="K1164" s="606"/>
      <c r="L1164" s="606"/>
      <c r="M1164" s="607"/>
      <c r="N1164" s="4590"/>
      <c r="O1164" s="3641" t="s">
        <v>512</v>
      </c>
      <c r="P1164" s="606"/>
      <c r="Q1164" s="606"/>
      <c r="R1164" s="607"/>
      <c r="S1164" s="4591"/>
      <c r="T1164" s="3641" t="s">
        <v>512</v>
      </c>
      <c r="U1164" s="606"/>
      <c r="V1164" s="606"/>
      <c r="W1164" s="607"/>
      <c r="X1164" s="4592"/>
      <c r="Y1164" s="3641" t="s">
        <v>512</v>
      </c>
      <c r="Z1164" s="606"/>
      <c r="AA1164" s="606"/>
      <c r="AB1164" s="607"/>
      <c r="AC1164" s="3644"/>
      <c r="AD1164" s="3644"/>
      <c r="AE1164" s="3644"/>
      <c r="AF1164" s="3644"/>
      <c r="AG1164" s="3644"/>
      <c r="AH1164" s="3645"/>
      <c r="AI1164" s="3543"/>
    </row>
    <row r="1165" ht="16.5" customHeight="1">
      <c r="A1165" s="3535"/>
      <c r="B1165" s="3639"/>
      <c r="C1165" s="3631"/>
      <c r="D1165" s="3640"/>
      <c r="E1165" s="3646" t="s">
        <v>513</v>
      </c>
      <c r="F1165" s="3647">
        <f t="array" ref="F1165">IFERROR(VLOOKUP(E1152,Dex!$B$3:$N1361,8,FALSE),"")</f>
        <v>80</v>
      </c>
      <c r="G1165" s="3648" t="str">
        <f t="array" ref="G1165">IFERROR(VLOOKUP(F1165,Dex!$P$22:$Q$276,2,FALSE),"")</f>
        <v/>
      </c>
      <c r="H1165" s="3649"/>
      <c r="I1165" s="3650"/>
      <c r="J1165" s="3646" t="s">
        <v>513</v>
      </c>
      <c r="K1165" s="3647">
        <f t="array" ref="K1165">IFERROR(VLOOKUP(J1152,Dex!$B$3:$N1361,8,FALSE),"")</f>
        <v>95</v>
      </c>
      <c r="L1165" s="3648" t="str">
        <f t="array" ref="L1165">IFERROR(VLOOKUP(K1165,Dex!$P$22:$Q$276,2,FALSE),"")</f>
        <v/>
      </c>
      <c r="M1165" s="3649"/>
      <c r="N1165" s="3640"/>
      <c r="O1165" s="3646" t="s">
        <v>513</v>
      </c>
      <c r="P1165" s="3647">
        <f t="array" ref="P1165">IFERROR(VLOOKUP(O1152,Dex!$B$3:$N1361,8,FALSE),"")</f>
        <v>115</v>
      </c>
      <c r="Q1165" s="3648" t="str">
        <f t="array" ref="Q1165">IFERROR(VLOOKUP(P1165,Dex!$P$22:$Q$276,2,FALSE),"")</f>
        <v/>
      </c>
      <c r="R1165" s="3649"/>
      <c r="S1165" s="3644"/>
      <c r="T1165" s="3646" t="s">
        <v>513</v>
      </c>
      <c r="U1165" s="3647">
        <f t="array" ref="U1165">IFERROR(VLOOKUP(T1152,Dex!$B$3:$N1361,8,FALSE),"")</f>
        <v>110</v>
      </c>
      <c r="V1165" s="3648" t="str">
        <f t="array" ref="V1165">IFERROR(VLOOKUP(U1165,Dex!$P$22:$Q$276,2,FALSE),"")</f>
        <v/>
      </c>
      <c r="W1165" s="3649"/>
      <c r="X1165" s="3644"/>
      <c r="Y1165" s="3646" t="s">
        <v>513</v>
      </c>
      <c r="Z1165" s="3647">
        <f t="array" ref="Z1165">IFERROR(VLOOKUP(Y1152,Dex!$B$3:$N1361,8,FALSE),"")</f>
        <v>85</v>
      </c>
      <c r="AA1165" s="3648" t="str">
        <f t="array" ref="AA1165">IFERROR(VLOOKUP(Z1165,Dex!$P$22:$Q$276,2,FALSE),"")</f>
        <v/>
      </c>
      <c r="AB1165" s="3649"/>
      <c r="AC1165" s="3644"/>
      <c r="AD1165" s="3644"/>
      <c r="AE1165" s="3644"/>
      <c r="AF1165" s="3644"/>
      <c r="AG1165" s="3644"/>
      <c r="AH1165" s="3645"/>
      <c r="AI1165" s="3543"/>
    </row>
    <row r="1166" ht="16.5" customHeight="1">
      <c r="A1166" s="3535"/>
      <c r="B1166" s="3639"/>
      <c r="C1166" s="3631"/>
      <c r="D1166" s="3640"/>
      <c r="E1166" s="3652" t="s">
        <v>514</v>
      </c>
      <c r="F1166" s="3653">
        <f t="array" ref="F1166">IFERROR(VLOOKUP(E1152,Dex!$B$3:$N1361,9,FALSE),"")</f>
        <v>116</v>
      </c>
      <c r="G1166" s="3654" t="str">
        <f t="array" ref="G1166">IFERROR(VLOOKUP(F1166,Dex!$P$22:$Q$276,2,FALSE),"")</f>
        <v/>
      </c>
      <c r="H1166" s="3655"/>
      <c r="I1166" s="3650"/>
      <c r="J1166" s="3652" t="s">
        <v>514</v>
      </c>
      <c r="K1166" s="3653">
        <f t="array" ref="K1166">IFERROR(VLOOKUP(J1152,Dex!$B$3:$N1361,9,FALSE),"")</f>
        <v>145</v>
      </c>
      <c r="L1166" s="3654" t="str">
        <f t="array" ref="L1166">IFERROR(VLOOKUP(K1166,Dex!$P$22:$Q$276,2,FALSE),"")</f>
        <v/>
      </c>
      <c r="M1166" s="3655"/>
      <c r="N1166" s="3640"/>
      <c r="O1166" s="3652" t="s">
        <v>514</v>
      </c>
      <c r="P1166" s="3653">
        <f t="array" ref="P1166">IFERROR(VLOOKUP(O1152,Dex!$B$3:$N1361,9,FALSE),"")</f>
        <v>58</v>
      </c>
      <c r="Q1166" s="3654" t="str">
        <f t="array" ref="Q1166">IFERROR(VLOOKUP(P1166,Dex!$P$22:$Q$276,2,FALSE),"")</f>
        <v/>
      </c>
      <c r="R1166" s="3655"/>
      <c r="S1166" s="3644"/>
      <c r="T1166" s="3652" t="s">
        <v>514</v>
      </c>
      <c r="U1166" s="3653">
        <f t="array" ref="U1166">IFERROR(VLOOKUP(T1152,Dex!$B$3:$N1361,9,FALSE),"")</f>
        <v>135</v>
      </c>
      <c r="V1166" s="3654" t="str">
        <f t="array" ref="V1166">IFERROR(VLOOKUP(U1166,Dex!$P$22:$Q$276,2,FALSE),"")</f>
        <v/>
      </c>
      <c r="W1166" s="3655"/>
      <c r="X1166" s="3644"/>
      <c r="Y1166" s="3652" t="s">
        <v>514</v>
      </c>
      <c r="Z1166" s="3653">
        <f t="array" ref="Z1166">IFERROR(VLOOKUP(Y1152,Dex!$B$3:$N1361,9,FALSE),"")</f>
        <v>60</v>
      </c>
      <c r="AA1166" s="3654" t="str">
        <f t="array" ref="AA1166">IFERROR(VLOOKUP(Z1166,Dex!$P$22:$Q$276,2,FALSE),"")</f>
        <v/>
      </c>
      <c r="AB1166" s="3655"/>
      <c r="AC1166" s="3644"/>
      <c r="AD1166" s="3644"/>
      <c r="AE1166" s="3644"/>
      <c r="AF1166" s="3644"/>
      <c r="AG1166" s="3644"/>
      <c r="AH1166" s="3645"/>
      <c r="AI1166" s="3543"/>
    </row>
    <row r="1167" ht="16.5" customHeight="1">
      <c r="A1167" s="3535"/>
      <c r="B1167" s="3639"/>
      <c r="C1167" s="3631"/>
      <c r="D1167" s="3640"/>
      <c r="E1167" s="3652" t="s">
        <v>515</v>
      </c>
      <c r="F1167" s="3653">
        <f t="array" ref="F1167">IFERROR(VLOOKUP(E1152,Dex!$B$3:$N1361,10,FALSE),"")</f>
        <v>75</v>
      </c>
      <c r="G1167" s="3654" t="str">
        <f t="array" ref="G1167">IFERROR(VLOOKUP(F1167,Dex!$P$22:$Q$276,2,FALSE),"")</f>
        <v/>
      </c>
      <c r="H1167" s="3655"/>
      <c r="I1167" s="3650"/>
      <c r="J1167" s="3652" t="s">
        <v>515</v>
      </c>
      <c r="K1167" s="3653">
        <f t="array" ref="K1167">IFERROR(VLOOKUP(J1152,Dex!$B$3:$N1361,10,FALSE),"")</f>
        <v>130</v>
      </c>
      <c r="L1167" s="3654" t="str">
        <f t="array" ref="L1167">IFERROR(VLOOKUP(K1167,Dex!$P$22:$Q$276,2,FALSE),"")</f>
        <v/>
      </c>
      <c r="M1167" s="3655"/>
      <c r="N1167" s="3640"/>
      <c r="O1167" s="3652" t="s">
        <v>515</v>
      </c>
      <c r="P1167" s="3653">
        <f t="array" ref="P1167">IFERROR(VLOOKUP(O1152,Dex!$B$3:$N1361,10,FALSE),"")</f>
        <v>80</v>
      </c>
      <c r="Q1167" s="3654" t="str">
        <f t="array" ref="Q1167">IFERROR(VLOOKUP(P1167,Dex!$P$22:$Q$276,2,FALSE),"")</f>
        <v/>
      </c>
      <c r="R1167" s="3655"/>
      <c r="S1167" s="3644"/>
      <c r="T1167" s="3652" t="s">
        <v>515</v>
      </c>
      <c r="U1167" s="3653">
        <f t="array" ref="U1167">IFERROR(VLOOKUP(T1152,Dex!$B$3:$N1361,10,FALSE),"")</f>
        <v>60</v>
      </c>
      <c r="V1167" s="3654" t="str">
        <f t="array" ref="V1167">IFERROR(VLOOKUP(U1167,Dex!$P$22:$Q$276,2,FALSE),"")</f>
        <v/>
      </c>
      <c r="W1167" s="3655"/>
      <c r="X1167" s="3644"/>
      <c r="Y1167" s="3652" t="s">
        <v>515</v>
      </c>
      <c r="Z1167" s="3653">
        <f t="array" ref="Z1167">IFERROR(VLOOKUP(Y1152,Dex!$B$3:$N1361,10,FALSE),"")</f>
        <v>65</v>
      </c>
      <c r="AA1167" s="3654" t="str">
        <f t="array" ref="AA1167">IFERROR(VLOOKUP(Z1167,Dex!$P$22:$Q$276,2,FALSE),"")</f>
        <v/>
      </c>
      <c r="AB1167" s="3655"/>
      <c r="AC1167" s="3644"/>
      <c r="AD1167" s="3644"/>
      <c r="AE1167" s="3644"/>
      <c r="AF1167" s="3644"/>
      <c r="AG1167" s="3644"/>
      <c r="AH1167" s="3645"/>
      <c r="AI1167" s="3543"/>
    </row>
    <row r="1168" ht="16.5" customHeight="1">
      <c r="A1168" s="3535"/>
      <c r="B1168" s="3639"/>
      <c r="C1168" s="3631"/>
      <c r="D1168" s="3640"/>
      <c r="E1168" s="3652" t="s">
        <v>516</v>
      </c>
      <c r="F1168" s="3653">
        <f t="array" ref="F1168">IFERROR(VLOOKUP(E1152,Dex!$B$3:$N1361,11,FALSE),"")</f>
        <v>65</v>
      </c>
      <c r="G1168" s="3654" t="str">
        <f t="array" ref="G1168">IFERROR(VLOOKUP(F1168,Dex!$P$22:$Q$276,2,FALSE),"")</f>
        <v/>
      </c>
      <c r="H1168" s="3655"/>
      <c r="I1168" s="3650"/>
      <c r="J1168" s="3652" t="s">
        <v>516</v>
      </c>
      <c r="K1168" s="3653">
        <f t="array" ref="K1168">IFERROR(VLOOKUP(J1152,Dex!$B$3:$N1361,11,FALSE),"")</f>
        <v>120</v>
      </c>
      <c r="L1168" s="3654" t="str">
        <f t="array" ref="L1168">IFERROR(VLOOKUP(K1168,Dex!$P$22:$Q$276,2,FALSE),"")</f>
        <v/>
      </c>
      <c r="M1168" s="3655"/>
      <c r="N1168" s="3640"/>
      <c r="O1168" s="3652" t="s">
        <v>516</v>
      </c>
      <c r="P1168" s="3653">
        <f t="array" ref="P1168">IFERROR(VLOOKUP(O1152,Dex!$B$3:$N1361,11,FALSE),"")</f>
        <v>112</v>
      </c>
      <c r="Q1168" s="3654" t="str">
        <f t="array" ref="Q1168">IFERROR(VLOOKUP(P1168,Dex!$P$22:$Q$276,2,FALSE),"")</f>
        <v/>
      </c>
      <c r="R1168" s="3655"/>
      <c r="S1168" s="3644"/>
      <c r="T1168" s="3652" t="s">
        <v>516</v>
      </c>
      <c r="U1168" s="3653">
        <f t="array" ref="U1168">IFERROR(VLOOKUP(T1152,Dex!$B$3:$N1361,11,FALSE),"")</f>
        <v>50</v>
      </c>
      <c r="V1168" s="3654" t="str">
        <f t="array" ref="V1168">IFERROR(VLOOKUP(U1168,Dex!$P$22:$Q$276,2,FALSE),"")</f>
        <v/>
      </c>
      <c r="W1168" s="3655"/>
      <c r="X1168" s="3644"/>
      <c r="Y1168" s="3652" t="s">
        <v>516</v>
      </c>
      <c r="Z1168" s="3653">
        <f t="array" ref="Z1168">IFERROR(VLOOKUP(Y1152,Dex!$B$3:$N1361,11,FALSE),"")</f>
        <v>135</v>
      </c>
      <c r="AA1168" s="3654" t="str">
        <f t="array" ref="AA1168">IFERROR(VLOOKUP(Z1168,Dex!$P$22:$Q$276,2,FALSE),"")</f>
        <v/>
      </c>
      <c r="AB1168" s="3655"/>
      <c r="AC1168" s="3644"/>
      <c r="AD1168" s="3644"/>
      <c r="AE1168" s="3644"/>
      <c r="AF1168" s="3644"/>
      <c r="AG1168" s="3644"/>
      <c r="AH1168" s="3645"/>
      <c r="AI1168" s="3543"/>
    </row>
    <row r="1169" ht="16.5" customHeight="1">
      <c r="A1169" s="3535"/>
      <c r="B1169" s="3639"/>
      <c r="C1169" s="3631"/>
      <c r="D1169" s="3640"/>
      <c r="E1169" s="3652" t="s">
        <v>517</v>
      </c>
      <c r="F1169" s="3653">
        <f t="array" ref="F1169">IFERROR(VLOOKUP(E1152,Dex!$B$3:$N1361,12,FALSE),"")</f>
        <v>75</v>
      </c>
      <c r="G1169" s="3654" t="str">
        <f t="array" ref="G1169">IFERROR(VLOOKUP(F1169,Dex!$P$22:$Q$276,2,FALSE),"")</f>
        <v/>
      </c>
      <c r="H1169" s="3655"/>
      <c r="I1169" s="3650"/>
      <c r="J1169" s="3652" t="s">
        <v>517</v>
      </c>
      <c r="K1169" s="3653">
        <f t="array" ref="K1169">IFERROR(VLOOKUP(J1152,Dex!$B$3:$N1361,12,FALSE),"")</f>
        <v>90</v>
      </c>
      <c r="L1169" s="3654" t="str">
        <f t="array" ref="L1169">IFERROR(VLOOKUP(K1169,Dex!$P$22:$Q$276,2,FALSE),"")</f>
        <v/>
      </c>
      <c r="M1169" s="3655"/>
      <c r="N1169" s="3640"/>
      <c r="O1169" s="3652" t="s">
        <v>517</v>
      </c>
      <c r="P1169" s="3653">
        <f t="array" ref="P1169">IFERROR(VLOOKUP(O1152,Dex!$B$3:$N1361,12,FALSE),"")</f>
        <v>80</v>
      </c>
      <c r="Q1169" s="3654" t="str">
        <f t="array" ref="Q1169">IFERROR(VLOOKUP(P1169,Dex!$P$22:$Q$276,2,FALSE),"")</f>
        <v/>
      </c>
      <c r="R1169" s="3655"/>
      <c r="S1169" s="3644"/>
      <c r="T1169" s="3652" t="s">
        <v>517</v>
      </c>
      <c r="U1169" s="3653">
        <f t="array" ref="U1169">IFERROR(VLOOKUP(T1152,Dex!$B$3:$N1361,12,FALSE),"")</f>
        <v>65</v>
      </c>
      <c r="V1169" s="3654" t="str">
        <f t="array" ref="V1169">IFERROR(VLOOKUP(U1169,Dex!$P$22:$Q$276,2,FALSE),"")</f>
        <v/>
      </c>
      <c r="W1169" s="3655"/>
      <c r="X1169" s="3644"/>
      <c r="Y1169" s="3652" t="s">
        <v>517</v>
      </c>
      <c r="Z1169" s="3653">
        <f t="array" ref="Z1169">IFERROR(VLOOKUP(Y1152,Dex!$B$3:$N1361,12,FALSE),"")</f>
        <v>105</v>
      </c>
      <c r="AA1169" s="3654" t="str">
        <f t="array" ref="AA1169">IFERROR(VLOOKUP(Z1169,Dex!$P$22:$Q$276,2,FALSE),"")</f>
        <v/>
      </c>
      <c r="AB1169" s="3655"/>
      <c r="AC1169" s="3644"/>
      <c r="AD1169" s="3644"/>
      <c r="AE1169" s="3644"/>
      <c r="AF1169" s="3644"/>
      <c r="AG1169" s="3644"/>
      <c r="AH1169" s="3645"/>
      <c r="AI1169" s="3543"/>
    </row>
    <row r="1170" ht="16.5" customHeight="1">
      <c r="A1170" s="3535"/>
      <c r="B1170" s="3639"/>
      <c r="C1170" s="1426" t="s">
        <v>745</v>
      </c>
      <c r="D1170" s="3640"/>
      <c r="E1170" s="3658" t="s">
        <v>518</v>
      </c>
      <c r="F1170" s="3659">
        <f t="array" ref="F1170">IFERROR(VLOOKUP(E1152,Dex!$B$3:$N1361,13,FALSE),"")</f>
        <v>119</v>
      </c>
      <c r="G1170" s="3660" t="str">
        <f t="array" ref="G1170">IFERROR(VLOOKUP(F1170,Dex!$P$22:$Q$276,2,FALSE),"")</f>
        <v/>
      </c>
      <c r="H1170" s="3661"/>
      <c r="I1170" s="3650"/>
      <c r="J1170" s="3658" t="s">
        <v>518</v>
      </c>
      <c r="K1170" s="3659">
        <f t="array" ref="K1170">IFERROR(VLOOKUP(J1152,Dex!$B$3:$N1361,13,FALSE),"")</f>
        <v>120</v>
      </c>
      <c r="L1170" s="3660" t="str">
        <f t="array" ref="L1170">IFERROR(VLOOKUP(K1170,Dex!$P$22:$Q$276,2,FALSE),"")</f>
        <v/>
      </c>
      <c r="M1170" s="3661"/>
      <c r="N1170" s="3640"/>
      <c r="O1170" s="3658" t="s">
        <v>518</v>
      </c>
      <c r="P1170" s="3659">
        <f t="array" ref="P1170">IFERROR(VLOOKUP(O1152,Dex!$B$3:$N1361,13,FALSE),"")</f>
        <v>65</v>
      </c>
      <c r="Q1170" s="3660" t="str">
        <f t="array" ref="Q1170">IFERROR(VLOOKUP(P1170,Dex!$P$22:$Q$276,2,FALSE),"")</f>
        <v/>
      </c>
      <c r="R1170" s="3661"/>
      <c r="S1170" s="3644"/>
      <c r="T1170" s="3658" t="s">
        <v>518</v>
      </c>
      <c r="U1170" s="3659">
        <f t="array" ref="U1170">IFERROR(VLOOKUP(T1152,Dex!$B$3:$N1361,13,FALSE),"")</f>
        <v>88</v>
      </c>
      <c r="V1170" s="3660" t="str">
        <f t="array" ref="V1170">IFERROR(VLOOKUP(U1170,Dex!$P$22:$Q$276,2,FALSE),"")</f>
        <v/>
      </c>
      <c r="W1170" s="3661"/>
      <c r="X1170" s="3644"/>
      <c r="Y1170" s="3658" t="s">
        <v>518</v>
      </c>
      <c r="Z1170" s="3659">
        <f t="array" ref="Z1170">IFERROR(VLOOKUP(Y1152,Dex!$B$3:$N1361,13,FALSE),"")</f>
        <v>100</v>
      </c>
      <c r="AA1170" s="3660" t="str">
        <f t="array" ref="AA1170">IFERROR(VLOOKUP(Z1170,Dex!$P$22:$Q$276,2,FALSE),"")</f>
        <v/>
      </c>
      <c r="AB1170" s="3661"/>
      <c r="AC1170" s="3644"/>
      <c r="AD1170" s="3644"/>
      <c r="AE1170" s="3644"/>
      <c r="AF1170" s="3644"/>
      <c r="AG1170" s="3644"/>
      <c r="AH1170" s="3645"/>
      <c r="AI1170" s="3543"/>
    </row>
    <row r="1171" ht="16.5" customHeight="1">
      <c r="A1171" s="3535"/>
      <c r="B1171" s="3639"/>
      <c r="C1171" s="1427" t="s">
        <v>1695</v>
      </c>
      <c r="D1171" s="4590"/>
      <c r="E1171" s="3662" t="s">
        <v>519</v>
      </c>
      <c r="F1171" s="630"/>
      <c r="G1171" s="631"/>
      <c r="H1171" s="632">
        <f>ROUNDDOWN((ROUNDDOWN(((((2*F1170+31)*76)/100+5)),0))*1.1,0)</f>
        <v>229</v>
      </c>
      <c r="I1171" s="3642"/>
      <c r="J1171" s="3662" t="s">
        <v>519</v>
      </c>
      <c r="K1171" s="630"/>
      <c r="L1171" s="631"/>
      <c r="M1171" s="632">
        <f>ROUNDDOWN((ROUNDDOWN(((((2*K1170+31)*76)/100+5)),0))*1.1,0)</f>
        <v>231</v>
      </c>
      <c r="N1171" s="4590"/>
      <c r="O1171" s="3662" t="s">
        <v>519</v>
      </c>
      <c r="P1171" s="630"/>
      <c r="Q1171" s="631"/>
      <c r="R1171" s="632">
        <f>ROUNDDOWN((ROUNDDOWN(((((2*P1170+31)*76)/100+5)),0))*1.1,0)</f>
        <v>139</v>
      </c>
      <c r="S1171" s="4592"/>
      <c r="T1171" s="3662" t="s">
        <v>519</v>
      </c>
      <c r="U1171" s="630"/>
      <c r="V1171" s="631"/>
      <c r="W1171" s="632">
        <f>ROUNDDOWN((ROUNDDOWN(((((2*U1170+31)*76)/100+5)),0))*1,0)</f>
        <v>162</v>
      </c>
      <c r="X1171" s="4592"/>
      <c r="Y1171" s="3662" t="s">
        <v>519</v>
      </c>
      <c r="Z1171" s="630"/>
      <c r="AA1171" s="631"/>
      <c r="AB1171" s="632">
        <f>ROUNDDOWN((ROUNDDOWN(((((2*Z1170+31)*76)/100+5)),0))*1.1,0)</f>
        <v>198</v>
      </c>
      <c r="AC1171" s="3644"/>
      <c r="AD1171" s="3644"/>
      <c r="AE1171" s="3644"/>
      <c r="AF1171" s="3644"/>
      <c r="AG1171" s="3644"/>
      <c r="AH1171" s="3645"/>
      <c r="AI1171" s="3543"/>
    </row>
    <row r="1172" ht="16.5" customHeight="1">
      <c r="A1172" s="3535"/>
      <c r="B1172" s="4594"/>
      <c r="C1172" s="3631"/>
      <c r="D1172" s="4595"/>
      <c r="E1172" s="3662" t="s">
        <v>672</v>
      </c>
      <c r="F1172" s="630"/>
      <c r="G1172" s="631"/>
      <c r="H1172" s="632">
        <f>H1171*2</f>
        <v>458</v>
      </c>
      <c r="I1172" s="4596"/>
      <c r="J1172" s="3662" t="s">
        <v>672</v>
      </c>
      <c r="K1172" s="630"/>
      <c r="L1172" s="631"/>
      <c r="M1172" s="632">
        <f>M1171*2</f>
        <v>462</v>
      </c>
      <c r="N1172" s="4595"/>
      <c r="O1172" s="3662" t="s">
        <v>672</v>
      </c>
      <c r="P1172" s="630"/>
      <c r="Q1172" s="631"/>
      <c r="R1172" s="632">
        <f>R1171*2</f>
        <v>278</v>
      </c>
      <c r="S1172" s="4598"/>
      <c r="T1172" s="3662" t="s">
        <v>672</v>
      </c>
      <c r="U1172" s="630"/>
      <c r="V1172" s="631"/>
      <c r="W1172" s="632">
        <f>W1171*2</f>
        <v>324</v>
      </c>
      <c r="X1172" s="4598"/>
      <c r="Y1172" s="3662" t="s">
        <v>672</v>
      </c>
      <c r="Z1172" s="630"/>
      <c r="AA1172" s="631"/>
      <c r="AB1172" s="632">
        <f>AB1171*2</f>
        <v>396</v>
      </c>
      <c r="AC1172" s="4599"/>
      <c r="AD1172" s="4599"/>
      <c r="AE1172" s="4599"/>
      <c r="AF1172" s="4599"/>
      <c r="AG1172" s="4599"/>
      <c r="AH1172" s="4600"/>
      <c r="AI1172" s="3543"/>
    </row>
    <row r="1173" ht="15.0" customHeight="1">
      <c r="A1173" s="3453"/>
      <c r="B1173" s="3663"/>
      <c r="C1173" s="3664"/>
      <c r="D1173" s="3665"/>
      <c r="E1173" s="3668"/>
      <c r="F1173" s="3668"/>
      <c r="G1173" s="3668"/>
      <c r="H1173" s="3667"/>
      <c r="I1173" s="3667"/>
      <c r="J1173" s="3668"/>
      <c r="K1173" s="3668"/>
      <c r="L1173" s="3668"/>
      <c r="M1173" s="3667"/>
      <c r="N1173" s="3669"/>
      <c r="O1173" s="5738"/>
      <c r="P1173" s="5738"/>
      <c r="Q1173" s="5739"/>
      <c r="R1173" s="3671"/>
      <c r="S1173" s="3671"/>
      <c r="T1173" s="5738"/>
      <c r="U1173" s="5738"/>
      <c r="V1173" s="5739"/>
      <c r="W1173" s="3671"/>
      <c r="X1173" s="3669"/>
      <c r="Y1173" s="4601"/>
      <c r="Z1173" s="4601"/>
      <c r="AA1173" s="4601"/>
      <c r="AB1173" s="3672"/>
      <c r="AC1173" s="3672"/>
      <c r="AD1173" s="3672"/>
      <c r="AE1173" s="3672"/>
      <c r="AF1173" s="3672"/>
      <c r="AG1173" s="3672"/>
      <c r="AH1173" s="3673"/>
      <c r="AI1173" s="3466"/>
    </row>
    <row r="1174" ht="15.0" customHeight="1">
      <c r="A1174" s="3446"/>
      <c r="B1174" s="3567"/>
      <c r="C1174" s="3568"/>
      <c r="D1174" s="3569"/>
      <c r="E1174" s="3570"/>
      <c r="F1174" s="3570"/>
      <c r="G1174" s="3570"/>
      <c r="H1174" s="3570"/>
      <c r="I1174" s="3569"/>
      <c r="J1174" s="3570"/>
      <c r="K1174" s="3570"/>
      <c r="L1174" s="3570"/>
      <c r="M1174" s="3570"/>
      <c r="N1174" s="3569"/>
      <c r="O1174" s="3570"/>
      <c r="P1174" s="3570"/>
      <c r="Q1174" s="3570"/>
      <c r="R1174" s="3570"/>
      <c r="S1174" s="3569"/>
      <c r="T1174" s="3570"/>
      <c r="U1174" s="3570"/>
      <c r="V1174" s="3570"/>
      <c r="W1174" s="3570"/>
      <c r="X1174" s="3569"/>
      <c r="Y1174" s="3570"/>
      <c r="Z1174" s="3570"/>
      <c r="AA1174" s="3570"/>
      <c r="AB1174" s="3570"/>
      <c r="AC1174" s="3569"/>
      <c r="AD1174" s="3570"/>
      <c r="AE1174" s="3570"/>
      <c r="AF1174" s="3570"/>
      <c r="AG1174" s="3570"/>
      <c r="AH1174" s="3571"/>
      <c r="AI1174" s="3452"/>
    </row>
    <row r="1175" ht="96.75" customHeight="1">
      <c r="A1175" s="3453"/>
      <c r="B1175" s="3572"/>
      <c r="C1175" s="3573" t="str">
        <f>IMAGE("https://i.ibb.co/26kF6WW/Ace-Trainer-F.png")</f>
        <v/>
      </c>
      <c r="D1175" s="3574"/>
      <c r="E1175" s="3575" t="str">
        <f t="array" ref="E1175">IFERROR(VLOOKUP(E1176,Dex!$B$3:$G1361,3,FALSE),"")</f>
        <v/>
      </c>
      <c r="F1175" s="606"/>
      <c r="G1175" s="606"/>
      <c r="H1175" s="607"/>
      <c r="I1175" s="3576"/>
      <c r="J1175" s="3575" t="str">
        <f t="array" ref="J1175">IFERROR(VLOOKUP(J1176,Dex!$B$3:$G1361,3,FALSE),"")</f>
        <v/>
      </c>
      <c r="K1175" s="606"/>
      <c r="L1175" s="606"/>
      <c r="M1175" s="607"/>
      <c r="N1175" s="4583"/>
      <c r="O1175" s="3575" t="str">
        <f t="array" ref="O1175">IFERROR(VLOOKUP(O1176,Dex!$B$3:$G1361,3,FALSE),"")</f>
        <v/>
      </c>
      <c r="P1175" s="606"/>
      <c r="Q1175" s="606"/>
      <c r="R1175" s="607"/>
      <c r="S1175" s="4584"/>
      <c r="T1175" s="3575" t="str">
        <f t="array" ref="T1175">IFERROR(VLOOKUP(T1176,Dex!$B$3:$G1361,3,FALSE),"")</f>
        <v/>
      </c>
      <c r="U1175" s="606"/>
      <c r="V1175" s="606"/>
      <c r="W1175" s="607"/>
      <c r="X1175" s="4583"/>
      <c r="Y1175" s="3575" t="str">
        <f t="array" ref="Y1175">IFERROR(VLOOKUP(Y1176,Dex!$B$3:$G1361,3,FALSE),"")</f>
        <v/>
      </c>
      <c r="Z1175" s="606"/>
      <c r="AA1175" s="606"/>
      <c r="AB1175" s="607"/>
      <c r="AC1175" s="4584"/>
      <c r="AD1175" s="3575" t="str">
        <f t="array" ref="AD1175">IFERROR(VLOOKUP(AD1176,Dex!$B$3:$G1361,3,FALSE),"")</f>
        <v/>
      </c>
      <c r="AE1175" s="606"/>
      <c r="AF1175" s="606"/>
      <c r="AG1175" s="607"/>
      <c r="AH1175" s="5740"/>
      <c r="AI1175" s="3466"/>
    </row>
    <row r="1176" ht="18.75" customHeight="1">
      <c r="A1176" s="3467"/>
      <c r="B1176" s="3584"/>
      <c r="C1176" s="3585" t="s">
        <v>1729</v>
      </c>
      <c r="D1176" s="3586"/>
      <c r="E1176" s="3587" t="s">
        <v>1730</v>
      </c>
      <c r="F1176" s="3588"/>
      <c r="G1176" s="3588"/>
      <c r="H1176" s="3589"/>
      <c r="J1176" s="3587" t="s">
        <v>1170</v>
      </c>
      <c r="K1176" s="3588"/>
      <c r="L1176" s="3588"/>
      <c r="M1176" s="3589"/>
      <c r="O1176" s="3587" t="s">
        <v>1731</v>
      </c>
      <c r="P1176" s="3588"/>
      <c r="Q1176" s="3588"/>
      <c r="R1176" s="3589"/>
      <c r="T1176" s="3587" t="s">
        <v>1732</v>
      </c>
      <c r="U1176" s="3588"/>
      <c r="V1176" s="3588"/>
      <c r="W1176" s="3589"/>
      <c r="Y1176" s="3587" t="s">
        <v>1733</v>
      </c>
      <c r="Z1176" s="3588"/>
      <c r="AA1176" s="3588"/>
      <c r="AB1176" s="3589"/>
      <c r="AD1176" s="3587" t="s">
        <v>1734</v>
      </c>
      <c r="AE1176" s="3588"/>
      <c r="AF1176" s="3588"/>
      <c r="AG1176" s="3589"/>
      <c r="AH1176" s="5741"/>
      <c r="AI1176" s="3478"/>
    </row>
    <row r="1177">
      <c r="A1177" s="3479"/>
      <c r="B1177" s="3594"/>
      <c r="C1177" s="1638"/>
      <c r="D1177" s="3595"/>
      <c r="E1177" s="4586" t="s">
        <v>729</v>
      </c>
      <c r="F1177" s="3597"/>
      <c r="G1177" s="3597"/>
      <c r="H1177" s="4587"/>
      <c r="J1177" s="4586" t="s">
        <v>729</v>
      </c>
      <c r="K1177" s="3597"/>
      <c r="L1177" s="3597"/>
      <c r="M1177" s="4587"/>
      <c r="O1177" s="4586" t="s">
        <v>729</v>
      </c>
      <c r="P1177" s="3597"/>
      <c r="Q1177" s="3597"/>
      <c r="R1177" s="4587"/>
      <c r="T1177" s="4586" t="s">
        <v>729</v>
      </c>
      <c r="U1177" s="3597"/>
      <c r="V1177" s="3597"/>
      <c r="W1177" s="4587"/>
      <c r="Y1177" s="4586" t="s">
        <v>729</v>
      </c>
      <c r="Z1177" s="3597"/>
      <c r="AA1177" s="3597"/>
      <c r="AB1177" s="4587"/>
      <c r="AD1177" s="4586" t="s">
        <v>729</v>
      </c>
      <c r="AE1177" s="3597"/>
      <c r="AF1177" s="3597"/>
      <c r="AG1177" s="4587"/>
      <c r="AH1177" s="5742"/>
      <c r="AI1177" s="3487"/>
    </row>
    <row r="1178" ht="25.5" customHeight="1">
      <c r="A1178" s="3453"/>
      <c r="B1178" s="3572"/>
      <c r="C1178" s="1646"/>
      <c r="D1178" s="3574"/>
      <c r="E1178" s="3601"/>
      <c r="F1178" s="3602" t="str">
        <f t="array" ref="F1178">IFERROR(VLOOKUP(E1176,Dex!$B$3:$H1361,5,FALSE),"")</f>
        <v/>
      </c>
      <c r="G1178" s="3603"/>
      <c r="H1178" s="3604"/>
      <c r="J1178" s="3601"/>
      <c r="K1178" s="4588" t="str">
        <f t="array" ref="K1178">IFERROR(VLOOKUP(J1176,Dex!$B$3:$H1361,5,FALSE),"")</f>
        <v/>
      </c>
      <c r="L1178" s="4589" t="str">
        <f t="array" ref="L1178">IFERROR(VLOOKUP(J1176,Dex!$B$3:$H1361,7,FALSE),"")</f>
        <v/>
      </c>
      <c r="M1178" s="3604"/>
      <c r="O1178" s="3601"/>
      <c r="P1178" s="4588" t="str">
        <f t="array" ref="P1178">IFERROR(VLOOKUP(O1176,Dex!$B$3:$H1361,5,FALSE),"")</f>
        <v/>
      </c>
      <c r="Q1178" s="4589" t="str">
        <f t="array" ref="Q1178">IFERROR(VLOOKUP(O1176,Dex!$B$3:$H1361,7,FALSE),"")</f>
        <v/>
      </c>
      <c r="R1178" s="3604"/>
      <c r="T1178" s="3601"/>
      <c r="U1178" s="4588" t="str">
        <f t="array" ref="U1178">IFERROR(VLOOKUP(T1176,Dex!$B$3:$H1361,5,FALSE),"")</f>
        <v/>
      </c>
      <c r="V1178" s="4589" t="str">
        <f t="array" ref="V1178">IFERROR(VLOOKUP(T1176,Dex!$B$3:$H1361,7,FALSE),"")</f>
        <v/>
      </c>
      <c r="W1178" s="3604"/>
      <c r="Y1178" s="3601"/>
      <c r="Z1178" s="4588" t="str">
        <f t="array" ref="Z1178">IFERROR(VLOOKUP(Y1176,Dex!$B$3:$H1361,5,FALSE),"")</f>
        <v/>
      </c>
      <c r="AA1178" s="4589" t="str">
        <f t="array" ref="AA1178">IFERROR(VLOOKUP(Y1176,Dex!$B$3:$H1361,7,FALSE),"")</f>
        <v/>
      </c>
      <c r="AB1178" s="3604"/>
      <c r="AD1178" s="3601"/>
      <c r="AE1178" s="4588" t="str">
        <f t="array" ref="AE1178">IFERROR(VLOOKUP(AD1176,Dex!$B$3:$H1361,5,FALSE),"")</f>
        <v/>
      </c>
      <c r="AF1178" s="4589" t="str">
        <f t="array" ref="AF1178">IFERROR(VLOOKUP(AD1176,Dex!$B$3:$H1361,7,FALSE),"")</f>
        <v/>
      </c>
      <c r="AG1178" s="3604"/>
      <c r="AH1178" s="3583"/>
      <c r="AI1178" s="3466"/>
    </row>
    <row r="1179" ht="2.25" customHeight="1">
      <c r="A1179" s="3453"/>
      <c r="B1179" s="3572"/>
      <c r="C1179" s="3605"/>
      <c r="D1179" s="3574"/>
      <c r="E1179" s="3606"/>
      <c r="F1179" s="3607"/>
      <c r="G1179" s="3607"/>
      <c r="H1179" s="3608"/>
      <c r="J1179" s="3606"/>
      <c r="K1179" s="3607"/>
      <c r="L1179" s="3607"/>
      <c r="M1179" s="3608"/>
      <c r="O1179" s="3606"/>
      <c r="P1179" s="3607"/>
      <c r="Q1179" s="3607"/>
      <c r="R1179" s="3608"/>
      <c r="T1179" s="3606"/>
      <c r="U1179" s="3607"/>
      <c r="V1179" s="3607"/>
      <c r="W1179" s="3608"/>
      <c r="Y1179" s="3606"/>
      <c r="Z1179" s="3607"/>
      <c r="AA1179" s="3607"/>
      <c r="AB1179" s="3608"/>
      <c r="AD1179" s="3606"/>
      <c r="AE1179" s="3607"/>
      <c r="AF1179" s="3607"/>
      <c r="AG1179" s="3608"/>
      <c r="AH1179" s="3583"/>
      <c r="AI1179" s="3466"/>
    </row>
    <row r="1180" ht="20.25" customHeight="1">
      <c r="A1180" s="3453"/>
      <c r="B1180" s="3572"/>
      <c r="C1180" s="3605"/>
      <c r="D1180" s="3574"/>
      <c r="E1180" s="3610" t="s">
        <v>532</v>
      </c>
      <c r="F1180" s="3611"/>
      <c r="G1180" s="3611"/>
      <c r="H1180" s="3612"/>
      <c r="J1180" s="3610" t="s">
        <v>532</v>
      </c>
      <c r="K1180" s="3611"/>
      <c r="L1180" s="3611"/>
      <c r="M1180" s="3612"/>
      <c r="O1180" s="3610" t="s">
        <v>566</v>
      </c>
      <c r="P1180" s="3611"/>
      <c r="Q1180" s="3611"/>
      <c r="R1180" s="3612"/>
      <c r="T1180" s="3610" t="s">
        <v>565</v>
      </c>
      <c r="U1180" s="3611"/>
      <c r="V1180" s="3611"/>
      <c r="W1180" s="3612"/>
      <c r="Y1180" s="3610" t="s">
        <v>564</v>
      </c>
      <c r="Z1180" s="3611"/>
      <c r="AA1180" s="3611"/>
      <c r="AB1180" s="3612"/>
      <c r="AD1180" s="3610" t="s">
        <v>564</v>
      </c>
      <c r="AE1180" s="3611"/>
      <c r="AF1180" s="3611"/>
      <c r="AG1180" s="3612"/>
      <c r="AH1180" s="5740"/>
      <c r="AI1180" s="3466"/>
    </row>
    <row r="1181">
      <c r="A1181" s="3453"/>
      <c r="B1181" s="3572"/>
      <c r="C1181" s="3613"/>
      <c r="D1181" s="3574"/>
      <c r="E1181" s="3614" t="s">
        <v>826</v>
      </c>
      <c r="F1181" s="3579"/>
      <c r="G1181" s="3579"/>
      <c r="H1181" s="3615"/>
      <c r="J1181" s="3614" t="s">
        <v>825</v>
      </c>
      <c r="K1181" s="3579"/>
      <c r="L1181" s="3579"/>
      <c r="M1181" s="3615"/>
      <c r="O1181" s="3614" t="s">
        <v>1735</v>
      </c>
      <c r="P1181" s="3579"/>
      <c r="Q1181" s="3579"/>
      <c r="R1181" s="3615"/>
      <c r="T1181" s="3614" t="s">
        <v>1736</v>
      </c>
      <c r="U1181" s="3579"/>
      <c r="V1181" s="3579"/>
      <c r="W1181" s="3615"/>
      <c r="Y1181" s="3614" t="s">
        <v>1399</v>
      </c>
      <c r="Z1181" s="3579"/>
      <c r="AA1181" s="3579"/>
      <c r="AB1181" s="3615"/>
      <c r="AD1181" s="3614" t="s">
        <v>120</v>
      </c>
      <c r="AE1181" s="3579"/>
      <c r="AF1181" s="3579"/>
      <c r="AG1181" s="3615"/>
      <c r="AH1181" s="5740"/>
      <c r="AI1181" s="3466"/>
    </row>
    <row r="1182" ht="20.25" customHeight="1">
      <c r="A1182" s="3453"/>
      <c r="B1182" s="3572"/>
      <c r="C1182" s="3592"/>
      <c r="D1182" s="3574"/>
      <c r="E1182" s="3616" t="s">
        <v>1209</v>
      </c>
      <c r="F1182" s="3617"/>
      <c r="G1182" s="3618"/>
      <c r="H1182" s="3619" t="str">
        <f>IMAGE("https://raw.githubusercontent.com/msikma/pokesprite/master/items/hold-item/wide-lens.png",3)</f>
        <v/>
      </c>
      <c r="J1182" s="3616" t="s">
        <v>537</v>
      </c>
      <c r="K1182" s="3617"/>
      <c r="L1182" s="3618"/>
      <c r="M1182" s="3619" t="str">
        <f>IMAGE("https://raw.githubusercontent.com/msikma/pokesprite/master/items/berry/sitrus.png",3)</f>
        <v/>
      </c>
      <c r="O1182" s="3616" t="s">
        <v>573</v>
      </c>
      <c r="P1182" s="3617"/>
      <c r="Q1182" s="3618"/>
      <c r="R1182" s="3619" t="str">
        <f>IMAGE("https://raw.githubusercontent.com/msikma/pokesprite/master/items/hold-item/focus-sash.png",3)</f>
        <v/>
      </c>
      <c r="T1182" s="3616" t="s">
        <v>1737</v>
      </c>
      <c r="U1182" s="3617"/>
      <c r="V1182" s="3618"/>
      <c r="W1182" s="3619" t="str">
        <f>IMAGE("https://raw.githubusercontent.com/msikma/pokesprite/master/items/mega-stone/absolite.png",3)</f>
        <v/>
      </c>
      <c r="Y1182" s="3616" t="s">
        <v>573</v>
      </c>
      <c r="Z1182" s="3617"/>
      <c r="AA1182" s="3618"/>
      <c r="AB1182" s="3619" t="str">
        <f>IMAGE("https://raw.githubusercontent.com/msikma/pokesprite/master/items/hold-item/focus-sash.png",3)</f>
        <v/>
      </c>
      <c r="AD1182" s="3616" t="s">
        <v>1261</v>
      </c>
      <c r="AE1182" s="3617"/>
      <c r="AF1182" s="3618"/>
      <c r="AG1182" s="3619" t="str">
        <f>IMAGE("https://raw.githubusercontent.com/msikma/pokesprite/master/items/z-crystals/ghostium-z--held.png",3)</f>
        <v/>
      </c>
      <c r="AH1182" s="3583"/>
      <c r="AI1182" s="3466"/>
    </row>
    <row r="1183" ht="20.25" customHeight="1">
      <c r="A1183" s="3453"/>
      <c r="B1183" s="3572"/>
      <c r="C1183" s="3620"/>
      <c r="D1183" s="3574"/>
      <c r="E1183" s="3610" t="s">
        <v>1738</v>
      </c>
      <c r="F1183" s="3611"/>
      <c r="G1183" s="3621"/>
      <c r="H1183" s="3622" t="str">
        <f>IMAGE("https://raw.githubusercontent.com/msikma/pokesprite/master/misc/types/gen8/normal.png",4,20,20)</f>
        <v/>
      </c>
      <c r="J1183" s="3610" t="s">
        <v>227</v>
      </c>
      <c r="K1183" s="3611"/>
      <c r="L1183" s="3621"/>
      <c r="M1183" s="3622" t="str">
        <f>IMAGE("https://raw.githubusercontent.com/msikma/pokesprite/master/misc/types/gen8/normal.png",4,20,20)</f>
        <v/>
      </c>
      <c r="O1183" s="3610" t="s">
        <v>878</v>
      </c>
      <c r="P1183" s="3611"/>
      <c r="Q1183" s="3621"/>
      <c r="R1183" s="3622" t="str">
        <f>IMAGE("https://raw.githubusercontent.com/msikma/pokesprite/master/misc/types/gen8/fire.png",4,20,20)</f>
        <v/>
      </c>
      <c r="T1183" s="3610" t="s">
        <v>835</v>
      </c>
      <c r="U1183" s="3611"/>
      <c r="V1183" s="3621"/>
      <c r="W1183" s="3622" t="str">
        <f t="shared" ref="W1183:W1184" si="37">IMAGE("https://raw.githubusercontent.com/msikma/pokesprite/master/misc/types/gen8/dark.png",4,20,20)</f>
        <v/>
      </c>
      <c r="Y1183" s="3610" t="s">
        <v>581</v>
      </c>
      <c r="Z1183" s="3611"/>
      <c r="AA1183" s="3621"/>
      <c r="AB1183" s="3622" t="str">
        <f>IMAGE("https://raw.githubusercontent.com/msikma/pokesprite/master/misc/types/gen8/electric.png",4,20,20)</f>
        <v/>
      </c>
      <c r="AD1183" s="3610" t="s">
        <v>170</v>
      </c>
      <c r="AE1183" s="3611"/>
      <c r="AF1183" s="3621"/>
      <c r="AG1183" s="3622" t="str">
        <f>IMAGE("https://raw.githubusercontent.com/msikma/pokesprite/master/misc/types/gen8/psychic.png",4,20,20)</f>
        <v/>
      </c>
      <c r="AH1183" s="3583"/>
      <c r="AI1183" s="3466"/>
    </row>
    <row r="1184" ht="20.25" customHeight="1">
      <c r="A1184" s="3453"/>
      <c r="B1184" s="3572"/>
      <c r="C1184" s="3605"/>
      <c r="D1184" s="3574"/>
      <c r="E1184" s="3614" t="s">
        <v>499</v>
      </c>
      <c r="F1184" s="3579"/>
      <c r="G1184" s="3580"/>
      <c r="H1184" s="3623" t="str">
        <f>IMAGE("https://raw.githubusercontent.com/msikma/pokesprite/master/misc/types/gen8/grass.png",4,20,20)</f>
        <v/>
      </c>
      <c r="J1184" s="3614" t="s">
        <v>1175</v>
      </c>
      <c r="K1184" s="3579"/>
      <c r="L1184" s="3580"/>
      <c r="M1184" s="3623" t="str">
        <f>IMAGE("https://raw.githubusercontent.com/msikma/pokesprite/master/misc/types/gen8/water.png",4,20,20)</f>
        <v/>
      </c>
      <c r="O1184" s="3614" t="s">
        <v>1694</v>
      </c>
      <c r="P1184" s="3579"/>
      <c r="Q1184" s="3580"/>
      <c r="R1184" s="3623" t="str">
        <f t="shared" ref="R1184:R1185" si="38">IMAGE("https://raw.githubusercontent.com/msikma/pokesprite/master/misc/types/gen8/ghost.png",4,20,20)</f>
        <v/>
      </c>
      <c r="T1184" s="3614" t="s">
        <v>554</v>
      </c>
      <c r="U1184" s="3579"/>
      <c r="V1184" s="3580"/>
      <c r="W1184" s="3623" t="str">
        <f t="shared" si="37"/>
        <v/>
      </c>
      <c r="Y1184" s="3614" t="s">
        <v>775</v>
      </c>
      <c r="Z1184" s="3579"/>
      <c r="AA1184" s="3580"/>
      <c r="AB1184" s="3623" t="str">
        <f>IMAGE("https://raw.githubusercontent.com/msikma/pokesprite/master/misc/types/gen8/grass.png",4,20,20)</f>
        <v/>
      </c>
      <c r="AD1184" s="3614" t="s">
        <v>647</v>
      </c>
      <c r="AE1184" s="3579"/>
      <c r="AF1184" s="3580"/>
      <c r="AG1184" s="3623" t="str">
        <f>IMAGE("https://raw.githubusercontent.com/msikma/pokesprite/master/misc/types/gen8/ghost.png",4,20,20)</f>
        <v/>
      </c>
      <c r="AH1184" s="3583"/>
      <c r="AI1184" s="3466"/>
    </row>
    <row r="1185" ht="20.25" customHeight="1">
      <c r="A1185" s="3453"/>
      <c r="B1185" s="3572"/>
      <c r="C1185" s="3605"/>
      <c r="D1185" s="3574"/>
      <c r="E1185" s="3614" t="s">
        <v>612</v>
      </c>
      <c r="F1185" s="3579"/>
      <c r="G1185" s="3580"/>
      <c r="H1185" s="3623" t="str">
        <f>IMAGE("https://raw.githubusercontent.com/msikma/pokesprite/master/misc/types/gen8/bug.png",4,20,20)</f>
        <v/>
      </c>
      <c r="J1185" s="3614" t="s">
        <v>904</v>
      </c>
      <c r="K1185" s="3579"/>
      <c r="L1185" s="3580"/>
      <c r="M1185" s="3623" t="str">
        <f>IMAGE("https://raw.githubusercontent.com/msikma/pokesprite/master/misc/types/gen8/psychic.png",4,20,20)</f>
        <v/>
      </c>
      <c r="O1185" s="3614" t="s">
        <v>875</v>
      </c>
      <c r="P1185" s="3579"/>
      <c r="Q1185" s="3580"/>
      <c r="R1185" s="3623" t="str">
        <f t="shared" si="38"/>
        <v/>
      </c>
      <c r="T1185" s="3614" t="s">
        <v>959</v>
      </c>
      <c r="U1185" s="3579"/>
      <c r="V1185" s="3580"/>
      <c r="W1185" s="3623" t="str">
        <f>IMAGE("https://raw.githubusercontent.com/msikma/pokesprite/master/misc/types/gen8/fairy.png",4,20,20)</f>
        <v/>
      </c>
      <c r="Y1185" s="3614" t="s">
        <v>846</v>
      </c>
      <c r="Z1185" s="3579"/>
      <c r="AA1185" s="3580"/>
      <c r="AB1185" s="3623" t="str">
        <f>IMAGE("https://raw.githubusercontent.com/msikma/pokesprite/master/misc/types/gen8/bug.png",4,20,20)</f>
        <v/>
      </c>
      <c r="AD1185" s="3614" t="s">
        <v>619</v>
      </c>
      <c r="AE1185" s="3579"/>
      <c r="AF1185" s="3580"/>
      <c r="AG1185" s="3623" t="str">
        <f>IMAGE("https://raw.githubusercontent.com/msikma/pokesprite/master/misc/types/gen8/fire.png",4,20,20)</f>
        <v/>
      </c>
      <c r="AH1185" s="3583"/>
      <c r="AI1185" s="3466"/>
    </row>
    <row r="1186" ht="21.0" customHeight="1">
      <c r="A1186" s="3453"/>
      <c r="B1186" s="3572"/>
      <c r="C1186" s="3605"/>
      <c r="D1186" s="3574"/>
      <c r="E1186" s="3624" t="s">
        <v>1438</v>
      </c>
      <c r="F1186" s="3625"/>
      <c r="G1186" s="3626"/>
      <c r="H1186" s="3627" t="str">
        <f>IMAGE("https://raw.githubusercontent.com/msikma/pokesprite/master/misc/types/gen8/dark.png",4,20,20)</f>
        <v/>
      </c>
      <c r="I1186" s="3628"/>
      <c r="J1186" s="3624" t="s">
        <v>974</v>
      </c>
      <c r="K1186" s="3625"/>
      <c r="L1186" s="3626"/>
      <c r="M1186" s="3627" t="str">
        <f>IMAGE("https://raw.githubusercontent.com/msikma/pokesprite/master/misc/types/gen8/water.png",4,20,20)</f>
        <v/>
      </c>
      <c r="N1186" s="3628"/>
      <c r="O1186" s="3624" t="s">
        <v>830</v>
      </c>
      <c r="P1186" s="3625"/>
      <c r="Q1186" s="3626"/>
      <c r="R1186" s="3627" t="str">
        <f>IMAGE("https://raw.githubusercontent.com/msikma/pokesprite/master/misc/types/gen8/bug.png",4,20,20)</f>
        <v/>
      </c>
      <c r="S1186" s="3628"/>
      <c r="T1186" s="3624" t="s">
        <v>904</v>
      </c>
      <c r="U1186" s="3625"/>
      <c r="V1186" s="3626"/>
      <c r="W1186" s="3627" t="str">
        <f>IMAGE("https://raw.githubusercontent.com/msikma/pokesprite/master/misc/types/gen8/psychic.png",4,20,20)</f>
        <v/>
      </c>
      <c r="X1186" s="3628"/>
      <c r="Y1186" s="3624" t="s">
        <v>844</v>
      </c>
      <c r="Z1186" s="3625"/>
      <c r="AA1186" s="3626"/>
      <c r="AB1186" s="3627" t="str">
        <f>IMAGE("https://raw.githubusercontent.com/msikma/pokesprite/master/misc/types/gen8/electric.png",4,20,20)</f>
        <v/>
      </c>
      <c r="AC1186" s="3628"/>
      <c r="AD1186" s="3624" t="s">
        <v>552</v>
      </c>
      <c r="AE1186" s="3625"/>
      <c r="AF1186" s="3626"/>
      <c r="AG1186" s="3627" t="str">
        <f>IMAGE("https://raw.githubusercontent.com/msikma/pokesprite/master/misc/types/gen8/psychic.png",4,20,20)</f>
        <v/>
      </c>
      <c r="AH1186" s="3583"/>
      <c r="AI1186" s="3466"/>
    </row>
    <row r="1187" ht="3.0" customHeight="1">
      <c r="A1187" s="3524"/>
      <c r="B1187" s="3630"/>
      <c r="C1187" s="3631"/>
      <c r="D1187" s="3632"/>
      <c r="E1187" s="3634"/>
      <c r="F1187" s="3634"/>
      <c r="G1187" s="3634"/>
      <c r="H1187" s="3633"/>
      <c r="I1187" s="3632"/>
      <c r="J1187" s="3634"/>
      <c r="K1187" s="3634"/>
      <c r="L1187" s="3634"/>
      <c r="M1187" s="3633"/>
      <c r="N1187" s="3632"/>
      <c r="O1187" s="3634"/>
      <c r="P1187" s="3634"/>
      <c r="Q1187" s="3634"/>
      <c r="R1187" s="3633"/>
      <c r="S1187" s="3635"/>
      <c r="T1187" s="3634"/>
      <c r="U1187" s="3634"/>
      <c r="V1187" s="3634"/>
      <c r="W1187" s="3633"/>
      <c r="X1187" s="3632"/>
      <c r="Y1187" s="3634"/>
      <c r="Z1187" s="3634"/>
      <c r="AA1187" s="3634"/>
      <c r="AB1187" s="3633"/>
      <c r="AC1187" s="3637"/>
      <c r="AD1187" s="3634"/>
      <c r="AE1187" s="3634"/>
      <c r="AF1187" s="3634"/>
      <c r="AG1187" s="3633"/>
      <c r="AH1187" s="3638"/>
      <c r="AI1187" s="3534"/>
    </row>
    <row r="1188" ht="16.5" customHeight="1">
      <c r="A1188" s="3535"/>
      <c r="B1188" s="3639"/>
      <c r="C1188" s="3631"/>
      <c r="D1188" s="4590"/>
      <c r="E1188" s="3641" t="s">
        <v>512</v>
      </c>
      <c r="F1188" s="606"/>
      <c r="G1188" s="606"/>
      <c r="H1188" s="607"/>
      <c r="I1188" s="3642"/>
      <c r="J1188" s="3641" t="s">
        <v>512</v>
      </c>
      <c r="K1188" s="606"/>
      <c r="L1188" s="606"/>
      <c r="M1188" s="607"/>
      <c r="N1188" s="4590"/>
      <c r="O1188" s="3641" t="s">
        <v>512</v>
      </c>
      <c r="P1188" s="606"/>
      <c r="Q1188" s="606"/>
      <c r="R1188" s="607"/>
      <c r="S1188" s="4591"/>
      <c r="T1188" s="3641" t="s">
        <v>512</v>
      </c>
      <c r="U1188" s="606"/>
      <c r="V1188" s="606"/>
      <c r="W1188" s="607"/>
      <c r="X1188" s="4592"/>
      <c r="Y1188" s="3641" t="s">
        <v>512</v>
      </c>
      <c r="Z1188" s="606"/>
      <c r="AA1188" s="606"/>
      <c r="AB1188" s="607"/>
      <c r="AC1188" s="4592"/>
      <c r="AD1188" s="3641" t="s">
        <v>512</v>
      </c>
      <c r="AE1188" s="606"/>
      <c r="AF1188" s="606"/>
      <c r="AG1188" s="607"/>
      <c r="AH1188" s="3645"/>
      <c r="AI1188" s="3543"/>
    </row>
    <row r="1189" ht="16.5" customHeight="1">
      <c r="A1189" s="3535"/>
      <c r="B1189" s="3639"/>
      <c r="C1189" s="3631"/>
      <c r="D1189" s="3640"/>
      <c r="E1189" s="3646" t="s">
        <v>513</v>
      </c>
      <c r="F1189" s="3647">
        <f t="array" ref="F1189">IFERROR(VLOOKUP(E1176,Dex!$B$3:$N1361,8,FALSE),"")</f>
        <v>74</v>
      </c>
      <c r="G1189" s="3648" t="str">
        <f t="array" ref="G1189">IFERROR(VLOOKUP(F1189,Dex!$P$22:$Q$276,2,FALSE),"")</f>
        <v/>
      </c>
      <c r="H1189" s="3649"/>
      <c r="I1189" s="3650"/>
      <c r="J1189" s="3646" t="s">
        <v>513</v>
      </c>
      <c r="K1189" s="3647">
        <f t="array" ref="K1189">IFERROR(VLOOKUP(J1176,Dex!$B$3:$N1361,8,FALSE),"")</f>
        <v>95</v>
      </c>
      <c r="L1189" s="3648" t="str">
        <f t="array" ref="L1189">IFERROR(VLOOKUP(K1189,Dex!$P$22:$Q$276,2,FALSE),"")</f>
        <v/>
      </c>
      <c r="M1189" s="3649"/>
      <c r="N1189" s="3640"/>
      <c r="O1189" s="3646" t="s">
        <v>513</v>
      </c>
      <c r="P1189" s="3647">
        <f t="array" ref="P1189">IFERROR(VLOOKUP(O1176,Dex!$B$3:$N1361,8,FALSE),"")</f>
        <v>1</v>
      </c>
      <c r="Q1189" s="3648" t="str">
        <f t="array" ref="Q1189">IFERROR(VLOOKUP(P1189,Dex!$P$22:$Q$276,2,FALSE),"")</f>
        <v/>
      </c>
      <c r="R1189" s="3649"/>
      <c r="S1189" s="3644"/>
      <c r="T1189" s="3646" t="s">
        <v>513</v>
      </c>
      <c r="U1189" s="3647">
        <f t="array" ref="U1189">IFERROR(VLOOKUP(T1176,Dex!$B$3:$N1361,8,FALSE),"")</f>
        <v>65</v>
      </c>
      <c r="V1189" s="3648" t="str">
        <f t="array" ref="V1189">IFERROR(VLOOKUP(U1189,Dex!$P$22:$Q$276,2,FALSE),"")</f>
        <v/>
      </c>
      <c r="W1189" s="3649"/>
      <c r="X1189" s="3644"/>
      <c r="Y1189" s="3646" t="s">
        <v>513</v>
      </c>
      <c r="Z1189" s="3647">
        <f t="array" ref="Z1189">IFERROR(VLOOKUP(Y1176,Dex!$B$3:$N1361,8,FALSE),"")</f>
        <v>70</v>
      </c>
      <c r="AA1189" s="3648" t="str">
        <f t="array" ref="AA1189">IFERROR(VLOOKUP(Z1189,Dex!$P$22:$Q$276,2,FALSE),"")</f>
        <v/>
      </c>
      <c r="AB1189" s="3649"/>
      <c r="AC1189" s="3644"/>
      <c r="AD1189" s="3646" t="s">
        <v>513</v>
      </c>
      <c r="AE1189" s="3647">
        <f t="array" ref="AE1189">IFERROR(VLOOKUP(AD1176,Dex!$B$3:$N1361,8,FALSE),"")</f>
        <v>53</v>
      </c>
      <c r="AF1189" s="3648" t="str">
        <f t="array" ref="AF1189">IFERROR(VLOOKUP(AE1189,Dex!$P$22:$Q$276,2,FALSE),"")</f>
        <v/>
      </c>
      <c r="AG1189" s="3649"/>
      <c r="AH1189" s="3645"/>
      <c r="AI1189" s="3543"/>
    </row>
    <row r="1190" ht="16.5" customHeight="1">
      <c r="A1190" s="3535"/>
      <c r="B1190" s="3639"/>
      <c r="C1190" s="3631"/>
      <c r="D1190" s="3640"/>
      <c r="E1190" s="3652" t="s">
        <v>514</v>
      </c>
      <c r="F1190" s="3653">
        <f t="array" ref="F1190">IFERROR(VLOOKUP(E1176,Dex!$B$3:$N1361,9,FALSE),"")</f>
        <v>75</v>
      </c>
      <c r="G1190" s="3654" t="str">
        <f t="array" ref="G1190">IFERROR(VLOOKUP(F1190,Dex!$P$22:$Q$276,2,FALSE),"")</f>
        <v/>
      </c>
      <c r="H1190" s="3655"/>
      <c r="I1190" s="3650"/>
      <c r="J1190" s="3652" t="s">
        <v>514</v>
      </c>
      <c r="K1190" s="3653">
        <f t="array" ref="K1190">IFERROR(VLOOKUP(J1176,Dex!$B$3:$N1361,9,FALSE),"")</f>
        <v>102</v>
      </c>
      <c r="L1190" s="3654" t="str">
        <f t="array" ref="L1190">IFERROR(VLOOKUP(K1190,Dex!$P$22:$Q$276,2,FALSE),"")</f>
        <v/>
      </c>
      <c r="M1190" s="3655"/>
      <c r="N1190" s="3640"/>
      <c r="O1190" s="3652" t="s">
        <v>514</v>
      </c>
      <c r="P1190" s="3653">
        <f t="array" ref="P1190">IFERROR(VLOOKUP(O1176,Dex!$B$3:$N1361,9,FALSE),"")</f>
        <v>90</v>
      </c>
      <c r="Q1190" s="3654" t="str">
        <f t="array" ref="Q1190">IFERROR(VLOOKUP(P1190,Dex!$P$22:$Q$276,2,FALSE),"")</f>
        <v/>
      </c>
      <c r="R1190" s="3655"/>
      <c r="S1190" s="3644"/>
      <c r="T1190" s="3652" t="s">
        <v>514</v>
      </c>
      <c r="U1190" s="3653">
        <f t="array" ref="U1190">IFERROR(VLOOKUP(T1176,Dex!$B$3:$N1361,9,FALSE),"")</f>
        <v>150</v>
      </c>
      <c r="V1190" s="3654" t="str">
        <f t="array" ref="V1190">IFERROR(VLOOKUP(U1190,Dex!$P$22:$Q$276,2,FALSE),"")</f>
        <v/>
      </c>
      <c r="W1190" s="3655"/>
      <c r="X1190" s="3644"/>
      <c r="Y1190" s="3652" t="s">
        <v>514</v>
      </c>
      <c r="Z1190" s="3653">
        <f t="array" ref="Z1190">IFERROR(VLOOKUP(Y1176,Dex!$B$3:$N1361,9,FALSE),"")</f>
        <v>77</v>
      </c>
      <c r="AA1190" s="3654" t="str">
        <f t="array" ref="AA1190">IFERROR(VLOOKUP(Z1190,Dex!$P$22:$Q$276,2,FALSE),"")</f>
        <v/>
      </c>
      <c r="AB1190" s="3655"/>
      <c r="AC1190" s="3644"/>
      <c r="AD1190" s="3652" t="s">
        <v>514</v>
      </c>
      <c r="AE1190" s="3653">
        <f t="array" ref="AE1190">IFERROR(VLOOKUP(AD1176,Dex!$B$3:$N1361,9,FALSE),"")</f>
        <v>127</v>
      </c>
      <c r="AF1190" s="3654" t="str">
        <f t="array" ref="AF1190">IFERROR(VLOOKUP(AE1190,Dex!$P$22:$Q$276,2,FALSE),"")</f>
        <v/>
      </c>
      <c r="AG1190" s="3655"/>
      <c r="AH1190" s="3645"/>
      <c r="AI1190" s="3543"/>
    </row>
    <row r="1191" ht="16.5" customHeight="1">
      <c r="A1191" s="3535"/>
      <c r="B1191" s="3639"/>
      <c r="C1191" s="3631"/>
      <c r="D1191" s="3640"/>
      <c r="E1191" s="3652" t="s">
        <v>515</v>
      </c>
      <c r="F1191" s="3653">
        <f t="array" ref="F1191">IFERROR(VLOOKUP(E1176,Dex!$B$3:$N1361,10,FALSE),"")</f>
        <v>70</v>
      </c>
      <c r="G1191" s="3654" t="str">
        <f t="array" ref="G1191">IFERROR(VLOOKUP(F1191,Dex!$P$22:$Q$276,2,FALSE),"")</f>
        <v/>
      </c>
      <c r="H1191" s="3655"/>
      <c r="I1191" s="3650"/>
      <c r="J1191" s="3652" t="s">
        <v>515</v>
      </c>
      <c r="K1191" s="3653">
        <f t="array" ref="K1191">IFERROR(VLOOKUP(J1176,Dex!$B$3:$N1361,10,FALSE),"")</f>
        <v>83</v>
      </c>
      <c r="L1191" s="3654" t="str">
        <f t="array" ref="L1191">IFERROR(VLOOKUP(K1191,Dex!$P$22:$Q$276,2,FALSE),"")</f>
        <v/>
      </c>
      <c r="M1191" s="3655"/>
      <c r="N1191" s="3640"/>
      <c r="O1191" s="3652" t="s">
        <v>515</v>
      </c>
      <c r="P1191" s="3653">
        <f t="array" ref="P1191">IFERROR(VLOOKUP(O1176,Dex!$B$3:$N1361,10,FALSE),"")</f>
        <v>45</v>
      </c>
      <c r="Q1191" s="3654" t="str">
        <f t="array" ref="Q1191">IFERROR(VLOOKUP(P1191,Dex!$P$22:$Q$276,2,FALSE),"")</f>
        <v/>
      </c>
      <c r="R1191" s="3655"/>
      <c r="S1191" s="3644"/>
      <c r="T1191" s="3652" t="s">
        <v>515</v>
      </c>
      <c r="U1191" s="3653">
        <f t="array" ref="U1191">IFERROR(VLOOKUP(T1176,Dex!$B$3:$N1361,10,FALSE),"")</f>
        <v>60</v>
      </c>
      <c r="V1191" s="3654" t="str">
        <f t="array" ref="V1191">IFERROR(VLOOKUP(U1191,Dex!$P$22:$Q$276,2,FALSE),"")</f>
        <v/>
      </c>
      <c r="W1191" s="3655"/>
      <c r="X1191" s="3644"/>
      <c r="Y1191" s="3652" t="s">
        <v>515</v>
      </c>
      <c r="Z1191" s="3653">
        <f t="array" ref="Z1191">IFERROR(VLOOKUP(Y1176,Dex!$B$3:$N1361,10,FALSE),"")</f>
        <v>60</v>
      </c>
      <c r="AA1191" s="3654" t="str">
        <f t="array" ref="AA1191">IFERROR(VLOOKUP(Z1191,Dex!$P$22:$Q$276,2,FALSE),"")</f>
        <v/>
      </c>
      <c r="AB1191" s="3655"/>
      <c r="AC1191" s="3644"/>
      <c r="AD1191" s="3652" t="s">
        <v>515</v>
      </c>
      <c r="AE1191" s="3653">
        <f t="array" ref="AE1191">IFERROR(VLOOKUP(AD1176,Dex!$B$3:$N1361,10,FALSE),"")</f>
        <v>53</v>
      </c>
      <c r="AF1191" s="3654" t="str">
        <f t="array" ref="AF1191">IFERROR(VLOOKUP(AE1191,Dex!$P$22:$Q$276,2,FALSE),"")</f>
        <v/>
      </c>
      <c r="AG1191" s="3655"/>
      <c r="AH1191" s="3645"/>
      <c r="AI1191" s="3543"/>
    </row>
    <row r="1192" ht="16.5" customHeight="1">
      <c r="A1192" s="3535"/>
      <c r="B1192" s="3639"/>
      <c r="C1192" s="3631"/>
      <c r="D1192" s="3640"/>
      <c r="E1192" s="3652" t="s">
        <v>516</v>
      </c>
      <c r="F1192" s="3653">
        <f t="array" ref="F1192">IFERROR(VLOOKUP(E1176,Dex!$B$3:$N1361,11,FALSE),"")</f>
        <v>65</v>
      </c>
      <c r="G1192" s="3654" t="str">
        <f t="array" ref="G1192">IFERROR(VLOOKUP(F1192,Dex!$P$22:$Q$276,2,FALSE),"")</f>
        <v/>
      </c>
      <c r="H1192" s="3655"/>
      <c r="I1192" s="3650"/>
      <c r="J1192" s="3652" t="s">
        <v>516</v>
      </c>
      <c r="K1192" s="3653">
        <f t="array" ref="K1192">IFERROR(VLOOKUP(J1176,Dex!$B$3:$N1361,11,FALSE),"")</f>
        <v>78</v>
      </c>
      <c r="L1192" s="3654" t="str">
        <f t="array" ref="L1192">IFERROR(VLOOKUP(K1192,Dex!$P$22:$Q$276,2,FALSE),"")</f>
        <v/>
      </c>
      <c r="M1192" s="3655"/>
      <c r="N1192" s="3640"/>
      <c r="O1192" s="3652" t="s">
        <v>516</v>
      </c>
      <c r="P1192" s="3653">
        <f t="array" ref="P1192">IFERROR(VLOOKUP(O1176,Dex!$B$3:$N1361,11,FALSE),"")</f>
        <v>30</v>
      </c>
      <c r="Q1192" s="3654" t="str">
        <f t="array" ref="Q1192">IFERROR(VLOOKUP(P1192,Dex!$P$22:$Q$276,2,FALSE),"")</f>
        <v/>
      </c>
      <c r="R1192" s="3655"/>
      <c r="S1192" s="3644"/>
      <c r="T1192" s="3652" t="s">
        <v>516</v>
      </c>
      <c r="U1192" s="3653">
        <f t="array" ref="U1192">IFERROR(VLOOKUP(T1176,Dex!$B$3:$N1361,11,FALSE),"")</f>
        <v>115</v>
      </c>
      <c r="V1192" s="3654" t="str">
        <f t="array" ref="V1192">IFERROR(VLOOKUP(U1192,Dex!$P$22:$Q$276,2,FALSE),"")</f>
        <v/>
      </c>
      <c r="W1192" s="3655"/>
      <c r="X1192" s="3644"/>
      <c r="Y1192" s="3652" t="s">
        <v>516</v>
      </c>
      <c r="Z1192" s="3653">
        <f t="array" ref="Z1192">IFERROR(VLOOKUP(Y1176,Dex!$B$3:$N1361,11,FALSE),"")</f>
        <v>97</v>
      </c>
      <c r="AA1192" s="3654" t="str">
        <f t="array" ref="AA1192">IFERROR(VLOOKUP(Z1192,Dex!$P$22:$Q$276,2,FALSE),"")</f>
        <v/>
      </c>
      <c r="AB1192" s="3655"/>
      <c r="AC1192" s="3644"/>
      <c r="AD1192" s="3652" t="s">
        <v>516</v>
      </c>
      <c r="AE1192" s="3653">
        <f t="array" ref="AE1192">IFERROR(VLOOKUP(AD1176,Dex!$B$3:$N1361,11,FALSE),"")</f>
        <v>151</v>
      </c>
      <c r="AF1192" s="3654" t="str">
        <f t="array" ref="AF1192">IFERROR(VLOOKUP(AE1192,Dex!$P$22:$Q$276,2,FALSE),"")</f>
        <v/>
      </c>
      <c r="AG1192" s="3655"/>
      <c r="AH1192" s="3645"/>
      <c r="AI1192" s="3543"/>
    </row>
    <row r="1193" ht="16.5" customHeight="1">
      <c r="A1193" s="3535"/>
      <c r="B1193" s="3639"/>
      <c r="C1193" s="3631"/>
      <c r="D1193" s="3640"/>
      <c r="E1193" s="3652" t="s">
        <v>517</v>
      </c>
      <c r="F1193" s="3653">
        <f t="array" ref="F1193">IFERROR(VLOOKUP(E1176,Dex!$B$3:$N1361,12,FALSE),"")</f>
        <v>75</v>
      </c>
      <c r="G1193" s="3654" t="str">
        <f t="array" ref="G1193">IFERROR(VLOOKUP(F1193,Dex!$P$22:$Q$276,2,FALSE),"")</f>
        <v/>
      </c>
      <c r="H1193" s="3655"/>
      <c r="I1193" s="3650"/>
      <c r="J1193" s="3652" t="s">
        <v>517</v>
      </c>
      <c r="K1193" s="3653">
        <f t="array" ref="K1193">IFERROR(VLOOKUP(J1176,Dex!$B$3:$N1361,12,FALSE),"")</f>
        <v>75</v>
      </c>
      <c r="L1193" s="3654" t="str">
        <f t="array" ref="L1193">IFERROR(VLOOKUP(K1193,Dex!$P$22:$Q$276,2,FALSE),"")</f>
        <v/>
      </c>
      <c r="M1193" s="3655"/>
      <c r="N1193" s="3640"/>
      <c r="O1193" s="3652" t="s">
        <v>517</v>
      </c>
      <c r="P1193" s="3653">
        <f t="array" ref="P1193">IFERROR(VLOOKUP(O1176,Dex!$B$3:$N1361,12,FALSE),"")</f>
        <v>30</v>
      </c>
      <c r="Q1193" s="3654" t="str">
        <f t="array" ref="Q1193">IFERROR(VLOOKUP(P1193,Dex!$P$22:$Q$276,2,FALSE),"")</f>
        <v/>
      </c>
      <c r="R1193" s="3655"/>
      <c r="S1193" s="3644"/>
      <c r="T1193" s="3652" t="s">
        <v>517</v>
      </c>
      <c r="U1193" s="3653">
        <f t="array" ref="U1193">IFERROR(VLOOKUP(T1176,Dex!$B$3:$N1361,12,FALSE),"")</f>
        <v>60</v>
      </c>
      <c r="V1193" s="3654" t="str">
        <f t="array" ref="V1193">IFERROR(VLOOKUP(U1193,Dex!$P$22:$Q$276,2,FALSE),"")</f>
        <v/>
      </c>
      <c r="W1193" s="3655"/>
      <c r="X1193" s="3644"/>
      <c r="Y1193" s="3652" t="s">
        <v>517</v>
      </c>
      <c r="Z1193" s="3653">
        <f t="array" ref="Z1193">IFERROR(VLOOKUP(Y1176,Dex!$B$3:$N1361,12,FALSE),"")</f>
        <v>60</v>
      </c>
      <c r="AA1193" s="3654" t="str">
        <f t="array" ref="AA1193">IFERROR(VLOOKUP(Z1193,Dex!$P$22:$Q$276,2,FALSE),"")</f>
        <v/>
      </c>
      <c r="AB1193" s="3655"/>
      <c r="AC1193" s="3644"/>
      <c r="AD1193" s="3652" t="s">
        <v>517</v>
      </c>
      <c r="AE1193" s="3653">
        <f t="array" ref="AE1193">IFERROR(VLOOKUP(AD1176,Dex!$B$3:$N1361,12,FALSE),"")</f>
        <v>79</v>
      </c>
      <c r="AF1193" s="3654" t="str">
        <f t="array" ref="AF1193">IFERROR(VLOOKUP(AE1193,Dex!$P$22:$Q$276,2,FALSE),"")</f>
        <v/>
      </c>
      <c r="AG1193" s="3655"/>
      <c r="AH1193" s="3645"/>
      <c r="AI1193" s="3543"/>
    </row>
    <row r="1194" ht="16.5" customHeight="1">
      <c r="A1194" s="3535"/>
      <c r="B1194" s="3639"/>
      <c r="C1194" s="1426" t="s">
        <v>745</v>
      </c>
      <c r="D1194" s="3640"/>
      <c r="E1194" s="3658" t="s">
        <v>518</v>
      </c>
      <c r="F1194" s="3659">
        <f t="array" ref="F1194">IFERROR(VLOOKUP(E1176,Dex!$B$3:$N1361,13,FALSE),"")</f>
        <v>111</v>
      </c>
      <c r="G1194" s="3660" t="str">
        <f t="array" ref="G1194">IFERROR(VLOOKUP(F1194,Dex!$P$22:$Q$276,2,FALSE),"")</f>
        <v/>
      </c>
      <c r="H1194" s="3661"/>
      <c r="I1194" s="3650"/>
      <c r="J1194" s="3658" t="s">
        <v>518</v>
      </c>
      <c r="K1194" s="3659">
        <f t="array" ref="K1194">IFERROR(VLOOKUP(J1176,Dex!$B$3:$N1361,13,FALSE),"")</f>
        <v>70</v>
      </c>
      <c r="L1194" s="3660" t="str">
        <f t="array" ref="L1194">IFERROR(VLOOKUP(K1194,Dex!$P$22:$Q$276,2,FALSE),"")</f>
        <v/>
      </c>
      <c r="M1194" s="3661"/>
      <c r="N1194" s="3640"/>
      <c r="O1194" s="3658" t="s">
        <v>518</v>
      </c>
      <c r="P1194" s="3659">
        <f t="array" ref="P1194">IFERROR(VLOOKUP(O1176,Dex!$B$3:$N1361,13,FALSE),"")</f>
        <v>40</v>
      </c>
      <c r="Q1194" s="3660" t="str">
        <f t="array" ref="Q1194">IFERROR(VLOOKUP(P1194,Dex!$P$22:$Q$276,2,FALSE),"")</f>
        <v/>
      </c>
      <c r="R1194" s="3661"/>
      <c r="S1194" s="3644"/>
      <c r="T1194" s="3658" t="s">
        <v>518</v>
      </c>
      <c r="U1194" s="3659">
        <f t="array" ref="U1194">IFERROR(VLOOKUP(T1176,Dex!$B$3:$N1361,13,FALSE),"")</f>
        <v>115</v>
      </c>
      <c r="V1194" s="3660" t="str">
        <f t="array" ref="V1194">IFERROR(VLOOKUP(U1194,Dex!$P$22:$Q$276,2,FALSE),"")</f>
        <v/>
      </c>
      <c r="W1194" s="3661"/>
      <c r="X1194" s="3644"/>
      <c r="Y1194" s="3658" t="s">
        <v>518</v>
      </c>
      <c r="Z1194" s="3659">
        <f t="array" ref="Z1194">IFERROR(VLOOKUP(Y1176,Dex!$B$3:$N1361,13,FALSE),"")</f>
        <v>108</v>
      </c>
      <c r="AA1194" s="3660" t="str">
        <f t="array" ref="AA1194">IFERROR(VLOOKUP(Z1194,Dex!$P$22:$Q$276,2,FALSE),"")</f>
        <v/>
      </c>
      <c r="AB1194" s="3661"/>
      <c r="AC1194" s="3644"/>
      <c r="AD1194" s="3658" t="s">
        <v>518</v>
      </c>
      <c r="AE1194" s="3659">
        <f t="array" ref="AE1194">IFERROR(VLOOKUP(AD1176,Dex!$B$3:$N1361,13,FALSE),"")</f>
        <v>107</v>
      </c>
      <c r="AF1194" s="3660" t="str">
        <f t="array" ref="AF1194">IFERROR(VLOOKUP(AE1194,Dex!$P$22:$Q$276,2,FALSE),"")</f>
        <v/>
      </c>
      <c r="AG1194" s="3661"/>
      <c r="AH1194" s="3645"/>
      <c r="AI1194" s="3543"/>
    </row>
    <row r="1195" ht="16.5" customHeight="1">
      <c r="A1195" s="3535"/>
      <c r="B1195" s="3639"/>
      <c r="C1195" s="1427" t="s">
        <v>1739</v>
      </c>
      <c r="D1195" s="4590"/>
      <c r="E1195" s="3662" t="s">
        <v>519</v>
      </c>
      <c r="F1195" s="630"/>
      <c r="G1195" s="631"/>
      <c r="H1195" s="632">
        <f>ROUNDDOWN((ROUNDDOWN(((((2*F1194+31)*85)/100+5)),0))*1.1,0)</f>
        <v>242</v>
      </c>
      <c r="I1195" s="3642"/>
      <c r="J1195" s="3662" t="s">
        <v>519</v>
      </c>
      <c r="K1195" s="630"/>
      <c r="L1195" s="631"/>
      <c r="M1195" s="632">
        <f>ROUNDDOWN((ROUNDDOWN(((((2*K1194+31)*85)/100+5)),0))*1.1,0)</f>
        <v>165</v>
      </c>
      <c r="N1195" s="4590"/>
      <c r="O1195" s="3662" t="s">
        <v>519</v>
      </c>
      <c r="P1195" s="630"/>
      <c r="Q1195" s="631"/>
      <c r="R1195" s="632">
        <f>ROUNDDOWN((ROUNDDOWN(((((2*P1194+31)*85)/100+5)),0))*1,0)</f>
        <v>99</v>
      </c>
      <c r="S1195" s="4592"/>
      <c r="T1195" s="3662" t="s">
        <v>519</v>
      </c>
      <c r="U1195" s="630"/>
      <c r="V1195" s="631"/>
      <c r="W1195" s="632">
        <f>ROUNDDOWN((ROUNDDOWN(((((2*U1194+31)*85)/100+5)),0))*1.1,0)</f>
        <v>248</v>
      </c>
      <c r="X1195" s="4592"/>
      <c r="Y1195" s="3662" t="s">
        <v>519</v>
      </c>
      <c r="Z1195" s="630"/>
      <c r="AA1195" s="631"/>
      <c r="AB1195" s="632">
        <f>ROUNDDOWN((ROUNDDOWN(((((2*Z1194+31)*85)/100+5)),0))*1.1,0)</f>
        <v>235</v>
      </c>
      <c r="AC1195" s="4592"/>
      <c r="AD1195" s="3662" t="s">
        <v>519</v>
      </c>
      <c r="AE1195" s="630"/>
      <c r="AF1195" s="631"/>
      <c r="AG1195" s="632">
        <f>ROUNDDOWN((ROUNDDOWN(((((2*AE1194+31)*85)/100+5)),0))*1.1,0)</f>
        <v>234</v>
      </c>
      <c r="AH1195" s="3645"/>
      <c r="AI1195" s="3543"/>
    </row>
    <row r="1196" ht="15.0" customHeight="1">
      <c r="A1196" s="3453"/>
      <c r="B1196" s="3663"/>
      <c r="C1196" s="3664"/>
      <c r="D1196" s="3665"/>
      <c r="E1196" s="3668"/>
      <c r="F1196" s="3668"/>
      <c r="G1196" s="3668"/>
      <c r="H1196" s="3667"/>
      <c r="I1196" s="3667"/>
      <c r="J1196" s="3668"/>
      <c r="K1196" s="3668"/>
      <c r="L1196" s="3668"/>
      <c r="M1196" s="3667"/>
      <c r="N1196" s="3669"/>
      <c r="O1196" s="5738"/>
      <c r="P1196" s="5738"/>
      <c r="Q1196" s="5739"/>
      <c r="R1196" s="3671"/>
      <c r="S1196" s="3671"/>
      <c r="T1196" s="5738"/>
      <c r="U1196" s="5738"/>
      <c r="V1196" s="5739"/>
      <c r="W1196" s="3671"/>
      <c r="X1196" s="3669"/>
      <c r="Y1196" s="4601"/>
      <c r="Z1196" s="4601"/>
      <c r="AA1196" s="4601"/>
      <c r="AB1196" s="3672"/>
      <c r="AC1196" s="3672"/>
      <c r="AD1196" s="4601"/>
      <c r="AE1196" s="4601"/>
      <c r="AF1196" s="4601"/>
      <c r="AG1196" s="3672"/>
      <c r="AH1196" s="3673"/>
      <c r="AI1196" s="3466"/>
    </row>
    <row r="1197" ht="15.0" customHeight="1">
      <c r="A1197" s="3446"/>
      <c r="B1197" s="3567"/>
      <c r="C1197" s="3568"/>
      <c r="D1197" s="3569"/>
      <c r="E1197" s="3570"/>
      <c r="F1197" s="3570"/>
      <c r="G1197" s="3570"/>
      <c r="H1197" s="3570"/>
      <c r="I1197" s="3569"/>
      <c r="J1197" s="3570"/>
      <c r="K1197" s="3570"/>
      <c r="L1197" s="3570"/>
      <c r="M1197" s="3570"/>
      <c r="N1197" s="3569"/>
      <c r="O1197" s="3570"/>
      <c r="P1197" s="3570"/>
      <c r="Q1197" s="3570"/>
      <c r="R1197" s="3570"/>
      <c r="S1197" s="3569"/>
      <c r="T1197" s="3570"/>
      <c r="U1197" s="3570"/>
      <c r="V1197" s="3570"/>
      <c r="W1197" s="3570"/>
      <c r="X1197" s="3569"/>
      <c r="Y1197" s="3570"/>
      <c r="Z1197" s="3570"/>
      <c r="AA1197" s="3570"/>
      <c r="AB1197" s="3570"/>
      <c r="AC1197" s="3569"/>
      <c r="AD1197" s="3570"/>
      <c r="AE1197" s="3570"/>
      <c r="AF1197" s="3570"/>
      <c r="AG1197" s="3570"/>
      <c r="AH1197" s="3571"/>
      <c r="AI1197" s="3452"/>
    </row>
    <row r="1198" ht="96.75" customHeight="1">
      <c r="A1198" s="3453"/>
      <c r="B1198" s="3572"/>
      <c r="C1198" s="3573" t="str">
        <f>IMAGE("https://i.ibb.co/TKBZjnF/Ace-Trainer-M.png")</f>
        <v/>
      </c>
      <c r="D1198" s="3574"/>
      <c r="E1198" s="3575" t="str">
        <f t="array" ref="E1198">IFERROR(VLOOKUP(E1199,Dex!$B$3:$G1361,3,FALSE),"")</f>
        <v/>
      </c>
      <c r="F1198" s="606"/>
      <c r="G1198" s="606"/>
      <c r="H1198" s="607"/>
      <c r="I1198" s="3576"/>
      <c r="J1198" s="3575" t="str">
        <f t="array" ref="J1198">IFERROR(VLOOKUP(J1199,Dex!$B$3:$G1361,3,FALSE),"")</f>
        <v/>
      </c>
      <c r="K1198" s="606"/>
      <c r="L1198" s="606"/>
      <c r="M1198" s="607"/>
      <c r="N1198" s="4583"/>
      <c r="O1198" s="3575" t="str">
        <f t="array" ref="O1198">IFERROR(VLOOKUP(O1199,Dex!$B$3:$G1361,3,FALSE),"")</f>
        <v/>
      </c>
      <c r="P1198" s="606"/>
      <c r="Q1198" s="606"/>
      <c r="R1198" s="607"/>
      <c r="S1198" s="4584"/>
      <c r="T1198" s="3575" t="str">
        <f t="array" ref="T1198">IFERROR(VLOOKUP(T1199,Dex!$B$3:$G1361,3,FALSE),"")</f>
        <v/>
      </c>
      <c r="U1198" s="606"/>
      <c r="V1198" s="606"/>
      <c r="W1198" s="607"/>
      <c r="X1198" s="4583"/>
      <c r="Y1198" s="3575" t="str">
        <f t="array" ref="Y1198">IFERROR(VLOOKUP(Y1199,Dex!$B$3:$G1361,3,FALSE),"")</f>
        <v/>
      </c>
      <c r="Z1198" s="606"/>
      <c r="AA1198" s="606"/>
      <c r="AB1198" s="607"/>
      <c r="AC1198" s="4584"/>
      <c r="AD1198" s="3575" t="str">
        <f t="array" ref="AD1198">IFERROR(VLOOKUP(AD1199,Dex!$B$3:$G1361,3,FALSE),"")</f>
        <v/>
      </c>
      <c r="AE1198" s="606"/>
      <c r="AF1198" s="606"/>
      <c r="AG1198" s="607"/>
      <c r="AH1198" s="5740"/>
      <c r="AI1198" s="3466"/>
    </row>
    <row r="1199" ht="18.75" customHeight="1">
      <c r="A1199" s="3467"/>
      <c r="B1199" s="3584"/>
      <c r="C1199" s="3585" t="s">
        <v>1740</v>
      </c>
      <c r="D1199" s="3586"/>
      <c r="E1199" s="3587" t="s">
        <v>1741</v>
      </c>
      <c r="F1199" s="3588"/>
      <c r="G1199" s="3588"/>
      <c r="H1199" s="3589"/>
      <c r="J1199" s="3587" t="s">
        <v>1679</v>
      </c>
      <c r="K1199" s="3588"/>
      <c r="L1199" s="3588"/>
      <c r="M1199" s="3589"/>
      <c r="O1199" s="3587" t="s">
        <v>1687</v>
      </c>
      <c r="P1199" s="3588"/>
      <c r="Q1199" s="3588"/>
      <c r="R1199" s="3589"/>
      <c r="T1199" s="3587" t="s">
        <v>1169</v>
      </c>
      <c r="U1199" s="3588"/>
      <c r="V1199" s="3588"/>
      <c r="W1199" s="3589"/>
      <c r="Y1199" s="3587" t="s">
        <v>1605</v>
      </c>
      <c r="Z1199" s="3588"/>
      <c r="AA1199" s="3588"/>
      <c r="AB1199" s="3589"/>
      <c r="AD1199" s="3587" t="s">
        <v>1675</v>
      </c>
      <c r="AE1199" s="3588"/>
      <c r="AF1199" s="3588"/>
      <c r="AG1199" s="3589"/>
      <c r="AH1199" s="5741"/>
      <c r="AI1199" s="3478"/>
    </row>
    <row r="1200">
      <c r="A1200" s="3479"/>
      <c r="B1200" s="3594"/>
      <c r="C1200" s="1638"/>
      <c r="D1200" s="3595"/>
      <c r="E1200" s="4586" t="s">
        <v>729</v>
      </c>
      <c r="F1200" s="3597"/>
      <c r="G1200" s="3597"/>
      <c r="H1200" s="4587"/>
      <c r="J1200" s="4586" t="s">
        <v>729</v>
      </c>
      <c r="K1200" s="3597"/>
      <c r="L1200" s="3597"/>
      <c r="M1200" s="4587"/>
      <c r="O1200" s="4586" t="s">
        <v>729</v>
      </c>
      <c r="P1200" s="3597"/>
      <c r="Q1200" s="3597"/>
      <c r="R1200" s="4587"/>
      <c r="T1200" s="4586" t="s">
        <v>729</v>
      </c>
      <c r="U1200" s="3597"/>
      <c r="V1200" s="3597"/>
      <c r="W1200" s="4587"/>
      <c r="Y1200" s="4586" t="s">
        <v>729</v>
      </c>
      <c r="Z1200" s="3597"/>
      <c r="AA1200" s="3597"/>
      <c r="AB1200" s="4587"/>
      <c r="AD1200" s="4586" t="s">
        <v>729</v>
      </c>
      <c r="AE1200" s="3597"/>
      <c r="AF1200" s="3597"/>
      <c r="AG1200" s="4587"/>
      <c r="AH1200" s="5742"/>
      <c r="AI1200" s="3487"/>
    </row>
    <row r="1201" ht="25.5" customHeight="1">
      <c r="A1201" s="3453"/>
      <c r="B1201" s="3572"/>
      <c r="C1201" s="1646"/>
      <c r="D1201" s="3574"/>
      <c r="E1201" s="3601"/>
      <c r="F1201" s="4588" t="str">
        <f t="array" ref="F1201">IFERROR(VLOOKUP(E1199,Dex!$B$3:$H1361,5,FALSE),"")</f>
        <v/>
      </c>
      <c r="G1201" s="4589" t="str">
        <f t="array" ref="G1201">IFERROR(VLOOKUP(E1199,Dex!$B$3:$H1361,7,FALSE),"")</f>
        <v/>
      </c>
      <c r="H1201" s="3604"/>
      <c r="J1201" s="3601"/>
      <c r="K1201" s="4588" t="str">
        <f t="array" ref="K1201">IFERROR(VLOOKUP(J1199,Dex!$B$3:$H1361,5,FALSE),"")</f>
        <v/>
      </c>
      <c r="L1201" s="4589" t="str">
        <f t="array" ref="L1201">IFERROR(VLOOKUP(J1199,Dex!$B$3:$H1361,7,FALSE),"")</f>
        <v/>
      </c>
      <c r="M1201" s="3604"/>
      <c r="O1201" s="3601"/>
      <c r="P1201" s="4588" t="str">
        <f t="array" ref="P1201">IFERROR(VLOOKUP(O1199,Dex!$B$3:$H1361,5,FALSE),"")</f>
        <v/>
      </c>
      <c r="Q1201" s="4589" t="str">
        <f t="array" ref="Q1201">IFERROR(VLOOKUP(O1199,Dex!$B$3:$H1361,7,FALSE),"")</f>
        <v/>
      </c>
      <c r="R1201" s="3604"/>
      <c r="T1201" s="3601"/>
      <c r="U1201" s="4588" t="str">
        <f t="array" ref="U1201">IFERROR(VLOOKUP(T1199,Dex!$B$3:$H1361,5,FALSE),"")</f>
        <v/>
      </c>
      <c r="V1201" s="4589" t="str">
        <f t="array" ref="V1201">IFERROR(VLOOKUP(T1199,Dex!$B$3:$H1361,7,FALSE),"")</f>
        <v/>
      </c>
      <c r="W1201" s="3604"/>
      <c r="Y1201" s="3601"/>
      <c r="Z1201" s="4588" t="str">
        <f t="array" ref="Z1201">IFERROR(VLOOKUP(Y1199,Dex!$B$3:$H1361,5,FALSE),"")</f>
        <v/>
      </c>
      <c r="AA1201" s="4589" t="str">
        <f t="array" ref="AA1201">IFERROR(VLOOKUP(Y1199,Dex!$B$3:$H1361,7,FALSE),"")</f>
        <v/>
      </c>
      <c r="AB1201" s="3604"/>
      <c r="AD1201" s="3601"/>
      <c r="AE1201" s="4588" t="str">
        <f t="array" ref="AE1201">IFERROR(VLOOKUP(AD1199,Dex!$B$3:$H1361,5,FALSE),"")</f>
        <v/>
      </c>
      <c r="AF1201" s="4589" t="str">
        <f t="array" ref="AF1201">IFERROR(VLOOKUP(AD1199,Dex!$B$3:$H1361,7,FALSE),"")</f>
        <v/>
      </c>
      <c r="AG1201" s="3604"/>
      <c r="AH1201" s="3583"/>
      <c r="AI1201" s="3466"/>
    </row>
    <row r="1202" ht="2.25" customHeight="1">
      <c r="A1202" s="3453"/>
      <c r="B1202" s="3572"/>
      <c r="C1202" s="3605"/>
      <c r="D1202" s="3574"/>
      <c r="E1202" s="3606"/>
      <c r="F1202" s="3607"/>
      <c r="G1202" s="3607"/>
      <c r="H1202" s="3608"/>
      <c r="J1202" s="3606"/>
      <c r="K1202" s="3607"/>
      <c r="L1202" s="3607"/>
      <c r="M1202" s="3608"/>
      <c r="O1202" s="3606"/>
      <c r="P1202" s="3607"/>
      <c r="Q1202" s="3607"/>
      <c r="R1202" s="3608"/>
      <c r="T1202" s="3606"/>
      <c r="U1202" s="3607"/>
      <c r="V1202" s="3607"/>
      <c r="W1202" s="3608"/>
      <c r="Y1202" s="3606"/>
      <c r="Z1202" s="3607"/>
      <c r="AA1202" s="3607"/>
      <c r="AB1202" s="3608"/>
      <c r="AD1202" s="3606"/>
      <c r="AE1202" s="3607"/>
      <c r="AF1202" s="3607"/>
      <c r="AG1202" s="3608"/>
      <c r="AH1202" s="3583"/>
      <c r="AI1202" s="3466"/>
    </row>
    <row r="1203" ht="20.25" customHeight="1">
      <c r="A1203" s="3453"/>
      <c r="B1203" s="3572"/>
      <c r="C1203" s="3605"/>
      <c r="D1203" s="3574"/>
      <c r="E1203" s="3610" t="s">
        <v>532</v>
      </c>
      <c r="F1203" s="3611"/>
      <c r="G1203" s="3611"/>
      <c r="H1203" s="3612"/>
      <c r="J1203" s="3610" t="s">
        <v>564</v>
      </c>
      <c r="K1203" s="3611"/>
      <c r="L1203" s="3611"/>
      <c r="M1203" s="3612"/>
      <c r="O1203" s="3610" t="s">
        <v>532</v>
      </c>
      <c r="P1203" s="3611"/>
      <c r="Q1203" s="3611"/>
      <c r="R1203" s="3612"/>
      <c r="T1203" s="3610" t="s">
        <v>564</v>
      </c>
      <c r="U1203" s="3611"/>
      <c r="V1203" s="3611"/>
      <c r="W1203" s="3612"/>
      <c r="Y1203" s="3610" t="s">
        <v>532</v>
      </c>
      <c r="Z1203" s="3611"/>
      <c r="AA1203" s="3611"/>
      <c r="AB1203" s="3612"/>
      <c r="AD1203" s="3610" t="s">
        <v>531</v>
      </c>
      <c r="AE1203" s="3611"/>
      <c r="AF1203" s="3611"/>
      <c r="AG1203" s="3612"/>
      <c r="AH1203" s="5740"/>
      <c r="AI1203" s="3466"/>
    </row>
    <row r="1204">
      <c r="A1204" s="3453"/>
      <c r="B1204" s="3572"/>
      <c r="C1204" s="3613"/>
      <c r="D1204" s="3574"/>
      <c r="E1204" s="3614" t="s">
        <v>115</v>
      </c>
      <c r="F1204" s="3579"/>
      <c r="G1204" s="3579"/>
      <c r="H1204" s="3615"/>
      <c r="J1204" s="3614" t="s">
        <v>534</v>
      </c>
      <c r="K1204" s="3579"/>
      <c r="L1204" s="3579"/>
      <c r="M1204" s="3615"/>
      <c r="O1204" s="3614" t="s">
        <v>484</v>
      </c>
      <c r="P1204" s="3579"/>
      <c r="Q1204" s="3579"/>
      <c r="R1204" s="3615"/>
      <c r="T1204" s="3614" t="s">
        <v>1172</v>
      </c>
      <c r="U1204" s="3579"/>
      <c r="V1204" s="3579"/>
      <c r="W1204" s="3615"/>
      <c r="Y1204" s="3614" t="s">
        <v>1742</v>
      </c>
      <c r="Z1204" s="3579"/>
      <c r="AA1204" s="3579"/>
      <c r="AB1204" s="3615"/>
      <c r="AD1204" s="3614" t="s">
        <v>75</v>
      </c>
      <c r="AE1204" s="3579"/>
      <c r="AF1204" s="3579"/>
      <c r="AG1204" s="3615"/>
      <c r="AH1204" s="5740"/>
      <c r="AI1204" s="3466"/>
    </row>
    <row r="1205" ht="20.25" customHeight="1">
      <c r="A1205" s="3453"/>
      <c r="B1205" s="3572"/>
      <c r="C1205" s="3592"/>
      <c r="D1205" s="3574"/>
      <c r="E1205" s="3616" t="s">
        <v>537</v>
      </c>
      <c r="F1205" s="3617"/>
      <c r="G1205" s="3618"/>
      <c r="H1205" s="3619" t="str">
        <f>IMAGE("https://raw.githubusercontent.com/msikma/pokesprite/master/items/berry/sitrus.png",3)</f>
        <v/>
      </c>
      <c r="J1205" s="3616" t="s">
        <v>1743</v>
      </c>
      <c r="K1205" s="3617"/>
      <c r="L1205" s="3618"/>
      <c r="M1205" s="3619" t="str">
        <f>IMAGE("https://raw.githubusercontent.com/msikma/pokesprite/master/items/z-crystals/waterium-z--held.png",3)</f>
        <v/>
      </c>
      <c r="O1205" s="3616" t="s">
        <v>541</v>
      </c>
      <c r="P1205" s="3617"/>
      <c r="Q1205" s="3618"/>
      <c r="R1205" s="3619" t="str">
        <f>IMAGE("https://raw.githubusercontent.com/msikma/pokesprite/master/items/hold-item/life-orb.png",3)</f>
        <v/>
      </c>
      <c r="T1205" s="3616" t="s">
        <v>537</v>
      </c>
      <c r="U1205" s="3617"/>
      <c r="V1205" s="3618"/>
      <c r="W1205" s="3619" t="str">
        <f>IMAGE("https://raw.githubusercontent.com/msikma/pokesprite/master/items/berry/sitrus.png",3)</f>
        <v/>
      </c>
      <c r="Y1205" s="3616" t="s">
        <v>1608</v>
      </c>
      <c r="Z1205" s="3617"/>
      <c r="AA1205" s="3618"/>
      <c r="AB1205" s="3619" t="str">
        <f>IMAGE("https://raw.githubusercontent.com/msikma/pokesprite/master/items/mega-stone/blastoisinite.png",3)</f>
        <v/>
      </c>
      <c r="AD1205" s="3616" t="s">
        <v>733</v>
      </c>
      <c r="AE1205" s="3617"/>
      <c r="AF1205" s="3618"/>
      <c r="AG1205" s="3619" t="str">
        <f>IMAGE("https://raw.githubusercontent.com/msikma/pokesprite/master/items/hold-item/leftovers.png",3)</f>
        <v/>
      </c>
      <c r="AH1205" s="3583"/>
      <c r="AI1205" s="3466"/>
    </row>
    <row r="1206" ht="20.25" customHeight="1">
      <c r="A1206" s="3453"/>
      <c r="B1206" s="3572"/>
      <c r="C1206" s="3620"/>
      <c r="D1206" s="3574"/>
      <c r="E1206" s="3610" t="s">
        <v>197</v>
      </c>
      <c r="F1206" s="3611"/>
      <c r="G1206" s="3621"/>
      <c r="H1206" s="3622" t="str">
        <f>IMAGE("https://raw.githubusercontent.com/msikma/pokesprite/master/misc/types/gen8/normal.png",4,20,20)</f>
        <v/>
      </c>
      <c r="J1206" s="3610" t="s">
        <v>648</v>
      </c>
      <c r="K1206" s="3611"/>
      <c r="L1206" s="3621"/>
      <c r="M1206" s="3622" t="str">
        <f>IMAGE("https://raw.githubusercontent.com/msikma/pokesprite/master/misc/types/gen8/water.png",4,20,20)</f>
        <v/>
      </c>
      <c r="O1206" s="3610" t="s">
        <v>219</v>
      </c>
      <c r="P1206" s="3611"/>
      <c r="Q1206" s="3621"/>
      <c r="R1206" s="3622" t="str">
        <f>IMAGE("https://raw.githubusercontent.com/msikma/pokesprite/master/misc/types/gen8/dragon.png",4,20,20)</f>
        <v/>
      </c>
      <c r="T1206" s="3610" t="s">
        <v>259</v>
      </c>
      <c r="U1206" s="3611"/>
      <c r="V1206" s="3621"/>
      <c r="W1206" s="3622" t="str">
        <f>IMAGE("https://raw.githubusercontent.com/msikma/pokesprite/master/misc/types/gen8/dark.png",4,20,20)</f>
        <v/>
      </c>
      <c r="Y1206" s="3610" t="s">
        <v>1610</v>
      </c>
      <c r="Z1206" s="3611"/>
      <c r="AA1206" s="3621"/>
      <c r="AB1206" s="3622" t="str">
        <f>IMAGE("https://raw.githubusercontent.com/msikma/pokesprite/master/misc/types/gen8/water.png",4,20,20)</f>
        <v/>
      </c>
      <c r="AD1206" s="3610" t="s">
        <v>170</v>
      </c>
      <c r="AE1206" s="3611"/>
      <c r="AF1206" s="3621"/>
      <c r="AG1206" s="3622" t="str">
        <f>IMAGE("https://raw.githubusercontent.com/msikma/pokesprite/master/misc/types/gen8/psychic.png",4,20,20)</f>
        <v/>
      </c>
      <c r="AH1206" s="3583"/>
      <c r="AI1206" s="3466"/>
    </row>
    <row r="1207" ht="20.25" customHeight="1">
      <c r="A1207" s="3453"/>
      <c r="B1207" s="3572"/>
      <c r="C1207" s="3605"/>
      <c r="D1207" s="3574"/>
      <c r="E1207" s="3614" t="s">
        <v>579</v>
      </c>
      <c r="F1207" s="3579"/>
      <c r="G1207" s="3580"/>
      <c r="H1207" s="3623" t="str">
        <f>IMAGE("https://raw.githubusercontent.com/msikma/pokesprite/master/misc/types/gen8/dark.png",4,20,20)</f>
        <v/>
      </c>
      <c r="J1207" s="3614" t="s">
        <v>619</v>
      </c>
      <c r="K1207" s="3579"/>
      <c r="L1207" s="3580"/>
      <c r="M1207" s="3623" t="str">
        <f>IMAGE("https://raw.githubusercontent.com/msikma/pokesprite/master/misc/types/gen8/fire.png",4,20,20)</f>
        <v/>
      </c>
      <c r="O1207" s="3614" t="s">
        <v>549</v>
      </c>
      <c r="P1207" s="3579"/>
      <c r="Q1207" s="3580"/>
      <c r="R1207" s="3623" t="str">
        <f>IMAGE("https://raw.githubusercontent.com/msikma/pokesprite/master/misc/types/gen8/ground.png",4,20,20)</f>
        <v/>
      </c>
      <c r="T1207" s="3614" t="s">
        <v>546</v>
      </c>
      <c r="U1207" s="3579"/>
      <c r="V1207" s="3580"/>
      <c r="W1207" s="3623" t="str">
        <f>IMAGE("https://raw.githubusercontent.com/msikma/pokesprite/master/misc/types/gen8/flying.png",4,20,20)</f>
        <v/>
      </c>
      <c r="Y1207" s="3614" t="s">
        <v>583</v>
      </c>
      <c r="Z1207" s="3579"/>
      <c r="AA1207" s="3580"/>
      <c r="AB1207" s="3623" t="str">
        <f>IMAGE("https://raw.githubusercontent.com/msikma/pokesprite/master/misc/types/gen8/fighting.png",4,20,20)</f>
        <v/>
      </c>
      <c r="AD1207" s="3614" t="s">
        <v>786</v>
      </c>
      <c r="AE1207" s="3579"/>
      <c r="AF1207" s="3580"/>
      <c r="AG1207" s="3623" t="str">
        <f>IMAGE("https://raw.githubusercontent.com/msikma/pokesprite/master/misc/types/gen8/fairy.png",4,20,20)</f>
        <v/>
      </c>
      <c r="AH1207" s="3583"/>
      <c r="AI1207" s="3466"/>
    </row>
    <row r="1208" ht="20.25" customHeight="1">
      <c r="A1208" s="3453"/>
      <c r="B1208" s="3572"/>
      <c r="C1208" s="3605"/>
      <c r="D1208" s="3574"/>
      <c r="E1208" s="3614" t="s">
        <v>1040</v>
      </c>
      <c r="F1208" s="3579"/>
      <c r="G1208" s="3580"/>
      <c r="H1208" s="3623" t="str">
        <f>IMAGE("https://raw.githubusercontent.com/msikma/pokesprite/master/misc/types/gen8/normal.png",4,20,20)</f>
        <v/>
      </c>
      <c r="J1208" s="3614" t="s">
        <v>614</v>
      </c>
      <c r="K1208" s="3579"/>
      <c r="L1208" s="3580"/>
      <c r="M1208" s="3623" t="str">
        <f>IMAGE("https://raw.githubusercontent.com/msikma/pokesprite/master/misc/types/gen8/poison.png",4,20,20)</f>
        <v/>
      </c>
      <c r="O1208" s="3614" t="s">
        <v>696</v>
      </c>
      <c r="P1208" s="3579"/>
      <c r="Q1208" s="3580"/>
      <c r="R1208" s="3623" t="str">
        <f>IMAGE("https://raw.githubusercontent.com/msikma/pokesprite/master/misc/types/gen8/dragon.png",4,20,20)</f>
        <v/>
      </c>
      <c r="T1208" s="3614" t="s">
        <v>1243</v>
      </c>
      <c r="U1208" s="3579"/>
      <c r="V1208" s="3580"/>
      <c r="W1208" s="3623" t="str">
        <f>IMAGE("https://raw.githubusercontent.com/msikma/pokesprite/master/misc/types/gen8/fire.png",4,20,20)</f>
        <v/>
      </c>
      <c r="Y1208" s="3614" t="s">
        <v>645</v>
      </c>
      <c r="Z1208" s="3579"/>
      <c r="AA1208" s="3580"/>
      <c r="AB1208" s="3623" t="str">
        <f>IMAGE("https://raw.githubusercontent.com/msikma/pokesprite/master/misc/types/gen8/ice.png",4,20,20)</f>
        <v/>
      </c>
      <c r="AD1208" s="3614" t="s">
        <v>552</v>
      </c>
      <c r="AE1208" s="3579"/>
      <c r="AF1208" s="3580"/>
      <c r="AG1208" s="3623" t="str">
        <f>IMAGE("https://raw.githubusercontent.com/msikma/pokesprite/master/misc/types/gen8/psychic.png",4,20,20)</f>
        <v/>
      </c>
      <c r="AH1208" s="3583"/>
      <c r="AI1208" s="3466"/>
    </row>
    <row r="1209" ht="21.0" customHeight="1">
      <c r="A1209" s="3453"/>
      <c r="B1209" s="3572"/>
      <c r="C1209" s="3605"/>
      <c r="D1209" s="3574"/>
      <c r="E1209" s="3624" t="s">
        <v>696</v>
      </c>
      <c r="F1209" s="3625"/>
      <c r="G1209" s="3626"/>
      <c r="H1209" s="3627" t="str">
        <f>IMAGE("https://raw.githubusercontent.com/msikma/pokesprite/master/misc/types/gen8/dragon.png",4,20,20)</f>
        <v/>
      </c>
      <c r="I1209" s="3628"/>
      <c r="J1209" s="3624" t="s">
        <v>644</v>
      </c>
      <c r="K1209" s="3625"/>
      <c r="L1209" s="3626"/>
      <c r="M1209" s="3627" t="str">
        <f>IMAGE("https://raw.githubusercontent.com/msikma/pokesprite/master/misc/types/gen8/ground.png",4,20,20)</f>
        <v/>
      </c>
      <c r="N1209" s="3628"/>
      <c r="O1209" s="3624" t="s">
        <v>1020</v>
      </c>
      <c r="P1209" s="3625"/>
      <c r="Q1209" s="3626"/>
      <c r="R1209" s="3627" t="str">
        <f>IMAGE("https://raw.githubusercontent.com/msikma/pokesprite/master/misc/types/gen8/fire.png",4,20,20)</f>
        <v/>
      </c>
      <c r="S1209" s="3628"/>
      <c r="T1209" s="3624" t="s">
        <v>543</v>
      </c>
      <c r="U1209" s="3625"/>
      <c r="V1209" s="3626"/>
      <c r="W1209" s="3627" t="str">
        <f>IMAGE("https://raw.githubusercontent.com/msikma/pokesprite/master/misc/types/gen8/grass.png",4,20,20)</f>
        <v/>
      </c>
      <c r="X1209" s="3628"/>
      <c r="Y1209" s="3624" t="s">
        <v>974</v>
      </c>
      <c r="Z1209" s="3625"/>
      <c r="AA1209" s="3626"/>
      <c r="AB1209" s="3627" t="str">
        <f>IMAGE("https://raw.githubusercontent.com/msikma/pokesprite/master/misc/types/gen8/water.png",4,20,20)</f>
        <v/>
      </c>
      <c r="AC1209" s="3628"/>
      <c r="AD1209" s="3624" t="s">
        <v>862</v>
      </c>
      <c r="AE1209" s="3625"/>
      <c r="AF1209" s="3626"/>
      <c r="AG1209" s="3627" t="str">
        <f>IMAGE("https://raw.githubusercontent.com/msikma/pokesprite/master/misc/types/gen8/fire.png",4,20,20)</f>
        <v/>
      </c>
      <c r="AH1209" s="3583"/>
      <c r="AI1209" s="3466"/>
    </row>
    <row r="1210" ht="3.0" customHeight="1">
      <c r="A1210" s="3524"/>
      <c r="B1210" s="3630"/>
      <c r="C1210" s="3631"/>
      <c r="D1210" s="3632"/>
      <c r="E1210" s="3634"/>
      <c r="F1210" s="3634"/>
      <c r="G1210" s="3634"/>
      <c r="H1210" s="3633"/>
      <c r="I1210" s="3632"/>
      <c r="J1210" s="3634"/>
      <c r="K1210" s="3634"/>
      <c r="L1210" s="3634"/>
      <c r="M1210" s="3633"/>
      <c r="N1210" s="3632"/>
      <c r="O1210" s="3634"/>
      <c r="P1210" s="3634"/>
      <c r="Q1210" s="3634"/>
      <c r="R1210" s="3633"/>
      <c r="S1210" s="3635"/>
      <c r="T1210" s="3634"/>
      <c r="U1210" s="3634"/>
      <c r="V1210" s="3634"/>
      <c r="W1210" s="3633"/>
      <c r="X1210" s="3632"/>
      <c r="Y1210" s="3634"/>
      <c r="Z1210" s="3634"/>
      <c r="AA1210" s="3634"/>
      <c r="AB1210" s="3633"/>
      <c r="AC1210" s="3637"/>
      <c r="AD1210" s="3634"/>
      <c r="AE1210" s="3634"/>
      <c r="AF1210" s="3634"/>
      <c r="AG1210" s="3633"/>
      <c r="AH1210" s="3638"/>
      <c r="AI1210" s="3534"/>
    </row>
    <row r="1211" ht="16.5" customHeight="1">
      <c r="A1211" s="3535"/>
      <c r="B1211" s="3639"/>
      <c r="C1211" s="3631"/>
      <c r="D1211" s="4590"/>
      <c r="E1211" s="3641" t="s">
        <v>512</v>
      </c>
      <c r="F1211" s="606"/>
      <c r="G1211" s="606"/>
      <c r="H1211" s="607"/>
      <c r="I1211" s="3642"/>
      <c r="J1211" s="3641" t="s">
        <v>512</v>
      </c>
      <c r="K1211" s="606"/>
      <c r="L1211" s="606"/>
      <c r="M1211" s="607"/>
      <c r="N1211" s="4590"/>
      <c r="O1211" s="3641" t="s">
        <v>512</v>
      </c>
      <c r="P1211" s="606"/>
      <c r="Q1211" s="606"/>
      <c r="R1211" s="607"/>
      <c r="S1211" s="4591"/>
      <c r="T1211" s="3641" t="s">
        <v>512</v>
      </c>
      <c r="U1211" s="606"/>
      <c r="V1211" s="606"/>
      <c r="W1211" s="607"/>
      <c r="X1211" s="4592"/>
      <c r="Y1211" s="3641" t="s">
        <v>512</v>
      </c>
      <c r="Z1211" s="606"/>
      <c r="AA1211" s="606"/>
      <c r="AB1211" s="607"/>
      <c r="AC1211" s="4592"/>
      <c r="AD1211" s="3641" t="s">
        <v>512</v>
      </c>
      <c r="AE1211" s="606"/>
      <c r="AF1211" s="606"/>
      <c r="AG1211" s="607"/>
      <c r="AH1211" s="3645"/>
      <c r="AI1211" s="3543"/>
    </row>
    <row r="1212" ht="16.5" customHeight="1">
      <c r="A1212" s="3535"/>
      <c r="B1212" s="3639"/>
      <c r="C1212" s="3631"/>
      <c r="D1212" s="3640"/>
      <c r="E1212" s="3646" t="s">
        <v>513</v>
      </c>
      <c r="F1212" s="3647">
        <f t="array" ref="F1212">IFERROR(VLOOKUP(E1199,Dex!$B$3:$N1361,8,FALSE),"")</f>
        <v>70</v>
      </c>
      <c r="G1212" s="3648" t="str">
        <f t="array" ref="G1212">IFERROR(VLOOKUP(F1212,Dex!$P$22:$Q$276,2,FALSE),"")</f>
        <v/>
      </c>
      <c r="H1212" s="3649"/>
      <c r="I1212" s="3650"/>
      <c r="J1212" s="3646" t="s">
        <v>513</v>
      </c>
      <c r="K1212" s="3647">
        <f t="array" ref="K1212">IFERROR(VLOOKUP(J1199,Dex!$B$3:$N1361,8,FALSE),"")</f>
        <v>80</v>
      </c>
      <c r="L1212" s="3648" t="str">
        <f t="array" ref="L1212">IFERROR(VLOOKUP(K1212,Dex!$P$22:$Q$276,2,FALSE),"")</f>
        <v/>
      </c>
      <c r="M1212" s="3649"/>
      <c r="N1212" s="3640"/>
      <c r="O1212" s="3646" t="s">
        <v>513</v>
      </c>
      <c r="P1212" s="3647">
        <f t="array" ref="P1212">IFERROR(VLOOKUP(O1199,Dex!$B$3:$N1361,8,FALSE),"")</f>
        <v>100</v>
      </c>
      <c r="Q1212" s="3648" t="str">
        <f t="array" ref="Q1212">IFERROR(VLOOKUP(P1212,Dex!$P$22:$Q$276,2,FALSE),"")</f>
        <v/>
      </c>
      <c r="R1212" s="3649"/>
      <c r="S1212" s="3644"/>
      <c r="T1212" s="3646" t="s">
        <v>513</v>
      </c>
      <c r="U1212" s="3647">
        <f t="array" ref="U1212">IFERROR(VLOOKUP(T1199,Dex!$B$3:$N1361,8,FALSE),"")</f>
        <v>85</v>
      </c>
      <c r="V1212" s="3648" t="str">
        <f t="array" ref="V1212">IFERROR(VLOOKUP(U1212,Dex!$P$22:$Q$276,2,FALSE),"")</f>
        <v/>
      </c>
      <c r="W1212" s="3649"/>
      <c r="X1212" s="3644"/>
      <c r="Y1212" s="3646" t="s">
        <v>513</v>
      </c>
      <c r="Z1212" s="3647">
        <f t="array" ref="Z1212">IFERROR(VLOOKUP(Y1199,Dex!$B$3:$N1361,8,FALSE),"")</f>
        <v>55</v>
      </c>
      <c r="AA1212" s="3648" t="str">
        <f t="array" ref="AA1212">IFERROR(VLOOKUP(Z1212,Dex!$P$22:$Q$276,2,FALSE),"")</f>
        <v/>
      </c>
      <c r="AB1212" s="3649"/>
      <c r="AC1212" s="3644"/>
      <c r="AD1212" s="3646" t="s">
        <v>513</v>
      </c>
      <c r="AE1212" s="3647">
        <f t="array" ref="AE1212">IFERROR(VLOOKUP(AD1199,Dex!$B$3:$N1361,8,FALSE),"")</f>
        <v>57</v>
      </c>
      <c r="AF1212" s="3648" t="str">
        <f t="array" ref="AF1212">IFERROR(VLOOKUP(AE1212,Dex!$P$22:$Q$276,2,FALSE),"")</f>
        <v/>
      </c>
      <c r="AG1212" s="3649"/>
      <c r="AH1212" s="3645"/>
      <c r="AI1212" s="3543"/>
    </row>
    <row r="1213" ht="16.5" customHeight="1">
      <c r="A1213" s="3535"/>
      <c r="B1213" s="3639"/>
      <c r="C1213" s="3631"/>
      <c r="D1213" s="3640"/>
      <c r="E1213" s="3652" t="s">
        <v>514</v>
      </c>
      <c r="F1213" s="3653">
        <f t="array" ref="F1213">IFERROR(VLOOKUP(E1199,Dex!$B$3:$N1361,9,FALSE),"")</f>
        <v>95</v>
      </c>
      <c r="G1213" s="3654" t="str">
        <f t="array" ref="G1213">IFERROR(VLOOKUP(F1213,Dex!$P$22:$Q$276,2,FALSE),"")</f>
        <v/>
      </c>
      <c r="H1213" s="3655"/>
      <c r="I1213" s="3650"/>
      <c r="J1213" s="3652" t="s">
        <v>514</v>
      </c>
      <c r="K1213" s="3653">
        <f t="array" ref="K1213">IFERROR(VLOOKUP(J1199,Dex!$B$3:$N1361,9,FALSE),"")</f>
        <v>110</v>
      </c>
      <c r="L1213" s="3654" t="str">
        <f t="array" ref="L1213">IFERROR(VLOOKUP(K1213,Dex!$P$22:$Q$276,2,FALSE),"")</f>
        <v/>
      </c>
      <c r="M1213" s="3655"/>
      <c r="N1213" s="3640"/>
      <c r="O1213" s="3652" t="s">
        <v>514</v>
      </c>
      <c r="P1213" s="3653">
        <f t="array" ref="P1213">IFERROR(VLOOKUP(O1199,Dex!$B$3:$N1361,9,FALSE),"")</f>
        <v>100</v>
      </c>
      <c r="Q1213" s="3654" t="str">
        <f t="array" ref="Q1213">IFERROR(VLOOKUP(P1213,Dex!$P$22:$Q$276,2,FALSE),"")</f>
        <v/>
      </c>
      <c r="R1213" s="3655"/>
      <c r="S1213" s="3644"/>
      <c r="T1213" s="3652" t="s">
        <v>514</v>
      </c>
      <c r="U1213" s="3653">
        <f t="array" ref="U1213">IFERROR(VLOOKUP(T1199,Dex!$B$3:$N1361,9,FALSE),"")</f>
        <v>90</v>
      </c>
      <c r="V1213" s="3654" t="str">
        <f t="array" ref="V1213">IFERROR(VLOOKUP(U1213,Dex!$P$22:$Q$276,2,FALSE),"")</f>
        <v/>
      </c>
      <c r="W1213" s="3655"/>
      <c r="X1213" s="3644"/>
      <c r="Y1213" s="3652" t="s">
        <v>514</v>
      </c>
      <c r="Z1213" s="3653">
        <f t="array" ref="Z1213">IFERROR(VLOOKUP(Y1199,Dex!$B$3:$N1361,9,FALSE),"")</f>
        <v>150</v>
      </c>
      <c r="AA1213" s="3654" t="str">
        <f t="array" ref="AA1213">IFERROR(VLOOKUP(Z1213,Dex!$P$22:$Q$276,2,FALSE),"")</f>
        <v/>
      </c>
      <c r="AB1213" s="3655"/>
      <c r="AC1213" s="3644"/>
      <c r="AD1213" s="3652" t="s">
        <v>514</v>
      </c>
      <c r="AE1213" s="3653">
        <f t="array" ref="AE1213">IFERROR(VLOOKUP(AD1199,Dex!$B$3:$N1361,9,FALSE),"")</f>
        <v>90</v>
      </c>
      <c r="AF1213" s="3654" t="str">
        <f t="array" ref="AF1213">IFERROR(VLOOKUP(AE1213,Dex!$P$22:$Q$276,2,FALSE),"")</f>
        <v/>
      </c>
      <c r="AG1213" s="3655"/>
      <c r="AH1213" s="3645"/>
      <c r="AI1213" s="3543"/>
    </row>
    <row r="1214" ht="16.5" customHeight="1">
      <c r="A1214" s="3535"/>
      <c r="B1214" s="3639"/>
      <c r="C1214" s="3631"/>
      <c r="D1214" s="3640"/>
      <c r="E1214" s="3652" t="s">
        <v>515</v>
      </c>
      <c r="F1214" s="3653">
        <f t="array" ref="F1214">IFERROR(VLOOKUP(E1199,Dex!$B$3:$N1361,10,FALSE),"")</f>
        <v>65</v>
      </c>
      <c r="G1214" s="3654" t="str">
        <f t="array" ref="G1214">IFERROR(VLOOKUP(F1214,Dex!$P$22:$Q$276,2,FALSE),"")</f>
        <v/>
      </c>
      <c r="H1214" s="3655"/>
      <c r="I1214" s="3650"/>
      <c r="J1214" s="3652" t="s">
        <v>515</v>
      </c>
      <c r="K1214" s="3653">
        <f t="array" ref="K1214">IFERROR(VLOOKUP(J1199,Dex!$B$3:$N1361,10,FALSE),"")</f>
        <v>120</v>
      </c>
      <c r="L1214" s="3654" t="str">
        <f t="array" ref="L1214">IFERROR(VLOOKUP(K1214,Dex!$P$22:$Q$276,2,FALSE),"")</f>
        <v/>
      </c>
      <c r="M1214" s="3655"/>
      <c r="N1214" s="3640"/>
      <c r="O1214" s="3652" t="s">
        <v>515</v>
      </c>
      <c r="P1214" s="3653">
        <f t="array" ref="P1214">IFERROR(VLOOKUP(O1199,Dex!$B$3:$N1361,10,FALSE),"")</f>
        <v>80</v>
      </c>
      <c r="Q1214" s="3654" t="str">
        <f t="array" ref="Q1214">IFERROR(VLOOKUP(P1214,Dex!$P$22:$Q$276,2,FALSE),"")</f>
        <v/>
      </c>
      <c r="R1214" s="3655"/>
      <c r="S1214" s="3644"/>
      <c r="T1214" s="3652" t="s">
        <v>515</v>
      </c>
      <c r="U1214" s="3653">
        <f t="array" ref="U1214">IFERROR(VLOOKUP(T1199,Dex!$B$3:$N1361,10,FALSE),"")</f>
        <v>80</v>
      </c>
      <c r="V1214" s="3654" t="str">
        <f t="array" ref="V1214">IFERROR(VLOOKUP(U1214,Dex!$P$22:$Q$276,2,FALSE),"")</f>
        <v/>
      </c>
      <c r="W1214" s="3655"/>
      <c r="X1214" s="3644"/>
      <c r="Y1214" s="3652" t="s">
        <v>515</v>
      </c>
      <c r="Z1214" s="3653">
        <f t="array" ref="Z1214">IFERROR(VLOOKUP(Y1199,Dex!$B$3:$N1361,10,FALSE),"")</f>
        <v>125</v>
      </c>
      <c r="AA1214" s="3654" t="str">
        <f t="array" ref="AA1214">IFERROR(VLOOKUP(Z1214,Dex!$P$22:$Q$276,2,FALSE),"")</f>
        <v/>
      </c>
      <c r="AB1214" s="3655"/>
      <c r="AC1214" s="3644"/>
      <c r="AD1214" s="3652" t="s">
        <v>515</v>
      </c>
      <c r="AE1214" s="3653">
        <f t="array" ref="AE1214">IFERROR(VLOOKUP(AD1199,Dex!$B$3:$N1361,10,FALSE),"")</f>
        <v>95</v>
      </c>
      <c r="AF1214" s="3654" t="str">
        <f t="array" ref="AF1214">IFERROR(VLOOKUP(AE1214,Dex!$P$22:$Q$276,2,FALSE),"")</f>
        <v/>
      </c>
      <c r="AG1214" s="3655"/>
      <c r="AH1214" s="3645"/>
      <c r="AI1214" s="3543"/>
    </row>
    <row r="1215" ht="16.5" customHeight="1">
      <c r="A1215" s="3535"/>
      <c r="B1215" s="3639"/>
      <c r="C1215" s="3631"/>
      <c r="D1215" s="3640"/>
      <c r="E1215" s="3652" t="s">
        <v>516</v>
      </c>
      <c r="F1215" s="3653">
        <f t="array" ref="F1215">IFERROR(VLOOKUP(E1199,Dex!$B$3:$N1361,11,FALSE),"")</f>
        <v>85</v>
      </c>
      <c r="G1215" s="3654" t="str">
        <f t="array" ref="G1215">IFERROR(VLOOKUP(F1215,Dex!$P$22:$Q$276,2,FALSE),"")</f>
        <v/>
      </c>
      <c r="H1215" s="3655"/>
      <c r="I1215" s="3650"/>
      <c r="J1215" s="3652" t="s">
        <v>516</v>
      </c>
      <c r="K1215" s="3653">
        <f t="array" ref="K1215">IFERROR(VLOOKUP(J1199,Dex!$B$3:$N1361,11,FALSE),"")</f>
        <v>130</v>
      </c>
      <c r="L1215" s="3654" t="str">
        <f t="array" ref="L1215">IFERROR(VLOOKUP(K1215,Dex!$P$22:$Q$276,2,FALSE),"")</f>
        <v/>
      </c>
      <c r="M1215" s="3655"/>
      <c r="N1215" s="3640"/>
      <c r="O1215" s="3652" t="s">
        <v>516</v>
      </c>
      <c r="P1215" s="3653">
        <f t="array" ref="P1215">IFERROR(VLOOKUP(O1199,Dex!$B$3:$N1361,11,FALSE),"")</f>
        <v>100</v>
      </c>
      <c r="Q1215" s="3654" t="str">
        <f t="array" ref="Q1215">IFERROR(VLOOKUP(P1215,Dex!$P$22:$Q$276,2,FALSE),"")</f>
        <v/>
      </c>
      <c r="R1215" s="3655"/>
      <c r="S1215" s="3644"/>
      <c r="T1215" s="3652" t="s">
        <v>516</v>
      </c>
      <c r="U1215" s="3653">
        <f t="array" ref="U1215">IFERROR(VLOOKUP(T1199,Dex!$B$3:$N1361,11,FALSE),"")</f>
        <v>90</v>
      </c>
      <c r="V1215" s="3654" t="str">
        <f t="array" ref="V1215">IFERROR(VLOOKUP(U1215,Dex!$P$22:$Q$276,2,FALSE),"")</f>
        <v/>
      </c>
      <c r="W1215" s="3655"/>
      <c r="X1215" s="3644"/>
      <c r="Y1215" s="3652" t="s">
        <v>516</v>
      </c>
      <c r="Z1215" s="3653">
        <f t="array" ref="Z1215">IFERROR(VLOOKUP(Y1199,Dex!$B$3:$N1361,11,FALSE),"")</f>
        <v>50</v>
      </c>
      <c r="AA1215" s="3654" t="str">
        <f t="array" ref="AA1215">IFERROR(VLOOKUP(Z1215,Dex!$P$22:$Q$276,2,FALSE),"")</f>
        <v/>
      </c>
      <c r="AB1215" s="3655"/>
      <c r="AC1215" s="3644"/>
      <c r="AD1215" s="3652" t="s">
        <v>516</v>
      </c>
      <c r="AE1215" s="3653">
        <f t="array" ref="AE1215">IFERROR(VLOOKUP(AD1199,Dex!$B$3:$N1361,11,FALSE),"")</f>
        <v>136</v>
      </c>
      <c r="AF1215" s="3654" t="str">
        <f t="array" ref="AF1215">IFERROR(VLOOKUP(AE1215,Dex!$P$22:$Q$276,2,FALSE),"")</f>
        <v/>
      </c>
      <c r="AG1215" s="3655"/>
      <c r="AH1215" s="3645"/>
      <c r="AI1215" s="3543"/>
    </row>
    <row r="1216" ht="16.5" customHeight="1">
      <c r="A1216" s="3535"/>
      <c r="B1216" s="3639"/>
      <c r="C1216" s="3631"/>
      <c r="D1216" s="3640"/>
      <c r="E1216" s="3652" t="s">
        <v>517</v>
      </c>
      <c r="F1216" s="3653">
        <f t="array" ref="F1216">IFERROR(VLOOKUP(E1199,Dex!$B$3:$N1361,12,FALSE),"")</f>
        <v>65</v>
      </c>
      <c r="G1216" s="3654" t="str">
        <f t="array" ref="G1216">IFERROR(VLOOKUP(F1216,Dex!$P$22:$Q$276,2,FALSE),"")</f>
        <v/>
      </c>
      <c r="H1216" s="3655"/>
      <c r="I1216" s="3650"/>
      <c r="J1216" s="3652" t="s">
        <v>517</v>
      </c>
      <c r="K1216" s="3653">
        <f t="array" ref="K1216">IFERROR(VLOOKUP(J1199,Dex!$B$3:$N1361,12,FALSE),"")</f>
        <v>90</v>
      </c>
      <c r="L1216" s="3654" t="str">
        <f t="array" ref="L1216">IFERROR(VLOOKUP(K1216,Dex!$P$22:$Q$276,2,FALSE),"")</f>
        <v/>
      </c>
      <c r="M1216" s="3655"/>
      <c r="N1216" s="3640"/>
      <c r="O1216" s="3652" t="s">
        <v>517</v>
      </c>
      <c r="P1216" s="3653">
        <f t="array" ref="P1216">IFERROR(VLOOKUP(O1199,Dex!$B$3:$N1361,12,FALSE),"")</f>
        <v>80</v>
      </c>
      <c r="Q1216" s="3654" t="str">
        <f t="array" ref="Q1216">IFERROR(VLOOKUP(P1216,Dex!$P$22:$Q$276,2,FALSE),"")</f>
        <v/>
      </c>
      <c r="R1216" s="3655"/>
      <c r="S1216" s="3644"/>
      <c r="T1216" s="3652" t="s">
        <v>517</v>
      </c>
      <c r="U1216" s="3653">
        <f t="array" ref="U1216">IFERROR(VLOOKUP(T1199,Dex!$B$3:$N1361,12,FALSE),"")</f>
        <v>80</v>
      </c>
      <c r="V1216" s="3654" t="str">
        <f t="array" ref="V1216">IFERROR(VLOOKUP(U1216,Dex!$P$22:$Q$276,2,FALSE),"")</f>
        <v/>
      </c>
      <c r="W1216" s="3655"/>
      <c r="X1216" s="3644"/>
      <c r="Y1216" s="3652" t="s">
        <v>517</v>
      </c>
      <c r="Z1216" s="3653">
        <f t="array" ref="Z1216">IFERROR(VLOOKUP(Y1199,Dex!$B$3:$N1361,12,FALSE),"")</f>
        <v>70</v>
      </c>
      <c r="AA1216" s="3654" t="str">
        <f t="array" ref="AA1216">IFERROR(VLOOKUP(Z1216,Dex!$P$22:$Q$276,2,FALSE),"")</f>
        <v/>
      </c>
      <c r="AB1216" s="3655"/>
      <c r="AC1216" s="3644"/>
      <c r="AD1216" s="3652" t="s">
        <v>517</v>
      </c>
      <c r="AE1216" s="3653">
        <f t="array" ref="AE1216">IFERROR(VLOOKUP(AD1199,Dex!$B$3:$N1361,12,FALSE),"")</f>
        <v>103</v>
      </c>
      <c r="AF1216" s="3654" t="str">
        <f t="array" ref="AF1216">IFERROR(VLOOKUP(AE1216,Dex!$P$22:$Q$276,2,FALSE),"")</f>
        <v/>
      </c>
      <c r="AG1216" s="3655"/>
      <c r="AH1216" s="3645"/>
      <c r="AI1216" s="3543"/>
    </row>
    <row r="1217" ht="16.5" customHeight="1">
      <c r="A1217" s="3535"/>
      <c r="B1217" s="3639"/>
      <c r="C1217" s="1426" t="s">
        <v>745</v>
      </c>
      <c r="D1217" s="3640"/>
      <c r="E1217" s="3658" t="s">
        <v>518</v>
      </c>
      <c r="F1217" s="3659">
        <f t="array" ref="F1217">IFERROR(VLOOKUP(E1199,Dex!$B$3:$N1361,13,FALSE),"")</f>
        <v>121</v>
      </c>
      <c r="G1217" s="3660" t="str">
        <f t="array" ref="G1217">IFERROR(VLOOKUP(F1217,Dex!$P$22:$Q$276,2,FALSE),"")</f>
        <v/>
      </c>
      <c r="H1217" s="3661"/>
      <c r="I1217" s="3650"/>
      <c r="J1217" s="3658" t="s">
        <v>518</v>
      </c>
      <c r="K1217" s="3659">
        <f t="array" ref="K1217">IFERROR(VLOOKUP(J1199,Dex!$B$3:$N1361,13,FALSE),"")</f>
        <v>70</v>
      </c>
      <c r="L1217" s="3660" t="str">
        <f t="array" ref="L1217">IFERROR(VLOOKUP(K1217,Dex!$P$22:$Q$276,2,FALSE),"")</f>
        <v/>
      </c>
      <c r="M1217" s="3661"/>
      <c r="N1217" s="3640"/>
      <c r="O1217" s="3658" t="s">
        <v>518</v>
      </c>
      <c r="P1217" s="3659">
        <f t="array" ref="P1217">IFERROR(VLOOKUP(O1199,Dex!$B$3:$N1361,13,FALSE),"")</f>
        <v>100</v>
      </c>
      <c r="Q1217" s="3660" t="str">
        <f t="array" ref="Q1217">IFERROR(VLOOKUP(P1217,Dex!$P$22:$Q$276,2,FALSE),"")</f>
        <v/>
      </c>
      <c r="R1217" s="3661"/>
      <c r="S1217" s="3644"/>
      <c r="T1217" s="3658" t="s">
        <v>518</v>
      </c>
      <c r="U1217" s="3659">
        <f t="array" ref="U1217">IFERROR(VLOOKUP(T1199,Dex!$B$3:$N1361,13,FALSE),"")</f>
        <v>130</v>
      </c>
      <c r="V1217" s="3660" t="str">
        <f t="array" ref="V1217">IFERROR(VLOOKUP(U1217,Dex!$P$22:$Q$276,2,FALSE),"")</f>
        <v/>
      </c>
      <c r="W1217" s="3661"/>
      <c r="X1217" s="3644"/>
      <c r="Y1217" s="3658" t="s">
        <v>518</v>
      </c>
      <c r="Z1217" s="3659">
        <f t="array" ref="Z1217">IFERROR(VLOOKUP(Y1199,Dex!$B$3:$N1361,13,FALSE),"")</f>
        <v>110</v>
      </c>
      <c r="AA1217" s="3660" t="str">
        <f t="array" ref="AA1217">IFERROR(VLOOKUP(Z1217,Dex!$P$22:$Q$276,2,FALSE),"")</f>
        <v/>
      </c>
      <c r="AB1217" s="3661"/>
      <c r="AC1217" s="3644"/>
      <c r="AD1217" s="3658" t="s">
        <v>518</v>
      </c>
      <c r="AE1217" s="3659">
        <f t="array" ref="AE1217">IFERROR(VLOOKUP(AD1199,Dex!$B$3:$N1361,13,FALSE),"")</f>
        <v>29</v>
      </c>
      <c r="AF1217" s="3660" t="str">
        <f t="array" ref="AF1217">IFERROR(VLOOKUP(AE1217,Dex!$P$22:$Q$276,2,FALSE),"")</f>
        <v/>
      </c>
      <c r="AG1217" s="3661"/>
      <c r="AH1217" s="3645"/>
      <c r="AI1217" s="3543"/>
    </row>
    <row r="1218" ht="16.5" customHeight="1">
      <c r="A1218" s="3535"/>
      <c r="B1218" s="3639"/>
      <c r="C1218" s="1427" t="s">
        <v>1739</v>
      </c>
      <c r="D1218" s="4590"/>
      <c r="E1218" s="3662" t="s">
        <v>519</v>
      </c>
      <c r="F1218" s="630"/>
      <c r="G1218" s="631"/>
      <c r="H1218" s="632">
        <f>ROUNDDOWN((ROUNDDOWN(((((2*F1217+31)*85)/100+5)),0))*1.1,0)</f>
        <v>260</v>
      </c>
      <c r="I1218" s="3642"/>
      <c r="J1218" s="3662" t="s">
        <v>519</v>
      </c>
      <c r="K1218" s="630"/>
      <c r="L1218" s="631"/>
      <c r="M1218" s="632">
        <f>ROUNDDOWN((ROUNDDOWN(((((2*K1217+31)*85)/100+5)),0))*1.1,0)</f>
        <v>165</v>
      </c>
      <c r="N1218" s="4590"/>
      <c r="O1218" s="3662" t="s">
        <v>519</v>
      </c>
      <c r="P1218" s="630"/>
      <c r="Q1218" s="631"/>
      <c r="R1218" s="632">
        <f>ROUNDDOWN((ROUNDDOWN(((((2*P1217+31)*85)/100+5)),0))*1.1,0)</f>
        <v>221</v>
      </c>
      <c r="S1218" s="4592"/>
      <c r="T1218" s="3662" t="s">
        <v>519</v>
      </c>
      <c r="U1218" s="630"/>
      <c r="V1218" s="631"/>
      <c r="W1218" s="632">
        <f>ROUNDDOWN((ROUNDDOWN(((((2*U1217+31)*85)/100+5)),0))*1.1,0)</f>
        <v>277</v>
      </c>
      <c r="X1218" s="4592"/>
      <c r="Y1218" s="3662" t="s">
        <v>519</v>
      </c>
      <c r="Z1218" s="630"/>
      <c r="AA1218" s="631"/>
      <c r="AB1218" s="632">
        <f>ROUNDDOWN((ROUNDDOWN(((((2*Z1217+31)*85)/100+5)),0))*1.1,0)</f>
        <v>239</v>
      </c>
      <c r="AC1218" s="4592"/>
      <c r="AD1218" s="3662" t="s">
        <v>519</v>
      </c>
      <c r="AE1218" s="630"/>
      <c r="AF1218" s="631"/>
      <c r="AG1218" s="632">
        <f>ROUNDDOWN((ROUNDDOWN(((((2*AE1217+31)*85)/100+5)),0))*1,0)</f>
        <v>80</v>
      </c>
      <c r="AH1218" s="3645"/>
      <c r="AI1218" s="3543"/>
    </row>
    <row r="1219" ht="15.0" customHeight="1">
      <c r="A1219" s="3453"/>
      <c r="B1219" s="3663"/>
      <c r="C1219" s="3664"/>
      <c r="D1219" s="3665"/>
      <c r="E1219" s="3668"/>
      <c r="F1219" s="3668"/>
      <c r="G1219" s="3668"/>
      <c r="H1219" s="3667"/>
      <c r="I1219" s="3667"/>
      <c r="J1219" s="3668"/>
      <c r="K1219" s="3668"/>
      <c r="L1219" s="3668"/>
      <c r="M1219" s="3667"/>
      <c r="N1219" s="3669"/>
      <c r="O1219" s="5738"/>
      <c r="P1219" s="5738"/>
      <c r="Q1219" s="5739"/>
      <c r="R1219" s="3671"/>
      <c r="S1219" s="3671"/>
      <c r="T1219" s="5738"/>
      <c r="U1219" s="5738"/>
      <c r="V1219" s="5739"/>
      <c r="W1219" s="3671"/>
      <c r="X1219" s="3669"/>
      <c r="Y1219" s="4601"/>
      <c r="Z1219" s="4601"/>
      <c r="AA1219" s="4601"/>
      <c r="AB1219" s="3672"/>
      <c r="AC1219" s="3672"/>
      <c r="AD1219" s="4601"/>
      <c r="AE1219" s="4601"/>
      <c r="AF1219" s="4601"/>
      <c r="AG1219" s="3672"/>
      <c r="AH1219" s="3673"/>
      <c r="AI1219" s="3466"/>
    </row>
    <row r="1220" ht="15.0" customHeight="1">
      <c r="A1220" s="3446"/>
      <c r="B1220" s="3567"/>
      <c r="C1220" s="3568"/>
      <c r="D1220" s="3569"/>
      <c r="E1220" s="3570"/>
      <c r="F1220" s="3570"/>
      <c r="G1220" s="3570"/>
      <c r="H1220" s="3570"/>
      <c r="I1220" s="3569"/>
      <c r="J1220" s="3570"/>
      <c r="K1220" s="3570"/>
      <c r="L1220" s="3570"/>
      <c r="M1220" s="3570"/>
      <c r="N1220" s="3569"/>
      <c r="O1220" s="3570"/>
      <c r="P1220" s="3570"/>
      <c r="Q1220" s="3570"/>
      <c r="R1220" s="3570"/>
      <c r="S1220" s="3569"/>
      <c r="T1220" s="3570"/>
      <c r="U1220" s="3570"/>
      <c r="V1220" s="3570"/>
      <c r="W1220" s="3570"/>
      <c r="X1220" s="3569"/>
      <c r="Y1220" s="3570"/>
      <c r="Z1220" s="3570"/>
      <c r="AA1220" s="3570"/>
      <c r="AB1220" s="3570"/>
      <c r="AC1220" s="3569"/>
      <c r="AD1220" s="3570"/>
      <c r="AE1220" s="3570"/>
      <c r="AF1220" s="3570"/>
      <c r="AG1220" s="3570"/>
      <c r="AH1220" s="3571"/>
      <c r="AI1220" s="3452"/>
    </row>
    <row r="1221" ht="96.75" customHeight="1">
      <c r="A1221" s="3453"/>
      <c r="B1221" s="3572"/>
      <c r="C1221" s="3573" t="str">
        <f>IMAGE("https://i.ibb.co/TKBZjnF/Ace-Trainer-M.png")</f>
        <v/>
      </c>
      <c r="D1221" s="3574"/>
      <c r="E1221" s="3575" t="str">
        <f t="array" ref="E1221">IFERROR(VLOOKUP(E1222,Dex!$B$3:$G1361,3,FALSE),"")</f>
        <v/>
      </c>
      <c r="F1221" s="606"/>
      <c r="G1221" s="606"/>
      <c r="H1221" s="607"/>
      <c r="I1221" s="3576"/>
      <c r="J1221" s="3575" t="str">
        <f t="array" ref="J1221">IFERROR(VLOOKUP(J1222,Dex!$B$3:$G1361,3,FALSE),"")</f>
        <v/>
      </c>
      <c r="K1221" s="606"/>
      <c r="L1221" s="606"/>
      <c r="M1221" s="607"/>
      <c r="N1221" s="4583"/>
      <c r="O1221" s="3575" t="str">
        <f t="array" ref="O1221">IFERROR(VLOOKUP(O1222,Dex!$B$3:$G1361,3,FALSE),"")</f>
        <v/>
      </c>
      <c r="P1221" s="606"/>
      <c r="Q1221" s="606"/>
      <c r="R1221" s="607"/>
      <c r="S1221" s="4584"/>
      <c r="T1221" s="3575" t="str">
        <f t="array" ref="T1221">IFERROR(VLOOKUP(T1222,Dex!$B$3:$G1361,3,FALSE),"")</f>
        <v/>
      </c>
      <c r="U1221" s="606"/>
      <c r="V1221" s="606"/>
      <c r="W1221" s="607"/>
      <c r="X1221" s="4583"/>
      <c r="Y1221" s="3575" t="str">
        <f t="array" ref="Y1221">IFERROR(VLOOKUP(Y1222,Dex!$B$3:$G1361,3,FALSE),"")</f>
        <v/>
      </c>
      <c r="Z1221" s="606"/>
      <c r="AA1221" s="606"/>
      <c r="AB1221" s="607"/>
      <c r="AC1221" s="4584"/>
      <c r="AD1221" s="3575" t="str">
        <f t="array" ref="AD1221">IFERROR(VLOOKUP(AD1222,Dex!$B$3:$G1361,3,FALSE),"")</f>
        <v/>
      </c>
      <c r="AE1221" s="606"/>
      <c r="AF1221" s="606"/>
      <c r="AG1221" s="607"/>
      <c r="AH1221" s="5740"/>
      <c r="AI1221" s="3466"/>
    </row>
    <row r="1222" ht="18.75" customHeight="1">
      <c r="A1222" s="3467"/>
      <c r="B1222" s="3584"/>
      <c r="C1222" s="3585" t="s">
        <v>1744</v>
      </c>
      <c r="D1222" s="3586"/>
      <c r="E1222" s="3587" t="s">
        <v>1745</v>
      </c>
      <c r="F1222" s="3588"/>
      <c r="G1222" s="3588"/>
      <c r="H1222" s="3589"/>
      <c r="J1222" s="3587" t="s">
        <v>527</v>
      </c>
      <c r="K1222" s="3588"/>
      <c r="L1222" s="3588"/>
      <c r="M1222" s="3589"/>
      <c r="O1222" s="3587" t="s">
        <v>1746</v>
      </c>
      <c r="P1222" s="3588"/>
      <c r="Q1222" s="3588"/>
      <c r="R1222" s="3589"/>
      <c r="T1222" s="3587" t="s">
        <v>1317</v>
      </c>
      <c r="U1222" s="3588"/>
      <c r="V1222" s="3588"/>
      <c r="W1222" s="3589"/>
      <c r="Y1222" s="3587" t="s">
        <v>1747</v>
      </c>
      <c r="Z1222" s="3588"/>
      <c r="AA1222" s="3588"/>
      <c r="AB1222" s="3589"/>
      <c r="AD1222" s="3587" t="s">
        <v>1669</v>
      </c>
      <c r="AE1222" s="3588"/>
      <c r="AF1222" s="3588"/>
      <c r="AG1222" s="3589"/>
      <c r="AH1222" s="5741"/>
      <c r="AI1222" s="3478"/>
    </row>
    <row r="1223">
      <c r="A1223" s="3479"/>
      <c r="B1223" s="3594"/>
      <c r="C1223" s="1638"/>
      <c r="D1223" s="3595"/>
      <c r="E1223" s="4586" t="s">
        <v>729</v>
      </c>
      <c r="F1223" s="3597"/>
      <c r="G1223" s="3597"/>
      <c r="H1223" s="4587"/>
      <c r="J1223" s="4586" t="s">
        <v>729</v>
      </c>
      <c r="K1223" s="3597"/>
      <c r="L1223" s="3597"/>
      <c r="M1223" s="4587"/>
      <c r="O1223" s="4586" t="s">
        <v>729</v>
      </c>
      <c r="P1223" s="3597"/>
      <c r="Q1223" s="3597"/>
      <c r="R1223" s="4587"/>
      <c r="T1223" s="4586" t="s">
        <v>729</v>
      </c>
      <c r="U1223" s="3597"/>
      <c r="V1223" s="3597"/>
      <c r="W1223" s="4587"/>
      <c r="Y1223" s="4586" t="s">
        <v>729</v>
      </c>
      <c r="Z1223" s="3597"/>
      <c r="AA1223" s="3597"/>
      <c r="AB1223" s="4587"/>
      <c r="AD1223" s="4586" t="s">
        <v>729</v>
      </c>
      <c r="AE1223" s="3597"/>
      <c r="AF1223" s="3597"/>
      <c r="AG1223" s="4587"/>
      <c r="AH1223" s="5742"/>
      <c r="AI1223" s="3487"/>
    </row>
    <row r="1224" ht="25.5" customHeight="1">
      <c r="A1224" s="3453"/>
      <c r="B1224" s="3572"/>
      <c r="C1224" s="1646"/>
      <c r="D1224" s="3574"/>
      <c r="E1224" s="3601"/>
      <c r="F1224" s="4588" t="str">
        <f t="array" ref="F1224">IFERROR(VLOOKUP(E1222,Dex!$B$3:$H1361,5,FALSE),"")</f>
        <v/>
      </c>
      <c r="G1224" s="4589" t="str">
        <f t="array" ref="G1224">IFERROR(VLOOKUP(E1222,Dex!$B$3:$H1361,7,FALSE),"")</f>
        <v/>
      </c>
      <c r="H1224" s="3604"/>
      <c r="J1224" s="3601"/>
      <c r="K1224" s="4588" t="str">
        <f t="array" ref="K1224">IFERROR(VLOOKUP(J1222,Dex!$B$3:$H1361,5,FALSE),"")</f>
        <v/>
      </c>
      <c r="L1224" s="4589" t="str">
        <f t="array" ref="L1224">IFERROR(VLOOKUP(J1222,Dex!$B$3:$H1361,7,FALSE),"")</f>
        <v/>
      </c>
      <c r="M1224" s="3604"/>
      <c r="O1224" s="3601"/>
      <c r="P1224" s="4588" t="str">
        <f t="array" ref="P1224">IFERROR(VLOOKUP(O1222,Dex!$B$3:$H1361,5,FALSE),"")</f>
        <v/>
      </c>
      <c r="Q1224" s="4589" t="str">
        <f t="array" ref="Q1224">IFERROR(VLOOKUP(O1222,Dex!$B$3:$H1361,7,FALSE),"")</f>
        <v/>
      </c>
      <c r="R1224" s="3604"/>
      <c r="T1224" s="3601"/>
      <c r="U1224" s="3602" t="str">
        <f t="array" ref="U1224">IFERROR(VLOOKUP(T1222,Dex!$B$3:$H1361,5,FALSE),"")</f>
        <v/>
      </c>
      <c r="V1224" s="3603"/>
      <c r="W1224" s="3604"/>
      <c r="Y1224" s="3601"/>
      <c r="Z1224" s="3602" t="str">
        <f t="array" ref="Z1224">IFERROR(VLOOKUP(Y1222,Dex!$B$3:$H1361,5,FALSE),"")</f>
        <v/>
      </c>
      <c r="AA1224" s="3603"/>
      <c r="AB1224" s="3604"/>
      <c r="AD1224" s="3601"/>
      <c r="AE1224" s="4588" t="str">
        <f t="array" ref="AE1224">IFERROR(VLOOKUP(AD1222,Dex!$B$3:$H1361,5,FALSE),"")</f>
        <v/>
      </c>
      <c r="AF1224" s="4589" t="str">
        <f t="array" ref="AF1224">IFERROR(VLOOKUP(AD1222,Dex!$B$3:$H1361,7,FALSE),"")</f>
        <v/>
      </c>
      <c r="AG1224" s="3604"/>
      <c r="AH1224" s="3583"/>
      <c r="AI1224" s="3466"/>
    </row>
    <row r="1225" ht="2.25" customHeight="1">
      <c r="A1225" s="3453"/>
      <c r="B1225" s="3572"/>
      <c r="C1225" s="3605"/>
      <c r="D1225" s="3574"/>
      <c r="E1225" s="3606"/>
      <c r="F1225" s="3607"/>
      <c r="G1225" s="3607"/>
      <c r="H1225" s="3608"/>
      <c r="J1225" s="3606"/>
      <c r="K1225" s="3607"/>
      <c r="L1225" s="3607"/>
      <c r="M1225" s="3608"/>
      <c r="O1225" s="3606"/>
      <c r="P1225" s="3607"/>
      <c r="Q1225" s="3607"/>
      <c r="R1225" s="3608"/>
      <c r="T1225" s="3606"/>
      <c r="U1225" s="3607"/>
      <c r="V1225" s="3607"/>
      <c r="W1225" s="3608"/>
      <c r="Y1225" s="3606"/>
      <c r="Z1225" s="3607"/>
      <c r="AA1225" s="3607"/>
      <c r="AB1225" s="3608"/>
      <c r="AD1225" s="3606"/>
      <c r="AE1225" s="3607"/>
      <c r="AF1225" s="3607"/>
      <c r="AG1225" s="3608"/>
      <c r="AH1225" s="3583"/>
      <c r="AI1225" s="3466"/>
    </row>
    <row r="1226" ht="20.25" customHeight="1">
      <c r="A1226" s="3453"/>
      <c r="B1226" s="3572"/>
      <c r="C1226" s="3605"/>
      <c r="D1226" s="3574"/>
      <c r="E1226" s="3610" t="s">
        <v>532</v>
      </c>
      <c r="F1226" s="3611"/>
      <c r="G1226" s="3611"/>
      <c r="H1226" s="3612"/>
      <c r="J1226" s="3610" t="s">
        <v>564</v>
      </c>
      <c r="K1226" s="3611"/>
      <c r="L1226" s="3611"/>
      <c r="M1226" s="3612"/>
      <c r="O1226" s="3610" t="s">
        <v>566</v>
      </c>
      <c r="P1226" s="3611"/>
      <c r="Q1226" s="3611"/>
      <c r="R1226" s="3612"/>
      <c r="T1226" s="3610" t="s">
        <v>564</v>
      </c>
      <c r="U1226" s="3611"/>
      <c r="V1226" s="3611"/>
      <c r="W1226" s="3612"/>
      <c r="Y1226" s="3610" t="s">
        <v>565</v>
      </c>
      <c r="Z1226" s="3611"/>
      <c r="AA1226" s="3611"/>
      <c r="AB1226" s="3612"/>
      <c r="AD1226" s="3610" t="s">
        <v>532</v>
      </c>
      <c r="AE1226" s="3611"/>
      <c r="AF1226" s="3611"/>
      <c r="AG1226" s="3612"/>
      <c r="AH1226" s="5740"/>
      <c r="AI1226" s="3466"/>
    </row>
    <row r="1227">
      <c r="A1227" s="3453"/>
      <c r="B1227" s="3572"/>
      <c r="C1227" s="3613"/>
      <c r="D1227" s="3574"/>
      <c r="E1227" s="3614" t="s">
        <v>1436</v>
      </c>
      <c r="F1227" s="3579"/>
      <c r="G1227" s="3579"/>
      <c r="H1227" s="3615"/>
      <c r="J1227" s="3614" t="s">
        <v>1748</v>
      </c>
      <c r="K1227" s="3579"/>
      <c r="L1227" s="3579"/>
      <c r="M1227" s="3615"/>
      <c r="O1227" s="3614" t="s">
        <v>570</v>
      </c>
      <c r="P1227" s="3579"/>
      <c r="Q1227" s="3579"/>
      <c r="R1227" s="3615"/>
      <c r="T1227" s="3614" t="s">
        <v>75</v>
      </c>
      <c r="U1227" s="3579"/>
      <c r="V1227" s="3579"/>
      <c r="W1227" s="3615"/>
      <c r="Y1227" s="3614" t="s">
        <v>56</v>
      </c>
      <c r="Z1227" s="3579"/>
      <c r="AA1227" s="3579"/>
      <c r="AB1227" s="3615"/>
      <c r="AD1227" s="3614" t="s">
        <v>1749</v>
      </c>
      <c r="AE1227" s="3579"/>
      <c r="AF1227" s="3579"/>
      <c r="AG1227" s="3615"/>
      <c r="AH1227" s="5740"/>
      <c r="AI1227" s="3466"/>
    </row>
    <row r="1228" ht="20.25" customHeight="1">
      <c r="A1228" s="3453"/>
      <c r="B1228" s="3572"/>
      <c r="C1228" s="3592"/>
      <c r="D1228" s="3574"/>
      <c r="E1228" s="3616" t="s">
        <v>573</v>
      </c>
      <c r="F1228" s="3617"/>
      <c r="G1228" s="3618"/>
      <c r="H1228" s="3619" t="str">
        <f>IMAGE("https://raw.githubusercontent.com/msikma/pokesprite/master/items/hold-item/focus-sash.png",3)</f>
        <v/>
      </c>
      <c r="J1228" s="3616" t="s">
        <v>541</v>
      </c>
      <c r="K1228" s="3617"/>
      <c r="L1228" s="3618"/>
      <c r="M1228" s="3619" t="str">
        <f>IMAGE("https://raw.githubusercontent.com/msikma/pokesprite/master/items/hold-item/life-orb.png",3)</f>
        <v/>
      </c>
      <c r="O1228" s="3616" t="s">
        <v>664</v>
      </c>
      <c r="P1228" s="3617"/>
      <c r="Q1228" s="3618"/>
      <c r="R1228" s="3619" t="str">
        <f>IMAGE("https://raw.githubusercontent.com/msikma/pokesprite/master/items/hold-item/black-glasses.png",3)</f>
        <v/>
      </c>
      <c r="T1228" s="3616" t="s">
        <v>1004</v>
      </c>
      <c r="U1228" s="3617"/>
      <c r="V1228" s="3618"/>
      <c r="W1228" s="3619" t="str">
        <f>IMAGE("https://raw.githubusercontent.com/msikma/pokesprite/master/items/z-crystals/eevium-z--held.png",3)</f>
        <v/>
      </c>
      <c r="Y1228" s="3616" t="s">
        <v>541</v>
      </c>
      <c r="Z1228" s="3617"/>
      <c r="AA1228" s="3618"/>
      <c r="AB1228" s="3619" t="str">
        <f>IMAGE("https://raw.githubusercontent.com/msikma/pokesprite/master/items/hold-item/life-orb.png",3)</f>
        <v/>
      </c>
      <c r="AD1228" s="3616" t="s">
        <v>1673</v>
      </c>
      <c r="AE1228" s="3617"/>
      <c r="AF1228" s="3618"/>
      <c r="AG1228" s="3619" t="str">
        <f>IMAGE("https://raw.githubusercontent.com/msikma/pokesprite/master/items/mega-stone/pinsirite.png",3)</f>
        <v/>
      </c>
      <c r="AH1228" s="3583"/>
      <c r="AI1228" s="3466"/>
    </row>
    <row r="1229" ht="20.25" customHeight="1">
      <c r="A1229" s="3453"/>
      <c r="B1229" s="3572"/>
      <c r="C1229" s="3620"/>
      <c r="D1229" s="3574"/>
      <c r="E1229" s="3610" t="s">
        <v>191</v>
      </c>
      <c r="F1229" s="3611"/>
      <c r="G1229" s="3621"/>
      <c r="H1229" s="3622" t="str">
        <f>IMAGE("https://raw.githubusercontent.com/msikma/pokesprite/master/misc/types/gen8/rock.png",4,20,20)</f>
        <v/>
      </c>
      <c r="J1229" s="3610" t="s">
        <v>844</v>
      </c>
      <c r="K1229" s="3611"/>
      <c r="L1229" s="3621"/>
      <c r="M1229" s="3622" t="str">
        <f>IMAGE("https://raw.githubusercontent.com/msikma/pokesprite/master/misc/types/gen8/electric.png",4,20,20)</f>
        <v/>
      </c>
      <c r="O1229" s="3610" t="s">
        <v>831</v>
      </c>
      <c r="P1229" s="3611"/>
      <c r="Q1229" s="3621"/>
      <c r="R1229" s="3622" t="str">
        <f>IMAGE("https://raw.githubusercontent.com/msikma/pokesprite/master/misc/types/gen8/steel.png",4,20,20)</f>
        <v/>
      </c>
      <c r="T1229" s="3610" t="s">
        <v>1007</v>
      </c>
      <c r="U1229" s="3611"/>
      <c r="V1229" s="3621"/>
      <c r="W1229" s="3622" t="str">
        <f>IMAGE("https://raw.githubusercontent.com/msikma/pokesprite/master/misc/types/gen8/normal.png",4,20,20)</f>
        <v/>
      </c>
      <c r="Y1229" s="3610" t="s">
        <v>1487</v>
      </c>
      <c r="Z1229" s="3611"/>
      <c r="AA1229" s="3621"/>
      <c r="AB1229" s="3622" t="str">
        <f>IMAGE("https://raw.githubusercontent.com/msikma/pokesprite/master/misc/types/gen8/normal.png",4,20,20)</f>
        <v/>
      </c>
      <c r="AD1229" s="3610" t="s">
        <v>1497</v>
      </c>
      <c r="AE1229" s="3611"/>
      <c r="AF1229" s="3621"/>
      <c r="AG1229" s="3622" t="str">
        <f t="shared" ref="AG1229:AG1230" si="39">IMAGE("https://raw.githubusercontent.com/msikma/pokesprite/master/misc/types/gen8/flying.png",4,20,20)</f>
        <v/>
      </c>
      <c r="AH1229" s="3583"/>
      <c r="AI1229" s="3466"/>
    </row>
    <row r="1230" ht="20.25" customHeight="1">
      <c r="A1230" s="3453"/>
      <c r="B1230" s="3572"/>
      <c r="C1230" s="3605"/>
      <c r="D1230" s="3574"/>
      <c r="E1230" s="3614" t="s">
        <v>591</v>
      </c>
      <c r="F1230" s="3579"/>
      <c r="G1230" s="3580"/>
      <c r="H1230" s="3623" t="str">
        <f>IMAGE("https://raw.githubusercontent.com/msikma/pokesprite/master/misc/types/gen8/normal.png",4,20,20)</f>
        <v/>
      </c>
      <c r="J1230" s="3614" t="s">
        <v>649</v>
      </c>
      <c r="K1230" s="3579"/>
      <c r="L1230" s="3580"/>
      <c r="M1230" s="3623" t="str">
        <f>IMAGE("https://raw.githubusercontent.com/msikma/pokesprite/master/misc/types/gen8/water.png",4,20,20)</f>
        <v/>
      </c>
      <c r="O1230" s="3614" t="s">
        <v>548</v>
      </c>
      <c r="P1230" s="3579"/>
      <c r="Q1230" s="3580"/>
      <c r="R1230" s="3623" t="str">
        <f>IMAGE("https://raw.githubusercontent.com/msikma/pokesprite/master/misc/types/gen8/fighting.png",4,20,20)</f>
        <v/>
      </c>
      <c r="T1230" s="3614" t="s">
        <v>788</v>
      </c>
      <c r="U1230" s="3579"/>
      <c r="V1230" s="3580"/>
      <c r="W1230" s="3623" t="str">
        <f>IMAGE("https://raw.githubusercontent.com/msikma/pokesprite/master/misc/types/gen8/psychic.png",4,20,20)</f>
        <v/>
      </c>
      <c r="Y1230" s="3614" t="s">
        <v>583</v>
      </c>
      <c r="Z1230" s="3579"/>
      <c r="AA1230" s="3580"/>
      <c r="AB1230" s="3623" t="str">
        <f>IMAGE("https://raw.githubusercontent.com/msikma/pokesprite/master/misc/types/gen8/fighting.png",4,20,20)</f>
        <v/>
      </c>
      <c r="AD1230" s="3614" t="s">
        <v>806</v>
      </c>
      <c r="AE1230" s="3579"/>
      <c r="AF1230" s="3580"/>
      <c r="AG1230" s="3623" t="str">
        <f t="shared" si="39"/>
        <v/>
      </c>
      <c r="AH1230" s="3583"/>
      <c r="AI1230" s="3466"/>
    </row>
    <row r="1231" ht="20.25" customHeight="1">
      <c r="A1231" s="3453"/>
      <c r="B1231" s="3572"/>
      <c r="C1231" s="3605"/>
      <c r="D1231" s="3574"/>
      <c r="E1231" s="3614" t="s">
        <v>1611</v>
      </c>
      <c r="F1231" s="3579"/>
      <c r="G1231" s="3580"/>
      <c r="H1231" s="3623" t="str">
        <f>IMAGE("https://raw.githubusercontent.com/msikma/pokesprite/master/misc/types/gen8/steel.png",4,20,20)</f>
        <v/>
      </c>
      <c r="J1231" s="3614" t="s">
        <v>582</v>
      </c>
      <c r="K1231" s="3579"/>
      <c r="L1231" s="3580"/>
      <c r="M1231" s="3623" t="str">
        <f>IMAGE("https://raw.githubusercontent.com/msikma/pokesprite/master/misc/types/gen8/ice.png",4,20,20)</f>
        <v/>
      </c>
      <c r="O1231" s="3614" t="s">
        <v>667</v>
      </c>
      <c r="P1231" s="3579"/>
      <c r="Q1231" s="3580"/>
      <c r="R1231" s="3623" t="str">
        <f t="shared" ref="R1231:R1232" si="40">IMAGE("https://raw.githubusercontent.com/msikma/pokesprite/master/misc/types/gen8/dark.png",4,20,20)</f>
        <v/>
      </c>
      <c r="T1231" s="3614" t="s">
        <v>146</v>
      </c>
      <c r="U1231" s="3579"/>
      <c r="V1231" s="3580"/>
      <c r="W1231" s="3623" t="str">
        <f>IMAGE("https://raw.githubusercontent.com/msikma/pokesprite/master/misc/types/gen8/fire.png",4,20,20)</f>
        <v/>
      </c>
      <c r="Y1231" s="3614" t="s">
        <v>670</v>
      </c>
      <c r="Z1231" s="3579"/>
      <c r="AA1231" s="3580"/>
      <c r="AB1231" s="3623" t="str">
        <f>IMAGE("https://raw.githubusercontent.com/msikma/pokesprite/master/misc/types/gen8/ice.png",4,20,20)</f>
        <v/>
      </c>
      <c r="AD1231" s="3614" t="s">
        <v>583</v>
      </c>
      <c r="AE1231" s="3579"/>
      <c r="AF1231" s="3580"/>
      <c r="AG1231" s="3623" t="str">
        <f>IMAGE("https://raw.githubusercontent.com/msikma/pokesprite/master/misc/types/gen8/fighting.png",4,20,20)</f>
        <v/>
      </c>
      <c r="AH1231" s="3583"/>
      <c r="AI1231" s="3466"/>
    </row>
    <row r="1232" ht="21.0" customHeight="1">
      <c r="A1232" s="3453"/>
      <c r="B1232" s="3572"/>
      <c r="C1232" s="3605"/>
      <c r="D1232" s="3574"/>
      <c r="E1232" s="3624" t="s">
        <v>549</v>
      </c>
      <c r="F1232" s="3625"/>
      <c r="G1232" s="3626"/>
      <c r="H1232" s="3627" t="str">
        <f>IMAGE("https://raw.githubusercontent.com/msikma/pokesprite/master/misc/types/gen8/ground.png",4,20,20)</f>
        <v/>
      </c>
      <c r="I1232" s="3628"/>
      <c r="J1232" s="3624" t="s">
        <v>552</v>
      </c>
      <c r="K1232" s="3625"/>
      <c r="L1232" s="3626"/>
      <c r="M1232" s="3627" t="str">
        <f>IMAGE("https://raw.githubusercontent.com/msikma/pokesprite/master/misc/types/gen8/psychic.png",4,20,20)</f>
        <v/>
      </c>
      <c r="N1232" s="3628"/>
      <c r="O1232" s="3624" t="s">
        <v>554</v>
      </c>
      <c r="P1232" s="3625"/>
      <c r="Q1232" s="3626"/>
      <c r="R1232" s="3627" t="str">
        <f t="shared" si="40"/>
        <v/>
      </c>
      <c r="S1232" s="3628"/>
      <c r="T1232" s="3624" t="s">
        <v>776</v>
      </c>
      <c r="U1232" s="3625"/>
      <c r="V1232" s="3626"/>
      <c r="W1232" s="3627" t="str">
        <f>IMAGE("https://raw.githubusercontent.com/msikma/pokesprite/master/misc/types/gen8/fairy.png",4,20,20)</f>
        <v/>
      </c>
      <c r="X1232" s="3628"/>
      <c r="Y1232" s="3624" t="s">
        <v>619</v>
      </c>
      <c r="Z1232" s="3625"/>
      <c r="AA1232" s="3626"/>
      <c r="AB1232" s="3627" t="str">
        <f>IMAGE("https://raw.githubusercontent.com/msikma/pokesprite/master/misc/types/gen8/fire.png",4,20,20)</f>
        <v/>
      </c>
      <c r="AC1232" s="3628"/>
      <c r="AD1232" s="3624" t="s">
        <v>287</v>
      </c>
      <c r="AE1232" s="3625"/>
      <c r="AF1232" s="3626"/>
      <c r="AG1232" s="3627" t="str">
        <f>IMAGE("https://raw.githubusercontent.com/msikma/pokesprite/master/misc/types/gen8/flying.png",4,20,20)</f>
        <v/>
      </c>
      <c r="AH1232" s="3583"/>
      <c r="AI1232" s="3466"/>
    </row>
    <row r="1233" ht="3.0" customHeight="1">
      <c r="A1233" s="3524"/>
      <c r="B1233" s="3630"/>
      <c r="C1233" s="3631"/>
      <c r="D1233" s="3632"/>
      <c r="E1233" s="3634"/>
      <c r="F1233" s="3634"/>
      <c r="G1233" s="3634"/>
      <c r="H1233" s="3633"/>
      <c r="I1233" s="3632"/>
      <c r="J1233" s="3634"/>
      <c r="K1233" s="3634"/>
      <c r="L1233" s="3634"/>
      <c r="M1233" s="3633"/>
      <c r="N1233" s="3632"/>
      <c r="O1233" s="3634"/>
      <c r="P1233" s="3634"/>
      <c r="Q1233" s="3634"/>
      <c r="R1233" s="3633"/>
      <c r="S1233" s="3635"/>
      <c r="T1233" s="3634"/>
      <c r="U1233" s="3634"/>
      <c r="V1233" s="3634"/>
      <c r="W1233" s="3633"/>
      <c r="X1233" s="3632"/>
      <c r="Y1233" s="3634"/>
      <c r="Z1233" s="3634"/>
      <c r="AA1233" s="3634"/>
      <c r="AB1233" s="3633"/>
      <c r="AC1233" s="3637"/>
      <c r="AD1233" s="3634"/>
      <c r="AE1233" s="3634"/>
      <c r="AF1233" s="3634"/>
      <c r="AG1233" s="3633"/>
      <c r="AH1233" s="3638"/>
      <c r="AI1233" s="3534"/>
    </row>
    <row r="1234" ht="16.5" customHeight="1">
      <c r="A1234" s="3535"/>
      <c r="B1234" s="3639"/>
      <c r="C1234" s="3631"/>
      <c r="D1234" s="4590"/>
      <c r="E1234" s="3641" t="s">
        <v>512</v>
      </c>
      <c r="F1234" s="606"/>
      <c r="G1234" s="606"/>
      <c r="H1234" s="607"/>
      <c r="I1234" s="3642"/>
      <c r="J1234" s="3641" t="s">
        <v>512</v>
      </c>
      <c r="K1234" s="606"/>
      <c r="L1234" s="606"/>
      <c r="M1234" s="607"/>
      <c r="N1234" s="4590"/>
      <c r="O1234" s="3641" t="s">
        <v>512</v>
      </c>
      <c r="P1234" s="606"/>
      <c r="Q1234" s="606"/>
      <c r="R1234" s="607"/>
      <c r="S1234" s="4591"/>
      <c r="T1234" s="3641" t="s">
        <v>512</v>
      </c>
      <c r="U1234" s="606"/>
      <c r="V1234" s="606"/>
      <c r="W1234" s="607"/>
      <c r="X1234" s="4592"/>
      <c r="Y1234" s="3641" t="s">
        <v>512</v>
      </c>
      <c r="Z1234" s="606"/>
      <c r="AA1234" s="606"/>
      <c r="AB1234" s="607"/>
      <c r="AC1234" s="4592"/>
      <c r="AD1234" s="3641" t="s">
        <v>512</v>
      </c>
      <c r="AE1234" s="606"/>
      <c r="AF1234" s="606"/>
      <c r="AG1234" s="607"/>
      <c r="AH1234" s="3645"/>
      <c r="AI1234" s="3543"/>
    </row>
    <row r="1235" ht="16.5" customHeight="1">
      <c r="A1235" s="3535"/>
      <c r="B1235" s="3639"/>
      <c r="C1235" s="3631"/>
      <c r="D1235" s="3640"/>
      <c r="E1235" s="3646" t="s">
        <v>513</v>
      </c>
      <c r="F1235" s="3647">
        <f t="array" ref="F1235">IFERROR(VLOOKUP(E1222,Dex!$B$3:$N1361,8,FALSE),"")</f>
        <v>80</v>
      </c>
      <c r="G1235" s="3648" t="str">
        <f t="array" ref="G1235">IFERROR(VLOOKUP(F1235,Dex!$P$22:$Q$276,2,FALSE),"")</f>
        <v/>
      </c>
      <c r="H1235" s="3649"/>
      <c r="I1235" s="3650"/>
      <c r="J1235" s="3646" t="s">
        <v>513</v>
      </c>
      <c r="K1235" s="3647">
        <f t="array" ref="K1235">IFERROR(VLOOKUP(J1222,Dex!$B$3:$N1361,8,FALSE),"")</f>
        <v>60</v>
      </c>
      <c r="L1235" s="3648" t="str">
        <f t="array" ref="L1235">IFERROR(VLOOKUP(K1235,Dex!$P$22:$Q$276,2,FALSE),"")</f>
        <v/>
      </c>
      <c r="M1235" s="3649"/>
      <c r="N1235" s="3640"/>
      <c r="O1235" s="3646" t="s">
        <v>513</v>
      </c>
      <c r="P1235" s="3647">
        <f t="array" ref="P1235">IFERROR(VLOOKUP(O1222,Dex!$B$3:$N1361,8,FALSE),"")</f>
        <v>95</v>
      </c>
      <c r="Q1235" s="3648" t="str">
        <f t="array" ref="Q1235">IFERROR(VLOOKUP(P1235,Dex!$P$22:$Q$276,2,FALSE),"")</f>
        <v/>
      </c>
      <c r="R1235" s="3649"/>
      <c r="S1235" s="3644"/>
      <c r="T1235" s="3646" t="s">
        <v>513</v>
      </c>
      <c r="U1235" s="3647">
        <f t="array" ref="U1235">IFERROR(VLOOKUP(T1222,Dex!$B$3:$N1361,8,FALSE),"")</f>
        <v>65</v>
      </c>
      <c r="V1235" s="3648" t="str">
        <f t="array" ref="V1235">IFERROR(VLOOKUP(U1235,Dex!$P$22:$Q$276,2,FALSE),"")</f>
        <v/>
      </c>
      <c r="W1235" s="3649"/>
      <c r="X1235" s="3644"/>
      <c r="Y1235" s="3646" t="s">
        <v>513</v>
      </c>
      <c r="Z1235" s="3647">
        <f t="array" ref="Z1235">IFERROR(VLOOKUP(Y1222,Dex!$B$3:$N1361,8,FALSE),"")</f>
        <v>75</v>
      </c>
      <c r="AA1235" s="3648" t="str">
        <f t="array" ref="AA1235">IFERROR(VLOOKUP(Z1235,Dex!$P$22:$Q$276,2,FALSE),"")</f>
        <v/>
      </c>
      <c r="AB1235" s="3649"/>
      <c r="AC1235" s="3644"/>
      <c r="AD1235" s="3646" t="s">
        <v>513</v>
      </c>
      <c r="AE1235" s="3647">
        <f t="array" ref="AE1235">IFERROR(VLOOKUP(AD1222,Dex!$B$3:$N1361,8,FALSE),"")</f>
        <v>65</v>
      </c>
      <c r="AF1235" s="3648" t="str">
        <f t="array" ref="AF1235">IFERROR(VLOOKUP(AE1235,Dex!$P$22:$Q$276,2,FALSE),"")</f>
        <v/>
      </c>
      <c r="AG1235" s="3649"/>
      <c r="AH1235" s="3645"/>
      <c r="AI1235" s="3543"/>
    </row>
    <row r="1236" ht="16.5" customHeight="1">
      <c r="A1236" s="3535"/>
      <c r="B1236" s="3639"/>
      <c r="C1236" s="3631"/>
      <c r="D1236" s="3640"/>
      <c r="E1236" s="3652" t="s">
        <v>514</v>
      </c>
      <c r="F1236" s="3653">
        <f t="array" ref="F1236">IFERROR(VLOOKUP(E1222,Dex!$B$3:$N1361,9,FALSE),"")</f>
        <v>135</v>
      </c>
      <c r="G1236" s="3654" t="str">
        <f t="array" ref="G1236">IFERROR(VLOOKUP(F1236,Dex!$P$22:$Q$276,2,FALSE),"")</f>
        <v/>
      </c>
      <c r="H1236" s="3655"/>
      <c r="I1236" s="3650"/>
      <c r="J1236" s="3652" t="s">
        <v>514</v>
      </c>
      <c r="K1236" s="3653">
        <f t="array" ref="K1236">IFERROR(VLOOKUP(J1222,Dex!$B$3:$N1361,9,FALSE),"")</f>
        <v>75</v>
      </c>
      <c r="L1236" s="3654" t="str">
        <f t="array" ref="L1236">IFERROR(VLOOKUP(K1236,Dex!$P$22:$Q$276,2,FALSE),"")</f>
        <v/>
      </c>
      <c r="M1236" s="3655"/>
      <c r="N1236" s="3640"/>
      <c r="O1236" s="3652" t="s">
        <v>514</v>
      </c>
      <c r="P1236" s="3653">
        <f t="array" ref="P1236">IFERROR(VLOOKUP(O1222,Dex!$B$3:$N1361,9,FALSE),"")</f>
        <v>124</v>
      </c>
      <c r="Q1236" s="3654" t="str">
        <f t="array" ref="Q1236">IFERROR(VLOOKUP(P1236,Dex!$P$22:$Q$276,2,FALSE),"")</f>
        <v/>
      </c>
      <c r="R1236" s="3655"/>
      <c r="S1236" s="3644"/>
      <c r="T1236" s="3652" t="s">
        <v>514</v>
      </c>
      <c r="U1236" s="3653">
        <f t="array" ref="U1236">IFERROR(VLOOKUP(T1222,Dex!$B$3:$N1361,9,FALSE),"")</f>
        <v>65</v>
      </c>
      <c r="V1236" s="3654" t="str">
        <f t="array" ref="V1236">IFERROR(VLOOKUP(U1236,Dex!$P$22:$Q$276,2,FALSE),"")</f>
        <v/>
      </c>
      <c r="W1236" s="3655"/>
      <c r="X1236" s="3644"/>
      <c r="Y1236" s="3652" t="s">
        <v>514</v>
      </c>
      <c r="Z1236" s="3653">
        <f t="array" ref="Z1236">IFERROR(VLOOKUP(Y1222,Dex!$B$3:$N1361,9,FALSE),"")</f>
        <v>100</v>
      </c>
      <c r="AA1236" s="3654" t="str">
        <f t="array" ref="AA1236">IFERROR(VLOOKUP(Z1236,Dex!$P$22:$Q$276,2,FALSE),"")</f>
        <v/>
      </c>
      <c r="AB1236" s="3655"/>
      <c r="AC1236" s="3644"/>
      <c r="AD1236" s="3652" t="s">
        <v>514</v>
      </c>
      <c r="AE1236" s="3653">
        <f t="array" ref="AE1236">IFERROR(VLOOKUP(AD1222,Dex!$B$3:$N1361,9,FALSE),"")</f>
        <v>155</v>
      </c>
      <c r="AF1236" s="3654" t="str">
        <f t="array" ref="AF1236">IFERROR(VLOOKUP(AE1236,Dex!$P$22:$Q$276,2,FALSE),"")</f>
        <v/>
      </c>
      <c r="AG1236" s="3655"/>
      <c r="AH1236" s="3645"/>
      <c r="AI1236" s="3543"/>
    </row>
    <row r="1237" ht="16.5" customHeight="1">
      <c r="A1237" s="3535"/>
      <c r="B1237" s="3639"/>
      <c r="C1237" s="3631"/>
      <c r="D1237" s="3640"/>
      <c r="E1237" s="3652" t="s">
        <v>515</v>
      </c>
      <c r="F1237" s="3653">
        <f t="array" ref="F1237">IFERROR(VLOOKUP(E1222,Dex!$B$3:$N1361,10,FALSE),"")</f>
        <v>130</v>
      </c>
      <c r="G1237" s="3654" t="str">
        <f t="array" ref="G1237">IFERROR(VLOOKUP(F1237,Dex!$P$22:$Q$276,2,FALSE),"")</f>
        <v/>
      </c>
      <c r="H1237" s="3655"/>
      <c r="I1237" s="3650"/>
      <c r="J1237" s="3652" t="s">
        <v>515</v>
      </c>
      <c r="K1237" s="3653">
        <f t="array" ref="K1237">IFERROR(VLOOKUP(J1222,Dex!$B$3:$N1361,10,FALSE),"")</f>
        <v>85</v>
      </c>
      <c r="L1237" s="3654" t="str">
        <f t="array" ref="L1237">IFERROR(VLOOKUP(K1237,Dex!$P$22:$Q$276,2,FALSE),"")</f>
        <v/>
      </c>
      <c r="M1237" s="3655"/>
      <c r="N1237" s="3640"/>
      <c r="O1237" s="3652" t="s">
        <v>515</v>
      </c>
      <c r="P1237" s="3653">
        <f t="array" ref="P1237">IFERROR(VLOOKUP(O1222,Dex!$B$3:$N1361,10,FALSE),"")</f>
        <v>78</v>
      </c>
      <c r="Q1237" s="3654" t="str">
        <f t="array" ref="Q1237">IFERROR(VLOOKUP(P1237,Dex!$P$22:$Q$276,2,FALSE),"")</f>
        <v/>
      </c>
      <c r="R1237" s="3655"/>
      <c r="S1237" s="3644"/>
      <c r="T1237" s="3652" t="s">
        <v>515</v>
      </c>
      <c r="U1237" s="3653">
        <f t="array" ref="U1237">IFERROR(VLOOKUP(T1222,Dex!$B$3:$N1361,10,FALSE),"")</f>
        <v>60</v>
      </c>
      <c r="V1237" s="3654" t="str">
        <f t="array" ref="V1237">IFERROR(VLOOKUP(U1237,Dex!$P$22:$Q$276,2,FALSE),"")</f>
        <v/>
      </c>
      <c r="W1237" s="3655"/>
      <c r="X1237" s="3644"/>
      <c r="Y1237" s="3652" t="s">
        <v>515</v>
      </c>
      <c r="Z1237" s="3653">
        <f t="array" ref="Z1237">IFERROR(VLOOKUP(Y1222,Dex!$B$3:$N1361,10,FALSE),"")</f>
        <v>95</v>
      </c>
      <c r="AA1237" s="3654" t="str">
        <f t="array" ref="AA1237">IFERROR(VLOOKUP(Z1237,Dex!$P$22:$Q$276,2,FALSE),"")</f>
        <v/>
      </c>
      <c r="AB1237" s="3655"/>
      <c r="AC1237" s="3644"/>
      <c r="AD1237" s="3652" t="s">
        <v>515</v>
      </c>
      <c r="AE1237" s="3653">
        <f t="array" ref="AE1237">IFERROR(VLOOKUP(AD1222,Dex!$B$3:$N1361,10,FALSE),"")</f>
        <v>120</v>
      </c>
      <c r="AF1237" s="3654" t="str">
        <f t="array" ref="AF1237">IFERROR(VLOOKUP(AE1237,Dex!$P$22:$Q$276,2,FALSE),"")</f>
        <v/>
      </c>
      <c r="AG1237" s="3655"/>
      <c r="AH1237" s="3645"/>
      <c r="AI1237" s="3543"/>
    </row>
    <row r="1238" ht="16.5" customHeight="1">
      <c r="A1238" s="3535"/>
      <c r="B1238" s="3639"/>
      <c r="C1238" s="3631"/>
      <c r="D1238" s="3640"/>
      <c r="E1238" s="3652" t="s">
        <v>516</v>
      </c>
      <c r="F1238" s="3653">
        <f t="array" ref="F1238">IFERROR(VLOOKUP(E1222,Dex!$B$3:$N1361,11,FALSE),"")</f>
        <v>95</v>
      </c>
      <c r="G1238" s="3654" t="str">
        <f t="array" ref="G1238">IFERROR(VLOOKUP(F1238,Dex!$P$22:$Q$276,2,FALSE),"")</f>
        <v/>
      </c>
      <c r="H1238" s="3655"/>
      <c r="I1238" s="3650"/>
      <c r="J1238" s="3652" t="s">
        <v>516</v>
      </c>
      <c r="K1238" s="3653">
        <f t="array" ref="K1238">IFERROR(VLOOKUP(J1222,Dex!$B$3:$N1361,11,FALSE),"")</f>
        <v>100</v>
      </c>
      <c r="L1238" s="3654" t="str">
        <f t="array" ref="L1238">IFERROR(VLOOKUP(K1238,Dex!$P$22:$Q$276,2,FALSE),"")</f>
        <v/>
      </c>
      <c r="M1238" s="3655"/>
      <c r="N1238" s="3640"/>
      <c r="O1238" s="3652" t="s">
        <v>516</v>
      </c>
      <c r="P1238" s="3653">
        <f t="array" ref="P1238">IFERROR(VLOOKUP(O1222,Dex!$B$3:$N1361,11,FALSE),"")</f>
        <v>69</v>
      </c>
      <c r="Q1238" s="3654" t="str">
        <f t="array" ref="Q1238">IFERROR(VLOOKUP(P1238,Dex!$P$22:$Q$276,2,FALSE),"")</f>
        <v/>
      </c>
      <c r="R1238" s="3655"/>
      <c r="S1238" s="3644"/>
      <c r="T1238" s="3652" t="s">
        <v>516</v>
      </c>
      <c r="U1238" s="3653">
        <f t="array" ref="U1238">IFERROR(VLOOKUP(T1222,Dex!$B$3:$N1361,11,FALSE),"")</f>
        <v>130</v>
      </c>
      <c r="V1238" s="3654" t="str">
        <f t="array" ref="V1238">IFERROR(VLOOKUP(U1238,Dex!$P$22:$Q$276,2,FALSE),"")</f>
        <v/>
      </c>
      <c r="W1238" s="3655"/>
      <c r="X1238" s="3644"/>
      <c r="Y1238" s="3652" t="s">
        <v>516</v>
      </c>
      <c r="Z1238" s="3653">
        <f t="array" ref="Z1238">IFERROR(VLOOKUP(Y1222,Dex!$B$3:$N1361,11,FALSE),"")</f>
        <v>70</v>
      </c>
      <c r="AA1238" s="3654" t="str">
        <f t="array" ref="AA1238">IFERROR(VLOOKUP(Z1238,Dex!$P$22:$Q$276,2,FALSE),"")</f>
        <v/>
      </c>
      <c r="AB1238" s="3655"/>
      <c r="AC1238" s="3644"/>
      <c r="AD1238" s="3652" t="s">
        <v>516</v>
      </c>
      <c r="AE1238" s="3653">
        <f t="array" ref="AE1238">IFERROR(VLOOKUP(AD1222,Dex!$B$3:$N1361,11,FALSE),"")</f>
        <v>65</v>
      </c>
      <c r="AF1238" s="3654" t="str">
        <f t="array" ref="AF1238">IFERROR(VLOOKUP(AE1238,Dex!$P$22:$Q$276,2,FALSE),"")</f>
        <v/>
      </c>
      <c r="AG1238" s="3655"/>
      <c r="AH1238" s="3645"/>
      <c r="AI1238" s="3543"/>
    </row>
    <row r="1239" ht="16.5" customHeight="1">
      <c r="A1239" s="3535"/>
      <c r="B1239" s="3639"/>
      <c r="C1239" s="3631"/>
      <c r="D1239" s="3640"/>
      <c r="E1239" s="3652" t="s">
        <v>517</v>
      </c>
      <c r="F1239" s="3653">
        <f t="array" ref="F1239">IFERROR(VLOOKUP(E1222,Dex!$B$3:$N1361,12,FALSE),"")</f>
        <v>90</v>
      </c>
      <c r="G1239" s="3654" t="str">
        <f t="array" ref="G1239">IFERROR(VLOOKUP(F1239,Dex!$P$22:$Q$276,2,FALSE),"")</f>
        <v/>
      </c>
      <c r="H1239" s="3655"/>
      <c r="I1239" s="3650"/>
      <c r="J1239" s="3652" t="s">
        <v>517</v>
      </c>
      <c r="K1239" s="3653">
        <f t="array" ref="K1239">IFERROR(VLOOKUP(J1222,Dex!$B$3:$N1361,12,FALSE),"")</f>
        <v>85</v>
      </c>
      <c r="L1239" s="3654" t="str">
        <f t="array" ref="L1239">IFERROR(VLOOKUP(K1239,Dex!$P$22:$Q$276,2,FALSE),"")</f>
        <v/>
      </c>
      <c r="M1239" s="3655"/>
      <c r="N1239" s="3640"/>
      <c r="O1239" s="3652" t="s">
        <v>517</v>
      </c>
      <c r="P1239" s="3653">
        <f t="array" ref="P1239">IFERROR(VLOOKUP(O1222,Dex!$B$3:$N1361,12,FALSE),"")</f>
        <v>71</v>
      </c>
      <c r="Q1239" s="3654" t="str">
        <f t="array" ref="Q1239">IFERROR(VLOOKUP(P1239,Dex!$P$22:$Q$276,2,FALSE),"")</f>
        <v/>
      </c>
      <c r="R1239" s="3655"/>
      <c r="S1239" s="3644"/>
      <c r="T1239" s="3652" t="s">
        <v>517</v>
      </c>
      <c r="U1239" s="3653">
        <f t="array" ref="U1239">IFERROR(VLOOKUP(T1222,Dex!$B$3:$N1361,12,FALSE),"")</f>
        <v>95</v>
      </c>
      <c r="V1239" s="3654" t="str">
        <f t="array" ref="V1239">IFERROR(VLOOKUP(U1239,Dex!$P$22:$Q$276,2,FALSE),"")</f>
        <v/>
      </c>
      <c r="W1239" s="3655"/>
      <c r="X1239" s="3644"/>
      <c r="Y1239" s="3652" t="s">
        <v>517</v>
      </c>
      <c r="Z1239" s="3653">
        <f t="array" ref="Z1239">IFERROR(VLOOKUP(Y1222,Dex!$B$3:$N1361,12,FALSE),"")</f>
        <v>70</v>
      </c>
      <c r="AA1239" s="3654" t="str">
        <f t="array" ref="AA1239">IFERROR(VLOOKUP(Z1239,Dex!$P$22:$Q$276,2,FALSE),"")</f>
        <v/>
      </c>
      <c r="AB1239" s="3655"/>
      <c r="AC1239" s="3644"/>
      <c r="AD1239" s="3652" t="s">
        <v>517</v>
      </c>
      <c r="AE1239" s="3653">
        <f t="array" ref="AE1239">IFERROR(VLOOKUP(AD1222,Dex!$B$3:$N1361,12,FALSE),"")</f>
        <v>90</v>
      </c>
      <c r="AF1239" s="3654" t="str">
        <f t="array" ref="AF1239">IFERROR(VLOOKUP(AE1239,Dex!$P$22:$Q$276,2,FALSE),"")</f>
        <v/>
      </c>
      <c r="AG1239" s="3655"/>
      <c r="AH1239" s="3645"/>
      <c r="AI1239" s="3543"/>
    </row>
    <row r="1240" ht="16.5" customHeight="1">
      <c r="A1240" s="3535"/>
      <c r="B1240" s="3639"/>
      <c r="C1240" s="1426" t="s">
        <v>745</v>
      </c>
      <c r="D1240" s="3640"/>
      <c r="E1240" s="3658" t="s">
        <v>518</v>
      </c>
      <c r="F1240" s="3659">
        <f t="array" ref="F1240">IFERROR(VLOOKUP(E1222,Dex!$B$3:$N1361,13,FALSE),"")</f>
        <v>70</v>
      </c>
      <c r="G1240" s="3660" t="str">
        <f t="array" ref="G1240">IFERROR(VLOOKUP(F1240,Dex!$P$22:$Q$276,2,FALSE),"")</f>
        <v/>
      </c>
      <c r="H1240" s="3661"/>
      <c r="I1240" s="3650"/>
      <c r="J1240" s="3658" t="s">
        <v>518</v>
      </c>
      <c r="K1240" s="3659">
        <f t="array" ref="K1240">IFERROR(VLOOKUP(J1222,Dex!$B$3:$N1361,13,FALSE),"")</f>
        <v>115</v>
      </c>
      <c r="L1240" s="3660" t="str">
        <f t="array" ref="L1240">IFERROR(VLOOKUP(K1240,Dex!$P$22:$Q$276,2,FALSE),"")</f>
        <v/>
      </c>
      <c r="M1240" s="3661"/>
      <c r="N1240" s="3640"/>
      <c r="O1240" s="3658" t="s">
        <v>518</v>
      </c>
      <c r="P1240" s="3659">
        <f t="array" ref="P1240">IFERROR(VLOOKUP(O1222,Dex!$B$3:$N1361,13,FALSE),"")</f>
        <v>58</v>
      </c>
      <c r="Q1240" s="3660" t="str">
        <f t="array" ref="Q1240">IFERROR(VLOOKUP(P1240,Dex!$P$22:$Q$276,2,FALSE),"")</f>
        <v/>
      </c>
      <c r="R1240" s="3661"/>
      <c r="S1240" s="3644"/>
      <c r="T1240" s="3658" t="s">
        <v>518</v>
      </c>
      <c r="U1240" s="3659">
        <f t="array" ref="U1240">IFERROR(VLOOKUP(T1222,Dex!$B$3:$N1361,13,FALSE),"")</f>
        <v>110</v>
      </c>
      <c r="V1240" s="3660" t="str">
        <f t="array" ref="V1240">IFERROR(VLOOKUP(U1240,Dex!$P$22:$Q$276,2,FALSE),"")</f>
        <v/>
      </c>
      <c r="W1240" s="3661"/>
      <c r="X1240" s="3644"/>
      <c r="Y1240" s="3658" t="s">
        <v>518</v>
      </c>
      <c r="Z1240" s="3659">
        <f t="array" ref="Z1240">IFERROR(VLOOKUP(Y1222,Dex!$B$3:$N1361,13,FALSE),"")</f>
        <v>110</v>
      </c>
      <c r="AA1240" s="3660" t="str">
        <f t="array" ref="AA1240">IFERROR(VLOOKUP(Z1240,Dex!$P$22:$Q$276,2,FALSE),"")</f>
        <v/>
      </c>
      <c r="AB1240" s="3661"/>
      <c r="AC1240" s="3644"/>
      <c r="AD1240" s="3658" t="s">
        <v>518</v>
      </c>
      <c r="AE1240" s="3659">
        <f t="array" ref="AE1240">IFERROR(VLOOKUP(AD1222,Dex!$B$3:$N1361,13,FALSE),"")</f>
        <v>105</v>
      </c>
      <c r="AF1240" s="3660" t="str">
        <f t="array" ref="AF1240">IFERROR(VLOOKUP(AE1240,Dex!$P$22:$Q$276,2,FALSE),"")</f>
        <v/>
      </c>
      <c r="AG1240" s="3661"/>
      <c r="AH1240" s="3645"/>
      <c r="AI1240" s="3543"/>
    </row>
    <row r="1241" ht="16.5" customHeight="1">
      <c r="A1241" s="3535"/>
      <c r="B1241" s="3639"/>
      <c r="C1241" s="1427" t="s">
        <v>1739</v>
      </c>
      <c r="D1241" s="4590"/>
      <c r="E1241" s="3662" t="s">
        <v>519</v>
      </c>
      <c r="F1241" s="630"/>
      <c r="G1241" s="631"/>
      <c r="H1241" s="632">
        <f>ROUNDDOWN((ROUNDDOWN(((((2*F1240+31)*85)/100+5)),0))*1.1,0)</f>
        <v>165</v>
      </c>
      <c r="I1241" s="3642"/>
      <c r="J1241" s="3662" t="s">
        <v>519</v>
      </c>
      <c r="K1241" s="630"/>
      <c r="L1241" s="631"/>
      <c r="M1241" s="632">
        <f>ROUNDDOWN((ROUNDDOWN(((((2*K1240+31)*85)/100+5)),0))*1.1,0)</f>
        <v>248</v>
      </c>
      <c r="N1241" s="4590"/>
      <c r="O1241" s="3662" t="s">
        <v>519</v>
      </c>
      <c r="P1241" s="630"/>
      <c r="Q1241" s="631"/>
      <c r="R1241" s="632">
        <f>ROUNDDOWN((ROUNDDOWN(((((2*P1240+31)*85)/100+5)),0))*1,0)</f>
        <v>129</v>
      </c>
      <c r="S1241" s="4592"/>
      <c r="T1241" s="4593" t="s">
        <v>519</v>
      </c>
      <c r="U1241" s="635"/>
      <c r="V1241" s="636"/>
      <c r="W1241" s="632">
        <f>ROUNDDOWN((ROUNDDOWN(((((2*U1240+31)*85)/100+5)),0))*1.1,0)</f>
        <v>239</v>
      </c>
      <c r="X1241" s="4592"/>
      <c r="Y1241" s="3662" t="s">
        <v>519</v>
      </c>
      <c r="Z1241" s="630"/>
      <c r="AA1241" s="631"/>
      <c r="AB1241" s="632">
        <f>ROUNDDOWN((ROUNDDOWN(((((2*Z1240+31)*85)/100+5)),0))*1.1,0)</f>
        <v>239</v>
      </c>
      <c r="AC1241" s="4592"/>
      <c r="AD1241" s="3662" t="s">
        <v>519</v>
      </c>
      <c r="AE1241" s="630"/>
      <c r="AF1241" s="631"/>
      <c r="AG1241" s="632">
        <f>ROUNDDOWN((ROUNDDOWN(((((2*AE1240+31)*85)/100+5)),0))*1.1,0)</f>
        <v>229</v>
      </c>
      <c r="AH1241" s="3645"/>
      <c r="AI1241" s="3543"/>
    </row>
    <row r="1242" ht="16.5" customHeight="1">
      <c r="A1242" s="3535"/>
      <c r="B1242" s="4594"/>
      <c r="C1242" s="5479"/>
      <c r="D1242" s="5480"/>
      <c r="E1242" s="3631"/>
      <c r="F1242" s="3631"/>
      <c r="G1242" s="3631"/>
      <c r="H1242" s="3631"/>
      <c r="I1242" s="5482"/>
      <c r="J1242" s="3631"/>
      <c r="K1242" s="3631"/>
      <c r="L1242" s="3631"/>
      <c r="M1242" s="3631"/>
      <c r="N1242" s="5480"/>
      <c r="O1242" s="3631"/>
      <c r="P1242" s="3631"/>
      <c r="Q1242" s="3631"/>
      <c r="R1242" s="3631"/>
      <c r="S1242" s="4598"/>
      <c r="T1242" s="4597" t="s">
        <v>1013</v>
      </c>
      <c r="U1242" s="643"/>
      <c r="V1242" s="644"/>
      <c r="W1242" s="3064">
        <f>W1241*2</f>
        <v>478</v>
      </c>
      <c r="X1242" s="4598"/>
      <c r="Y1242" s="3631"/>
      <c r="Z1242" s="3631"/>
      <c r="AA1242" s="3631"/>
      <c r="AB1242" s="3631"/>
      <c r="AC1242" s="4599"/>
      <c r="AD1242" s="3631"/>
      <c r="AE1242" s="3631"/>
      <c r="AF1242" s="3631"/>
      <c r="AG1242" s="3631"/>
      <c r="AH1242" s="4600"/>
      <c r="AI1242" s="3543"/>
    </row>
    <row r="1243" ht="15.0" customHeight="1">
      <c r="A1243" s="3453"/>
      <c r="B1243" s="3663"/>
      <c r="C1243" s="3664"/>
      <c r="D1243" s="3665"/>
      <c r="E1243" s="3666"/>
      <c r="F1243" s="3666"/>
      <c r="G1243" s="3666"/>
      <c r="H1243" s="3667"/>
      <c r="I1243" s="3667"/>
      <c r="J1243" s="3666"/>
      <c r="K1243" s="3666"/>
      <c r="L1243" s="3666"/>
      <c r="M1243" s="3667"/>
      <c r="N1243" s="3669"/>
      <c r="O1243" s="3670"/>
      <c r="P1243" s="3670"/>
      <c r="Q1243" s="3671"/>
      <c r="R1243" s="3671"/>
      <c r="S1243" s="3671"/>
      <c r="T1243" s="3670"/>
      <c r="U1243" s="3670"/>
      <c r="V1243" s="3671"/>
      <c r="W1243" s="3671"/>
      <c r="X1243" s="3669"/>
      <c r="Y1243" s="4601"/>
      <c r="Z1243" s="4601"/>
      <c r="AA1243" s="4601"/>
      <c r="AB1243" s="3672"/>
      <c r="AC1243" s="3672"/>
      <c r="AD1243" s="3672"/>
      <c r="AE1243" s="3672"/>
      <c r="AF1243" s="3672"/>
      <c r="AG1243" s="3672"/>
      <c r="AH1243" s="3673"/>
      <c r="AI1243" s="3466"/>
    </row>
    <row r="1244" ht="15.0" customHeight="1">
      <c r="A1244" s="3446"/>
      <c r="B1244" s="3567"/>
      <c r="C1244" s="3568"/>
      <c r="D1244" s="3569"/>
      <c r="E1244" s="3570"/>
      <c r="F1244" s="3570"/>
      <c r="G1244" s="3570"/>
      <c r="H1244" s="3570"/>
      <c r="I1244" s="3569"/>
      <c r="J1244" s="3570"/>
      <c r="K1244" s="3570"/>
      <c r="L1244" s="3570"/>
      <c r="M1244" s="3570"/>
      <c r="N1244" s="3569"/>
      <c r="O1244" s="3570"/>
      <c r="P1244" s="3570"/>
      <c r="Q1244" s="3570"/>
      <c r="R1244" s="3570"/>
      <c r="S1244" s="3569"/>
      <c r="T1244" s="3570"/>
      <c r="U1244" s="3570"/>
      <c r="V1244" s="3570"/>
      <c r="W1244" s="3570"/>
      <c r="X1244" s="3569"/>
      <c r="Y1244" s="3570"/>
      <c r="Z1244" s="3570"/>
      <c r="AA1244" s="3570"/>
      <c r="AB1244" s="3570"/>
      <c r="AC1244" s="3569"/>
      <c r="AD1244" s="3570"/>
      <c r="AE1244" s="3570"/>
      <c r="AF1244" s="3570"/>
      <c r="AG1244" s="3570"/>
      <c r="AH1244" s="3571"/>
      <c r="AI1244" s="3452"/>
    </row>
    <row r="1245" ht="96.75" customHeight="1">
      <c r="A1245" s="3453"/>
      <c r="B1245" s="3572"/>
      <c r="C1245" s="3573" t="str">
        <f>IMAGE("https://i.ibb.co/26kF6WW/Ace-Trainer-F.png")</f>
        <v/>
      </c>
      <c r="D1245" s="3574"/>
      <c r="E1245" s="3575" t="str">
        <f t="array" ref="E1245">IFERROR(VLOOKUP(E1246,Dex!$B$3:$G1361,3,FALSE),"")</f>
        <v/>
      </c>
      <c r="F1245" s="606"/>
      <c r="G1245" s="606"/>
      <c r="H1245" s="607"/>
      <c r="I1245" s="3576"/>
      <c r="J1245" s="3575" t="str">
        <f t="array" ref="J1245">IFERROR(VLOOKUP(J1246,Dex!$B$3:$G1361,3,FALSE),"")</f>
        <v/>
      </c>
      <c r="K1245" s="606"/>
      <c r="L1245" s="606"/>
      <c r="M1245" s="607"/>
      <c r="N1245" s="4583"/>
      <c r="O1245" s="3575" t="str">
        <f t="array" ref="O1245">IFERROR(VLOOKUP(O1246,Dex!$B$3:$G1361,3,FALSE),"")</f>
        <v/>
      </c>
      <c r="P1245" s="606"/>
      <c r="Q1245" s="606"/>
      <c r="R1245" s="607"/>
      <c r="S1245" s="4584"/>
      <c r="T1245" s="3575" t="str">
        <f t="array" ref="T1245">IFERROR(VLOOKUP(T1246,Dex!$B$3:$G1361,3,FALSE),"")</f>
        <v/>
      </c>
      <c r="U1245" s="606"/>
      <c r="V1245" s="606"/>
      <c r="W1245" s="607"/>
      <c r="X1245" s="4583"/>
      <c r="Y1245" s="3575" t="str">
        <f t="array" ref="Y1245">IFERROR(VLOOKUP(Y1246,Dex!$B$3:$G1361,3,FALSE),"")</f>
        <v/>
      </c>
      <c r="Z1245" s="606"/>
      <c r="AA1245" s="606"/>
      <c r="AB1245" s="607"/>
      <c r="AC1245" s="4584"/>
      <c r="AD1245" s="3575" t="str">
        <f t="array" ref="AD1245">IFERROR(VLOOKUP(AD1246,Dex!$B$3:$G1361,3,FALSE),"")</f>
        <v/>
      </c>
      <c r="AE1245" s="606"/>
      <c r="AF1245" s="606"/>
      <c r="AG1245" s="607"/>
      <c r="AH1245" s="5740"/>
      <c r="AI1245" s="3466"/>
    </row>
    <row r="1246" ht="18.75" customHeight="1">
      <c r="A1246" s="3467"/>
      <c r="B1246" s="3584"/>
      <c r="C1246" s="3585" t="s">
        <v>1750</v>
      </c>
      <c r="D1246" s="3586"/>
      <c r="E1246" s="3587" t="s">
        <v>1620</v>
      </c>
      <c r="F1246" s="3588"/>
      <c r="G1246" s="3588"/>
      <c r="H1246" s="3589"/>
      <c r="J1246" s="3587" t="s">
        <v>254</v>
      </c>
      <c r="K1246" s="3588"/>
      <c r="L1246" s="3588"/>
      <c r="M1246" s="3589"/>
      <c r="O1246" s="3587" t="s">
        <v>1751</v>
      </c>
      <c r="P1246" s="3588"/>
      <c r="Q1246" s="3588"/>
      <c r="R1246" s="3589"/>
      <c r="T1246" s="3587" t="s">
        <v>1752</v>
      </c>
      <c r="U1246" s="3588"/>
      <c r="V1246" s="3588"/>
      <c r="W1246" s="3589"/>
      <c r="Y1246" s="3587" t="s">
        <v>1110</v>
      </c>
      <c r="Z1246" s="3588"/>
      <c r="AA1246" s="3588"/>
      <c r="AB1246" s="3589"/>
      <c r="AD1246" s="3587" t="s">
        <v>999</v>
      </c>
      <c r="AE1246" s="3588"/>
      <c r="AF1246" s="3588"/>
      <c r="AG1246" s="3589"/>
      <c r="AH1246" s="5741"/>
      <c r="AI1246" s="3478"/>
    </row>
    <row r="1247">
      <c r="A1247" s="3479"/>
      <c r="B1247" s="3594"/>
      <c r="C1247" s="1638"/>
      <c r="D1247" s="3595"/>
      <c r="E1247" s="4586" t="s">
        <v>729</v>
      </c>
      <c r="F1247" s="3597"/>
      <c r="G1247" s="3597"/>
      <c r="H1247" s="4587"/>
      <c r="J1247" s="4586" t="s">
        <v>729</v>
      </c>
      <c r="K1247" s="3597"/>
      <c r="L1247" s="3597"/>
      <c r="M1247" s="4587"/>
      <c r="O1247" s="4586" t="s">
        <v>729</v>
      </c>
      <c r="P1247" s="3597"/>
      <c r="Q1247" s="3597"/>
      <c r="R1247" s="4587"/>
      <c r="T1247" s="4586" t="s">
        <v>729</v>
      </c>
      <c r="U1247" s="3597"/>
      <c r="V1247" s="3597"/>
      <c r="W1247" s="4587"/>
      <c r="Y1247" s="4586" t="s">
        <v>729</v>
      </c>
      <c r="Z1247" s="3597"/>
      <c r="AA1247" s="3597"/>
      <c r="AB1247" s="4587"/>
      <c r="AD1247" s="4586" t="s">
        <v>729</v>
      </c>
      <c r="AE1247" s="3597"/>
      <c r="AF1247" s="3597"/>
      <c r="AG1247" s="4587"/>
      <c r="AH1247" s="5742"/>
      <c r="AI1247" s="3487"/>
    </row>
    <row r="1248" ht="25.5" customHeight="1">
      <c r="A1248" s="3453"/>
      <c r="B1248" s="3572"/>
      <c r="C1248" s="1646"/>
      <c r="D1248" s="3574"/>
      <c r="E1248" s="3601"/>
      <c r="F1248" s="4588" t="str">
        <f t="array" ref="F1248">IFERROR(VLOOKUP(E1246,Dex!$B$3:$H1361,5,FALSE),"")</f>
        <v/>
      </c>
      <c r="G1248" s="4589" t="str">
        <f t="array" ref="G1248">IFERROR(VLOOKUP(E1246,Dex!$B$3:$H1361,7,FALSE),"")</f>
        <v/>
      </c>
      <c r="H1248" s="3604"/>
      <c r="J1248" s="3601"/>
      <c r="K1248" s="4588" t="str">
        <f t="array" ref="K1248">IFERROR(VLOOKUP(J1246,Dex!$B$3:$H1361,5,FALSE),"")</f>
        <v/>
      </c>
      <c r="L1248" s="4589" t="str">
        <f t="array" ref="L1248">IFERROR(VLOOKUP(J1246,Dex!$B$3:$H1361,7,FALSE),"")</f>
        <v/>
      </c>
      <c r="M1248" s="3604"/>
      <c r="O1248" s="3601"/>
      <c r="P1248" s="4588" t="str">
        <f t="array" ref="P1248">IFERROR(VLOOKUP(O1246,Dex!$B$3:$H1361,5,FALSE),"")</f>
        <v/>
      </c>
      <c r="Q1248" s="4589" t="str">
        <f t="array" ref="Q1248">IFERROR(VLOOKUP(O1246,Dex!$B$3:$H1361,7,FALSE),"")</f>
        <v/>
      </c>
      <c r="R1248" s="3604"/>
      <c r="T1248" s="3601"/>
      <c r="U1248" s="4588" t="str">
        <f t="array" ref="U1248">IFERROR(VLOOKUP(T1246,Dex!$B$3:$H1361,5,FALSE),"")</f>
        <v/>
      </c>
      <c r="V1248" s="4589" t="str">
        <f t="array" ref="V1248">IFERROR(VLOOKUP(T1246,Dex!$B$3:$H1361,7,FALSE),"")</f>
        <v/>
      </c>
      <c r="W1248" s="3604"/>
      <c r="Y1248" s="3601"/>
      <c r="Z1248" s="4588" t="str">
        <f t="array" ref="Z1248">IFERROR(VLOOKUP(Y1246,Dex!$B$3:$H1361,5,FALSE),"")</f>
        <v/>
      </c>
      <c r="AA1248" s="4589" t="str">
        <f t="array" ref="AA1248">IFERROR(VLOOKUP(Y1246,Dex!$B$3:$H1361,7,FALSE),"")</f>
        <v/>
      </c>
      <c r="AB1248" s="3604"/>
      <c r="AD1248" s="3601"/>
      <c r="AE1248" s="3602" t="str">
        <f t="array" ref="AE1248">IFERROR(VLOOKUP(AD1246,Dex!$B$3:$H1361,5,FALSE),"")</f>
        <v/>
      </c>
      <c r="AF1248" s="3603"/>
      <c r="AG1248" s="3604"/>
      <c r="AH1248" s="3583"/>
      <c r="AI1248" s="3466"/>
    </row>
    <row r="1249" ht="2.25" customHeight="1">
      <c r="A1249" s="3453"/>
      <c r="B1249" s="3572"/>
      <c r="C1249" s="3605"/>
      <c r="D1249" s="3574"/>
      <c r="E1249" s="3606"/>
      <c r="F1249" s="3607"/>
      <c r="G1249" s="3607"/>
      <c r="H1249" s="3608"/>
      <c r="J1249" s="3606"/>
      <c r="K1249" s="3607"/>
      <c r="L1249" s="3607"/>
      <c r="M1249" s="3608"/>
      <c r="O1249" s="3606"/>
      <c r="P1249" s="3607"/>
      <c r="Q1249" s="3607"/>
      <c r="R1249" s="3608"/>
      <c r="T1249" s="3606"/>
      <c r="U1249" s="3607"/>
      <c r="V1249" s="3607"/>
      <c r="W1249" s="3608"/>
      <c r="Y1249" s="3606"/>
      <c r="Z1249" s="3607"/>
      <c r="AA1249" s="3607"/>
      <c r="AB1249" s="3608"/>
      <c r="AD1249" s="3606"/>
      <c r="AE1249" s="3607"/>
      <c r="AF1249" s="3607"/>
      <c r="AG1249" s="3608"/>
      <c r="AH1249" s="3583"/>
      <c r="AI1249" s="3466"/>
    </row>
    <row r="1250" ht="20.25" customHeight="1">
      <c r="A1250" s="3453"/>
      <c r="B1250" s="3572"/>
      <c r="C1250" s="3605"/>
      <c r="D1250" s="3574"/>
      <c r="E1250" s="3610" t="s">
        <v>532</v>
      </c>
      <c r="F1250" s="3611"/>
      <c r="G1250" s="3611"/>
      <c r="H1250" s="3612"/>
      <c r="J1250" s="3610" t="s">
        <v>564</v>
      </c>
      <c r="K1250" s="3611"/>
      <c r="L1250" s="3611"/>
      <c r="M1250" s="3612"/>
      <c r="O1250" s="3610" t="s">
        <v>529</v>
      </c>
      <c r="P1250" s="3611"/>
      <c r="Q1250" s="3611"/>
      <c r="R1250" s="3612"/>
      <c r="T1250" s="3610" t="s">
        <v>532</v>
      </c>
      <c r="U1250" s="3611"/>
      <c r="V1250" s="3611"/>
      <c r="W1250" s="3612"/>
      <c r="Y1250" s="3610" t="s">
        <v>564</v>
      </c>
      <c r="Z1250" s="3611"/>
      <c r="AA1250" s="3611"/>
      <c r="AB1250" s="3612"/>
      <c r="AD1250" s="3610" t="s">
        <v>531</v>
      </c>
      <c r="AE1250" s="3611"/>
      <c r="AF1250" s="3611"/>
      <c r="AG1250" s="3612"/>
      <c r="AH1250" s="5740"/>
      <c r="AI1250" s="3466"/>
    </row>
    <row r="1251">
      <c r="A1251" s="3453"/>
      <c r="B1251" s="3572"/>
      <c r="C1251" s="3613"/>
      <c r="D1251" s="3574"/>
      <c r="E1251" s="3614" t="s">
        <v>1753</v>
      </c>
      <c r="F1251" s="3579"/>
      <c r="G1251" s="3579"/>
      <c r="H1251" s="3615"/>
      <c r="J1251" s="3614" t="s">
        <v>681</v>
      </c>
      <c r="K1251" s="3579"/>
      <c r="L1251" s="3579"/>
      <c r="M1251" s="3615"/>
      <c r="O1251" s="3614" t="s">
        <v>120</v>
      </c>
      <c r="P1251" s="3579"/>
      <c r="Q1251" s="3579"/>
      <c r="R1251" s="3615"/>
      <c r="T1251" s="3614" t="s">
        <v>1754</v>
      </c>
      <c r="U1251" s="3579"/>
      <c r="V1251" s="3579"/>
      <c r="W1251" s="3615"/>
      <c r="Y1251" s="3614" t="s">
        <v>484</v>
      </c>
      <c r="Z1251" s="3579"/>
      <c r="AA1251" s="3579"/>
      <c r="AB1251" s="3615"/>
      <c r="AD1251" s="3614" t="s">
        <v>1002</v>
      </c>
      <c r="AE1251" s="3579"/>
      <c r="AF1251" s="3579"/>
      <c r="AG1251" s="3615"/>
      <c r="AH1251" s="5740"/>
      <c r="AI1251" s="3466"/>
    </row>
    <row r="1252" ht="20.25" customHeight="1">
      <c r="A1252" s="3453"/>
      <c r="B1252" s="3572"/>
      <c r="C1252" s="3592"/>
      <c r="D1252" s="3574"/>
      <c r="E1252" s="3616" t="s">
        <v>1622</v>
      </c>
      <c r="F1252" s="3617"/>
      <c r="G1252" s="3618"/>
      <c r="H1252" s="3619" t="str">
        <f>IMAGE("https://raw.githubusercontent.com/msikma/pokesprite/master/items/mega-stone/lopunnite.png",3)</f>
        <v/>
      </c>
      <c r="J1252" s="3616" t="s">
        <v>733</v>
      </c>
      <c r="K1252" s="3617"/>
      <c r="L1252" s="3618"/>
      <c r="M1252" s="3619" t="str">
        <f>IMAGE("https://raw.githubusercontent.com/msikma/pokesprite/master/items/hold-item/leftovers.png",3)</f>
        <v/>
      </c>
      <c r="O1252" s="3616" t="s">
        <v>713</v>
      </c>
      <c r="P1252" s="3617"/>
      <c r="Q1252" s="3618"/>
      <c r="R1252" s="3619" t="str">
        <f>IMAGE("https://raw.githubusercontent.com/msikma/pokesprite/master/items/hold-item/assault-vest.png",3)</f>
        <v/>
      </c>
      <c r="T1252" s="3616" t="s">
        <v>541</v>
      </c>
      <c r="U1252" s="3617"/>
      <c r="V1252" s="3618"/>
      <c r="W1252" s="3619" t="str">
        <f>IMAGE("https://raw.githubusercontent.com/msikma/pokesprite/master/items/hold-item/life-orb.png",3)</f>
        <v/>
      </c>
      <c r="Y1252" s="3616" t="s">
        <v>1545</v>
      </c>
      <c r="Z1252" s="3617"/>
      <c r="AA1252" s="3618"/>
      <c r="AB1252" s="3619" t="str">
        <f>IMAGE("https://raw.githubusercontent.com/msikma/pokesprite/master/items/z-crystals/dragonium-z--held.png",3)</f>
        <v/>
      </c>
      <c r="AD1252" s="3616" t="s">
        <v>1445</v>
      </c>
      <c r="AE1252" s="3617"/>
      <c r="AF1252" s="3618"/>
      <c r="AG1252" s="3619" t="str">
        <f>IMAGE("https://raw.githubusercontent.com/msikma/pokesprite/master/items/hold-item/choice-scarf.png",3)</f>
        <v/>
      </c>
      <c r="AH1252" s="3583"/>
      <c r="AI1252" s="3466"/>
    </row>
    <row r="1253" ht="20.25" customHeight="1">
      <c r="A1253" s="3453"/>
      <c r="B1253" s="3572"/>
      <c r="C1253" s="3620"/>
      <c r="D1253" s="3574"/>
      <c r="E1253" s="3610" t="s">
        <v>777</v>
      </c>
      <c r="F1253" s="3611"/>
      <c r="G1253" s="3621"/>
      <c r="H1253" s="3622" t="str">
        <f t="shared" ref="H1253:H1254" si="41">IMAGE("https://raw.githubusercontent.com/msikma/pokesprite/master/misc/types/gen8/normal.png",4,20,20)</f>
        <v/>
      </c>
      <c r="J1253" s="3610" t="s">
        <v>266</v>
      </c>
      <c r="K1253" s="3611"/>
      <c r="L1253" s="3621"/>
      <c r="M1253" s="3622" t="str">
        <f>IMAGE("https://raw.githubusercontent.com/msikma/pokesprite/master/misc/types/gen8/bug.png",4,20,20)</f>
        <v/>
      </c>
      <c r="O1253" s="3610" t="s">
        <v>720</v>
      </c>
      <c r="P1253" s="3611"/>
      <c r="Q1253" s="3621"/>
      <c r="R1253" s="3622" t="str">
        <f>IMAGE("https://raw.githubusercontent.com/msikma/pokesprite/master/misc/types/gen8/fighting.png",4,20,20)</f>
        <v/>
      </c>
      <c r="T1253" s="3610" t="s">
        <v>1755</v>
      </c>
      <c r="U1253" s="3611"/>
      <c r="V1253" s="3621"/>
      <c r="W1253" s="3622" t="str">
        <f>IMAGE("https://raw.githubusercontent.com/msikma/pokesprite/master/misc/types/gen8/electric.png",4,20,20)</f>
        <v/>
      </c>
      <c r="Y1253" s="3610" t="s">
        <v>170</v>
      </c>
      <c r="Z1253" s="3611"/>
      <c r="AA1253" s="3621"/>
      <c r="AB1253" s="3622" t="str">
        <f>IMAGE("https://raw.githubusercontent.com/msikma/pokesprite/master/misc/types/gen8/psychic.png",4,20,20)</f>
        <v/>
      </c>
      <c r="AD1253" s="3610" t="s">
        <v>619</v>
      </c>
      <c r="AE1253" s="3611"/>
      <c r="AF1253" s="3621"/>
      <c r="AG1253" s="3622" t="str">
        <f>IMAGE("https://raw.githubusercontent.com/msikma/pokesprite/master/misc/types/gen8/fire.png",4,20,20)</f>
        <v/>
      </c>
      <c r="AH1253" s="3583"/>
      <c r="AI1253" s="3466"/>
    </row>
    <row r="1254" ht="20.25" customHeight="1">
      <c r="A1254" s="3453"/>
      <c r="B1254" s="3572"/>
      <c r="C1254" s="3605"/>
      <c r="D1254" s="3574"/>
      <c r="E1254" s="3614" t="s">
        <v>1497</v>
      </c>
      <c r="F1254" s="3579"/>
      <c r="G1254" s="3580"/>
      <c r="H1254" s="3623" t="str">
        <f t="shared" si="41"/>
        <v/>
      </c>
      <c r="J1254" s="3614" t="s">
        <v>987</v>
      </c>
      <c r="K1254" s="3579"/>
      <c r="L1254" s="3580"/>
      <c r="M1254" s="3623" t="str">
        <f t="shared" ref="M1254:M1255" si="42">IMAGE("https://raw.githubusercontent.com/msikma/pokesprite/master/misc/types/gen8/grass.png",4,20,20)</f>
        <v/>
      </c>
      <c r="O1254" s="3614" t="s">
        <v>502</v>
      </c>
      <c r="P1254" s="3579"/>
      <c r="Q1254" s="3580"/>
      <c r="R1254" s="3623" t="str">
        <f>IMAGE("https://raw.githubusercontent.com/msikma/pokesprite/master/misc/types/gen8/steel.png",4,20,20)</f>
        <v/>
      </c>
      <c r="T1254" s="3614" t="s">
        <v>1421</v>
      </c>
      <c r="U1254" s="3579"/>
      <c r="V1254" s="3580"/>
      <c r="W1254" s="3623" t="str">
        <f>IMAGE("https://raw.githubusercontent.com/msikma/pokesprite/master/misc/types/gen8/grass.png",4,20,20)</f>
        <v/>
      </c>
      <c r="Y1254" s="3614" t="s">
        <v>617</v>
      </c>
      <c r="Z1254" s="3579"/>
      <c r="AA1254" s="3580"/>
      <c r="AB1254" s="3623" t="str">
        <f>IMAGE("https://raw.githubusercontent.com/msikma/pokesprite/master/misc/types/gen8/dragon.png",4,20,20)</f>
        <v/>
      </c>
      <c r="AD1254" s="3614" t="s">
        <v>590</v>
      </c>
      <c r="AE1254" s="3579"/>
      <c r="AF1254" s="3580"/>
      <c r="AG1254" s="3623" t="str">
        <f>IMAGE("https://raw.githubusercontent.com/msikma/pokesprite/master/misc/types/gen8/fighting.png",4,20,20)</f>
        <v/>
      </c>
      <c r="AH1254" s="3583"/>
      <c r="AI1254" s="3466"/>
    </row>
    <row r="1255" ht="20.25" customHeight="1">
      <c r="A1255" s="3453"/>
      <c r="B1255" s="3572"/>
      <c r="C1255" s="3605"/>
      <c r="D1255" s="3574"/>
      <c r="E1255" s="3614" t="s">
        <v>583</v>
      </c>
      <c r="F1255" s="3579"/>
      <c r="G1255" s="3580"/>
      <c r="H1255" s="3623" t="str">
        <f>IMAGE("https://raw.githubusercontent.com/msikma/pokesprite/master/misc/types/gen8/fighting.png",4,20,20)</f>
        <v/>
      </c>
      <c r="J1255" s="3614" t="s">
        <v>543</v>
      </c>
      <c r="K1255" s="3579"/>
      <c r="L1255" s="3580"/>
      <c r="M1255" s="3623" t="str">
        <f t="shared" si="42"/>
        <v/>
      </c>
      <c r="O1255" s="3614" t="s">
        <v>927</v>
      </c>
      <c r="P1255" s="3579"/>
      <c r="Q1255" s="3580"/>
      <c r="R1255" s="3623" t="str">
        <f>IMAGE("https://raw.githubusercontent.com/msikma/pokesprite/master/misc/types/gen8/rock.png",4,20,20)</f>
        <v/>
      </c>
      <c r="T1255" s="3614" t="s">
        <v>1163</v>
      </c>
      <c r="U1255" s="3579"/>
      <c r="V1255" s="3580"/>
      <c r="W1255" s="3623" t="str">
        <f>IMAGE("https://raw.githubusercontent.com/msikma/pokesprite/master/misc/types/gen8/electric.png",4,20,20)</f>
        <v/>
      </c>
      <c r="Y1255" s="3614" t="s">
        <v>552</v>
      </c>
      <c r="Z1255" s="3579"/>
      <c r="AA1255" s="3580"/>
      <c r="AB1255" s="3623" t="str">
        <f>IMAGE("https://raw.githubusercontent.com/msikma/pokesprite/master/misc/types/gen8/psychic.png",4,20,20)</f>
        <v/>
      </c>
      <c r="AD1255" s="3614" t="s">
        <v>742</v>
      </c>
      <c r="AE1255" s="3579"/>
      <c r="AF1255" s="3580"/>
      <c r="AG1255" s="3623" t="str">
        <f>IMAGE("https://raw.githubusercontent.com/msikma/pokesprite/master/misc/types/gen8/grass.png",4,20,20)</f>
        <v/>
      </c>
      <c r="AH1255" s="3583"/>
      <c r="AI1255" s="3466"/>
    </row>
    <row r="1256" ht="21.0" customHeight="1">
      <c r="A1256" s="3453"/>
      <c r="B1256" s="3572"/>
      <c r="C1256" s="3605"/>
      <c r="D1256" s="3574"/>
      <c r="E1256" s="3624" t="s">
        <v>612</v>
      </c>
      <c r="F1256" s="3625"/>
      <c r="G1256" s="3626"/>
      <c r="H1256" s="3627" t="str">
        <f>IMAGE("https://raw.githubusercontent.com/msikma/pokesprite/master/misc/types/gen8/bug.png",4,20,20)</f>
        <v/>
      </c>
      <c r="I1256" s="3628"/>
      <c r="J1256" s="3624" t="s">
        <v>146</v>
      </c>
      <c r="K1256" s="3625"/>
      <c r="L1256" s="3626"/>
      <c r="M1256" s="3627" t="str">
        <f>IMAGE("https://raw.githubusercontent.com/msikma/pokesprite/master/misc/types/gen8/fire.png",4,20,20)</f>
        <v/>
      </c>
      <c r="N1256" s="3628"/>
      <c r="O1256" s="3624" t="s">
        <v>549</v>
      </c>
      <c r="P1256" s="3625"/>
      <c r="Q1256" s="3626"/>
      <c r="R1256" s="3627" t="str">
        <f>IMAGE("https://raw.githubusercontent.com/msikma/pokesprite/master/misc/types/gen8/ground.png",4,20,20)</f>
        <v/>
      </c>
      <c r="S1256" s="3628"/>
      <c r="T1256" s="3624" t="s">
        <v>812</v>
      </c>
      <c r="U1256" s="3625"/>
      <c r="V1256" s="3626"/>
      <c r="W1256" s="3627" t="str">
        <f>IMAGE("https://raw.githubusercontent.com/msikma/pokesprite/master/misc/types/gen8/dark.png",4,20,20)</f>
        <v/>
      </c>
      <c r="X1256" s="3628"/>
      <c r="Y1256" s="3624" t="s">
        <v>862</v>
      </c>
      <c r="Z1256" s="3625"/>
      <c r="AA1256" s="3626"/>
      <c r="AB1256" s="3627" t="str">
        <f>IMAGE("https://raw.githubusercontent.com/msikma/pokesprite/master/misc/types/gen8/fire.png",4,20,20)</f>
        <v/>
      </c>
      <c r="AC1256" s="3628"/>
      <c r="AD1256" s="3624" t="s">
        <v>587</v>
      </c>
      <c r="AE1256" s="3625"/>
      <c r="AF1256" s="3626"/>
      <c r="AG1256" s="3627" t="str">
        <f>IMAGE("https://raw.githubusercontent.com/msikma/pokesprite/master/misc/types/gen8/ice.png",4,20,20)</f>
        <v/>
      </c>
      <c r="AH1256" s="3583"/>
      <c r="AI1256" s="3466"/>
    </row>
    <row r="1257" ht="3.0" customHeight="1">
      <c r="A1257" s="3524"/>
      <c r="B1257" s="3630"/>
      <c r="C1257" s="3631"/>
      <c r="D1257" s="3632"/>
      <c r="E1257" s="3634"/>
      <c r="F1257" s="3634"/>
      <c r="G1257" s="3634"/>
      <c r="H1257" s="3633"/>
      <c r="I1257" s="3632"/>
      <c r="J1257" s="3634"/>
      <c r="K1257" s="3634"/>
      <c r="L1257" s="3634"/>
      <c r="M1257" s="3633"/>
      <c r="N1257" s="3632"/>
      <c r="O1257" s="3634"/>
      <c r="P1257" s="3634"/>
      <c r="Q1257" s="3634"/>
      <c r="R1257" s="3633"/>
      <c r="S1257" s="3635"/>
      <c r="T1257" s="3634"/>
      <c r="U1257" s="3634"/>
      <c r="V1257" s="3634"/>
      <c r="W1257" s="3633"/>
      <c r="X1257" s="3632"/>
      <c r="Y1257" s="3634"/>
      <c r="Z1257" s="3634"/>
      <c r="AA1257" s="3634"/>
      <c r="AB1257" s="3633"/>
      <c r="AC1257" s="3637"/>
      <c r="AD1257" s="3634"/>
      <c r="AE1257" s="3634"/>
      <c r="AF1257" s="3634"/>
      <c r="AG1257" s="3633"/>
      <c r="AH1257" s="3638"/>
      <c r="AI1257" s="3534"/>
    </row>
    <row r="1258" ht="16.5" customHeight="1">
      <c r="A1258" s="3535"/>
      <c r="B1258" s="3639"/>
      <c r="C1258" s="3631"/>
      <c r="D1258" s="4590"/>
      <c r="E1258" s="3641" t="s">
        <v>512</v>
      </c>
      <c r="F1258" s="606"/>
      <c r="G1258" s="606"/>
      <c r="H1258" s="607"/>
      <c r="I1258" s="3642"/>
      <c r="J1258" s="3641" t="s">
        <v>512</v>
      </c>
      <c r="K1258" s="606"/>
      <c r="L1258" s="606"/>
      <c r="M1258" s="607"/>
      <c r="N1258" s="4590"/>
      <c r="O1258" s="3641" t="s">
        <v>512</v>
      </c>
      <c r="P1258" s="606"/>
      <c r="Q1258" s="606"/>
      <c r="R1258" s="607"/>
      <c r="S1258" s="4591"/>
      <c r="T1258" s="3641" t="s">
        <v>512</v>
      </c>
      <c r="U1258" s="606"/>
      <c r="V1258" s="606"/>
      <c r="W1258" s="607"/>
      <c r="X1258" s="4592"/>
      <c r="Y1258" s="3641" t="s">
        <v>512</v>
      </c>
      <c r="Z1258" s="606"/>
      <c r="AA1258" s="606"/>
      <c r="AB1258" s="607"/>
      <c r="AC1258" s="4592"/>
      <c r="AD1258" s="3641" t="s">
        <v>512</v>
      </c>
      <c r="AE1258" s="606"/>
      <c r="AF1258" s="606"/>
      <c r="AG1258" s="607"/>
      <c r="AH1258" s="3645"/>
      <c r="AI1258" s="3543"/>
    </row>
    <row r="1259" ht="16.5" customHeight="1">
      <c r="A1259" s="3535"/>
      <c r="B1259" s="3639"/>
      <c r="C1259" s="3631"/>
      <c r="D1259" s="3640"/>
      <c r="E1259" s="3646" t="s">
        <v>513</v>
      </c>
      <c r="F1259" s="3647">
        <f t="array" ref="F1259">IFERROR(VLOOKUP(E1246,Dex!$B$3:$N1361,8,FALSE),"")</f>
        <v>65</v>
      </c>
      <c r="G1259" s="3648" t="str">
        <f t="array" ref="G1259">IFERROR(VLOOKUP(F1259,Dex!$P$22:$Q$276,2,FALSE),"")</f>
        <v/>
      </c>
      <c r="H1259" s="3649"/>
      <c r="I1259" s="3650"/>
      <c r="J1259" s="3646" t="s">
        <v>513</v>
      </c>
      <c r="K1259" s="3647">
        <f t="array" ref="K1259">IFERROR(VLOOKUP(J1246,Dex!$B$3:$N1361,8,FALSE),"")</f>
        <v>75</v>
      </c>
      <c r="L1259" s="3648" t="str">
        <f t="array" ref="L1259">IFERROR(VLOOKUP(K1259,Dex!$P$22:$Q$276,2,FALSE),"")</f>
        <v/>
      </c>
      <c r="M1259" s="3649"/>
      <c r="N1259" s="3640"/>
      <c r="O1259" s="3646" t="s">
        <v>513</v>
      </c>
      <c r="P1259" s="3647">
        <f t="array" ref="P1259">IFERROR(VLOOKUP(O1246,Dex!$B$3:$N1361,8,FALSE),"")</f>
        <v>61</v>
      </c>
      <c r="Q1259" s="3648" t="str">
        <f t="array" ref="Q1259">IFERROR(VLOOKUP(P1259,Dex!$P$22:$Q$276,2,FALSE),"")</f>
        <v/>
      </c>
      <c r="R1259" s="3649"/>
      <c r="S1259" s="3644"/>
      <c r="T1259" s="3646" t="s">
        <v>513</v>
      </c>
      <c r="U1259" s="3647">
        <f t="array" ref="U1259">IFERROR(VLOOKUP(T1246,Dex!$B$3:$N1361,8,FALSE),"")</f>
        <v>58</v>
      </c>
      <c r="V1259" s="3648" t="str">
        <f t="array" ref="V1259">IFERROR(VLOOKUP(U1259,Dex!$P$22:$Q$276,2,FALSE),"")</f>
        <v/>
      </c>
      <c r="W1259" s="3649"/>
      <c r="X1259" s="3644"/>
      <c r="Y1259" s="3646" t="s">
        <v>513</v>
      </c>
      <c r="Z1259" s="3647">
        <f t="array" ref="Z1259">IFERROR(VLOOKUP(Y1246,Dex!$B$3:$N1361,8,FALSE),"")</f>
        <v>80</v>
      </c>
      <c r="AA1259" s="3648" t="str">
        <f t="array" ref="AA1259">IFERROR(VLOOKUP(Z1259,Dex!$P$22:$Q$276,2,FALSE),"")</f>
        <v/>
      </c>
      <c r="AB1259" s="3649"/>
      <c r="AC1259" s="3644"/>
      <c r="AD1259" s="3646" t="s">
        <v>513</v>
      </c>
      <c r="AE1259" s="3647">
        <f t="array" ref="AE1259">IFERROR(VLOOKUP(AD1246,Dex!$B$3:$N1361,8,FALSE),"")</f>
        <v>75</v>
      </c>
      <c r="AF1259" s="3648" t="str">
        <f t="array" ref="AF1259">IFERROR(VLOOKUP(AE1259,Dex!$P$22:$Q$276,2,FALSE),"")</f>
        <v/>
      </c>
      <c r="AG1259" s="3649"/>
      <c r="AH1259" s="3645"/>
      <c r="AI1259" s="3543"/>
    </row>
    <row r="1260" ht="16.5" customHeight="1">
      <c r="A1260" s="3535"/>
      <c r="B1260" s="3639"/>
      <c r="C1260" s="3631"/>
      <c r="D1260" s="3640"/>
      <c r="E1260" s="3652" t="s">
        <v>514</v>
      </c>
      <c r="F1260" s="3653">
        <f t="array" ref="F1260">IFERROR(VLOOKUP(E1246,Dex!$B$3:$N1361,9,FALSE),"")</f>
        <v>136</v>
      </c>
      <c r="G1260" s="3654" t="str">
        <f t="array" ref="G1260">IFERROR(VLOOKUP(F1260,Dex!$P$22:$Q$276,2,FALSE),"")</f>
        <v/>
      </c>
      <c r="H1260" s="3655"/>
      <c r="I1260" s="3650"/>
      <c r="J1260" s="3652" t="s">
        <v>514</v>
      </c>
      <c r="K1260" s="3653">
        <f t="array" ref="K1260">IFERROR(VLOOKUP(J1246,Dex!$B$3:$N1361,9,FALSE),"")</f>
        <v>80</v>
      </c>
      <c r="L1260" s="3654" t="str">
        <f t="array" ref="L1260">IFERROR(VLOOKUP(K1260,Dex!$P$22:$Q$276,2,FALSE),"")</f>
        <v/>
      </c>
      <c r="M1260" s="3655"/>
      <c r="N1260" s="3640"/>
      <c r="O1260" s="3652" t="s">
        <v>514</v>
      </c>
      <c r="P1260" s="3653">
        <f t="array" ref="P1260">IFERROR(VLOOKUP(O1246,Dex!$B$3:$N1361,9,FALSE),"")</f>
        <v>131</v>
      </c>
      <c r="Q1260" s="3654" t="str">
        <f t="array" ref="Q1260">IFERROR(VLOOKUP(P1260,Dex!$P$22:$Q$276,2,FALSE),"")</f>
        <v/>
      </c>
      <c r="R1260" s="3655"/>
      <c r="S1260" s="3644"/>
      <c r="T1260" s="3652" t="s">
        <v>514</v>
      </c>
      <c r="U1260" s="3653">
        <f t="array" ref="U1260">IFERROR(VLOOKUP(T1246,Dex!$B$3:$N1361,9,FALSE),"")</f>
        <v>110</v>
      </c>
      <c r="V1260" s="3654" t="str">
        <f t="array" ref="V1260">IFERROR(VLOOKUP(U1260,Dex!$P$22:$Q$276,2,FALSE),"")</f>
        <v/>
      </c>
      <c r="W1260" s="3655"/>
      <c r="X1260" s="3644"/>
      <c r="Y1260" s="3652" t="s">
        <v>514</v>
      </c>
      <c r="Z1260" s="3653">
        <f t="array" ref="Z1260">IFERROR(VLOOKUP(Y1246,Dex!$B$3:$N1361,9,FALSE),"")</f>
        <v>80</v>
      </c>
      <c r="AA1260" s="3654" t="str">
        <f t="array" ref="AA1260">IFERROR(VLOOKUP(Z1260,Dex!$P$22:$Q$276,2,FALSE),"")</f>
        <v/>
      </c>
      <c r="AB1260" s="3655"/>
      <c r="AC1260" s="3644"/>
      <c r="AD1260" s="3652" t="s">
        <v>514</v>
      </c>
      <c r="AE1260" s="3653">
        <f t="array" ref="AE1260">IFERROR(VLOOKUP(AD1246,Dex!$B$3:$N1361,9,FALSE),"")</f>
        <v>98</v>
      </c>
      <c r="AF1260" s="3654" t="str">
        <f t="array" ref="AF1260">IFERROR(VLOOKUP(AE1260,Dex!$P$22:$Q$276,2,FALSE),"")</f>
        <v/>
      </c>
      <c r="AG1260" s="3655"/>
      <c r="AH1260" s="3645"/>
      <c r="AI1260" s="3543"/>
    </row>
    <row r="1261" ht="16.5" customHeight="1">
      <c r="A1261" s="3535"/>
      <c r="B1261" s="3639"/>
      <c r="C1261" s="3631"/>
      <c r="D1261" s="3640"/>
      <c r="E1261" s="3652" t="s">
        <v>515</v>
      </c>
      <c r="F1261" s="3653">
        <f t="array" ref="F1261">IFERROR(VLOOKUP(E1246,Dex!$B$3:$N1361,10,FALSE),"")</f>
        <v>94</v>
      </c>
      <c r="G1261" s="3654" t="str">
        <f t="array" ref="G1261">IFERROR(VLOOKUP(F1261,Dex!$P$22:$Q$276,2,FALSE),"")</f>
        <v/>
      </c>
      <c r="H1261" s="3655"/>
      <c r="I1261" s="3650"/>
      <c r="J1261" s="3652" t="s">
        <v>515</v>
      </c>
      <c r="K1261" s="3653">
        <f t="array" ref="K1261">IFERROR(VLOOKUP(J1246,Dex!$B$3:$N1361,10,FALSE),"")</f>
        <v>95</v>
      </c>
      <c r="L1261" s="3654" t="str">
        <f t="array" ref="L1261">IFERROR(VLOOKUP(K1261,Dex!$P$22:$Q$276,2,FALSE),"")</f>
        <v/>
      </c>
      <c r="M1261" s="3655"/>
      <c r="N1261" s="3640"/>
      <c r="O1261" s="3652" t="s">
        <v>515</v>
      </c>
      <c r="P1261" s="3653">
        <f t="array" ref="P1261">IFERROR(VLOOKUP(O1246,Dex!$B$3:$N1361,10,FALSE),"")</f>
        <v>211</v>
      </c>
      <c r="Q1261" s="3654" t="str">
        <f t="array" ref="Q1261">IFERROR(VLOOKUP(P1261,Dex!$P$22:$Q$276,2,FALSE),"")</f>
        <v/>
      </c>
      <c r="R1261" s="3655"/>
      <c r="S1261" s="3644"/>
      <c r="T1261" s="3652" t="s">
        <v>515</v>
      </c>
      <c r="U1261" s="3653">
        <f t="array" ref="U1261">IFERROR(VLOOKUP(T1246,Dex!$B$3:$N1361,10,FALSE),"")</f>
        <v>58</v>
      </c>
      <c r="V1261" s="3654" t="str">
        <f t="array" ref="V1261">IFERROR(VLOOKUP(U1261,Dex!$P$22:$Q$276,2,FALSE),"")</f>
        <v/>
      </c>
      <c r="W1261" s="3655"/>
      <c r="X1261" s="3644"/>
      <c r="Y1261" s="3652" t="s">
        <v>515</v>
      </c>
      <c r="Z1261" s="3653">
        <f t="array" ref="Z1261">IFERROR(VLOOKUP(Y1246,Dex!$B$3:$N1361,10,FALSE),"")</f>
        <v>90</v>
      </c>
      <c r="AA1261" s="3654" t="str">
        <f t="array" ref="AA1261">IFERROR(VLOOKUP(Z1261,Dex!$P$22:$Q$276,2,FALSE),"")</f>
        <v/>
      </c>
      <c r="AB1261" s="3655"/>
      <c r="AC1261" s="3644"/>
      <c r="AD1261" s="3652" t="s">
        <v>515</v>
      </c>
      <c r="AE1261" s="3653">
        <f t="array" ref="AE1261">IFERROR(VLOOKUP(AD1246,Dex!$B$3:$N1361,10,FALSE),"")</f>
        <v>63</v>
      </c>
      <c r="AF1261" s="3654" t="str">
        <f t="array" ref="AF1261">IFERROR(VLOOKUP(AE1261,Dex!$P$22:$Q$276,2,FALSE),"")</f>
        <v/>
      </c>
      <c r="AG1261" s="3655"/>
      <c r="AH1261" s="3645"/>
      <c r="AI1261" s="3543"/>
    </row>
    <row r="1262" ht="16.5" customHeight="1">
      <c r="A1262" s="3535"/>
      <c r="B1262" s="3639"/>
      <c r="C1262" s="3631"/>
      <c r="D1262" s="3640"/>
      <c r="E1262" s="3652" t="s">
        <v>516</v>
      </c>
      <c r="F1262" s="3653">
        <f t="array" ref="F1262">IFERROR(VLOOKUP(E1246,Dex!$B$3:$N1361,11,FALSE),"")</f>
        <v>54</v>
      </c>
      <c r="G1262" s="3654" t="str">
        <f t="array" ref="G1262">IFERROR(VLOOKUP(F1262,Dex!$P$22:$Q$276,2,FALSE),"")</f>
        <v/>
      </c>
      <c r="H1262" s="3655"/>
      <c r="I1262" s="3650"/>
      <c r="J1262" s="3652" t="s">
        <v>516</v>
      </c>
      <c r="K1262" s="3653">
        <f t="array" ref="K1262">IFERROR(VLOOKUP(J1246,Dex!$B$3:$N1361,11,FALSE),"")</f>
        <v>90</v>
      </c>
      <c r="L1262" s="3654" t="str">
        <f t="array" ref="L1262">IFERROR(VLOOKUP(K1262,Dex!$P$22:$Q$276,2,FALSE),"")</f>
        <v/>
      </c>
      <c r="M1262" s="3655"/>
      <c r="N1262" s="3640"/>
      <c r="O1262" s="3652" t="s">
        <v>516</v>
      </c>
      <c r="P1262" s="3653">
        <f t="array" ref="P1262">IFERROR(VLOOKUP(O1246,Dex!$B$3:$N1361,11,FALSE),"")</f>
        <v>53</v>
      </c>
      <c r="Q1262" s="3654" t="str">
        <f t="array" ref="Q1262">IFERROR(VLOOKUP(P1262,Dex!$P$22:$Q$276,2,FALSE),"")</f>
        <v/>
      </c>
      <c r="R1262" s="3655"/>
      <c r="S1262" s="3644"/>
      <c r="T1262" s="3652" t="s">
        <v>516</v>
      </c>
      <c r="U1262" s="3653">
        <f t="array" ref="U1262">IFERROR(VLOOKUP(T1246,Dex!$B$3:$N1361,11,FALSE),"")</f>
        <v>70</v>
      </c>
      <c r="V1262" s="3654" t="str">
        <f t="array" ref="V1262">IFERROR(VLOOKUP(U1262,Dex!$P$22:$Q$276,2,FALSE),"")</f>
        <v/>
      </c>
      <c r="W1262" s="3655"/>
      <c r="X1262" s="3644"/>
      <c r="Y1262" s="3652" t="s">
        <v>516</v>
      </c>
      <c r="Z1262" s="3653">
        <f t="array" ref="Z1262">IFERROR(VLOOKUP(Y1246,Dex!$B$3:$N1361,11,FALSE),"")</f>
        <v>110</v>
      </c>
      <c r="AA1262" s="3654" t="str">
        <f t="array" ref="AA1262">IFERROR(VLOOKUP(Z1262,Dex!$P$22:$Q$276,2,FALSE),"")</f>
        <v/>
      </c>
      <c r="AB1262" s="3655"/>
      <c r="AC1262" s="3644"/>
      <c r="AD1262" s="3652" t="s">
        <v>516</v>
      </c>
      <c r="AE1262" s="3653">
        <f t="array" ref="AE1262">IFERROR(VLOOKUP(AD1246,Dex!$B$3:$N1361,11,FALSE),"")</f>
        <v>98</v>
      </c>
      <c r="AF1262" s="3654" t="str">
        <f t="array" ref="AF1262">IFERROR(VLOOKUP(AE1262,Dex!$P$22:$Q$276,2,FALSE),"")</f>
        <v/>
      </c>
      <c r="AG1262" s="3655"/>
      <c r="AH1262" s="3645"/>
      <c r="AI1262" s="3543"/>
    </row>
    <row r="1263" ht="16.5" customHeight="1">
      <c r="A1263" s="3535"/>
      <c r="B1263" s="3639"/>
      <c r="C1263" s="3631"/>
      <c r="D1263" s="3640"/>
      <c r="E1263" s="3652" t="s">
        <v>517</v>
      </c>
      <c r="F1263" s="3653">
        <f t="array" ref="F1263">IFERROR(VLOOKUP(E1246,Dex!$B$3:$N1361,12,FALSE),"")</f>
        <v>96</v>
      </c>
      <c r="G1263" s="3654" t="str">
        <f t="array" ref="G1263">IFERROR(VLOOKUP(F1263,Dex!$P$22:$Q$276,2,FALSE),"")</f>
        <v/>
      </c>
      <c r="H1263" s="3655"/>
      <c r="I1263" s="3650"/>
      <c r="J1263" s="3652" t="s">
        <v>517</v>
      </c>
      <c r="K1263" s="3653">
        <f t="array" ref="K1263">IFERROR(VLOOKUP(J1246,Dex!$B$3:$N1361,12,FALSE),"")</f>
        <v>100</v>
      </c>
      <c r="L1263" s="3654" t="str">
        <f t="array" ref="L1263">IFERROR(VLOOKUP(K1263,Dex!$P$22:$Q$276,2,FALSE),"")</f>
        <v/>
      </c>
      <c r="M1263" s="3655"/>
      <c r="N1263" s="3640"/>
      <c r="O1263" s="3652" t="s">
        <v>517</v>
      </c>
      <c r="P1263" s="3653">
        <f t="array" ref="P1263">IFERROR(VLOOKUP(O1246,Dex!$B$3:$N1361,12,FALSE),"")</f>
        <v>101</v>
      </c>
      <c r="Q1263" s="3654" t="str">
        <f t="array" ref="Q1263">IFERROR(VLOOKUP(P1263,Dex!$P$22:$Q$276,2,FALSE),"")</f>
        <v/>
      </c>
      <c r="R1263" s="3655"/>
      <c r="S1263" s="3644"/>
      <c r="T1263" s="3652" t="s">
        <v>517</v>
      </c>
      <c r="U1263" s="3653">
        <f t="array" ref="U1263">IFERROR(VLOOKUP(T1246,Dex!$B$3:$N1361,12,FALSE),"")</f>
        <v>58</v>
      </c>
      <c r="V1263" s="3654" t="str">
        <f t="array" ref="V1263">IFERROR(VLOOKUP(U1263,Dex!$P$22:$Q$276,2,FALSE),"")</f>
        <v/>
      </c>
      <c r="W1263" s="3655"/>
      <c r="X1263" s="3644"/>
      <c r="Y1263" s="3652" t="s">
        <v>517</v>
      </c>
      <c r="Z1263" s="3653">
        <f t="array" ref="Z1263">IFERROR(VLOOKUP(Y1246,Dex!$B$3:$N1361,12,FALSE),"")</f>
        <v>130</v>
      </c>
      <c r="AA1263" s="3654" t="str">
        <f t="array" ref="AA1263">IFERROR(VLOOKUP(Z1263,Dex!$P$22:$Q$276,2,FALSE),"")</f>
        <v/>
      </c>
      <c r="AB1263" s="3655"/>
      <c r="AC1263" s="3644"/>
      <c r="AD1263" s="3652" t="s">
        <v>517</v>
      </c>
      <c r="AE1263" s="3653">
        <f t="array" ref="AE1263">IFERROR(VLOOKUP(AD1246,Dex!$B$3:$N1361,12,FALSE),"")</f>
        <v>63</v>
      </c>
      <c r="AF1263" s="3654" t="str">
        <f t="array" ref="AF1263">IFERROR(VLOOKUP(AE1263,Dex!$P$22:$Q$276,2,FALSE),"")</f>
        <v/>
      </c>
      <c r="AG1263" s="3655"/>
      <c r="AH1263" s="3645"/>
      <c r="AI1263" s="3543"/>
    </row>
    <row r="1264" ht="16.5" customHeight="1">
      <c r="A1264" s="3535"/>
      <c r="B1264" s="3639"/>
      <c r="C1264" s="1426" t="s">
        <v>745</v>
      </c>
      <c r="D1264" s="3640"/>
      <c r="E1264" s="3658" t="s">
        <v>518</v>
      </c>
      <c r="F1264" s="3659">
        <f t="array" ref="F1264">IFERROR(VLOOKUP(E1246,Dex!$B$3:$N1361,13,FALSE),"")</f>
        <v>135</v>
      </c>
      <c r="G1264" s="3660" t="str">
        <f t="array" ref="G1264">IFERROR(VLOOKUP(F1264,Dex!$P$22:$Q$276,2,FALSE),"")</f>
        <v/>
      </c>
      <c r="H1264" s="3661"/>
      <c r="I1264" s="3650"/>
      <c r="J1264" s="3658" t="s">
        <v>518</v>
      </c>
      <c r="K1264" s="3659">
        <f t="array" ref="K1264">IFERROR(VLOOKUP(J1246,Dex!$B$3:$N1361,13,FALSE),"")</f>
        <v>50</v>
      </c>
      <c r="L1264" s="3660" t="str">
        <f t="array" ref="L1264">IFERROR(VLOOKUP(K1264,Dex!$P$22:$Q$276,2,FALSE),"")</f>
        <v/>
      </c>
      <c r="M1264" s="3661"/>
      <c r="N1264" s="3640"/>
      <c r="O1264" s="3658" t="s">
        <v>518</v>
      </c>
      <c r="P1264" s="3659">
        <f t="array" ref="P1264">IFERROR(VLOOKUP(O1246,Dex!$B$3:$N1361,13,FALSE),"")</f>
        <v>13</v>
      </c>
      <c r="Q1264" s="3660" t="str">
        <f t="array" ref="Q1264">IFERROR(VLOOKUP(P1264,Dex!$P$22:$Q$276,2,FALSE),"")</f>
        <v/>
      </c>
      <c r="R1264" s="3661"/>
      <c r="S1264" s="3644"/>
      <c r="T1264" s="3658" t="s">
        <v>518</v>
      </c>
      <c r="U1264" s="3659">
        <f t="array" ref="U1264">IFERROR(VLOOKUP(T1246,Dex!$B$3:$N1361,13,FALSE),"")</f>
        <v>97</v>
      </c>
      <c r="V1264" s="3660" t="str">
        <f t="array" ref="V1264">IFERROR(VLOOKUP(U1264,Dex!$P$22:$Q$276,2,FALSE),"")</f>
        <v/>
      </c>
      <c r="W1264" s="3661"/>
      <c r="X1264" s="3644"/>
      <c r="Y1264" s="3658" t="s">
        <v>518</v>
      </c>
      <c r="Z1264" s="3659">
        <f t="array" ref="Z1264">IFERROR(VLOOKUP(Y1246,Dex!$B$3:$N1361,13,FALSE),"")</f>
        <v>110</v>
      </c>
      <c r="AA1264" s="3660" t="str">
        <f t="array" ref="AA1264">IFERROR(VLOOKUP(Z1264,Dex!$P$22:$Q$276,2,FALSE),"")</f>
        <v/>
      </c>
      <c r="AB1264" s="3661"/>
      <c r="AC1264" s="3644"/>
      <c r="AD1264" s="3658" t="s">
        <v>518</v>
      </c>
      <c r="AE1264" s="3659">
        <f t="array" ref="AE1264">IFERROR(VLOOKUP(AD1246,Dex!$B$3:$N1361,13,FALSE),"")</f>
        <v>101</v>
      </c>
      <c r="AF1264" s="3660" t="str">
        <f t="array" ref="AF1264">IFERROR(VLOOKUP(AE1264,Dex!$P$22:$Q$276,2,FALSE),"")</f>
        <v/>
      </c>
      <c r="AG1264" s="3661"/>
      <c r="AH1264" s="3645"/>
      <c r="AI1264" s="3543"/>
    </row>
    <row r="1265" ht="16.5" customHeight="1">
      <c r="A1265" s="3535"/>
      <c r="B1265" s="3639"/>
      <c r="C1265" s="1427" t="s">
        <v>1739</v>
      </c>
      <c r="D1265" s="4590"/>
      <c r="E1265" s="3662" t="s">
        <v>519</v>
      </c>
      <c r="F1265" s="630"/>
      <c r="G1265" s="631"/>
      <c r="H1265" s="632">
        <f>ROUNDDOWN((ROUNDDOWN(((((2*F1264+31)*85)/100+5)),0))*1.1,0)</f>
        <v>286</v>
      </c>
      <c r="I1265" s="3642"/>
      <c r="J1265" s="3662" t="s">
        <v>519</v>
      </c>
      <c r="K1265" s="630"/>
      <c r="L1265" s="631"/>
      <c r="M1265" s="632">
        <f>ROUNDDOWN((ROUNDDOWN(((((2*K1264+31)*85)/100+5)),0))*1.1,0)</f>
        <v>127</v>
      </c>
      <c r="N1265" s="4590"/>
      <c r="O1265" s="3662" t="s">
        <v>519</v>
      </c>
      <c r="P1265" s="630"/>
      <c r="Q1265" s="631"/>
      <c r="R1265" s="632">
        <f>ROUNDDOWN((ROUNDDOWN(((((2*P1264)*85)/100+5)),0))*0.9,0)</f>
        <v>24</v>
      </c>
      <c r="S1265" s="4592"/>
      <c r="T1265" s="3662" t="s">
        <v>519</v>
      </c>
      <c r="U1265" s="630"/>
      <c r="V1265" s="631"/>
      <c r="W1265" s="632">
        <f>ROUNDDOWN((ROUNDDOWN(((((2*U1264+31)*85)/100+5)),0))*1.1,0)</f>
        <v>215</v>
      </c>
      <c r="X1265" s="4592"/>
      <c r="Y1265" s="3662" t="s">
        <v>519</v>
      </c>
      <c r="Z1265" s="630"/>
      <c r="AA1265" s="631"/>
      <c r="AB1265" s="632">
        <f>ROUNDDOWN((ROUNDDOWN(((((2*Z1264+31)*85)/100+5)),0))*1.1,0)</f>
        <v>239</v>
      </c>
      <c r="AC1265" s="4592"/>
      <c r="AD1265" s="4593" t="s">
        <v>519</v>
      </c>
      <c r="AE1265" s="635"/>
      <c r="AF1265" s="636"/>
      <c r="AG1265" s="632">
        <f>ROUNDDOWN((ROUNDDOWN(((((2*AE1264+31)*85)/100+5)),0))*1,0)</f>
        <v>203</v>
      </c>
      <c r="AH1265" s="3645"/>
      <c r="AI1265" s="3543"/>
    </row>
    <row r="1266" ht="16.5" customHeight="1">
      <c r="A1266" s="3535"/>
      <c r="B1266" s="4594"/>
      <c r="C1266" s="3631"/>
      <c r="D1266" s="5480"/>
      <c r="E1266" s="3631"/>
      <c r="F1266" s="3631"/>
      <c r="G1266" s="3631"/>
      <c r="H1266" s="3631"/>
      <c r="I1266" s="4596"/>
      <c r="J1266" s="3631"/>
      <c r="K1266" s="3631"/>
      <c r="L1266" s="3631"/>
      <c r="M1266" s="3631"/>
      <c r="N1266" s="5480"/>
      <c r="O1266" s="3631"/>
      <c r="P1266" s="3631"/>
      <c r="Q1266" s="3631"/>
      <c r="R1266" s="3631"/>
      <c r="S1266" s="4598"/>
      <c r="T1266" s="3631"/>
      <c r="U1266" s="3631"/>
      <c r="V1266" s="3631"/>
      <c r="W1266" s="3631"/>
      <c r="X1266" s="4598"/>
      <c r="Y1266" s="3631"/>
      <c r="Z1266" s="3631"/>
      <c r="AA1266" s="3631"/>
      <c r="AB1266" s="3631"/>
      <c r="AC1266" s="4599"/>
      <c r="AD1266" s="4597" t="s">
        <v>1449</v>
      </c>
      <c r="AE1266" s="643"/>
      <c r="AF1266" s="644"/>
      <c r="AG1266" s="645">
        <f>ROUNDDOWN(AG1265*1.5,0)</f>
        <v>304</v>
      </c>
      <c r="AH1266" s="4600"/>
      <c r="AI1266" s="3543"/>
    </row>
    <row r="1267" ht="15.0" customHeight="1">
      <c r="A1267" s="3453"/>
      <c r="B1267" s="3663"/>
      <c r="C1267" s="3664"/>
      <c r="D1267" s="3665"/>
      <c r="E1267" s="3666"/>
      <c r="F1267" s="3666"/>
      <c r="G1267" s="3666"/>
      <c r="H1267" s="3667"/>
      <c r="I1267" s="3667"/>
      <c r="J1267" s="3668"/>
      <c r="K1267" s="3668"/>
      <c r="L1267" s="3668"/>
      <c r="M1267" s="3667"/>
      <c r="N1267" s="3669"/>
      <c r="O1267" s="3670"/>
      <c r="P1267" s="3670"/>
      <c r="Q1267" s="3671"/>
      <c r="R1267" s="3671"/>
      <c r="S1267" s="3671"/>
      <c r="T1267" s="3670"/>
      <c r="U1267" s="3670"/>
      <c r="V1267" s="3671"/>
      <c r="W1267" s="3671"/>
      <c r="X1267" s="3669"/>
      <c r="Y1267" s="4601"/>
      <c r="Z1267" s="4601"/>
      <c r="AA1267" s="4601"/>
      <c r="AB1267" s="3672"/>
      <c r="AC1267" s="3672"/>
      <c r="AD1267" s="3672"/>
      <c r="AE1267" s="3672"/>
      <c r="AF1267" s="3672"/>
      <c r="AG1267" s="3672"/>
      <c r="AH1267" s="3673"/>
      <c r="AI1267" s="3466"/>
    </row>
    <row r="1268" ht="15.0" customHeight="1">
      <c r="A1268" s="3446"/>
      <c r="B1268" s="3567"/>
      <c r="C1268" s="3568"/>
      <c r="D1268" s="3569"/>
      <c r="E1268" s="3570"/>
      <c r="F1268" s="3570"/>
      <c r="G1268" s="3570"/>
      <c r="H1268" s="3570"/>
      <c r="I1268" s="3569"/>
      <c r="J1268" s="3570"/>
      <c r="K1268" s="3570"/>
      <c r="L1268" s="3570"/>
      <c r="M1268" s="3570"/>
      <c r="N1268" s="3569"/>
      <c r="O1268" s="3570"/>
      <c r="P1268" s="3570"/>
      <c r="Q1268" s="3570"/>
      <c r="R1268" s="3570"/>
      <c r="S1268" s="3569"/>
      <c r="T1268" s="3570"/>
      <c r="U1268" s="3570"/>
      <c r="V1268" s="3570"/>
      <c r="W1268" s="3570"/>
      <c r="X1268" s="3569"/>
      <c r="Y1268" s="3570"/>
      <c r="Z1268" s="3570"/>
      <c r="AA1268" s="3570"/>
      <c r="AB1268" s="3570"/>
      <c r="AC1268" s="3569"/>
      <c r="AD1268" s="3570"/>
      <c r="AE1268" s="3570"/>
      <c r="AF1268" s="3570"/>
      <c r="AG1268" s="3570"/>
      <c r="AH1268" s="3571"/>
      <c r="AI1268" s="3452"/>
    </row>
    <row r="1269" ht="96.75" customHeight="1">
      <c r="A1269" s="3453"/>
      <c r="B1269" s="3572"/>
      <c r="C1269" s="3573" t="str">
        <f>IMAGE("https://i.ibb.co/TKBZjnF/Ace-Trainer-M.png")</f>
        <v/>
      </c>
      <c r="D1269" s="3574"/>
      <c r="E1269" s="3575" t="str">
        <f t="array" ref="E1269">IFERROR(VLOOKUP(E1270,Dex!$B$3:$G1361,3,FALSE),"")</f>
        <v/>
      </c>
      <c r="F1269" s="606"/>
      <c r="G1269" s="606"/>
      <c r="H1269" s="607"/>
      <c r="I1269" s="3576"/>
      <c r="J1269" s="3575" t="str">
        <f t="array" ref="J1269">IFERROR(VLOOKUP(J1270,Dex!$B$3:$G1361,3,FALSE),"")</f>
        <v/>
      </c>
      <c r="K1269" s="606"/>
      <c r="L1269" s="606"/>
      <c r="M1269" s="607"/>
      <c r="N1269" s="4583"/>
      <c r="O1269" s="3575" t="str">
        <f t="array" ref="O1269">IFERROR(VLOOKUP(O1270,Dex!$B$3:$G1361,3,FALSE),"")</f>
        <v/>
      </c>
      <c r="P1269" s="606"/>
      <c r="Q1269" s="606"/>
      <c r="R1269" s="607"/>
      <c r="S1269" s="4584"/>
      <c r="T1269" s="3575" t="str">
        <f t="array" ref="T1269">IFERROR(VLOOKUP(T1270,Dex!$B$3:$G1361,3,FALSE),"")</f>
        <v/>
      </c>
      <c r="U1269" s="606"/>
      <c r="V1269" s="606"/>
      <c r="W1269" s="607"/>
      <c r="X1269" s="4583"/>
      <c r="Y1269" s="3575" t="str">
        <f t="array" ref="Y1269">IFERROR(VLOOKUP(Y1270,Dex!$B$3:$G1361,3,FALSE),"")</f>
        <v/>
      </c>
      <c r="Z1269" s="606"/>
      <c r="AA1269" s="606"/>
      <c r="AB1269" s="607"/>
      <c r="AC1269" s="4584"/>
      <c r="AD1269" s="3575" t="str">
        <f t="array" ref="AD1269">IFERROR(VLOOKUP(AD1270,Dex!$B$3:$G1361,3,FALSE),"")</f>
        <v/>
      </c>
      <c r="AE1269" s="606"/>
      <c r="AF1269" s="606"/>
      <c r="AG1269" s="607"/>
      <c r="AH1269" s="5740"/>
      <c r="AI1269" s="3466"/>
    </row>
    <row r="1270" ht="18.75" customHeight="1">
      <c r="A1270" s="3467"/>
      <c r="B1270" s="3584"/>
      <c r="C1270" s="3585" t="s">
        <v>1756</v>
      </c>
      <c r="D1270" s="3586"/>
      <c r="E1270" s="3587" t="s">
        <v>1157</v>
      </c>
      <c r="F1270" s="3588"/>
      <c r="G1270" s="3588"/>
      <c r="H1270" s="3589"/>
      <c r="J1270" s="3587" t="s">
        <v>1757</v>
      </c>
      <c r="K1270" s="3588"/>
      <c r="L1270" s="3588"/>
      <c r="M1270" s="3589"/>
      <c r="O1270" s="3587" t="s">
        <v>1758</v>
      </c>
      <c r="P1270" s="3588"/>
      <c r="Q1270" s="3588"/>
      <c r="R1270" s="3589"/>
      <c r="T1270" s="3587" t="s">
        <v>1759</v>
      </c>
      <c r="U1270" s="3588"/>
      <c r="V1270" s="3588"/>
      <c r="W1270" s="3589"/>
      <c r="Y1270" s="3587" t="s">
        <v>865</v>
      </c>
      <c r="Z1270" s="3588"/>
      <c r="AA1270" s="3588"/>
      <c r="AB1270" s="3589"/>
      <c r="AD1270" s="3587" t="s">
        <v>1760</v>
      </c>
      <c r="AE1270" s="3588"/>
      <c r="AF1270" s="3588"/>
      <c r="AG1270" s="3589"/>
      <c r="AH1270" s="5741"/>
      <c r="AI1270" s="3478"/>
    </row>
    <row r="1271">
      <c r="A1271" s="3479"/>
      <c r="B1271" s="3594"/>
      <c r="C1271" s="1638"/>
      <c r="D1271" s="3595"/>
      <c r="E1271" s="4586" t="s">
        <v>729</v>
      </c>
      <c r="F1271" s="3597"/>
      <c r="G1271" s="3597"/>
      <c r="H1271" s="4587"/>
      <c r="J1271" s="4586" t="s">
        <v>729</v>
      </c>
      <c r="K1271" s="3597"/>
      <c r="L1271" s="3597"/>
      <c r="M1271" s="4587"/>
      <c r="O1271" s="4586" t="s">
        <v>729</v>
      </c>
      <c r="P1271" s="3597"/>
      <c r="Q1271" s="3597"/>
      <c r="R1271" s="4587"/>
      <c r="T1271" s="4586" t="s">
        <v>729</v>
      </c>
      <c r="U1271" s="3597"/>
      <c r="V1271" s="3597"/>
      <c r="W1271" s="4587"/>
      <c r="Y1271" s="4586" t="s">
        <v>729</v>
      </c>
      <c r="Z1271" s="3597"/>
      <c r="AA1271" s="3597"/>
      <c r="AB1271" s="4587"/>
      <c r="AD1271" s="4586" t="s">
        <v>729</v>
      </c>
      <c r="AE1271" s="3597"/>
      <c r="AF1271" s="3597"/>
      <c r="AG1271" s="4587"/>
      <c r="AH1271" s="5742"/>
      <c r="AI1271" s="3487"/>
    </row>
    <row r="1272" ht="25.5" customHeight="1">
      <c r="A1272" s="3453"/>
      <c r="B1272" s="3572"/>
      <c r="C1272" s="1646"/>
      <c r="D1272" s="3574"/>
      <c r="E1272" s="3601"/>
      <c r="F1272" s="3602" t="str">
        <f t="array" ref="F1272">IFERROR(VLOOKUP(E1270,Dex!$B$3:$H1361,5,FALSE),"")</f>
        <v/>
      </c>
      <c r="G1272" s="3603"/>
      <c r="H1272" s="3604"/>
      <c r="J1272" s="3601"/>
      <c r="K1272" s="4588" t="str">
        <f t="array" ref="K1272">IFERROR(VLOOKUP(J1270,Dex!$B$3:$H1361,5,FALSE),"")</f>
        <v/>
      </c>
      <c r="L1272" s="4589" t="str">
        <f t="array" ref="L1272">IFERROR(VLOOKUP(J1270,Dex!$B$3:$H1361,7,FALSE),"")</f>
        <v/>
      </c>
      <c r="M1272" s="3604"/>
      <c r="O1272" s="3601"/>
      <c r="P1272" s="4588" t="str">
        <f t="array" ref="P1272">IFERROR(VLOOKUP(O1270,Dex!$B$3:$H1361,5,FALSE),"")</f>
        <v/>
      </c>
      <c r="Q1272" s="4589" t="str">
        <f t="array" ref="Q1272">IFERROR(VLOOKUP(O1270,Dex!$B$3:$H1361,7,FALSE),"")</f>
        <v/>
      </c>
      <c r="R1272" s="3604"/>
      <c r="T1272" s="3601"/>
      <c r="U1272" s="4588" t="str">
        <f t="array" ref="U1272">IFERROR(VLOOKUP(T1270,Dex!$B$3:$H1361,5,FALSE),"")</f>
        <v/>
      </c>
      <c r="V1272" s="4589" t="str">
        <f t="array" ref="V1272">IFERROR(VLOOKUP(T1270,Dex!$B$3:$H1361,7,FALSE),"")</f>
        <v/>
      </c>
      <c r="W1272" s="3604"/>
      <c r="Y1272" s="3601"/>
      <c r="Z1272" s="4588" t="str">
        <f t="array" ref="Z1272">IFERROR(VLOOKUP(Y1270,Dex!$B$3:$H1361,5,FALSE),"")</f>
        <v/>
      </c>
      <c r="AA1272" s="4589" t="str">
        <f t="array" ref="AA1272">IFERROR(VLOOKUP(Y1270,Dex!$B$3:$H1361,7,FALSE),"")</f>
        <v/>
      </c>
      <c r="AB1272" s="3604"/>
      <c r="AD1272" s="3601"/>
      <c r="AE1272" s="4588" t="str">
        <f t="array" ref="AE1272">IFERROR(VLOOKUP(AD1270,Dex!$B$3:$H1361,5,FALSE),"")</f>
        <v/>
      </c>
      <c r="AF1272" s="4589" t="str">
        <f t="array" ref="AF1272">IFERROR(VLOOKUP(AD1270,Dex!$B$3:$H1361,7,FALSE),"")</f>
        <v/>
      </c>
      <c r="AG1272" s="3604"/>
      <c r="AH1272" s="3583"/>
      <c r="AI1272" s="3466"/>
    </row>
    <row r="1273" ht="2.25" customHeight="1">
      <c r="A1273" s="3453"/>
      <c r="B1273" s="3572"/>
      <c r="C1273" s="3605"/>
      <c r="D1273" s="3574"/>
      <c r="E1273" s="3606"/>
      <c r="F1273" s="3607"/>
      <c r="G1273" s="3607"/>
      <c r="H1273" s="3608"/>
      <c r="J1273" s="3606"/>
      <c r="K1273" s="3607"/>
      <c r="L1273" s="3607"/>
      <c r="M1273" s="3608"/>
      <c r="O1273" s="3606"/>
      <c r="P1273" s="3607"/>
      <c r="Q1273" s="3607"/>
      <c r="R1273" s="3608"/>
      <c r="T1273" s="3606"/>
      <c r="U1273" s="3607"/>
      <c r="V1273" s="3607"/>
      <c r="W1273" s="3608"/>
      <c r="Y1273" s="3606"/>
      <c r="Z1273" s="3607"/>
      <c r="AA1273" s="3607"/>
      <c r="AB1273" s="3608"/>
      <c r="AD1273" s="3606"/>
      <c r="AE1273" s="3607"/>
      <c r="AF1273" s="3607"/>
      <c r="AG1273" s="3608"/>
      <c r="AH1273" s="3583"/>
      <c r="AI1273" s="3466"/>
    </row>
    <row r="1274" ht="20.25" customHeight="1">
      <c r="A1274" s="3453"/>
      <c r="B1274" s="3572"/>
      <c r="C1274" s="3605"/>
      <c r="D1274" s="3574"/>
      <c r="E1274" s="3610" t="s">
        <v>566</v>
      </c>
      <c r="F1274" s="3611"/>
      <c r="G1274" s="3611"/>
      <c r="H1274" s="3612"/>
      <c r="J1274" s="3610" t="s">
        <v>564</v>
      </c>
      <c r="K1274" s="3611"/>
      <c r="L1274" s="3611"/>
      <c r="M1274" s="3612"/>
      <c r="O1274" s="3610" t="s">
        <v>532</v>
      </c>
      <c r="P1274" s="3611"/>
      <c r="Q1274" s="3611"/>
      <c r="R1274" s="3612"/>
      <c r="T1274" s="3610" t="s">
        <v>566</v>
      </c>
      <c r="U1274" s="3611"/>
      <c r="V1274" s="3611"/>
      <c r="W1274" s="3612"/>
      <c r="Y1274" s="3610" t="s">
        <v>564</v>
      </c>
      <c r="Z1274" s="3611"/>
      <c r="AA1274" s="3611"/>
      <c r="AB1274" s="3612"/>
      <c r="AD1274" s="3610" t="s">
        <v>566</v>
      </c>
      <c r="AE1274" s="3611"/>
      <c r="AF1274" s="3611"/>
      <c r="AG1274" s="3612"/>
      <c r="AH1274" s="5740"/>
      <c r="AI1274" s="3466"/>
    </row>
    <row r="1275">
      <c r="A1275" s="3453"/>
      <c r="B1275" s="3572"/>
      <c r="C1275" s="3613"/>
      <c r="D1275" s="3574"/>
      <c r="E1275" s="3614" t="s">
        <v>60</v>
      </c>
      <c r="F1275" s="3579"/>
      <c r="G1275" s="3579"/>
      <c r="H1275" s="3615"/>
      <c r="J1275" s="3614" t="s">
        <v>1761</v>
      </c>
      <c r="K1275" s="3579"/>
      <c r="L1275" s="3579"/>
      <c r="M1275" s="3615"/>
      <c r="O1275" s="3614" t="s">
        <v>825</v>
      </c>
      <c r="P1275" s="3579"/>
      <c r="Q1275" s="3579"/>
      <c r="R1275" s="3615"/>
      <c r="T1275" s="3614" t="s">
        <v>1762</v>
      </c>
      <c r="U1275" s="3579"/>
      <c r="V1275" s="3579"/>
      <c r="W1275" s="3615"/>
      <c r="Y1275" s="3614" t="s">
        <v>484</v>
      </c>
      <c r="Z1275" s="3579"/>
      <c r="AA1275" s="3579"/>
      <c r="AB1275" s="3615"/>
      <c r="AD1275" s="3614" t="s">
        <v>826</v>
      </c>
      <c r="AE1275" s="3579"/>
      <c r="AF1275" s="3579"/>
      <c r="AG1275" s="3615"/>
      <c r="AH1275" s="5740"/>
      <c r="AI1275" s="3466"/>
    </row>
    <row r="1276" ht="20.25" customHeight="1">
      <c r="A1276" s="3453"/>
      <c r="B1276" s="3572"/>
      <c r="C1276" s="3592"/>
      <c r="D1276" s="3574"/>
      <c r="E1276" s="3616" t="s">
        <v>733</v>
      </c>
      <c r="F1276" s="3617"/>
      <c r="G1276" s="3618"/>
      <c r="H1276" s="3619" t="str">
        <f>IMAGE("https://raw.githubusercontent.com/msikma/pokesprite/master/items/hold-item/leftovers.png",3)</f>
        <v/>
      </c>
      <c r="J1276" s="3616" t="s">
        <v>1763</v>
      </c>
      <c r="K1276" s="3617"/>
      <c r="L1276" s="3618"/>
      <c r="M1276" s="3619" t="str">
        <f>IMAGE("https://raw.githubusercontent.com/msikma/pokesprite/master/items/mega-stone/diancite.png",3)</f>
        <v/>
      </c>
      <c r="O1276" s="3616" t="s">
        <v>1173</v>
      </c>
      <c r="P1276" s="3617"/>
      <c r="Q1276" s="3618"/>
      <c r="R1276" s="3619" t="str">
        <f>IMAGE("https://raw.githubusercontent.com/msikma/pokesprite/master/items/hold-item/scope-lens.png",3)</f>
        <v/>
      </c>
      <c r="T1276" s="3616" t="s">
        <v>713</v>
      </c>
      <c r="U1276" s="3617"/>
      <c r="V1276" s="3618"/>
      <c r="W1276" s="3619" t="str">
        <f>IMAGE("https://raw.githubusercontent.com/msikma/pokesprite/master/items/hold-item/assault-vest.png",3)</f>
        <v/>
      </c>
      <c r="Y1276" s="3616" t="s">
        <v>1261</v>
      </c>
      <c r="Z1276" s="3617"/>
      <c r="AA1276" s="3618"/>
      <c r="AB1276" s="3619" t="str">
        <f>IMAGE("https://raw.githubusercontent.com/msikma/pokesprite/master/items/z-crystals/ghostium-z--held.png",3)</f>
        <v/>
      </c>
      <c r="AD1276" s="3616" t="s">
        <v>733</v>
      </c>
      <c r="AE1276" s="3617"/>
      <c r="AF1276" s="3618"/>
      <c r="AG1276" s="3619" t="str">
        <f>IMAGE("https://raw.githubusercontent.com/msikma/pokesprite/master/items/hold-item/leftovers.png",3)</f>
        <v/>
      </c>
      <c r="AH1276" s="3583"/>
      <c r="AI1276" s="3466"/>
    </row>
    <row r="1277" ht="20.25" customHeight="1">
      <c r="A1277" s="3453"/>
      <c r="B1277" s="3572"/>
      <c r="C1277" s="3620"/>
      <c r="D1277" s="3574"/>
      <c r="E1277" s="3610" t="s">
        <v>878</v>
      </c>
      <c r="F1277" s="3611"/>
      <c r="G1277" s="3621"/>
      <c r="H1277" s="3622" t="str">
        <f>IMAGE("https://raw.githubusercontent.com/msikma/pokesprite/master/misc/types/gen8/fire.png",4,20,20)</f>
        <v/>
      </c>
      <c r="J1277" s="3610" t="s">
        <v>641</v>
      </c>
      <c r="K1277" s="3611"/>
      <c r="L1277" s="3621"/>
      <c r="M1277" s="3622" t="str">
        <f>IMAGE("https://raw.githubusercontent.com/msikma/pokesprite/master/misc/types/gen8/fairy.png",4,20,20)</f>
        <v/>
      </c>
      <c r="O1277" s="3610" t="s">
        <v>287</v>
      </c>
      <c r="P1277" s="3611"/>
      <c r="Q1277" s="3621"/>
      <c r="R1277" s="3622" t="str">
        <f>IMAGE("https://raw.githubusercontent.com/msikma/pokesprite/master/misc/types/gen8/normal.png",4,20,20)</f>
        <v/>
      </c>
      <c r="T1277" s="3610" t="s">
        <v>1146</v>
      </c>
      <c r="U1277" s="3611"/>
      <c r="V1277" s="3621"/>
      <c r="W1277" s="3622" t="str">
        <f t="shared" ref="W1277:W1278" si="43">IMAGE("https://raw.githubusercontent.com/msikma/pokesprite/master/misc/types/gen8/dark.png",4,20,20)</f>
        <v/>
      </c>
      <c r="Y1277" s="3610" t="s">
        <v>259</v>
      </c>
      <c r="Z1277" s="3611"/>
      <c r="AA1277" s="3621"/>
      <c r="AB1277" s="3622" t="str">
        <f>IMAGE("https://raw.githubusercontent.com/msikma/pokesprite/master/misc/types/gen8/dark.png",4,20,20)</f>
        <v/>
      </c>
      <c r="AD1277" s="3610" t="s">
        <v>1439</v>
      </c>
      <c r="AE1277" s="3611"/>
      <c r="AF1277" s="3621"/>
      <c r="AG1277" s="3622" t="str">
        <f>IMAGE("https://raw.githubusercontent.com/msikma/pokesprite/master/misc/types/gen8/fighting.png",4,20,20)</f>
        <v/>
      </c>
      <c r="AH1277" s="3583"/>
      <c r="AI1277" s="3466"/>
    </row>
    <row r="1278" ht="20.25" customHeight="1">
      <c r="A1278" s="3453"/>
      <c r="B1278" s="3572"/>
      <c r="C1278" s="3605"/>
      <c r="D1278" s="3574"/>
      <c r="E1278" s="3614" t="s">
        <v>958</v>
      </c>
      <c r="F1278" s="3579"/>
      <c r="G1278" s="3580"/>
      <c r="H1278" s="3623" t="str">
        <f>IMAGE("https://raw.githubusercontent.com/msikma/pokesprite/master/misc/types/gen8/normal.png",4,20,20)</f>
        <v/>
      </c>
      <c r="J1278" s="3614" t="s">
        <v>1764</v>
      </c>
      <c r="K1278" s="3579"/>
      <c r="L1278" s="3580"/>
      <c r="M1278" s="3623" t="str">
        <f>IMAGE("https://raw.githubusercontent.com/msikma/pokesprite/master/misc/types/gen8/rock.png",4,20,20)</f>
        <v/>
      </c>
      <c r="O1278" s="3614" t="s">
        <v>1041</v>
      </c>
      <c r="P1278" s="3579"/>
      <c r="Q1278" s="3580"/>
      <c r="R1278" s="3623" t="str">
        <f>IMAGE("https://raw.githubusercontent.com/msikma/pokesprite/master/misc/types/gen8/grass.png",4,20,20)</f>
        <v/>
      </c>
      <c r="T1278" s="3614" t="s">
        <v>579</v>
      </c>
      <c r="U1278" s="3579"/>
      <c r="V1278" s="3580"/>
      <c r="W1278" s="3623" t="str">
        <f t="shared" si="43"/>
        <v/>
      </c>
      <c r="Y1278" s="3614" t="s">
        <v>641</v>
      </c>
      <c r="Z1278" s="3579"/>
      <c r="AA1278" s="3580"/>
      <c r="AB1278" s="3623" t="str">
        <f>IMAGE("https://raw.githubusercontent.com/msikma/pokesprite/master/misc/types/gen8/fairy.png",4,20,20)</f>
        <v/>
      </c>
      <c r="AD1278" s="3614" t="s">
        <v>974</v>
      </c>
      <c r="AE1278" s="3579"/>
      <c r="AF1278" s="3580"/>
      <c r="AG1278" s="3623" t="str">
        <f>IMAGE("https://raw.githubusercontent.com/msikma/pokesprite/master/misc/types/gen8/water.png",4,20,20)</f>
        <v/>
      </c>
      <c r="AH1278" s="3583"/>
      <c r="AI1278" s="3466"/>
    </row>
    <row r="1279" ht="20.25" customHeight="1">
      <c r="A1279" s="3453"/>
      <c r="B1279" s="3572"/>
      <c r="C1279" s="3605"/>
      <c r="D1279" s="3574"/>
      <c r="E1279" s="3614" t="s">
        <v>694</v>
      </c>
      <c r="F1279" s="3579"/>
      <c r="G1279" s="3580"/>
      <c r="H1279" s="3623" t="str">
        <f>IMAGE("https://raw.githubusercontent.com/msikma/pokesprite/master/misc/types/gen8/fire.png",4,20,20)</f>
        <v/>
      </c>
      <c r="J1279" s="3614" t="s">
        <v>644</v>
      </c>
      <c r="K1279" s="3579"/>
      <c r="L1279" s="3580"/>
      <c r="M1279" s="3623" t="str">
        <f>IMAGE("https://raw.githubusercontent.com/msikma/pokesprite/master/misc/types/gen8/ground.png",4,20,20)</f>
        <v/>
      </c>
      <c r="O1279" s="3614" t="s">
        <v>624</v>
      </c>
      <c r="P1279" s="3579"/>
      <c r="Q1279" s="3580"/>
      <c r="R1279" s="3623" t="str">
        <f>IMAGE("https://raw.githubusercontent.com/msikma/pokesprite/master/misc/types/gen8/fighting.png",4,20,20)</f>
        <v/>
      </c>
      <c r="T1279" s="3614" t="s">
        <v>545</v>
      </c>
      <c r="U1279" s="3579"/>
      <c r="V1279" s="3580"/>
      <c r="W1279" s="3623" t="str">
        <f>IMAGE("https://raw.githubusercontent.com/msikma/pokesprite/master/misc/types/gen8/poison.png",4,20,20)</f>
        <v/>
      </c>
      <c r="Y1279" s="3614" t="s">
        <v>647</v>
      </c>
      <c r="Z1279" s="3579"/>
      <c r="AA1279" s="3580"/>
      <c r="AB1279" s="3623" t="str">
        <f>IMAGE("https://raw.githubusercontent.com/msikma/pokesprite/master/misc/types/gen8/ghost.png",4,20,20)</f>
        <v/>
      </c>
      <c r="AD1279" s="3614" t="s">
        <v>584</v>
      </c>
      <c r="AE1279" s="3579"/>
      <c r="AF1279" s="3580"/>
      <c r="AG1279" s="3623" t="str">
        <f>IMAGE("https://raw.githubusercontent.com/msikma/pokesprite/master/misc/types/gen8/fighting.png",4,20,20)</f>
        <v/>
      </c>
      <c r="AH1279" s="3583"/>
      <c r="AI1279" s="3466"/>
    </row>
    <row r="1280" ht="21.0" customHeight="1">
      <c r="A1280" s="3453"/>
      <c r="B1280" s="3572"/>
      <c r="C1280" s="3605"/>
      <c r="D1280" s="3574"/>
      <c r="E1280" s="3624" t="s">
        <v>623</v>
      </c>
      <c r="F1280" s="3625"/>
      <c r="G1280" s="3626"/>
      <c r="H1280" s="3627" t="str">
        <f>IMAGE("https://raw.githubusercontent.com/msikma/pokesprite/master/misc/types/gen8/psychic.png",4,20,20)</f>
        <v/>
      </c>
      <c r="I1280" s="3628"/>
      <c r="J1280" s="3624" t="s">
        <v>1247</v>
      </c>
      <c r="K1280" s="3625"/>
      <c r="L1280" s="3626"/>
      <c r="M1280" s="3627" t="str">
        <f>IMAGE("https://raw.githubusercontent.com/msikma/pokesprite/master/misc/types/gen8/fairy.png",4,20,20)</f>
        <v/>
      </c>
      <c r="N1280" s="3628"/>
      <c r="O1280" s="3624" t="s">
        <v>904</v>
      </c>
      <c r="P1280" s="3625"/>
      <c r="Q1280" s="3626"/>
      <c r="R1280" s="3627" t="str">
        <f>IMAGE("https://raw.githubusercontent.com/msikma/pokesprite/master/misc/types/gen8/psychic.png",4,20,20)</f>
        <v/>
      </c>
      <c r="S1280" s="3628"/>
      <c r="T1280" s="3624" t="s">
        <v>1020</v>
      </c>
      <c r="U1280" s="3625"/>
      <c r="V1280" s="3626"/>
      <c r="W1280" s="3627" t="str">
        <f>IMAGE("https://raw.githubusercontent.com/msikma/pokesprite/master/misc/types/gen8/fire.png",4,20,20)</f>
        <v/>
      </c>
      <c r="X1280" s="3628"/>
      <c r="Y1280" s="3624" t="s">
        <v>862</v>
      </c>
      <c r="Z1280" s="3625"/>
      <c r="AA1280" s="3626"/>
      <c r="AB1280" s="3627" t="str">
        <f>IMAGE("https://raw.githubusercontent.com/msikma/pokesprite/master/misc/types/gen8/fire.png",4,20,20)</f>
        <v/>
      </c>
      <c r="AC1280" s="3628"/>
      <c r="AD1280" s="3624" t="s">
        <v>589</v>
      </c>
      <c r="AE1280" s="3625"/>
      <c r="AF1280" s="3626"/>
      <c r="AG1280" s="3627" t="str">
        <f>IMAGE("https://raw.githubusercontent.com/msikma/pokesprite/master/misc/types/gen8/ice.png",4,20,20)</f>
        <v/>
      </c>
      <c r="AH1280" s="3583"/>
      <c r="AI1280" s="3466"/>
    </row>
    <row r="1281" ht="3.0" customHeight="1">
      <c r="A1281" s="3524"/>
      <c r="B1281" s="3630"/>
      <c r="C1281" s="3631"/>
      <c r="D1281" s="3632"/>
      <c r="E1281" s="3634"/>
      <c r="F1281" s="3634"/>
      <c r="G1281" s="3634"/>
      <c r="H1281" s="3633"/>
      <c r="I1281" s="3632"/>
      <c r="J1281" s="3634"/>
      <c r="K1281" s="3634"/>
      <c r="L1281" s="3634"/>
      <c r="M1281" s="3633"/>
      <c r="N1281" s="3632"/>
      <c r="O1281" s="3634"/>
      <c r="P1281" s="3634"/>
      <c r="Q1281" s="3634"/>
      <c r="R1281" s="3633"/>
      <c r="S1281" s="3635"/>
      <c r="T1281" s="3634"/>
      <c r="U1281" s="3634"/>
      <c r="V1281" s="3634"/>
      <c r="W1281" s="3633"/>
      <c r="X1281" s="3632"/>
      <c r="Y1281" s="3634"/>
      <c r="Z1281" s="3634"/>
      <c r="AA1281" s="3634"/>
      <c r="AB1281" s="3633"/>
      <c r="AC1281" s="3637"/>
      <c r="AD1281" s="3634"/>
      <c r="AE1281" s="3634"/>
      <c r="AF1281" s="3634"/>
      <c r="AG1281" s="3633"/>
      <c r="AH1281" s="3638"/>
      <c r="AI1281" s="3534"/>
    </row>
    <row r="1282" ht="16.5" customHeight="1">
      <c r="A1282" s="3535"/>
      <c r="B1282" s="3639"/>
      <c r="C1282" s="3631"/>
      <c r="D1282" s="4590"/>
      <c r="E1282" s="3641" t="s">
        <v>512</v>
      </c>
      <c r="F1282" s="606"/>
      <c r="G1282" s="606"/>
      <c r="H1282" s="607"/>
      <c r="I1282" s="3642"/>
      <c r="J1282" s="3641" t="s">
        <v>512</v>
      </c>
      <c r="K1282" s="606"/>
      <c r="L1282" s="606"/>
      <c r="M1282" s="607"/>
      <c r="N1282" s="4590"/>
      <c r="O1282" s="3641" t="s">
        <v>512</v>
      </c>
      <c r="P1282" s="606"/>
      <c r="Q1282" s="606"/>
      <c r="R1282" s="607"/>
      <c r="S1282" s="4591"/>
      <c r="T1282" s="3641" t="s">
        <v>512</v>
      </c>
      <c r="U1282" s="606"/>
      <c r="V1282" s="606"/>
      <c r="W1282" s="607"/>
      <c r="X1282" s="4592"/>
      <c r="Y1282" s="3641" t="s">
        <v>512</v>
      </c>
      <c r="Z1282" s="606"/>
      <c r="AA1282" s="606"/>
      <c r="AB1282" s="607"/>
      <c r="AC1282" s="4592"/>
      <c r="AD1282" s="3641" t="s">
        <v>512</v>
      </c>
      <c r="AE1282" s="606"/>
      <c r="AF1282" s="606"/>
      <c r="AG1282" s="607"/>
      <c r="AH1282" s="3645"/>
      <c r="AI1282" s="3543"/>
    </row>
    <row r="1283" ht="16.5" customHeight="1">
      <c r="A1283" s="3535"/>
      <c r="B1283" s="3639"/>
      <c r="C1283" s="3631"/>
      <c r="D1283" s="3640"/>
      <c r="E1283" s="3646" t="s">
        <v>513</v>
      </c>
      <c r="F1283" s="3647">
        <f t="array" ref="F1283">IFERROR(VLOOKUP(E1270,Dex!$B$3:$N1361,8,FALSE),"")</f>
        <v>90</v>
      </c>
      <c r="G1283" s="3648" t="str">
        <f t="array" ref="G1283">IFERROR(VLOOKUP(F1283,Dex!$P$22:$Q$276,2,FALSE),"")</f>
        <v/>
      </c>
      <c r="H1283" s="3649"/>
      <c r="I1283" s="3650"/>
      <c r="J1283" s="3646" t="s">
        <v>513</v>
      </c>
      <c r="K1283" s="3647">
        <f t="array" ref="K1283">IFERROR(VLOOKUP(J1270,Dex!$B$3:$N1361,8,FALSE),"")</f>
        <v>50</v>
      </c>
      <c r="L1283" s="3648" t="str">
        <f t="array" ref="L1283">IFERROR(VLOOKUP(K1283,Dex!$P$22:$Q$276,2,FALSE),"")</f>
        <v/>
      </c>
      <c r="M1283" s="3649"/>
      <c r="N1283" s="3640"/>
      <c r="O1283" s="3646" t="s">
        <v>513</v>
      </c>
      <c r="P1283" s="3647">
        <f t="array" ref="P1283">IFERROR(VLOOKUP(O1270,Dex!$B$3:$N1361,8,FALSE),"")</f>
        <v>90</v>
      </c>
      <c r="Q1283" s="3648" t="str">
        <f t="array" ref="Q1283">IFERROR(VLOOKUP(P1283,Dex!$P$22:$Q$276,2,FALSE),"")</f>
        <v/>
      </c>
      <c r="R1283" s="3649"/>
      <c r="S1283" s="3644"/>
      <c r="T1283" s="3646" t="s">
        <v>513</v>
      </c>
      <c r="U1283" s="3647">
        <f t="array" ref="U1283">IFERROR(VLOOKUP(T1270,Dex!$B$3:$N1361,8,FALSE),"")</f>
        <v>105</v>
      </c>
      <c r="V1283" s="3648" t="str">
        <f t="array" ref="V1283">IFERROR(VLOOKUP(U1283,Dex!$P$22:$Q$276,2,FALSE),"")</f>
        <v/>
      </c>
      <c r="W1283" s="3649"/>
      <c r="X1283" s="3644"/>
      <c r="Y1283" s="3646" t="s">
        <v>513</v>
      </c>
      <c r="Z1283" s="3647">
        <f t="array" ref="Z1283">IFERROR(VLOOKUP(Y1270,Dex!$B$3:$N1361,8,FALSE),"")</f>
        <v>70</v>
      </c>
      <c r="AA1283" s="3648" t="str">
        <f t="array" ref="AA1283">IFERROR(VLOOKUP(Z1283,Dex!$P$22:$Q$276,2,FALSE),"")</f>
        <v/>
      </c>
      <c r="AB1283" s="3649"/>
      <c r="AC1283" s="3644"/>
      <c r="AD1283" s="3646" t="s">
        <v>513</v>
      </c>
      <c r="AE1283" s="3647">
        <f t="array" ref="AE1283">IFERROR(VLOOKUP(AD1270,Dex!$B$3:$N1361,8,FALSE),"")</f>
        <v>80</v>
      </c>
      <c r="AF1283" s="3648" t="str">
        <f t="array" ref="AF1283">IFERROR(VLOOKUP(AE1283,Dex!$P$22:$Q$276,2,FALSE),"")</f>
        <v/>
      </c>
      <c r="AG1283" s="3649"/>
      <c r="AH1283" s="3645"/>
      <c r="AI1283" s="3543"/>
    </row>
    <row r="1284" ht="16.5" customHeight="1">
      <c r="A1284" s="3535"/>
      <c r="B1284" s="3639"/>
      <c r="C1284" s="3631"/>
      <c r="D1284" s="3640"/>
      <c r="E1284" s="3652" t="s">
        <v>514</v>
      </c>
      <c r="F1284" s="3653">
        <f t="array" ref="F1284">IFERROR(VLOOKUP(E1270,Dex!$B$3:$N1361,9,FALSE),"")</f>
        <v>110</v>
      </c>
      <c r="G1284" s="3654" t="str">
        <f t="array" ref="G1284">IFERROR(VLOOKUP(F1284,Dex!$P$22:$Q$276,2,FALSE),"")</f>
        <v/>
      </c>
      <c r="H1284" s="3655"/>
      <c r="I1284" s="3650"/>
      <c r="J1284" s="3652" t="s">
        <v>514</v>
      </c>
      <c r="K1284" s="3653">
        <f t="array" ref="K1284">IFERROR(VLOOKUP(J1270,Dex!$B$3:$N1361,9,FALSE),"")</f>
        <v>160</v>
      </c>
      <c r="L1284" s="3654" t="str">
        <f t="array" ref="L1284">IFERROR(VLOOKUP(K1284,Dex!$P$22:$Q$276,2,FALSE),"")</f>
        <v/>
      </c>
      <c r="M1284" s="3655"/>
      <c r="N1284" s="3640"/>
      <c r="O1284" s="3652" t="s">
        <v>514</v>
      </c>
      <c r="P1284" s="3653">
        <f t="array" ref="P1284">IFERROR(VLOOKUP(O1270,Dex!$B$3:$N1361,9,FALSE),"")</f>
        <v>130</v>
      </c>
      <c r="Q1284" s="3654" t="str">
        <f t="array" ref="Q1284">IFERROR(VLOOKUP(P1284,Dex!$P$22:$Q$276,2,FALSE),"")</f>
        <v/>
      </c>
      <c r="R1284" s="3655"/>
      <c r="S1284" s="3644"/>
      <c r="T1284" s="3652" t="s">
        <v>514</v>
      </c>
      <c r="U1284" s="3653">
        <f t="array" ref="U1284">IFERROR(VLOOKUP(T1270,Dex!$B$3:$N1361,9,FALSE),"")</f>
        <v>105</v>
      </c>
      <c r="V1284" s="3654" t="str">
        <f t="array" ref="V1284">IFERROR(VLOOKUP(U1284,Dex!$P$22:$Q$276,2,FALSE),"")</f>
        <v/>
      </c>
      <c r="W1284" s="3655"/>
      <c r="X1284" s="3644"/>
      <c r="Y1284" s="3652" t="s">
        <v>514</v>
      </c>
      <c r="Z1284" s="3653">
        <f t="array" ref="Z1284">IFERROR(VLOOKUP(Y1270,Dex!$B$3:$N1361,9,FALSE),"")</f>
        <v>60</v>
      </c>
      <c r="AA1284" s="3654" t="str">
        <f t="array" ref="AA1284">IFERROR(VLOOKUP(Z1284,Dex!$P$22:$Q$276,2,FALSE),"")</f>
        <v/>
      </c>
      <c r="AB1284" s="3655"/>
      <c r="AC1284" s="3644"/>
      <c r="AD1284" s="3652" t="s">
        <v>514</v>
      </c>
      <c r="AE1284" s="3653">
        <f t="array" ref="AE1284">IFERROR(VLOOKUP(AD1270,Dex!$B$3:$N1361,9,FALSE),"")</f>
        <v>118</v>
      </c>
      <c r="AF1284" s="3654" t="str">
        <f t="array" ref="AF1284">IFERROR(VLOOKUP(AE1284,Dex!$P$22:$Q$276,2,FALSE),"")</f>
        <v/>
      </c>
      <c r="AG1284" s="3655"/>
      <c r="AH1284" s="3645"/>
      <c r="AI1284" s="3543"/>
    </row>
    <row r="1285" ht="16.5" customHeight="1">
      <c r="A1285" s="3535"/>
      <c r="B1285" s="3639"/>
      <c r="C1285" s="3631"/>
      <c r="D1285" s="3640"/>
      <c r="E1285" s="3652" t="s">
        <v>515</v>
      </c>
      <c r="F1285" s="3653">
        <f t="array" ref="F1285">IFERROR(VLOOKUP(E1270,Dex!$B$3:$N1361,10,FALSE),"")</f>
        <v>80</v>
      </c>
      <c r="G1285" s="3654" t="str">
        <f t="array" ref="G1285">IFERROR(VLOOKUP(F1285,Dex!$P$22:$Q$276,2,FALSE),"")</f>
        <v/>
      </c>
      <c r="H1285" s="3655"/>
      <c r="I1285" s="3650"/>
      <c r="J1285" s="3652" t="s">
        <v>515</v>
      </c>
      <c r="K1285" s="3653">
        <f t="array" ref="K1285">IFERROR(VLOOKUP(J1270,Dex!$B$3:$N1361,10,FALSE),"")</f>
        <v>110</v>
      </c>
      <c r="L1285" s="3654" t="str">
        <f t="array" ref="L1285">IFERROR(VLOOKUP(K1285,Dex!$P$22:$Q$276,2,FALSE),"")</f>
        <v/>
      </c>
      <c r="M1285" s="3655"/>
      <c r="N1285" s="3640"/>
      <c r="O1285" s="3652" t="s">
        <v>515</v>
      </c>
      <c r="P1285" s="3653">
        <f t="array" ref="P1285">IFERROR(VLOOKUP(O1270,Dex!$B$3:$N1361,10,FALSE),"")</f>
        <v>88</v>
      </c>
      <c r="Q1285" s="3654" t="str">
        <f t="array" ref="Q1285">IFERROR(VLOOKUP(P1285,Dex!$P$22:$Q$276,2,FALSE),"")</f>
        <v/>
      </c>
      <c r="R1285" s="3655"/>
      <c r="S1285" s="3644"/>
      <c r="T1285" s="3652" t="s">
        <v>515</v>
      </c>
      <c r="U1285" s="3653">
        <f t="array" ref="U1285">IFERROR(VLOOKUP(T1270,Dex!$B$3:$N1361,10,FALSE),"")</f>
        <v>75</v>
      </c>
      <c r="V1285" s="3654" t="str">
        <f t="array" ref="V1285">IFERROR(VLOOKUP(U1285,Dex!$P$22:$Q$276,2,FALSE),"")</f>
        <v/>
      </c>
      <c r="W1285" s="3655"/>
      <c r="X1285" s="3644"/>
      <c r="Y1285" s="3652" t="s">
        <v>515</v>
      </c>
      <c r="Z1285" s="3653">
        <f t="array" ref="Z1285">IFERROR(VLOOKUP(Y1270,Dex!$B$3:$N1361,10,FALSE),"")</f>
        <v>70</v>
      </c>
      <c r="AA1285" s="3654" t="str">
        <f t="array" ref="AA1285">IFERROR(VLOOKUP(Z1285,Dex!$P$22:$Q$276,2,FALSE),"")</f>
        <v/>
      </c>
      <c r="AB1285" s="3655"/>
      <c r="AC1285" s="3644"/>
      <c r="AD1285" s="3652" t="s">
        <v>515</v>
      </c>
      <c r="AE1285" s="3653">
        <f t="array" ref="AE1285">IFERROR(VLOOKUP(AD1270,Dex!$B$3:$N1361,10,FALSE),"")</f>
        <v>90</v>
      </c>
      <c r="AF1285" s="3654" t="str">
        <f t="array" ref="AF1285">IFERROR(VLOOKUP(AE1285,Dex!$P$22:$Q$276,2,FALSE),"")</f>
        <v/>
      </c>
      <c r="AG1285" s="3655"/>
      <c r="AH1285" s="3645"/>
      <c r="AI1285" s="3543"/>
    </row>
    <row r="1286" ht="16.5" customHeight="1">
      <c r="A1286" s="3535"/>
      <c r="B1286" s="3639"/>
      <c r="C1286" s="3631"/>
      <c r="D1286" s="3640"/>
      <c r="E1286" s="3652" t="s">
        <v>516</v>
      </c>
      <c r="F1286" s="3653">
        <f t="array" ref="F1286">IFERROR(VLOOKUP(E1270,Dex!$B$3:$N1361,11,FALSE),"")</f>
        <v>100</v>
      </c>
      <c r="G1286" s="3654" t="str">
        <f t="array" ref="G1286">IFERROR(VLOOKUP(F1286,Dex!$P$22:$Q$276,2,FALSE),"")</f>
        <v/>
      </c>
      <c r="H1286" s="3655"/>
      <c r="I1286" s="3650"/>
      <c r="J1286" s="3652" t="s">
        <v>516</v>
      </c>
      <c r="K1286" s="3653">
        <f t="array" ref="K1286">IFERROR(VLOOKUP(J1270,Dex!$B$3:$N1361,11,FALSE),"")</f>
        <v>160</v>
      </c>
      <c r="L1286" s="3654" t="str">
        <f t="array" ref="L1286">IFERROR(VLOOKUP(K1286,Dex!$P$22:$Q$276,2,FALSE),"")</f>
        <v/>
      </c>
      <c r="M1286" s="3655"/>
      <c r="N1286" s="3640"/>
      <c r="O1286" s="3652" t="s">
        <v>516</v>
      </c>
      <c r="P1286" s="3653">
        <f t="array" ref="P1286">IFERROR(VLOOKUP(O1270,Dex!$B$3:$N1361,11,FALSE),"")</f>
        <v>70</v>
      </c>
      <c r="Q1286" s="3654" t="str">
        <f t="array" ref="Q1286">IFERROR(VLOOKUP(P1286,Dex!$P$22:$Q$276,2,FALSE),"")</f>
        <v/>
      </c>
      <c r="R1286" s="3655"/>
      <c r="S1286" s="3644"/>
      <c r="T1286" s="3652" t="s">
        <v>516</v>
      </c>
      <c r="U1286" s="3653">
        <f t="array" ref="U1286">IFERROR(VLOOKUP(T1270,Dex!$B$3:$N1361,11,FALSE),"")</f>
        <v>65</v>
      </c>
      <c r="V1286" s="3654" t="str">
        <f t="array" ref="V1286">IFERROR(VLOOKUP(U1286,Dex!$P$22:$Q$276,2,FALSE),"")</f>
        <v/>
      </c>
      <c r="W1286" s="3655"/>
      <c r="X1286" s="3644"/>
      <c r="Y1286" s="3652" t="s">
        <v>516</v>
      </c>
      <c r="Z1286" s="3653">
        <f t="array" ref="Z1286">IFERROR(VLOOKUP(Y1270,Dex!$B$3:$N1361,11,FALSE),"")</f>
        <v>105</v>
      </c>
      <c r="AA1286" s="3654" t="str">
        <f t="array" ref="AA1286">IFERROR(VLOOKUP(Z1286,Dex!$P$22:$Q$276,2,FALSE),"")</f>
        <v/>
      </c>
      <c r="AB1286" s="3655"/>
      <c r="AC1286" s="3644"/>
      <c r="AD1286" s="3652" t="s">
        <v>516</v>
      </c>
      <c r="AE1286" s="3653">
        <f t="array" ref="AE1286">IFERROR(VLOOKUP(AD1270,Dex!$B$3:$N1361,11,FALSE),"")</f>
        <v>70</v>
      </c>
      <c r="AF1286" s="3654" t="str">
        <f t="array" ref="AF1286">IFERROR(VLOOKUP(AE1286,Dex!$P$22:$Q$276,2,FALSE),"")</f>
        <v/>
      </c>
      <c r="AG1286" s="3655"/>
      <c r="AH1286" s="3645"/>
      <c r="AI1286" s="3543"/>
    </row>
    <row r="1287" ht="16.5" customHeight="1">
      <c r="A1287" s="3535"/>
      <c r="B1287" s="3639"/>
      <c r="C1287" s="3631"/>
      <c r="D1287" s="3640"/>
      <c r="E1287" s="3652" t="s">
        <v>517</v>
      </c>
      <c r="F1287" s="3653">
        <f t="array" ref="F1287">IFERROR(VLOOKUP(E1270,Dex!$B$3:$N1361,12,FALSE),"")</f>
        <v>80</v>
      </c>
      <c r="G1287" s="3654" t="str">
        <f t="array" ref="G1287">IFERROR(VLOOKUP(F1287,Dex!$P$22:$Q$276,2,FALSE),"")</f>
        <v/>
      </c>
      <c r="H1287" s="3655"/>
      <c r="I1287" s="3650"/>
      <c r="J1287" s="3652" t="s">
        <v>517</v>
      </c>
      <c r="K1287" s="3653">
        <f t="array" ref="K1287">IFERROR(VLOOKUP(J1270,Dex!$B$3:$N1361,12,FALSE),"")</f>
        <v>110</v>
      </c>
      <c r="L1287" s="3654" t="str">
        <f t="array" ref="L1287">IFERROR(VLOOKUP(K1287,Dex!$P$22:$Q$276,2,FALSE),"")</f>
        <v/>
      </c>
      <c r="M1287" s="3655"/>
      <c r="N1287" s="3640"/>
      <c r="O1287" s="3652" t="s">
        <v>517</v>
      </c>
      <c r="P1287" s="3653">
        <f t="array" ref="P1287">IFERROR(VLOOKUP(O1270,Dex!$B$3:$N1361,12,FALSE),"")</f>
        <v>108</v>
      </c>
      <c r="Q1287" s="3654" t="str">
        <f t="array" ref="Q1287">IFERROR(VLOOKUP(P1287,Dex!$P$22:$Q$276,2,FALSE),"")</f>
        <v/>
      </c>
      <c r="R1287" s="3655"/>
      <c r="S1287" s="3644"/>
      <c r="T1287" s="3652" t="s">
        <v>517</v>
      </c>
      <c r="U1287" s="3653">
        <f t="array" ref="U1287">IFERROR(VLOOKUP(T1270,Dex!$B$3:$N1361,12,FALSE),"")</f>
        <v>100</v>
      </c>
      <c r="V1287" s="3654" t="str">
        <f t="array" ref="V1287">IFERROR(VLOOKUP(U1287,Dex!$P$22:$Q$276,2,FALSE),"")</f>
        <v/>
      </c>
      <c r="W1287" s="3655"/>
      <c r="X1287" s="3644"/>
      <c r="Y1287" s="3652" t="s">
        <v>517</v>
      </c>
      <c r="Z1287" s="3653">
        <f t="array" ref="Z1287">IFERROR(VLOOKUP(Y1270,Dex!$B$3:$N1361,12,FALSE),"")</f>
        <v>105</v>
      </c>
      <c r="AA1287" s="3654" t="str">
        <f t="array" ref="AA1287">IFERROR(VLOOKUP(Z1287,Dex!$P$22:$Q$276,2,FALSE),"")</f>
        <v/>
      </c>
      <c r="AB1287" s="3655"/>
      <c r="AC1287" s="3644"/>
      <c r="AD1287" s="3652" t="s">
        <v>517</v>
      </c>
      <c r="AE1287" s="3653">
        <f t="array" ref="AE1287">IFERROR(VLOOKUP(AD1270,Dex!$B$3:$N1361,12,FALSE),"")</f>
        <v>80</v>
      </c>
      <c r="AF1287" s="3654" t="str">
        <f t="array" ref="AF1287">IFERROR(VLOOKUP(AE1287,Dex!$P$22:$Q$276,2,FALSE),"")</f>
        <v/>
      </c>
      <c r="AG1287" s="3655"/>
      <c r="AH1287" s="3645"/>
      <c r="AI1287" s="3543"/>
    </row>
    <row r="1288" ht="16.5" customHeight="1">
      <c r="A1288" s="3535"/>
      <c r="B1288" s="3639"/>
      <c r="C1288" s="1426" t="s">
        <v>745</v>
      </c>
      <c r="D1288" s="3640"/>
      <c r="E1288" s="3658" t="s">
        <v>518</v>
      </c>
      <c r="F1288" s="3659">
        <f t="array" ref="F1288">IFERROR(VLOOKUP(E1270,Dex!$B$3:$N1361,13,FALSE),"")</f>
        <v>95</v>
      </c>
      <c r="G1288" s="3660" t="str">
        <f t="array" ref="G1288">IFERROR(VLOOKUP(F1288,Dex!$P$22:$Q$276,2,FALSE),"")</f>
        <v/>
      </c>
      <c r="H1288" s="3661"/>
      <c r="I1288" s="3650"/>
      <c r="J1288" s="3658" t="s">
        <v>518</v>
      </c>
      <c r="K1288" s="3659">
        <f t="array" ref="K1288">IFERROR(VLOOKUP(J1270,Dex!$B$3:$N1361,13,FALSE),"")</f>
        <v>110</v>
      </c>
      <c r="L1288" s="3660" t="str">
        <f t="array" ref="L1288">IFERROR(VLOOKUP(K1288,Dex!$P$22:$Q$276,2,FALSE),"")</f>
        <v/>
      </c>
      <c r="M1288" s="3661"/>
      <c r="N1288" s="3640"/>
      <c r="O1288" s="3658" t="s">
        <v>518</v>
      </c>
      <c r="P1288" s="3659">
        <f t="array" ref="P1288">IFERROR(VLOOKUP(O1270,Dex!$B$3:$N1361,13,FALSE),"")</f>
        <v>104</v>
      </c>
      <c r="Q1288" s="3660" t="str">
        <f t="array" ref="Q1288">IFERROR(VLOOKUP(P1288,Dex!$P$22:$Q$276,2,FALSE),"")</f>
        <v/>
      </c>
      <c r="R1288" s="3661"/>
      <c r="S1288" s="3644"/>
      <c r="T1288" s="3658" t="s">
        <v>518</v>
      </c>
      <c r="U1288" s="3659">
        <f t="array" ref="U1288">IFERROR(VLOOKUP(T1270,Dex!$B$3:$N1361,13,FALSE),"")</f>
        <v>50</v>
      </c>
      <c r="V1288" s="3660" t="str">
        <f t="array" ref="V1288">IFERROR(VLOOKUP(U1288,Dex!$P$22:$Q$276,2,FALSE),"")</f>
        <v/>
      </c>
      <c r="W1288" s="3661"/>
      <c r="X1288" s="3644"/>
      <c r="Y1288" s="3658" t="s">
        <v>518</v>
      </c>
      <c r="Z1288" s="3659">
        <f t="array" ref="Z1288">IFERROR(VLOOKUP(Y1270,Dex!$B$3:$N1361,13,FALSE),"")</f>
        <v>105</v>
      </c>
      <c r="AA1288" s="3660" t="str">
        <f t="array" ref="AA1288">IFERROR(VLOOKUP(Z1288,Dex!$P$22:$Q$276,2,FALSE),"")</f>
        <v/>
      </c>
      <c r="AB1288" s="3661"/>
      <c r="AC1288" s="3644"/>
      <c r="AD1288" s="3658" t="s">
        <v>518</v>
      </c>
      <c r="AE1288" s="3659">
        <f t="array" ref="AE1288">IFERROR(VLOOKUP(AD1270,Dex!$B$3:$N1361,13,FALSE),"")</f>
        <v>42</v>
      </c>
      <c r="AF1288" s="3660" t="str">
        <f t="array" ref="AF1288">IFERROR(VLOOKUP(AE1288,Dex!$P$22:$Q$276,2,FALSE),"")</f>
        <v/>
      </c>
      <c r="AG1288" s="3661"/>
      <c r="AH1288" s="3645"/>
      <c r="AI1288" s="3543"/>
    </row>
    <row r="1289" ht="16.5" customHeight="1">
      <c r="A1289" s="3535"/>
      <c r="B1289" s="3639"/>
      <c r="C1289" s="1427" t="s">
        <v>1739</v>
      </c>
      <c r="D1289" s="4590"/>
      <c r="E1289" s="3662" t="s">
        <v>519</v>
      </c>
      <c r="F1289" s="630"/>
      <c r="G1289" s="631"/>
      <c r="H1289" s="632">
        <f>ROUNDDOWN((ROUNDDOWN(((((2*F1288+31)*85)/100+5)),0))*1,0)</f>
        <v>192</v>
      </c>
      <c r="I1289" s="3642"/>
      <c r="J1289" s="3662" t="s">
        <v>519</v>
      </c>
      <c r="K1289" s="630"/>
      <c r="L1289" s="631"/>
      <c r="M1289" s="632">
        <f>ROUNDDOWN((ROUNDDOWN(((((2*K1288+31)*85)/100+5)),0))*1.1,0)</f>
        <v>239</v>
      </c>
      <c r="N1289" s="4590"/>
      <c r="O1289" s="3662" t="s">
        <v>519</v>
      </c>
      <c r="P1289" s="630"/>
      <c r="Q1289" s="631"/>
      <c r="R1289" s="632">
        <f>ROUNDDOWN((ROUNDDOWN(((((2*P1288+31)*85)/100+5)),0))*1.1,0)</f>
        <v>228</v>
      </c>
      <c r="S1289" s="4592"/>
      <c r="T1289" s="3662" t="s">
        <v>519</v>
      </c>
      <c r="U1289" s="630"/>
      <c r="V1289" s="631"/>
      <c r="W1289" s="632">
        <f>ROUNDDOWN((ROUNDDOWN(((((2*U1288+31)*85)/100+5)),0))*1,0)</f>
        <v>116</v>
      </c>
      <c r="X1289" s="4592"/>
      <c r="Y1289" s="3662" t="s">
        <v>519</v>
      </c>
      <c r="Z1289" s="630"/>
      <c r="AA1289" s="631"/>
      <c r="AB1289" s="632">
        <f>ROUNDDOWN((ROUNDDOWN(((((2*Z1288+31)*85)/100+5)),0))*1.1,0)</f>
        <v>229</v>
      </c>
      <c r="AC1289" s="4592"/>
      <c r="AD1289" s="3662" t="s">
        <v>519</v>
      </c>
      <c r="AE1289" s="630"/>
      <c r="AF1289" s="631"/>
      <c r="AG1289" s="632">
        <f>ROUNDDOWN((ROUNDDOWN(((((2*AE1288+31)*85)/100+5)),0))*1,0)</f>
        <v>102</v>
      </c>
      <c r="AH1289" s="3645"/>
      <c r="AI1289" s="3543"/>
    </row>
    <row r="1290" ht="15.0" customHeight="1">
      <c r="A1290" s="3453"/>
      <c r="B1290" s="3663"/>
      <c r="C1290" s="3664"/>
      <c r="D1290" s="3665"/>
      <c r="E1290" s="3668"/>
      <c r="F1290" s="3668"/>
      <c r="G1290" s="3668"/>
      <c r="H1290" s="3667"/>
      <c r="I1290" s="3667"/>
      <c r="J1290" s="3668"/>
      <c r="K1290" s="3668"/>
      <c r="L1290" s="3668"/>
      <c r="M1290" s="3667"/>
      <c r="N1290" s="3669"/>
      <c r="O1290" s="5738"/>
      <c r="P1290" s="5738"/>
      <c r="Q1290" s="5739"/>
      <c r="R1290" s="3671"/>
      <c r="S1290" s="3671"/>
      <c r="T1290" s="5738"/>
      <c r="U1290" s="5738"/>
      <c r="V1290" s="5739"/>
      <c r="W1290" s="3671"/>
      <c r="X1290" s="3669"/>
      <c r="Y1290" s="4601"/>
      <c r="Z1290" s="4601"/>
      <c r="AA1290" s="4601"/>
      <c r="AB1290" s="3672"/>
      <c r="AC1290" s="3672"/>
      <c r="AD1290" s="4601"/>
      <c r="AE1290" s="4601"/>
      <c r="AF1290" s="4601"/>
      <c r="AG1290" s="3672"/>
      <c r="AH1290" s="3673"/>
      <c r="AI1290" s="3466"/>
    </row>
    <row r="1291" ht="15.0" customHeight="1">
      <c r="A1291" s="3446"/>
      <c r="B1291" s="3567"/>
      <c r="C1291" s="3568"/>
      <c r="D1291" s="3569"/>
      <c r="E1291" s="3570"/>
      <c r="F1291" s="3570"/>
      <c r="G1291" s="3570"/>
      <c r="H1291" s="3570"/>
      <c r="I1291" s="3569"/>
      <c r="J1291" s="3570"/>
      <c r="K1291" s="3570"/>
      <c r="L1291" s="3570"/>
      <c r="M1291" s="3570"/>
      <c r="N1291" s="3569"/>
      <c r="O1291" s="3570"/>
      <c r="P1291" s="3570"/>
      <c r="Q1291" s="3570"/>
      <c r="R1291" s="3570"/>
      <c r="S1291" s="3569"/>
      <c r="T1291" s="3570"/>
      <c r="U1291" s="3570"/>
      <c r="V1291" s="3570"/>
      <c r="W1291" s="3570"/>
      <c r="X1291" s="3569"/>
      <c r="Y1291" s="3570"/>
      <c r="Z1291" s="3570"/>
      <c r="AA1291" s="3570"/>
      <c r="AB1291" s="3570"/>
      <c r="AC1291" s="3569"/>
      <c r="AD1291" s="3570"/>
      <c r="AE1291" s="3570"/>
      <c r="AF1291" s="3570"/>
      <c r="AG1291" s="3570"/>
      <c r="AH1291" s="3571"/>
      <c r="AI1291" s="3452"/>
    </row>
    <row r="1292" ht="96.75" customHeight="1">
      <c r="A1292" s="3453"/>
      <c r="B1292" s="3572"/>
      <c r="C1292" s="3573" t="str">
        <f>IMAGE("https://i.ibb.co/26kF6WW/Ace-Trainer-F.png")</f>
        <v/>
      </c>
      <c r="D1292" s="3574"/>
      <c r="E1292" s="3575" t="str">
        <f t="array" ref="E1292">IFERROR(VLOOKUP(E1293,Dex!$B$3:$G1361,3,FALSE),"")</f>
        <v/>
      </c>
      <c r="F1292" s="606"/>
      <c r="G1292" s="606"/>
      <c r="H1292" s="607"/>
      <c r="I1292" s="3576"/>
      <c r="J1292" s="3575" t="str">
        <f t="array" ref="J1292">IFERROR(VLOOKUP(J1293,Dex!$B$3:$G1361,3,FALSE),"")</f>
        <v/>
      </c>
      <c r="K1292" s="606"/>
      <c r="L1292" s="606"/>
      <c r="M1292" s="607"/>
      <c r="N1292" s="4583"/>
      <c r="O1292" s="3575" t="str">
        <f t="array" ref="O1292">IFERROR(VLOOKUP(O1293,Dex!$B$3:$G1361,3,FALSE),"")</f>
        <v/>
      </c>
      <c r="P1292" s="606"/>
      <c r="Q1292" s="606"/>
      <c r="R1292" s="607"/>
      <c r="S1292" s="4584"/>
      <c r="T1292" s="3575" t="str">
        <f t="array" ref="T1292">IFERROR(VLOOKUP(T1293,Dex!$B$3:$G1361,3,FALSE),"")</f>
        <v/>
      </c>
      <c r="U1292" s="606"/>
      <c r="V1292" s="606"/>
      <c r="W1292" s="607"/>
      <c r="X1292" s="4583"/>
      <c r="Y1292" s="3575" t="str">
        <f t="array" ref="Y1292">IFERROR(VLOOKUP(Y1293,Dex!$B$3:$G1361,3,FALSE),"")</f>
        <v/>
      </c>
      <c r="Z1292" s="606"/>
      <c r="AA1292" s="606"/>
      <c r="AB1292" s="607"/>
      <c r="AC1292" s="4584"/>
      <c r="AD1292" s="3575" t="str">
        <f t="array" ref="AD1292">IFERROR(VLOOKUP(AD1293,Dex!$B$3:$G1361,3,FALSE),"")</f>
        <v/>
      </c>
      <c r="AE1292" s="606"/>
      <c r="AF1292" s="606"/>
      <c r="AG1292" s="607"/>
      <c r="AH1292" s="5740"/>
      <c r="AI1292" s="3466"/>
    </row>
    <row r="1293" ht="18.75" customHeight="1">
      <c r="A1293" s="3467"/>
      <c r="B1293" s="3584"/>
      <c r="C1293" s="3585" t="s">
        <v>1765</v>
      </c>
      <c r="D1293" s="3586"/>
      <c r="E1293" s="3587" t="s">
        <v>913</v>
      </c>
      <c r="F1293" s="3588"/>
      <c r="G1293" s="3588"/>
      <c r="H1293" s="3589"/>
      <c r="J1293" s="3587" t="s">
        <v>1766</v>
      </c>
      <c r="K1293" s="3588"/>
      <c r="L1293" s="3588"/>
      <c r="M1293" s="3589"/>
      <c r="O1293" s="3587" t="s">
        <v>1767</v>
      </c>
      <c r="P1293" s="3588"/>
      <c r="Q1293" s="3588"/>
      <c r="R1293" s="3589"/>
      <c r="T1293" s="3587" t="s">
        <v>1599</v>
      </c>
      <c r="U1293" s="3588"/>
      <c r="V1293" s="3588"/>
      <c r="W1293" s="3589"/>
      <c r="Y1293" s="3587" t="s">
        <v>726</v>
      </c>
      <c r="Z1293" s="3588"/>
      <c r="AA1293" s="3588"/>
      <c r="AB1293" s="3589"/>
      <c r="AD1293" s="3587" t="s">
        <v>1213</v>
      </c>
      <c r="AE1293" s="3588"/>
      <c r="AF1293" s="3588"/>
      <c r="AG1293" s="3589"/>
      <c r="AH1293" s="5741"/>
      <c r="AI1293" s="3478"/>
    </row>
    <row r="1294">
      <c r="A1294" s="3479"/>
      <c r="B1294" s="3594"/>
      <c r="C1294" s="1638"/>
      <c r="D1294" s="3595"/>
      <c r="E1294" s="4586" t="s">
        <v>729</v>
      </c>
      <c r="F1294" s="3597"/>
      <c r="G1294" s="3597"/>
      <c r="H1294" s="4587"/>
      <c r="J1294" s="4586" t="s">
        <v>729</v>
      </c>
      <c r="K1294" s="3597"/>
      <c r="L1294" s="3597"/>
      <c r="M1294" s="4587"/>
      <c r="O1294" s="4586" t="s">
        <v>729</v>
      </c>
      <c r="P1294" s="3597"/>
      <c r="Q1294" s="3597"/>
      <c r="R1294" s="4587"/>
      <c r="T1294" s="4586" t="s">
        <v>729</v>
      </c>
      <c r="U1294" s="3597"/>
      <c r="V1294" s="3597"/>
      <c r="W1294" s="4587"/>
      <c r="Y1294" s="4586" t="s">
        <v>729</v>
      </c>
      <c r="Z1294" s="3597"/>
      <c r="AA1294" s="3597"/>
      <c r="AB1294" s="4587"/>
      <c r="AD1294" s="4586" t="s">
        <v>729</v>
      </c>
      <c r="AE1294" s="3597"/>
      <c r="AF1294" s="3597"/>
      <c r="AG1294" s="4587"/>
      <c r="AH1294" s="5742"/>
      <c r="AI1294" s="3487"/>
    </row>
    <row r="1295" ht="25.5" customHeight="1">
      <c r="A1295" s="3453"/>
      <c r="B1295" s="3572"/>
      <c r="C1295" s="1646"/>
      <c r="D1295" s="3574"/>
      <c r="E1295" s="3601"/>
      <c r="F1295" s="3602" t="str">
        <f t="array" ref="F1295">IFERROR(VLOOKUP(E1293,Dex!$B$3:$H1361,5,FALSE),"")</f>
        <v/>
      </c>
      <c r="G1295" s="3603"/>
      <c r="H1295" s="3604"/>
      <c r="J1295" s="3601"/>
      <c r="K1295" s="3602" t="str">
        <f t="array" ref="K1295">IFERROR(VLOOKUP(J1293,Dex!$B$3:$H1361,5,FALSE),"")</f>
        <v/>
      </c>
      <c r="L1295" s="3603"/>
      <c r="M1295" s="3604"/>
      <c r="O1295" s="3601"/>
      <c r="P1295" s="3602" t="str">
        <f t="array" ref="P1295">IFERROR(VLOOKUP(O1293,Dex!$B$3:$H1361,5,FALSE),"")</f>
        <v/>
      </c>
      <c r="Q1295" s="3603"/>
      <c r="R1295" s="3604"/>
      <c r="T1295" s="3601"/>
      <c r="U1295" s="3602" t="str">
        <f t="array" ref="U1295">IFERROR(VLOOKUP(T1293,Dex!$B$3:$H1361,5,FALSE),"")</f>
        <v/>
      </c>
      <c r="V1295" s="3603"/>
      <c r="W1295" s="3604"/>
      <c r="Y1295" s="3601"/>
      <c r="Z1295" s="4588" t="str">
        <f t="array" ref="Z1295">IFERROR(VLOOKUP(Y1293,Dex!$B$3:$H1361,5,FALSE),"")</f>
        <v/>
      </c>
      <c r="AA1295" s="4589" t="str">
        <f t="array" ref="AA1295">IFERROR(VLOOKUP(Y1293,Dex!$B$3:$H1361,7,FALSE),"")</f>
        <v/>
      </c>
      <c r="AB1295" s="3604"/>
      <c r="AD1295" s="3601"/>
      <c r="AE1295" s="4588" t="str">
        <f t="array" ref="AE1295">IFERROR(VLOOKUP(AD1293,Dex!$B$3:$H1361,5,FALSE),"")</f>
        <v/>
      </c>
      <c r="AF1295" s="4589" t="str">
        <f t="array" ref="AF1295">IFERROR(VLOOKUP(AD1293,Dex!$B$3:$H1361,7,FALSE),"")</f>
        <v/>
      </c>
      <c r="AG1295" s="3604"/>
      <c r="AH1295" s="3583"/>
      <c r="AI1295" s="3466"/>
    </row>
    <row r="1296" ht="2.25" customHeight="1">
      <c r="A1296" s="3453"/>
      <c r="B1296" s="3572"/>
      <c r="C1296" s="3605"/>
      <c r="D1296" s="3574"/>
      <c r="E1296" s="3606"/>
      <c r="F1296" s="3607"/>
      <c r="G1296" s="3607"/>
      <c r="H1296" s="3608"/>
      <c r="J1296" s="3606"/>
      <c r="K1296" s="3607"/>
      <c r="L1296" s="3607"/>
      <c r="M1296" s="3608"/>
      <c r="O1296" s="3606"/>
      <c r="P1296" s="3607"/>
      <c r="Q1296" s="3607"/>
      <c r="R1296" s="3608"/>
      <c r="T1296" s="3606"/>
      <c r="U1296" s="3607"/>
      <c r="V1296" s="3607"/>
      <c r="W1296" s="3608"/>
      <c r="Y1296" s="3606"/>
      <c r="Z1296" s="3607"/>
      <c r="AA1296" s="3607"/>
      <c r="AB1296" s="3608"/>
      <c r="AD1296" s="3606"/>
      <c r="AE1296" s="3607"/>
      <c r="AF1296" s="3607"/>
      <c r="AG1296" s="3608"/>
      <c r="AH1296" s="3583"/>
      <c r="AI1296" s="3466"/>
    </row>
    <row r="1297" ht="20.25" customHeight="1">
      <c r="A1297" s="3453"/>
      <c r="B1297" s="3572"/>
      <c r="C1297" s="3605"/>
      <c r="D1297" s="3574"/>
      <c r="E1297" s="3610" t="s">
        <v>531</v>
      </c>
      <c r="F1297" s="3611"/>
      <c r="G1297" s="3611"/>
      <c r="H1297" s="3612"/>
      <c r="J1297" s="3610" t="s">
        <v>480</v>
      </c>
      <c r="K1297" s="3611"/>
      <c r="L1297" s="3611"/>
      <c r="M1297" s="3612"/>
      <c r="O1297" s="3610" t="s">
        <v>532</v>
      </c>
      <c r="P1297" s="3611"/>
      <c r="Q1297" s="3611"/>
      <c r="R1297" s="3612"/>
      <c r="T1297" s="3610" t="s">
        <v>532</v>
      </c>
      <c r="U1297" s="3611"/>
      <c r="V1297" s="3611"/>
      <c r="W1297" s="3612"/>
      <c r="Y1297" s="3610" t="s">
        <v>532</v>
      </c>
      <c r="Z1297" s="3611"/>
      <c r="AA1297" s="3611"/>
      <c r="AB1297" s="3612"/>
      <c r="AD1297" s="3610" t="s">
        <v>564</v>
      </c>
      <c r="AE1297" s="3611"/>
      <c r="AF1297" s="3611"/>
      <c r="AG1297" s="3612"/>
      <c r="AH1297" s="5740"/>
      <c r="AI1297" s="3466"/>
    </row>
    <row r="1298" ht="20.25" customHeight="1">
      <c r="A1298" s="3453"/>
      <c r="B1298" s="3572"/>
      <c r="C1298" s="3613"/>
      <c r="D1298" s="3574"/>
      <c r="E1298" s="3614" t="s">
        <v>76</v>
      </c>
      <c r="F1298" s="3579"/>
      <c r="G1298" s="3579"/>
      <c r="H1298" s="3615"/>
      <c r="J1298" s="3614" t="s">
        <v>1768</v>
      </c>
      <c r="K1298" s="3579"/>
      <c r="L1298" s="3579"/>
      <c r="M1298" s="3615"/>
      <c r="O1298" s="3614" t="s">
        <v>90</v>
      </c>
      <c r="P1298" s="3579"/>
      <c r="Q1298" s="3579"/>
      <c r="R1298" s="3615"/>
      <c r="T1298" s="3614" t="s">
        <v>115</v>
      </c>
      <c r="U1298" s="3579"/>
      <c r="V1298" s="3579"/>
      <c r="W1298" s="3615"/>
      <c r="Y1298" s="3614" t="s">
        <v>63</v>
      </c>
      <c r="Z1298" s="3579"/>
      <c r="AA1298" s="3579"/>
      <c r="AB1298" s="3615"/>
      <c r="AD1298" s="3614" t="s">
        <v>1018</v>
      </c>
      <c r="AE1298" s="3579"/>
      <c r="AF1298" s="3579"/>
      <c r="AG1298" s="3615"/>
      <c r="AH1298" s="5740"/>
      <c r="AI1298" s="3466"/>
    </row>
    <row r="1299" ht="20.25" customHeight="1">
      <c r="A1299" s="3453"/>
      <c r="B1299" s="3572"/>
      <c r="C1299" s="3592"/>
      <c r="D1299" s="3574"/>
      <c r="E1299" s="3616" t="s">
        <v>541</v>
      </c>
      <c r="F1299" s="3617"/>
      <c r="G1299" s="3618"/>
      <c r="H1299" s="3619" t="str">
        <f>IMAGE("https://raw.githubusercontent.com/msikma/pokesprite/master/items/hold-item/life-orb.png",3)</f>
        <v/>
      </c>
      <c r="J1299" s="3616" t="s">
        <v>733</v>
      </c>
      <c r="K1299" s="3617"/>
      <c r="L1299" s="3618"/>
      <c r="M1299" s="3619" t="str">
        <f>IMAGE("https://raw.githubusercontent.com/msikma/pokesprite/master/items/hold-item/leftovers.png",3)</f>
        <v/>
      </c>
      <c r="O1299" s="3616" t="s">
        <v>733</v>
      </c>
      <c r="P1299" s="3617"/>
      <c r="Q1299" s="3618"/>
      <c r="R1299" s="3619" t="str">
        <f>IMAGE("https://raw.githubusercontent.com/msikma/pokesprite/master/items/hold-item/leftovers.png",3)</f>
        <v/>
      </c>
      <c r="T1299" s="3616" t="s">
        <v>541</v>
      </c>
      <c r="U1299" s="3617"/>
      <c r="V1299" s="3618"/>
      <c r="W1299" s="3619" t="str">
        <f>IMAGE("https://raw.githubusercontent.com/msikma/pokesprite/master/items/hold-item/life-orb.png",3)</f>
        <v/>
      </c>
      <c r="Y1299" s="3616" t="s">
        <v>639</v>
      </c>
      <c r="Z1299" s="3617"/>
      <c r="AA1299" s="3618"/>
      <c r="AB1299" s="3619" t="str">
        <f>IMAGE("https://i.ibb.co/SK50ng3/booster.png",4,22,22)</f>
        <v/>
      </c>
      <c r="AD1299" s="3616" t="s">
        <v>573</v>
      </c>
      <c r="AE1299" s="3617"/>
      <c r="AF1299" s="3618"/>
      <c r="AG1299" s="3619" t="str">
        <f>IMAGE("https://raw.githubusercontent.com/msikma/pokesprite/master/items/hold-item/focus-sash.png",3)</f>
        <v/>
      </c>
      <c r="AH1299" s="3583"/>
      <c r="AI1299" s="3466"/>
    </row>
    <row r="1300" ht="20.25" customHeight="1">
      <c r="A1300" s="3453"/>
      <c r="B1300" s="3572"/>
      <c r="C1300" s="3620"/>
      <c r="D1300" s="3574"/>
      <c r="E1300" s="3610" t="s">
        <v>641</v>
      </c>
      <c r="F1300" s="3611"/>
      <c r="G1300" s="3621"/>
      <c r="H1300" s="3622" t="str">
        <f>IMAGE("https://raw.githubusercontent.com/msikma/pokesprite/master/misc/types/gen8/fairy.png",4,20,20)</f>
        <v/>
      </c>
      <c r="J1300" s="3610" t="s">
        <v>720</v>
      </c>
      <c r="K1300" s="3611"/>
      <c r="L1300" s="3621"/>
      <c r="M1300" s="3622" t="str">
        <f>IMAGE("https://raw.githubusercontent.com/msikma/pokesprite/master/misc/types/gen8/fighting.png",4,20,20)</f>
        <v/>
      </c>
      <c r="O1300" s="3610" t="s">
        <v>219</v>
      </c>
      <c r="P1300" s="3611"/>
      <c r="Q1300" s="3621"/>
      <c r="R1300" s="3622" t="str">
        <f>IMAGE("https://raw.githubusercontent.com/msikma/pokesprite/master/misc/types/gen8/dragon.png",4,20,20)</f>
        <v/>
      </c>
      <c r="T1300" s="3610" t="s">
        <v>777</v>
      </c>
      <c r="U1300" s="3611"/>
      <c r="V1300" s="3621"/>
      <c r="W1300" s="3622" t="str">
        <f>IMAGE("https://raw.githubusercontent.com/msikma/pokesprite/master/misc/types/gen8/normal.png",4,20,20)</f>
        <v/>
      </c>
      <c r="Y1300" s="3610" t="s">
        <v>549</v>
      </c>
      <c r="Z1300" s="3611"/>
      <c r="AA1300" s="3621"/>
      <c r="AB1300" s="3622" t="str">
        <f>IMAGE("https://raw.githubusercontent.com/msikma/pokesprite/master/misc/types/gen8/ground.png",4,20,20)</f>
        <v/>
      </c>
      <c r="AD1300" s="3610" t="s">
        <v>259</v>
      </c>
      <c r="AE1300" s="3611"/>
      <c r="AF1300" s="3621"/>
      <c r="AG1300" s="3622" t="str">
        <f>IMAGE("https://raw.githubusercontent.com/msikma/pokesprite/master/misc/types/gen8/dark.png",4,20,20)</f>
        <v/>
      </c>
      <c r="AH1300" s="3583"/>
      <c r="AI1300" s="3466"/>
    </row>
    <row r="1301" ht="20.25" customHeight="1">
      <c r="A1301" s="3453"/>
      <c r="B1301" s="3572"/>
      <c r="C1301" s="3605"/>
      <c r="D1301" s="3574"/>
      <c r="E1301" s="3614" t="s">
        <v>1211</v>
      </c>
      <c r="F1301" s="3579"/>
      <c r="G1301" s="3580"/>
      <c r="H1301" s="3623" t="str">
        <f>IMAGE("https://raw.githubusercontent.com/msikma/pokesprite/master/misc/types/gen8/fire.png",4,20,20)</f>
        <v/>
      </c>
      <c r="J1301" s="3614" t="s">
        <v>845</v>
      </c>
      <c r="K1301" s="3579"/>
      <c r="L1301" s="3580"/>
      <c r="M1301" s="3623" t="str">
        <f>IMAGE("https://raw.githubusercontent.com/msikma/pokesprite/master/misc/types/gen8/water.png",4,20,20)</f>
        <v/>
      </c>
      <c r="O1301" s="3614" t="s">
        <v>548</v>
      </c>
      <c r="P1301" s="3579"/>
      <c r="Q1301" s="3580"/>
      <c r="R1301" s="3623" t="str">
        <f>IMAGE("https://raw.githubusercontent.com/msikma/pokesprite/master/misc/types/gen8/fighting.png",4,20,20)</f>
        <v/>
      </c>
      <c r="T1301" s="3614" t="s">
        <v>579</v>
      </c>
      <c r="U1301" s="3579"/>
      <c r="V1301" s="3580"/>
      <c r="W1301" s="3623" t="str">
        <f>IMAGE("https://raw.githubusercontent.com/msikma/pokesprite/master/misc/types/gen8/dark.png",4,20,20)</f>
        <v/>
      </c>
      <c r="Y1301" s="3614" t="s">
        <v>739</v>
      </c>
      <c r="Z1301" s="3579"/>
      <c r="AA1301" s="3580"/>
      <c r="AB1301" s="3623" t="str">
        <f>IMAGE("https://raw.githubusercontent.com/msikma/pokesprite/master/misc/types/gen8/steel.png",4,20,20)</f>
        <v/>
      </c>
      <c r="AD1301" s="3614" t="s">
        <v>1211</v>
      </c>
      <c r="AE1301" s="3579"/>
      <c r="AF1301" s="3580"/>
      <c r="AG1301" s="3623" t="str">
        <f>IMAGE("https://raw.githubusercontent.com/msikma/pokesprite/master/misc/types/gen8/fire.png",4,20,20)</f>
        <v/>
      </c>
      <c r="AH1301" s="3583"/>
      <c r="AI1301" s="3466"/>
    </row>
    <row r="1302" ht="20.25" customHeight="1">
      <c r="A1302" s="3453"/>
      <c r="B1302" s="3572"/>
      <c r="C1302" s="3605"/>
      <c r="D1302" s="3574"/>
      <c r="E1302" s="3614" t="s">
        <v>547</v>
      </c>
      <c r="F1302" s="3579"/>
      <c r="G1302" s="3580"/>
      <c r="H1302" s="3623" t="str">
        <f>IMAGE("https://raw.githubusercontent.com/msikma/pokesprite/master/misc/types/gen8/electric.png",4,20,20)</f>
        <v/>
      </c>
      <c r="J1302" s="3614" t="s">
        <v>549</v>
      </c>
      <c r="K1302" s="3579"/>
      <c r="L1302" s="3580"/>
      <c r="M1302" s="3623" t="str">
        <f>IMAGE("https://raw.githubusercontent.com/msikma/pokesprite/master/misc/types/gen8/ground.png",4,20,20)</f>
        <v/>
      </c>
      <c r="O1302" s="3614" t="s">
        <v>904</v>
      </c>
      <c r="P1302" s="3579"/>
      <c r="Q1302" s="3580"/>
      <c r="R1302" s="3623" t="str">
        <f>IMAGE("https://raw.githubusercontent.com/msikma/pokesprite/master/misc/types/gen8/psychic.png",4,20,20)</f>
        <v/>
      </c>
      <c r="T1302" s="3614" t="s">
        <v>583</v>
      </c>
      <c r="U1302" s="3579"/>
      <c r="V1302" s="3580"/>
      <c r="W1302" s="3623" t="str">
        <f>IMAGE("https://raw.githubusercontent.com/msikma/pokesprite/master/misc/types/gen8/fighting.png",4,20,20)</f>
        <v/>
      </c>
      <c r="Y1302" s="3614" t="s">
        <v>579</v>
      </c>
      <c r="Z1302" s="3579"/>
      <c r="AA1302" s="3580"/>
      <c r="AB1302" s="3623" t="str">
        <f>IMAGE("https://raw.githubusercontent.com/msikma/pokesprite/master/misc/types/gen8/dark.png",4,20,20)</f>
        <v/>
      </c>
      <c r="AD1302" s="3614" t="s">
        <v>718</v>
      </c>
      <c r="AE1302" s="3579"/>
      <c r="AF1302" s="3580"/>
      <c r="AG1302" s="3623" t="str">
        <f t="shared" ref="AG1302:AG1303" si="44">IMAGE("https://raw.githubusercontent.com/msikma/pokesprite/master/misc/types/gen8/fighting.png",4,20,20)</f>
        <v/>
      </c>
      <c r="AH1302" s="3583"/>
      <c r="AI1302" s="3466"/>
    </row>
    <row r="1303" ht="21.0" customHeight="1">
      <c r="A1303" s="3453"/>
      <c r="B1303" s="3572"/>
      <c r="C1303" s="3605"/>
      <c r="D1303" s="3574"/>
      <c r="E1303" s="3624" t="s">
        <v>191</v>
      </c>
      <c r="F1303" s="3625"/>
      <c r="G1303" s="3626"/>
      <c r="H1303" s="3627" t="str">
        <f>IMAGE("https://raw.githubusercontent.com/msikma/pokesprite/master/misc/types/gen8/rock.png",4,20,20)</f>
        <v/>
      </c>
      <c r="I1303" s="3628"/>
      <c r="J1303" s="3624" t="s">
        <v>503</v>
      </c>
      <c r="K1303" s="3625"/>
      <c r="L1303" s="3626"/>
      <c r="M1303" s="3627" t="str">
        <f>IMAGE("https://raw.githubusercontent.com/msikma/pokesprite/master/misc/types/gen8/poison.png",4,20,20)</f>
        <v/>
      </c>
      <c r="N1303" s="3628"/>
      <c r="O1303" s="3624" t="s">
        <v>579</v>
      </c>
      <c r="P1303" s="3625"/>
      <c r="Q1303" s="3626"/>
      <c r="R1303" s="3627" t="str">
        <f>IMAGE("https://raw.githubusercontent.com/msikma/pokesprite/master/misc/types/gen8/dark.png",4,20,20)</f>
        <v/>
      </c>
      <c r="S1303" s="3628"/>
      <c r="T1303" s="3624" t="s">
        <v>612</v>
      </c>
      <c r="U1303" s="3625"/>
      <c r="V1303" s="3626"/>
      <c r="W1303" s="3627" t="str">
        <f>IMAGE("https://raw.githubusercontent.com/msikma/pokesprite/master/misc/types/gen8/bug.png",4,20,20)</f>
        <v/>
      </c>
      <c r="X1303" s="3628"/>
      <c r="Y1303" s="3624" t="s">
        <v>905</v>
      </c>
      <c r="Z1303" s="3625"/>
      <c r="AA1303" s="3626"/>
      <c r="AB1303" s="3627" t="str">
        <f>IMAGE("https://raw.githubusercontent.com/msikma/pokesprite/master/misc/types/gen8/electric.png",4,20,20)</f>
        <v/>
      </c>
      <c r="AC1303" s="3628"/>
      <c r="AD1303" s="3624" t="s">
        <v>740</v>
      </c>
      <c r="AE1303" s="3625"/>
      <c r="AF1303" s="3626"/>
      <c r="AG1303" s="3627" t="str">
        <f t="shared" si="44"/>
        <v/>
      </c>
      <c r="AH1303" s="3583"/>
      <c r="AI1303" s="3466"/>
    </row>
    <row r="1304" ht="3.0" customHeight="1">
      <c r="A1304" s="3524"/>
      <c r="B1304" s="3630"/>
      <c r="C1304" s="3631"/>
      <c r="D1304" s="3632"/>
      <c r="E1304" s="3634"/>
      <c r="F1304" s="3634"/>
      <c r="G1304" s="3634"/>
      <c r="H1304" s="3633"/>
      <c r="I1304" s="3632"/>
      <c r="J1304" s="3634"/>
      <c r="K1304" s="3634"/>
      <c r="L1304" s="3634"/>
      <c r="M1304" s="3633"/>
      <c r="N1304" s="3632"/>
      <c r="O1304" s="3634"/>
      <c r="P1304" s="3634"/>
      <c r="Q1304" s="3634"/>
      <c r="R1304" s="3633"/>
      <c r="S1304" s="3635"/>
      <c r="T1304" s="3634"/>
      <c r="U1304" s="3634"/>
      <c r="V1304" s="3634"/>
      <c r="W1304" s="3633"/>
      <c r="X1304" s="3632"/>
      <c r="Y1304" s="3634"/>
      <c r="Z1304" s="3634"/>
      <c r="AA1304" s="3634"/>
      <c r="AB1304" s="3633"/>
      <c r="AC1304" s="3637"/>
      <c r="AD1304" s="3634"/>
      <c r="AE1304" s="3634"/>
      <c r="AF1304" s="3634"/>
      <c r="AG1304" s="3633"/>
      <c r="AH1304" s="3638"/>
      <c r="AI1304" s="3534"/>
    </row>
    <row r="1305" ht="16.5" customHeight="1">
      <c r="A1305" s="3535"/>
      <c r="B1305" s="3639"/>
      <c r="C1305" s="3631"/>
      <c r="D1305" s="4590"/>
      <c r="E1305" s="3641" t="s">
        <v>512</v>
      </c>
      <c r="F1305" s="606"/>
      <c r="G1305" s="606"/>
      <c r="H1305" s="607"/>
      <c r="I1305" s="3642"/>
      <c r="J1305" s="3641" t="s">
        <v>512</v>
      </c>
      <c r="K1305" s="606"/>
      <c r="L1305" s="606"/>
      <c r="M1305" s="607"/>
      <c r="N1305" s="4590"/>
      <c r="O1305" s="3641" t="s">
        <v>512</v>
      </c>
      <c r="P1305" s="606"/>
      <c r="Q1305" s="606"/>
      <c r="R1305" s="607"/>
      <c r="S1305" s="4591"/>
      <c r="T1305" s="3641" t="s">
        <v>512</v>
      </c>
      <c r="U1305" s="606"/>
      <c r="V1305" s="606"/>
      <c r="W1305" s="607"/>
      <c r="X1305" s="4592"/>
      <c r="Y1305" s="3641" t="s">
        <v>512</v>
      </c>
      <c r="Z1305" s="606"/>
      <c r="AA1305" s="606"/>
      <c r="AB1305" s="607"/>
      <c r="AC1305" s="4592"/>
      <c r="AD1305" s="3641" t="s">
        <v>512</v>
      </c>
      <c r="AE1305" s="606"/>
      <c r="AF1305" s="606"/>
      <c r="AG1305" s="607"/>
      <c r="AH1305" s="3645"/>
      <c r="AI1305" s="3543"/>
    </row>
    <row r="1306" ht="16.5" customHeight="1">
      <c r="A1306" s="3535"/>
      <c r="B1306" s="3639"/>
      <c r="C1306" s="3631"/>
      <c r="D1306" s="3640"/>
      <c r="E1306" s="3646" t="s">
        <v>513</v>
      </c>
      <c r="F1306" s="3647">
        <f t="array" ref="F1306">IFERROR(VLOOKUP(E1293,Dex!$B$3:$N1361,8,FALSE),"")</f>
        <v>95</v>
      </c>
      <c r="G1306" s="3648" t="str">
        <f t="array" ref="G1306">IFERROR(VLOOKUP(F1306,Dex!$P$22:$Q$276,2,FALSE),"")</f>
        <v/>
      </c>
      <c r="H1306" s="3649"/>
      <c r="I1306" s="3650"/>
      <c r="J1306" s="3646" t="s">
        <v>513</v>
      </c>
      <c r="K1306" s="3647">
        <f t="array" ref="K1306">IFERROR(VLOOKUP(J1293,Dex!$B$3:$N1361,8,FALSE),"")</f>
        <v>150</v>
      </c>
      <c r="L1306" s="3648" t="str">
        <f t="array" ref="L1306">IFERROR(VLOOKUP(K1306,Dex!$P$22:$Q$276,2,FALSE),"")</f>
        <v/>
      </c>
      <c r="M1306" s="3649"/>
      <c r="N1306" s="3640"/>
      <c r="O1306" s="3646" t="s">
        <v>513</v>
      </c>
      <c r="P1306" s="3647">
        <f t="array" ref="P1306">IFERROR(VLOOKUP(O1293,Dex!$B$3:$N1361,8,FALSE),"")</f>
        <v>100</v>
      </c>
      <c r="Q1306" s="3648" t="str">
        <f t="array" ref="Q1306">IFERROR(VLOOKUP(P1306,Dex!$P$22:$Q$276,2,FALSE),"")</f>
        <v/>
      </c>
      <c r="R1306" s="3649"/>
      <c r="S1306" s="3644"/>
      <c r="T1306" s="3646" t="s">
        <v>513</v>
      </c>
      <c r="U1306" s="3647">
        <f t="array" ref="U1306">IFERROR(VLOOKUP(T1293,Dex!$B$3:$N1361,8,FALSE),"")</f>
        <v>65</v>
      </c>
      <c r="V1306" s="3648" t="str">
        <f t="array" ref="V1306">IFERROR(VLOOKUP(U1306,Dex!$P$22:$Q$276,2,FALSE),"")</f>
        <v/>
      </c>
      <c r="W1306" s="3649"/>
      <c r="X1306" s="3644"/>
      <c r="Y1306" s="3646" t="s">
        <v>513</v>
      </c>
      <c r="Z1306" s="3647">
        <f t="array" ref="Z1306">IFERROR(VLOOKUP(Y1293,Dex!$B$3:$N1361,8,FALSE),"")</f>
        <v>90</v>
      </c>
      <c r="AA1306" s="3648" t="str">
        <f t="array" ref="AA1306">IFERROR(VLOOKUP(Z1306,Dex!$P$22:$Q$276,2,FALSE),"")</f>
        <v/>
      </c>
      <c r="AB1306" s="3649"/>
      <c r="AC1306" s="3644"/>
      <c r="AD1306" s="3646" t="s">
        <v>513</v>
      </c>
      <c r="AE1306" s="3647">
        <f t="array" ref="AE1306">IFERROR(VLOOKUP(AD1293,Dex!$B$3:$N1361,8,FALSE),"")</f>
        <v>76</v>
      </c>
      <c r="AF1306" s="3648" t="str">
        <f t="array" ref="AF1306">IFERROR(VLOOKUP(AE1306,Dex!$P$22:$Q$276,2,FALSE),"")</f>
        <v/>
      </c>
      <c r="AG1306" s="3649"/>
      <c r="AH1306" s="3645"/>
      <c r="AI1306" s="3543"/>
    </row>
    <row r="1307" ht="16.5" customHeight="1">
      <c r="A1307" s="3535"/>
      <c r="B1307" s="3639"/>
      <c r="C1307" s="3631"/>
      <c r="D1307" s="3640"/>
      <c r="E1307" s="3652" t="s">
        <v>514</v>
      </c>
      <c r="F1307" s="3653">
        <f t="array" ref="F1307">IFERROR(VLOOKUP(E1293,Dex!$B$3:$N1361,9,FALSE),"")</f>
        <v>70</v>
      </c>
      <c r="G1307" s="3654" t="str">
        <f t="array" ref="G1307">IFERROR(VLOOKUP(F1307,Dex!$P$22:$Q$276,2,FALSE),"")</f>
        <v/>
      </c>
      <c r="H1307" s="3655"/>
      <c r="I1307" s="3650"/>
      <c r="J1307" s="3652" t="s">
        <v>514</v>
      </c>
      <c r="K1307" s="3653">
        <f t="array" ref="K1307">IFERROR(VLOOKUP(J1293,Dex!$B$3:$N1361,9,FALSE),"")</f>
        <v>100</v>
      </c>
      <c r="L1307" s="3654" t="str">
        <f t="array" ref="L1307">IFERROR(VLOOKUP(K1307,Dex!$P$22:$Q$276,2,FALSE),"")</f>
        <v/>
      </c>
      <c r="M1307" s="3655"/>
      <c r="N1307" s="3640"/>
      <c r="O1307" s="3652" t="s">
        <v>514</v>
      </c>
      <c r="P1307" s="3653">
        <f t="array" ref="P1307">IFERROR(VLOOKUP(O1293,Dex!$B$3:$N1361,9,FALSE),"")</f>
        <v>100</v>
      </c>
      <c r="Q1307" s="3654" t="str">
        <f t="array" ref="Q1307">IFERROR(VLOOKUP(P1307,Dex!$P$22:$Q$276,2,FALSE),"")</f>
        <v/>
      </c>
      <c r="R1307" s="3655"/>
      <c r="S1307" s="3644"/>
      <c r="T1307" s="3652" t="s">
        <v>514</v>
      </c>
      <c r="U1307" s="3653">
        <f t="array" ref="U1307">IFERROR(VLOOKUP(T1293,Dex!$B$3:$N1361,9,FALSE),"")</f>
        <v>125</v>
      </c>
      <c r="V1307" s="3654" t="str">
        <f t="array" ref="V1307">IFERROR(VLOOKUP(U1307,Dex!$P$22:$Q$276,2,FALSE),"")</f>
        <v/>
      </c>
      <c r="W1307" s="3655"/>
      <c r="X1307" s="3644"/>
      <c r="Y1307" s="3652" t="s">
        <v>514</v>
      </c>
      <c r="Z1307" s="3653">
        <f t="array" ref="Z1307">IFERROR(VLOOKUP(Y1293,Dex!$B$3:$N1361,9,FALSE),"")</f>
        <v>112</v>
      </c>
      <c r="AA1307" s="3654" t="str">
        <f t="array" ref="AA1307">IFERROR(VLOOKUP(Z1307,Dex!$P$22:$Q$276,2,FALSE),"")</f>
        <v/>
      </c>
      <c r="AB1307" s="3655"/>
      <c r="AC1307" s="3644"/>
      <c r="AD1307" s="3652" t="s">
        <v>514</v>
      </c>
      <c r="AE1307" s="3653">
        <f t="array" ref="AE1307">IFERROR(VLOOKUP(AD1293,Dex!$B$3:$N1361,9,FALSE),"")</f>
        <v>110</v>
      </c>
      <c r="AF1307" s="3654" t="str">
        <f t="array" ref="AF1307">IFERROR(VLOOKUP(AE1307,Dex!$P$22:$Q$276,2,FALSE),"")</f>
        <v/>
      </c>
      <c r="AG1307" s="3655"/>
      <c r="AH1307" s="3645"/>
      <c r="AI1307" s="3543"/>
    </row>
    <row r="1308" ht="16.5" customHeight="1">
      <c r="A1308" s="3535"/>
      <c r="B1308" s="3639"/>
      <c r="C1308" s="3631"/>
      <c r="D1308" s="3640"/>
      <c r="E1308" s="3652" t="s">
        <v>515</v>
      </c>
      <c r="F1308" s="3653">
        <f t="array" ref="F1308">IFERROR(VLOOKUP(E1293,Dex!$B$3:$N1361,10,FALSE),"")</f>
        <v>73</v>
      </c>
      <c r="G1308" s="3654" t="str">
        <f t="array" ref="G1308">IFERROR(VLOOKUP(F1308,Dex!$P$22:$Q$276,2,FALSE),"")</f>
        <v/>
      </c>
      <c r="H1308" s="3655"/>
      <c r="I1308" s="3650"/>
      <c r="J1308" s="3652" t="s">
        <v>515</v>
      </c>
      <c r="K1308" s="3653">
        <f t="array" ref="K1308">IFERROR(VLOOKUP(J1293,Dex!$B$3:$N1361,10,FALSE),"")</f>
        <v>115</v>
      </c>
      <c r="L1308" s="3654" t="str">
        <f t="array" ref="L1308">IFERROR(VLOOKUP(K1308,Dex!$P$22:$Q$276,2,FALSE),"")</f>
        <v/>
      </c>
      <c r="M1308" s="3655"/>
      <c r="N1308" s="3640"/>
      <c r="O1308" s="3652" t="s">
        <v>515</v>
      </c>
      <c r="P1308" s="3653">
        <f t="array" ref="P1308">IFERROR(VLOOKUP(O1293,Dex!$B$3:$N1361,10,FALSE),"")</f>
        <v>100</v>
      </c>
      <c r="Q1308" s="3654" t="str">
        <f t="array" ref="Q1308">IFERROR(VLOOKUP(P1308,Dex!$P$22:$Q$276,2,FALSE),"")</f>
        <v/>
      </c>
      <c r="R1308" s="3655"/>
      <c r="S1308" s="3644"/>
      <c r="T1308" s="3652" t="s">
        <v>515</v>
      </c>
      <c r="U1308" s="3653">
        <f t="array" ref="U1308">IFERROR(VLOOKUP(T1293,Dex!$B$3:$N1361,10,FALSE),"")</f>
        <v>60</v>
      </c>
      <c r="V1308" s="3654" t="str">
        <f t="array" ref="V1308">IFERROR(VLOOKUP(U1308,Dex!$P$22:$Q$276,2,FALSE),"")</f>
        <v/>
      </c>
      <c r="W1308" s="3655"/>
      <c r="X1308" s="3644"/>
      <c r="Y1308" s="3652" t="s">
        <v>515</v>
      </c>
      <c r="Z1308" s="3653">
        <f t="array" ref="Z1308">IFERROR(VLOOKUP(Y1293,Dex!$B$3:$N1361,10,FALSE),"")</f>
        <v>120</v>
      </c>
      <c r="AA1308" s="3654" t="str">
        <f t="array" ref="AA1308">IFERROR(VLOOKUP(Z1308,Dex!$P$22:$Q$276,2,FALSE),"")</f>
        <v/>
      </c>
      <c r="AB1308" s="3655"/>
      <c r="AC1308" s="3644"/>
      <c r="AD1308" s="3652" t="s">
        <v>515</v>
      </c>
      <c r="AE1308" s="3653">
        <f t="array" ref="AE1308">IFERROR(VLOOKUP(AD1293,Dex!$B$3:$N1361,10,FALSE),"")</f>
        <v>71</v>
      </c>
      <c r="AF1308" s="3654" t="str">
        <f t="array" ref="AF1308">IFERROR(VLOOKUP(AE1308,Dex!$P$22:$Q$276,2,FALSE),"")</f>
        <v/>
      </c>
      <c r="AG1308" s="3655"/>
      <c r="AH1308" s="3645"/>
      <c r="AI1308" s="3543"/>
    </row>
    <row r="1309" ht="16.5" customHeight="1">
      <c r="A1309" s="3535"/>
      <c r="B1309" s="3639"/>
      <c r="C1309" s="3631"/>
      <c r="D1309" s="3640"/>
      <c r="E1309" s="3652" t="s">
        <v>516</v>
      </c>
      <c r="F1309" s="3653">
        <f t="array" ref="F1309">IFERROR(VLOOKUP(E1293,Dex!$B$3:$N1361,11,FALSE),"")</f>
        <v>95</v>
      </c>
      <c r="G1309" s="3654" t="str">
        <f t="array" ref="G1309">IFERROR(VLOOKUP(F1309,Dex!$P$22:$Q$276,2,FALSE),"")</f>
        <v/>
      </c>
      <c r="H1309" s="3655"/>
      <c r="I1309" s="3650"/>
      <c r="J1309" s="3652" t="s">
        <v>516</v>
      </c>
      <c r="K1309" s="3653">
        <f t="array" ref="K1309">IFERROR(VLOOKUP(J1293,Dex!$B$3:$N1361,11,FALSE),"")</f>
        <v>65</v>
      </c>
      <c r="L1309" s="3654" t="str">
        <f t="array" ref="L1309">IFERROR(VLOOKUP(K1309,Dex!$P$22:$Q$276,2,FALSE),"")</f>
        <v/>
      </c>
      <c r="M1309" s="3655"/>
      <c r="N1309" s="3640"/>
      <c r="O1309" s="3652" t="s">
        <v>516</v>
      </c>
      <c r="P1309" s="3653">
        <f t="array" ref="P1309">IFERROR(VLOOKUP(O1293,Dex!$B$3:$N1361,11,FALSE),"")</f>
        <v>100</v>
      </c>
      <c r="Q1309" s="3654" t="str">
        <f t="array" ref="Q1309">IFERROR(VLOOKUP(P1309,Dex!$P$22:$Q$276,2,FALSE),"")</f>
        <v/>
      </c>
      <c r="R1309" s="3655"/>
      <c r="S1309" s="3644"/>
      <c r="T1309" s="3652" t="s">
        <v>516</v>
      </c>
      <c r="U1309" s="3653">
        <f t="array" ref="U1309">IFERROR(VLOOKUP(T1293,Dex!$B$3:$N1361,11,FALSE),"")</f>
        <v>95</v>
      </c>
      <c r="V1309" s="3654" t="str">
        <f t="array" ref="V1309">IFERROR(VLOOKUP(U1309,Dex!$P$22:$Q$276,2,FALSE),"")</f>
        <v/>
      </c>
      <c r="W1309" s="3655"/>
      <c r="X1309" s="3644"/>
      <c r="Y1309" s="3652" t="s">
        <v>516</v>
      </c>
      <c r="Z1309" s="3653">
        <f t="array" ref="Z1309">IFERROR(VLOOKUP(Y1293,Dex!$B$3:$N1361,11,FALSE),"")</f>
        <v>72</v>
      </c>
      <c r="AA1309" s="3654" t="str">
        <f t="array" ref="AA1309">IFERROR(VLOOKUP(Z1309,Dex!$P$22:$Q$276,2,FALSE),"")</f>
        <v/>
      </c>
      <c r="AB1309" s="3655"/>
      <c r="AC1309" s="3644"/>
      <c r="AD1309" s="3652" t="s">
        <v>516</v>
      </c>
      <c r="AE1309" s="3653">
        <f t="array" ref="AE1309">IFERROR(VLOOKUP(AD1293,Dex!$B$3:$N1361,11,FALSE),"")</f>
        <v>110</v>
      </c>
      <c r="AF1309" s="3654" t="str">
        <f t="array" ref="AF1309">IFERROR(VLOOKUP(AE1309,Dex!$P$22:$Q$276,2,FALSE),"")</f>
        <v/>
      </c>
      <c r="AG1309" s="3655"/>
      <c r="AH1309" s="3645"/>
      <c r="AI1309" s="3543"/>
    </row>
    <row r="1310" ht="16.5" customHeight="1">
      <c r="A1310" s="3535"/>
      <c r="B1310" s="3639"/>
      <c r="C1310" s="3631"/>
      <c r="D1310" s="3640"/>
      <c r="E1310" s="3652" t="s">
        <v>517</v>
      </c>
      <c r="F1310" s="3653">
        <f t="array" ref="F1310">IFERROR(VLOOKUP(E1293,Dex!$B$3:$N1361,12,FALSE),"")</f>
        <v>90</v>
      </c>
      <c r="G1310" s="3654" t="str">
        <f t="array" ref="G1310">IFERROR(VLOOKUP(F1310,Dex!$P$22:$Q$276,2,FALSE),"")</f>
        <v/>
      </c>
      <c r="H1310" s="3655"/>
      <c r="I1310" s="3650"/>
      <c r="J1310" s="3652" t="s">
        <v>517</v>
      </c>
      <c r="K1310" s="3653">
        <f t="array" ref="K1310">IFERROR(VLOOKUP(J1293,Dex!$B$3:$N1361,12,FALSE),"")</f>
        <v>65</v>
      </c>
      <c r="L1310" s="3654" t="str">
        <f t="array" ref="L1310">IFERROR(VLOOKUP(K1310,Dex!$P$22:$Q$276,2,FALSE),"")</f>
        <v/>
      </c>
      <c r="M1310" s="3655"/>
      <c r="N1310" s="3640"/>
      <c r="O1310" s="3652" t="s">
        <v>517</v>
      </c>
      <c r="P1310" s="3653">
        <f t="array" ref="P1310">IFERROR(VLOOKUP(O1293,Dex!$B$3:$N1361,12,FALSE),"")</f>
        <v>100</v>
      </c>
      <c r="Q1310" s="3654" t="str">
        <f t="array" ref="Q1310">IFERROR(VLOOKUP(P1310,Dex!$P$22:$Q$276,2,FALSE),"")</f>
        <v/>
      </c>
      <c r="R1310" s="3655"/>
      <c r="S1310" s="3644"/>
      <c r="T1310" s="3652" t="s">
        <v>517</v>
      </c>
      <c r="U1310" s="3653">
        <f t="array" ref="U1310">IFERROR(VLOOKUP(T1293,Dex!$B$3:$N1361,12,FALSE),"")</f>
        <v>60</v>
      </c>
      <c r="V1310" s="3654" t="str">
        <f t="array" ref="V1310">IFERROR(VLOOKUP(U1310,Dex!$P$22:$Q$276,2,FALSE),"")</f>
        <v/>
      </c>
      <c r="W1310" s="3655"/>
      <c r="X1310" s="3644"/>
      <c r="Y1310" s="3652" t="s">
        <v>517</v>
      </c>
      <c r="Z1310" s="3653">
        <f t="array" ref="Z1310">IFERROR(VLOOKUP(Y1293,Dex!$B$3:$N1361,12,FALSE),"")</f>
        <v>70</v>
      </c>
      <c r="AA1310" s="3654" t="str">
        <f t="array" ref="AA1310">IFERROR(VLOOKUP(Z1310,Dex!$P$22:$Q$276,2,FALSE),"")</f>
        <v/>
      </c>
      <c r="AB1310" s="3655"/>
      <c r="AC1310" s="3644"/>
      <c r="AD1310" s="3652" t="s">
        <v>517</v>
      </c>
      <c r="AE1310" s="3653">
        <f t="array" ref="AE1310">IFERROR(VLOOKUP(AD1293,Dex!$B$3:$N1361,12,FALSE),"")</f>
        <v>71</v>
      </c>
      <c r="AF1310" s="3654" t="str">
        <f t="array" ref="AF1310">IFERROR(VLOOKUP(AE1310,Dex!$P$22:$Q$276,2,FALSE),"")</f>
        <v/>
      </c>
      <c r="AG1310" s="3655"/>
      <c r="AH1310" s="3645"/>
      <c r="AI1310" s="3543"/>
    </row>
    <row r="1311" ht="16.5" customHeight="1">
      <c r="A1311" s="3535"/>
      <c r="B1311" s="3639"/>
      <c r="C1311" s="1426" t="s">
        <v>745</v>
      </c>
      <c r="D1311" s="3640"/>
      <c r="E1311" s="3658" t="s">
        <v>518</v>
      </c>
      <c r="F1311" s="3659">
        <f t="array" ref="F1311">IFERROR(VLOOKUP(E1293,Dex!$B$3:$N1361,13,FALSE),"")</f>
        <v>60</v>
      </c>
      <c r="G1311" s="3660" t="str">
        <f t="array" ref="G1311">IFERROR(VLOOKUP(F1311,Dex!$P$22:$Q$276,2,FALSE),"")</f>
        <v/>
      </c>
      <c r="H1311" s="3661"/>
      <c r="I1311" s="3650"/>
      <c r="J1311" s="3658" t="s">
        <v>518</v>
      </c>
      <c r="K1311" s="3659">
        <f t="array" ref="K1311">IFERROR(VLOOKUP(J1293,Dex!$B$3:$N1361,13,FALSE),"")</f>
        <v>35</v>
      </c>
      <c r="L1311" s="3660" t="str">
        <f t="array" ref="L1311">IFERROR(VLOOKUP(K1311,Dex!$P$22:$Q$276,2,FALSE),"")</f>
        <v/>
      </c>
      <c r="M1311" s="3661"/>
      <c r="N1311" s="3640"/>
      <c r="O1311" s="3658" t="s">
        <v>518</v>
      </c>
      <c r="P1311" s="3659">
        <f t="array" ref="P1311">IFERROR(VLOOKUP(O1293,Dex!$B$3:$N1361,13,FALSE),"")</f>
        <v>100</v>
      </c>
      <c r="Q1311" s="3660" t="str">
        <f t="array" ref="Q1311">IFERROR(VLOOKUP(P1311,Dex!$P$22:$Q$276,2,FALSE),"")</f>
        <v/>
      </c>
      <c r="R1311" s="3661"/>
      <c r="S1311" s="3644"/>
      <c r="T1311" s="3658" t="s">
        <v>518</v>
      </c>
      <c r="U1311" s="3659">
        <f t="array" ref="U1311">IFERROR(VLOOKUP(T1293,Dex!$B$3:$N1361,13,FALSE),"")</f>
        <v>105</v>
      </c>
      <c r="V1311" s="3660" t="str">
        <f t="array" ref="V1311">IFERROR(VLOOKUP(U1311,Dex!$P$22:$Q$276,2,FALSE),"")</f>
        <v/>
      </c>
      <c r="W1311" s="3661"/>
      <c r="X1311" s="3644"/>
      <c r="Y1311" s="3658" t="s">
        <v>518</v>
      </c>
      <c r="Z1311" s="3659">
        <f t="array" ref="Z1311">IFERROR(VLOOKUP(Y1293,Dex!$B$3:$N1361,13,FALSE),"")</f>
        <v>106</v>
      </c>
      <c r="AA1311" s="3660" t="str">
        <f t="array" ref="AA1311">IFERROR(VLOOKUP(Z1311,Dex!$P$22:$Q$276,2,FALSE),"")</f>
        <v/>
      </c>
      <c r="AB1311" s="3661"/>
      <c r="AC1311" s="3644"/>
      <c r="AD1311" s="3658" t="s">
        <v>518</v>
      </c>
      <c r="AE1311" s="3659">
        <f t="array" ref="AE1311">IFERROR(VLOOKUP(AD1293,Dex!$B$3:$N1361,13,FALSE),"")</f>
        <v>113</v>
      </c>
      <c r="AF1311" s="3660" t="str">
        <f t="array" ref="AF1311">IFERROR(VLOOKUP(AE1311,Dex!$P$22:$Q$276,2,FALSE),"")</f>
        <v/>
      </c>
      <c r="AG1311" s="3661"/>
      <c r="AH1311" s="3645"/>
      <c r="AI1311" s="3543"/>
    </row>
    <row r="1312" ht="16.5" customHeight="1">
      <c r="A1312" s="3535"/>
      <c r="B1312" s="3639"/>
      <c r="C1312" s="1427" t="s">
        <v>1739</v>
      </c>
      <c r="D1312" s="4590"/>
      <c r="E1312" s="3662" t="s">
        <v>519</v>
      </c>
      <c r="F1312" s="630"/>
      <c r="G1312" s="631"/>
      <c r="H1312" s="632">
        <f>ROUNDDOWN((ROUNDDOWN(((((2*F1311+31)*85)/100+5)),0))*1,0)</f>
        <v>133</v>
      </c>
      <c r="I1312" s="3642"/>
      <c r="J1312" s="3662" t="s">
        <v>519</v>
      </c>
      <c r="K1312" s="630"/>
      <c r="L1312" s="631"/>
      <c r="M1312" s="632">
        <f>ROUNDDOWN((ROUNDDOWN(((((2*K1311+31)*85)/100+5)),0))*1,0)</f>
        <v>90</v>
      </c>
      <c r="N1312" s="4590"/>
      <c r="O1312" s="3662" t="s">
        <v>519</v>
      </c>
      <c r="P1312" s="630"/>
      <c r="Q1312" s="631"/>
      <c r="R1312" s="632">
        <f>ROUNDDOWN((ROUNDDOWN(((((2*P1311+31)*85)/100+5)),0))*1.1,0)</f>
        <v>221</v>
      </c>
      <c r="S1312" s="4592"/>
      <c r="T1312" s="3662" t="s">
        <v>519</v>
      </c>
      <c r="U1312" s="630"/>
      <c r="V1312" s="631"/>
      <c r="W1312" s="632">
        <f>ROUNDDOWN((ROUNDDOWN(((((2*U1311+31)*85)/100+5)),0))*1.1,0)</f>
        <v>229</v>
      </c>
      <c r="X1312" s="4592"/>
      <c r="Y1312" s="3662" t="s">
        <v>519</v>
      </c>
      <c r="Z1312" s="630"/>
      <c r="AA1312" s="631"/>
      <c r="AB1312" s="632">
        <f>ROUNDDOWN((ROUNDDOWN(((((2*Z1311+31)*85)/100+5)),0))*1.1,0)</f>
        <v>232</v>
      </c>
      <c r="AC1312" s="4592"/>
      <c r="AD1312" s="3662" t="s">
        <v>519</v>
      </c>
      <c r="AE1312" s="630"/>
      <c r="AF1312" s="631"/>
      <c r="AG1312" s="632">
        <f>ROUNDDOWN((ROUNDDOWN(((((2*AE1311+31)*85)/100+5)),0))*1.1,0)</f>
        <v>245</v>
      </c>
      <c r="AH1312" s="3645"/>
      <c r="AI1312" s="3543"/>
    </row>
    <row r="1313" ht="15.0" customHeight="1">
      <c r="A1313" s="3453"/>
      <c r="B1313" s="3663"/>
      <c r="C1313" s="3664"/>
      <c r="D1313" s="3665"/>
      <c r="E1313" s="3668"/>
      <c r="F1313" s="3668"/>
      <c r="G1313" s="3668"/>
      <c r="H1313" s="3667"/>
      <c r="I1313" s="3667"/>
      <c r="J1313" s="3668"/>
      <c r="K1313" s="3668"/>
      <c r="L1313" s="3668"/>
      <c r="M1313" s="3667"/>
      <c r="N1313" s="3669"/>
      <c r="O1313" s="5738"/>
      <c r="P1313" s="5738"/>
      <c r="Q1313" s="5739"/>
      <c r="R1313" s="3671"/>
      <c r="S1313" s="3671"/>
      <c r="T1313" s="5738"/>
      <c r="U1313" s="5738"/>
      <c r="V1313" s="5739"/>
      <c r="W1313" s="3671"/>
      <c r="X1313" s="3669"/>
      <c r="Y1313" s="4601"/>
      <c r="Z1313" s="4601"/>
      <c r="AA1313" s="4601"/>
      <c r="AB1313" s="3672"/>
      <c r="AC1313" s="3672"/>
      <c r="AD1313" s="4601"/>
      <c r="AE1313" s="4601"/>
      <c r="AF1313" s="4601"/>
      <c r="AG1313" s="3672"/>
      <c r="AH1313" s="3673"/>
      <c r="AI1313" s="3466"/>
    </row>
    <row r="1314" ht="15.0" customHeight="1">
      <c r="A1314" s="3446"/>
      <c r="B1314" s="3567"/>
      <c r="C1314" s="3568"/>
      <c r="D1314" s="3569"/>
      <c r="E1314" s="3570"/>
      <c r="F1314" s="3570"/>
      <c r="G1314" s="3570"/>
      <c r="H1314" s="3570"/>
      <c r="I1314" s="3569"/>
      <c r="J1314" s="3570"/>
      <c r="K1314" s="3570"/>
      <c r="L1314" s="3570"/>
      <c r="M1314" s="3570"/>
      <c r="N1314" s="3569"/>
      <c r="O1314" s="3570"/>
      <c r="P1314" s="3570"/>
      <c r="Q1314" s="3570"/>
      <c r="R1314" s="3570"/>
      <c r="S1314" s="3569"/>
      <c r="T1314" s="3570"/>
      <c r="U1314" s="3570"/>
      <c r="V1314" s="3570"/>
      <c r="W1314" s="3570"/>
      <c r="X1314" s="3569"/>
      <c r="Y1314" s="3570"/>
      <c r="Z1314" s="3570"/>
      <c r="AA1314" s="3570"/>
      <c r="AB1314" s="3570"/>
      <c r="AC1314" s="3569"/>
      <c r="AD1314" s="3570"/>
      <c r="AE1314" s="3570"/>
      <c r="AF1314" s="3570"/>
      <c r="AG1314" s="3570"/>
      <c r="AH1314" s="3571"/>
      <c r="AI1314" s="3452"/>
    </row>
    <row r="1315">
      <c r="A1315" s="3446"/>
      <c r="B1315" s="4579"/>
      <c r="C1315" s="4580"/>
      <c r="D1315" s="3581"/>
      <c r="E1315" s="4581" t="s">
        <v>1769</v>
      </c>
      <c r="F1315" s="3617"/>
      <c r="G1315" s="3617"/>
      <c r="H1315" s="3617"/>
      <c r="I1315" s="3617"/>
      <c r="J1315" s="3617"/>
      <c r="K1315" s="3617"/>
      <c r="L1315" s="3617"/>
      <c r="M1315" s="3617"/>
      <c r="N1315" s="3617"/>
      <c r="O1315" s="3617"/>
      <c r="P1315" s="3617"/>
      <c r="Q1315" s="3617"/>
      <c r="R1315" s="3617"/>
      <c r="S1315" s="3617"/>
      <c r="T1315" s="3617"/>
      <c r="U1315" s="3617"/>
      <c r="V1315" s="3617"/>
      <c r="W1315" s="3617"/>
      <c r="X1315" s="3617"/>
      <c r="Y1315" s="3617"/>
      <c r="Z1315" s="3617"/>
      <c r="AA1315" s="3617"/>
      <c r="AB1315" s="3617"/>
      <c r="AC1315" s="3617"/>
      <c r="AD1315" s="3617"/>
      <c r="AE1315" s="3617"/>
      <c r="AF1315" s="3617"/>
      <c r="AG1315" s="3618"/>
      <c r="AH1315" s="4582"/>
      <c r="AI1315" s="3452"/>
    </row>
    <row r="1316" ht="96.75" customHeight="1">
      <c r="A1316" s="3453"/>
      <c r="B1316" s="3572"/>
      <c r="C1316" s="5743" t="str">
        <f>IMAGE("https://i.ibb.co/rwBLd0y/Ace-Trainers.png",2)</f>
        <v/>
      </c>
      <c r="D1316" s="3574"/>
      <c r="E1316" s="3575" t="str">
        <f t="array" ref="E1316">IFERROR(VLOOKUP(E1317,Dex!$B$3:$G1361,3,FALSE),"")</f>
        <v/>
      </c>
      <c r="F1316" s="606"/>
      <c r="G1316" s="606"/>
      <c r="H1316" s="607"/>
      <c r="I1316" s="3576"/>
      <c r="J1316" s="3575" t="str">
        <f t="array" ref="J1316">IFERROR(VLOOKUP(J1317,Dex!$B$3:$G1361,3,FALSE),"")</f>
        <v/>
      </c>
      <c r="K1316" s="606"/>
      <c r="L1316" s="606"/>
      <c r="M1316" s="607"/>
      <c r="N1316" s="4583"/>
      <c r="O1316" s="3575" t="str">
        <f t="array" ref="O1316">IFERROR(VLOOKUP(O1317,Dex!$B$3:$G1361,3,FALSE),"")</f>
        <v/>
      </c>
      <c r="P1316" s="606"/>
      <c r="Q1316" s="606"/>
      <c r="R1316" s="607"/>
      <c r="S1316" s="4584"/>
      <c r="T1316" s="5744" t="str">
        <f t="array" ref="T1316">IFERROR(VLOOKUP(T1317,Dex!$B$3:$G1361,3,FALSE),"")</f>
        <v/>
      </c>
      <c r="U1316" s="606"/>
      <c r="V1316" s="606"/>
      <c r="W1316" s="607"/>
      <c r="X1316" s="4583"/>
      <c r="Y1316" s="5744" t="str">
        <f t="array" ref="Y1316">IFERROR(VLOOKUP(Y1317,Dex!$B$3:$G1361,3,FALSE),"")</f>
        <v/>
      </c>
      <c r="Z1316" s="606"/>
      <c r="AA1316" s="606"/>
      <c r="AB1316" s="607"/>
      <c r="AC1316" s="4584"/>
      <c r="AD1316" s="5744" t="str">
        <f t="array" ref="AD1316">IFERROR(VLOOKUP(AD1317,Dex!$B$3:$G1361,3,FALSE),"")</f>
        <v/>
      </c>
      <c r="AE1316" s="606"/>
      <c r="AF1316" s="606"/>
      <c r="AG1316" s="607"/>
      <c r="AH1316" s="5740"/>
      <c r="AI1316" s="3466"/>
    </row>
    <row r="1317" ht="18.75" customHeight="1">
      <c r="A1317" s="3467"/>
      <c r="B1317" s="5745"/>
      <c r="C1317" s="5746" t="s">
        <v>1770</v>
      </c>
      <c r="D1317" s="5747"/>
      <c r="E1317" s="3587" t="s">
        <v>1771</v>
      </c>
      <c r="F1317" s="3588"/>
      <c r="G1317" s="3588"/>
      <c r="H1317" s="3589"/>
      <c r="J1317" s="3587" t="s">
        <v>1772</v>
      </c>
      <c r="K1317" s="3588"/>
      <c r="L1317" s="3588"/>
      <c r="M1317" s="3589"/>
      <c r="O1317" s="3587" t="s">
        <v>1237</v>
      </c>
      <c r="P1317" s="3588"/>
      <c r="Q1317" s="3588"/>
      <c r="R1317" s="3589"/>
      <c r="T1317" s="5748" t="s">
        <v>1773</v>
      </c>
      <c r="U1317" s="5749"/>
      <c r="V1317" s="5749"/>
      <c r="W1317" s="5750"/>
      <c r="Y1317" s="5748" t="s">
        <v>1774</v>
      </c>
      <c r="Z1317" s="5749"/>
      <c r="AA1317" s="5749"/>
      <c r="AB1317" s="5750"/>
      <c r="AD1317" s="5748" t="s">
        <v>824</v>
      </c>
      <c r="AE1317" s="5749"/>
      <c r="AF1317" s="5749"/>
      <c r="AG1317" s="5750"/>
      <c r="AH1317" s="5741"/>
      <c r="AI1317" s="3478"/>
    </row>
    <row r="1318">
      <c r="A1318" s="3479"/>
      <c r="B1318" s="5751"/>
      <c r="C1318" s="1638"/>
      <c r="D1318" s="5752"/>
      <c r="E1318" s="4586" t="s">
        <v>729</v>
      </c>
      <c r="F1318" s="3597"/>
      <c r="G1318" s="3597"/>
      <c r="H1318" s="4587"/>
      <c r="J1318" s="4586" t="s">
        <v>729</v>
      </c>
      <c r="K1318" s="3597"/>
      <c r="L1318" s="3597"/>
      <c r="M1318" s="4587"/>
      <c r="O1318" s="4586" t="s">
        <v>729</v>
      </c>
      <c r="P1318" s="3597"/>
      <c r="Q1318" s="3597"/>
      <c r="R1318" s="4587"/>
      <c r="T1318" s="5753" t="s">
        <v>729</v>
      </c>
      <c r="U1318" s="5754"/>
      <c r="V1318" s="5754"/>
      <c r="W1318" s="5755"/>
      <c r="Y1318" s="5753" t="s">
        <v>729</v>
      </c>
      <c r="Z1318" s="5754"/>
      <c r="AA1318" s="5754"/>
      <c r="AB1318" s="5755"/>
      <c r="AD1318" s="5753" t="s">
        <v>729</v>
      </c>
      <c r="AE1318" s="5754"/>
      <c r="AF1318" s="5754"/>
      <c r="AG1318" s="5755"/>
      <c r="AH1318" s="5742"/>
      <c r="AI1318" s="3487"/>
    </row>
    <row r="1319" ht="25.5" customHeight="1">
      <c r="A1319" s="3453"/>
      <c r="B1319" s="5756"/>
      <c r="C1319" s="1638"/>
      <c r="D1319" s="5757"/>
      <c r="E1319" s="3601"/>
      <c r="F1319" s="4588" t="str">
        <f t="array" ref="F1319">IFERROR(VLOOKUP(E1317,Dex!$B$3:$H1361,5,FALSE),"")</f>
        <v/>
      </c>
      <c r="G1319" s="4589" t="str">
        <f t="array" ref="G1319">IFERROR(VLOOKUP(E1317,Dex!$B$3:$H1361,7,FALSE),"")</f>
        <v/>
      </c>
      <c r="H1319" s="3604"/>
      <c r="J1319" s="3601"/>
      <c r="K1319" s="4588" t="str">
        <f t="array" ref="K1319">IFERROR(VLOOKUP(J1317,Dex!$B$3:$H1361,5,FALSE),"")</f>
        <v/>
      </c>
      <c r="L1319" s="4589" t="str">
        <f t="array" ref="L1319">IFERROR(VLOOKUP(J1317,Dex!$B$3:$H1361,7,FALSE),"")</f>
        <v/>
      </c>
      <c r="M1319" s="3604"/>
      <c r="O1319" s="3601"/>
      <c r="P1319" s="4588" t="str">
        <f t="array" ref="P1319">IFERROR(VLOOKUP(O1317,Dex!$B$3:$H1361,5,FALSE),"")</f>
        <v/>
      </c>
      <c r="Q1319" s="4589" t="str">
        <f t="array" ref="Q1319">IFERROR(VLOOKUP(O1317,Dex!$B$3:$H1361,7,FALSE),"")</f>
        <v/>
      </c>
      <c r="R1319" s="3604"/>
      <c r="T1319" s="5758"/>
      <c r="U1319" s="5759" t="str">
        <f t="array" ref="U1319">IFERROR(VLOOKUP(T1317,Dex!$B$3:$H1361,5,FALSE),"")</f>
        <v/>
      </c>
      <c r="V1319" s="5760" t="str">
        <f t="array" ref="V1319">IFERROR(VLOOKUP(T1317,Dex!$B$3:$H1361,7,FALSE),"")</f>
        <v/>
      </c>
      <c r="W1319" s="5761"/>
      <c r="Y1319" s="5758"/>
      <c r="Z1319" s="5759" t="str">
        <f t="array" ref="Z1319">IFERROR(VLOOKUP(Y1317,Dex!$B$3:$H1361,5,FALSE),"")</f>
        <v/>
      </c>
      <c r="AA1319" s="5760" t="str">
        <f t="array" ref="AA1319">IFERROR(VLOOKUP(Y1317,Dex!$B$3:$H1361,7,FALSE),"")</f>
        <v/>
      </c>
      <c r="AB1319" s="5761"/>
      <c r="AD1319" s="5758"/>
      <c r="AE1319" s="5759" t="str">
        <f t="array" ref="AE1319">IFERROR(VLOOKUP(AD1317,Dex!$B$3:$H1361,5,FALSE),"")</f>
        <v/>
      </c>
      <c r="AF1319" s="5760" t="str">
        <f t="array" ref="AF1319">IFERROR(VLOOKUP(AD1317,Dex!$B$3:$H1361,7,FALSE),"")</f>
        <v/>
      </c>
      <c r="AG1319" s="5761"/>
      <c r="AH1319" s="3583"/>
      <c r="AI1319" s="3466"/>
    </row>
    <row r="1320" ht="2.25" customHeight="1">
      <c r="A1320" s="3453"/>
      <c r="B1320" s="5756"/>
      <c r="C1320" s="1638"/>
      <c r="D1320" s="5757"/>
      <c r="E1320" s="3606"/>
      <c r="F1320" s="3607"/>
      <c r="G1320" s="3607"/>
      <c r="H1320" s="3608"/>
      <c r="J1320" s="3606"/>
      <c r="K1320" s="3607"/>
      <c r="L1320" s="3607"/>
      <c r="M1320" s="3608"/>
      <c r="O1320" s="3606"/>
      <c r="P1320" s="3607"/>
      <c r="Q1320" s="3607"/>
      <c r="R1320" s="3608"/>
      <c r="T1320" s="5762"/>
      <c r="U1320" s="5763"/>
      <c r="V1320" s="5763"/>
      <c r="W1320" s="5764"/>
      <c r="Y1320" s="5762"/>
      <c r="Z1320" s="5763"/>
      <c r="AA1320" s="5763"/>
      <c r="AB1320" s="5764"/>
      <c r="AD1320" s="5762"/>
      <c r="AE1320" s="5763"/>
      <c r="AF1320" s="5763"/>
      <c r="AG1320" s="5764"/>
      <c r="AH1320" s="3583"/>
      <c r="AI1320" s="3466"/>
    </row>
    <row r="1321" ht="20.25" customHeight="1">
      <c r="A1321" s="3453"/>
      <c r="B1321" s="5756"/>
      <c r="C1321" s="1646"/>
      <c r="D1321" s="5757"/>
      <c r="E1321" s="3610" t="s">
        <v>634</v>
      </c>
      <c r="F1321" s="3611"/>
      <c r="G1321" s="3611"/>
      <c r="H1321" s="3612"/>
      <c r="J1321" s="3610" t="s">
        <v>634</v>
      </c>
      <c r="K1321" s="3611"/>
      <c r="L1321" s="3611"/>
      <c r="M1321" s="3612"/>
      <c r="O1321" s="3610" t="s">
        <v>633</v>
      </c>
      <c r="P1321" s="3611"/>
      <c r="Q1321" s="3611"/>
      <c r="R1321" s="3612"/>
      <c r="T1321" s="5765" t="s">
        <v>633</v>
      </c>
      <c r="U1321" s="5766"/>
      <c r="V1321" s="5766"/>
      <c r="W1321" s="5767"/>
      <c r="Y1321" s="5765" t="s">
        <v>1097</v>
      </c>
      <c r="Z1321" s="5766"/>
      <c r="AA1321" s="5766"/>
      <c r="AB1321" s="5767"/>
      <c r="AD1321" s="5765" t="s">
        <v>633</v>
      </c>
      <c r="AE1321" s="5766"/>
      <c r="AF1321" s="5766"/>
      <c r="AG1321" s="5767"/>
      <c r="AH1321" s="5740"/>
      <c r="AI1321" s="3466"/>
    </row>
    <row r="1322">
      <c r="A1322" s="3453"/>
      <c r="B1322" s="5756"/>
      <c r="C1322" s="5768"/>
      <c r="D1322" s="5757"/>
      <c r="E1322" s="3614" t="s">
        <v>60</v>
      </c>
      <c r="F1322" s="3579"/>
      <c r="G1322" s="3579"/>
      <c r="H1322" s="3615"/>
      <c r="J1322" s="3614" t="s">
        <v>1775</v>
      </c>
      <c r="K1322" s="3579"/>
      <c r="L1322" s="3579"/>
      <c r="M1322" s="3615"/>
      <c r="O1322" s="3614" t="s">
        <v>84</v>
      </c>
      <c r="P1322" s="3579"/>
      <c r="Q1322" s="3579"/>
      <c r="R1322" s="3615"/>
      <c r="T1322" s="5769" t="s">
        <v>1538</v>
      </c>
      <c r="U1322" s="5770"/>
      <c r="V1322" s="5770"/>
      <c r="W1322" s="5771"/>
      <c r="Y1322" s="5769" t="s">
        <v>1776</v>
      </c>
      <c r="Z1322" s="5770"/>
      <c r="AA1322" s="5770"/>
      <c r="AB1322" s="5771"/>
      <c r="AD1322" s="5769" t="s">
        <v>484</v>
      </c>
      <c r="AE1322" s="5770"/>
      <c r="AF1322" s="5770"/>
      <c r="AG1322" s="5771"/>
      <c r="AH1322" s="5740"/>
      <c r="AI1322" s="3466"/>
    </row>
    <row r="1323" ht="20.25" customHeight="1">
      <c r="A1323" s="3453"/>
      <c r="B1323" s="3572"/>
      <c r="C1323" s="5768"/>
      <c r="D1323" s="3574"/>
      <c r="E1323" s="3616" t="s">
        <v>713</v>
      </c>
      <c r="F1323" s="3617"/>
      <c r="G1323" s="3618"/>
      <c r="H1323" s="3619" t="str">
        <f>IMAGE("https://raw.githubusercontent.com/msikma/pokesprite/master/items/hold-item/assault-vest.png",3)</f>
        <v/>
      </c>
      <c r="J1323" s="3616" t="s">
        <v>1777</v>
      </c>
      <c r="K1323" s="3617"/>
      <c r="L1323" s="3618"/>
      <c r="M1323" s="3619" t="str">
        <f>IMAGE("https://raw.githubusercontent.com/msikma/pokesprite/master/items/mega-stone/mewtwonite-x.png",3)</f>
        <v/>
      </c>
      <c r="O1323" s="3616" t="s">
        <v>1006</v>
      </c>
      <c r="P1323" s="3617"/>
      <c r="Q1323" s="3618"/>
      <c r="R1323" s="3619" t="str">
        <f>IMAGE("https://raw.githubusercontent.com/msikma/pokesprite/master/items/hold-item/poison-barb.png",3)</f>
        <v/>
      </c>
      <c r="T1323" s="5772" t="s">
        <v>492</v>
      </c>
      <c r="U1323" s="5773"/>
      <c r="V1323" s="5774"/>
      <c r="W1323" s="5775" t="str">
        <f>IMAGE("https://raw.githubusercontent.com/msikma/pokesprite/master/items/berry/iapapa.png",3)</f>
        <v/>
      </c>
      <c r="Y1323" s="5772" t="s">
        <v>492</v>
      </c>
      <c r="Z1323" s="5773"/>
      <c r="AA1323" s="5774"/>
      <c r="AB1323" s="5775" t="str">
        <f>IMAGE("https://raw.githubusercontent.com/msikma/pokesprite/master/items/berry/iapapa.png",3)</f>
        <v/>
      </c>
      <c r="AD1323" s="5772" t="s">
        <v>829</v>
      </c>
      <c r="AE1323" s="5773"/>
      <c r="AF1323" s="5774"/>
      <c r="AG1323" s="5775" t="str">
        <f>IMAGE("https://raw.githubusercontent.com/msikma/pokesprite/master/items/hold-item/magnet.png",3)</f>
        <v/>
      </c>
      <c r="AH1323" s="3583"/>
      <c r="AI1323" s="3466"/>
    </row>
    <row r="1324" ht="20.25" customHeight="1">
      <c r="A1324" s="3453"/>
      <c r="B1324" s="3572"/>
      <c r="C1324" s="3605"/>
      <c r="D1324" s="3574"/>
      <c r="E1324" s="3610" t="s">
        <v>777</v>
      </c>
      <c r="F1324" s="3611"/>
      <c r="G1324" s="3621"/>
      <c r="H1324" s="3622" t="str">
        <f>IMAGE("https://raw.githubusercontent.com/msikma/pokesprite/master/misc/types/gen8/normal.png",4,20,20)</f>
        <v/>
      </c>
      <c r="J1324" s="3610" t="s">
        <v>1323</v>
      </c>
      <c r="K1324" s="3611"/>
      <c r="L1324" s="3621"/>
      <c r="M1324" s="3622" t="str">
        <f>IMAGE("https://raw.githubusercontent.com/msikma/pokesprite/master/misc/types/gen8/steel.png",4,20,20)</f>
        <v/>
      </c>
      <c r="O1324" s="3610" t="s">
        <v>773</v>
      </c>
      <c r="P1324" s="3611"/>
      <c r="Q1324" s="3621"/>
      <c r="R1324" s="3622" t="str">
        <f>IMAGE("https://raw.githubusercontent.com/msikma/pokesprite/master/misc/types/gen8/poison.png",4,20,20)</f>
        <v/>
      </c>
      <c r="T1324" s="5765" t="s">
        <v>236</v>
      </c>
      <c r="U1324" s="5766"/>
      <c r="V1324" s="5776"/>
      <c r="W1324" s="5777" t="str">
        <f>IMAGE("https://raw.githubusercontent.com/msikma/pokesprite/master/misc/types/gen8/psychic.png",4,20,20)</f>
        <v/>
      </c>
      <c r="Y1324" s="5765" t="s">
        <v>878</v>
      </c>
      <c r="Z1324" s="5766"/>
      <c r="AA1324" s="5776"/>
      <c r="AB1324" s="5777" t="str">
        <f>IMAGE("https://raw.githubusercontent.com/msikma/pokesprite/master/misc/types/gen8/fire.png",4,20,20)</f>
        <v/>
      </c>
      <c r="AD1324" s="5765" t="s">
        <v>547</v>
      </c>
      <c r="AE1324" s="5766"/>
      <c r="AF1324" s="5776"/>
      <c r="AG1324" s="5777" t="str">
        <f>IMAGE("https://raw.githubusercontent.com/msikma/pokesprite/master/misc/types/gen8/electric.png",4,20,20)</f>
        <v/>
      </c>
      <c r="AH1324" s="3583"/>
      <c r="AI1324" s="3466"/>
    </row>
    <row r="1325" ht="20.25" customHeight="1">
      <c r="A1325" s="3453"/>
      <c r="B1325" s="3572"/>
      <c r="C1325" s="3605"/>
      <c r="D1325" s="3574"/>
      <c r="E1325" s="3614" t="s">
        <v>579</v>
      </c>
      <c r="F1325" s="3579"/>
      <c r="G1325" s="3580"/>
      <c r="H1325" s="3623" t="str">
        <f>IMAGE("https://raw.githubusercontent.com/msikma/pokesprite/master/misc/types/gen8/dark.png",4,20,20)</f>
        <v/>
      </c>
      <c r="J1325" s="3614" t="s">
        <v>583</v>
      </c>
      <c r="K1325" s="3579"/>
      <c r="L1325" s="3580"/>
      <c r="M1325" s="3623" t="str">
        <f>IMAGE("https://raw.githubusercontent.com/msikma/pokesprite/master/misc/types/gen8/fighting.png",4,20,20)</f>
        <v/>
      </c>
      <c r="O1325" s="3614" t="s">
        <v>619</v>
      </c>
      <c r="P1325" s="3579"/>
      <c r="Q1325" s="3580"/>
      <c r="R1325" s="3623" t="str">
        <f>IMAGE("https://raw.githubusercontent.com/msikma/pokesprite/master/misc/types/gen8/fire.png",4,20,20)</f>
        <v/>
      </c>
      <c r="T1325" s="5769" t="s">
        <v>619</v>
      </c>
      <c r="U1325" s="5770"/>
      <c r="V1325" s="5778"/>
      <c r="W1325" s="5779" t="str">
        <f>IMAGE("https://raw.githubusercontent.com/msikma/pokesprite/master/misc/types/gen8/fire.png",4,20,20)</f>
        <v/>
      </c>
      <c r="Y1325" s="5769" t="s">
        <v>236</v>
      </c>
      <c r="Z1325" s="5770"/>
      <c r="AA1325" s="5778"/>
      <c r="AB1325" s="5779" t="str">
        <f>IMAGE("https://raw.githubusercontent.com/msikma/pokesprite/master/misc/types/gen8/psychic.png",4,20,20)</f>
        <v/>
      </c>
      <c r="AD1325" s="5769" t="s">
        <v>846</v>
      </c>
      <c r="AE1325" s="5770"/>
      <c r="AF1325" s="5778"/>
      <c r="AG1325" s="5779" t="str">
        <f>IMAGE("https://raw.githubusercontent.com/msikma/pokesprite/master/misc/types/gen8/bug.png",4,20,20)</f>
        <v/>
      </c>
      <c r="AH1325" s="3583"/>
      <c r="AI1325" s="3466"/>
    </row>
    <row r="1326" ht="20.25" customHeight="1">
      <c r="A1326" s="3453"/>
      <c r="B1326" s="3572"/>
      <c r="C1326" s="3605"/>
      <c r="D1326" s="3574"/>
      <c r="E1326" s="3614" t="s">
        <v>548</v>
      </c>
      <c r="F1326" s="3579"/>
      <c r="G1326" s="3580"/>
      <c r="H1326" s="3623" t="str">
        <f>IMAGE("https://raw.githubusercontent.com/msikma/pokesprite/master/misc/types/gen8/fighting.png",4,20,20)</f>
        <v/>
      </c>
      <c r="J1326" s="3614" t="s">
        <v>1088</v>
      </c>
      <c r="K1326" s="3579"/>
      <c r="L1326" s="3580"/>
      <c r="M1326" s="3623" t="str">
        <f>IMAGE("https://raw.githubusercontent.com/msikma/pokesprite/master/misc/types/gen8/fire.png",4,20,20)</f>
        <v/>
      </c>
      <c r="O1326" s="3614" t="s">
        <v>617</v>
      </c>
      <c r="P1326" s="3579"/>
      <c r="Q1326" s="3580"/>
      <c r="R1326" s="3623" t="str">
        <f>IMAGE("https://raw.githubusercontent.com/msikma/pokesprite/master/misc/types/gen8/dragon.png",4,20,20)</f>
        <v/>
      </c>
      <c r="T1326" s="5769" t="s">
        <v>669</v>
      </c>
      <c r="U1326" s="5770"/>
      <c r="V1326" s="5778"/>
      <c r="W1326" s="5779" t="str">
        <f>IMAGE("https://raw.githubusercontent.com/msikma/pokesprite/master/misc/types/gen8/psychic.png",4,20,20)</f>
        <v/>
      </c>
      <c r="Y1326" s="5769" t="s">
        <v>549</v>
      </c>
      <c r="Z1326" s="5770"/>
      <c r="AA1326" s="5778"/>
      <c r="AB1326" s="5779" t="str">
        <f>IMAGE("https://raw.githubusercontent.com/msikma/pokesprite/master/misc/types/gen8/ground.png",4,20,20)</f>
        <v/>
      </c>
      <c r="AD1326" s="5769" t="s">
        <v>775</v>
      </c>
      <c r="AE1326" s="5770"/>
      <c r="AF1326" s="5778"/>
      <c r="AG1326" s="5779" t="str">
        <f>IMAGE("https://raw.githubusercontent.com/msikma/pokesprite/master/misc/types/gen8/grass.png",4,20,20)</f>
        <v/>
      </c>
      <c r="AH1326" s="3583"/>
      <c r="AI1326" s="3466"/>
    </row>
    <row r="1327" ht="21.0" customHeight="1">
      <c r="A1327" s="3453"/>
      <c r="B1327" s="3572"/>
      <c r="C1327" s="3605"/>
      <c r="D1327" s="3574"/>
      <c r="E1327" s="3624" t="s">
        <v>589</v>
      </c>
      <c r="F1327" s="3625"/>
      <c r="G1327" s="3626"/>
      <c r="H1327" s="3627" t="str">
        <f>IMAGE("https://raw.githubusercontent.com/msikma/pokesprite/master/misc/types/gen8/ice.png",4,20,20)</f>
        <v/>
      </c>
      <c r="I1327" s="3628"/>
      <c r="J1327" s="3624" t="s">
        <v>616</v>
      </c>
      <c r="K1327" s="3625"/>
      <c r="L1327" s="3626"/>
      <c r="M1327" s="3627" t="str">
        <f>IMAGE("https://raw.githubusercontent.com/msikma/pokesprite/master/misc/types/gen8/grass.png",4,20,20)</f>
        <v/>
      </c>
      <c r="N1327" s="3628"/>
      <c r="O1327" s="3624" t="s">
        <v>544</v>
      </c>
      <c r="P1327" s="3625"/>
      <c r="Q1327" s="3626"/>
      <c r="R1327" s="3627" t="str">
        <f>IMAGE("https://raw.githubusercontent.com/msikma/pokesprite/master/misc/types/gen8/water.png",4,20,20)</f>
        <v/>
      </c>
      <c r="S1327" s="3628"/>
      <c r="T1327" s="5780" t="s">
        <v>590</v>
      </c>
      <c r="U1327" s="5781"/>
      <c r="V1327" s="5782"/>
      <c r="W1327" s="5783" t="str">
        <f>IMAGE("https://raw.githubusercontent.com/msikma/pokesprite/master/misc/types/gen8/fighting.png",4,20,20)</f>
        <v/>
      </c>
      <c r="X1327" s="3628"/>
      <c r="Y1327" s="5780" t="s">
        <v>1694</v>
      </c>
      <c r="Z1327" s="5781"/>
      <c r="AA1327" s="5782"/>
      <c r="AB1327" s="5783" t="str">
        <f>IMAGE("https://raw.githubusercontent.com/msikma/pokesprite/master/misc/types/gen8/ghost.png",4,20,20)</f>
        <v/>
      </c>
      <c r="AC1327" s="3628"/>
      <c r="AD1327" s="5780" t="s">
        <v>581</v>
      </c>
      <c r="AE1327" s="5781"/>
      <c r="AF1327" s="5782"/>
      <c r="AG1327" s="5783" t="str">
        <f>IMAGE("https://raw.githubusercontent.com/msikma/pokesprite/master/misc/types/gen8/electric.png",4,20,20)</f>
        <v/>
      </c>
      <c r="AH1327" s="3583"/>
      <c r="AI1327" s="3466"/>
    </row>
    <row r="1328" ht="3.0" customHeight="1">
      <c r="A1328" s="3524"/>
      <c r="B1328" s="3630"/>
      <c r="C1328" s="3631"/>
      <c r="D1328" s="3632"/>
      <c r="E1328" s="3634"/>
      <c r="F1328" s="3634"/>
      <c r="G1328" s="3634"/>
      <c r="H1328" s="3633"/>
      <c r="I1328" s="3632"/>
      <c r="J1328" s="3634"/>
      <c r="K1328" s="3634"/>
      <c r="L1328" s="3634"/>
      <c r="M1328" s="3633"/>
      <c r="N1328" s="3632"/>
      <c r="O1328" s="3634"/>
      <c r="P1328" s="3634"/>
      <c r="Q1328" s="3634"/>
      <c r="R1328" s="3633"/>
      <c r="S1328" s="3635"/>
      <c r="T1328" s="3634"/>
      <c r="U1328" s="3634"/>
      <c r="V1328" s="3634"/>
      <c r="W1328" s="3633"/>
      <c r="X1328" s="3632"/>
      <c r="Y1328" s="3634"/>
      <c r="Z1328" s="3634"/>
      <c r="AA1328" s="3634"/>
      <c r="AB1328" s="3634"/>
      <c r="AC1328" s="3637"/>
      <c r="AD1328" s="3634"/>
      <c r="AE1328" s="3634"/>
      <c r="AF1328" s="3634"/>
      <c r="AG1328" s="3634"/>
      <c r="AH1328" s="3638"/>
      <c r="AI1328" s="3534"/>
    </row>
    <row r="1329" ht="16.5" customHeight="1">
      <c r="A1329" s="3535"/>
      <c r="B1329" s="3639"/>
      <c r="C1329" s="3631"/>
      <c r="D1329" s="4590"/>
      <c r="E1329" s="3641" t="s">
        <v>512</v>
      </c>
      <c r="F1329" s="606"/>
      <c r="G1329" s="606"/>
      <c r="H1329" s="607"/>
      <c r="I1329" s="3642"/>
      <c r="J1329" s="3641" t="s">
        <v>512</v>
      </c>
      <c r="K1329" s="606"/>
      <c r="L1329" s="606"/>
      <c r="M1329" s="607"/>
      <c r="N1329" s="4590"/>
      <c r="O1329" s="3641" t="s">
        <v>512</v>
      </c>
      <c r="P1329" s="606"/>
      <c r="Q1329" s="606"/>
      <c r="R1329" s="607"/>
      <c r="S1329" s="4591"/>
      <c r="T1329" s="5784" t="s">
        <v>512</v>
      </c>
      <c r="U1329" s="606"/>
      <c r="V1329" s="606"/>
      <c r="W1329" s="607"/>
      <c r="X1329" s="4592"/>
      <c r="Y1329" s="5784" t="s">
        <v>512</v>
      </c>
      <c r="Z1329" s="606"/>
      <c r="AA1329" s="606"/>
      <c r="AB1329" s="607"/>
      <c r="AC1329" s="5785"/>
      <c r="AD1329" s="5784" t="s">
        <v>512</v>
      </c>
      <c r="AE1329" s="606"/>
      <c r="AF1329" s="606"/>
      <c r="AG1329" s="607"/>
      <c r="AH1329" s="5786"/>
      <c r="AI1329" s="3543"/>
    </row>
    <row r="1330" ht="16.5" customHeight="1">
      <c r="A1330" s="3535"/>
      <c r="B1330" s="3639"/>
      <c r="C1330" s="3631"/>
      <c r="D1330" s="3640"/>
      <c r="E1330" s="3646" t="s">
        <v>513</v>
      </c>
      <c r="F1330" s="3647">
        <f t="array" ref="F1330">IFERROR(VLOOKUP(E1317,Dex!$B$3:$N1361,8,FALSE),"")</f>
        <v>65</v>
      </c>
      <c r="G1330" s="3648" t="str">
        <f t="array" ref="G1330">IFERROR(VLOOKUP(F1330,Dex!$P$22:$Q$276,2,FALSE),"")</f>
        <v/>
      </c>
      <c r="H1330" s="3649"/>
      <c r="I1330" s="3650"/>
      <c r="J1330" s="3646" t="s">
        <v>513</v>
      </c>
      <c r="K1330" s="3647">
        <f t="array" ref="K1330">IFERROR(VLOOKUP(J1317,Dex!$B$3:$N1361,8,FALSE),"")</f>
        <v>122</v>
      </c>
      <c r="L1330" s="3648" t="str">
        <f t="array" ref="L1330">IFERROR(VLOOKUP(K1330,Dex!$P$22:$Q$276,2,FALSE),"")</f>
        <v/>
      </c>
      <c r="M1330" s="3649"/>
      <c r="N1330" s="3640"/>
      <c r="O1330" s="3646" t="s">
        <v>513</v>
      </c>
      <c r="P1330" s="3647">
        <f t="array" ref="P1330">IFERROR(VLOOKUP(O1317,Dex!$B$3:$N1361,8,FALSE),"")</f>
        <v>65</v>
      </c>
      <c r="Q1330" s="3648" t="str">
        <f t="array" ref="Q1330">IFERROR(VLOOKUP(P1330,Dex!$P$22:$Q$276,2,FALSE),"")</f>
        <v/>
      </c>
      <c r="R1330" s="3649"/>
      <c r="S1330" s="3644"/>
      <c r="T1330" s="5787" t="s">
        <v>513</v>
      </c>
      <c r="U1330" s="5788">
        <f t="array" ref="U1330">IFERROR(VLOOKUP(T1317,Dex!$B$3:$N1361,8,FALSE),"")</f>
        <v>105</v>
      </c>
      <c r="V1330" s="5789" t="str">
        <f t="array" ref="V1330">IFERROR(VLOOKUP(U1330,Dex!$P$22:$Q$276,2,FALSE),"")</f>
        <v/>
      </c>
      <c r="W1330" s="5790"/>
      <c r="X1330" s="3644"/>
      <c r="Y1330" s="5787" t="s">
        <v>513</v>
      </c>
      <c r="Z1330" s="5788">
        <f t="array" ref="Z1330">IFERROR(VLOOKUP(Y1317,Dex!$B$3:$N1361,8,FALSE),"")</f>
        <v>58</v>
      </c>
      <c r="AA1330" s="5789" t="str">
        <f t="array" ref="AA1330">IFERROR(VLOOKUP(Z1330,Dex!$P$22:$Q$276,2,FALSE),"")</f>
        <v/>
      </c>
      <c r="AB1330" s="5790"/>
      <c r="AC1330" s="5791"/>
      <c r="AD1330" s="5787" t="s">
        <v>513</v>
      </c>
      <c r="AE1330" s="5788">
        <f t="array" ref="AE1330">IFERROR(VLOOKUP(AD1317,Dex!$B$3:$N1361,8,FALSE),"")</f>
        <v>77</v>
      </c>
      <c r="AF1330" s="5789" t="str">
        <f t="array" ref="AF1330">IFERROR(VLOOKUP(AE1330,Dex!$P$22:$Q$276,2,FALSE),"")</f>
        <v/>
      </c>
      <c r="AG1330" s="5790"/>
      <c r="AH1330" s="5786"/>
      <c r="AI1330" s="3543"/>
    </row>
    <row r="1331" ht="16.5" customHeight="1">
      <c r="A1331" s="3535"/>
      <c r="B1331" s="3639"/>
      <c r="C1331" s="3631"/>
      <c r="D1331" s="3640"/>
      <c r="E1331" s="3652" t="s">
        <v>514</v>
      </c>
      <c r="F1331" s="3653">
        <f t="array" ref="F1331">IFERROR(VLOOKUP(E1317,Dex!$B$3:$N1361,9,FALSE),"")</f>
        <v>90</v>
      </c>
      <c r="G1331" s="3654" t="str">
        <f t="array" ref="G1331">IFERROR(VLOOKUP(F1331,Dex!$P$22:$Q$276,2,FALSE),"")</f>
        <v/>
      </c>
      <c r="H1331" s="3655"/>
      <c r="I1331" s="3650"/>
      <c r="J1331" s="3652" t="s">
        <v>514</v>
      </c>
      <c r="K1331" s="3653">
        <f t="array" ref="K1331">IFERROR(VLOOKUP(J1317,Dex!$B$3:$N1361,9,FALSE),"")</f>
        <v>155</v>
      </c>
      <c r="L1331" s="3654" t="str">
        <f t="array" ref="L1331">IFERROR(VLOOKUP(K1331,Dex!$P$22:$Q$276,2,FALSE),"")</f>
        <v/>
      </c>
      <c r="M1331" s="3655"/>
      <c r="N1331" s="3640"/>
      <c r="O1331" s="3652" t="s">
        <v>514</v>
      </c>
      <c r="P1331" s="3653">
        <f t="array" ref="P1331">IFERROR(VLOOKUP(O1317,Dex!$B$3:$N1361,9,FALSE),"")</f>
        <v>75</v>
      </c>
      <c r="Q1331" s="3654" t="str">
        <f t="array" ref="Q1331">IFERROR(VLOOKUP(P1331,Dex!$P$22:$Q$276,2,FALSE),"")</f>
        <v/>
      </c>
      <c r="R1331" s="3655"/>
      <c r="S1331" s="3644"/>
      <c r="T1331" s="5792" t="s">
        <v>514</v>
      </c>
      <c r="U1331" s="5793">
        <f t="array" ref="U1331">IFERROR(VLOOKUP(T1317,Dex!$B$3:$N1361,9,FALSE),"")</f>
        <v>30</v>
      </c>
      <c r="V1331" s="5794" t="str">
        <f t="array" ref="V1331">IFERROR(VLOOKUP(U1331,Dex!$P$22:$Q$276,2,FALSE),"")</f>
        <v/>
      </c>
      <c r="W1331" s="5795"/>
      <c r="X1331" s="3644"/>
      <c r="Y1331" s="5792" t="s">
        <v>514</v>
      </c>
      <c r="Z1331" s="5793">
        <f t="array" ref="Z1331">IFERROR(VLOOKUP(Y1317,Dex!$B$3:$N1361,9,FALSE),"")</f>
        <v>95</v>
      </c>
      <c r="AA1331" s="5794" t="str">
        <f t="array" ref="AA1331">IFERROR(VLOOKUP(Z1331,Dex!$P$22:$Q$276,2,FALSE),"")</f>
        <v/>
      </c>
      <c r="AB1331" s="5795"/>
      <c r="AC1331" s="5791"/>
      <c r="AD1331" s="5792" t="s">
        <v>514</v>
      </c>
      <c r="AE1331" s="5793">
        <f t="array" ref="AE1331">IFERROR(VLOOKUP(AD1317,Dex!$B$3:$N1361,9,FALSE),"")</f>
        <v>70</v>
      </c>
      <c r="AF1331" s="5794" t="str">
        <f t="array" ref="AF1331">IFERROR(VLOOKUP(AE1331,Dex!$P$22:$Q$276,2,FALSE),"")</f>
        <v/>
      </c>
      <c r="AG1331" s="5795"/>
      <c r="AH1331" s="5786"/>
      <c r="AI1331" s="3543"/>
    </row>
    <row r="1332" ht="16.5" customHeight="1">
      <c r="A1332" s="3535"/>
      <c r="B1332" s="3639"/>
      <c r="C1332" s="3631"/>
      <c r="D1332" s="3640"/>
      <c r="E1332" s="3652" t="s">
        <v>515</v>
      </c>
      <c r="F1332" s="3653">
        <f t="array" ref="F1332">IFERROR(VLOOKUP(E1317,Dex!$B$3:$N1361,10,FALSE),"")</f>
        <v>115</v>
      </c>
      <c r="G1332" s="3654" t="str">
        <f t="array" ref="G1332">IFERROR(VLOOKUP(F1332,Dex!$P$22:$Q$276,2,FALSE),"")</f>
        <v/>
      </c>
      <c r="H1332" s="3655"/>
      <c r="I1332" s="3650"/>
      <c r="J1332" s="3652" t="s">
        <v>515</v>
      </c>
      <c r="K1332" s="3653">
        <f t="array" ref="K1332">IFERROR(VLOOKUP(J1317,Dex!$B$3:$N1361,10,FALSE),"")</f>
        <v>94</v>
      </c>
      <c r="L1332" s="3654" t="str">
        <f t="array" ref="L1332">IFERROR(VLOOKUP(K1332,Dex!$P$22:$Q$276,2,FALSE),"")</f>
        <v/>
      </c>
      <c r="M1332" s="3655"/>
      <c r="N1332" s="3640"/>
      <c r="O1332" s="3652" t="s">
        <v>515</v>
      </c>
      <c r="P1332" s="3653">
        <f t="array" ref="P1332">IFERROR(VLOOKUP(O1317,Dex!$B$3:$N1361,10,FALSE),"")</f>
        <v>90</v>
      </c>
      <c r="Q1332" s="3654" t="str">
        <f t="array" ref="Q1332">IFERROR(VLOOKUP(P1332,Dex!$P$22:$Q$276,2,FALSE),"")</f>
        <v/>
      </c>
      <c r="R1332" s="3655"/>
      <c r="S1332" s="3644"/>
      <c r="T1332" s="5792" t="s">
        <v>515</v>
      </c>
      <c r="U1332" s="5793">
        <f t="array" ref="U1332">IFERROR(VLOOKUP(T1317,Dex!$B$3:$N1361,10,FALSE),"")</f>
        <v>105</v>
      </c>
      <c r="V1332" s="5794" t="str">
        <f t="array" ref="V1332">IFERROR(VLOOKUP(U1332,Dex!$P$22:$Q$276,2,FALSE),"")</f>
        <v/>
      </c>
      <c r="W1332" s="5795"/>
      <c r="X1332" s="3644"/>
      <c r="Y1332" s="5792" t="s">
        <v>515</v>
      </c>
      <c r="Z1332" s="5793">
        <f t="array" ref="Z1332">IFERROR(VLOOKUP(Y1317,Dex!$B$3:$N1361,10,FALSE),"")</f>
        <v>145</v>
      </c>
      <c r="AA1332" s="5794" t="str">
        <f t="array" ref="AA1332">IFERROR(VLOOKUP(Z1332,Dex!$P$22:$Q$276,2,FALSE),"")</f>
        <v/>
      </c>
      <c r="AB1332" s="5795"/>
      <c r="AC1332" s="5791"/>
      <c r="AD1332" s="5792" t="s">
        <v>515</v>
      </c>
      <c r="AE1332" s="5793">
        <f t="array" ref="AE1332">IFERROR(VLOOKUP(AD1317,Dex!$B$3:$N1361,10,FALSE),"")</f>
        <v>90</v>
      </c>
      <c r="AF1332" s="5794" t="str">
        <f t="array" ref="AF1332">IFERROR(VLOOKUP(AE1332,Dex!$P$22:$Q$276,2,FALSE),"")</f>
        <v/>
      </c>
      <c r="AG1332" s="5795"/>
      <c r="AH1332" s="5786"/>
      <c r="AI1332" s="3543"/>
    </row>
    <row r="1333" ht="16.5" customHeight="1">
      <c r="A1333" s="3535"/>
      <c r="B1333" s="3639"/>
      <c r="C1333" s="3631"/>
      <c r="D1333" s="3640"/>
      <c r="E1333" s="3652" t="s">
        <v>516</v>
      </c>
      <c r="F1333" s="3653">
        <f t="array" ref="F1333">IFERROR(VLOOKUP(E1317,Dex!$B$3:$N1361,11,FALSE),"")</f>
        <v>45</v>
      </c>
      <c r="G1333" s="3654" t="str">
        <f t="array" ref="G1333">IFERROR(VLOOKUP(F1333,Dex!$P$22:$Q$276,2,FALSE),"")</f>
        <v/>
      </c>
      <c r="H1333" s="3655"/>
      <c r="I1333" s="3650"/>
      <c r="J1333" s="3652" t="s">
        <v>516</v>
      </c>
      <c r="K1333" s="3653">
        <f t="array" ref="K1333">IFERROR(VLOOKUP(J1317,Dex!$B$3:$N1361,11,FALSE),"")</f>
        <v>100</v>
      </c>
      <c r="L1333" s="3654" t="str">
        <f t="array" ref="L1333">IFERROR(VLOOKUP(K1333,Dex!$P$22:$Q$276,2,FALSE),"")</f>
        <v/>
      </c>
      <c r="M1333" s="3655"/>
      <c r="N1333" s="3640"/>
      <c r="O1333" s="3652" t="s">
        <v>516</v>
      </c>
      <c r="P1333" s="3653">
        <f t="array" ref="P1333">IFERROR(VLOOKUP(O1317,Dex!$B$3:$N1361,11,FALSE),"")</f>
        <v>97</v>
      </c>
      <c r="Q1333" s="3654" t="str">
        <f t="array" ref="Q1333">IFERROR(VLOOKUP(P1333,Dex!$P$22:$Q$276,2,FALSE),"")</f>
        <v/>
      </c>
      <c r="R1333" s="3655"/>
      <c r="S1333" s="3644"/>
      <c r="T1333" s="5792" t="s">
        <v>516</v>
      </c>
      <c r="U1333" s="5793">
        <f t="array" ref="U1333">IFERROR(VLOOKUP(T1317,Dex!$B$3:$N1361,11,FALSE),"")</f>
        <v>140</v>
      </c>
      <c r="V1333" s="5794" t="str">
        <f t="array" ref="V1333">IFERROR(VLOOKUP(U1333,Dex!$P$22:$Q$276,2,FALSE),"")</f>
        <v/>
      </c>
      <c r="W1333" s="5795"/>
      <c r="X1333" s="3644"/>
      <c r="Y1333" s="5792" t="s">
        <v>516</v>
      </c>
      <c r="Z1333" s="5793">
        <f t="array" ref="Z1333">IFERROR(VLOOKUP(Y1317,Dex!$B$3:$N1361,11,FALSE),"")</f>
        <v>50</v>
      </c>
      <c r="AA1333" s="5794" t="str">
        <f t="array" ref="AA1333">IFERROR(VLOOKUP(Z1333,Dex!$P$22:$Q$276,2,FALSE),"")</f>
        <v/>
      </c>
      <c r="AB1333" s="5795"/>
      <c r="AC1333" s="5791"/>
      <c r="AD1333" s="5792" t="s">
        <v>516</v>
      </c>
      <c r="AE1333" s="5793">
        <f t="array" ref="AE1333">IFERROR(VLOOKUP(AD1317,Dex!$B$3:$N1361,11,FALSE),"")</f>
        <v>145</v>
      </c>
      <c r="AF1333" s="5794" t="str">
        <f t="array" ref="AF1333">IFERROR(VLOOKUP(AE1333,Dex!$P$22:$Q$276,2,FALSE),"")</f>
        <v/>
      </c>
      <c r="AG1333" s="5795"/>
      <c r="AH1333" s="5786"/>
      <c r="AI1333" s="3543"/>
    </row>
    <row r="1334" ht="16.5" customHeight="1">
      <c r="A1334" s="3535"/>
      <c r="B1334" s="3639"/>
      <c r="C1334" s="3631"/>
      <c r="D1334" s="3640"/>
      <c r="E1334" s="3652" t="s">
        <v>517</v>
      </c>
      <c r="F1334" s="3653">
        <f t="array" ref="F1334">IFERROR(VLOOKUP(E1317,Dex!$B$3:$N1361,12,FALSE),"")</f>
        <v>115</v>
      </c>
      <c r="G1334" s="3654" t="str">
        <f t="array" ref="G1334">IFERROR(VLOOKUP(F1334,Dex!$P$22:$Q$276,2,FALSE),"")</f>
        <v/>
      </c>
      <c r="H1334" s="3655"/>
      <c r="I1334" s="3650"/>
      <c r="J1334" s="3652" t="s">
        <v>517</v>
      </c>
      <c r="K1334" s="3653">
        <f t="array" ref="K1334">IFERROR(VLOOKUP(J1317,Dex!$B$3:$N1361,12,FALSE),"")</f>
        <v>94</v>
      </c>
      <c r="L1334" s="3654" t="str">
        <f t="array" ref="L1334">IFERROR(VLOOKUP(K1334,Dex!$P$22:$Q$276,2,FALSE),"")</f>
        <v/>
      </c>
      <c r="M1334" s="3655"/>
      <c r="N1334" s="3640"/>
      <c r="O1334" s="3652" t="s">
        <v>517</v>
      </c>
      <c r="P1334" s="3653">
        <f t="array" ref="P1334">IFERROR(VLOOKUP(O1317,Dex!$B$3:$N1361,12,FALSE),"")</f>
        <v>123</v>
      </c>
      <c r="Q1334" s="3654" t="str">
        <f t="array" ref="Q1334">IFERROR(VLOOKUP(P1334,Dex!$P$22:$Q$276,2,FALSE),"")</f>
        <v/>
      </c>
      <c r="R1334" s="3655"/>
      <c r="S1334" s="3644"/>
      <c r="T1334" s="5792" t="s">
        <v>517</v>
      </c>
      <c r="U1334" s="5793">
        <f t="array" ref="U1334">IFERROR(VLOOKUP(T1317,Dex!$B$3:$N1361,12,FALSE),"")</f>
        <v>105</v>
      </c>
      <c r="V1334" s="5794" t="str">
        <f t="array" ref="V1334">IFERROR(VLOOKUP(U1334,Dex!$P$22:$Q$276,2,FALSE),"")</f>
        <v/>
      </c>
      <c r="W1334" s="5795"/>
      <c r="X1334" s="3644"/>
      <c r="Y1334" s="5792" t="s">
        <v>517</v>
      </c>
      <c r="Z1334" s="5793">
        <f t="array" ref="Z1334">IFERROR(VLOOKUP(Y1317,Dex!$B$3:$N1361,12,FALSE),"")</f>
        <v>105</v>
      </c>
      <c r="AA1334" s="5794" t="str">
        <f t="array" ref="AA1334">IFERROR(VLOOKUP(Z1334,Dex!$P$22:$Q$276,2,FALSE),"")</f>
        <v/>
      </c>
      <c r="AB1334" s="5795"/>
      <c r="AC1334" s="5791"/>
      <c r="AD1334" s="5792" t="s">
        <v>517</v>
      </c>
      <c r="AE1334" s="5793">
        <f t="array" ref="AE1334">IFERROR(VLOOKUP(AD1317,Dex!$B$3:$N1361,12,FALSE),"")</f>
        <v>75</v>
      </c>
      <c r="AF1334" s="5794" t="str">
        <f t="array" ref="AF1334">IFERROR(VLOOKUP(AE1334,Dex!$P$22:$Q$276,2,FALSE),"")</f>
        <v/>
      </c>
      <c r="AG1334" s="5795"/>
      <c r="AH1334" s="5786"/>
      <c r="AI1334" s="3543"/>
    </row>
    <row r="1335" ht="16.5" customHeight="1">
      <c r="A1335" s="3535"/>
      <c r="B1335" s="3639"/>
      <c r="C1335" s="1426" t="s">
        <v>745</v>
      </c>
      <c r="D1335" s="3640"/>
      <c r="E1335" s="3658" t="s">
        <v>518</v>
      </c>
      <c r="F1335" s="3659">
        <f t="array" ref="F1335">IFERROR(VLOOKUP(E1317,Dex!$B$3:$N1361,13,FALSE),"")</f>
        <v>58</v>
      </c>
      <c r="G1335" s="3660" t="str">
        <f t="array" ref="G1335">IFERROR(VLOOKUP(F1335,Dex!$P$22:$Q$276,2,FALSE),"")</f>
        <v/>
      </c>
      <c r="H1335" s="3661"/>
      <c r="I1335" s="3650"/>
      <c r="J1335" s="3658" t="s">
        <v>518</v>
      </c>
      <c r="K1335" s="3659">
        <f t="array" ref="K1335">IFERROR(VLOOKUP(J1317,Dex!$B$3:$N1361,13,FALSE),"")</f>
        <v>20</v>
      </c>
      <c r="L1335" s="3660" t="str">
        <f t="array" ref="L1335">IFERROR(VLOOKUP(K1335,Dex!$P$22:$Q$276,2,FALSE),"")</f>
        <v/>
      </c>
      <c r="M1335" s="3661"/>
      <c r="N1335" s="3640"/>
      <c r="O1335" s="3658" t="s">
        <v>518</v>
      </c>
      <c r="P1335" s="3659">
        <f t="array" ref="P1335">IFERROR(VLOOKUP(O1317,Dex!$B$3:$N1361,13,FALSE),"")</f>
        <v>44</v>
      </c>
      <c r="Q1335" s="3660" t="str">
        <f t="array" ref="Q1335">IFERROR(VLOOKUP(P1335,Dex!$P$22:$Q$276,2,FALSE),"")</f>
        <v/>
      </c>
      <c r="R1335" s="3661"/>
      <c r="S1335" s="3644"/>
      <c r="T1335" s="5796" t="s">
        <v>518</v>
      </c>
      <c r="U1335" s="5797">
        <f t="array" ref="U1335">IFERROR(VLOOKUP(T1317,Dex!$B$3:$N1361,13,FALSE),"")</f>
        <v>55</v>
      </c>
      <c r="V1335" s="5798" t="str">
        <f t="array" ref="V1335">IFERROR(VLOOKUP(U1335,Dex!$P$22:$Q$276,2,FALSE),"")</f>
        <v/>
      </c>
      <c r="W1335" s="5799"/>
      <c r="X1335" s="3644"/>
      <c r="Y1335" s="5796" t="s">
        <v>518</v>
      </c>
      <c r="Z1335" s="5797">
        <f t="array" ref="Z1335">IFERROR(VLOOKUP(Y1317,Dex!$B$3:$N1361,13,FALSE),"")</f>
        <v>30</v>
      </c>
      <c r="AA1335" s="5798" t="str">
        <f t="array" ref="AA1335">IFERROR(VLOOKUP(Z1335,Dex!$P$22:$Q$276,2,FALSE),"")</f>
        <v/>
      </c>
      <c r="AB1335" s="5799"/>
      <c r="AC1335" s="5791"/>
      <c r="AD1335" s="5796" t="s">
        <v>518</v>
      </c>
      <c r="AE1335" s="5797">
        <f t="array" ref="AE1335">IFERROR(VLOOKUP(AD1317,Dex!$B$3:$N1361,13,FALSE),"")</f>
        <v>43</v>
      </c>
      <c r="AF1335" s="5798" t="str">
        <f t="array" ref="AF1335">IFERROR(VLOOKUP(AE1335,Dex!$P$22:$Q$276,2,FALSE),"")</f>
        <v/>
      </c>
      <c r="AG1335" s="5799"/>
      <c r="AH1335" s="5786"/>
      <c r="AI1335" s="3543"/>
    </row>
    <row r="1336" ht="16.5" customHeight="1">
      <c r="A1336" s="3535"/>
      <c r="B1336" s="3639"/>
      <c r="C1336" s="1427" t="s">
        <v>1739</v>
      </c>
      <c r="D1336" s="4590"/>
      <c r="E1336" s="3662" t="s">
        <v>519</v>
      </c>
      <c r="F1336" s="630"/>
      <c r="G1336" s="631"/>
      <c r="H1336" s="632">
        <f>ROUNDDOWN((ROUNDDOWN(((((2*F1335)*85)/100+5)),0))*0.9,0)</f>
        <v>92</v>
      </c>
      <c r="I1336" s="3642"/>
      <c r="J1336" s="3662" t="s">
        <v>519</v>
      </c>
      <c r="K1336" s="630"/>
      <c r="L1336" s="631"/>
      <c r="M1336" s="632">
        <f>ROUNDDOWN((ROUNDDOWN(((((2*K1335)*85)/100+5)),0))*0.9,0)</f>
        <v>35</v>
      </c>
      <c r="N1336" s="4590"/>
      <c r="O1336" s="3662" t="s">
        <v>519</v>
      </c>
      <c r="P1336" s="630"/>
      <c r="Q1336" s="631"/>
      <c r="R1336" s="632">
        <f>ROUNDDOWN((ROUNDDOWN(((((2*P1335)*85)/100+5)),0))*0.9,0)</f>
        <v>71</v>
      </c>
      <c r="S1336" s="4592"/>
      <c r="T1336" s="5800" t="s">
        <v>519</v>
      </c>
      <c r="U1336" s="630"/>
      <c r="V1336" s="631"/>
      <c r="W1336" s="632">
        <f>ROUNDDOWN((ROUNDDOWN(((((2*U1335)*85)/100+5)),0))*0.9,0)</f>
        <v>88</v>
      </c>
      <c r="X1336" s="4592"/>
      <c r="Y1336" s="5800" t="s">
        <v>519</v>
      </c>
      <c r="Z1336" s="630"/>
      <c r="AA1336" s="631"/>
      <c r="AB1336" s="632">
        <f>ROUNDDOWN((ROUNDDOWN(((((2*Z1335)*85)/100+5)),0))*0.9,0)</f>
        <v>50</v>
      </c>
      <c r="AC1336" s="4592"/>
      <c r="AD1336" s="5800" t="s">
        <v>519</v>
      </c>
      <c r="AE1336" s="630"/>
      <c r="AF1336" s="631"/>
      <c r="AG1336" s="632">
        <f>ROUNDDOWN((ROUNDDOWN(((((2*AE1335)*85)/100+5)),0))*0.9,0)</f>
        <v>70</v>
      </c>
      <c r="AH1336" s="3645"/>
      <c r="AI1336" s="3543"/>
    </row>
    <row r="1337" ht="15.0" customHeight="1">
      <c r="A1337" s="3453"/>
      <c r="B1337" s="3663"/>
      <c r="C1337" s="3664"/>
      <c r="D1337" s="3665"/>
      <c r="E1337" s="3668"/>
      <c r="F1337" s="3668"/>
      <c r="G1337" s="3668"/>
      <c r="H1337" s="3667"/>
      <c r="I1337" s="3667"/>
      <c r="J1337" s="3668"/>
      <c r="K1337" s="3668"/>
      <c r="L1337" s="3668"/>
      <c r="M1337" s="3667"/>
      <c r="N1337" s="3669"/>
      <c r="O1337" s="5738"/>
      <c r="P1337" s="5738"/>
      <c r="Q1337" s="5739"/>
      <c r="R1337" s="3671"/>
      <c r="S1337" s="3671"/>
      <c r="T1337" s="5738"/>
      <c r="U1337" s="5738"/>
      <c r="V1337" s="5739"/>
      <c r="W1337" s="3671"/>
      <c r="X1337" s="3669"/>
      <c r="Y1337" s="4601"/>
      <c r="Z1337" s="4601"/>
      <c r="AA1337" s="4601"/>
      <c r="AB1337" s="3672"/>
      <c r="AC1337" s="3672"/>
      <c r="AD1337" s="4601"/>
      <c r="AE1337" s="4601"/>
      <c r="AF1337" s="4601"/>
      <c r="AG1337" s="3672"/>
      <c r="AH1337" s="3673"/>
      <c r="AI1337" s="3466"/>
    </row>
    <row r="1338">
      <c r="A1338" s="3446"/>
      <c r="B1338" s="5369"/>
      <c r="C1338" s="5370"/>
      <c r="D1338" s="5371"/>
      <c r="E1338" s="5372"/>
      <c r="F1338" s="5372"/>
      <c r="G1338" s="5372"/>
      <c r="H1338" s="5372"/>
      <c r="I1338" s="5372"/>
      <c r="J1338" s="5372"/>
      <c r="K1338" s="5372"/>
      <c r="L1338" s="5372"/>
      <c r="M1338" s="5372"/>
      <c r="N1338" s="5372"/>
      <c r="O1338" s="5372"/>
      <c r="P1338" s="5372"/>
      <c r="Q1338" s="5372"/>
      <c r="R1338" s="5372"/>
      <c r="S1338" s="5372"/>
      <c r="T1338" s="5372"/>
      <c r="U1338" s="5372"/>
      <c r="V1338" s="5372"/>
      <c r="W1338" s="5372"/>
      <c r="X1338" s="5372"/>
      <c r="Y1338" s="5372"/>
      <c r="Z1338" s="5372"/>
      <c r="AA1338" s="5372"/>
      <c r="AB1338" s="5372"/>
      <c r="AC1338" s="5372"/>
      <c r="AD1338" s="5372"/>
      <c r="AE1338" s="5372"/>
      <c r="AF1338" s="5372"/>
      <c r="AG1338" s="5372"/>
      <c r="AH1338" s="5373"/>
      <c r="AI1338" s="3452"/>
    </row>
    <row r="1339" ht="96.75" customHeight="1">
      <c r="A1339" s="3446"/>
      <c r="B1339" s="5381"/>
      <c r="C1339" s="5382" t="str">
        <f>IMAGE("https://i.ibb.co/31XckWH/Dragon-Tamer.png")</f>
        <v/>
      </c>
      <c r="D1339" s="5383"/>
      <c r="E1339" s="5384" t="str">
        <f t="array" ref="E1339">IFERROR(VLOOKUP(E1340,Dex!$B$3:$G1361,3,FALSE),"")</f>
        <v/>
      </c>
      <c r="F1339" s="1945"/>
      <c r="G1339" s="1945"/>
      <c r="H1339" s="1946"/>
      <c r="I1339" s="5383"/>
      <c r="J1339" s="5384" t="str">
        <f t="array" ref="J1339">IFERROR(VLOOKUP(J1340,Dex!$B$3:$G1361,3,FALSE),"")</f>
        <v/>
      </c>
      <c r="K1339" s="1945"/>
      <c r="L1339" s="1945"/>
      <c r="M1339" s="1946"/>
      <c r="N1339" s="5383"/>
      <c r="O1339" s="5384" t="str">
        <f t="array" ref="O1339">IFERROR(VLOOKUP(O1340,Dex!$B$3:$G1361,3,FALSE),"")</f>
        <v/>
      </c>
      <c r="P1339" s="1945"/>
      <c r="Q1339" s="1945"/>
      <c r="R1339" s="1946"/>
      <c r="S1339" s="5383"/>
      <c r="T1339" s="5384" t="str">
        <f t="array" ref="T1339">IFERROR(VLOOKUP(T1340,Dex!$B$3:$G1361,3,FALSE),"")</f>
        <v/>
      </c>
      <c r="U1339" s="1945"/>
      <c r="V1339" s="1945"/>
      <c r="W1339" s="1946"/>
      <c r="X1339" s="5386"/>
      <c r="Y1339" s="5384" t="str">
        <f t="array" ref="Y1339">IFERROR(VLOOKUP(Y1340,Dex!$B$3:$G1361,3,FALSE),"")</f>
        <v/>
      </c>
      <c r="Z1339" s="1945"/>
      <c r="AA1339" s="1945"/>
      <c r="AB1339" s="1946"/>
      <c r="AC1339" s="5801"/>
      <c r="AD1339" s="5384" t="str">
        <f t="array" ref="AD1339">IFERROR(VLOOKUP(AD1340,Dex!$B$3:$G1361,3,FALSE),"")</f>
        <v/>
      </c>
      <c r="AE1339" s="1945"/>
      <c r="AF1339" s="1945"/>
      <c r="AG1339" s="1946"/>
      <c r="AH1339" s="5390"/>
      <c r="AI1339" s="3452"/>
    </row>
    <row r="1340" ht="18.75" customHeight="1">
      <c r="A1340" s="3689"/>
      <c r="B1340" s="5391"/>
      <c r="C1340" s="5392" t="s">
        <v>1778</v>
      </c>
      <c r="D1340" s="5393"/>
      <c r="E1340" s="5394" t="s">
        <v>95</v>
      </c>
      <c r="F1340" s="5395"/>
      <c r="G1340" s="5395"/>
      <c r="H1340" s="5396"/>
      <c r="I1340" s="5393"/>
      <c r="J1340" s="5394" t="s">
        <v>1731</v>
      </c>
      <c r="K1340" s="5395"/>
      <c r="L1340" s="5395"/>
      <c r="M1340" s="5396"/>
      <c r="N1340" s="5393"/>
      <c r="O1340" s="5394" t="s">
        <v>1731</v>
      </c>
      <c r="P1340" s="5395"/>
      <c r="Q1340" s="5395"/>
      <c r="R1340" s="5396"/>
      <c r="S1340" s="5393"/>
      <c r="T1340" s="5394" t="s">
        <v>1731</v>
      </c>
      <c r="U1340" s="5395"/>
      <c r="V1340" s="5395"/>
      <c r="W1340" s="5396"/>
      <c r="X1340" s="5397"/>
      <c r="Y1340" s="5394" t="s">
        <v>1731</v>
      </c>
      <c r="Z1340" s="5395"/>
      <c r="AA1340" s="5395"/>
      <c r="AB1340" s="5396"/>
      <c r="AC1340" s="5802"/>
      <c r="AD1340" s="5394" t="s">
        <v>1731</v>
      </c>
      <c r="AE1340" s="5395"/>
      <c r="AF1340" s="5395"/>
      <c r="AG1340" s="5396"/>
      <c r="AH1340" s="5399"/>
      <c r="AI1340" s="3700"/>
    </row>
    <row r="1341">
      <c r="A1341" s="3701"/>
      <c r="B1341" s="5400"/>
      <c r="C1341" s="1638"/>
      <c r="D1341" s="5401"/>
      <c r="E1341" s="5803">
        <v>250.0</v>
      </c>
      <c r="F1341" s="5403"/>
      <c r="G1341" s="5403"/>
      <c r="H1341" s="5404"/>
      <c r="I1341" s="5401"/>
      <c r="J1341" s="5803">
        <v>250.0</v>
      </c>
      <c r="K1341" s="5403"/>
      <c r="L1341" s="5403"/>
      <c r="M1341" s="5404"/>
      <c r="N1341" s="5401"/>
      <c r="O1341" s="5803">
        <v>250.0</v>
      </c>
      <c r="P1341" s="5403"/>
      <c r="Q1341" s="5403"/>
      <c r="R1341" s="5404"/>
      <c r="S1341" s="5401"/>
      <c r="T1341" s="5803">
        <v>250.0</v>
      </c>
      <c r="U1341" s="5403"/>
      <c r="V1341" s="5403"/>
      <c r="W1341" s="5404"/>
      <c r="X1341" s="5397"/>
      <c r="Y1341" s="5803">
        <v>250.0</v>
      </c>
      <c r="Z1341" s="5403"/>
      <c r="AA1341" s="5403"/>
      <c r="AB1341" s="5404"/>
      <c r="AC1341" s="5802"/>
      <c r="AD1341" s="5803">
        <v>250.0</v>
      </c>
      <c r="AE1341" s="5403"/>
      <c r="AF1341" s="5403"/>
      <c r="AG1341" s="5404"/>
      <c r="AH1341" s="5406"/>
      <c r="AI1341" s="3709"/>
    </row>
    <row r="1342" ht="25.5" customHeight="1">
      <c r="A1342" s="3446"/>
      <c r="B1342" s="5381"/>
      <c r="C1342" s="1646"/>
      <c r="D1342" s="5407"/>
      <c r="E1342" s="5408"/>
      <c r="F1342" s="5409" t="str">
        <f t="array" ref="F1342">IFERROR(VLOOKUP(E1340,Dex!$B$3:$H1361,5,FALSE),"")</f>
        <v/>
      </c>
      <c r="G1342" s="5410"/>
      <c r="H1342" s="5411"/>
      <c r="I1342" s="5407"/>
      <c r="J1342" s="5408"/>
      <c r="K1342" s="5412" t="str">
        <f t="array" ref="K1342">IFERROR(VLOOKUP(J1340,Dex!$B$3:$H1361,5,FALSE),"")</f>
        <v/>
      </c>
      <c r="L1342" s="5413" t="str">
        <f t="array" ref="L1342">IFERROR(VLOOKUP(J1340,Dex!$B$3:$H1361,7,FALSE),"")</f>
        <v/>
      </c>
      <c r="M1342" s="5411"/>
      <c r="N1342" s="5407"/>
      <c r="O1342" s="5408"/>
      <c r="P1342" s="5412" t="str">
        <f t="array" ref="P1342">IFERROR(VLOOKUP(O1340,Dex!$B$3:$H1361,5,FALSE),"")</f>
        <v/>
      </c>
      <c r="Q1342" s="5413" t="str">
        <f t="array" ref="Q1342">IFERROR(VLOOKUP(O1340,Dex!$B$3:$H1361,7,FALSE),"")</f>
        <v/>
      </c>
      <c r="R1342" s="5411"/>
      <c r="S1342" s="5407"/>
      <c r="T1342" s="5408"/>
      <c r="U1342" s="5412" t="str">
        <f t="array" ref="U1342">IFERROR(VLOOKUP(T1340,Dex!$B$3:$H1361,5,FALSE),"")</f>
        <v/>
      </c>
      <c r="V1342" s="5413" t="str">
        <f t="array" ref="V1342">IFERROR(VLOOKUP(T1340,Dex!$B$3:$H1361,7,FALSE),"")</f>
        <v/>
      </c>
      <c r="W1342" s="5411"/>
      <c r="X1342" s="5397"/>
      <c r="Y1342" s="5408"/>
      <c r="Z1342" s="5412" t="str">
        <f t="array" ref="Z1342">IFERROR(VLOOKUP(Y1340,Dex!$B$3:$H1361,5,FALSE),"")</f>
        <v/>
      </c>
      <c r="AA1342" s="5413" t="str">
        <f t="array" ref="AA1342">IFERROR(VLOOKUP(Y1340,Dex!$B$3:$H1361,7,FALSE),"")</f>
        <v/>
      </c>
      <c r="AB1342" s="5411"/>
      <c r="AC1342" s="5802"/>
      <c r="AD1342" s="5408"/>
      <c r="AE1342" s="5412" t="str">
        <f t="array" ref="AE1342">IFERROR(VLOOKUP(AD1340,Dex!$B$3:$H1361,5,FALSE),"")</f>
        <v/>
      </c>
      <c r="AF1342" s="5413" t="str">
        <f t="array" ref="AF1342">IFERROR(VLOOKUP(AD1340,Dex!$B$3:$H1361,7,FALSE),"")</f>
        <v/>
      </c>
      <c r="AG1342" s="5411"/>
      <c r="AH1342" s="5390"/>
      <c r="AI1342" s="3452"/>
    </row>
    <row r="1343" ht="2.25" customHeight="1">
      <c r="A1343" s="3446"/>
      <c r="B1343" s="5374"/>
      <c r="C1343" s="5414"/>
      <c r="D1343" s="5387"/>
      <c r="E1343" s="5415"/>
      <c r="F1343" s="5416"/>
      <c r="G1343" s="5416"/>
      <c r="H1343" s="5417"/>
      <c r="I1343" s="5387"/>
      <c r="J1343" s="5415"/>
      <c r="K1343" s="5416"/>
      <c r="L1343" s="5416"/>
      <c r="M1343" s="5417"/>
      <c r="N1343" s="5387"/>
      <c r="O1343" s="5415"/>
      <c r="P1343" s="5416"/>
      <c r="Q1343" s="5416"/>
      <c r="R1343" s="5417"/>
      <c r="S1343" s="5387"/>
      <c r="T1343" s="5415"/>
      <c r="U1343" s="5416"/>
      <c r="V1343" s="5416"/>
      <c r="W1343" s="5417"/>
      <c r="X1343" s="5397"/>
      <c r="Y1343" s="5415"/>
      <c r="Z1343" s="5416"/>
      <c r="AA1343" s="5416"/>
      <c r="AB1343" s="5417"/>
      <c r="AC1343" s="5802"/>
      <c r="AD1343" s="5415"/>
      <c r="AE1343" s="5416"/>
      <c r="AF1343" s="5416"/>
      <c r="AG1343" s="5417"/>
      <c r="AH1343" s="5390"/>
      <c r="AI1343" s="3452"/>
    </row>
    <row r="1344" ht="20.25" customHeight="1">
      <c r="A1344" s="3446"/>
      <c r="B1344" s="5374"/>
      <c r="C1344" s="5419"/>
      <c r="D1344" s="5387"/>
      <c r="E1344" s="5420" t="s">
        <v>566</v>
      </c>
      <c r="F1344" s="5421"/>
      <c r="G1344" s="5421"/>
      <c r="H1344" s="5422"/>
      <c r="I1344" s="5387"/>
      <c r="J1344" s="5420" t="s">
        <v>532</v>
      </c>
      <c r="K1344" s="5421"/>
      <c r="L1344" s="5421"/>
      <c r="M1344" s="5422"/>
      <c r="N1344" s="5387"/>
      <c r="O1344" s="5420" t="s">
        <v>532</v>
      </c>
      <c r="P1344" s="5421"/>
      <c r="Q1344" s="5421"/>
      <c r="R1344" s="5422"/>
      <c r="S1344" s="5387"/>
      <c r="T1344" s="5420" t="s">
        <v>532</v>
      </c>
      <c r="U1344" s="5421"/>
      <c r="V1344" s="5421"/>
      <c r="W1344" s="5422"/>
      <c r="X1344" s="5397"/>
      <c r="Y1344" s="5420" t="s">
        <v>532</v>
      </c>
      <c r="Z1344" s="5421"/>
      <c r="AA1344" s="5421"/>
      <c r="AB1344" s="5422"/>
      <c r="AC1344" s="5802"/>
      <c r="AD1344" s="5420" t="s">
        <v>532</v>
      </c>
      <c r="AE1344" s="5421"/>
      <c r="AF1344" s="5421"/>
      <c r="AG1344" s="5422"/>
      <c r="AH1344" s="5390"/>
      <c r="AI1344" s="3452"/>
    </row>
    <row r="1345" ht="20.25" customHeight="1">
      <c r="A1345" s="3446"/>
      <c r="B1345" s="5374"/>
      <c r="C1345" s="5419"/>
      <c r="D1345" s="5387"/>
      <c r="E1345" s="5423" t="s">
        <v>73</v>
      </c>
      <c r="F1345" s="5388"/>
      <c r="G1345" s="5388"/>
      <c r="H1345" s="5424"/>
      <c r="I1345" s="5387"/>
      <c r="J1345" s="5423" t="s">
        <v>1735</v>
      </c>
      <c r="K1345" s="5388"/>
      <c r="L1345" s="5388"/>
      <c r="M1345" s="5424"/>
      <c r="N1345" s="5387"/>
      <c r="O1345" s="5423" t="s">
        <v>1735</v>
      </c>
      <c r="P1345" s="5388"/>
      <c r="Q1345" s="5388"/>
      <c r="R1345" s="5424"/>
      <c r="S1345" s="5387"/>
      <c r="T1345" s="5423" t="s">
        <v>1735</v>
      </c>
      <c r="U1345" s="5388"/>
      <c r="V1345" s="5388"/>
      <c r="W1345" s="5424"/>
      <c r="X1345" s="5397"/>
      <c r="Y1345" s="5423" t="s">
        <v>1735</v>
      </c>
      <c r="Z1345" s="5388"/>
      <c r="AA1345" s="5388"/>
      <c r="AB1345" s="5424"/>
      <c r="AC1345" s="5802"/>
      <c r="AD1345" s="5423" t="s">
        <v>1735</v>
      </c>
      <c r="AE1345" s="5388"/>
      <c r="AF1345" s="5388"/>
      <c r="AG1345" s="5424"/>
      <c r="AH1345" s="5390"/>
      <c r="AI1345" s="3452"/>
    </row>
    <row r="1346" ht="20.25" customHeight="1">
      <c r="A1346" s="3446"/>
      <c r="B1346" s="5374"/>
      <c r="C1346" s="5804"/>
      <c r="D1346" s="5387"/>
      <c r="E1346" s="5425" t="s">
        <v>1779</v>
      </c>
      <c r="F1346" s="5378"/>
      <c r="G1346" s="5379"/>
      <c r="H1346" s="5426" t="str">
        <f>IMAGE("https://raw.githubusercontent.com/msikma/pokesprite/master/items/hold-item/smooth-rock.png",3)</f>
        <v/>
      </c>
      <c r="I1346" s="5387"/>
      <c r="J1346" s="5425" t="s">
        <v>573</v>
      </c>
      <c r="K1346" s="5378"/>
      <c r="L1346" s="5379"/>
      <c r="M1346" s="5426" t="str">
        <f>IMAGE("https://raw.githubusercontent.com/msikma/pokesprite/master/items/hold-item/focus-sash.png",3)</f>
        <v/>
      </c>
      <c r="N1346" s="5387"/>
      <c r="O1346" s="5425" t="s">
        <v>573</v>
      </c>
      <c r="P1346" s="5378"/>
      <c r="Q1346" s="5379"/>
      <c r="R1346" s="5426" t="str">
        <f>IMAGE("https://raw.githubusercontent.com/msikma/pokesprite/master/items/hold-item/focus-sash.png",3)</f>
        <v/>
      </c>
      <c r="S1346" s="5387"/>
      <c r="T1346" s="5425" t="s">
        <v>573</v>
      </c>
      <c r="U1346" s="5378"/>
      <c r="V1346" s="5379"/>
      <c r="W1346" s="5426" t="str">
        <f>IMAGE("https://raw.githubusercontent.com/msikma/pokesprite/master/items/hold-item/focus-sash.png",3)</f>
        <v/>
      </c>
      <c r="X1346" s="5397"/>
      <c r="Y1346" s="5425" t="s">
        <v>573</v>
      </c>
      <c r="Z1346" s="5378"/>
      <c r="AA1346" s="5379"/>
      <c r="AB1346" s="5426" t="str">
        <f>IMAGE("https://raw.githubusercontent.com/msikma/pokesprite/master/items/hold-item/focus-sash.png",3)</f>
        <v/>
      </c>
      <c r="AC1346" s="5802"/>
      <c r="AD1346" s="5425" t="s">
        <v>573</v>
      </c>
      <c r="AE1346" s="5378"/>
      <c r="AF1346" s="5379"/>
      <c r="AG1346" s="5426" t="str">
        <f>IMAGE("https://raw.githubusercontent.com/msikma/pokesprite/master/items/hold-item/focus-sash.png",3)</f>
        <v/>
      </c>
      <c r="AH1346" s="5390"/>
      <c r="AI1346" s="3452"/>
    </row>
    <row r="1347" ht="20.25" customHeight="1">
      <c r="A1347" s="3446"/>
      <c r="B1347" s="5374"/>
      <c r="C1347" s="5427"/>
      <c r="D1347" s="5428" t="s">
        <v>1322</v>
      </c>
      <c r="E1347" s="5420" t="s">
        <v>591</v>
      </c>
      <c r="F1347" s="5421"/>
      <c r="G1347" s="5429"/>
      <c r="H1347" s="5430" t="str">
        <f>IMAGE("https://raw.githubusercontent.com/msikma/pokesprite/master/misc/types/gen8/normal.png",4,20,20)</f>
        <v/>
      </c>
      <c r="I1347" s="5428" t="s">
        <v>1322</v>
      </c>
      <c r="J1347" s="5420" t="s">
        <v>1780</v>
      </c>
      <c r="K1347" s="5421"/>
      <c r="L1347" s="5429"/>
      <c r="M1347" s="5430" t="str">
        <f>IMAGE("https://raw.githubusercontent.com/msikma/pokesprite/master/misc/types/gen8/electric.png",4,20,20)</f>
        <v/>
      </c>
      <c r="N1347" s="5428" t="s">
        <v>1322</v>
      </c>
      <c r="O1347" s="5420" t="s">
        <v>1780</v>
      </c>
      <c r="P1347" s="5421"/>
      <c r="Q1347" s="5429"/>
      <c r="R1347" s="5430" t="str">
        <f>IMAGE("https://raw.githubusercontent.com/msikma/pokesprite/master/misc/types/gen8/electric.png",4,20,20)</f>
        <v/>
      </c>
      <c r="S1347" s="5428" t="s">
        <v>1322</v>
      </c>
      <c r="T1347" s="5420" t="s">
        <v>1780</v>
      </c>
      <c r="U1347" s="5421"/>
      <c r="V1347" s="5429"/>
      <c r="W1347" s="5430" t="str">
        <f>IMAGE("https://raw.githubusercontent.com/msikma/pokesprite/master/misc/types/gen8/electric.png",4,20,20)</f>
        <v/>
      </c>
      <c r="X1347" s="5397"/>
      <c r="Y1347" s="5420" t="s">
        <v>1780</v>
      </c>
      <c r="Z1347" s="5421"/>
      <c r="AA1347" s="5429"/>
      <c r="AB1347" s="5430" t="str">
        <f>IMAGE("https://raw.githubusercontent.com/msikma/pokesprite/master/misc/types/gen8/electric.png",4,20,20)</f>
        <v/>
      </c>
      <c r="AC1347" s="5802"/>
      <c r="AD1347" s="5420" t="s">
        <v>1780</v>
      </c>
      <c r="AE1347" s="5421"/>
      <c r="AF1347" s="5429"/>
      <c r="AG1347" s="5430" t="str">
        <f>IMAGE("https://raw.githubusercontent.com/msikma/pokesprite/master/misc/types/gen8/electric.png",4,20,20)</f>
        <v/>
      </c>
      <c r="AH1347" s="5390"/>
      <c r="AI1347" s="3452"/>
    </row>
    <row r="1348" ht="20.25" customHeight="1">
      <c r="A1348" s="3446"/>
      <c r="B1348" s="5374"/>
      <c r="C1348" s="5427"/>
      <c r="D1348" s="5428" t="s">
        <v>844</v>
      </c>
      <c r="E1348" s="5423" t="s">
        <v>1165</v>
      </c>
      <c r="F1348" s="5388"/>
      <c r="G1348" s="5388"/>
      <c r="H1348" s="5424"/>
      <c r="I1348" s="5428" t="s">
        <v>844</v>
      </c>
      <c r="J1348" s="5423" t="s">
        <v>1165</v>
      </c>
      <c r="K1348" s="5388"/>
      <c r="L1348" s="5388"/>
      <c r="M1348" s="5424"/>
      <c r="N1348" s="5428" t="s">
        <v>844</v>
      </c>
      <c r="O1348" s="5423" t="s">
        <v>1165</v>
      </c>
      <c r="P1348" s="5388"/>
      <c r="Q1348" s="5388"/>
      <c r="R1348" s="5424"/>
      <c r="S1348" s="5428" t="s">
        <v>844</v>
      </c>
      <c r="T1348" s="5423" t="s">
        <v>1165</v>
      </c>
      <c r="U1348" s="5388"/>
      <c r="V1348" s="5388"/>
      <c r="W1348" s="5424"/>
      <c r="X1348" s="5397"/>
      <c r="Y1348" s="5423" t="s">
        <v>1165</v>
      </c>
      <c r="Z1348" s="5388"/>
      <c r="AA1348" s="5388"/>
      <c r="AB1348" s="5424"/>
      <c r="AC1348" s="5802"/>
      <c r="AD1348" s="5423" t="s">
        <v>1165</v>
      </c>
      <c r="AE1348" s="5388"/>
      <c r="AF1348" s="5388"/>
      <c r="AG1348" s="5424"/>
      <c r="AH1348" s="5390"/>
      <c r="AI1348" s="3452"/>
    </row>
    <row r="1349" ht="20.25" customHeight="1">
      <c r="A1349" s="3446"/>
      <c r="B1349" s="5374"/>
      <c r="C1349" s="5427"/>
      <c r="D1349" s="5428" t="s">
        <v>777</v>
      </c>
      <c r="E1349" s="5423" t="s">
        <v>1165</v>
      </c>
      <c r="F1349" s="5388"/>
      <c r="G1349" s="5388"/>
      <c r="H1349" s="5424"/>
      <c r="I1349" s="5428" t="s">
        <v>777</v>
      </c>
      <c r="J1349" s="5423" t="s">
        <v>1165</v>
      </c>
      <c r="K1349" s="5388"/>
      <c r="L1349" s="5388"/>
      <c r="M1349" s="5424"/>
      <c r="N1349" s="5428" t="s">
        <v>777</v>
      </c>
      <c r="O1349" s="5423" t="s">
        <v>1165</v>
      </c>
      <c r="P1349" s="5388"/>
      <c r="Q1349" s="5388"/>
      <c r="R1349" s="5424"/>
      <c r="S1349" s="5428" t="s">
        <v>777</v>
      </c>
      <c r="T1349" s="5423" t="s">
        <v>1165</v>
      </c>
      <c r="U1349" s="5388"/>
      <c r="V1349" s="5388"/>
      <c r="W1349" s="5424"/>
      <c r="X1349" s="5397"/>
      <c r="Y1349" s="5423" t="s">
        <v>1165</v>
      </c>
      <c r="Z1349" s="5388"/>
      <c r="AA1349" s="5388"/>
      <c r="AB1349" s="5424"/>
      <c r="AC1349" s="5802"/>
      <c r="AD1349" s="5423" t="s">
        <v>1165</v>
      </c>
      <c r="AE1349" s="5388"/>
      <c r="AF1349" s="5388"/>
      <c r="AG1349" s="5424"/>
      <c r="AH1349" s="5390"/>
      <c r="AI1349" s="3452"/>
    </row>
    <row r="1350" ht="21.0" customHeight="1">
      <c r="A1350" s="3446"/>
      <c r="B1350" s="5374"/>
      <c r="C1350" s="5427"/>
      <c r="D1350" s="5428" t="s">
        <v>1401</v>
      </c>
      <c r="E1350" s="5432" t="s">
        <v>1165</v>
      </c>
      <c r="F1350" s="5433"/>
      <c r="G1350" s="5433"/>
      <c r="H1350" s="5805"/>
      <c r="I1350" s="5428" t="s">
        <v>1401</v>
      </c>
      <c r="J1350" s="5432" t="s">
        <v>1165</v>
      </c>
      <c r="K1350" s="5433"/>
      <c r="L1350" s="5433"/>
      <c r="M1350" s="5805"/>
      <c r="N1350" s="5428" t="s">
        <v>1401</v>
      </c>
      <c r="O1350" s="5432" t="s">
        <v>1165</v>
      </c>
      <c r="P1350" s="5433"/>
      <c r="Q1350" s="5433"/>
      <c r="R1350" s="5805"/>
      <c r="S1350" s="5428" t="s">
        <v>1401</v>
      </c>
      <c r="T1350" s="5432" t="s">
        <v>1165</v>
      </c>
      <c r="U1350" s="5433"/>
      <c r="V1350" s="5433"/>
      <c r="W1350" s="5805"/>
      <c r="X1350" s="5437"/>
      <c r="Y1350" s="5432" t="s">
        <v>1165</v>
      </c>
      <c r="Z1350" s="5433"/>
      <c r="AA1350" s="5433"/>
      <c r="AB1350" s="5805"/>
      <c r="AC1350" s="5806"/>
      <c r="AD1350" s="5432" t="s">
        <v>1165</v>
      </c>
      <c r="AE1350" s="5433"/>
      <c r="AF1350" s="5433"/>
      <c r="AG1350" s="5805"/>
      <c r="AH1350" s="5390"/>
      <c r="AI1350" s="3452"/>
    </row>
    <row r="1351" ht="3.0" customHeight="1">
      <c r="A1351" s="3524"/>
      <c r="B1351" s="5438"/>
      <c r="C1351" s="5427"/>
      <c r="D1351" s="5439"/>
      <c r="E1351" s="5442"/>
      <c r="F1351" s="5442"/>
      <c r="G1351" s="5442"/>
      <c r="H1351" s="5441"/>
      <c r="I1351" s="5439"/>
      <c r="J1351" s="5442"/>
      <c r="K1351" s="5442"/>
      <c r="L1351" s="5442"/>
      <c r="M1351" s="5441"/>
      <c r="N1351" s="5439"/>
      <c r="O1351" s="5442"/>
      <c r="P1351" s="5442"/>
      <c r="Q1351" s="5442"/>
      <c r="R1351" s="5443"/>
      <c r="S1351" s="5439"/>
      <c r="T1351" s="5442"/>
      <c r="U1351" s="5442"/>
      <c r="V1351" s="5442"/>
      <c r="W1351" s="5443"/>
      <c r="X1351" s="5439"/>
      <c r="Y1351" s="5442"/>
      <c r="Z1351" s="5442"/>
      <c r="AA1351" s="5442"/>
      <c r="AB1351" s="5443"/>
      <c r="AC1351" s="5444"/>
      <c r="AD1351" s="5442"/>
      <c r="AE1351" s="5442"/>
      <c r="AF1351" s="5442"/>
      <c r="AG1351" s="5443"/>
      <c r="AH1351" s="5445"/>
      <c r="AI1351" s="3534"/>
    </row>
    <row r="1352" ht="16.5" customHeight="1">
      <c r="A1352" s="3535"/>
      <c r="B1352" s="5446"/>
      <c r="C1352" s="5427"/>
      <c r="D1352" s="5449"/>
      <c r="E1352" s="5448" t="s">
        <v>512</v>
      </c>
      <c r="F1352" s="606"/>
      <c r="G1352" s="606"/>
      <c r="H1352" s="607"/>
      <c r="I1352" s="5449"/>
      <c r="J1352" s="5448" t="s">
        <v>512</v>
      </c>
      <c r="K1352" s="606"/>
      <c r="L1352" s="606"/>
      <c r="M1352" s="607"/>
      <c r="N1352" s="5449"/>
      <c r="O1352" s="5448" t="s">
        <v>512</v>
      </c>
      <c r="P1352" s="606"/>
      <c r="Q1352" s="606"/>
      <c r="R1352" s="607"/>
      <c r="S1352" s="5449"/>
      <c r="T1352" s="5448" t="s">
        <v>512</v>
      </c>
      <c r="U1352" s="606"/>
      <c r="V1352" s="606"/>
      <c r="W1352" s="607"/>
      <c r="X1352" s="5450"/>
      <c r="Y1352" s="5448" t="s">
        <v>512</v>
      </c>
      <c r="Z1352" s="606"/>
      <c r="AA1352" s="606"/>
      <c r="AB1352" s="607"/>
      <c r="AC1352" s="5807"/>
      <c r="AD1352" s="5448" t="s">
        <v>512</v>
      </c>
      <c r="AE1352" s="606"/>
      <c r="AF1352" s="606"/>
      <c r="AG1352" s="607"/>
      <c r="AH1352" s="5452"/>
      <c r="AI1352" s="3543"/>
    </row>
    <row r="1353" ht="16.5" customHeight="1">
      <c r="A1353" s="3535"/>
      <c r="B1353" s="5446"/>
      <c r="C1353" s="5427"/>
      <c r="D1353" s="5447"/>
      <c r="E1353" s="5453" t="s">
        <v>513</v>
      </c>
      <c r="F1353" s="5454">
        <f t="array" ref="F1353">IFERROR(VLOOKUP(E1340,Dex!$B$3:$N1361,8,FALSE),"")</f>
        <v>85</v>
      </c>
      <c r="G1353" s="5455" t="str">
        <f t="array" ref="G1353">IFERROR(VLOOKUP(F1353,Dex!$P$22:$Q$276,2,FALSE),"")</f>
        <v/>
      </c>
      <c r="H1353" s="5456"/>
      <c r="I1353" s="5447"/>
      <c r="J1353" s="5453" t="s">
        <v>513</v>
      </c>
      <c r="K1353" s="5454">
        <f t="array" ref="K1353">IFERROR(VLOOKUP(J1340,Dex!$B$3:$N1361,8,FALSE),"")</f>
        <v>1</v>
      </c>
      <c r="L1353" s="5455" t="str">
        <f t="array" ref="L1353">IFERROR(VLOOKUP(K1353,Dex!$P$22:$Q$276,2,FALSE),"")</f>
        <v/>
      </c>
      <c r="M1353" s="5456"/>
      <c r="N1353" s="5447"/>
      <c r="O1353" s="5453" t="s">
        <v>513</v>
      </c>
      <c r="P1353" s="5454">
        <f t="array" ref="P1353">IFERROR(VLOOKUP(O1340,Dex!$B$3:$N1361,8,FALSE),"")</f>
        <v>1</v>
      </c>
      <c r="Q1353" s="5455" t="str">
        <f t="array" ref="Q1353">IFERROR(VLOOKUP(P1353,Dex!$P$22:$Q$276,2,FALSE),"")</f>
        <v/>
      </c>
      <c r="R1353" s="5456"/>
      <c r="S1353" s="5447"/>
      <c r="T1353" s="5453" t="s">
        <v>513</v>
      </c>
      <c r="U1353" s="5454">
        <f t="array" ref="U1353">IFERROR(VLOOKUP(T1340,Dex!$B$3:$N1361,8,FALSE),"")</f>
        <v>1</v>
      </c>
      <c r="V1353" s="5455" t="str">
        <f t="array" ref="V1353">IFERROR(VLOOKUP(U1353,Dex!$P$22:$Q$276,2,FALSE),"")</f>
        <v/>
      </c>
      <c r="W1353" s="5456"/>
      <c r="X1353" s="5457"/>
      <c r="Y1353" s="5453" t="s">
        <v>513</v>
      </c>
      <c r="Z1353" s="5454">
        <f t="array" ref="Z1353">IFERROR(VLOOKUP(Y1340,Dex!$B$3:$N1361,8,FALSE),"")</f>
        <v>1</v>
      </c>
      <c r="AA1353" s="5455" t="str">
        <f t="array" ref="AA1353">IFERROR(VLOOKUP(Z1353,Dex!$P$22:$Q$276,2,FALSE),"")</f>
        <v/>
      </c>
      <c r="AB1353" s="5456"/>
      <c r="AC1353" s="5451"/>
      <c r="AD1353" s="5453" t="s">
        <v>513</v>
      </c>
      <c r="AE1353" s="5454">
        <f t="array" ref="AE1353">IFERROR(VLOOKUP(AD1340,Dex!$B$3:$N1361,8,FALSE),"")</f>
        <v>1</v>
      </c>
      <c r="AF1353" s="5455" t="str">
        <f t="array" ref="AF1353">IFERROR(VLOOKUP(AE1353,Dex!$P$22:$Q$276,2,FALSE),"")</f>
        <v/>
      </c>
      <c r="AG1353" s="5456"/>
      <c r="AH1353" s="5452"/>
      <c r="AI1353" s="3543"/>
    </row>
    <row r="1354" ht="16.5" customHeight="1">
      <c r="A1354" s="3535"/>
      <c r="B1354" s="5446"/>
      <c r="C1354" s="5427"/>
      <c r="D1354" s="5447"/>
      <c r="E1354" s="5458" t="s">
        <v>514</v>
      </c>
      <c r="F1354" s="5459">
        <f t="array" ref="F1354">IFERROR(VLOOKUP(E1340,Dex!$B$3:$N1361,9,FALSE),"")</f>
        <v>135</v>
      </c>
      <c r="G1354" s="5460" t="str">
        <f t="array" ref="G1354">IFERROR(VLOOKUP(F1354,Dex!$P$22:$Q$276,2,FALSE),"")</f>
        <v/>
      </c>
      <c r="H1354" s="5461"/>
      <c r="I1354" s="5447"/>
      <c r="J1354" s="5458" t="s">
        <v>514</v>
      </c>
      <c r="K1354" s="5459">
        <f t="array" ref="K1354">IFERROR(VLOOKUP(J1340,Dex!$B$3:$N1361,9,FALSE),"")</f>
        <v>90</v>
      </c>
      <c r="L1354" s="5460" t="str">
        <f t="array" ref="L1354">IFERROR(VLOOKUP(K1354,Dex!$P$22:$Q$276,2,FALSE),"")</f>
        <v/>
      </c>
      <c r="M1354" s="5461"/>
      <c r="N1354" s="5447"/>
      <c r="O1354" s="5458" t="s">
        <v>514</v>
      </c>
      <c r="P1354" s="5459">
        <f t="array" ref="P1354">IFERROR(VLOOKUP(O1340,Dex!$B$3:$N1361,9,FALSE),"")</f>
        <v>90</v>
      </c>
      <c r="Q1354" s="5460" t="str">
        <f t="array" ref="Q1354">IFERROR(VLOOKUP(P1354,Dex!$P$22:$Q$276,2,FALSE),"")</f>
        <v/>
      </c>
      <c r="R1354" s="5461"/>
      <c r="S1354" s="5447"/>
      <c r="T1354" s="5458" t="s">
        <v>514</v>
      </c>
      <c r="U1354" s="5459">
        <f t="array" ref="U1354">IFERROR(VLOOKUP(T1340,Dex!$B$3:$N1361,9,FALSE),"")</f>
        <v>90</v>
      </c>
      <c r="V1354" s="5460" t="str">
        <f t="array" ref="V1354">IFERROR(VLOOKUP(U1354,Dex!$P$22:$Q$276,2,FALSE),"")</f>
        <v/>
      </c>
      <c r="W1354" s="5461"/>
      <c r="X1354" s="5457"/>
      <c r="Y1354" s="5458" t="s">
        <v>514</v>
      </c>
      <c r="Z1354" s="5459">
        <f t="array" ref="Z1354">IFERROR(VLOOKUP(Y1340,Dex!$B$3:$N1361,9,FALSE),"")</f>
        <v>90</v>
      </c>
      <c r="AA1354" s="5460" t="str">
        <f t="array" ref="AA1354">IFERROR(VLOOKUP(Z1354,Dex!$P$22:$Q$276,2,FALSE),"")</f>
        <v/>
      </c>
      <c r="AB1354" s="5461"/>
      <c r="AC1354" s="5451"/>
      <c r="AD1354" s="5458" t="s">
        <v>514</v>
      </c>
      <c r="AE1354" s="5459">
        <f t="array" ref="AE1354">IFERROR(VLOOKUP(AD1340,Dex!$B$3:$N1361,9,FALSE),"")</f>
        <v>90</v>
      </c>
      <c r="AF1354" s="5460" t="str">
        <f t="array" ref="AF1354">IFERROR(VLOOKUP(AE1354,Dex!$P$22:$Q$276,2,FALSE),"")</f>
        <v/>
      </c>
      <c r="AG1354" s="5461"/>
      <c r="AH1354" s="5452"/>
      <c r="AI1354" s="3543"/>
    </row>
    <row r="1355" ht="16.5" customHeight="1">
      <c r="A1355" s="3535"/>
      <c r="B1355" s="5446"/>
      <c r="C1355" s="5427"/>
      <c r="D1355" s="5447"/>
      <c r="E1355" s="5458" t="s">
        <v>515</v>
      </c>
      <c r="F1355" s="5459">
        <f t="array" ref="F1355">IFERROR(VLOOKUP(E1340,Dex!$B$3:$N1361,10,FALSE),"")</f>
        <v>130</v>
      </c>
      <c r="G1355" s="5460" t="str">
        <f t="array" ref="G1355">IFERROR(VLOOKUP(F1355,Dex!$P$22:$Q$276,2,FALSE),"")</f>
        <v/>
      </c>
      <c r="H1355" s="5461"/>
      <c r="I1355" s="5447"/>
      <c r="J1355" s="5458" t="s">
        <v>515</v>
      </c>
      <c r="K1355" s="5459">
        <f t="array" ref="K1355">IFERROR(VLOOKUP(J1340,Dex!$B$3:$N1361,10,FALSE),"")</f>
        <v>45</v>
      </c>
      <c r="L1355" s="5460" t="str">
        <f t="array" ref="L1355">IFERROR(VLOOKUP(K1355,Dex!$P$22:$Q$276,2,FALSE),"")</f>
        <v/>
      </c>
      <c r="M1355" s="5461"/>
      <c r="N1355" s="5447"/>
      <c r="O1355" s="5458" t="s">
        <v>515</v>
      </c>
      <c r="P1355" s="5459">
        <f t="array" ref="P1355">IFERROR(VLOOKUP(O1340,Dex!$B$3:$N1361,10,FALSE),"")</f>
        <v>45</v>
      </c>
      <c r="Q1355" s="5460" t="str">
        <f t="array" ref="Q1355">IFERROR(VLOOKUP(P1355,Dex!$P$22:$Q$276,2,FALSE),"")</f>
        <v/>
      </c>
      <c r="R1355" s="5461"/>
      <c r="S1355" s="5447"/>
      <c r="T1355" s="5458" t="s">
        <v>515</v>
      </c>
      <c r="U1355" s="5459">
        <f t="array" ref="U1355">IFERROR(VLOOKUP(T1340,Dex!$B$3:$N1361,10,FALSE),"")</f>
        <v>45</v>
      </c>
      <c r="V1355" s="5460" t="str">
        <f t="array" ref="V1355">IFERROR(VLOOKUP(U1355,Dex!$P$22:$Q$276,2,FALSE),"")</f>
        <v/>
      </c>
      <c r="W1355" s="5461"/>
      <c r="X1355" s="5457"/>
      <c r="Y1355" s="5458" t="s">
        <v>515</v>
      </c>
      <c r="Z1355" s="5459">
        <f t="array" ref="Z1355">IFERROR(VLOOKUP(Y1340,Dex!$B$3:$N1361,10,FALSE),"")</f>
        <v>45</v>
      </c>
      <c r="AA1355" s="5460" t="str">
        <f t="array" ref="AA1355">IFERROR(VLOOKUP(Z1355,Dex!$P$22:$Q$276,2,FALSE),"")</f>
        <v/>
      </c>
      <c r="AB1355" s="5461"/>
      <c r="AC1355" s="5451"/>
      <c r="AD1355" s="5458" t="s">
        <v>515</v>
      </c>
      <c r="AE1355" s="5459">
        <f t="array" ref="AE1355">IFERROR(VLOOKUP(AD1340,Dex!$B$3:$N1361,10,FALSE),"")</f>
        <v>45</v>
      </c>
      <c r="AF1355" s="5460" t="str">
        <f t="array" ref="AF1355">IFERROR(VLOOKUP(AE1355,Dex!$P$22:$Q$276,2,FALSE),"")</f>
        <v/>
      </c>
      <c r="AG1355" s="5461"/>
      <c r="AH1355" s="5452"/>
      <c r="AI1355" s="3543"/>
    </row>
    <row r="1356" ht="16.5" customHeight="1">
      <c r="A1356" s="3535"/>
      <c r="B1356" s="5446"/>
      <c r="C1356" s="5427"/>
      <c r="D1356" s="5447"/>
      <c r="E1356" s="5458" t="s">
        <v>516</v>
      </c>
      <c r="F1356" s="5459">
        <f t="array" ref="F1356">IFERROR(VLOOKUP(E1340,Dex!$B$3:$N1361,11,FALSE),"")</f>
        <v>60</v>
      </c>
      <c r="G1356" s="5460" t="str">
        <f t="array" ref="G1356">IFERROR(VLOOKUP(F1356,Dex!$P$22:$Q$276,2,FALSE),"")</f>
        <v/>
      </c>
      <c r="H1356" s="5461"/>
      <c r="I1356" s="5447"/>
      <c r="J1356" s="5458" t="s">
        <v>516</v>
      </c>
      <c r="K1356" s="5459">
        <f t="array" ref="K1356">IFERROR(VLOOKUP(J1340,Dex!$B$3:$N1361,11,FALSE),"")</f>
        <v>30</v>
      </c>
      <c r="L1356" s="5460" t="str">
        <f t="array" ref="L1356">IFERROR(VLOOKUP(K1356,Dex!$P$22:$Q$276,2,FALSE),"")</f>
        <v/>
      </c>
      <c r="M1356" s="5461"/>
      <c r="N1356" s="5447"/>
      <c r="O1356" s="5458" t="s">
        <v>516</v>
      </c>
      <c r="P1356" s="5459">
        <f t="array" ref="P1356">IFERROR(VLOOKUP(O1340,Dex!$B$3:$N1361,11,FALSE),"")</f>
        <v>30</v>
      </c>
      <c r="Q1356" s="5460" t="str">
        <f t="array" ref="Q1356">IFERROR(VLOOKUP(P1356,Dex!$P$22:$Q$276,2,FALSE),"")</f>
        <v/>
      </c>
      <c r="R1356" s="5461"/>
      <c r="S1356" s="5447"/>
      <c r="T1356" s="5458" t="s">
        <v>516</v>
      </c>
      <c r="U1356" s="5459">
        <f t="array" ref="U1356">IFERROR(VLOOKUP(T1340,Dex!$B$3:$N1361,11,FALSE),"")</f>
        <v>30</v>
      </c>
      <c r="V1356" s="5460" t="str">
        <f t="array" ref="V1356">IFERROR(VLOOKUP(U1356,Dex!$P$22:$Q$276,2,FALSE),"")</f>
        <v/>
      </c>
      <c r="W1356" s="5461"/>
      <c r="X1356" s="5457"/>
      <c r="Y1356" s="5458" t="s">
        <v>516</v>
      </c>
      <c r="Z1356" s="5459">
        <f t="array" ref="Z1356">IFERROR(VLOOKUP(Y1340,Dex!$B$3:$N1361,11,FALSE),"")</f>
        <v>30</v>
      </c>
      <c r="AA1356" s="5460" t="str">
        <f t="array" ref="AA1356">IFERROR(VLOOKUP(Z1356,Dex!$P$22:$Q$276,2,FALSE),"")</f>
        <v/>
      </c>
      <c r="AB1356" s="5461"/>
      <c r="AC1356" s="5451"/>
      <c r="AD1356" s="5458" t="s">
        <v>516</v>
      </c>
      <c r="AE1356" s="5459">
        <f t="array" ref="AE1356">IFERROR(VLOOKUP(AD1340,Dex!$B$3:$N1361,11,FALSE),"")</f>
        <v>30</v>
      </c>
      <c r="AF1356" s="5460" t="str">
        <f t="array" ref="AF1356">IFERROR(VLOOKUP(AE1356,Dex!$P$22:$Q$276,2,FALSE),"")</f>
        <v/>
      </c>
      <c r="AG1356" s="5461"/>
      <c r="AH1356" s="5452"/>
      <c r="AI1356" s="3543"/>
    </row>
    <row r="1357" ht="16.5" customHeight="1">
      <c r="A1357" s="3535"/>
      <c r="B1357" s="5446"/>
      <c r="C1357" s="5427"/>
      <c r="D1357" s="5447"/>
      <c r="E1357" s="5458" t="s">
        <v>517</v>
      </c>
      <c r="F1357" s="5459">
        <f t="array" ref="F1357">IFERROR(VLOOKUP(E1340,Dex!$B$3:$N1361,12,FALSE),"")</f>
        <v>80</v>
      </c>
      <c r="G1357" s="5460" t="str">
        <f t="array" ref="G1357">IFERROR(VLOOKUP(F1357,Dex!$P$22:$Q$276,2,FALSE),"")</f>
        <v/>
      </c>
      <c r="H1357" s="5461"/>
      <c r="I1357" s="5447"/>
      <c r="J1357" s="5458" t="s">
        <v>517</v>
      </c>
      <c r="K1357" s="5459">
        <f t="array" ref="K1357">IFERROR(VLOOKUP(J1340,Dex!$B$3:$N1361,12,FALSE),"")</f>
        <v>30</v>
      </c>
      <c r="L1357" s="5460" t="str">
        <f t="array" ref="L1357">IFERROR(VLOOKUP(K1357,Dex!$P$22:$Q$276,2,FALSE),"")</f>
        <v/>
      </c>
      <c r="M1357" s="5461"/>
      <c r="N1357" s="5447"/>
      <c r="O1357" s="5458" t="s">
        <v>517</v>
      </c>
      <c r="P1357" s="5459">
        <f t="array" ref="P1357">IFERROR(VLOOKUP(O1340,Dex!$B$3:$N1361,12,FALSE),"")</f>
        <v>30</v>
      </c>
      <c r="Q1357" s="5460" t="str">
        <f t="array" ref="Q1357">IFERROR(VLOOKUP(P1357,Dex!$P$22:$Q$276,2,FALSE),"")</f>
        <v/>
      </c>
      <c r="R1357" s="5461"/>
      <c r="S1357" s="5447"/>
      <c r="T1357" s="5458" t="s">
        <v>517</v>
      </c>
      <c r="U1357" s="5459">
        <f t="array" ref="U1357">IFERROR(VLOOKUP(T1340,Dex!$B$3:$N1361,12,FALSE),"")</f>
        <v>30</v>
      </c>
      <c r="V1357" s="5460" t="str">
        <f t="array" ref="V1357">IFERROR(VLOOKUP(U1357,Dex!$P$22:$Q$276,2,FALSE),"")</f>
        <v/>
      </c>
      <c r="W1357" s="5461"/>
      <c r="X1357" s="5457"/>
      <c r="Y1357" s="5458" t="s">
        <v>517</v>
      </c>
      <c r="Z1357" s="5459">
        <f t="array" ref="Z1357">IFERROR(VLOOKUP(Y1340,Dex!$B$3:$N1361,12,FALSE),"")</f>
        <v>30</v>
      </c>
      <c r="AA1357" s="5460" t="str">
        <f t="array" ref="AA1357">IFERROR(VLOOKUP(Z1357,Dex!$P$22:$Q$276,2,FALSE),"")</f>
        <v/>
      </c>
      <c r="AB1357" s="5461"/>
      <c r="AC1357" s="5451"/>
      <c r="AD1357" s="5458" t="s">
        <v>517</v>
      </c>
      <c r="AE1357" s="5459">
        <f t="array" ref="AE1357">IFERROR(VLOOKUP(AD1340,Dex!$B$3:$N1361,12,FALSE),"")</f>
        <v>30</v>
      </c>
      <c r="AF1357" s="5460" t="str">
        <f t="array" ref="AF1357">IFERROR(VLOOKUP(AE1357,Dex!$P$22:$Q$276,2,FALSE),"")</f>
        <v/>
      </c>
      <c r="AG1357" s="5461"/>
      <c r="AH1357" s="5452"/>
      <c r="AI1357" s="3543"/>
    </row>
    <row r="1358" ht="16.5" customHeight="1">
      <c r="A1358" s="3535"/>
      <c r="B1358" s="5446"/>
      <c r="C1358" s="5427"/>
      <c r="D1358" s="5447"/>
      <c r="E1358" s="5462" t="s">
        <v>518</v>
      </c>
      <c r="F1358" s="5463">
        <f t="array" ref="F1358">IFERROR(VLOOKUP(E1340,Dex!$B$3:$N1361,13,FALSE),"")</f>
        <v>25</v>
      </c>
      <c r="G1358" s="5464" t="str">
        <f t="array" ref="G1358">IFERROR(VLOOKUP(F1358,Dex!$P$22:$Q$276,2,FALSE),"")</f>
        <v/>
      </c>
      <c r="H1358" s="5465"/>
      <c r="I1358" s="5447"/>
      <c r="J1358" s="5462" t="s">
        <v>518</v>
      </c>
      <c r="K1358" s="5463">
        <f t="array" ref="K1358">IFERROR(VLOOKUP(J1340,Dex!$B$3:$N1361,13,FALSE),"")</f>
        <v>40</v>
      </c>
      <c r="L1358" s="5464" t="str">
        <f t="array" ref="L1358">IFERROR(VLOOKUP(K1358,Dex!$P$22:$Q$276,2,FALSE),"")</f>
        <v/>
      </c>
      <c r="M1358" s="5465"/>
      <c r="N1358" s="5447"/>
      <c r="O1358" s="5462" t="s">
        <v>518</v>
      </c>
      <c r="P1358" s="5463">
        <f t="array" ref="P1358">IFERROR(VLOOKUP(O1340,Dex!$B$3:$N1361,13,FALSE),"")</f>
        <v>40</v>
      </c>
      <c r="Q1358" s="5464" t="str">
        <f t="array" ref="Q1358">IFERROR(VLOOKUP(P1358,Dex!$P$22:$Q$276,2,FALSE),"")</f>
        <v/>
      </c>
      <c r="R1358" s="5465"/>
      <c r="S1358" s="5447"/>
      <c r="T1358" s="5462" t="s">
        <v>518</v>
      </c>
      <c r="U1358" s="5463">
        <f t="array" ref="U1358">IFERROR(VLOOKUP(T1340,Dex!$B$3:$N1361,13,FALSE),"")</f>
        <v>40</v>
      </c>
      <c r="V1358" s="5464" t="str">
        <f t="array" ref="V1358">IFERROR(VLOOKUP(U1358,Dex!$P$22:$Q$276,2,FALSE),"")</f>
        <v/>
      </c>
      <c r="W1358" s="5465"/>
      <c r="X1358" s="5457"/>
      <c r="Y1358" s="5462" t="s">
        <v>518</v>
      </c>
      <c r="Z1358" s="5463">
        <f t="array" ref="Z1358">IFERROR(VLOOKUP(Y1340,Dex!$B$3:$N1361,13,FALSE),"")</f>
        <v>40</v>
      </c>
      <c r="AA1358" s="5464" t="str">
        <f t="array" ref="AA1358">IFERROR(VLOOKUP(Z1358,Dex!$P$22:$Q$276,2,FALSE),"")</f>
        <v/>
      </c>
      <c r="AB1358" s="5465"/>
      <c r="AC1358" s="5451"/>
      <c r="AD1358" s="5462" t="s">
        <v>518</v>
      </c>
      <c r="AE1358" s="5463">
        <f t="array" ref="AE1358">IFERROR(VLOOKUP(AD1340,Dex!$B$3:$N1361,13,FALSE),"")</f>
        <v>40</v>
      </c>
      <c r="AF1358" s="5464" t="str">
        <f t="array" ref="AF1358">IFERROR(VLOOKUP(AE1358,Dex!$P$22:$Q$276,2,FALSE),"")</f>
        <v/>
      </c>
      <c r="AG1358" s="5465"/>
      <c r="AH1358" s="5452"/>
      <c r="AI1358" s="3543"/>
    </row>
    <row r="1359" ht="16.5" customHeight="1">
      <c r="A1359" s="3535"/>
      <c r="B1359" s="5446"/>
      <c r="C1359" s="5427"/>
      <c r="D1359" s="5449"/>
      <c r="E1359" s="5466" t="s">
        <v>519</v>
      </c>
      <c r="F1359" s="630"/>
      <c r="G1359" s="631"/>
      <c r="H1359" s="632">
        <f>ROUNDDOWN((ROUNDDOWN(((((2*F1358+31)*250)/100+5)),0))*1,0)</f>
        <v>207</v>
      </c>
      <c r="I1359" s="5449"/>
      <c r="J1359" s="5466" t="s">
        <v>519</v>
      </c>
      <c r="K1359" s="630"/>
      <c r="L1359" s="631"/>
      <c r="M1359" s="632">
        <f>ROUNDDOWN((ROUNDDOWN(((((2*K1358+31)*250)/100+5)),0))*1.1,0)</f>
        <v>310</v>
      </c>
      <c r="N1359" s="5449"/>
      <c r="O1359" s="5466" t="s">
        <v>519</v>
      </c>
      <c r="P1359" s="630"/>
      <c r="Q1359" s="631"/>
      <c r="R1359" s="632">
        <f>ROUNDDOWN((ROUNDDOWN(((((2*P1358+31)*250)/100+5)),0))*1.1,0)</f>
        <v>310</v>
      </c>
      <c r="S1359" s="5449"/>
      <c r="T1359" s="5466" t="s">
        <v>519</v>
      </c>
      <c r="U1359" s="630"/>
      <c r="V1359" s="631"/>
      <c r="W1359" s="632">
        <f>ROUNDDOWN((ROUNDDOWN(((((2*U1358+31)*250)/100+5)),0))*1.1,0)</f>
        <v>310</v>
      </c>
      <c r="X1359" s="5450"/>
      <c r="Y1359" s="5466" t="s">
        <v>519</v>
      </c>
      <c r="Z1359" s="630"/>
      <c r="AA1359" s="631"/>
      <c r="AB1359" s="632">
        <f>ROUNDDOWN((ROUNDDOWN(((((2*Z1358+31)*250)/100+5)),0))*1.1,0)</f>
        <v>310</v>
      </c>
      <c r="AC1359" s="5807"/>
      <c r="AD1359" s="5466" t="s">
        <v>519</v>
      </c>
      <c r="AE1359" s="630"/>
      <c r="AF1359" s="631"/>
      <c r="AG1359" s="632">
        <f>ROUNDDOWN((ROUNDDOWN(((((2*AE1358+31)*250)/100+5)),0))*1.1,0)</f>
        <v>310</v>
      </c>
      <c r="AH1359" s="5452"/>
      <c r="AI1359" s="3543"/>
    </row>
    <row r="1360" ht="7.5" customHeight="1">
      <c r="A1360" s="3535"/>
      <c r="B1360" s="5467"/>
      <c r="C1360" s="5468"/>
      <c r="D1360" s="5469"/>
      <c r="E1360" s="5808"/>
      <c r="F1360" s="5473"/>
      <c r="G1360" s="5474"/>
      <c r="H1360" s="5472"/>
      <c r="I1360" s="5469"/>
      <c r="J1360" s="5473"/>
      <c r="K1360" s="5473"/>
      <c r="L1360" s="5474"/>
      <c r="M1360" s="5472"/>
      <c r="N1360" s="5469"/>
      <c r="O1360" s="5473"/>
      <c r="P1360" s="5473"/>
      <c r="Q1360" s="5474"/>
      <c r="R1360" s="5472"/>
      <c r="S1360" s="5469"/>
      <c r="T1360" s="5473"/>
      <c r="U1360" s="5473"/>
      <c r="V1360" s="5474"/>
      <c r="W1360" s="5472"/>
      <c r="X1360" s="5475"/>
      <c r="Y1360" s="5474"/>
      <c r="Z1360" s="5473"/>
      <c r="AA1360" s="5473"/>
      <c r="AB1360" s="5475"/>
      <c r="AC1360" s="5475"/>
      <c r="AD1360" s="5474"/>
      <c r="AE1360" s="5474"/>
      <c r="AF1360" s="5474"/>
      <c r="AG1360" s="5475"/>
      <c r="AH1360" s="5476"/>
      <c r="AI1360" s="3543"/>
    </row>
    <row r="1361" ht="3.75" customHeight="1">
      <c r="A1361" s="3443"/>
      <c r="B1361" s="5809"/>
      <c r="C1361" s="5810"/>
      <c r="D1361" s="5809"/>
      <c r="E1361" s="5809"/>
      <c r="F1361" s="5809"/>
      <c r="G1361" s="5809"/>
      <c r="H1361" s="5809"/>
      <c r="I1361" s="5809"/>
      <c r="J1361" s="5809"/>
      <c r="K1361" s="5809"/>
      <c r="L1361" s="5809"/>
      <c r="M1361" s="5809"/>
      <c r="N1361" s="5809"/>
      <c r="O1361" s="5809"/>
      <c r="P1361" s="5809"/>
      <c r="Q1361" s="5809"/>
      <c r="R1361" s="5809"/>
      <c r="S1361" s="5809"/>
      <c r="T1361" s="5809"/>
      <c r="U1361" s="5809"/>
      <c r="V1361" s="5809"/>
      <c r="W1361" s="5809"/>
      <c r="X1361" s="5809"/>
      <c r="Y1361" s="5809"/>
      <c r="Z1361" s="5809"/>
      <c r="AA1361" s="5809"/>
      <c r="AB1361" s="5809"/>
      <c r="AC1361" s="5809"/>
      <c r="AD1361" s="5809"/>
      <c r="AE1361" s="5809"/>
      <c r="AF1361" s="5809"/>
      <c r="AG1361" s="5809"/>
      <c r="AH1361" s="5809"/>
      <c r="AI1361" s="3443"/>
    </row>
  </sheetData>
  <mergeCells count="6049">
    <mergeCell ref="Y720:AA720"/>
    <mergeCell ref="O722:Q722"/>
    <mergeCell ref="T722:V722"/>
    <mergeCell ref="Y722:AA722"/>
    <mergeCell ref="Q723:R723"/>
    <mergeCell ref="AA723:AB723"/>
    <mergeCell ref="AA724:AB724"/>
    <mergeCell ref="V723:W723"/>
    <mergeCell ref="V724:W724"/>
    <mergeCell ref="Q726:R726"/>
    <mergeCell ref="V726:W726"/>
    <mergeCell ref="AA726:AB726"/>
    <mergeCell ref="V727:W727"/>
    <mergeCell ref="AA727:AB727"/>
    <mergeCell ref="Q727:R727"/>
    <mergeCell ref="Q728:R728"/>
    <mergeCell ref="V728:W728"/>
    <mergeCell ref="AA728:AB728"/>
    <mergeCell ref="T729:V729"/>
    <mergeCell ref="Y729:AA729"/>
    <mergeCell ref="E732:AG732"/>
    <mergeCell ref="AD736:AG736"/>
    <mergeCell ref="AD738:AG738"/>
    <mergeCell ref="AD739:AG739"/>
    <mergeCell ref="AD740:AG740"/>
    <mergeCell ref="T741:V741"/>
    <mergeCell ref="Y741:AA741"/>
    <mergeCell ref="AD741:AG741"/>
    <mergeCell ref="O729:Q729"/>
    <mergeCell ref="O733:R733"/>
    <mergeCell ref="T733:W733"/>
    <mergeCell ref="Y733:AB733"/>
    <mergeCell ref="AD733:AG733"/>
    <mergeCell ref="AD734:AG734"/>
    <mergeCell ref="AD735:AG735"/>
    <mergeCell ref="L702:M702"/>
    <mergeCell ref="L703:M703"/>
    <mergeCell ref="J704:L704"/>
    <mergeCell ref="J705:L705"/>
    <mergeCell ref="I709:I720"/>
    <mergeCell ref="J709:M709"/>
    <mergeCell ref="N709:N720"/>
    <mergeCell ref="K712:L712"/>
    <mergeCell ref="J714:M714"/>
    <mergeCell ref="E719:G719"/>
    <mergeCell ref="J719:L719"/>
    <mergeCell ref="E720:G720"/>
    <mergeCell ref="J720:L720"/>
    <mergeCell ref="J722:L722"/>
    <mergeCell ref="E722:G722"/>
    <mergeCell ref="G723:H723"/>
    <mergeCell ref="G724:H724"/>
    <mergeCell ref="G725:H725"/>
    <mergeCell ref="G726:H726"/>
    <mergeCell ref="G727:H727"/>
    <mergeCell ref="G728:H728"/>
    <mergeCell ref="J734:M734"/>
    <mergeCell ref="J735:M735"/>
    <mergeCell ref="J738:M738"/>
    <mergeCell ref="J739:M739"/>
    <mergeCell ref="J740:L740"/>
    <mergeCell ref="J741:L741"/>
    <mergeCell ref="L723:M723"/>
    <mergeCell ref="L724:M724"/>
    <mergeCell ref="L725:M725"/>
    <mergeCell ref="L726:M726"/>
    <mergeCell ref="L727:M727"/>
    <mergeCell ref="J729:L729"/>
    <mergeCell ref="J733:M733"/>
    <mergeCell ref="O734:R734"/>
    <mergeCell ref="O735:R735"/>
    <mergeCell ref="E740:G740"/>
    <mergeCell ref="E741:G741"/>
    <mergeCell ref="O741:Q741"/>
    <mergeCell ref="Y684:AB684"/>
    <mergeCell ref="AD684:AG684"/>
    <mergeCell ref="E684:H684"/>
    <mergeCell ref="E685:H685"/>
    <mergeCell ref="O684:R684"/>
    <mergeCell ref="O685:R685"/>
    <mergeCell ref="V674:W674"/>
    <mergeCell ref="T685:W685"/>
    <mergeCell ref="Y685:AB685"/>
    <mergeCell ref="AD685:AG685"/>
    <mergeCell ref="J685:M685"/>
    <mergeCell ref="J686:M686"/>
    <mergeCell ref="T686:W686"/>
    <mergeCell ref="Y686:AB686"/>
    <mergeCell ref="O686:R686"/>
    <mergeCell ref="AD686:AG686"/>
    <mergeCell ref="F687:G687"/>
    <mergeCell ref="P687:Q687"/>
    <mergeCell ref="U687:V687"/>
    <mergeCell ref="Z687:AA687"/>
    <mergeCell ref="E686:H686"/>
    <mergeCell ref="E689:H689"/>
    <mergeCell ref="J689:M689"/>
    <mergeCell ref="O689:R689"/>
    <mergeCell ref="T689:W689"/>
    <mergeCell ref="Y689:AB689"/>
    <mergeCell ref="C685:C690"/>
    <mergeCell ref="E690:H690"/>
    <mergeCell ref="T690:W690"/>
    <mergeCell ref="Y690:AB690"/>
    <mergeCell ref="AD690:AG690"/>
    <mergeCell ref="T691:V691"/>
    <mergeCell ref="Y691:AA691"/>
    <mergeCell ref="AD691:AF691"/>
    <mergeCell ref="T692:V692"/>
    <mergeCell ref="Y692:AA692"/>
    <mergeCell ref="AD692:AF692"/>
    <mergeCell ref="E692:G692"/>
    <mergeCell ref="E693:G693"/>
    <mergeCell ref="J693:L693"/>
    <mergeCell ref="O693:Q693"/>
    <mergeCell ref="E694:G694"/>
    <mergeCell ref="J694:L694"/>
    <mergeCell ref="O694:Q694"/>
    <mergeCell ref="J690:M690"/>
    <mergeCell ref="O690:R690"/>
    <mergeCell ref="E691:G691"/>
    <mergeCell ref="J691:L691"/>
    <mergeCell ref="O691:Q691"/>
    <mergeCell ref="J692:L692"/>
    <mergeCell ref="O692:Q692"/>
    <mergeCell ref="T693:V693"/>
    <mergeCell ref="Y693:AA693"/>
    <mergeCell ref="AD693:AF693"/>
    <mergeCell ref="T694:V694"/>
    <mergeCell ref="Y694:AA694"/>
    <mergeCell ref="AA700:AB700"/>
    <mergeCell ref="AA701:AB701"/>
    <mergeCell ref="AA702:AB702"/>
    <mergeCell ref="Y697:AB697"/>
    <mergeCell ref="AD697:AG697"/>
    <mergeCell ref="AA698:AB698"/>
    <mergeCell ref="AF698:AG698"/>
    <mergeCell ref="AA699:AB699"/>
    <mergeCell ref="AF699:AG699"/>
    <mergeCell ref="AF700:AG700"/>
    <mergeCell ref="V675:W675"/>
    <mergeCell ref="V676:W676"/>
    <mergeCell ref="E683:AG683"/>
    <mergeCell ref="J684:M684"/>
    <mergeCell ref="T684:W684"/>
    <mergeCell ref="AE687:AF687"/>
    <mergeCell ref="AD689:AG689"/>
    <mergeCell ref="AD694:AF694"/>
    <mergeCell ref="T695:V695"/>
    <mergeCell ref="Y695:AA695"/>
    <mergeCell ref="AD695:AF695"/>
    <mergeCell ref="Q673:R673"/>
    <mergeCell ref="Q674:R674"/>
    <mergeCell ref="AA674:AB674"/>
    <mergeCell ref="Q675:R675"/>
    <mergeCell ref="AA675:AB675"/>
    <mergeCell ref="AA676:AB676"/>
    <mergeCell ref="AC684:AC695"/>
    <mergeCell ref="E695:G695"/>
    <mergeCell ref="J695:L695"/>
    <mergeCell ref="O695:Q695"/>
    <mergeCell ref="E697:H697"/>
    <mergeCell ref="O697:R697"/>
    <mergeCell ref="G698:H698"/>
    <mergeCell ref="Q698:R698"/>
    <mergeCell ref="Q701:R701"/>
    <mergeCell ref="Q702:R702"/>
    <mergeCell ref="Q703:R703"/>
    <mergeCell ref="O704:Q704"/>
    <mergeCell ref="AF701:AG701"/>
    <mergeCell ref="AF702:AG702"/>
    <mergeCell ref="AF703:AG703"/>
    <mergeCell ref="AD704:AF704"/>
    <mergeCell ref="T697:W697"/>
    <mergeCell ref="V698:W698"/>
    <mergeCell ref="Q699:R699"/>
    <mergeCell ref="V699:W699"/>
    <mergeCell ref="Q700:R700"/>
    <mergeCell ref="V700:W700"/>
    <mergeCell ref="V701:W701"/>
    <mergeCell ref="J760:M760"/>
    <mergeCell ref="O760:R760"/>
    <mergeCell ref="E763:H763"/>
    <mergeCell ref="J763:M763"/>
    <mergeCell ref="O763:R763"/>
    <mergeCell ref="T763:W763"/>
    <mergeCell ref="E765:G765"/>
    <mergeCell ref="J765:L765"/>
    <mergeCell ref="O765:Q765"/>
    <mergeCell ref="T765:V765"/>
    <mergeCell ref="E753:G753"/>
    <mergeCell ref="E766:G766"/>
    <mergeCell ref="J766:L766"/>
    <mergeCell ref="O766:Q766"/>
    <mergeCell ref="E771:G771"/>
    <mergeCell ref="G772:H772"/>
    <mergeCell ref="L772:M772"/>
    <mergeCell ref="Q772:R772"/>
    <mergeCell ref="V772:W772"/>
    <mergeCell ref="AA772:AB772"/>
    <mergeCell ref="E767:G767"/>
    <mergeCell ref="J767:L767"/>
    <mergeCell ref="E768:G768"/>
    <mergeCell ref="J768:L768"/>
    <mergeCell ref="E769:G769"/>
    <mergeCell ref="J769:L769"/>
    <mergeCell ref="J771:L771"/>
    <mergeCell ref="G773:H773"/>
    <mergeCell ref="L773:M773"/>
    <mergeCell ref="Q773:R773"/>
    <mergeCell ref="AA773:AB773"/>
    <mergeCell ref="L774:M774"/>
    <mergeCell ref="Q774:R774"/>
    <mergeCell ref="AA774:AB774"/>
    <mergeCell ref="L776:M776"/>
    <mergeCell ref="L777:M777"/>
    <mergeCell ref="G774:H774"/>
    <mergeCell ref="G775:H775"/>
    <mergeCell ref="L775:M775"/>
    <mergeCell ref="Q775:R775"/>
    <mergeCell ref="G776:H776"/>
    <mergeCell ref="Q776:R776"/>
    <mergeCell ref="Q777:R777"/>
    <mergeCell ref="AA777:AB777"/>
    <mergeCell ref="Y778:AA778"/>
    <mergeCell ref="V773:W773"/>
    <mergeCell ref="V774:W774"/>
    <mergeCell ref="V775:W775"/>
    <mergeCell ref="AA775:AB775"/>
    <mergeCell ref="V776:W776"/>
    <mergeCell ref="AA776:AB776"/>
    <mergeCell ref="V777:W777"/>
    <mergeCell ref="E620:G620"/>
    <mergeCell ref="J620:L620"/>
    <mergeCell ref="E622:G622"/>
    <mergeCell ref="J622:L622"/>
    <mergeCell ref="O622:Q622"/>
    <mergeCell ref="L623:M623"/>
    <mergeCell ref="Q623:R623"/>
    <mergeCell ref="G623:H623"/>
    <mergeCell ref="G624:H624"/>
    <mergeCell ref="L624:M624"/>
    <mergeCell ref="Q624:R624"/>
    <mergeCell ref="G625:H625"/>
    <mergeCell ref="Q625:R625"/>
    <mergeCell ref="Q626:R626"/>
    <mergeCell ref="G626:H626"/>
    <mergeCell ref="G627:H627"/>
    <mergeCell ref="L627:M627"/>
    <mergeCell ref="Q627:R627"/>
    <mergeCell ref="G628:H628"/>
    <mergeCell ref="L628:M628"/>
    <mergeCell ref="Q628:R628"/>
    <mergeCell ref="E629:G629"/>
    <mergeCell ref="J629:L629"/>
    <mergeCell ref="O629:Q629"/>
    <mergeCell ref="E633:AG633"/>
    <mergeCell ref="E634:H634"/>
    <mergeCell ref="J634:M634"/>
    <mergeCell ref="O634:R634"/>
    <mergeCell ref="AD636:AG636"/>
    <mergeCell ref="AD637:AG637"/>
    <mergeCell ref="T634:W634"/>
    <mergeCell ref="AD634:AG634"/>
    <mergeCell ref="T635:W635"/>
    <mergeCell ref="Y635:AB635"/>
    <mergeCell ref="AD635:AG635"/>
    <mergeCell ref="T636:W636"/>
    <mergeCell ref="Y636:AB636"/>
    <mergeCell ref="Y641:AA641"/>
    <mergeCell ref="Y642:AA642"/>
    <mergeCell ref="O636:R636"/>
    <mergeCell ref="K637:L637"/>
    <mergeCell ref="P637:Q637"/>
    <mergeCell ref="L625:M625"/>
    <mergeCell ref="L626:M626"/>
    <mergeCell ref="I634:I645"/>
    <mergeCell ref="N634:N645"/>
    <mergeCell ref="S634:S645"/>
    <mergeCell ref="O639:R639"/>
    <mergeCell ref="O642:Q642"/>
    <mergeCell ref="E642:G642"/>
    <mergeCell ref="J642:L642"/>
    <mergeCell ref="J647:M647"/>
    <mergeCell ref="O647:R647"/>
    <mergeCell ref="Y647:AB647"/>
    <mergeCell ref="Q648:R648"/>
    <mergeCell ref="AA648:AB648"/>
    <mergeCell ref="V651:W651"/>
    <mergeCell ref="V652:W652"/>
    <mergeCell ref="V653:W653"/>
    <mergeCell ref="T654:V654"/>
    <mergeCell ref="T647:W647"/>
    <mergeCell ref="V648:W648"/>
    <mergeCell ref="V649:W649"/>
    <mergeCell ref="AA649:AB649"/>
    <mergeCell ref="V650:W650"/>
    <mergeCell ref="AA650:AB650"/>
    <mergeCell ref="AA651:AB651"/>
    <mergeCell ref="T659:W659"/>
    <mergeCell ref="Y659:AB659"/>
    <mergeCell ref="AD660:AG660"/>
    <mergeCell ref="AD661:AG661"/>
    <mergeCell ref="AD662:AG662"/>
    <mergeCell ref="AA652:AB652"/>
    <mergeCell ref="AA653:AB653"/>
    <mergeCell ref="Y654:AA654"/>
    <mergeCell ref="E658:AG658"/>
    <mergeCell ref="E659:H659"/>
    <mergeCell ref="J659:M659"/>
    <mergeCell ref="O659:R659"/>
    <mergeCell ref="AD659:AG659"/>
    <mergeCell ref="E635:H635"/>
    <mergeCell ref="E647:H647"/>
    <mergeCell ref="G648:H648"/>
    <mergeCell ref="G649:H649"/>
    <mergeCell ref="G650:H650"/>
    <mergeCell ref="G651:H651"/>
    <mergeCell ref="G652:H652"/>
    <mergeCell ref="E660:H660"/>
    <mergeCell ref="E661:H661"/>
    <mergeCell ref="E664:H664"/>
    <mergeCell ref="C665:C667"/>
    <mergeCell ref="E665:H665"/>
    <mergeCell ref="E666:G666"/>
    <mergeCell ref="E667:G667"/>
    <mergeCell ref="G676:H676"/>
    <mergeCell ref="G677:H677"/>
    <mergeCell ref="G678:H678"/>
    <mergeCell ref="E679:G679"/>
    <mergeCell ref="E668:G668"/>
    <mergeCell ref="E669:G669"/>
    <mergeCell ref="E670:G670"/>
    <mergeCell ref="E672:H672"/>
    <mergeCell ref="G673:H673"/>
    <mergeCell ref="G674:H674"/>
    <mergeCell ref="G675:H675"/>
    <mergeCell ref="E636:H636"/>
    <mergeCell ref="J636:M636"/>
    <mergeCell ref="E639:H639"/>
    <mergeCell ref="J639:M639"/>
    <mergeCell ref="C635:C637"/>
    <mergeCell ref="C640:C642"/>
    <mergeCell ref="C660:C662"/>
    <mergeCell ref="E640:H640"/>
    <mergeCell ref="J640:M640"/>
    <mergeCell ref="O640:R640"/>
    <mergeCell ref="E641:G641"/>
    <mergeCell ref="J641:L641"/>
    <mergeCell ref="O641:Q641"/>
    <mergeCell ref="L653:M653"/>
    <mergeCell ref="Q653:R653"/>
    <mergeCell ref="O654:Q654"/>
    <mergeCell ref="O655:Q655"/>
    <mergeCell ref="G653:H653"/>
    <mergeCell ref="E654:G654"/>
    <mergeCell ref="J654:L654"/>
    <mergeCell ref="E655:G655"/>
    <mergeCell ref="Q651:R651"/>
    <mergeCell ref="Q652:R652"/>
    <mergeCell ref="J660:M660"/>
    <mergeCell ref="O660:R660"/>
    <mergeCell ref="J661:M661"/>
    <mergeCell ref="O661:R661"/>
    <mergeCell ref="K662:L662"/>
    <mergeCell ref="P662:Q662"/>
    <mergeCell ref="J664:M664"/>
    <mergeCell ref="O664:R664"/>
    <mergeCell ref="J665:M665"/>
    <mergeCell ref="O665:R665"/>
    <mergeCell ref="J666:L666"/>
    <mergeCell ref="O666:Q666"/>
    <mergeCell ref="L652:M652"/>
    <mergeCell ref="N659:N670"/>
    <mergeCell ref="L674:M674"/>
    <mergeCell ref="L675:M675"/>
    <mergeCell ref="L676:M676"/>
    <mergeCell ref="L677:M677"/>
    <mergeCell ref="L678:M678"/>
    <mergeCell ref="J667:L667"/>
    <mergeCell ref="O667:Q667"/>
    <mergeCell ref="J668:L668"/>
    <mergeCell ref="O668:Q668"/>
    <mergeCell ref="J669:L669"/>
    <mergeCell ref="O669:Q669"/>
    <mergeCell ref="L648:M648"/>
    <mergeCell ref="L649:M649"/>
    <mergeCell ref="Q649:R649"/>
    <mergeCell ref="L650:M650"/>
    <mergeCell ref="Q650:R650"/>
    <mergeCell ref="L651:M651"/>
    <mergeCell ref="I659:I670"/>
    <mergeCell ref="J670:L670"/>
    <mergeCell ref="O670:Q670"/>
    <mergeCell ref="J672:M672"/>
    <mergeCell ref="O672:R672"/>
    <mergeCell ref="L673:M673"/>
    <mergeCell ref="V673:W673"/>
    <mergeCell ref="AA673:AB673"/>
    <mergeCell ref="J679:L679"/>
    <mergeCell ref="O679:Q679"/>
    <mergeCell ref="T679:V679"/>
    <mergeCell ref="Y679:AA679"/>
    <mergeCell ref="J680:L680"/>
    <mergeCell ref="T680:V680"/>
    <mergeCell ref="Q676:R676"/>
    <mergeCell ref="Q677:R677"/>
    <mergeCell ref="V677:W677"/>
    <mergeCell ref="AA677:AB677"/>
    <mergeCell ref="Q678:R678"/>
    <mergeCell ref="V678:W678"/>
    <mergeCell ref="AA678:AB678"/>
    <mergeCell ref="O709:R709"/>
    <mergeCell ref="T709:W709"/>
    <mergeCell ref="Y709:AB709"/>
    <mergeCell ref="AD709:AG709"/>
    <mergeCell ref="AD710:AG710"/>
    <mergeCell ref="AD711:AG711"/>
    <mergeCell ref="AD712:AG712"/>
    <mergeCell ref="V702:W702"/>
    <mergeCell ref="V703:W703"/>
    <mergeCell ref="AA703:AB703"/>
    <mergeCell ref="T704:V704"/>
    <mergeCell ref="Y704:AA704"/>
    <mergeCell ref="E708:AG708"/>
    <mergeCell ref="E709:H709"/>
    <mergeCell ref="J697:M697"/>
    <mergeCell ref="L698:M698"/>
    <mergeCell ref="G699:H699"/>
    <mergeCell ref="L699:M699"/>
    <mergeCell ref="G700:H700"/>
    <mergeCell ref="L700:M700"/>
    <mergeCell ref="L701:M701"/>
    <mergeCell ref="J710:M710"/>
    <mergeCell ref="J711:M711"/>
    <mergeCell ref="Y710:AB710"/>
    <mergeCell ref="Y711:AB711"/>
    <mergeCell ref="E711:H711"/>
    <mergeCell ref="E714:H714"/>
    <mergeCell ref="E715:H715"/>
    <mergeCell ref="E716:G716"/>
    <mergeCell ref="E717:G717"/>
    <mergeCell ref="E718:G718"/>
    <mergeCell ref="G701:H701"/>
    <mergeCell ref="G702:H702"/>
    <mergeCell ref="G703:H703"/>
    <mergeCell ref="E704:G704"/>
    <mergeCell ref="E705:G705"/>
    <mergeCell ref="C710:C712"/>
    <mergeCell ref="E710:H710"/>
    <mergeCell ref="J715:M715"/>
    <mergeCell ref="J716:L716"/>
    <mergeCell ref="J717:L717"/>
    <mergeCell ref="J718:L718"/>
    <mergeCell ref="O718:Q718"/>
    <mergeCell ref="T718:V718"/>
    <mergeCell ref="Y718:AA718"/>
    <mergeCell ref="AD718:AG718"/>
    <mergeCell ref="O711:R711"/>
    <mergeCell ref="O714:R714"/>
    <mergeCell ref="S709:S720"/>
    <mergeCell ref="X709:X720"/>
    <mergeCell ref="AC709:AC720"/>
    <mergeCell ref="O710:R710"/>
    <mergeCell ref="T710:W710"/>
    <mergeCell ref="T711:W711"/>
    <mergeCell ref="U712:V712"/>
    <mergeCell ref="T714:W714"/>
    <mergeCell ref="Y714:AB714"/>
    <mergeCell ref="AD714:AG714"/>
    <mergeCell ref="O715:R715"/>
    <mergeCell ref="T715:W715"/>
    <mergeCell ref="AD715:AG715"/>
    <mergeCell ref="Y715:AB715"/>
    <mergeCell ref="O716:Q716"/>
    <mergeCell ref="T716:V716"/>
    <mergeCell ref="Y716:AA716"/>
    <mergeCell ref="AD716:AG716"/>
    <mergeCell ref="O717:Q717"/>
    <mergeCell ref="T717:V717"/>
    <mergeCell ref="AD717:AG717"/>
    <mergeCell ref="Y717:AA717"/>
    <mergeCell ref="O719:Q719"/>
    <mergeCell ref="T719:V719"/>
    <mergeCell ref="Y719:AA719"/>
    <mergeCell ref="AD719:AG719"/>
    <mergeCell ref="O720:Q720"/>
    <mergeCell ref="T720:V720"/>
    <mergeCell ref="AD720:AG720"/>
    <mergeCell ref="Q724:R724"/>
    <mergeCell ref="Q725:R725"/>
    <mergeCell ref="V725:W725"/>
    <mergeCell ref="AA725:AB725"/>
    <mergeCell ref="Y739:AB739"/>
    <mergeCell ref="O740:Q740"/>
    <mergeCell ref="T740:V740"/>
    <mergeCell ref="Y740:AA740"/>
    <mergeCell ref="O744:Q744"/>
    <mergeCell ref="T744:V744"/>
    <mergeCell ref="L728:M728"/>
    <mergeCell ref="N733:N744"/>
    <mergeCell ref="S733:S744"/>
    <mergeCell ref="X733:X744"/>
    <mergeCell ref="AC733:AC744"/>
    <mergeCell ref="T734:W734"/>
    <mergeCell ref="T735:W735"/>
    <mergeCell ref="Y744:AA744"/>
    <mergeCell ref="Y734:AB734"/>
    <mergeCell ref="Y735:AB735"/>
    <mergeCell ref="U736:V736"/>
    <mergeCell ref="O738:R738"/>
    <mergeCell ref="T738:W738"/>
    <mergeCell ref="Y738:AB738"/>
    <mergeCell ref="O739:R739"/>
    <mergeCell ref="T739:W739"/>
    <mergeCell ref="T742:V742"/>
    <mergeCell ref="Y742:AA742"/>
    <mergeCell ref="AD742:AG742"/>
    <mergeCell ref="T743:V743"/>
    <mergeCell ref="Y743:AA743"/>
    <mergeCell ref="AD743:AG743"/>
    <mergeCell ref="AD744:AG744"/>
    <mergeCell ref="T746:W746"/>
    <mergeCell ref="Y746:AB746"/>
    <mergeCell ref="O746:R746"/>
    <mergeCell ref="Q747:R747"/>
    <mergeCell ref="V747:W747"/>
    <mergeCell ref="AA747:AB747"/>
    <mergeCell ref="L748:M748"/>
    <mergeCell ref="Q748:R748"/>
    <mergeCell ref="V748:W748"/>
    <mergeCell ref="AA748:AB748"/>
    <mergeCell ref="J742:L742"/>
    <mergeCell ref="O742:Q742"/>
    <mergeCell ref="J743:L743"/>
    <mergeCell ref="O743:Q743"/>
    <mergeCell ref="J744:L744"/>
    <mergeCell ref="J746:M746"/>
    <mergeCell ref="L747:M747"/>
    <mergeCell ref="L749:M749"/>
    <mergeCell ref="Q749:R749"/>
    <mergeCell ref="V749:W749"/>
    <mergeCell ref="AA749:AB749"/>
    <mergeCell ref="Q750:R750"/>
    <mergeCell ref="V750:W750"/>
    <mergeCell ref="AA750:AB750"/>
    <mergeCell ref="AA751:AB751"/>
    <mergeCell ref="AA752:AB752"/>
    <mergeCell ref="L750:M750"/>
    <mergeCell ref="L751:M751"/>
    <mergeCell ref="Q751:R751"/>
    <mergeCell ref="V751:W751"/>
    <mergeCell ref="L752:M752"/>
    <mergeCell ref="Q752:R752"/>
    <mergeCell ref="V752:W752"/>
    <mergeCell ref="J758:M758"/>
    <mergeCell ref="O758:R758"/>
    <mergeCell ref="E738:H738"/>
    <mergeCell ref="E739:H739"/>
    <mergeCell ref="E742:G742"/>
    <mergeCell ref="E743:G743"/>
    <mergeCell ref="E729:G729"/>
    <mergeCell ref="D733:D744"/>
    <mergeCell ref="E733:H733"/>
    <mergeCell ref="I733:I744"/>
    <mergeCell ref="C734:C736"/>
    <mergeCell ref="E734:H734"/>
    <mergeCell ref="E735:H735"/>
    <mergeCell ref="E744:G744"/>
    <mergeCell ref="E746:H746"/>
    <mergeCell ref="G747:H747"/>
    <mergeCell ref="G748:H748"/>
    <mergeCell ref="G749:H749"/>
    <mergeCell ref="G750:H750"/>
    <mergeCell ref="G751:H751"/>
    <mergeCell ref="C759:C761"/>
    <mergeCell ref="E759:H759"/>
    <mergeCell ref="E760:H760"/>
    <mergeCell ref="J759:M759"/>
    <mergeCell ref="O759:R759"/>
    <mergeCell ref="T759:W759"/>
    <mergeCell ref="Y759:AB759"/>
    <mergeCell ref="T760:W760"/>
    <mergeCell ref="Y760:AB760"/>
    <mergeCell ref="U761:V761"/>
    <mergeCell ref="Z761:AA761"/>
    <mergeCell ref="J753:L753"/>
    <mergeCell ref="O753:Q753"/>
    <mergeCell ref="T753:V753"/>
    <mergeCell ref="Y753:AA753"/>
    <mergeCell ref="J754:L754"/>
    <mergeCell ref="E757:AG757"/>
    <mergeCell ref="E758:H758"/>
    <mergeCell ref="AD758:AG758"/>
    <mergeCell ref="AD765:AG765"/>
    <mergeCell ref="AD766:AG766"/>
    <mergeCell ref="AD767:AG767"/>
    <mergeCell ref="AD768:AG768"/>
    <mergeCell ref="AD769:AG769"/>
    <mergeCell ref="T758:W758"/>
    <mergeCell ref="Y758:AB758"/>
    <mergeCell ref="AD759:AG759"/>
    <mergeCell ref="AD760:AG760"/>
    <mergeCell ref="AD761:AG761"/>
    <mergeCell ref="AD763:AG763"/>
    <mergeCell ref="AD764:AG764"/>
    <mergeCell ref="Y763:AB763"/>
    <mergeCell ref="E764:H764"/>
    <mergeCell ref="J764:M764"/>
    <mergeCell ref="O764:R764"/>
    <mergeCell ref="T764:W764"/>
    <mergeCell ref="Y764:AB764"/>
    <mergeCell ref="Y765:AA765"/>
    <mergeCell ref="Y766:AA766"/>
    <mergeCell ref="T766:V766"/>
    <mergeCell ref="T767:V767"/>
    <mergeCell ref="O767:Q767"/>
    <mergeCell ref="O768:Q768"/>
    <mergeCell ref="O771:Q771"/>
    <mergeCell ref="Y767:AA767"/>
    <mergeCell ref="Y768:AA768"/>
    <mergeCell ref="Y771:AA771"/>
    <mergeCell ref="T768:V768"/>
    <mergeCell ref="T769:V769"/>
    <mergeCell ref="T771:V771"/>
    <mergeCell ref="G752:H752"/>
    <mergeCell ref="I758:I769"/>
    <mergeCell ref="N758:N769"/>
    <mergeCell ref="S758:S769"/>
    <mergeCell ref="X758:X769"/>
    <mergeCell ref="AC758:AC769"/>
    <mergeCell ref="O769:Q769"/>
    <mergeCell ref="Y769:AA769"/>
    <mergeCell ref="T779:V779"/>
    <mergeCell ref="E782:AG782"/>
    <mergeCell ref="Y783:AB783"/>
    <mergeCell ref="AD783:AG783"/>
    <mergeCell ref="E779:G779"/>
    <mergeCell ref="E783:H783"/>
    <mergeCell ref="O779:Q779"/>
    <mergeCell ref="O783:R783"/>
    <mergeCell ref="C784:C786"/>
    <mergeCell ref="E784:H784"/>
    <mergeCell ref="E785:H785"/>
    <mergeCell ref="J784:M784"/>
    <mergeCell ref="O784:R784"/>
    <mergeCell ref="AD784:AG784"/>
    <mergeCell ref="J785:M785"/>
    <mergeCell ref="O785:R785"/>
    <mergeCell ref="AD785:AG785"/>
    <mergeCell ref="AD792:AG792"/>
    <mergeCell ref="AD793:AG793"/>
    <mergeCell ref="AD794:AG794"/>
    <mergeCell ref="T785:W785"/>
    <mergeCell ref="T786:W786"/>
    <mergeCell ref="AD786:AG786"/>
    <mergeCell ref="AD788:AG788"/>
    <mergeCell ref="AD789:AG789"/>
    <mergeCell ref="AD790:AG790"/>
    <mergeCell ref="AD791:AG791"/>
    <mergeCell ref="L801:M801"/>
    <mergeCell ref="L802:M802"/>
    <mergeCell ref="O803:Q803"/>
    <mergeCell ref="E805:R806"/>
    <mergeCell ref="S805:V805"/>
    <mergeCell ref="S806:V806"/>
    <mergeCell ref="E808:AG808"/>
    <mergeCell ref="AD815:AG815"/>
    <mergeCell ref="AD816:AG816"/>
    <mergeCell ref="AD817:AG817"/>
    <mergeCell ref="AD818:AG818"/>
    <mergeCell ref="AD819:AG819"/>
    <mergeCell ref="AD820:AG820"/>
    <mergeCell ref="O809:R809"/>
    <mergeCell ref="T809:W809"/>
    <mergeCell ref="AD809:AG809"/>
    <mergeCell ref="AD810:AG810"/>
    <mergeCell ref="AD811:AG811"/>
    <mergeCell ref="AD812:AG812"/>
    <mergeCell ref="AD814:AG814"/>
    <mergeCell ref="T784:W784"/>
    <mergeCell ref="T788:W788"/>
    <mergeCell ref="Y788:AB788"/>
    <mergeCell ref="T789:W789"/>
    <mergeCell ref="Y789:AB789"/>
    <mergeCell ref="T790:W790"/>
    <mergeCell ref="Y790:AB790"/>
    <mergeCell ref="T791:W791"/>
    <mergeCell ref="Y791:AB791"/>
    <mergeCell ref="T792:W792"/>
    <mergeCell ref="Y792:AB792"/>
    <mergeCell ref="T793:W793"/>
    <mergeCell ref="Y793:AB793"/>
    <mergeCell ref="Y809:AB809"/>
    <mergeCell ref="Y810:AB810"/>
    <mergeCell ref="E811:H811"/>
    <mergeCell ref="E814:H814"/>
    <mergeCell ref="E815:H815"/>
    <mergeCell ref="E816:G816"/>
    <mergeCell ref="E817:G817"/>
    <mergeCell ref="E818:G818"/>
    <mergeCell ref="G800:H800"/>
    <mergeCell ref="G801:H801"/>
    <mergeCell ref="G802:H802"/>
    <mergeCell ref="E803:G803"/>
    <mergeCell ref="D809:D820"/>
    <mergeCell ref="I809:I820"/>
    <mergeCell ref="C810:C812"/>
    <mergeCell ref="E819:G819"/>
    <mergeCell ref="T778:V778"/>
    <mergeCell ref="T783:W783"/>
    <mergeCell ref="X783:X794"/>
    <mergeCell ref="AC783:AC794"/>
    <mergeCell ref="Y784:AB784"/>
    <mergeCell ref="Y785:AB785"/>
    <mergeCell ref="Y786:AB786"/>
    <mergeCell ref="T819:W819"/>
    <mergeCell ref="Y819:AB819"/>
    <mergeCell ref="T820:W820"/>
    <mergeCell ref="Y820:AB820"/>
    <mergeCell ref="T794:W794"/>
    <mergeCell ref="Y794:AB794"/>
    <mergeCell ref="W805:Z805"/>
    <mergeCell ref="W806:Z806"/>
    <mergeCell ref="X809:X820"/>
    <mergeCell ref="AC809:AC820"/>
    <mergeCell ref="T810:W810"/>
    <mergeCell ref="T811:W811"/>
    <mergeCell ref="Y811:AB811"/>
    <mergeCell ref="T812:W812"/>
    <mergeCell ref="Y812:AB812"/>
    <mergeCell ref="T814:W814"/>
    <mergeCell ref="Y814:AB814"/>
    <mergeCell ref="T815:W815"/>
    <mergeCell ref="Y815:AB815"/>
    <mergeCell ref="T816:W816"/>
    <mergeCell ref="Y816:AB816"/>
    <mergeCell ref="T817:W817"/>
    <mergeCell ref="Y817:AB817"/>
    <mergeCell ref="T818:W818"/>
    <mergeCell ref="Y818:AB818"/>
    <mergeCell ref="J818:L818"/>
    <mergeCell ref="J819:L819"/>
    <mergeCell ref="J803:L803"/>
    <mergeCell ref="J809:M809"/>
    <mergeCell ref="N809:N820"/>
    <mergeCell ref="J810:M810"/>
    <mergeCell ref="J811:M811"/>
    <mergeCell ref="J814:M814"/>
    <mergeCell ref="J815:M815"/>
    <mergeCell ref="L824:M824"/>
    <mergeCell ref="L825:M825"/>
    <mergeCell ref="E820:G820"/>
    <mergeCell ref="E822:H822"/>
    <mergeCell ref="J822:M822"/>
    <mergeCell ref="G823:H823"/>
    <mergeCell ref="L823:M823"/>
    <mergeCell ref="G824:H824"/>
    <mergeCell ref="G825:H825"/>
    <mergeCell ref="Y836:AB836"/>
    <mergeCell ref="AD836:AG836"/>
    <mergeCell ref="J829:L829"/>
    <mergeCell ref="J830:L830"/>
    <mergeCell ref="E832:R833"/>
    <mergeCell ref="S832:V832"/>
    <mergeCell ref="W832:Z832"/>
    <mergeCell ref="W833:Z833"/>
    <mergeCell ref="E835:AG835"/>
    <mergeCell ref="D836:D847"/>
    <mergeCell ref="C837:C839"/>
    <mergeCell ref="E846:G846"/>
    <mergeCell ref="E847:G847"/>
    <mergeCell ref="T837:W837"/>
    <mergeCell ref="Y837:AB837"/>
    <mergeCell ref="AD837:AG837"/>
    <mergeCell ref="AD838:AG838"/>
    <mergeCell ref="AD839:AG839"/>
    <mergeCell ref="AD841:AG841"/>
    <mergeCell ref="AD842:AG842"/>
    <mergeCell ref="AD862:AG862"/>
    <mergeCell ref="AD863:AG863"/>
    <mergeCell ref="AD865:AG865"/>
    <mergeCell ref="AD845:AG845"/>
    <mergeCell ref="AD846:AG846"/>
    <mergeCell ref="E859:AG859"/>
    <mergeCell ref="J860:M860"/>
    <mergeCell ref="O860:R860"/>
    <mergeCell ref="AD860:AG860"/>
    <mergeCell ref="AD861:AG861"/>
    <mergeCell ref="Y844:AB844"/>
    <mergeCell ref="O845:Q845"/>
    <mergeCell ref="S833:V833"/>
    <mergeCell ref="O836:R836"/>
    <mergeCell ref="S836:S847"/>
    <mergeCell ref="X836:X847"/>
    <mergeCell ref="AC836:AC847"/>
    <mergeCell ref="Y838:AB838"/>
    <mergeCell ref="Y839:AB839"/>
    <mergeCell ref="Y847:AB847"/>
    <mergeCell ref="O849:R849"/>
    <mergeCell ref="Q850:R850"/>
    <mergeCell ref="Q851:R851"/>
    <mergeCell ref="Q852:R852"/>
    <mergeCell ref="Q853:R853"/>
    <mergeCell ref="Q854:R854"/>
    <mergeCell ref="T860:W860"/>
    <mergeCell ref="T861:W861"/>
    <mergeCell ref="O861:R861"/>
    <mergeCell ref="O862:R862"/>
    <mergeCell ref="Y861:AB861"/>
    <mergeCell ref="Y862:AB862"/>
    <mergeCell ref="T865:W865"/>
    <mergeCell ref="Y865:AB865"/>
    <mergeCell ref="P863:Q863"/>
    <mergeCell ref="O865:R865"/>
    <mergeCell ref="Q855:R855"/>
    <mergeCell ref="O856:Q856"/>
    <mergeCell ref="S860:S871"/>
    <mergeCell ref="X860:X871"/>
    <mergeCell ref="Y860:AB860"/>
    <mergeCell ref="AC860:AC871"/>
    <mergeCell ref="T862:W862"/>
    <mergeCell ref="O866:R866"/>
    <mergeCell ref="T866:W866"/>
    <mergeCell ref="AD866:AG866"/>
    <mergeCell ref="Y866:AB866"/>
    <mergeCell ref="O867:Q867"/>
    <mergeCell ref="T867:V867"/>
    <mergeCell ref="Y867:AA867"/>
    <mergeCell ref="AD867:AG867"/>
    <mergeCell ref="O868:Q868"/>
    <mergeCell ref="T868:V868"/>
    <mergeCell ref="AD868:AG868"/>
    <mergeCell ref="Y868:AA868"/>
    <mergeCell ref="O869:Q869"/>
    <mergeCell ref="T869:V869"/>
    <mergeCell ref="Y869:AA869"/>
    <mergeCell ref="AD869:AG869"/>
    <mergeCell ref="O870:Q870"/>
    <mergeCell ref="T870:V870"/>
    <mergeCell ref="AD870:AG870"/>
    <mergeCell ref="Y870:AA870"/>
    <mergeCell ref="O871:Q871"/>
    <mergeCell ref="T871:V871"/>
    <mergeCell ref="Y871:AA871"/>
    <mergeCell ref="AD871:AG871"/>
    <mergeCell ref="O873:R873"/>
    <mergeCell ref="T873:W873"/>
    <mergeCell ref="Y873:AB873"/>
    <mergeCell ref="V877:W877"/>
    <mergeCell ref="V878:W878"/>
    <mergeCell ref="V879:W879"/>
    <mergeCell ref="T880:V880"/>
    <mergeCell ref="Q875:R875"/>
    <mergeCell ref="Q876:R876"/>
    <mergeCell ref="V876:W876"/>
    <mergeCell ref="AA876:AB876"/>
    <mergeCell ref="Q877:R877"/>
    <mergeCell ref="AA877:AB877"/>
    <mergeCell ref="AA878:AB878"/>
    <mergeCell ref="J866:M866"/>
    <mergeCell ref="J867:L867"/>
    <mergeCell ref="J868:L868"/>
    <mergeCell ref="J869:L869"/>
    <mergeCell ref="L854:M854"/>
    <mergeCell ref="L855:M855"/>
    <mergeCell ref="J856:L856"/>
    <mergeCell ref="N860:N871"/>
    <mergeCell ref="J861:M861"/>
    <mergeCell ref="J862:M862"/>
    <mergeCell ref="J865:M865"/>
    <mergeCell ref="J873:M873"/>
    <mergeCell ref="L874:M874"/>
    <mergeCell ref="Q874:R874"/>
    <mergeCell ref="V874:W874"/>
    <mergeCell ref="AA874:AB874"/>
    <mergeCell ref="V875:W875"/>
    <mergeCell ref="AA875:AB875"/>
    <mergeCell ref="Q878:R878"/>
    <mergeCell ref="Q879:R879"/>
    <mergeCell ref="O880:Q880"/>
    <mergeCell ref="AA879:AB879"/>
    <mergeCell ref="Y880:AA880"/>
    <mergeCell ref="J880:L880"/>
    <mergeCell ref="J881:L881"/>
    <mergeCell ref="J870:L870"/>
    <mergeCell ref="J871:L871"/>
    <mergeCell ref="L875:M875"/>
    <mergeCell ref="L876:M876"/>
    <mergeCell ref="L877:M877"/>
    <mergeCell ref="L878:M878"/>
    <mergeCell ref="L879:M879"/>
    <mergeCell ref="E829:G829"/>
    <mergeCell ref="E836:H836"/>
    <mergeCell ref="E837:H837"/>
    <mergeCell ref="E838:H838"/>
    <mergeCell ref="E841:H841"/>
    <mergeCell ref="E842:H842"/>
    <mergeCell ref="E843:G843"/>
    <mergeCell ref="E844:G844"/>
    <mergeCell ref="E845:G845"/>
    <mergeCell ref="E849:H849"/>
    <mergeCell ref="G850:H850"/>
    <mergeCell ref="G851:H851"/>
    <mergeCell ref="G852:H852"/>
    <mergeCell ref="G853:H853"/>
    <mergeCell ref="E861:H861"/>
    <mergeCell ref="E862:H862"/>
    <mergeCell ref="F863:G863"/>
    <mergeCell ref="E865:H865"/>
    <mergeCell ref="E866:H866"/>
    <mergeCell ref="E867:G867"/>
    <mergeCell ref="G854:H854"/>
    <mergeCell ref="G855:H855"/>
    <mergeCell ref="E856:G856"/>
    <mergeCell ref="D860:D871"/>
    <mergeCell ref="E860:H860"/>
    <mergeCell ref="I860:I871"/>
    <mergeCell ref="C861:C863"/>
    <mergeCell ref="E892:G892"/>
    <mergeCell ref="E893:G893"/>
    <mergeCell ref="E894:G894"/>
    <mergeCell ref="E895:G895"/>
    <mergeCell ref="G878:H878"/>
    <mergeCell ref="G879:H879"/>
    <mergeCell ref="E880:G880"/>
    <mergeCell ref="D885:D896"/>
    <mergeCell ref="E885:H885"/>
    <mergeCell ref="I885:I896"/>
    <mergeCell ref="C886:C888"/>
    <mergeCell ref="E896:G896"/>
    <mergeCell ref="E898:H898"/>
    <mergeCell ref="G899:H899"/>
    <mergeCell ref="G900:H900"/>
    <mergeCell ref="G901:H901"/>
    <mergeCell ref="G902:H902"/>
    <mergeCell ref="G903:H903"/>
    <mergeCell ref="E912:H912"/>
    <mergeCell ref="E915:H915"/>
    <mergeCell ref="E916:H916"/>
    <mergeCell ref="E917:G917"/>
    <mergeCell ref="G904:H904"/>
    <mergeCell ref="E905:G905"/>
    <mergeCell ref="D910:D921"/>
    <mergeCell ref="E910:H910"/>
    <mergeCell ref="I910:I921"/>
    <mergeCell ref="C911:C913"/>
    <mergeCell ref="E911:H911"/>
    <mergeCell ref="G928:H928"/>
    <mergeCell ref="G929:H929"/>
    <mergeCell ref="E930:G930"/>
    <mergeCell ref="G927:H927"/>
    <mergeCell ref="E935:H935"/>
    <mergeCell ref="E920:G920"/>
    <mergeCell ref="E921:G921"/>
    <mergeCell ref="E923:H923"/>
    <mergeCell ref="G924:H924"/>
    <mergeCell ref="G925:H925"/>
    <mergeCell ref="G926:H926"/>
    <mergeCell ref="I935:I946"/>
    <mergeCell ref="E965:H965"/>
    <mergeCell ref="E966:G966"/>
    <mergeCell ref="E967:G967"/>
    <mergeCell ref="E968:G968"/>
    <mergeCell ref="E969:G969"/>
    <mergeCell ref="E970:G970"/>
    <mergeCell ref="E972:G972"/>
    <mergeCell ref="G973:H973"/>
    <mergeCell ref="G974:H974"/>
    <mergeCell ref="G975:H975"/>
    <mergeCell ref="G954:H954"/>
    <mergeCell ref="E955:G955"/>
    <mergeCell ref="E959:H959"/>
    <mergeCell ref="I959:I970"/>
    <mergeCell ref="E960:H960"/>
    <mergeCell ref="E961:H961"/>
    <mergeCell ref="E964:H964"/>
    <mergeCell ref="E918:G918"/>
    <mergeCell ref="E919:G919"/>
    <mergeCell ref="D935:D946"/>
    <mergeCell ref="C936:C938"/>
    <mergeCell ref="C960:C962"/>
    <mergeCell ref="E936:H936"/>
    <mergeCell ref="E937:H937"/>
    <mergeCell ref="E940:H940"/>
    <mergeCell ref="E941:H941"/>
    <mergeCell ref="E942:G942"/>
    <mergeCell ref="E943:G943"/>
    <mergeCell ref="E944:G944"/>
    <mergeCell ref="E945:G945"/>
    <mergeCell ref="E946:G946"/>
    <mergeCell ref="E948:H948"/>
    <mergeCell ref="G949:H949"/>
    <mergeCell ref="G950:H950"/>
    <mergeCell ref="G951:H951"/>
    <mergeCell ref="G952:H952"/>
    <mergeCell ref="G953:H953"/>
    <mergeCell ref="J778:L778"/>
    <mergeCell ref="J783:M783"/>
    <mergeCell ref="F786:G786"/>
    <mergeCell ref="E788:H788"/>
    <mergeCell ref="J788:M788"/>
    <mergeCell ref="O788:R788"/>
    <mergeCell ref="E789:H789"/>
    <mergeCell ref="J789:M789"/>
    <mergeCell ref="E791:G791"/>
    <mergeCell ref="J791:L791"/>
    <mergeCell ref="O791:Q791"/>
    <mergeCell ref="E792:G792"/>
    <mergeCell ref="J792:L792"/>
    <mergeCell ref="O792:Q792"/>
    <mergeCell ref="E793:G793"/>
    <mergeCell ref="J793:L793"/>
    <mergeCell ref="O789:R789"/>
    <mergeCell ref="E790:G790"/>
    <mergeCell ref="J790:L790"/>
    <mergeCell ref="O790:Q790"/>
    <mergeCell ref="G777:H777"/>
    <mergeCell ref="E778:G778"/>
    <mergeCell ref="O778:Q778"/>
    <mergeCell ref="D783:D794"/>
    <mergeCell ref="I783:I794"/>
    <mergeCell ref="N783:N794"/>
    <mergeCell ref="S783:S794"/>
    <mergeCell ref="Q797:R797"/>
    <mergeCell ref="Q798:R798"/>
    <mergeCell ref="Q799:R799"/>
    <mergeCell ref="Q800:R800"/>
    <mergeCell ref="Q801:R801"/>
    <mergeCell ref="Q802:R802"/>
    <mergeCell ref="S809:S820"/>
    <mergeCell ref="O793:Q793"/>
    <mergeCell ref="E794:G794"/>
    <mergeCell ref="J794:L794"/>
    <mergeCell ref="O794:Q794"/>
    <mergeCell ref="E796:H796"/>
    <mergeCell ref="O796:R796"/>
    <mergeCell ref="G797:H797"/>
    <mergeCell ref="J796:M796"/>
    <mergeCell ref="L797:M797"/>
    <mergeCell ref="G798:H798"/>
    <mergeCell ref="L798:M798"/>
    <mergeCell ref="G799:H799"/>
    <mergeCell ref="L799:M799"/>
    <mergeCell ref="L800:M800"/>
    <mergeCell ref="E809:H809"/>
    <mergeCell ref="E810:H810"/>
    <mergeCell ref="O810:R810"/>
    <mergeCell ref="O811:R811"/>
    <mergeCell ref="O812:R812"/>
    <mergeCell ref="O814:R814"/>
    <mergeCell ref="O815:R815"/>
    <mergeCell ref="O816:R816"/>
    <mergeCell ref="J816:L816"/>
    <mergeCell ref="J817:L817"/>
    <mergeCell ref="O817:R817"/>
    <mergeCell ref="O818:R818"/>
    <mergeCell ref="O819:R819"/>
    <mergeCell ref="J820:L820"/>
    <mergeCell ref="O820:R820"/>
    <mergeCell ref="O838:R838"/>
    <mergeCell ref="T838:W838"/>
    <mergeCell ref="T836:W836"/>
    <mergeCell ref="T839:W839"/>
    <mergeCell ref="O837:R837"/>
    <mergeCell ref="O841:R841"/>
    <mergeCell ref="T841:W841"/>
    <mergeCell ref="Y841:AB841"/>
    <mergeCell ref="O842:R842"/>
    <mergeCell ref="T842:W842"/>
    <mergeCell ref="Y842:AB842"/>
    <mergeCell ref="O843:Q843"/>
    <mergeCell ref="T843:W843"/>
    <mergeCell ref="Y843:AB843"/>
    <mergeCell ref="O844:Q844"/>
    <mergeCell ref="T844:W844"/>
    <mergeCell ref="T846:W846"/>
    <mergeCell ref="T847:W847"/>
    <mergeCell ref="AD843:AG843"/>
    <mergeCell ref="AD844:AG844"/>
    <mergeCell ref="T845:W845"/>
    <mergeCell ref="Y845:AB845"/>
    <mergeCell ref="O846:Q846"/>
    <mergeCell ref="Y846:AB846"/>
    <mergeCell ref="O847:Q847"/>
    <mergeCell ref="AD847:AG847"/>
    <mergeCell ref="L828:M828"/>
    <mergeCell ref="J836:M836"/>
    <mergeCell ref="J837:M837"/>
    <mergeCell ref="J838:M838"/>
    <mergeCell ref="K839:L839"/>
    <mergeCell ref="J841:M841"/>
    <mergeCell ref="J842:M842"/>
    <mergeCell ref="J843:L843"/>
    <mergeCell ref="J844:L844"/>
    <mergeCell ref="J845:L845"/>
    <mergeCell ref="G826:H826"/>
    <mergeCell ref="L826:M826"/>
    <mergeCell ref="G827:H827"/>
    <mergeCell ref="L827:M827"/>
    <mergeCell ref="G828:H828"/>
    <mergeCell ref="I836:I847"/>
    <mergeCell ref="N836:N847"/>
    <mergeCell ref="J846:L846"/>
    <mergeCell ref="J847:L847"/>
    <mergeCell ref="J849:M849"/>
    <mergeCell ref="L850:M850"/>
    <mergeCell ref="L851:M851"/>
    <mergeCell ref="L852:M852"/>
    <mergeCell ref="L853:M853"/>
    <mergeCell ref="Y890:AB890"/>
    <mergeCell ref="Y891:AB891"/>
    <mergeCell ref="T891:W891"/>
    <mergeCell ref="T892:V892"/>
    <mergeCell ref="O892:Q892"/>
    <mergeCell ref="O893:Q893"/>
    <mergeCell ref="Y892:AA892"/>
    <mergeCell ref="Y893:AA893"/>
    <mergeCell ref="T893:V893"/>
    <mergeCell ref="T894:V894"/>
    <mergeCell ref="O894:Q894"/>
    <mergeCell ref="O895:Q895"/>
    <mergeCell ref="Y894:AA894"/>
    <mergeCell ref="Y895:AA895"/>
    <mergeCell ref="O890:R890"/>
    <mergeCell ref="O896:Q896"/>
    <mergeCell ref="T890:W890"/>
    <mergeCell ref="AD890:AG890"/>
    <mergeCell ref="AD891:AG891"/>
    <mergeCell ref="AD892:AG892"/>
    <mergeCell ref="AD893:AG893"/>
    <mergeCell ref="AD894:AG894"/>
    <mergeCell ref="AD895:AG895"/>
    <mergeCell ref="T935:W935"/>
    <mergeCell ref="T936:W936"/>
    <mergeCell ref="Y936:AB936"/>
    <mergeCell ref="AD936:AG936"/>
    <mergeCell ref="Y937:AB937"/>
    <mergeCell ref="AD937:AG937"/>
    <mergeCell ref="AD938:AG938"/>
    <mergeCell ref="T937:W937"/>
    <mergeCell ref="T940:W940"/>
    <mergeCell ref="Y940:AB940"/>
    <mergeCell ref="AD940:AG940"/>
    <mergeCell ref="T941:W941"/>
    <mergeCell ref="AD941:AG941"/>
    <mergeCell ref="T942:V942"/>
    <mergeCell ref="AD942:AG942"/>
    <mergeCell ref="T917:V917"/>
    <mergeCell ref="T918:V918"/>
    <mergeCell ref="J919:L919"/>
    <mergeCell ref="O919:Q919"/>
    <mergeCell ref="T919:V919"/>
    <mergeCell ref="O920:Q920"/>
    <mergeCell ref="T920:V920"/>
    <mergeCell ref="V924:W924"/>
    <mergeCell ref="V925:W925"/>
    <mergeCell ref="V926:W926"/>
    <mergeCell ref="V927:W927"/>
    <mergeCell ref="V928:W928"/>
    <mergeCell ref="V929:W929"/>
    <mergeCell ref="J920:L920"/>
    <mergeCell ref="J921:L921"/>
    <mergeCell ref="O921:Q921"/>
    <mergeCell ref="T921:V921"/>
    <mergeCell ref="J923:M923"/>
    <mergeCell ref="T923:W923"/>
    <mergeCell ref="L924:M924"/>
    <mergeCell ref="L927:M927"/>
    <mergeCell ref="L928:M928"/>
    <mergeCell ref="L929:M929"/>
    <mergeCell ref="J930:L930"/>
    <mergeCell ref="J931:L931"/>
    <mergeCell ref="J935:M935"/>
    <mergeCell ref="O923:R923"/>
    <mergeCell ref="Q924:R924"/>
    <mergeCell ref="L925:M925"/>
    <mergeCell ref="Q925:R925"/>
    <mergeCell ref="L926:M926"/>
    <mergeCell ref="Q926:R926"/>
    <mergeCell ref="Q927:R927"/>
    <mergeCell ref="Q928:R928"/>
    <mergeCell ref="Q929:R929"/>
    <mergeCell ref="O930:Q930"/>
    <mergeCell ref="T930:V930"/>
    <mergeCell ref="E934:AG934"/>
    <mergeCell ref="Y935:AB935"/>
    <mergeCell ref="AD935:AG935"/>
    <mergeCell ref="Y941:AB941"/>
    <mergeCell ref="Y942:AA942"/>
    <mergeCell ref="O964:R964"/>
    <mergeCell ref="O965:R965"/>
    <mergeCell ref="O966:Q966"/>
    <mergeCell ref="O967:Q967"/>
    <mergeCell ref="O968:Q968"/>
    <mergeCell ref="O969:Q969"/>
    <mergeCell ref="Q951:R951"/>
    <mergeCell ref="Q952:R952"/>
    <mergeCell ref="Q953:R953"/>
    <mergeCell ref="Q954:R954"/>
    <mergeCell ref="O955:Q955"/>
    <mergeCell ref="N959:N970"/>
    <mergeCell ref="S959:S970"/>
    <mergeCell ref="O970:Q970"/>
    <mergeCell ref="O911:R911"/>
    <mergeCell ref="O912:R912"/>
    <mergeCell ref="J915:M915"/>
    <mergeCell ref="O915:R915"/>
    <mergeCell ref="J916:M916"/>
    <mergeCell ref="O916:R916"/>
    <mergeCell ref="O917:Q917"/>
    <mergeCell ref="O918:Q918"/>
    <mergeCell ref="J917:L917"/>
    <mergeCell ref="J918:L918"/>
    <mergeCell ref="N935:N946"/>
    <mergeCell ref="O935:R935"/>
    <mergeCell ref="S935:S946"/>
    <mergeCell ref="J936:M936"/>
    <mergeCell ref="J937:M937"/>
    <mergeCell ref="J946:L946"/>
    <mergeCell ref="O946:Q946"/>
    <mergeCell ref="J948:M948"/>
    <mergeCell ref="O948:R948"/>
    <mergeCell ref="L949:M949"/>
    <mergeCell ref="Q949:R949"/>
    <mergeCell ref="Q950:R950"/>
    <mergeCell ref="O959:R959"/>
    <mergeCell ref="O960:R960"/>
    <mergeCell ref="O961:R961"/>
    <mergeCell ref="P962:Q962"/>
    <mergeCell ref="L950:M950"/>
    <mergeCell ref="L951:M951"/>
    <mergeCell ref="L952:M952"/>
    <mergeCell ref="L953:M953"/>
    <mergeCell ref="L954:M954"/>
    <mergeCell ref="J955:L955"/>
    <mergeCell ref="J960:M960"/>
    <mergeCell ref="J961:M961"/>
    <mergeCell ref="J964:M964"/>
    <mergeCell ref="J965:M965"/>
    <mergeCell ref="J966:L966"/>
    <mergeCell ref="J967:L967"/>
    <mergeCell ref="J968:L968"/>
    <mergeCell ref="J969:L969"/>
    <mergeCell ref="O936:R936"/>
    <mergeCell ref="O937:R937"/>
    <mergeCell ref="J940:M940"/>
    <mergeCell ref="O940:R940"/>
    <mergeCell ref="J941:M941"/>
    <mergeCell ref="O941:R941"/>
    <mergeCell ref="J942:L942"/>
    <mergeCell ref="O942:Q942"/>
    <mergeCell ref="J943:L943"/>
    <mergeCell ref="O943:Q943"/>
    <mergeCell ref="J944:L944"/>
    <mergeCell ref="O944:Q944"/>
    <mergeCell ref="J945:L945"/>
    <mergeCell ref="O945:Q945"/>
    <mergeCell ref="E958:AG958"/>
    <mergeCell ref="J959:M959"/>
    <mergeCell ref="T959:W959"/>
    <mergeCell ref="Y921:AA921"/>
    <mergeCell ref="Y923:AB923"/>
    <mergeCell ref="AA924:AB924"/>
    <mergeCell ref="AA925:AB925"/>
    <mergeCell ref="AA926:AB926"/>
    <mergeCell ref="AA927:AB927"/>
    <mergeCell ref="AA928:AB928"/>
    <mergeCell ref="Y943:AA943"/>
    <mergeCell ref="Y944:AA944"/>
    <mergeCell ref="AD944:AG944"/>
    <mergeCell ref="AD945:AG945"/>
    <mergeCell ref="AD959:AG959"/>
    <mergeCell ref="AD960:AG960"/>
    <mergeCell ref="AD961:AG961"/>
    <mergeCell ref="AD962:AG962"/>
    <mergeCell ref="AD964:AG964"/>
    <mergeCell ref="AA929:AB929"/>
    <mergeCell ref="Y930:AA930"/>
    <mergeCell ref="X935:X946"/>
    <mergeCell ref="AC935:AC946"/>
    <mergeCell ref="T943:V943"/>
    <mergeCell ref="AD943:AG943"/>
    <mergeCell ref="T946:V946"/>
    <mergeCell ref="AD946:AG946"/>
    <mergeCell ref="V953:W953"/>
    <mergeCell ref="V954:W954"/>
    <mergeCell ref="T955:V955"/>
    <mergeCell ref="T960:W960"/>
    <mergeCell ref="T961:W961"/>
    <mergeCell ref="U962:V962"/>
    <mergeCell ref="T964:W964"/>
    <mergeCell ref="T944:V944"/>
    <mergeCell ref="T945:V945"/>
    <mergeCell ref="T948:W948"/>
    <mergeCell ref="V949:W949"/>
    <mergeCell ref="V950:W950"/>
    <mergeCell ref="V951:W951"/>
    <mergeCell ref="V952:W952"/>
    <mergeCell ref="Y945:AA945"/>
    <mergeCell ref="Y946:AA946"/>
    <mergeCell ref="Y948:AB948"/>
    <mergeCell ref="AA949:AB949"/>
    <mergeCell ref="AA950:AB950"/>
    <mergeCell ref="AA951:AB951"/>
    <mergeCell ref="AA952:AB952"/>
    <mergeCell ref="T989:W989"/>
    <mergeCell ref="T990:V990"/>
    <mergeCell ref="O984:R984"/>
    <mergeCell ref="O985:R985"/>
    <mergeCell ref="O988:R988"/>
    <mergeCell ref="Y988:AB988"/>
    <mergeCell ref="O989:R989"/>
    <mergeCell ref="Y989:AB989"/>
    <mergeCell ref="O990:Q990"/>
    <mergeCell ref="Y990:AA990"/>
    <mergeCell ref="Q974:R974"/>
    <mergeCell ref="Q975:R975"/>
    <mergeCell ref="Q977:R977"/>
    <mergeCell ref="Q978:R978"/>
    <mergeCell ref="O979:Q979"/>
    <mergeCell ref="L975:M975"/>
    <mergeCell ref="L976:M976"/>
    <mergeCell ref="L977:M977"/>
    <mergeCell ref="L978:M978"/>
    <mergeCell ref="J979:L979"/>
    <mergeCell ref="J970:L970"/>
    <mergeCell ref="J972:L972"/>
    <mergeCell ref="O972:Q972"/>
    <mergeCell ref="L973:M973"/>
    <mergeCell ref="Q973:R973"/>
    <mergeCell ref="L974:M974"/>
    <mergeCell ref="Q976:R976"/>
    <mergeCell ref="G976:H976"/>
    <mergeCell ref="G977:H977"/>
    <mergeCell ref="G978:H978"/>
    <mergeCell ref="E979:G979"/>
    <mergeCell ref="E982:AG982"/>
    <mergeCell ref="E983:H983"/>
    <mergeCell ref="J983:M983"/>
    <mergeCell ref="J985:M985"/>
    <mergeCell ref="K986:L986"/>
    <mergeCell ref="E988:H988"/>
    <mergeCell ref="J988:M988"/>
    <mergeCell ref="E989:H989"/>
    <mergeCell ref="J989:M989"/>
    <mergeCell ref="E990:G990"/>
    <mergeCell ref="J990:L990"/>
    <mergeCell ref="O983:R983"/>
    <mergeCell ref="T983:W983"/>
    <mergeCell ref="C984:C986"/>
    <mergeCell ref="E984:H984"/>
    <mergeCell ref="J984:M984"/>
    <mergeCell ref="E985:H985"/>
    <mergeCell ref="F986:G986"/>
    <mergeCell ref="AD988:AG988"/>
    <mergeCell ref="AD989:AG989"/>
    <mergeCell ref="AD990:AG990"/>
    <mergeCell ref="O887:R887"/>
    <mergeCell ref="O891:R891"/>
    <mergeCell ref="T896:V896"/>
    <mergeCell ref="Y896:AA896"/>
    <mergeCell ref="N885:N896"/>
    <mergeCell ref="S885:S896"/>
    <mergeCell ref="X885:X896"/>
    <mergeCell ref="AC885:AC896"/>
    <mergeCell ref="T886:W886"/>
    <mergeCell ref="T887:W887"/>
    <mergeCell ref="T895:V895"/>
    <mergeCell ref="E868:G868"/>
    <mergeCell ref="E869:G869"/>
    <mergeCell ref="E870:G870"/>
    <mergeCell ref="E871:G871"/>
    <mergeCell ref="E873:H873"/>
    <mergeCell ref="G874:H874"/>
    <mergeCell ref="G875:H875"/>
    <mergeCell ref="G876:H876"/>
    <mergeCell ref="G877:H877"/>
    <mergeCell ref="O885:R885"/>
    <mergeCell ref="O886:R886"/>
    <mergeCell ref="E884:AG884"/>
    <mergeCell ref="J885:M885"/>
    <mergeCell ref="T885:W885"/>
    <mergeCell ref="Y885:AB885"/>
    <mergeCell ref="AD885:AG885"/>
    <mergeCell ref="J886:M886"/>
    <mergeCell ref="AD886:AG886"/>
    <mergeCell ref="E886:H886"/>
    <mergeCell ref="E887:H887"/>
    <mergeCell ref="J887:M887"/>
    <mergeCell ref="E890:H890"/>
    <mergeCell ref="J890:M890"/>
    <mergeCell ref="E891:H891"/>
    <mergeCell ref="J891:M891"/>
    <mergeCell ref="Q900:R900"/>
    <mergeCell ref="Q901:R901"/>
    <mergeCell ref="E909:AG909"/>
    <mergeCell ref="J910:M910"/>
    <mergeCell ref="Y910:AB910"/>
    <mergeCell ref="J892:L892"/>
    <mergeCell ref="J893:L893"/>
    <mergeCell ref="J894:L894"/>
    <mergeCell ref="J895:L895"/>
    <mergeCell ref="J896:L896"/>
    <mergeCell ref="O898:R898"/>
    <mergeCell ref="T898:W898"/>
    <mergeCell ref="J898:M898"/>
    <mergeCell ref="L899:M899"/>
    <mergeCell ref="Q899:R899"/>
    <mergeCell ref="V899:W899"/>
    <mergeCell ref="L900:M900"/>
    <mergeCell ref="V900:W900"/>
    <mergeCell ref="V901:W901"/>
    <mergeCell ref="L904:M904"/>
    <mergeCell ref="J905:L905"/>
    <mergeCell ref="O905:Q905"/>
    <mergeCell ref="T905:V905"/>
    <mergeCell ref="T910:W910"/>
    <mergeCell ref="J911:M911"/>
    <mergeCell ref="J912:M912"/>
    <mergeCell ref="T912:W912"/>
    <mergeCell ref="L901:M901"/>
    <mergeCell ref="L902:M902"/>
    <mergeCell ref="Q902:R902"/>
    <mergeCell ref="V902:W902"/>
    <mergeCell ref="L903:M903"/>
    <mergeCell ref="V903:W903"/>
    <mergeCell ref="V904:W904"/>
    <mergeCell ref="T915:W915"/>
    <mergeCell ref="T916:W916"/>
    <mergeCell ref="Q903:R903"/>
    <mergeCell ref="Q904:R904"/>
    <mergeCell ref="N910:N921"/>
    <mergeCell ref="O910:R910"/>
    <mergeCell ref="S910:S921"/>
    <mergeCell ref="X910:X921"/>
    <mergeCell ref="T911:W911"/>
    <mergeCell ref="Y906:AA906"/>
    <mergeCell ref="AD910:AG910"/>
    <mergeCell ref="AD911:AG911"/>
    <mergeCell ref="AD912:AG912"/>
    <mergeCell ref="AD915:AG915"/>
    <mergeCell ref="AD916:AG916"/>
    <mergeCell ref="AD917:AF917"/>
    <mergeCell ref="AA900:AB900"/>
    <mergeCell ref="AA901:AB901"/>
    <mergeCell ref="AA902:AB902"/>
    <mergeCell ref="AA903:AB903"/>
    <mergeCell ref="AA904:AB904"/>
    <mergeCell ref="Y905:AA905"/>
    <mergeCell ref="AC910:AC921"/>
    <mergeCell ref="Y886:AB886"/>
    <mergeCell ref="Y887:AB887"/>
    <mergeCell ref="AD887:AG887"/>
    <mergeCell ref="AD888:AG888"/>
    <mergeCell ref="AD896:AG896"/>
    <mergeCell ref="Y898:AB898"/>
    <mergeCell ref="AA899:AB899"/>
    <mergeCell ref="Y911:AB911"/>
    <mergeCell ref="Y912:AB912"/>
    <mergeCell ref="Y915:AB915"/>
    <mergeCell ref="Y916:AB916"/>
    <mergeCell ref="Y917:AA917"/>
    <mergeCell ref="Y918:AA918"/>
    <mergeCell ref="Y919:AA919"/>
    <mergeCell ref="Y920:AA920"/>
    <mergeCell ref="AF926:AG926"/>
    <mergeCell ref="AF927:AG927"/>
    <mergeCell ref="AF928:AG928"/>
    <mergeCell ref="AF929:AG929"/>
    <mergeCell ref="AD930:AF930"/>
    <mergeCell ref="AD918:AF918"/>
    <mergeCell ref="AD919:AG919"/>
    <mergeCell ref="AD920:AG920"/>
    <mergeCell ref="AD921:AG921"/>
    <mergeCell ref="AD923:AG923"/>
    <mergeCell ref="AF924:AG924"/>
    <mergeCell ref="AF925:AG925"/>
    <mergeCell ref="Y961:AB961"/>
    <mergeCell ref="Y964:AB964"/>
    <mergeCell ref="T965:W965"/>
    <mergeCell ref="Y965:AB965"/>
    <mergeCell ref="AD965:AG965"/>
    <mergeCell ref="Y966:AA966"/>
    <mergeCell ref="AD966:AG966"/>
    <mergeCell ref="AD967:AG967"/>
    <mergeCell ref="Y967:AA967"/>
    <mergeCell ref="Y968:AA968"/>
    <mergeCell ref="AD968:AG968"/>
    <mergeCell ref="AD969:AG969"/>
    <mergeCell ref="AD970:AG970"/>
    <mergeCell ref="AA953:AB953"/>
    <mergeCell ref="AA954:AB954"/>
    <mergeCell ref="Y955:AA955"/>
    <mergeCell ref="X959:X970"/>
    <mergeCell ref="Y959:AB959"/>
    <mergeCell ref="AC959:AC970"/>
    <mergeCell ref="Y960:AB960"/>
    <mergeCell ref="T966:V966"/>
    <mergeCell ref="T967:V967"/>
    <mergeCell ref="T968:V968"/>
    <mergeCell ref="T969:V969"/>
    <mergeCell ref="T970:V970"/>
    <mergeCell ref="T972:V972"/>
    <mergeCell ref="V973:W973"/>
    <mergeCell ref="Y969:AA969"/>
    <mergeCell ref="Y970:AA970"/>
    <mergeCell ref="Y972:AA972"/>
    <mergeCell ref="AA973:AB973"/>
    <mergeCell ref="AA974:AB974"/>
    <mergeCell ref="AA975:AB975"/>
    <mergeCell ref="AA976:AB976"/>
    <mergeCell ref="AD983:AG983"/>
    <mergeCell ref="AD984:AG984"/>
    <mergeCell ref="AD985:AG985"/>
    <mergeCell ref="AD986:AG986"/>
    <mergeCell ref="AD991:AG991"/>
    <mergeCell ref="AD992:AG992"/>
    <mergeCell ref="AD993:AG993"/>
    <mergeCell ref="AD994:AG994"/>
    <mergeCell ref="Y992:AA992"/>
    <mergeCell ref="Y993:AA993"/>
    <mergeCell ref="O996:R996"/>
    <mergeCell ref="Q997:R997"/>
    <mergeCell ref="Q998:R998"/>
    <mergeCell ref="Q999:R999"/>
    <mergeCell ref="Q1000:R1000"/>
    <mergeCell ref="Q1001:R1001"/>
    <mergeCell ref="Q1002:R1002"/>
    <mergeCell ref="O1003:Q1003"/>
    <mergeCell ref="J996:M996"/>
    <mergeCell ref="L997:M997"/>
    <mergeCell ref="L998:M998"/>
    <mergeCell ref="L999:M999"/>
    <mergeCell ref="L1000:M1000"/>
    <mergeCell ref="L1001:M1001"/>
    <mergeCell ref="L1002:M1002"/>
    <mergeCell ref="Y1013:AB1013"/>
    <mergeCell ref="O1014:Q1014"/>
    <mergeCell ref="T1014:V1014"/>
    <mergeCell ref="Y1014:AA1014"/>
    <mergeCell ref="O1015:Q1015"/>
    <mergeCell ref="T1015:V1015"/>
    <mergeCell ref="Y1015:AA1015"/>
    <mergeCell ref="O1016:Q1016"/>
    <mergeCell ref="T1016:V1016"/>
    <mergeCell ref="Y1016:AA1016"/>
    <mergeCell ref="O1017:Q1017"/>
    <mergeCell ref="T1017:V1017"/>
    <mergeCell ref="N1007:N1018"/>
    <mergeCell ref="S1007:S1018"/>
    <mergeCell ref="X1007:X1018"/>
    <mergeCell ref="AC1007:AC1018"/>
    <mergeCell ref="Y1008:AB1008"/>
    <mergeCell ref="Y1009:AB1009"/>
    <mergeCell ref="Y1012:AB1012"/>
    <mergeCell ref="AA1023:AB1023"/>
    <mergeCell ref="AA1024:AB1024"/>
    <mergeCell ref="AA1025:AB1025"/>
    <mergeCell ref="AA1026:AB1026"/>
    <mergeCell ref="Y1027:AA1027"/>
    <mergeCell ref="Y1031:AB1031"/>
    <mergeCell ref="Y1032:AB1032"/>
    <mergeCell ref="Y1017:AA1017"/>
    <mergeCell ref="O1018:Q1018"/>
    <mergeCell ref="T1018:V1018"/>
    <mergeCell ref="Y1018:AA1018"/>
    <mergeCell ref="Y1020:AB1020"/>
    <mergeCell ref="AA1021:AB1021"/>
    <mergeCell ref="AA1022:AB1022"/>
    <mergeCell ref="J1031:M1031"/>
    <mergeCell ref="O1031:R1031"/>
    <mergeCell ref="T1031:W1031"/>
    <mergeCell ref="J1032:M1032"/>
    <mergeCell ref="O1032:R1032"/>
    <mergeCell ref="J1033:M1033"/>
    <mergeCell ref="O1033:R1033"/>
    <mergeCell ref="Y1037:AB1037"/>
    <mergeCell ref="Y1038:AA1038"/>
    <mergeCell ref="T1032:W1032"/>
    <mergeCell ref="T1033:W1033"/>
    <mergeCell ref="Y1033:AB1033"/>
    <mergeCell ref="Z1034:AA1034"/>
    <mergeCell ref="Y1036:AB1036"/>
    <mergeCell ref="T1037:W1037"/>
    <mergeCell ref="T1038:V1038"/>
    <mergeCell ref="T1039:V1039"/>
    <mergeCell ref="Y1039:AA1039"/>
    <mergeCell ref="T1040:V1040"/>
    <mergeCell ref="Y1040:AA1040"/>
    <mergeCell ref="T1041:V1041"/>
    <mergeCell ref="Y1041:AA1041"/>
    <mergeCell ref="Y1042:AA1042"/>
    <mergeCell ref="AA1046:AB1046"/>
    <mergeCell ref="AA1047:AB1047"/>
    <mergeCell ref="V1048:W1048"/>
    <mergeCell ref="AA1048:AB1048"/>
    <mergeCell ref="V1049:W1049"/>
    <mergeCell ref="AA1049:AB1049"/>
    <mergeCell ref="V1050:W1050"/>
    <mergeCell ref="AA1050:AB1050"/>
    <mergeCell ref="T1051:V1051"/>
    <mergeCell ref="Y1051:AA1051"/>
    <mergeCell ref="T1042:V1042"/>
    <mergeCell ref="T1044:W1044"/>
    <mergeCell ref="Y1044:AB1044"/>
    <mergeCell ref="V1045:W1045"/>
    <mergeCell ref="AA1045:AB1045"/>
    <mergeCell ref="V1046:W1046"/>
    <mergeCell ref="V1047:W1047"/>
    <mergeCell ref="O1008:R1008"/>
    <mergeCell ref="T1008:W1008"/>
    <mergeCell ref="O1009:R1009"/>
    <mergeCell ref="T1009:W1009"/>
    <mergeCell ref="O1012:R1012"/>
    <mergeCell ref="T1012:W1012"/>
    <mergeCell ref="O1013:R1013"/>
    <mergeCell ref="T1013:W1013"/>
    <mergeCell ref="I1007:I1018"/>
    <mergeCell ref="C1013:C1015"/>
    <mergeCell ref="E1013:H1013"/>
    <mergeCell ref="E1014:G1014"/>
    <mergeCell ref="E1015:G1015"/>
    <mergeCell ref="E1016:G1016"/>
    <mergeCell ref="E1017:G1017"/>
    <mergeCell ref="E1018:G1018"/>
    <mergeCell ref="E1020:H1020"/>
    <mergeCell ref="G1021:H1021"/>
    <mergeCell ref="G1022:H1022"/>
    <mergeCell ref="G1023:H1023"/>
    <mergeCell ref="G1024:H1024"/>
    <mergeCell ref="G1025:H1025"/>
    <mergeCell ref="O1036:R1036"/>
    <mergeCell ref="T1036:W1036"/>
    <mergeCell ref="Q1045:R1045"/>
    <mergeCell ref="Q1046:R1046"/>
    <mergeCell ref="J1041:L1041"/>
    <mergeCell ref="J1042:L1042"/>
    <mergeCell ref="O1042:Q1042"/>
    <mergeCell ref="J1044:M1044"/>
    <mergeCell ref="O1044:R1044"/>
    <mergeCell ref="L1045:M1045"/>
    <mergeCell ref="L1046:M1046"/>
    <mergeCell ref="L1047:M1047"/>
    <mergeCell ref="Q1047:R1047"/>
    <mergeCell ref="L1048:M1048"/>
    <mergeCell ref="Q1048:R1048"/>
    <mergeCell ref="L1049:M1049"/>
    <mergeCell ref="Q1049:R1049"/>
    <mergeCell ref="Q1050:R1050"/>
    <mergeCell ref="O1051:Q1051"/>
    <mergeCell ref="O1054:R1054"/>
    <mergeCell ref="T1054:W1054"/>
    <mergeCell ref="Y1054:AB1054"/>
    <mergeCell ref="T1055:W1055"/>
    <mergeCell ref="Y1055:AB1055"/>
    <mergeCell ref="T1056:W1056"/>
    <mergeCell ref="Y1056:AB1056"/>
    <mergeCell ref="Z1057:AA1057"/>
    <mergeCell ref="T1059:W1059"/>
    <mergeCell ref="Y1059:AB1059"/>
    <mergeCell ref="T1060:W1060"/>
    <mergeCell ref="Y1060:AB1060"/>
    <mergeCell ref="Y1061:AA1061"/>
    <mergeCell ref="V1069:W1069"/>
    <mergeCell ref="V1070:W1070"/>
    <mergeCell ref="V1071:W1071"/>
    <mergeCell ref="V1072:W1072"/>
    <mergeCell ref="V1073:W1073"/>
    <mergeCell ref="T1074:V1074"/>
    <mergeCell ref="T1075:V1075"/>
    <mergeCell ref="T1061:V1061"/>
    <mergeCell ref="T1062:V1062"/>
    <mergeCell ref="T1063:V1063"/>
    <mergeCell ref="T1064:V1064"/>
    <mergeCell ref="T1065:V1065"/>
    <mergeCell ref="T1067:W1067"/>
    <mergeCell ref="V1068:W1068"/>
    <mergeCell ref="AA1070:AB1070"/>
    <mergeCell ref="AA1071:AB1071"/>
    <mergeCell ref="AA1072:AB1072"/>
    <mergeCell ref="AA1073:AB1073"/>
    <mergeCell ref="Y1074:AA1074"/>
    <mergeCell ref="Y1075:AA1075"/>
    <mergeCell ref="Y1062:AA1062"/>
    <mergeCell ref="Y1063:AA1063"/>
    <mergeCell ref="Y1064:AA1064"/>
    <mergeCell ref="Y1065:AA1065"/>
    <mergeCell ref="Y1067:AB1067"/>
    <mergeCell ref="AA1068:AB1068"/>
    <mergeCell ref="AA1069:AB1069"/>
    <mergeCell ref="G1046:H1046"/>
    <mergeCell ref="G1047:H1047"/>
    <mergeCell ref="G1048:H1048"/>
    <mergeCell ref="G1049:H1049"/>
    <mergeCell ref="G1050:H1050"/>
    <mergeCell ref="E1051:G1051"/>
    <mergeCell ref="C1055:C1057"/>
    <mergeCell ref="E1056:H1056"/>
    <mergeCell ref="E1059:H1059"/>
    <mergeCell ref="C1060:C1062"/>
    <mergeCell ref="E1060:H1060"/>
    <mergeCell ref="E1061:G1061"/>
    <mergeCell ref="E1062:G1062"/>
    <mergeCell ref="E1063:G1063"/>
    <mergeCell ref="G1072:H1072"/>
    <mergeCell ref="G1073:H1073"/>
    <mergeCell ref="E1074:G1074"/>
    <mergeCell ref="E1064:G1064"/>
    <mergeCell ref="E1065:G1065"/>
    <mergeCell ref="E1067:H1067"/>
    <mergeCell ref="G1068:H1068"/>
    <mergeCell ref="G1069:H1069"/>
    <mergeCell ref="G1070:H1070"/>
    <mergeCell ref="G1071:H1071"/>
    <mergeCell ref="O1064:Q1064"/>
    <mergeCell ref="O1065:Q1065"/>
    <mergeCell ref="J1061:L1061"/>
    <mergeCell ref="J1062:L1062"/>
    <mergeCell ref="O1062:Q1062"/>
    <mergeCell ref="J1063:L1063"/>
    <mergeCell ref="O1063:Q1063"/>
    <mergeCell ref="J1064:L1064"/>
    <mergeCell ref="J1065:L1065"/>
    <mergeCell ref="L1070:M1070"/>
    <mergeCell ref="L1071:M1071"/>
    <mergeCell ref="L1072:M1072"/>
    <mergeCell ref="L1073:M1073"/>
    <mergeCell ref="J1074:L1074"/>
    <mergeCell ref="Q1071:R1071"/>
    <mergeCell ref="Q1072:R1072"/>
    <mergeCell ref="Q1073:R1073"/>
    <mergeCell ref="O1074:Q1074"/>
    <mergeCell ref="J1067:M1067"/>
    <mergeCell ref="O1067:R1067"/>
    <mergeCell ref="L1068:M1068"/>
    <mergeCell ref="Q1068:R1068"/>
    <mergeCell ref="L1069:M1069"/>
    <mergeCell ref="Q1069:R1069"/>
    <mergeCell ref="Q1070:R1070"/>
    <mergeCell ref="E1036:H1036"/>
    <mergeCell ref="E1037:H1037"/>
    <mergeCell ref="J1037:M1037"/>
    <mergeCell ref="O1037:R1037"/>
    <mergeCell ref="E1031:H1031"/>
    <mergeCell ref="C1032:C1034"/>
    <mergeCell ref="E1032:H1032"/>
    <mergeCell ref="E1033:H1033"/>
    <mergeCell ref="P1034:Q1034"/>
    <mergeCell ref="J1036:M1036"/>
    <mergeCell ref="O1038:Q1038"/>
    <mergeCell ref="E1038:G1038"/>
    <mergeCell ref="J1038:L1038"/>
    <mergeCell ref="J1039:L1039"/>
    <mergeCell ref="O1039:Q1039"/>
    <mergeCell ref="J1040:L1040"/>
    <mergeCell ref="O1040:Q1040"/>
    <mergeCell ref="O1041:Q1041"/>
    <mergeCell ref="C1037:C1039"/>
    <mergeCell ref="E1039:G1039"/>
    <mergeCell ref="E1040:G1040"/>
    <mergeCell ref="E1041:G1041"/>
    <mergeCell ref="E1042:G1042"/>
    <mergeCell ref="E1044:H1044"/>
    <mergeCell ref="G1045:H1045"/>
    <mergeCell ref="E1054:H1054"/>
    <mergeCell ref="E1055:H1055"/>
    <mergeCell ref="O1055:R1055"/>
    <mergeCell ref="O1056:R1056"/>
    <mergeCell ref="O1059:R1059"/>
    <mergeCell ref="O1060:R1060"/>
    <mergeCell ref="O1061:Q1061"/>
    <mergeCell ref="L1050:M1050"/>
    <mergeCell ref="J1051:L1051"/>
    <mergeCell ref="J1054:M1054"/>
    <mergeCell ref="J1055:M1055"/>
    <mergeCell ref="J1056:M1056"/>
    <mergeCell ref="J1059:M1059"/>
    <mergeCell ref="J1060:M1060"/>
    <mergeCell ref="AD1074:AF1074"/>
    <mergeCell ref="E1078:AG1078"/>
    <mergeCell ref="J1079:M1079"/>
    <mergeCell ref="O1079:R1079"/>
    <mergeCell ref="T1079:W1079"/>
    <mergeCell ref="Y1079:AB1079"/>
    <mergeCell ref="AD1079:AG1079"/>
    <mergeCell ref="E1080:H1080"/>
    <mergeCell ref="E1081:H1081"/>
    <mergeCell ref="O1080:R1080"/>
    <mergeCell ref="O1081:R1081"/>
    <mergeCell ref="Y1080:AB1080"/>
    <mergeCell ref="Y1081:AB1081"/>
    <mergeCell ref="J1081:M1081"/>
    <mergeCell ref="F1082:G1082"/>
    <mergeCell ref="K1082:L1082"/>
    <mergeCell ref="E1079:H1079"/>
    <mergeCell ref="C1080:C1082"/>
    <mergeCell ref="J1080:M1080"/>
    <mergeCell ref="T1080:W1080"/>
    <mergeCell ref="AD1080:AG1080"/>
    <mergeCell ref="T1081:W1081"/>
    <mergeCell ref="AD1081:AG1081"/>
    <mergeCell ref="Z1082:AA1082"/>
    <mergeCell ref="L1025:M1025"/>
    <mergeCell ref="L1026:M1026"/>
    <mergeCell ref="Q1026:R1026"/>
    <mergeCell ref="V1026:W1026"/>
    <mergeCell ref="G1026:H1026"/>
    <mergeCell ref="E1027:G1027"/>
    <mergeCell ref="J1027:L1027"/>
    <mergeCell ref="O1027:Q1027"/>
    <mergeCell ref="T1027:V1027"/>
    <mergeCell ref="J1028:L1028"/>
    <mergeCell ref="T1028:V1028"/>
    <mergeCell ref="AD1031:AG1031"/>
    <mergeCell ref="AD1032:AG1032"/>
    <mergeCell ref="AD1033:AG1033"/>
    <mergeCell ref="AD1036:AG1036"/>
    <mergeCell ref="AD1037:AG1037"/>
    <mergeCell ref="AD1038:AF1038"/>
    <mergeCell ref="AD1039:AF1039"/>
    <mergeCell ref="AD1040:AF1040"/>
    <mergeCell ref="AD1041:AF1041"/>
    <mergeCell ref="AD1042:AF1042"/>
    <mergeCell ref="AD1044:AG1044"/>
    <mergeCell ref="AF1045:AG1045"/>
    <mergeCell ref="AF1046:AG1046"/>
    <mergeCell ref="AF1047:AG1047"/>
    <mergeCell ref="AF1048:AG1048"/>
    <mergeCell ref="AF1049:AG1049"/>
    <mergeCell ref="AF1050:AG1050"/>
    <mergeCell ref="AD1051:AF1051"/>
    <mergeCell ref="AD1054:AG1054"/>
    <mergeCell ref="AD1055:AG1055"/>
    <mergeCell ref="AD1056:AG1056"/>
    <mergeCell ref="AD1059:AG1059"/>
    <mergeCell ref="AD1060:AG1060"/>
    <mergeCell ref="AD1061:AF1061"/>
    <mergeCell ref="AD1062:AF1062"/>
    <mergeCell ref="AD1063:AF1063"/>
    <mergeCell ref="AD1064:AF1064"/>
    <mergeCell ref="AD1065:AF1065"/>
    <mergeCell ref="AD1067:AG1067"/>
    <mergeCell ref="AF1068:AG1068"/>
    <mergeCell ref="AF1069:AG1069"/>
    <mergeCell ref="AF1070:AG1070"/>
    <mergeCell ref="AF1071:AG1071"/>
    <mergeCell ref="AF1072:AG1072"/>
    <mergeCell ref="AF1073:AG1073"/>
    <mergeCell ref="AD1084:AG1084"/>
    <mergeCell ref="Y985:AB985"/>
    <mergeCell ref="Y991:AA991"/>
    <mergeCell ref="AA977:AB977"/>
    <mergeCell ref="AA978:AB978"/>
    <mergeCell ref="Y979:AA979"/>
    <mergeCell ref="X983:X994"/>
    <mergeCell ref="Y983:AB983"/>
    <mergeCell ref="AC983:AC994"/>
    <mergeCell ref="Y984:AB984"/>
    <mergeCell ref="AA1002:AB1002"/>
    <mergeCell ref="Y1003:AA1003"/>
    <mergeCell ref="Y994:AA994"/>
    <mergeCell ref="Y996:AB996"/>
    <mergeCell ref="AA997:AB997"/>
    <mergeCell ref="AA998:AB998"/>
    <mergeCell ref="AA999:AB999"/>
    <mergeCell ref="AA1000:AB1000"/>
    <mergeCell ref="AA1001:AB1001"/>
    <mergeCell ref="AD1007:AG1007"/>
    <mergeCell ref="AD1008:AG1008"/>
    <mergeCell ref="AD1009:AG1009"/>
    <mergeCell ref="AD1010:AG1010"/>
    <mergeCell ref="E1007:H1007"/>
    <mergeCell ref="J1007:M1007"/>
    <mergeCell ref="O1007:R1007"/>
    <mergeCell ref="T1007:W1007"/>
    <mergeCell ref="Y1007:AB1007"/>
    <mergeCell ref="C1008:C1010"/>
    <mergeCell ref="E1008:H1008"/>
    <mergeCell ref="V974:W974"/>
    <mergeCell ref="V975:W975"/>
    <mergeCell ref="V976:W976"/>
    <mergeCell ref="V977:W977"/>
    <mergeCell ref="V978:W978"/>
    <mergeCell ref="T979:V979"/>
    <mergeCell ref="T984:W984"/>
    <mergeCell ref="T985:W985"/>
    <mergeCell ref="T988:W988"/>
    <mergeCell ref="E991:G991"/>
    <mergeCell ref="J991:L991"/>
    <mergeCell ref="T991:V991"/>
    <mergeCell ref="J992:L992"/>
    <mergeCell ref="T992:V992"/>
    <mergeCell ref="V997:W997"/>
    <mergeCell ref="V998:W998"/>
    <mergeCell ref="V999:W999"/>
    <mergeCell ref="V1000:W1000"/>
    <mergeCell ref="V1001:W1001"/>
    <mergeCell ref="V1002:W1002"/>
    <mergeCell ref="T1003:V1003"/>
    <mergeCell ref="O991:Q991"/>
    <mergeCell ref="O992:Q992"/>
    <mergeCell ref="O993:Q993"/>
    <mergeCell ref="T993:V993"/>
    <mergeCell ref="O994:Q994"/>
    <mergeCell ref="T994:V994"/>
    <mergeCell ref="T996:W996"/>
    <mergeCell ref="E992:G992"/>
    <mergeCell ref="E993:G993"/>
    <mergeCell ref="J993:L993"/>
    <mergeCell ref="E994:G994"/>
    <mergeCell ref="J994:L994"/>
    <mergeCell ref="E996:H996"/>
    <mergeCell ref="G997:H997"/>
    <mergeCell ref="G998:H998"/>
    <mergeCell ref="G999:H999"/>
    <mergeCell ref="G1000:H1000"/>
    <mergeCell ref="G1001:H1001"/>
    <mergeCell ref="G1002:H1002"/>
    <mergeCell ref="E1003:G1003"/>
    <mergeCell ref="E1006:AG1006"/>
    <mergeCell ref="AD1017:AG1017"/>
    <mergeCell ref="AD1018:AG1018"/>
    <mergeCell ref="E1009:H1009"/>
    <mergeCell ref="E1012:H1012"/>
    <mergeCell ref="AD1012:AG1012"/>
    <mergeCell ref="AD1013:AG1013"/>
    <mergeCell ref="AD1014:AG1014"/>
    <mergeCell ref="AD1015:AG1015"/>
    <mergeCell ref="AD1016:AG1016"/>
    <mergeCell ref="J1008:M1008"/>
    <mergeCell ref="J1009:M1009"/>
    <mergeCell ref="J1003:L1003"/>
    <mergeCell ref="J1012:M1012"/>
    <mergeCell ref="J1013:M1013"/>
    <mergeCell ref="J1014:L1014"/>
    <mergeCell ref="J1015:L1015"/>
    <mergeCell ref="J1016:L1016"/>
    <mergeCell ref="J1017:L1017"/>
    <mergeCell ref="Q1021:R1021"/>
    <mergeCell ref="Q1022:R1022"/>
    <mergeCell ref="J1018:L1018"/>
    <mergeCell ref="J1020:M1020"/>
    <mergeCell ref="O1020:R1020"/>
    <mergeCell ref="T1020:W1020"/>
    <mergeCell ref="L1021:M1021"/>
    <mergeCell ref="V1021:W1021"/>
    <mergeCell ref="V1022:W1022"/>
    <mergeCell ref="Q1024:R1024"/>
    <mergeCell ref="Q1025:R1025"/>
    <mergeCell ref="L1022:M1022"/>
    <mergeCell ref="L1023:M1023"/>
    <mergeCell ref="Q1023:R1023"/>
    <mergeCell ref="V1023:W1023"/>
    <mergeCell ref="L1024:M1024"/>
    <mergeCell ref="V1024:W1024"/>
    <mergeCell ref="V1025:W1025"/>
    <mergeCell ref="J1084:M1084"/>
    <mergeCell ref="J1085:M1085"/>
    <mergeCell ref="T1084:W1084"/>
    <mergeCell ref="T1085:W1085"/>
    <mergeCell ref="AD1085:AG1085"/>
    <mergeCell ref="E1085:H1085"/>
    <mergeCell ref="E1086:G1086"/>
    <mergeCell ref="Y1085:AB1085"/>
    <mergeCell ref="Y1086:AA1086"/>
    <mergeCell ref="AD1086:AF1086"/>
    <mergeCell ref="AD1087:AF1087"/>
    <mergeCell ref="AD1088:AF1088"/>
    <mergeCell ref="AD1089:AF1089"/>
    <mergeCell ref="AD1090:AF1090"/>
    <mergeCell ref="J1086:L1086"/>
    <mergeCell ref="J1087:L1087"/>
    <mergeCell ref="T1086:V1086"/>
    <mergeCell ref="T1087:V1087"/>
    <mergeCell ref="E1087:G1087"/>
    <mergeCell ref="E1088:G1088"/>
    <mergeCell ref="O1134:Q1134"/>
    <mergeCell ref="O1135:Q1135"/>
    <mergeCell ref="O1136:Q1136"/>
    <mergeCell ref="T1136:V1136"/>
    <mergeCell ref="O1137:Q1137"/>
    <mergeCell ref="T1137:V1137"/>
    <mergeCell ref="O1138:Q1138"/>
    <mergeCell ref="T1138:V1138"/>
    <mergeCell ref="Y1134:AA1134"/>
    <mergeCell ref="Y1135:AA1135"/>
    <mergeCell ref="Y1136:AA1136"/>
    <mergeCell ref="AD1136:AG1136"/>
    <mergeCell ref="Y1137:AA1137"/>
    <mergeCell ref="AD1137:AG1137"/>
    <mergeCell ref="Y1138:AA1138"/>
    <mergeCell ref="AD1138:AG1138"/>
    <mergeCell ref="E1135:G1135"/>
    <mergeCell ref="E1136:G1136"/>
    <mergeCell ref="E1137:G1137"/>
    <mergeCell ref="E1138:G1138"/>
    <mergeCell ref="K1130:L1130"/>
    <mergeCell ref="J1132:M1132"/>
    <mergeCell ref="T1134:V1134"/>
    <mergeCell ref="AD1134:AG1134"/>
    <mergeCell ref="J1135:L1135"/>
    <mergeCell ref="T1135:V1135"/>
    <mergeCell ref="AD1135:AG1135"/>
    <mergeCell ref="J1136:L1136"/>
    <mergeCell ref="J1137:L1137"/>
    <mergeCell ref="L1122:M1122"/>
    <mergeCell ref="J1123:L1123"/>
    <mergeCell ref="I1127:I1138"/>
    <mergeCell ref="J1127:M1127"/>
    <mergeCell ref="N1127:N1138"/>
    <mergeCell ref="J1128:M1128"/>
    <mergeCell ref="J1129:M1129"/>
    <mergeCell ref="J1138:L1138"/>
    <mergeCell ref="J1088:L1088"/>
    <mergeCell ref="J1089:L1089"/>
    <mergeCell ref="J1092:M1092"/>
    <mergeCell ref="L1093:M1093"/>
    <mergeCell ref="L1094:M1094"/>
    <mergeCell ref="L1095:M1095"/>
    <mergeCell ref="L1096:M1096"/>
    <mergeCell ref="J1108:M1108"/>
    <mergeCell ref="J1109:M1109"/>
    <mergeCell ref="J1110:L1110"/>
    <mergeCell ref="J1111:L1111"/>
    <mergeCell ref="J1112:L1112"/>
    <mergeCell ref="J1113:L1113"/>
    <mergeCell ref="L1097:M1097"/>
    <mergeCell ref="L1098:M1098"/>
    <mergeCell ref="I1103:I1114"/>
    <mergeCell ref="J1103:M1103"/>
    <mergeCell ref="N1103:N1114"/>
    <mergeCell ref="J1104:M1104"/>
    <mergeCell ref="J1105:M1105"/>
    <mergeCell ref="J1114:L1114"/>
    <mergeCell ref="J1116:M1116"/>
    <mergeCell ref="L1117:M1117"/>
    <mergeCell ref="L1118:M1118"/>
    <mergeCell ref="L1119:M1119"/>
    <mergeCell ref="L1120:M1120"/>
    <mergeCell ref="L1121:M1121"/>
    <mergeCell ref="J1133:M1133"/>
    <mergeCell ref="J1134:L1134"/>
    <mergeCell ref="J1204:M1204"/>
    <mergeCell ref="E1205:G1205"/>
    <mergeCell ref="J1205:L1205"/>
    <mergeCell ref="E1206:G1206"/>
    <mergeCell ref="J1206:L1206"/>
    <mergeCell ref="E1207:G1207"/>
    <mergeCell ref="J1207:L1207"/>
    <mergeCell ref="O1206:Q1206"/>
    <mergeCell ref="O1207:Q1207"/>
    <mergeCell ref="O1208:Q1208"/>
    <mergeCell ref="O1209:Q1209"/>
    <mergeCell ref="O1211:R1211"/>
    <mergeCell ref="Q1212:R1212"/>
    <mergeCell ref="Q1213:R1213"/>
    <mergeCell ref="Q1214:R1214"/>
    <mergeCell ref="Q1215:R1215"/>
    <mergeCell ref="E1221:H1221"/>
    <mergeCell ref="C1222:C1224"/>
    <mergeCell ref="C1227:C1229"/>
    <mergeCell ref="C1246:C1248"/>
    <mergeCell ref="E1246:H1246"/>
    <mergeCell ref="C1251:C1253"/>
    <mergeCell ref="O1228:Q1228"/>
    <mergeCell ref="O1229:Q1229"/>
    <mergeCell ref="O1230:Q1230"/>
    <mergeCell ref="O1231:Q1231"/>
    <mergeCell ref="O1232:Q1232"/>
    <mergeCell ref="O1234:R1234"/>
    <mergeCell ref="Q1235:R1235"/>
    <mergeCell ref="J1226:M1226"/>
    <mergeCell ref="J1227:M1227"/>
    <mergeCell ref="L1214:M1214"/>
    <mergeCell ref="L1215:M1215"/>
    <mergeCell ref="L1216:M1216"/>
    <mergeCell ref="L1217:M1217"/>
    <mergeCell ref="J1218:L1218"/>
    <mergeCell ref="J1221:M1221"/>
    <mergeCell ref="N1221:N1232"/>
    <mergeCell ref="J1251:M1251"/>
    <mergeCell ref="J1252:L1252"/>
    <mergeCell ref="J1250:M1250"/>
    <mergeCell ref="J1253:L1253"/>
    <mergeCell ref="O1253:Q1253"/>
    <mergeCell ref="J1254:L1254"/>
    <mergeCell ref="O1254:Q1254"/>
    <mergeCell ref="J1255:L1255"/>
    <mergeCell ref="O1255:Q1255"/>
    <mergeCell ref="L1260:M1260"/>
    <mergeCell ref="L1261:M1261"/>
    <mergeCell ref="L1262:M1262"/>
    <mergeCell ref="L1263:M1263"/>
    <mergeCell ref="J1265:L1265"/>
    <mergeCell ref="O1265:Q1265"/>
    <mergeCell ref="J1269:M1269"/>
    <mergeCell ref="N1245:N1256"/>
    <mergeCell ref="S1245:S1256"/>
    <mergeCell ref="J1247:M1247"/>
    <mergeCell ref="O1247:R1247"/>
    <mergeCell ref="O1250:R1250"/>
    <mergeCell ref="O1251:R1251"/>
    <mergeCell ref="O1252:Q1252"/>
    <mergeCell ref="J1256:L1256"/>
    <mergeCell ref="O1256:Q1256"/>
    <mergeCell ref="J1258:M1258"/>
    <mergeCell ref="O1258:R1258"/>
    <mergeCell ref="L1259:M1259"/>
    <mergeCell ref="Q1259:R1259"/>
    <mergeCell ref="Q1260:R1260"/>
    <mergeCell ref="O1275:R1275"/>
    <mergeCell ref="O1276:Q1276"/>
    <mergeCell ref="O1277:Q1277"/>
    <mergeCell ref="O1278:Q1278"/>
    <mergeCell ref="J1279:L1279"/>
    <mergeCell ref="J1280:L1280"/>
    <mergeCell ref="J1270:M1270"/>
    <mergeCell ref="J1271:M1271"/>
    <mergeCell ref="J1274:M1274"/>
    <mergeCell ref="J1275:M1275"/>
    <mergeCell ref="J1276:L1276"/>
    <mergeCell ref="J1277:L1277"/>
    <mergeCell ref="J1278:L1278"/>
    <mergeCell ref="O1279:Q1279"/>
    <mergeCell ref="O1280:Q1280"/>
    <mergeCell ref="O1271:R1271"/>
    <mergeCell ref="O1274:R1274"/>
    <mergeCell ref="Q1261:R1261"/>
    <mergeCell ref="Q1262:R1262"/>
    <mergeCell ref="Q1263:R1263"/>
    <mergeCell ref="Q1264:R1264"/>
    <mergeCell ref="O1269:R1269"/>
    <mergeCell ref="S1269:S1280"/>
    <mergeCell ref="O1270:R1270"/>
    <mergeCell ref="O1282:R1282"/>
    <mergeCell ref="Q1283:R1283"/>
    <mergeCell ref="Q1284:R1284"/>
    <mergeCell ref="Q1285:R1285"/>
    <mergeCell ref="Q1286:R1286"/>
    <mergeCell ref="Q1287:R1287"/>
    <mergeCell ref="Q1288:R1288"/>
    <mergeCell ref="O1298:R1298"/>
    <mergeCell ref="O1299:Q1299"/>
    <mergeCell ref="O1300:Q1300"/>
    <mergeCell ref="O1301:Q1301"/>
    <mergeCell ref="O1302:Q1302"/>
    <mergeCell ref="O1303:Q1303"/>
    <mergeCell ref="O1289:Q1289"/>
    <mergeCell ref="O1292:R1292"/>
    <mergeCell ref="S1292:S1303"/>
    <mergeCell ref="O1293:R1293"/>
    <mergeCell ref="O1294:R1294"/>
    <mergeCell ref="P1295:Q1295"/>
    <mergeCell ref="O1297:R1297"/>
    <mergeCell ref="E1222:H1222"/>
    <mergeCell ref="E1223:H1223"/>
    <mergeCell ref="J1222:M1222"/>
    <mergeCell ref="J1223:M1223"/>
    <mergeCell ref="E1228:G1228"/>
    <mergeCell ref="E1229:G1229"/>
    <mergeCell ref="J1228:L1228"/>
    <mergeCell ref="J1229:L1229"/>
    <mergeCell ref="E1230:G1230"/>
    <mergeCell ref="E1231:G1231"/>
    <mergeCell ref="J1230:L1230"/>
    <mergeCell ref="J1231:L1231"/>
    <mergeCell ref="L1240:M1240"/>
    <mergeCell ref="J1241:L1241"/>
    <mergeCell ref="J1245:M1245"/>
    <mergeCell ref="J1232:L1232"/>
    <mergeCell ref="J1234:M1234"/>
    <mergeCell ref="L1235:M1235"/>
    <mergeCell ref="L1236:M1236"/>
    <mergeCell ref="L1237:M1237"/>
    <mergeCell ref="L1238:M1238"/>
    <mergeCell ref="L1239:M1239"/>
    <mergeCell ref="O1245:R1245"/>
    <mergeCell ref="O1246:R1246"/>
    <mergeCell ref="Q1236:R1236"/>
    <mergeCell ref="Q1237:R1237"/>
    <mergeCell ref="Q1238:R1238"/>
    <mergeCell ref="Q1239:R1239"/>
    <mergeCell ref="Q1240:R1240"/>
    <mergeCell ref="O1241:Q1241"/>
    <mergeCell ref="J1246:M1246"/>
    <mergeCell ref="E1226:H1226"/>
    <mergeCell ref="E1227:H1227"/>
    <mergeCell ref="G1213:H1213"/>
    <mergeCell ref="G1214:H1214"/>
    <mergeCell ref="G1215:H1215"/>
    <mergeCell ref="G1216:H1216"/>
    <mergeCell ref="G1217:H1217"/>
    <mergeCell ref="E1218:G1218"/>
    <mergeCell ref="I1221:I1232"/>
    <mergeCell ref="E1232:G1232"/>
    <mergeCell ref="E1234:H1234"/>
    <mergeCell ref="G1235:H1235"/>
    <mergeCell ref="G1236:H1236"/>
    <mergeCell ref="G1237:H1237"/>
    <mergeCell ref="G1238:H1238"/>
    <mergeCell ref="G1239:H1239"/>
    <mergeCell ref="E1252:G1252"/>
    <mergeCell ref="E1253:G1253"/>
    <mergeCell ref="E1254:G1254"/>
    <mergeCell ref="E1255:G1255"/>
    <mergeCell ref="G1240:H1240"/>
    <mergeCell ref="E1241:G1241"/>
    <mergeCell ref="E1245:H1245"/>
    <mergeCell ref="I1245:I1256"/>
    <mergeCell ref="E1247:H1247"/>
    <mergeCell ref="E1250:H1250"/>
    <mergeCell ref="E1251:H1251"/>
    <mergeCell ref="E1256:G1256"/>
    <mergeCell ref="E1258:H1258"/>
    <mergeCell ref="G1259:H1259"/>
    <mergeCell ref="G1260:H1260"/>
    <mergeCell ref="G1261:H1261"/>
    <mergeCell ref="G1262:H1262"/>
    <mergeCell ref="G1263:H1263"/>
    <mergeCell ref="C1298:C1300"/>
    <mergeCell ref="E1298:H1298"/>
    <mergeCell ref="E1299:G1299"/>
    <mergeCell ref="E1300:G1300"/>
    <mergeCell ref="G1288:H1288"/>
    <mergeCell ref="E1289:G1289"/>
    <mergeCell ref="E1292:H1292"/>
    <mergeCell ref="I1292:I1303"/>
    <mergeCell ref="C1293:C1295"/>
    <mergeCell ref="E1293:H1293"/>
    <mergeCell ref="E1294:H1294"/>
    <mergeCell ref="E1303:G1303"/>
    <mergeCell ref="E1305:H1305"/>
    <mergeCell ref="G1306:H1306"/>
    <mergeCell ref="G1307:H1307"/>
    <mergeCell ref="G1308:H1308"/>
    <mergeCell ref="G1309:H1309"/>
    <mergeCell ref="G1310:H1310"/>
    <mergeCell ref="E1322:H1322"/>
    <mergeCell ref="E1323:G1323"/>
    <mergeCell ref="E1324:G1324"/>
    <mergeCell ref="E1325:G1325"/>
    <mergeCell ref="G1311:H1311"/>
    <mergeCell ref="E1312:G1312"/>
    <mergeCell ref="I1316:I1327"/>
    <mergeCell ref="C1317:C1321"/>
    <mergeCell ref="E1317:H1317"/>
    <mergeCell ref="E1318:H1318"/>
    <mergeCell ref="E1321:H1321"/>
    <mergeCell ref="G1334:H1334"/>
    <mergeCell ref="G1335:H1335"/>
    <mergeCell ref="E1336:G1336"/>
    <mergeCell ref="E1339:H1339"/>
    <mergeCell ref="E1326:G1326"/>
    <mergeCell ref="E1327:G1327"/>
    <mergeCell ref="E1329:H1329"/>
    <mergeCell ref="G1330:H1330"/>
    <mergeCell ref="G1331:H1331"/>
    <mergeCell ref="G1332:H1332"/>
    <mergeCell ref="G1333:H1333"/>
    <mergeCell ref="F1272:G1272"/>
    <mergeCell ref="E1274:H1274"/>
    <mergeCell ref="C1275:C1277"/>
    <mergeCell ref="E1275:H1275"/>
    <mergeCell ref="E1276:G1276"/>
    <mergeCell ref="E1277:G1277"/>
    <mergeCell ref="E1278:G1278"/>
    <mergeCell ref="E1279:G1279"/>
    <mergeCell ref="G1264:H1264"/>
    <mergeCell ref="E1265:G1265"/>
    <mergeCell ref="E1269:H1269"/>
    <mergeCell ref="I1269:I1280"/>
    <mergeCell ref="C1270:C1272"/>
    <mergeCell ref="E1270:H1270"/>
    <mergeCell ref="E1271:H1271"/>
    <mergeCell ref="E1280:G1280"/>
    <mergeCell ref="E1282:H1282"/>
    <mergeCell ref="G1283:H1283"/>
    <mergeCell ref="G1284:H1284"/>
    <mergeCell ref="G1285:H1285"/>
    <mergeCell ref="G1286:H1286"/>
    <mergeCell ref="G1287:H1287"/>
    <mergeCell ref="F1295:G1295"/>
    <mergeCell ref="E1297:H1297"/>
    <mergeCell ref="E1301:G1301"/>
    <mergeCell ref="E1302:G1302"/>
    <mergeCell ref="O1305:R1305"/>
    <mergeCell ref="Q1306:R1306"/>
    <mergeCell ref="Q1307:R1307"/>
    <mergeCell ref="Q1308:R1308"/>
    <mergeCell ref="Q1309:R1309"/>
    <mergeCell ref="Q1310:R1310"/>
    <mergeCell ref="Q1311:R1311"/>
    <mergeCell ref="O1323:Q1323"/>
    <mergeCell ref="O1324:Q1324"/>
    <mergeCell ref="O1325:Q1325"/>
    <mergeCell ref="O1326:Q1326"/>
    <mergeCell ref="O1312:Q1312"/>
    <mergeCell ref="O1316:R1316"/>
    <mergeCell ref="S1316:S1327"/>
    <mergeCell ref="O1317:R1317"/>
    <mergeCell ref="O1318:R1318"/>
    <mergeCell ref="O1321:R1321"/>
    <mergeCell ref="O1322:R1322"/>
    <mergeCell ref="Q1335:R1335"/>
    <mergeCell ref="O1336:Q1336"/>
    <mergeCell ref="O1339:R1339"/>
    <mergeCell ref="O1327:Q1327"/>
    <mergeCell ref="O1329:R1329"/>
    <mergeCell ref="Q1330:R1330"/>
    <mergeCell ref="Q1331:R1331"/>
    <mergeCell ref="Q1332:R1332"/>
    <mergeCell ref="Q1333:R1333"/>
    <mergeCell ref="Q1334:R1334"/>
    <mergeCell ref="J1323:L1323"/>
    <mergeCell ref="J1324:L1324"/>
    <mergeCell ref="J1325:L1325"/>
    <mergeCell ref="J1326:L1326"/>
    <mergeCell ref="J1312:L1312"/>
    <mergeCell ref="J1316:M1316"/>
    <mergeCell ref="N1316:N1327"/>
    <mergeCell ref="J1317:M1317"/>
    <mergeCell ref="J1318:M1318"/>
    <mergeCell ref="J1321:M1321"/>
    <mergeCell ref="J1322:M1322"/>
    <mergeCell ref="L1335:M1335"/>
    <mergeCell ref="J1336:L1336"/>
    <mergeCell ref="J1339:M1339"/>
    <mergeCell ref="J1327:L1327"/>
    <mergeCell ref="J1329:M1329"/>
    <mergeCell ref="L1330:M1330"/>
    <mergeCell ref="L1331:M1331"/>
    <mergeCell ref="L1332:M1332"/>
    <mergeCell ref="L1333:M1333"/>
    <mergeCell ref="L1334:M1334"/>
    <mergeCell ref="L1264:M1264"/>
    <mergeCell ref="N1269:N1280"/>
    <mergeCell ref="J1282:M1282"/>
    <mergeCell ref="L1283:M1283"/>
    <mergeCell ref="L1284:M1284"/>
    <mergeCell ref="L1285:M1285"/>
    <mergeCell ref="L1286:M1286"/>
    <mergeCell ref="K1295:L1295"/>
    <mergeCell ref="J1297:M1297"/>
    <mergeCell ref="J1298:M1298"/>
    <mergeCell ref="J1299:L1299"/>
    <mergeCell ref="J1300:L1300"/>
    <mergeCell ref="J1301:L1301"/>
    <mergeCell ref="J1302:L1302"/>
    <mergeCell ref="J1303:L1303"/>
    <mergeCell ref="L1287:M1287"/>
    <mergeCell ref="L1288:M1288"/>
    <mergeCell ref="J1289:L1289"/>
    <mergeCell ref="J1292:M1292"/>
    <mergeCell ref="N1292:N1303"/>
    <mergeCell ref="J1293:M1293"/>
    <mergeCell ref="J1294:M1294"/>
    <mergeCell ref="J1305:M1305"/>
    <mergeCell ref="L1306:M1306"/>
    <mergeCell ref="L1307:M1307"/>
    <mergeCell ref="L1308:M1308"/>
    <mergeCell ref="L1309:M1309"/>
    <mergeCell ref="L1310:M1310"/>
    <mergeCell ref="L1311:M1311"/>
    <mergeCell ref="Y1087:AA1087"/>
    <mergeCell ref="Y1088:AA1088"/>
    <mergeCell ref="AF1095:AG1095"/>
    <mergeCell ref="AF1096:AG1096"/>
    <mergeCell ref="AA1097:AB1097"/>
    <mergeCell ref="AF1097:AG1097"/>
    <mergeCell ref="AA1098:AB1098"/>
    <mergeCell ref="AF1098:AG1098"/>
    <mergeCell ref="AD1099:AF1099"/>
    <mergeCell ref="G1097:H1097"/>
    <mergeCell ref="G1098:H1098"/>
    <mergeCell ref="E1099:G1099"/>
    <mergeCell ref="J1099:L1099"/>
    <mergeCell ref="E1089:G1089"/>
    <mergeCell ref="E1090:G1090"/>
    <mergeCell ref="E1092:H1092"/>
    <mergeCell ref="G1093:H1093"/>
    <mergeCell ref="G1094:H1094"/>
    <mergeCell ref="G1095:H1095"/>
    <mergeCell ref="G1096:H1096"/>
    <mergeCell ref="Q1097:R1097"/>
    <mergeCell ref="Q1098:R1098"/>
    <mergeCell ref="O1099:Q1099"/>
    <mergeCell ref="T1099:V1099"/>
    <mergeCell ref="Y1099:AA1099"/>
    <mergeCell ref="E1102:AG1102"/>
    <mergeCell ref="Y1103:AB1103"/>
    <mergeCell ref="AD1111:AG1111"/>
    <mergeCell ref="AD1112:AG1112"/>
    <mergeCell ref="AD1113:AG1113"/>
    <mergeCell ref="AD1103:AG1103"/>
    <mergeCell ref="AD1104:AG1104"/>
    <mergeCell ref="AD1105:AG1105"/>
    <mergeCell ref="AD1106:AG1106"/>
    <mergeCell ref="AD1108:AG1108"/>
    <mergeCell ref="AD1109:AG1109"/>
    <mergeCell ref="AD1110:AG1110"/>
    <mergeCell ref="T1088:V1088"/>
    <mergeCell ref="T1089:V1089"/>
    <mergeCell ref="T1092:W1092"/>
    <mergeCell ref="V1093:W1093"/>
    <mergeCell ref="V1094:W1094"/>
    <mergeCell ref="V1095:W1095"/>
    <mergeCell ref="V1096:W1096"/>
    <mergeCell ref="T1104:W1104"/>
    <mergeCell ref="T1105:W1105"/>
    <mergeCell ref="Y1108:AB1108"/>
    <mergeCell ref="T1109:W1109"/>
    <mergeCell ref="Y1109:AB1109"/>
    <mergeCell ref="T1110:V1110"/>
    <mergeCell ref="Y1110:AA1110"/>
    <mergeCell ref="T1111:V1111"/>
    <mergeCell ref="Y1111:AA1111"/>
    <mergeCell ref="T1112:V1112"/>
    <mergeCell ref="Y1112:AA1112"/>
    <mergeCell ref="T1113:V1113"/>
    <mergeCell ref="Y1113:AA1113"/>
    <mergeCell ref="O1085:R1085"/>
    <mergeCell ref="O1086:Q1086"/>
    <mergeCell ref="AC1079:AC1090"/>
    <mergeCell ref="E1084:H1084"/>
    <mergeCell ref="O1084:R1084"/>
    <mergeCell ref="Y1084:AB1084"/>
    <mergeCell ref="C1085:C1087"/>
    <mergeCell ref="J1090:L1090"/>
    <mergeCell ref="T1090:V1090"/>
    <mergeCell ref="AA1094:AB1094"/>
    <mergeCell ref="AA1095:AB1095"/>
    <mergeCell ref="AA1096:AB1096"/>
    <mergeCell ref="Y1089:AA1089"/>
    <mergeCell ref="Y1090:AA1090"/>
    <mergeCell ref="Y1092:AB1092"/>
    <mergeCell ref="AD1092:AG1092"/>
    <mergeCell ref="AA1093:AB1093"/>
    <mergeCell ref="AF1093:AG1093"/>
    <mergeCell ref="AF1094:AG1094"/>
    <mergeCell ref="O1087:Q1087"/>
    <mergeCell ref="O1088:Q1088"/>
    <mergeCell ref="O1089:Q1089"/>
    <mergeCell ref="O1090:Q1090"/>
    <mergeCell ref="O1092:R1092"/>
    <mergeCell ref="Q1093:R1093"/>
    <mergeCell ref="Q1094:R1094"/>
    <mergeCell ref="Q1095:R1095"/>
    <mergeCell ref="Q1096:R1096"/>
    <mergeCell ref="T1103:W1103"/>
    <mergeCell ref="T1108:W1108"/>
    <mergeCell ref="T1114:V1114"/>
    <mergeCell ref="Y1114:AA1114"/>
    <mergeCell ref="AD1114:AG1114"/>
    <mergeCell ref="V1097:W1097"/>
    <mergeCell ref="V1098:W1098"/>
    <mergeCell ref="S1103:S1114"/>
    <mergeCell ref="X1103:X1114"/>
    <mergeCell ref="AC1103:AC1114"/>
    <mergeCell ref="Y1104:AB1104"/>
    <mergeCell ref="Y1105:AB1105"/>
    <mergeCell ref="V1119:W1119"/>
    <mergeCell ref="V1120:W1120"/>
    <mergeCell ref="V1121:W1121"/>
    <mergeCell ref="V1122:W1122"/>
    <mergeCell ref="T1123:V1123"/>
    <mergeCell ref="T1127:W1127"/>
    <mergeCell ref="T1116:W1116"/>
    <mergeCell ref="Y1116:AB1116"/>
    <mergeCell ref="V1117:W1117"/>
    <mergeCell ref="AA1117:AB1117"/>
    <mergeCell ref="V1118:W1118"/>
    <mergeCell ref="AA1118:AB1118"/>
    <mergeCell ref="AA1119:AB1119"/>
    <mergeCell ref="AD1128:AG1128"/>
    <mergeCell ref="AD1129:AG1129"/>
    <mergeCell ref="AD1130:AG1130"/>
    <mergeCell ref="AD1132:AG1132"/>
    <mergeCell ref="AD1133:AG1133"/>
    <mergeCell ref="AA1120:AB1120"/>
    <mergeCell ref="AA1121:AB1121"/>
    <mergeCell ref="AA1122:AB1122"/>
    <mergeCell ref="Y1123:AA1123"/>
    <mergeCell ref="E1126:AG1126"/>
    <mergeCell ref="Y1127:AB1127"/>
    <mergeCell ref="AD1127:AG1127"/>
    <mergeCell ref="O1103:R1103"/>
    <mergeCell ref="O1104:R1104"/>
    <mergeCell ref="O1105:R1105"/>
    <mergeCell ref="O1108:R1108"/>
    <mergeCell ref="O1109:R1109"/>
    <mergeCell ref="O1110:Q1110"/>
    <mergeCell ref="O1111:Q1111"/>
    <mergeCell ref="O1112:Q1112"/>
    <mergeCell ref="O1113:Q1113"/>
    <mergeCell ref="O1114:Q1114"/>
    <mergeCell ref="O1116:R1116"/>
    <mergeCell ref="Q1117:R1117"/>
    <mergeCell ref="Q1118:R1118"/>
    <mergeCell ref="Q1119:R1119"/>
    <mergeCell ref="O1127:R1127"/>
    <mergeCell ref="O1128:R1128"/>
    <mergeCell ref="T1128:W1128"/>
    <mergeCell ref="Y1128:AB1128"/>
    <mergeCell ref="O1129:R1129"/>
    <mergeCell ref="T1129:W1129"/>
    <mergeCell ref="O1123:Q1123"/>
    <mergeCell ref="O1132:R1132"/>
    <mergeCell ref="O1133:R1133"/>
    <mergeCell ref="T1132:W1132"/>
    <mergeCell ref="Y1132:AB1132"/>
    <mergeCell ref="O1151:R1151"/>
    <mergeCell ref="T1151:W1151"/>
    <mergeCell ref="L1146:M1146"/>
    <mergeCell ref="Q1146:R1146"/>
    <mergeCell ref="J1147:L1147"/>
    <mergeCell ref="O1147:Q1147"/>
    <mergeCell ref="T1147:V1147"/>
    <mergeCell ref="E1150:AG1150"/>
    <mergeCell ref="J1151:M1151"/>
    <mergeCell ref="AD1158:AG1158"/>
    <mergeCell ref="AD1159:AG1159"/>
    <mergeCell ref="AD1160:AG1160"/>
    <mergeCell ref="AD1161:AG1161"/>
    <mergeCell ref="AD1162:AG1162"/>
    <mergeCell ref="Y1151:AB1151"/>
    <mergeCell ref="AD1151:AG1151"/>
    <mergeCell ref="AD1152:AG1152"/>
    <mergeCell ref="AD1153:AG1153"/>
    <mergeCell ref="AD1154:AG1154"/>
    <mergeCell ref="AD1156:AG1156"/>
    <mergeCell ref="AD1157:AG1157"/>
    <mergeCell ref="E1153:H1153"/>
    <mergeCell ref="F1154:G1154"/>
    <mergeCell ref="G1141:H1141"/>
    <mergeCell ref="G1142:H1142"/>
    <mergeCell ref="G1143:H1143"/>
    <mergeCell ref="G1144:H1144"/>
    <mergeCell ref="G1145:H1145"/>
    <mergeCell ref="E1147:G1147"/>
    <mergeCell ref="C1152:C1154"/>
    <mergeCell ref="E1103:H1103"/>
    <mergeCell ref="C1104:C1106"/>
    <mergeCell ref="E1104:H1104"/>
    <mergeCell ref="E1105:H1105"/>
    <mergeCell ref="E1108:H1108"/>
    <mergeCell ref="C1109:C1111"/>
    <mergeCell ref="E1109:H1109"/>
    <mergeCell ref="E1110:G1110"/>
    <mergeCell ref="E1111:G1111"/>
    <mergeCell ref="E1112:G1112"/>
    <mergeCell ref="E1113:G1113"/>
    <mergeCell ref="E1114:G1114"/>
    <mergeCell ref="E1116:H1116"/>
    <mergeCell ref="G1117:H1117"/>
    <mergeCell ref="E1127:H1127"/>
    <mergeCell ref="E1128:H1128"/>
    <mergeCell ref="G1118:H1118"/>
    <mergeCell ref="G1119:H1119"/>
    <mergeCell ref="G1120:H1120"/>
    <mergeCell ref="G1121:H1121"/>
    <mergeCell ref="G1122:H1122"/>
    <mergeCell ref="E1123:G1123"/>
    <mergeCell ref="C1128:C1130"/>
    <mergeCell ref="E1129:H1129"/>
    <mergeCell ref="F1130:G1130"/>
    <mergeCell ref="E1132:H1132"/>
    <mergeCell ref="C1133:C1135"/>
    <mergeCell ref="E1133:H1133"/>
    <mergeCell ref="E1134:G1134"/>
    <mergeCell ref="E1140:H1140"/>
    <mergeCell ref="O1159:Q1159"/>
    <mergeCell ref="J1160:L1160"/>
    <mergeCell ref="E1160:G1160"/>
    <mergeCell ref="E1161:G1161"/>
    <mergeCell ref="E1162:G1162"/>
    <mergeCell ref="E1164:H1164"/>
    <mergeCell ref="J1164:M1164"/>
    <mergeCell ref="E1151:H1151"/>
    <mergeCell ref="E1152:H1152"/>
    <mergeCell ref="E1156:H1156"/>
    <mergeCell ref="C1157:C1159"/>
    <mergeCell ref="E1157:H1157"/>
    <mergeCell ref="E1158:G1158"/>
    <mergeCell ref="E1159:G1159"/>
    <mergeCell ref="J1185:L1185"/>
    <mergeCell ref="J1186:L1186"/>
    <mergeCell ref="L1170:M1170"/>
    <mergeCell ref="N1175:N1186"/>
    <mergeCell ref="J1180:M1180"/>
    <mergeCell ref="J1181:M1181"/>
    <mergeCell ref="J1182:L1182"/>
    <mergeCell ref="J1183:L1183"/>
    <mergeCell ref="J1184:L1184"/>
    <mergeCell ref="J1153:M1153"/>
    <mergeCell ref="J1159:L1159"/>
    <mergeCell ref="J1161:L1161"/>
    <mergeCell ref="O1161:Q1161"/>
    <mergeCell ref="G1146:H1146"/>
    <mergeCell ref="I1151:I1162"/>
    <mergeCell ref="N1151:N1162"/>
    <mergeCell ref="S1151:S1162"/>
    <mergeCell ref="J1152:M1152"/>
    <mergeCell ref="O1152:R1152"/>
    <mergeCell ref="O1153:R1153"/>
    <mergeCell ref="J1162:L1162"/>
    <mergeCell ref="O1162:Q1162"/>
    <mergeCell ref="O1164:R1164"/>
    <mergeCell ref="G1165:H1165"/>
    <mergeCell ref="L1165:M1165"/>
    <mergeCell ref="G1166:H1166"/>
    <mergeCell ref="Q1167:R1167"/>
    <mergeCell ref="E1182:G1182"/>
    <mergeCell ref="E1183:G1183"/>
    <mergeCell ref="O1184:Q1184"/>
    <mergeCell ref="O1185:Q1185"/>
    <mergeCell ref="O1186:Q1186"/>
    <mergeCell ref="E1175:H1175"/>
    <mergeCell ref="C1176:C1178"/>
    <mergeCell ref="E1176:H1176"/>
    <mergeCell ref="E1177:H1177"/>
    <mergeCell ref="F1178:G1178"/>
    <mergeCell ref="C1181:C1183"/>
    <mergeCell ref="E1181:H1181"/>
    <mergeCell ref="L1191:M1191"/>
    <mergeCell ref="L1192:M1192"/>
    <mergeCell ref="E1185:G1185"/>
    <mergeCell ref="E1186:G1186"/>
    <mergeCell ref="E1188:H1188"/>
    <mergeCell ref="J1188:M1188"/>
    <mergeCell ref="O1188:R1188"/>
    <mergeCell ref="L1189:M1189"/>
    <mergeCell ref="Q1189:R1189"/>
    <mergeCell ref="G1189:H1189"/>
    <mergeCell ref="G1190:H1190"/>
    <mergeCell ref="L1190:M1190"/>
    <mergeCell ref="Q1190:R1190"/>
    <mergeCell ref="G1191:H1191"/>
    <mergeCell ref="Q1191:R1191"/>
    <mergeCell ref="Q1192:R1192"/>
    <mergeCell ref="G1192:H1192"/>
    <mergeCell ref="G1193:H1193"/>
    <mergeCell ref="L1193:M1193"/>
    <mergeCell ref="Q1193:R1193"/>
    <mergeCell ref="G1194:H1194"/>
    <mergeCell ref="L1194:M1194"/>
    <mergeCell ref="Q1194:R1194"/>
    <mergeCell ref="E1198:H1198"/>
    <mergeCell ref="E1199:H1199"/>
    <mergeCell ref="J1199:M1199"/>
    <mergeCell ref="E1200:H1200"/>
    <mergeCell ref="J1200:M1200"/>
    <mergeCell ref="E1203:H1203"/>
    <mergeCell ref="J1203:M1203"/>
    <mergeCell ref="C1204:C1206"/>
    <mergeCell ref="E1204:H1204"/>
    <mergeCell ref="E1195:G1195"/>
    <mergeCell ref="J1195:L1195"/>
    <mergeCell ref="O1195:Q1195"/>
    <mergeCell ref="I1198:I1209"/>
    <mergeCell ref="J1198:M1198"/>
    <mergeCell ref="N1198:N1209"/>
    <mergeCell ref="C1199:C1201"/>
    <mergeCell ref="O1198:R1198"/>
    <mergeCell ref="S1198:S1209"/>
    <mergeCell ref="O1199:R1199"/>
    <mergeCell ref="O1200:R1200"/>
    <mergeCell ref="O1203:R1203"/>
    <mergeCell ref="O1204:R1204"/>
    <mergeCell ref="O1205:Q1205"/>
    <mergeCell ref="E1208:G1208"/>
    <mergeCell ref="J1208:L1208"/>
    <mergeCell ref="E1209:G1209"/>
    <mergeCell ref="J1209:L1209"/>
    <mergeCell ref="E1211:H1211"/>
    <mergeCell ref="J1211:M1211"/>
    <mergeCell ref="G1212:H1212"/>
    <mergeCell ref="L1212:M1212"/>
    <mergeCell ref="L1213:M1213"/>
    <mergeCell ref="O1226:R1226"/>
    <mergeCell ref="O1227:R1227"/>
    <mergeCell ref="Q1216:R1216"/>
    <mergeCell ref="Q1217:R1217"/>
    <mergeCell ref="O1218:Q1218"/>
    <mergeCell ref="O1221:R1221"/>
    <mergeCell ref="S1221:S1232"/>
    <mergeCell ref="O1222:R1222"/>
    <mergeCell ref="O1223:R1223"/>
    <mergeCell ref="Q1120:R1120"/>
    <mergeCell ref="Q1121:R1121"/>
    <mergeCell ref="Q1122:R1122"/>
    <mergeCell ref="S1127:S1138"/>
    <mergeCell ref="X1127:X1138"/>
    <mergeCell ref="AC1127:AC1138"/>
    <mergeCell ref="Y1129:AB1129"/>
    <mergeCell ref="T1133:W1133"/>
    <mergeCell ref="Y1133:AB1133"/>
    <mergeCell ref="J1140:M1140"/>
    <mergeCell ref="O1140:R1140"/>
    <mergeCell ref="Y1140:AB1140"/>
    <mergeCell ref="Q1141:R1141"/>
    <mergeCell ref="AA1141:AB1141"/>
    <mergeCell ref="Q1144:R1144"/>
    <mergeCell ref="Q1145:R1145"/>
    <mergeCell ref="T1140:W1140"/>
    <mergeCell ref="V1141:W1141"/>
    <mergeCell ref="V1142:W1142"/>
    <mergeCell ref="AA1142:AB1142"/>
    <mergeCell ref="V1143:W1143"/>
    <mergeCell ref="AA1143:AB1143"/>
    <mergeCell ref="AA1144:AB1144"/>
    <mergeCell ref="J1156:M1156"/>
    <mergeCell ref="O1156:R1156"/>
    <mergeCell ref="J1157:M1157"/>
    <mergeCell ref="O1157:R1157"/>
    <mergeCell ref="J1158:L1158"/>
    <mergeCell ref="O1158:Q1158"/>
    <mergeCell ref="O1160:Q1160"/>
    <mergeCell ref="L1141:M1141"/>
    <mergeCell ref="L1142:M1142"/>
    <mergeCell ref="Q1142:R1142"/>
    <mergeCell ref="L1143:M1143"/>
    <mergeCell ref="Q1143:R1143"/>
    <mergeCell ref="L1144:M1144"/>
    <mergeCell ref="L1145:M1145"/>
    <mergeCell ref="Y1159:AA1159"/>
    <mergeCell ref="Y1160:AA1160"/>
    <mergeCell ref="Q1170:R1170"/>
    <mergeCell ref="S1175:S1186"/>
    <mergeCell ref="O1176:R1176"/>
    <mergeCell ref="O1177:R1177"/>
    <mergeCell ref="O1180:R1180"/>
    <mergeCell ref="O1181:R1181"/>
    <mergeCell ref="O1182:Q1182"/>
    <mergeCell ref="O1183:Q1183"/>
    <mergeCell ref="Q1165:R1165"/>
    <mergeCell ref="Q1166:R1166"/>
    <mergeCell ref="Q1168:R1168"/>
    <mergeCell ref="Q1169:R1169"/>
    <mergeCell ref="O1171:Q1171"/>
    <mergeCell ref="O1172:Q1172"/>
    <mergeCell ref="O1175:R1175"/>
    <mergeCell ref="J1176:M1176"/>
    <mergeCell ref="J1177:M1177"/>
    <mergeCell ref="L1166:M1166"/>
    <mergeCell ref="L1167:M1167"/>
    <mergeCell ref="L1168:M1168"/>
    <mergeCell ref="L1169:M1169"/>
    <mergeCell ref="J1171:L1171"/>
    <mergeCell ref="J1172:L1172"/>
    <mergeCell ref="J1175:M1175"/>
    <mergeCell ref="E1180:H1180"/>
    <mergeCell ref="E1184:G1184"/>
    <mergeCell ref="G1167:H1167"/>
    <mergeCell ref="G1168:H1168"/>
    <mergeCell ref="G1169:H1169"/>
    <mergeCell ref="G1170:H1170"/>
    <mergeCell ref="E1171:G1171"/>
    <mergeCell ref="E1172:G1172"/>
    <mergeCell ref="I1175:I1186"/>
    <mergeCell ref="T1181:W1181"/>
    <mergeCell ref="T1182:V1182"/>
    <mergeCell ref="T1171:V1171"/>
    <mergeCell ref="T1172:V1172"/>
    <mergeCell ref="T1175:W1175"/>
    <mergeCell ref="X1175:X1186"/>
    <mergeCell ref="T1176:W1176"/>
    <mergeCell ref="T1177:W1177"/>
    <mergeCell ref="T1180:W1180"/>
    <mergeCell ref="T1157:W1157"/>
    <mergeCell ref="T1158:V1158"/>
    <mergeCell ref="T1159:V1159"/>
    <mergeCell ref="T1160:V1160"/>
    <mergeCell ref="T1161:V1161"/>
    <mergeCell ref="T1162:V1162"/>
    <mergeCell ref="V1144:W1144"/>
    <mergeCell ref="V1145:W1145"/>
    <mergeCell ref="V1146:W1146"/>
    <mergeCell ref="X1151:X1162"/>
    <mergeCell ref="T1152:W1152"/>
    <mergeCell ref="T1153:W1153"/>
    <mergeCell ref="T1156:W1156"/>
    <mergeCell ref="T1164:W1164"/>
    <mergeCell ref="V1165:W1165"/>
    <mergeCell ref="V1166:W1166"/>
    <mergeCell ref="V1167:W1167"/>
    <mergeCell ref="V1168:W1168"/>
    <mergeCell ref="V1169:W1169"/>
    <mergeCell ref="V1170:W1170"/>
    <mergeCell ref="T1183:V1183"/>
    <mergeCell ref="T1184:V1184"/>
    <mergeCell ref="T1185:V1185"/>
    <mergeCell ref="T1186:V1186"/>
    <mergeCell ref="T1188:W1188"/>
    <mergeCell ref="V1189:W1189"/>
    <mergeCell ref="V1190:W1190"/>
    <mergeCell ref="V1191:W1191"/>
    <mergeCell ref="V1192:W1192"/>
    <mergeCell ref="T1203:W1203"/>
    <mergeCell ref="T1204:W1204"/>
    <mergeCell ref="T1205:V1205"/>
    <mergeCell ref="T1206:V1206"/>
    <mergeCell ref="T1207:V1207"/>
    <mergeCell ref="T1208:V1208"/>
    <mergeCell ref="V1193:W1193"/>
    <mergeCell ref="V1194:W1194"/>
    <mergeCell ref="T1195:V1195"/>
    <mergeCell ref="T1198:W1198"/>
    <mergeCell ref="X1198:X1209"/>
    <mergeCell ref="T1199:W1199"/>
    <mergeCell ref="T1200:W1200"/>
    <mergeCell ref="T1209:V1209"/>
    <mergeCell ref="T1211:W1211"/>
    <mergeCell ref="V1212:W1212"/>
    <mergeCell ref="V1213:W1213"/>
    <mergeCell ref="V1214:W1214"/>
    <mergeCell ref="V1215:W1215"/>
    <mergeCell ref="V1216:W1216"/>
    <mergeCell ref="V1217:W1217"/>
    <mergeCell ref="T1218:V1218"/>
    <mergeCell ref="T1221:W1221"/>
    <mergeCell ref="T1222:W1222"/>
    <mergeCell ref="T1223:W1223"/>
    <mergeCell ref="U1224:V1224"/>
    <mergeCell ref="T1226:W1226"/>
    <mergeCell ref="T1227:W1227"/>
    <mergeCell ref="T1228:V1228"/>
    <mergeCell ref="T1229:V1229"/>
    <mergeCell ref="T1230:V1230"/>
    <mergeCell ref="T1231:V1231"/>
    <mergeCell ref="T1232:V1232"/>
    <mergeCell ref="T1234:W1234"/>
    <mergeCell ref="J1341:M1341"/>
    <mergeCell ref="O1341:R1341"/>
    <mergeCell ref="E1340:H1340"/>
    <mergeCell ref="E1341:H1341"/>
    <mergeCell ref="E1344:H1344"/>
    <mergeCell ref="J1344:M1344"/>
    <mergeCell ref="T1344:W1344"/>
    <mergeCell ref="J1345:M1345"/>
    <mergeCell ref="T1345:W1345"/>
    <mergeCell ref="O1344:R1344"/>
    <mergeCell ref="O1345:R1345"/>
    <mergeCell ref="O1346:Q1346"/>
    <mergeCell ref="T1346:V1346"/>
    <mergeCell ref="O1347:Q1347"/>
    <mergeCell ref="T1347:V1347"/>
    <mergeCell ref="T1348:W1348"/>
    <mergeCell ref="T1349:W1349"/>
    <mergeCell ref="O1348:R1348"/>
    <mergeCell ref="O1349:R1349"/>
    <mergeCell ref="O1352:R1352"/>
    <mergeCell ref="T1352:W1352"/>
    <mergeCell ref="AD1352:AG1352"/>
    <mergeCell ref="V1353:W1353"/>
    <mergeCell ref="AF1353:AG1353"/>
    <mergeCell ref="V1356:W1356"/>
    <mergeCell ref="V1357:W1357"/>
    <mergeCell ref="AA1356:AB1356"/>
    <mergeCell ref="AA1357:AB1357"/>
    <mergeCell ref="AA1358:AB1358"/>
    <mergeCell ref="Q1358:R1358"/>
    <mergeCell ref="V1358:W1358"/>
    <mergeCell ref="O1359:Q1359"/>
    <mergeCell ref="T1359:V1359"/>
    <mergeCell ref="Y1359:AA1359"/>
    <mergeCell ref="Q1353:R1353"/>
    <mergeCell ref="Q1354:R1354"/>
    <mergeCell ref="V1354:W1354"/>
    <mergeCell ref="Q1355:R1355"/>
    <mergeCell ref="V1355:W1355"/>
    <mergeCell ref="Q1356:R1356"/>
    <mergeCell ref="Q1357:R1357"/>
    <mergeCell ref="AF1357:AG1357"/>
    <mergeCell ref="AF1358:AG1358"/>
    <mergeCell ref="AD1359:AF1359"/>
    <mergeCell ref="Y1352:AB1352"/>
    <mergeCell ref="AA1353:AB1353"/>
    <mergeCell ref="AA1354:AB1354"/>
    <mergeCell ref="AF1354:AG1354"/>
    <mergeCell ref="AA1355:AB1355"/>
    <mergeCell ref="AF1355:AG1355"/>
    <mergeCell ref="AF1356:AG1356"/>
    <mergeCell ref="E1345:H1345"/>
    <mergeCell ref="E1346:G1346"/>
    <mergeCell ref="J1346:L1346"/>
    <mergeCell ref="E1347:G1347"/>
    <mergeCell ref="J1347:L1347"/>
    <mergeCell ref="E1348:H1348"/>
    <mergeCell ref="E1349:H1349"/>
    <mergeCell ref="G1355:H1355"/>
    <mergeCell ref="G1356:H1356"/>
    <mergeCell ref="G1357:H1357"/>
    <mergeCell ref="G1358:H1358"/>
    <mergeCell ref="E1359:G1359"/>
    <mergeCell ref="L1356:M1356"/>
    <mergeCell ref="L1357:M1357"/>
    <mergeCell ref="L1358:M1358"/>
    <mergeCell ref="J1359:L1359"/>
    <mergeCell ref="E1352:H1352"/>
    <mergeCell ref="J1352:M1352"/>
    <mergeCell ref="G1353:H1353"/>
    <mergeCell ref="L1353:M1353"/>
    <mergeCell ref="G1354:H1354"/>
    <mergeCell ref="L1354:M1354"/>
    <mergeCell ref="L1355:M1355"/>
    <mergeCell ref="T1326:V1326"/>
    <mergeCell ref="T1327:V1327"/>
    <mergeCell ref="T1329:W1329"/>
    <mergeCell ref="Y1329:AB1329"/>
    <mergeCell ref="AD1329:AG1329"/>
    <mergeCell ref="AA1330:AB1330"/>
    <mergeCell ref="AF1330:AG1330"/>
    <mergeCell ref="AF1334:AG1334"/>
    <mergeCell ref="AF1335:AG1335"/>
    <mergeCell ref="AD1336:AF1336"/>
    <mergeCell ref="V1330:W1330"/>
    <mergeCell ref="V1331:W1331"/>
    <mergeCell ref="AA1331:AB1331"/>
    <mergeCell ref="AF1331:AG1331"/>
    <mergeCell ref="V1332:W1332"/>
    <mergeCell ref="AF1332:AG1332"/>
    <mergeCell ref="AF1333:AG1333"/>
    <mergeCell ref="J1340:M1340"/>
    <mergeCell ref="O1340:R1340"/>
    <mergeCell ref="C1340:C1342"/>
    <mergeCell ref="F1342:G1342"/>
    <mergeCell ref="J1348:M1348"/>
    <mergeCell ref="J1349:M1349"/>
    <mergeCell ref="Y1349:AB1349"/>
    <mergeCell ref="AD1349:AG1349"/>
    <mergeCell ref="E1350:H1350"/>
    <mergeCell ref="J1350:M1350"/>
    <mergeCell ref="O1350:R1350"/>
    <mergeCell ref="T1350:W1350"/>
    <mergeCell ref="Y1350:AB1350"/>
    <mergeCell ref="AD1350:AG1350"/>
    <mergeCell ref="AA1283:AB1283"/>
    <mergeCell ref="AA1284:AB1284"/>
    <mergeCell ref="T1278:V1278"/>
    <mergeCell ref="T1279:V1279"/>
    <mergeCell ref="T1280:V1280"/>
    <mergeCell ref="T1282:W1282"/>
    <mergeCell ref="Y1282:AB1282"/>
    <mergeCell ref="V1283:W1283"/>
    <mergeCell ref="V1284:W1284"/>
    <mergeCell ref="Y1289:AA1289"/>
    <mergeCell ref="Y1292:AB1292"/>
    <mergeCell ref="V1285:W1285"/>
    <mergeCell ref="AA1285:AB1285"/>
    <mergeCell ref="V1286:W1286"/>
    <mergeCell ref="AA1286:AB1286"/>
    <mergeCell ref="V1287:W1287"/>
    <mergeCell ref="AA1287:AB1287"/>
    <mergeCell ref="AA1288:AB1288"/>
    <mergeCell ref="V1235:W1235"/>
    <mergeCell ref="V1236:W1236"/>
    <mergeCell ref="V1237:W1237"/>
    <mergeCell ref="V1238:W1238"/>
    <mergeCell ref="V1239:W1239"/>
    <mergeCell ref="V1240:W1240"/>
    <mergeCell ref="T1241:V1241"/>
    <mergeCell ref="T1242:V1242"/>
    <mergeCell ref="T1245:W1245"/>
    <mergeCell ref="T1246:W1246"/>
    <mergeCell ref="T1247:W1247"/>
    <mergeCell ref="T1250:W1250"/>
    <mergeCell ref="T1251:W1251"/>
    <mergeCell ref="T1252:V1252"/>
    <mergeCell ref="AA1260:AB1260"/>
    <mergeCell ref="AA1261:AB1261"/>
    <mergeCell ref="AA1262:AB1262"/>
    <mergeCell ref="AA1263:AB1263"/>
    <mergeCell ref="AA1264:AB1264"/>
    <mergeCell ref="Y1265:AA1265"/>
    <mergeCell ref="T1253:V1253"/>
    <mergeCell ref="T1254:V1254"/>
    <mergeCell ref="T1255:V1255"/>
    <mergeCell ref="T1256:V1256"/>
    <mergeCell ref="T1258:W1258"/>
    <mergeCell ref="Y1258:AB1258"/>
    <mergeCell ref="AA1259:AB1259"/>
    <mergeCell ref="V1259:W1259"/>
    <mergeCell ref="V1260:W1260"/>
    <mergeCell ref="V1261:W1261"/>
    <mergeCell ref="V1262:W1262"/>
    <mergeCell ref="V1263:W1263"/>
    <mergeCell ref="V1264:W1264"/>
    <mergeCell ref="T1265:V1265"/>
    <mergeCell ref="T1269:W1269"/>
    <mergeCell ref="T1270:W1270"/>
    <mergeCell ref="T1271:W1271"/>
    <mergeCell ref="T1274:W1274"/>
    <mergeCell ref="T1275:W1275"/>
    <mergeCell ref="T1276:V1276"/>
    <mergeCell ref="T1277:V1277"/>
    <mergeCell ref="Y1293:AB1293"/>
    <mergeCell ref="Y1294:AB1294"/>
    <mergeCell ref="V1288:W1288"/>
    <mergeCell ref="T1289:V1289"/>
    <mergeCell ref="T1292:W1292"/>
    <mergeCell ref="X1292:X1303"/>
    <mergeCell ref="AC1292:AC1303"/>
    <mergeCell ref="T1293:W1293"/>
    <mergeCell ref="T1294:W1294"/>
    <mergeCell ref="T1303:V1303"/>
    <mergeCell ref="Y1303:AA1303"/>
    <mergeCell ref="T1305:W1305"/>
    <mergeCell ref="Y1305:AB1305"/>
    <mergeCell ref="V1306:W1306"/>
    <mergeCell ref="AA1306:AB1306"/>
    <mergeCell ref="AA1307:AB1307"/>
    <mergeCell ref="AA1310:AB1310"/>
    <mergeCell ref="AA1311:AB1311"/>
    <mergeCell ref="E1315:AG1315"/>
    <mergeCell ref="E1316:H1316"/>
    <mergeCell ref="T1316:W1316"/>
    <mergeCell ref="T1317:W1317"/>
    <mergeCell ref="T1318:W1318"/>
    <mergeCell ref="V1307:W1307"/>
    <mergeCell ref="V1308:W1308"/>
    <mergeCell ref="AA1308:AB1308"/>
    <mergeCell ref="V1309:W1309"/>
    <mergeCell ref="AA1309:AB1309"/>
    <mergeCell ref="V1310:W1310"/>
    <mergeCell ref="V1311:W1311"/>
    <mergeCell ref="U1295:V1295"/>
    <mergeCell ref="T1297:W1297"/>
    <mergeCell ref="Y1297:AB1297"/>
    <mergeCell ref="T1298:W1298"/>
    <mergeCell ref="Y1298:AB1298"/>
    <mergeCell ref="T1299:V1299"/>
    <mergeCell ref="Y1299:AA1299"/>
    <mergeCell ref="T1300:V1300"/>
    <mergeCell ref="Y1300:AA1300"/>
    <mergeCell ref="T1301:V1301"/>
    <mergeCell ref="Y1301:AA1301"/>
    <mergeCell ref="T1302:V1302"/>
    <mergeCell ref="Y1302:AA1302"/>
    <mergeCell ref="T1312:V1312"/>
    <mergeCell ref="Y1312:AA1312"/>
    <mergeCell ref="T1321:W1321"/>
    <mergeCell ref="T1322:W1322"/>
    <mergeCell ref="T1323:V1323"/>
    <mergeCell ref="T1324:V1324"/>
    <mergeCell ref="T1325:V1325"/>
    <mergeCell ref="AA1332:AB1332"/>
    <mergeCell ref="AA1333:AB1333"/>
    <mergeCell ref="AA1334:AB1334"/>
    <mergeCell ref="AA1335:AB1335"/>
    <mergeCell ref="Y1336:AA1336"/>
    <mergeCell ref="V1333:W1333"/>
    <mergeCell ref="V1334:W1334"/>
    <mergeCell ref="V1335:W1335"/>
    <mergeCell ref="T1336:V1336"/>
    <mergeCell ref="T1339:W1339"/>
    <mergeCell ref="T1340:W1340"/>
    <mergeCell ref="T1341:W1341"/>
    <mergeCell ref="Y1339:AB1339"/>
    <mergeCell ref="Y1344:AB1344"/>
    <mergeCell ref="Y1327:AA1327"/>
    <mergeCell ref="AD1327:AF1327"/>
    <mergeCell ref="X1339:X1350"/>
    <mergeCell ref="AC1339:AC1350"/>
    <mergeCell ref="AD1339:AG1339"/>
    <mergeCell ref="AD1340:AG1340"/>
    <mergeCell ref="AD1341:AG1341"/>
    <mergeCell ref="AD1312:AF1312"/>
    <mergeCell ref="Y1316:AB1316"/>
    <mergeCell ref="AF1306:AG1306"/>
    <mergeCell ref="AF1307:AG1307"/>
    <mergeCell ref="AF1308:AG1308"/>
    <mergeCell ref="AF1309:AG1309"/>
    <mergeCell ref="AF1310:AG1310"/>
    <mergeCell ref="X1316:X1327"/>
    <mergeCell ref="AC1316:AC1327"/>
    <mergeCell ref="Y1340:AB1340"/>
    <mergeCell ref="Y1341:AB1341"/>
    <mergeCell ref="AD1344:AG1344"/>
    <mergeCell ref="Y1345:AB1345"/>
    <mergeCell ref="AD1345:AG1345"/>
    <mergeCell ref="Y1346:AA1346"/>
    <mergeCell ref="AD1346:AF1346"/>
    <mergeCell ref="Y1347:AA1347"/>
    <mergeCell ref="AD1347:AF1347"/>
    <mergeCell ref="Y1348:AB1348"/>
    <mergeCell ref="AD1348:AG1348"/>
    <mergeCell ref="Y75:AB75"/>
    <mergeCell ref="O77:R77"/>
    <mergeCell ref="T77:W77"/>
    <mergeCell ref="Y77:AB77"/>
    <mergeCell ref="L41:M41"/>
    <mergeCell ref="L42:M42"/>
    <mergeCell ref="N49:N60"/>
    <mergeCell ref="N72:N83"/>
    <mergeCell ref="S72:S83"/>
    <mergeCell ref="X72:X83"/>
    <mergeCell ref="AC72:AC83"/>
    <mergeCell ref="Y82:AB82"/>
    <mergeCell ref="O83:Q83"/>
    <mergeCell ref="T83:V83"/>
    <mergeCell ref="Y83:AB83"/>
    <mergeCell ref="O85:R85"/>
    <mergeCell ref="T85:W85"/>
    <mergeCell ref="V86:W86"/>
    <mergeCell ref="V89:W89"/>
    <mergeCell ref="V90:W90"/>
    <mergeCell ref="Q91:R91"/>
    <mergeCell ref="V91:W91"/>
    <mergeCell ref="O92:Q92"/>
    <mergeCell ref="T92:V92"/>
    <mergeCell ref="Q86:R86"/>
    <mergeCell ref="Q87:R87"/>
    <mergeCell ref="V87:W87"/>
    <mergeCell ref="Q88:R88"/>
    <mergeCell ref="V88:W88"/>
    <mergeCell ref="Q89:R89"/>
    <mergeCell ref="Q90:R90"/>
    <mergeCell ref="J72:M72"/>
    <mergeCell ref="J73:M73"/>
    <mergeCell ref="J74:M74"/>
    <mergeCell ref="J77:M77"/>
    <mergeCell ref="J78:M78"/>
    <mergeCell ref="J79:L79"/>
    <mergeCell ref="J80:L80"/>
    <mergeCell ref="J97:M97"/>
    <mergeCell ref="J98:M98"/>
    <mergeCell ref="J101:M101"/>
    <mergeCell ref="J102:M102"/>
    <mergeCell ref="J81:L81"/>
    <mergeCell ref="J82:L82"/>
    <mergeCell ref="J83:L83"/>
    <mergeCell ref="J85:M85"/>
    <mergeCell ref="L86:M86"/>
    <mergeCell ref="L87:M87"/>
    <mergeCell ref="L88:M88"/>
    <mergeCell ref="T97:W97"/>
    <mergeCell ref="T98:W98"/>
    <mergeCell ref="Y98:AB98"/>
    <mergeCell ref="U99:V99"/>
    <mergeCell ref="O101:R101"/>
    <mergeCell ref="T101:W101"/>
    <mergeCell ref="Y101:AB101"/>
    <mergeCell ref="Y102:AB102"/>
    <mergeCell ref="O73:R73"/>
    <mergeCell ref="T73:W73"/>
    <mergeCell ref="Y73:AB73"/>
    <mergeCell ref="O74:R74"/>
    <mergeCell ref="T74:W74"/>
    <mergeCell ref="Y74:AB74"/>
    <mergeCell ref="O78:R78"/>
    <mergeCell ref="T78:W78"/>
    <mergeCell ref="Y78:AB78"/>
    <mergeCell ref="O79:Q79"/>
    <mergeCell ref="T79:V79"/>
    <mergeCell ref="Y79:AB79"/>
    <mergeCell ref="O80:Q80"/>
    <mergeCell ref="T80:V80"/>
    <mergeCell ref="Y80:AB80"/>
    <mergeCell ref="O81:Q81"/>
    <mergeCell ref="T81:V81"/>
    <mergeCell ref="Y81:AB81"/>
    <mergeCell ref="O82:Q82"/>
    <mergeCell ref="T82:V82"/>
    <mergeCell ref="E95:AG95"/>
    <mergeCell ref="J96:M96"/>
    <mergeCell ref="O96:R96"/>
    <mergeCell ref="T96:W96"/>
    <mergeCell ref="Y96:AB96"/>
    <mergeCell ref="L89:M89"/>
    <mergeCell ref="L90:M90"/>
    <mergeCell ref="L91:M91"/>
    <mergeCell ref="J92:L92"/>
    <mergeCell ref="J103:L103"/>
    <mergeCell ref="J104:L104"/>
    <mergeCell ref="J105:L105"/>
    <mergeCell ref="J106:L106"/>
    <mergeCell ref="J107:L107"/>
    <mergeCell ref="J109:M109"/>
    <mergeCell ref="L110:M110"/>
    <mergeCell ref="L111:M111"/>
    <mergeCell ref="L112:M112"/>
    <mergeCell ref="L113:M113"/>
    <mergeCell ref="L138:M138"/>
    <mergeCell ref="L139:M139"/>
    <mergeCell ref="E140:G140"/>
    <mergeCell ref="J140:L140"/>
    <mergeCell ref="Q139:R139"/>
    <mergeCell ref="O140:Q140"/>
    <mergeCell ref="E143:AG143"/>
    <mergeCell ref="E144:H144"/>
    <mergeCell ref="O144:R144"/>
    <mergeCell ref="Y144:AB144"/>
    <mergeCell ref="Y145:AB145"/>
    <mergeCell ref="AA114:AB114"/>
    <mergeCell ref="AA115:AB115"/>
    <mergeCell ref="Y116:AA116"/>
    <mergeCell ref="E119:AG119"/>
    <mergeCell ref="E120:H120"/>
    <mergeCell ref="O120:R120"/>
    <mergeCell ref="Y120:AB120"/>
    <mergeCell ref="Y127:AB127"/>
    <mergeCell ref="Y128:AB128"/>
    <mergeCell ref="Y129:AB129"/>
    <mergeCell ref="Y130:AB130"/>
    <mergeCell ref="Y131:AB131"/>
    <mergeCell ref="Z136:Z140"/>
    <mergeCell ref="AA136:AA140"/>
    <mergeCell ref="V114:W114"/>
    <mergeCell ref="V115:W115"/>
    <mergeCell ref="T116:V116"/>
    <mergeCell ref="Y123:AB123"/>
    <mergeCell ref="O125:R125"/>
    <mergeCell ref="Y125:AB125"/>
    <mergeCell ref="Y126:AB126"/>
    <mergeCell ref="O126:R126"/>
    <mergeCell ref="O127:Q127"/>
    <mergeCell ref="O128:Q128"/>
    <mergeCell ref="O129:Q129"/>
    <mergeCell ref="O130:Q130"/>
    <mergeCell ref="O131:Q131"/>
    <mergeCell ref="O133:R133"/>
    <mergeCell ref="Q137:R137"/>
    <mergeCell ref="Q138:R138"/>
    <mergeCell ref="Q134:R134"/>
    <mergeCell ref="Q135:R135"/>
    <mergeCell ref="Q136:R136"/>
    <mergeCell ref="G137:H137"/>
    <mergeCell ref="L137:M137"/>
    <mergeCell ref="G138:H138"/>
    <mergeCell ref="G139:H139"/>
    <mergeCell ref="O151:Q151"/>
    <mergeCell ref="Y151:AB151"/>
    <mergeCell ref="O174:R174"/>
    <mergeCell ref="O175:Q175"/>
    <mergeCell ref="O176:Q176"/>
    <mergeCell ref="O177:Q177"/>
    <mergeCell ref="O178:Q178"/>
    <mergeCell ref="O179:Q179"/>
    <mergeCell ref="O181:R181"/>
    <mergeCell ref="Q182:R182"/>
    <mergeCell ref="Q183:R183"/>
    <mergeCell ref="Q184:R184"/>
    <mergeCell ref="Q185:R185"/>
    <mergeCell ref="Q186:R186"/>
    <mergeCell ref="Q187:R187"/>
    <mergeCell ref="O188:Q188"/>
    <mergeCell ref="P194:Q194"/>
    <mergeCell ref="O196:R196"/>
    <mergeCell ref="O197:R197"/>
    <mergeCell ref="O198:Q198"/>
    <mergeCell ref="O199:Q199"/>
    <mergeCell ref="O200:Q200"/>
    <mergeCell ref="O201:Q201"/>
    <mergeCell ref="O202:Q202"/>
    <mergeCell ref="O191:R191"/>
    <mergeCell ref="Y191:AB191"/>
    <mergeCell ref="O192:R192"/>
    <mergeCell ref="Y192:AB192"/>
    <mergeCell ref="O193:R193"/>
    <mergeCell ref="Y193:AB193"/>
    <mergeCell ref="Y194:AB194"/>
    <mergeCell ref="Y200:AB200"/>
    <mergeCell ref="Y201:AB201"/>
    <mergeCell ref="Y202:AB202"/>
    <mergeCell ref="T201:W201"/>
    <mergeCell ref="T202:W202"/>
    <mergeCell ref="Y196:AB196"/>
    <mergeCell ref="Y197:AB197"/>
    <mergeCell ref="Y198:AB198"/>
    <mergeCell ref="Y199:AB199"/>
    <mergeCell ref="T200:W200"/>
    <mergeCell ref="AD200:AG200"/>
    <mergeCell ref="AD201:AG201"/>
    <mergeCell ref="AD202:AG202"/>
    <mergeCell ref="Y149:AB149"/>
    <mergeCell ref="Y150:AB150"/>
    <mergeCell ref="O145:R145"/>
    <mergeCell ref="O146:R146"/>
    <mergeCell ref="Y146:AB146"/>
    <mergeCell ref="P147:Q147"/>
    <mergeCell ref="Y147:AB147"/>
    <mergeCell ref="O149:R149"/>
    <mergeCell ref="O150:R150"/>
    <mergeCell ref="O152:Q152"/>
    <mergeCell ref="Y152:AB152"/>
    <mergeCell ref="O153:Q153"/>
    <mergeCell ref="Y153:AB153"/>
    <mergeCell ref="O154:Q154"/>
    <mergeCell ref="Y154:AB154"/>
    <mergeCell ref="Y155:AB155"/>
    <mergeCell ref="Q163:R163"/>
    <mergeCell ref="O164:Q164"/>
    <mergeCell ref="E167:AG167"/>
    <mergeCell ref="E168:H168"/>
    <mergeCell ref="O168:R168"/>
    <mergeCell ref="Y168:AB168"/>
    <mergeCell ref="Y169:AB169"/>
    <mergeCell ref="O155:Q155"/>
    <mergeCell ref="O157:R157"/>
    <mergeCell ref="Q158:R158"/>
    <mergeCell ref="Q159:R159"/>
    <mergeCell ref="Q160:R160"/>
    <mergeCell ref="Q161:R161"/>
    <mergeCell ref="Q162:R162"/>
    <mergeCell ref="Y175:AB175"/>
    <mergeCell ref="Y176:AB176"/>
    <mergeCell ref="Y177:AB177"/>
    <mergeCell ref="Y178:AB178"/>
    <mergeCell ref="Y179:AB179"/>
    <mergeCell ref="O169:R169"/>
    <mergeCell ref="O170:R170"/>
    <mergeCell ref="Y170:AB170"/>
    <mergeCell ref="Y171:AB171"/>
    <mergeCell ref="O173:R173"/>
    <mergeCell ref="Y173:AB173"/>
    <mergeCell ref="Y174:AB174"/>
    <mergeCell ref="E116:G116"/>
    <mergeCell ref="E121:H121"/>
    <mergeCell ref="E109:H109"/>
    <mergeCell ref="G110:H110"/>
    <mergeCell ref="G111:H111"/>
    <mergeCell ref="G112:H112"/>
    <mergeCell ref="G113:H113"/>
    <mergeCell ref="G114:H114"/>
    <mergeCell ref="G115:H115"/>
    <mergeCell ref="E37:G37"/>
    <mergeCell ref="E39:H39"/>
    <mergeCell ref="J39:M39"/>
    <mergeCell ref="G40:H40"/>
    <mergeCell ref="L40:M40"/>
    <mergeCell ref="G41:H41"/>
    <mergeCell ref="G42:H42"/>
    <mergeCell ref="G43:H43"/>
    <mergeCell ref="L43:M43"/>
    <mergeCell ref="G44:H44"/>
    <mergeCell ref="L44:M44"/>
    <mergeCell ref="G45:H45"/>
    <mergeCell ref="L45:M45"/>
    <mergeCell ref="J46:L46"/>
    <mergeCell ref="C50:C52"/>
    <mergeCell ref="C55:C57"/>
    <mergeCell ref="C73:C75"/>
    <mergeCell ref="C78:C80"/>
    <mergeCell ref="C97:C99"/>
    <mergeCell ref="C102:C104"/>
    <mergeCell ref="C121:C123"/>
    <mergeCell ref="C126:C128"/>
    <mergeCell ref="E57:G57"/>
    <mergeCell ref="E58:G58"/>
    <mergeCell ref="E62:H62"/>
    <mergeCell ref="G63:H63"/>
    <mergeCell ref="G64:H64"/>
    <mergeCell ref="G65:H65"/>
    <mergeCell ref="E59:G59"/>
    <mergeCell ref="E60:G60"/>
    <mergeCell ref="J60:L60"/>
    <mergeCell ref="J62:M62"/>
    <mergeCell ref="L63:M63"/>
    <mergeCell ref="L64:M64"/>
    <mergeCell ref="L65:M65"/>
    <mergeCell ref="E122:H122"/>
    <mergeCell ref="E125:H125"/>
    <mergeCell ref="E126:H126"/>
    <mergeCell ref="E55:H55"/>
    <mergeCell ref="E56:G56"/>
    <mergeCell ref="I49:I60"/>
    <mergeCell ref="I72:I83"/>
    <mergeCell ref="I96:I107"/>
    <mergeCell ref="I120:I131"/>
    <mergeCell ref="E46:G46"/>
    <mergeCell ref="E49:H49"/>
    <mergeCell ref="E50:H50"/>
    <mergeCell ref="E51:H51"/>
    <mergeCell ref="F52:G52"/>
    <mergeCell ref="E54:H54"/>
    <mergeCell ref="E72:H72"/>
    <mergeCell ref="E73:H73"/>
    <mergeCell ref="E74:H74"/>
    <mergeCell ref="E77:H77"/>
    <mergeCell ref="E78:H78"/>
    <mergeCell ref="E79:G79"/>
    <mergeCell ref="E80:G80"/>
    <mergeCell ref="E81:G81"/>
    <mergeCell ref="E82:G82"/>
    <mergeCell ref="E83:G83"/>
    <mergeCell ref="E85:H85"/>
    <mergeCell ref="G86:H86"/>
    <mergeCell ref="G87:H87"/>
    <mergeCell ref="G88:H88"/>
    <mergeCell ref="G89:H89"/>
    <mergeCell ref="G90:H90"/>
    <mergeCell ref="G91:H91"/>
    <mergeCell ref="E92:G92"/>
    <mergeCell ref="E96:H96"/>
    <mergeCell ref="E97:H97"/>
    <mergeCell ref="E98:H98"/>
    <mergeCell ref="F99:G99"/>
    <mergeCell ref="E101:H101"/>
    <mergeCell ref="E102:H102"/>
    <mergeCell ref="E103:G103"/>
    <mergeCell ref="E104:G104"/>
    <mergeCell ref="E105:G105"/>
    <mergeCell ref="E106:G106"/>
    <mergeCell ref="E107:G107"/>
    <mergeCell ref="J125:M125"/>
    <mergeCell ref="J126:M126"/>
    <mergeCell ref="J127:L127"/>
    <mergeCell ref="J128:L128"/>
    <mergeCell ref="J129:L129"/>
    <mergeCell ref="J130:L130"/>
    <mergeCell ref="L114:M114"/>
    <mergeCell ref="L115:M115"/>
    <mergeCell ref="J116:L116"/>
    <mergeCell ref="J120:M120"/>
    <mergeCell ref="N120:N131"/>
    <mergeCell ref="J121:M121"/>
    <mergeCell ref="J122:M122"/>
    <mergeCell ref="J145:M145"/>
    <mergeCell ref="J146:M146"/>
    <mergeCell ref="J151:L151"/>
    <mergeCell ref="J152:L152"/>
    <mergeCell ref="J153:L153"/>
    <mergeCell ref="J154:L154"/>
    <mergeCell ref="J179:L179"/>
    <mergeCell ref="J181:M181"/>
    <mergeCell ref="L182:M182"/>
    <mergeCell ref="L183:M183"/>
    <mergeCell ref="L184:M184"/>
    <mergeCell ref="L185:M185"/>
    <mergeCell ref="L186:M186"/>
    <mergeCell ref="J197:M197"/>
    <mergeCell ref="J198:L198"/>
    <mergeCell ref="J199:L199"/>
    <mergeCell ref="J200:L200"/>
    <mergeCell ref="J201:L201"/>
    <mergeCell ref="J202:L202"/>
    <mergeCell ref="L187:M187"/>
    <mergeCell ref="J188:L188"/>
    <mergeCell ref="J191:M191"/>
    <mergeCell ref="N191:N202"/>
    <mergeCell ref="J192:M192"/>
    <mergeCell ref="J193:M193"/>
    <mergeCell ref="J196:M196"/>
    <mergeCell ref="J149:M149"/>
    <mergeCell ref="J150:M150"/>
    <mergeCell ref="J131:L131"/>
    <mergeCell ref="J133:M133"/>
    <mergeCell ref="L134:M134"/>
    <mergeCell ref="L135:M135"/>
    <mergeCell ref="L136:M136"/>
    <mergeCell ref="J144:M144"/>
    <mergeCell ref="N144:N155"/>
    <mergeCell ref="J155:L155"/>
    <mergeCell ref="J157:M157"/>
    <mergeCell ref="L158:M158"/>
    <mergeCell ref="L159:M159"/>
    <mergeCell ref="L160:M160"/>
    <mergeCell ref="L161:M161"/>
    <mergeCell ref="L162:M162"/>
    <mergeCell ref="J173:M173"/>
    <mergeCell ref="J174:M174"/>
    <mergeCell ref="J175:L175"/>
    <mergeCell ref="J176:L176"/>
    <mergeCell ref="J177:L177"/>
    <mergeCell ref="J178:L178"/>
    <mergeCell ref="L163:M163"/>
    <mergeCell ref="J164:L164"/>
    <mergeCell ref="J168:M168"/>
    <mergeCell ref="N168:N179"/>
    <mergeCell ref="J169:M169"/>
    <mergeCell ref="J170:M170"/>
    <mergeCell ref="K171:L171"/>
    <mergeCell ref="E197:H197"/>
    <mergeCell ref="E198:G198"/>
    <mergeCell ref="E201:G201"/>
    <mergeCell ref="E202:G202"/>
    <mergeCell ref="E188:G188"/>
    <mergeCell ref="E191:H191"/>
    <mergeCell ref="I191:I202"/>
    <mergeCell ref="E192:H192"/>
    <mergeCell ref="E193:H193"/>
    <mergeCell ref="F194:G194"/>
    <mergeCell ref="E196:H196"/>
    <mergeCell ref="J31:M31"/>
    <mergeCell ref="J32:M32"/>
    <mergeCell ref="J33:L33"/>
    <mergeCell ref="J34:L34"/>
    <mergeCell ref="J35:L35"/>
    <mergeCell ref="J36:L36"/>
    <mergeCell ref="L19:M19"/>
    <mergeCell ref="L20:M20"/>
    <mergeCell ref="L21:M21"/>
    <mergeCell ref="L22:M22"/>
    <mergeCell ref="J23:L23"/>
    <mergeCell ref="J26:M26"/>
    <mergeCell ref="N26:N37"/>
    <mergeCell ref="J37:L37"/>
    <mergeCell ref="E8:H8"/>
    <mergeCell ref="J8:M8"/>
    <mergeCell ref="C9:C11"/>
    <mergeCell ref="E9:H9"/>
    <mergeCell ref="J9:M9"/>
    <mergeCell ref="E10:G10"/>
    <mergeCell ref="E11:G11"/>
    <mergeCell ref="J10:L10"/>
    <mergeCell ref="J11:L11"/>
    <mergeCell ref="E16:H16"/>
    <mergeCell ref="J16:M16"/>
    <mergeCell ref="G17:H17"/>
    <mergeCell ref="L17:M17"/>
    <mergeCell ref="L18:M18"/>
    <mergeCell ref="J27:M27"/>
    <mergeCell ref="J28:M28"/>
    <mergeCell ref="E26:H26"/>
    <mergeCell ref="C27:C29"/>
    <mergeCell ref="E27:H27"/>
    <mergeCell ref="O27:R27"/>
    <mergeCell ref="E28:H28"/>
    <mergeCell ref="F29:G29"/>
    <mergeCell ref="K29:L29"/>
    <mergeCell ref="E31:H31"/>
    <mergeCell ref="C32:C34"/>
    <mergeCell ref="E32:H32"/>
    <mergeCell ref="E33:G33"/>
    <mergeCell ref="E34:G34"/>
    <mergeCell ref="E35:G35"/>
    <mergeCell ref="E36:G36"/>
    <mergeCell ref="G18:H18"/>
    <mergeCell ref="G19:H19"/>
    <mergeCell ref="G20:H20"/>
    <mergeCell ref="G21:H21"/>
    <mergeCell ref="G22:H22"/>
    <mergeCell ref="E23:G23"/>
    <mergeCell ref="I26:I37"/>
    <mergeCell ref="Y58:AB58"/>
    <mergeCell ref="AD58:AG58"/>
    <mergeCell ref="T59:W59"/>
    <mergeCell ref="Y59:AB59"/>
    <mergeCell ref="AD59:AG59"/>
    <mergeCell ref="T60:W60"/>
    <mergeCell ref="Y60:AB60"/>
    <mergeCell ref="AD60:AG60"/>
    <mergeCell ref="T37:W37"/>
    <mergeCell ref="Y37:AB37"/>
    <mergeCell ref="Y49:AB49"/>
    <mergeCell ref="AC49:AC60"/>
    <mergeCell ref="AD49:AG49"/>
    <mergeCell ref="Y50:AB50"/>
    <mergeCell ref="Y51:AB51"/>
    <mergeCell ref="S26:S37"/>
    <mergeCell ref="X26:X37"/>
    <mergeCell ref="AC26:AC37"/>
    <mergeCell ref="T27:W27"/>
    <mergeCell ref="Y27:AB27"/>
    <mergeCell ref="T28:W28"/>
    <mergeCell ref="T29:W29"/>
    <mergeCell ref="AD50:AG50"/>
    <mergeCell ref="AD51:AG51"/>
    <mergeCell ref="Y52:AB52"/>
    <mergeCell ref="AD52:AG52"/>
    <mergeCell ref="Y54:AB54"/>
    <mergeCell ref="AD54:AG54"/>
    <mergeCell ref="Y55:AB55"/>
    <mergeCell ref="AD55:AG55"/>
    <mergeCell ref="Y56:AB56"/>
    <mergeCell ref="AD56:AG56"/>
    <mergeCell ref="Y57:AB57"/>
    <mergeCell ref="AD57:AG57"/>
    <mergeCell ref="T3:W3"/>
    <mergeCell ref="Y3:AB3"/>
    <mergeCell ref="AD3:AG3"/>
    <mergeCell ref="E3:H3"/>
    <mergeCell ref="C4:C6"/>
    <mergeCell ref="E4:H4"/>
    <mergeCell ref="E5:H5"/>
    <mergeCell ref="O3:R3"/>
    <mergeCell ref="O4:R4"/>
    <mergeCell ref="T4:W4"/>
    <mergeCell ref="Y4:AB4"/>
    <mergeCell ref="AD4:AG4"/>
    <mergeCell ref="J5:M5"/>
    <mergeCell ref="O5:R5"/>
    <mergeCell ref="T5:W5"/>
    <mergeCell ref="Y5:AB5"/>
    <mergeCell ref="AD5:AG5"/>
    <mergeCell ref="AD6:AG6"/>
    <mergeCell ref="K6:L6"/>
    <mergeCell ref="P6:Q6"/>
    <mergeCell ref="Y12:AB12"/>
    <mergeCell ref="O13:Q13"/>
    <mergeCell ref="T13:W13"/>
    <mergeCell ref="Y13:AB13"/>
    <mergeCell ref="T14:W14"/>
    <mergeCell ref="Y14:AB14"/>
    <mergeCell ref="I3:I14"/>
    <mergeCell ref="J3:M3"/>
    <mergeCell ref="N3:N14"/>
    <mergeCell ref="S3:S14"/>
    <mergeCell ref="X3:X14"/>
    <mergeCell ref="AC3:AC14"/>
    <mergeCell ref="J4:M4"/>
    <mergeCell ref="J14:M14"/>
    <mergeCell ref="O14:Q14"/>
    <mergeCell ref="O16:R16"/>
    <mergeCell ref="Q17:R17"/>
    <mergeCell ref="Q18:R18"/>
    <mergeCell ref="Q19:R19"/>
    <mergeCell ref="Q20:R20"/>
    <mergeCell ref="AD27:AG27"/>
    <mergeCell ref="AD28:AG28"/>
    <mergeCell ref="AD29:AG29"/>
    <mergeCell ref="Q21:R21"/>
    <mergeCell ref="Q22:R22"/>
    <mergeCell ref="O23:Q23"/>
    <mergeCell ref="O26:R26"/>
    <mergeCell ref="T26:W26"/>
    <mergeCell ref="Y26:AB26"/>
    <mergeCell ref="AD26:AG26"/>
    <mergeCell ref="T6:W6"/>
    <mergeCell ref="Y6:AB6"/>
    <mergeCell ref="O8:R8"/>
    <mergeCell ref="T8:W8"/>
    <mergeCell ref="AD8:AG8"/>
    <mergeCell ref="Y8:AB8"/>
    <mergeCell ref="O9:R9"/>
    <mergeCell ref="T9:W9"/>
    <mergeCell ref="Y9:AB9"/>
    <mergeCell ref="AD9:AG9"/>
    <mergeCell ref="O10:Q10"/>
    <mergeCell ref="T10:W10"/>
    <mergeCell ref="AD10:AG10"/>
    <mergeCell ref="Y10:AB10"/>
    <mergeCell ref="O11:Q11"/>
    <mergeCell ref="T11:W11"/>
    <mergeCell ref="Y11:AB11"/>
    <mergeCell ref="AD11:AG11"/>
    <mergeCell ref="E12:G12"/>
    <mergeCell ref="J12:M12"/>
    <mergeCell ref="E13:G13"/>
    <mergeCell ref="J13:M13"/>
    <mergeCell ref="E14:H14"/>
    <mergeCell ref="O12:Q12"/>
    <mergeCell ref="T12:W12"/>
    <mergeCell ref="AD12:AG12"/>
    <mergeCell ref="AD13:AG13"/>
    <mergeCell ref="AD14:AG14"/>
    <mergeCell ref="Y28:AB28"/>
    <mergeCell ref="Y29:AB29"/>
    <mergeCell ref="T31:W31"/>
    <mergeCell ref="Y31:AB31"/>
    <mergeCell ref="AD31:AG31"/>
    <mergeCell ref="T32:W32"/>
    <mergeCell ref="Y32:AB32"/>
    <mergeCell ref="AD32:AG32"/>
    <mergeCell ref="T33:W33"/>
    <mergeCell ref="Y33:AB33"/>
    <mergeCell ref="AD33:AG33"/>
    <mergeCell ref="T34:W34"/>
    <mergeCell ref="Y34:AB34"/>
    <mergeCell ref="AD34:AG34"/>
    <mergeCell ref="T35:W35"/>
    <mergeCell ref="Y35:AB35"/>
    <mergeCell ref="AD35:AG35"/>
    <mergeCell ref="T36:W36"/>
    <mergeCell ref="Y36:AB36"/>
    <mergeCell ref="AD36:AG36"/>
    <mergeCell ref="AD37:AG37"/>
    <mergeCell ref="O50:R50"/>
    <mergeCell ref="O54:R54"/>
    <mergeCell ref="O36:R36"/>
    <mergeCell ref="O37:R37"/>
    <mergeCell ref="U42:U46"/>
    <mergeCell ref="O49:R49"/>
    <mergeCell ref="S49:S60"/>
    <mergeCell ref="X49:X60"/>
    <mergeCell ref="T52:W52"/>
    <mergeCell ref="Q65:R65"/>
    <mergeCell ref="Q66:R66"/>
    <mergeCell ref="O59:Q59"/>
    <mergeCell ref="O60:Q60"/>
    <mergeCell ref="O62:R62"/>
    <mergeCell ref="Q63:R63"/>
    <mergeCell ref="Q64:R64"/>
    <mergeCell ref="Z65:Z69"/>
    <mergeCell ref="AA65:AA69"/>
    <mergeCell ref="O69:Q69"/>
    <mergeCell ref="Q67:R67"/>
    <mergeCell ref="Q68:R68"/>
    <mergeCell ref="O72:R72"/>
    <mergeCell ref="T72:W72"/>
    <mergeCell ref="Y72:AB72"/>
    <mergeCell ref="AD72:AG72"/>
    <mergeCell ref="AD73:AG73"/>
    <mergeCell ref="AD82:AG82"/>
    <mergeCell ref="AD83:AG83"/>
    <mergeCell ref="AD74:AG74"/>
    <mergeCell ref="AD75:AG75"/>
    <mergeCell ref="AD77:AG77"/>
    <mergeCell ref="AD78:AG78"/>
    <mergeCell ref="AD79:AG79"/>
    <mergeCell ref="AD80:AG80"/>
    <mergeCell ref="AD81:AG81"/>
    <mergeCell ref="O28:R28"/>
    <mergeCell ref="O29:R29"/>
    <mergeCell ref="O31:R31"/>
    <mergeCell ref="O32:R32"/>
    <mergeCell ref="O33:R33"/>
    <mergeCell ref="O34:R34"/>
    <mergeCell ref="O35:R35"/>
    <mergeCell ref="T49:W49"/>
    <mergeCell ref="T50:W50"/>
    <mergeCell ref="O51:R51"/>
    <mergeCell ref="T51:W51"/>
    <mergeCell ref="T54:W54"/>
    <mergeCell ref="O55:R55"/>
    <mergeCell ref="T55:W55"/>
    <mergeCell ref="O56:Q56"/>
    <mergeCell ref="T56:W56"/>
    <mergeCell ref="O57:Q57"/>
    <mergeCell ref="T57:W57"/>
    <mergeCell ref="O58:Q58"/>
    <mergeCell ref="T58:W58"/>
    <mergeCell ref="J49:M49"/>
    <mergeCell ref="J50:M50"/>
    <mergeCell ref="J51:M51"/>
    <mergeCell ref="J54:M54"/>
    <mergeCell ref="J55:M55"/>
    <mergeCell ref="J56:L56"/>
    <mergeCell ref="J57:L57"/>
    <mergeCell ref="G68:H68"/>
    <mergeCell ref="E69:G69"/>
    <mergeCell ref="J58:L58"/>
    <mergeCell ref="J59:L59"/>
    <mergeCell ref="G66:H66"/>
    <mergeCell ref="L66:M66"/>
    <mergeCell ref="G67:H67"/>
    <mergeCell ref="L67:M67"/>
    <mergeCell ref="L68:M68"/>
    <mergeCell ref="J69:L69"/>
    <mergeCell ref="O98:R98"/>
    <mergeCell ref="O102:R102"/>
    <mergeCell ref="N96:N107"/>
    <mergeCell ref="S96:S107"/>
    <mergeCell ref="X96:X107"/>
    <mergeCell ref="AC96:AC107"/>
    <mergeCell ref="O97:R97"/>
    <mergeCell ref="Y97:AB97"/>
    <mergeCell ref="O107:Q107"/>
    <mergeCell ref="Y107:AA107"/>
    <mergeCell ref="T102:W102"/>
    <mergeCell ref="T103:V103"/>
    <mergeCell ref="O103:Q103"/>
    <mergeCell ref="O104:Q104"/>
    <mergeCell ref="Y103:AA103"/>
    <mergeCell ref="Y104:AA104"/>
    <mergeCell ref="Q114:R114"/>
    <mergeCell ref="Q115:R115"/>
    <mergeCell ref="O116:Q116"/>
    <mergeCell ref="O121:R121"/>
    <mergeCell ref="O122:R122"/>
    <mergeCell ref="O105:Q105"/>
    <mergeCell ref="O106:Q106"/>
    <mergeCell ref="O109:R109"/>
    <mergeCell ref="Q110:R110"/>
    <mergeCell ref="Q111:R111"/>
    <mergeCell ref="Q112:R112"/>
    <mergeCell ref="Q113:R113"/>
    <mergeCell ref="Y105:AA105"/>
    <mergeCell ref="Y106:AA106"/>
    <mergeCell ref="Y109:AB109"/>
    <mergeCell ref="AA110:AB110"/>
    <mergeCell ref="AA111:AB111"/>
    <mergeCell ref="AA112:AB112"/>
    <mergeCell ref="AA113:AB113"/>
    <mergeCell ref="Y121:AB121"/>
    <mergeCell ref="Y122:AB122"/>
    <mergeCell ref="T104:V104"/>
    <mergeCell ref="T105:V105"/>
    <mergeCell ref="V113:W113"/>
    <mergeCell ref="T120:W120"/>
    <mergeCell ref="V112:W112"/>
    <mergeCell ref="T121:W121"/>
    <mergeCell ref="T122:W122"/>
    <mergeCell ref="T123:W123"/>
    <mergeCell ref="T125:W125"/>
    <mergeCell ref="T126:W126"/>
    <mergeCell ref="T127:W127"/>
    <mergeCell ref="T128:W128"/>
    <mergeCell ref="T147:W147"/>
    <mergeCell ref="T149:W149"/>
    <mergeCell ref="T171:W171"/>
    <mergeCell ref="T173:W173"/>
    <mergeCell ref="T154:W154"/>
    <mergeCell ref="T155:W155"/>
    <mergeCell ref="S168:S179"/>
    <mergeCell ref="T168:W168"/>
    <mergeCell ref="X168:X179"/>
    <mergeCell ref="T169:W169"/>
    <mergeCell ref="T170:W170"/>
    <mergeCell ref="T106:V106"/>
    <mergeCell ref="T107:V107"/>
    <mergeCell ref="T109:W109"/>
    <mergeCell ref="V110:W110"/>
    <mergeCell ref="V111:W111"/>
    <mergeCell ref="S120:S131"/>
    <mergeCell ref="X120:X131"/>
    <mergeCell ref="T131:W131"/>
    <mergeCell ref="T150:W150"/>
    <mergeCell ref="T151:W151"/>
    <mergeCell ref="T152:W152"/>
    <mergeCell ref="T153:W153"/>
    <mergeCell ref="T129:W129"/>
    <mergeCell ref="T130:W130"/>
    <mergeCell ref="S144:S155"/>
    <mergeCell ref="T144:W144"/>
    <mergeCell ref="X144:X155"/>
    <mergeCell ref="T145:W145"/>
    <mergeCell ref="T146:W146"/>
    <mergeCell ref="T174:W174"/>
    <mergeCell ref="T175:W175"/>
    <mergeCell ref="T176:W176"/>
    <mergeCell ref="T177:W177"/>
    <mergeCell ref="T193:W193"/>
    <mergeCell ref="T194:W194"/>
    <mergeCell ref="T222:W222"/>
    <mergeCell ref="Y222:AB222"/>
    <mergeCell ref="T223:W223"/>
    <mergeCell ref="Y223:AB223"/>
    <mergeCell ref="T224:W224"/>
    <mergeCell ref="Y224:AB224"/>
    <mergeCell ref="T225:W225"/>
    <mergeCell ref="Y225:AB225"/>
    <mergeCell ref="T198:W198"/>
    <mergeCell ref="T199:W199"/>
    <mergeCell ref="T214:W214"/>
    <mergeCell ref="X214:X225"/>
    <mergeCell ref="Y214:AB214"/>
    <mergeCell ref="T215:W215"/>
    <mergeCell ref="T216:W216"/>
    <mergeCell ref="V230:V234"/>
    <mergeCell ref="T196:W196"/>
    <mergeCell ref="T197:W197"/>
    <mergeCell ref="T178:W178"/>
    <mergeCell ref="T179:W179"/>
    <mergeCell ref="V184:V188"/>
    <mergeCell ref="S191:S202"/>
    <mergeCell ref="T191:W191"/>
    <mergeCell ref="X191:X202"/>
    <mergeCell ref="T192:W192"/>
    <mergeCell ref="Y215:AB215"/>
    <mergeCell ref="Y216:AB216"/>
    <mergeCell ref="T217:W217"/>
    <mergeCell ref="Y217:AB217"/>
    <mergeCell ref="T219:W219"/>
    <mergeCell ref="Y219:AB219"/>
    <mergeCell ref="T220:W220"/>
    <mergeCell ref="Y220:AB220"/>
    <mergeCell ref="T221:W221"/>
    <mergeCell ref="Y221:AB221"/>
    <mergeCell ref="AD152:AG152"/>
    <mergeCell ref="AD153:AG153"/>
    <mergeCell ref="AD144:AG144"/>
    <mergeCell ref="AD145:AG145"/>
    <mergeCell ref="AD146:AG146"/>
    <mergeCell ref="AD147:AG147"/>
    <mergeCell ref="AD149:AG149"/>
    <mergeCell ref="AD150:AG150"/>
    <mergeCell ref="AD151:AG151"/>
    <mergeCell ref="AD174:AG174"/>
    <mergeCell ref="AD175:AG175"/>
    <mergeCell ref="AD154:AG154"/>
    <mergeCell ref="AD155:AG155"/>
    <mergeCell ref="AD168:AG168"/>
    <mergeCell ref="AD169:AG169"/>
    <mergeCell ref="AD170:AG170"/>
    <mergeCell ref="AD171:AG171"/>
    <mergeCell ref="AD173:AG173"/>
    <mergeCell ref="AD194:AG194"/>
    <mergeCell ref="AD196:AG196"/>
    <mergeCell ref="AD176:AG176"/>
    <mergeCell ref="AD177:AG177"/>
    <mergeCell ref="AD178:AG178"/>
    <mergeCell ref="AD179:AG179"/>
    <mergeCell ref="AD191:AG191"/>
    <mergeCell ref="AD192:AG192"/>
    <mergeCell ref="AD193:AG193"/>
    <mergeCell ref="AD219:AG219"/>
    <mergeCell ref="AD220:AG220"/>
    <mergeCell ref="AD197:AG197"/>
    <mergeCell ref="AD198:AG198"/>
    <mergeCell ref="AD199:AG199"/>
    <mergeCell ref="AD214:AG214"/>
    <mergeCell ref="AD215:AG215"/>
    <mergeCell ref="AD216:AG216"/>
    <mergeCell ref="AD217:AG217"/>
    <mergeCell ref="AD96:AG96"/>
    <mergeCell ref="AD97:AG97"/>
    <mergeCell ref="AD98:AG98"/>
    <mergeCell ref="AD99:AG99"/>
    <mergeCell ref="AD101:AG101"/>
    <mergeCell ref="AD102:AG102"/>
    <mergeCell ref="AD103:AG103"/>
    <mergeCell ref="AD122:AG122"/>
    <mergeCell ref="AD123:AG123"/>
    <mergeCell ref="AD125:AG125"/>
    <mergeCell ref="AD126:AG126"/>
    <mergeCell ref="AD127:AG127"/>
    <mergeCell ref="AD128:AG128"/>
    <mergeCell ref="AD129:AG129"/>
    <mergeCell ref="AD130:AG130"/>
    <mergeCell ref="AC120:AC131"/>
    <mergeCell ref="AC144:AC155"/>
    <mergeCell ref="AC168:AC179"/>
    <mergeCell ref="AC191:AC202"/>
    <mergeCell ref="AC214:AC225"/>
    <mergeCell ref="AD221:AG221"/>
    <mergeCell ref="AD222:AG222"/>
    <mergeCell ref="AD223:AG223"/>
    <mergeCell ref="AD224:AG224"/>
    <mergeCell ref="AD225:AG225"/>
    <mergeCell ref="AD104:AG104"/>
    <mergeCell ref="AD105:AG105"/>
    <mergeCell ref="AD106:AG106"/>
    <mergeCell ref="AD107:AG107"/>
    <mergeCell ref="AD120:AG120"/>
    <mergeCell ref="AD121:AG121"/>
    <mergeCell ref="AD131:AG131"/>
    <mergeCell ref="K266:L266"/>
    <mergeCell ref="E269:H269"/>
    <mergeCell ref="O272:Q272"/>
    <mergeCell ref="E273:G273"/>
    <mergeCell ref="J273:L273"/>
    <mergeCell ref="O273:Q273"/>
    <mergeCell ref="I263:I274"/>
    <mergeCell ref="N263:N274"/>
    <mergeCell ref="S263:S274"/>
    <mergeCell ref="X263:X274"/>
    <mergeCell ref="AC263:AC274"/>
    <mergeCell ref="C264:C269"/>
    <mergeCell ref="O274:Q274"/>
    <mergeCell ref="Y274:AA274"/>
    <mergeCell ref="L279:M279"/>
    <mergeCell ref="L280:M280"/>
    <mergeCell ref="G281:H281"/>
    <mergeCell ref="L281:M281"/>
    <mergeCell ref="Q281:R281"/>
    <mergeCell ref="AA279:AB279"/>
    <mergeCell ref="AA280:AB280"/>
    <mergeCell ref="AA282:AB282"/>
    <mergeCell ref="Y283:AA283"/>
    <mergeCell ref="Y272:AA272"/>
    <mergeCell ref="Y273:AA273"/>
    <mergeCell ref="Y276:AB276"/>
    <mergeCell ref="AA277:AB277"/>
    <mergeCell ref="AA278:AB278"/>
    <mergeCell ref="AD278:AD280"/>
    <mergeCell ref="AE278:AE281"/>
    <mergeCell ref="AA281:AB281"/>
    <mergeCell ref="AD289:AG289"/>
    <mergeCell ref="AD290:AG290"/>
    <mergeCell ref="V281:W281"/>
    <mergeCell ref="V282:W282"/>
    <mergeCell ref="E287:AG287"/>
    <mergeCell ref="E288:H288"/>
    <mergeCell ref="T288:W288"/>
    <mergeCell ref="Y288:AB288"/>
    <mergeCell ref="AD288:AG288"/>
    <mergeCell ref="E274:G274"/>
    <mergeCell ref="J274:L274"/>
    <mergeCell ref="E276:H276"/>
    <mergeCell ref="J276:M276"/>
    <mergeCell ref="O276:R276"/>
    <mergeCell ref="L277:M277"/>
    <mergeCell ref="Q277:R277"/>
    <mergeCell ref="G277:H277"/>
    <mergeCell ref="G278:H278"/>
    <mergeCell ref="L278:M278"/>
    <mergeCell ref="Q278:R278"/>
    <mergeCell ref="G279:H279"/>
    <mergeCell ref="Q279:R279"/>
    <mergeCell ref="Q280:R280"/>
    <mergeCell ref="J288:M288"/>
    <mergeCell ref="O288:R288"/>
    <mergeCell ref="E289:H289"/>
    <mergeCell ref="E290:H290"/>
    <mergeCell ref="O289:R289"/>
    <mergeCell ref="O290:R290"/>
    <mergeCell ref="K291:L291"/>
    <mergeCell ref="E293:H293"/>
    <mergeCell ref="J293:M293"/>
    <mergeCell ref="O293:R293"/>
    <mergeCell ref="E127:G127"/>
    <mergeCell ref="E128:G128"/>
    <mergeCell ref="E129:G129"/>
    <mergeCell ref="E130:G130"/>
    <mergeCell ref="E131:G131"/>
    <mergeCell ref="E133:H133"/>
    <mergeCell ref="G134:H134"/>
    <mergeCell ref="E149:H149"/>
    <mergeCell ref="E150:H150"/>
    <mergeCell ref="E151:G151"/>
    <mergeCell ref="E152:G152"/>
    <mergeCell ref="E153:G153"/>
    <mergeCell ref="E154:G154"/>
    <mergeCell ref="G135:H135"/>
    <mergeCell ref="G136:H136"/>
    <mergeCell ref="I144:I155"/>
    <mergeCell ref="C145:C147"/>
    <mergeCell ref="E145:H145"/>
    <mergeCell ref="E146:H146"/>
    <mergeCell ref="C150:C152"/>
    <mergeCell ref="E155:G155"/>
    <mergeCell ref="E157:H157"/>
    <mergeCell ref="G158:H158"/>
    <mergeCell ref="G159:H159"/>
    <mergeCell ref="G160:H160"/>
    <mergeCell ref="G161:H161"/>
    <mergeCell ref="G162:H162"/>
    <mergeCell ref="C169:C171"/>
    <mergeCell ref="C174:C176"/>
    <mergeCell ref="E199:G199"/>
    <mergeCell ref="E200:G200"/>
    <mergeCell ref="E204:H204"/>
    <mergeCell ref="J204:M204"/>
    <mergeCell ref="O204:R204"/>
    <mergeCell ref="L205:M205"/>
    <mergeCell ref="Q205:R205"/>
    <mergeCell ref="G205:H205"/>
    <mergeCell ref="G206:H206"/>
    <mergeCell ref="L206:M206"/>
    <mergeCell ref="Q206:R206"/>
    <mergeCell ref="G207:H207"/>
    <mergeCell ref="Q207:R207"/>
    <mergeCell ref="G208:H208"/>
    <mergeCell ref="O216:R216"/>
    <mergeCell ref="P217:Q217"/>
    <mergeCell ref="J219:M219"/>
    <mergeCell ref="J220:M220"/>
    <mergeCell ref="E221:G221"/>
    <mergeCell ref="J221:L221"/>
    <mergeCell ref="E222:G222"/>
    <mergeCell ref="J222:L222"/>
    <mergeCell ref="E215:H215"/>
    <mergeCell ref="J215:M215"/>
    <mergeCell ref="E216:H216"/>
    <mergeCell ref="J216:M216"/>
    <mergeCell ref="F217:G217"/>
    <mergeCell ref="E219:H219"/>
    <mergeCell ref="E220:H220"/>
    <mergeCell ref="O221:Q221"/>
    <mergeCell ref="O222:Q222"/>
    <mergeCell ref="E241:H241"/>
    <mergeCell ref="F242:G242"/>
    <mergeCell ref="E244:H244"/>
    <mergeCell ref="E245:H245"/>
    <mergeCell ref="E246:G246"/>
    <mergeCell ref="E247:G247"/>
    <mergeCell ref="E248:G248"/>
    <mergeCell ref="E249:G249"/>
    <mergeCell ref="G232:H232"/>
    <mergeCell ref="G233:H233"/>
    <mergeCell ref="E234:G234"/>
    <mergeCell ref="E235:G235"/>
    <mergeCell ref="E239:H239"/>
    <mergeCell ref="I239:I250"/>
    <mergeCell ref="E240:H240"/>
    <mergeCell ref="G258:H258"/>
    <mergeCell ref="E259:G259"/>
    <mergeCell ref="E250:G250"/>
    <mergeCell ref="E252:H252"/>
    <mergeCell ref="G253:H253"/>
    <mergeCell ref="G254:H254"/>
    <mergeCell ref="G255:H255"/>
    <mergeCell ref="G256:H256"/>
    <mergeCell ref="G257:H257"/>
    <mergeCell ref="E174:H174"/>
    <mergeCell ref="E175:G175"/>
    <mergeCell ref="E176:G176"/>
    <mergeCell ref="E177:G177"/>
    <mergeCell ref="E178:G178"/>
    <mergeCell ref="E179:G179"/>
    <mergeCell ref="G163:H163"/>
    <mergeCell ref="E164:G164"/>
    <mergeCell ref="I168:I179"/>
    <mergeCell ref="E169:H169"/>
    <mergeCell ref="E170:H170"/>
    <mergeCell ref="F171:G171"/>
    <mergeCell ref="E173:H173"/>
    <mergeCell ref="E181:H181"/>
    <mergeCell ref="G182:H182"/>
    <mergeCell ref="G183:H183"/>
    <mergeCell ref="G184:H184"/>
    <mergeCell ref="G185:H185"/>
    <mergeCell ref="G186:H186"/>
    <mergeCell ref="G187:H187"/>
    <mergeCell ref="C192:C194"/>
    <mergeCell ref="C197:C199"/>
    <mergeCell ref="C215:C217"/>
    <mergeCell ref="C220:C222"/>
    <mergeCell ref="C240:C242"/>
    <mergeCell ref="C245:C247"/>
    <mergeCell ref="E224:G224"/>
    <mergeCell ref="E225:G225"/>
    <mergeCell ref="E227:H227"/>
    <mergeCell ref="G228:H228"/>
    <mergeCell ref="G229:H229"/>
    <mergeCell ref="G230:H230"/>
    <mergeCell ref="G231:H231"/>
    <mergeCell ref="O219:R219"/>
    <mergeCell ref="O220:R220"/>
    <mergeCell ref="O223:Q223"/>
    <mergeCell ref="O224:Q224"/>
    <mergeCell ref="Q208:R208"/>
    <mergeCell ref="Q209:R209"/>
    <mergeCell ref="Q210:R210"/>
    <mergeCell ref="O211:Q211"/>
    <mergeCell ref="O214:R214"/>
    <mergeCell ref="S214:S225"/>
    <mergeCell ref="O215:R215"/>
    <mergeCell ref="O225:Q225"/>
    <mergeCell ref="O227:R227"/>
    <mergeCell ref="Q228:R228"/>
    <mergeCell ref="Q229:R229"/>
    <mergeCell ref="Q230:R230"/>
    <mergeCell ref="Q231:R231"/>
    <mergeCell ref="Q232:R232"/>
    <mergeCell ref="O240:R240"/>
    <mergeCell ref="T240:W240"/>
    <mergeCell ref="Y240:AB240"/>
    <mergeCell ref="Y241:AB241"/>
    <mergeCell ref="T241:W241"/>
    <mergeCell ref="U242:V242"/>
    <mergeCell ref="J239:M239"/>
    <mergeCell ref="J240:M240"/>
    <mergeCell ref="J241:M241"/>
    <mergeCell ref="J244:M244"/>
    <mergeCell ref="O244:R244"/>
    <mergeCell ref="J245:M245"/>
    <mergeCell ref="J246:L246"/>
    <mergeCell ref="L256:M256"/>
    <mergeCell ref="L257:M257"/>
    <mergeCell ref="L258:M258"/>
    <mergeCell ref="J259:L259"/>
    <mergeCell ref="J248:L248"/>
    <mergeCell ref="J249:L249"/>
    <mergeCell ref="J250:L250"/>
    <mergeCell ref="J252:M252"/>
    <mergeCell ref="L253:M253"/>
    <mergeCell ref="L254:M254"/>
    <mergeCell ref="L255:M255"/>
    <mergeCell ref="Q257:R257"/>
    <mergeCell ref="Q258:R258"/>
    <mergeCell ref="O259:Q259"/>
    <mergeCell ref="O245:R245"/>
    <mergeCell ref="O246:Q246"/>
    <mergeCell ref="O252:R252"/>
    <mergeCell ref="Q253:R253"/>
    <mergeCell ref="Q254:R254"/>
    <mergeCell ref="Q255:R255"/>
    <mergeCell ref="Q256:R256"/>
    <mergeCell ref="AA257:AB257"/>
    <mergeCell ref="AA258:AB258"/>
    <mergeCell ref="T259:V259"/>
    <mergeCell ref="Y259:AA259"/>
    <mergeCell ref="Y248:AA248"/>
    <mergeCell ref="Y249:AA249"/>
    <mergeCell ref="Y252:AB252"/>
    <mergeCell ref="AA253:AB253"/>
    <mergeCell ref="AA254:AB254"/>
    <mergeCell ref="AA255:AB255"/>
    <mergeCell ref="AA256:AB256"/>
    <mergeCell ref="O298:Q298"/>
    <mergeCell ref="E299:G299"/>
    <mergeCell ref="J299:L299"/>
    <mergeCell ref="O299:Q299"/>
    <mergeCell ref="E298:G298"/>
    <mergeCell ref="J298:L298"/>
    <mergeCell ref="E301:H301"/>
    <mergeCell ref="J301:M301"/>
    <mergeCell ref="O301:R301"/>
    <mergeCell ref="L302:M302"/>
    <mergeCell ref="Q302:R302"/>
    <mergeCell ref="L304:M304"/>
    <mergeCell ref="L305:M305"/>
    <mergeCell ref="G302:H302"/>
    <mergeCell ref="G303:H303"/>
    <mergeCell ref="L303:M303"/>
    <mergeCell ref="Q303:R303"/>
    <mergeCell ref="G304:H304"/>
    <mergeCell ref="Q304:R304"/>
    <mergeCell ref="Q305:R305"/>
    <mergeCell ref="J311:M311"/>
    <mergeCell ref="J312:M312"/>
    <mergeCell ref="J317:M317"/>
    <mergeCell ref="J318:L318"/>
    <mergeCell ref="J319:L319"/>
    <mergeCell ref="E312:H312"/>
    <mergeCell ref="E313:H313"/>
    <mergeCell ref="C317:C319"/>
    <mergeCell ref="E317:H317"/>
    <mergeCell ref="E318:G318"/>
    <mergeCell ref="E319:G319"/>
    <mergeCell ref="O312:R312"/>
    <mergeCell ref="O313:R313"/>
    <mergeCell ref="O317:R317"/>
    <mergeCell ref="O318:Q318"/>
    <mergeCell ref="O319:Q319"/>
    <mergeCell ref="E308:G308"/>
    <mergeCell ref="J308:L308"/>
    <mergeCell ref="O308:Q308"/>
    <mergeCell ref="E311:H311"/>
    <mergeCell ref="O311:R311"/>
    <mergeCell ref="C312:C314"/>
    <mergeCell ref="J313:M313"/>
    <mergeCell ref="F314:G314"/>
    <mergeCell ref="G280:H280"/>
    <mergeCell ref="L282:M282"/>
    <mergeCell ref="Q282:R282"/>
    <mergeCell ref="E283:G283"/>
    <mergeCell ref="J283:L283"/>
    <mergeCell ref="O283:Q283"/>
    <mergeCell ref="J284:L284"/>
    <mergeCell ref="E294:H294"/>
    <mergeCell ref="J294:M294"/>
    <mergeCell ref="O294:R294"/>
    <mergeCell ref="E295:G295"/>
    <mergeCell ref="J295:L295"/>
    <mergeCell ref="O295:Q295"/>
    <mergeCell ref="E296:G296"/>
    <mergeCell ref="J296:L296"/>
    <mergeCell ref="O296:Q296"/>
    <mergeCell ref="E297:G297"/>
    <mergeCell ref="J297:L297"/>
    <mergeCell ref="O297:Q297"/>
    <mergeCell ref="G282:H282"/>
    <mergeCell ref="I288:I299"/>
    <mergeCell ref="N288:N299"/>
    <mergeCell ref="S288:S299"/>
    <mergeCell ref="C289:C294"/>
    <mergeCell ref="J289:M289"/>
    <mergeCell ref="J290:M290"/>
    <mergeCell ref="G305:H305"/>
    <mergeCell ref="G306:H306"/>
    <mergeCell ref="L306:M306"/>
    <mergeCell ref="Q306:R306"/>
    <mergeCell ref="G307:H307"/>
    <mergeCell ref="L307:M307"/>
    <mergeCell ref="Q307:R307"/>
    <mergeCell ref="T271:V271"/>
    <mergeCell ref="T272:V272"/>
    <mergeCell ref="T273:V273"/>
    <mergeCell ref="T274:V274"/>
    <mergeCell ref="T276:W276"/>
    <mergeCell ref="V277:W277"/>
    <mergeCell ref="V278:W278"/>
    <mergeCell ref="V279:W279"/>
    <mergeCell ref="V280:W280"/>
    <mergeCell ref="T290:W290"/>
    <mergeCell ref="T293:W293"/>
    <mergeCell ref="AD293:AG293"/>
    <mergeCell ref="Y293:AB293"/>
    <mergeCell ref="T294:W294"/>
    <mergeCell ref="Y294:AB294"/>
    <mergeCell ref="AD294:AG294"/>
    <mergeCell ref="T295:V295"/>
    <mergeCell ref="Y295:AA295"/>
    <mergeCell ref="AD295:AF295"/>
    <mergeCell ref="T296:V296"/>
    <mergeCell ref="Y296:AA296"/>
    <mergeCell ref="AD296:AF296"/>
    <mergeCell ref="T297:V297"/>
    <mergeCell ref="Y297:AA297"/>
    <mergeCell ref="AD297:AF297"/>
    <mergeCell ref="AD298:AF298"/>
    <mergeCell ref="AD299:AF299"/>
    <mergeCell ref="AD301:AG301"/>
    <mergeCell ref="AF302:AG302"/>
    <mergeCell ref="T313:W313"/>
    <mergeCell ref="T316:W316"/>
    <mergeCell ref="T321:V321"/>
    <mergeCell ref="T322:V322"/>
    <mergeCell ref="V303:W303"/>
    <mergeCell ref="V304:W304"/>
    <mergeCell ref="V305:W305"/>
    <mergeCell ref="V306:W306"/>
    <mergeCell ref="V307:W307"/>
    <mergeCell ref="T308:V308"/>
    <mergeCell ref="X311:X322"/>
    <mergeCell ref="T298:V298"/>
    <mergeCell ref="Y298:AA298"/>
    <mergeCell ref="T283:V283"/>
    <mergeCell ref="T284:V284"/>
    <mergeCell ref="X288:X299"/>
    <mergeCell ref="AC288:AC299"/>
    <mergeCell ref="T289:W289"/>
    <mergeCell ref="Y289:AB289"/>
    <mergeCell ref="Y290:AB290"/>
    <mergeCell ref="T299:V299"/>
    <mergeCell ref="Y299:AA299"/>
    <mergeCell ref="T301:W301"/>
    <mergeCell ref="Y301:AB301"/>
    <mergeCell ref="V302:W302"/>
    <mergeCell ref="AA302:AB302"/>
    <mergeCell ref="AA303:AB303"/>
    <mergeCell ref="T311:W311"/>
    <mergeCell ref="T312:W312"/>
    <mergeCell ref="T317:W317"/>
    <mergeCell ref="T318:V318"/>
    <mergeCell ref="Y318:AA318"/>
    <mergeCell ref="Y319:AA319"/>
    <mergeCell ref="Y320:AA320"/>
    <mergeCell ref="Y321:AA321"/>
    <mergeCell ref="Y322:AA322"/>
    <mergeCell ref="T319:V319"/>
    <mergeCell ref="T320:V320"/>
    <mergeCell ref="AD320:AG320"/>
    <mergeCell ref="AD321:AG321"/>
    <mergeCell ref="AD322:AG322"/>
    <mergeCell ref="Y312:AB312"/>
    <mergeCell ref="Y313:AB313"/>
    <mergeCell ref="AD316:AG316"/>
    <mergeCell ref="Y317:AB317"/>
    <mergeCell ref="AD317:AG317"/>
    <mergeCell ref="AD318:AG318"/>
    <mergeCell ref="AD319:AG319"/>
    <mergeCell ref="O239:R239"/>
    <mergeCell ref="O241:R241"/>
    <mergeCell ref="T247:V247"/>
    <mergeCell ref="Y247:AA247"/>
    <mergeCell ref="O248:Q248"/>
    <mergeCell ref="T248:V248"/>
    <mergeCell ref="P242:Q242"/>
    <mergeCell ref="O249:Q249"/>
    <mergeCell ref="Q233:R233"/>
    <mergeCell ref="O234:Q234"/>
    <mergeCell ref="N239:N250"/>
    <mergeCell ref="S239:S250"/>
    <mergeCell ref="X239:X250"/>
    <mergeCell ref="AC239:AC250"/>
    <mergeCell ref="O250:Q250"/>
    <mergeCell ref="Y250:AA250"/>
    <mergeCell ref="V257:W257"/>
    <mergeCell ref="V258:W258"/>
    <mergeCell ref="T249:V249"/>
    <mergeCell ref="T250:V250"/>
    <mergeCell ref="T252:W252"/>
    <mergeCell ref="V253:W253"/>
    <mergeCell ref="V254:W254"/>
    <mergeCell ref="V255:W255"/>
    <mergeCell ref="V256:W256"/>
    <mergeCell ref="E211:G211"/>
    <mergeCell ref="E214:H214"/>
    <mergeCell ref="I214:I225"/>
    <mergeCell ref="N214:N225"/>
    <mergeCell ref="E223:G223"/>
    <mergeCell ref="J223:L223"/>
    <mergeCell ref="J224:L224"/>
    <mergeCell ref="J225:L225"/>
    <mergeCell ref="J227:M227"/>
    <mergeCell ref="L228:M228"/>
    <mergeCell ref="L229:M229"/>
    <mergeCell ref="L230:M230"/>
    <mergeCell ref="L231:M231"/>
    <mergeCell ref="L232:M232"/>
    <mergeCell ref="L207:M207"/>
    <mergeCell ref="L208:M208"/>
    <mergeCell ref="G209:H209"/>
    <mergeCell ref="L209:M209"/>
    <mergeCell ref="G210:H210"/>
    <mergeCell ref="L210:M210"/>
    <mergeCell ref="J211:L211"/>
    <mergeCell ref="J214:M214"/>
    <mergeCell ref="L233:M233"/>
    <mergeCell ref="J234:L234"/>
    <mergeCell ref="E238:AG238"/>
    <mergeCell ref="T239:W239"/>
    <mergeCell ref="Y239:AB239"/>
    <mergeCell ref="AD239:AG239"/>
    <mergeCell ref="AD240:AG240"/>
    <mergeCell ref="T244:W244"/>
    <mergeCell ref="T245:W245"/>
    <mergeCell ref="T246:V246"/>
    <mergeCell ref="AD246:AG246"/>
    <mergeCell ref="AD247:AG247"/>
    <mergeCell ref="AD248:AG248"/>
    <mergeCell ref="AD249:AG249"/>
    <mergeCell ref="AD250:AG250"/>
    <mergeCell ref="AD241:AG241"/>
    <mergeCell ref="AD242:AG242"/>
    <mergeCell ref="Y244:AB244"/>
    <mergeCell ref="AD244:AG244"/>
    <mergeCell ref="Y245:AB245"/>
    <mergeCell ref="AD245:AG245"/>
    <mergeCell ref="Y246:AA246"/>
    <mergeCell ref="J263:M263"/>
    <mergeCell ref="J264:M264"/>
    <mergeCell ref="AD263:AG263"/>
    <mergeCell ref="AD265:AG265"/>
    <mergeCell ref="AD266:AG266"/>
    <mergeCell ref="AD267:AG267"/>
    <mergeCell ref="AD268:AG268"/>
    <mergeCell ref="AD269:AG269"/>
    <mergeCell ref="AD270:AG270"/>
    <mergeCell ref="AD271:AG271"/>
    <mergeCell ref="J247:L247"/>
    <mergeCell ref="O247:Q247"/>
    <mergeCell ref="E262:AG262"/>
    <mergeCell ref="E263:H263"/>
    <mergeCell ref="O263:R263"/>
    <mergeCell ref="T263:W263"/>
    <mergeCell ref="Y263:AB263"/>
    <mergeCell ref="O264:R264"/>
    <mergeCell ref="T264:W264"/>
    <mergeCell ref="E264:H264"/>
    <mergeCell ref="E265:H265"/>
    <mergeCell ref="J265:M265"/>
    <mergeCell ref="O265:R265"/>
    <mergeCell ref="Y264:AB264"/>
    <mergeCell ref="Y265:AB265"/>
    <mergeCell ref="T265:W265"/>
    <mergeCell ref="U266:V266"/>
    <mergeCell ref="E268:H268"/>
    <mergeCell ref="J268:M268"/>
    <mergeCell ref="O268:R268"/>
    <mergeCell ref="T268:W268"/>
    <mergeCell ref="J269:M269"/>
    <mergeCell ref="O269:R269"/>
    <mergeCell ref="Y268:AB268"/>
    <mergeCell ref="Y269:AB269"/>
    <mergeCell ref="E270:G270"/>
    <mergeCell ref="J270:L270"/>
    <mergeCell ref="T269:W269"/>
    <mergeCell ref="T270:V270"/>
    <mergeCell ref="O270:Q270"/>
    <mergeCell ref="E271:G271"/>
    <mergeCell ref="J271:L271"/>
    <mergeCell ref="O271:Q271"/>
    <mergeCell ref="Y270:AA270"/>
    <mergeCell ref="Y271:AA271"/>
    <mergeCell ref="E272:G272"/>
    <mergeCell ref="J272:L272"/>
    <mergeCell ref="AD272:AG272"/>
    <mergeCell ref="AD273:AG273"/>
    <mergeCell ref="AD274:AG274"/>
    <mergeCell ref="Z314:AA314"/>
    <mergeCell ref="Y316:AB316"/>
    <mergeCell ref="AC311:AC322"/>
    <mergeCell ref="AC335:AC346"/>
    <mergeCell ref="Y336:AB336"/>
    <mergeCell ref="Y337:AB337"/>
    <mergeCell ref="Y338:AB338"/>
    <mergeCell ref="AA304:AB304"/>
    <mergeCell ref="AA305:AB305"/>
    <mergeCell ref="AA306:AB306"/>
    <mergeCell ref="AA307:AB307"/>
    <mergeCell ref="Y308:AA308"/>
    <mergeCell ref="Y311:AB311"/>
    <mergeCell ref="Y335:AB335"/>
    <mergeCell ref="E337:H337"/>
    <mergeCell ref="E340:H340"/>
    <mergeCell ref="G329:H329"/>
    <mergeCell ref="G330:H330"/>
    <mergeCell ref="E331:G331"/>
    <mergeCell ref="E335:H335"/>
    <mergeCell ref="I335:I346"/>
    <mergeCell ref="C336:C338"/>
    <mergeCell ref="E336:H336"/>
    <mergeCell ref="C341:C343"/>
    <mergeCell ref="T337:W337"/>
    <mergeCell ref="P338:Q338"/>
    <mergeCell ref="T342:V342"/>
    <mergeCell ref="T343:V343"/>
    <mergeCell ref="L330:M330"/>
    <mergeCell ref="J331:L331"/>
    <mergeCell ref="O331:Q331"/>
    <mergeCell ref="J332:L332"/>
    <mergeCell ref="N335:N346"/>
    <mergeCell ref="S335:S346"/>
    <mergeCell ref="X335:X346"/>
    <mergeCell ref="T346:V346"/>
    <mergeCell ref="V353:W353"/>
    <mergeCell ref="V354:W354"/>
    <mergeCell ref="T355:V355"/>
    <mergeCell ref="T359:W359"/>
    <mergeCell ref="T344:V344"/>
    <mergeCell ref="T345:V345"/>
    <mergeCell ref="T348:W348"/>
    <mergeCell ref="V349:W349"/>
    <mergeCell ref="V350:W350"/>
    <mergeCell ref="V351:W351"/>
    <mergeCell ref="V352:W352"/>
    <mergeCell ref="L325:M325"/>
    <mergeCell ref="L326:M326"/>
    <mergeCell ref="G327:H327"/>
    <mergeCell ref="L327:M327"/>
    <mergeCell ref="G328:H328"/>
    <mergeCell ref="L328:M328"/>
    <mergeCell ref="L329:M329"/>
    <mergeCell ref="O335:R335"/>
    <mergeCell ref="T335:W335"/>
    <mergeCell ref="J335:M335"/>
    <mergeCell ref="J336:M336"/>
    <mergeCell ref="O336:R336"/>
    <mergeCell ref="T336:W336"/>
    <mergeCell ref="J337:M337"/>
    <mergeCell ref="O337:R337"/>
    <mergeCell ref="J340:M340"/>
    <mergeCell ref="O340:R340"/>
    <mergeCell ref="T340:W340"/>
    <mergeCell ref="T341:W341"/>
    <mergeCell ref="AD342:AG342"/>
    <mergeCell ref="AD343:AG343"/>
    <mergeCell ref="AA330:AB330"/>
    <mergeCell ref="AD335:AG335"/>
    <mergeCell ref="AD336:AG336"/>
    <mergeCell ref="AD337:AG337"/>
    <mergeCell ref="AD338:AG338"/>
    <mergeCell ref="AD340:AG340"/>
    <mergeCell ref="AD341:AG341"/>
    <mergeCell ref="AF303:AG303"/>
    <mergeCell ref="AF304:AG304"/>
    <mergeCell ref="AF305:AG305"/>
    <mergeCell ref="AF306:AG306"/>
    <mergeCell ref="AF307:AG307"/>
    <mergeCell ref="AD308:AF308"/>
    <mergeCell ref="AD311:AG311"/>
    <mergeCell ref="AD312:AG312"/>
    <mergeCell ref="AD313:AG313"/>
    <mergeCell ref="AD314:AG314"/>
    <mergeCell ref="E316:H316"/>
    <mergeCell ref="J316:M316"/>
    <mergeCell ref="O316:R316"/>
    <mergeCell ref="E320:G320"/>
    <mergeCell ref="J320:L320"/>
    <mergeCell ref="O320:Q320"/>
    <mergeCell ref="E321:G321"/>
    <mergeCell ref="J321:L321"/>
    <mergeCell ref="O321:Q321"/>
    <mergeCell ref="J322:L322"/>
    <mergeCell ref="O322:R322"/>
    <mergeCell ref="V325:W325"/>
    <mergeCell ref="V326:W326"/>
    <mergeCell ref="V327:W327"/>
    <mergeCell ref="V328:W328"/>
    <mergeCell ref="V329:W329"/>
    <mergeCell ref="V330:W330"/>
    <mergeCell ref="T331:V331"/>
    <mergeCell ref="E322:G322"/>
    <mergeCell ref="E324:H324"/>
    <mergeCell ref="J324:M324"/>
    <mergeCell ref="T324:W324"/>
    <mergeCell ref="G325:H325"/>
    <mergeCell ref="G326:H326"/>
    <mergeCell ref="Q326:R326"/>
    <mergeCell ref="Y324:AB324"/>
    <mergeCell ref="AA325:AB325"/>
    <mergeCell ref="AA326:AB326"/>
    <mergeCell ref="AA327:AB327"/>
    <mergeCell ref="AA328:AB328"/>
    <mergeCell ref="AA329:AB329"/>
    <mergeCell ref="Y331:AA331"/>
    <mergeCell ref="Y345:AB345"/>
    <mergeCell ref="Y346:AB346"/>
    <mergeCell ref="Y340:AB340"/>
    <mergeCell ref="Y341:AB341"/>
    <mergeCell ref="Y342:AB342"/>
    <mergeCell ref="Y343:AB343"/>
    <mergeCell ref="Y344:AB344"/>
    <mergeCell ref="AD344:AG344"/>
    <mergeCell ref="AD345:AG345"/>
    <mergeCell ref="AD346:AG346"/>
    <mergeCell ref="J341:M341"/>
    <mergeCell ref="O341:R341"/>
    <mergeCell ref="O324:R324"/>
    <mergeCell ref="Q325:R325"/>
    <mergeCell ref="Q327:R327"/>
    <mergeCell ref="Q328:R328"/>
    <mergeCell ref="Q329:R329"/>
    <mergeCell ref="Q330:R330"/>
    <mergeCell ref="E341:H341"/>
    <mergeCell ref="E342:G342"/>
    <mergeCell ref="J342:L342"/>
    <mergeCell ref="O342:Q342"/>
    <mergeCell ref="E343:G343"/>
    <mergeCell ref="J343:L343"/>
    <mergeCell ref="E344:G344"/>
    <mergeCell ref="O345:Q345"/>
    <mergeCell ref="L352:M352"/>
    <mergeCell ref="L353:M353"/>
    <mergeCell ref="L354:M354"/>
    <mergeCell ref="J355:L355"/>
    <mergeCell ref="J359:M359"/>
    <mergeCell ref="J344:L344"/>
    <mergeCell ref="J345:L345"/>
    <mergeCell ref="J346:L346"/>
    <mergeCell ref="J348:M348"/>
    <mergeCell ref="L349:M349"/>
    <mergeCell ref="L350:M350"/>
    <mergeCell ref="L351:M351"/>
    <mergeCell ref="Q352:R352"/>
    <mergeCell ref="Q353:R353"/>
    <mergeCell ref="Q354:R354"/>
    <mergeCell ref="O355:Q355"/>
    <mergeCell ref="O356:Q356"/>
    <mergeCell ref="O359:R359"/>
    <mergeCell ref="O343:Q343"/>
    <mergeCell ref="O344:Q344"/>
    <mergeCell ref="O346:Q346"/>
    <mergeCell ref="O348:R348"/>
    <mergeCell ref="Q349:R349"/>
    <mergeCell ref="Q350:R350"/>
    <mergeCell ref="Q351:R351"/>
    <mergeCell ref="E345:G345"/>
    <mergeCell ref="E346:G346"/>
    <mergeCell ref="E348:H348"/>
    <mergeCell ref="G349:H349"/>
    <mergeCell ref="G350:H350"/>
    <mergeCell ref="G351:H351"/>
    <mergeCell ref="G352:H352"/>
    <mergeCell ref="E359:H359"/>
    <mergeCell ref="Y359:AB359"/>
    <mergeCell ref="AD359:AG359"/>
    <mergeCell ref="E355:G355"/>
    <mergeCell ref="C360:C362"/>
    <mergeCell ref="E360:H360"/>
    <mergeCell ref="E361:H361"/>
    <mergeCell ref="F362:G362"/>
    <mergeCell ref="J360:M360"/>
    <mergeCell ref="O360:R360"/>
    <mergeCell ref="T360:W360"/>
    <mergeCell ref="Y360:AB360"/>
    <mergeCell ref="AD360:AG360"/>
    <mergeCell ref="J361:M361"/>
    <mergeCell ref="O361:R361"/>
    <mergeCell ref="T361:W361"/>
    <mergeCell ref="Y361:AB361"/>
    <mergeCell ref="AD361:AG361"/>
    <mergeCell ref="AD362:AG362"/>
    <mergeCell ref="AD364:AG364"/>
    <mergeCell ref="AD365:AG365"/>
    <mergeCell ref="K362:L362"/>
    <mergeCell ref="U362:V362"/>
    <mergeCell ref="J364:M364"/>
    <mergeCell ref="O364:R364"/>
    <mergeCell ref="T364:W364"/>
    <mergeCell ref="Y364:AB364"/>
    <mergeCell ref="J365:M365"/>
    <mergeCell ref="O365:R365"/>
    <mergeCell ref="T365:W365"/>
    <mergeCell ref="Y365:AB365"/>
    <mergeCell ref="J366:L366"/>
    <mergeCell ref="O366:Q366"/>
    <mergeCell ref="T366:V366"/>
    <mergeCell ref="Y366:AB366"/>
    <mergeCell ref="AD366:AG366"/>
    <mergeCell ref="AD367:AG367"/>
    <mergeCell ref="AD368:AG368"/>
    <mergeCell ref="AD369:AG369"/>
    <mergeCell ref="AD370:AG370"/>
    <mergeCell ref="E379:G379"/>
    <mergeCell ref="E380:G380"/>
    <mergeCell ref="J380:L380"/>
    <mergeCell ref="I383:I394"/>
    <mergeCell ref="J383:M383"/>
    <mergeCell ref="N383:N394"/>
    <mergeCell ref="E389:H389"/>
    <mergeCell ref="E394:G394"/>
    <mergeCell ref="J394:L394"/>
    <mergeCell ref="E396:H396"/>
    <mergeCell ref="J396:M396"/>
    <mergeCell ref="G397:H397"/>
    <mergeCell ref="L397:M397"/>
    <mergeCell ref="L398:M398"/>
    <mergeCell ref="L401:M401"/>
    <mergeCell ref="L402:M402"/>
    <mergeCell ref="G398:H398"/>
    <mergeCell ref="G399:H399"/>
    <mergeCell ref="L399:M399"/>
    <mergeCell ref="G400:H400"/>
    <mergeCell ref="L400:M400"/>
    <mergeCell ref="G401:H401"/>
    <mergeCell ref="G402:H402"/>
    <mergeCell ref="K386:L386"/>
    <mergeCell ref="E388:H388"/>
    <mergeCell ref="J388:M388"/>
    <mergeCell ref="J389:M389"/>
    <mergeCell ref="E390:G390"/>
    <mergeCell ref="J390:L390"/>
    <mergeCell ref="E391:G391"/>
    <mergeCell ref="J391:L391"/>
    <mergeCell ref="E392:G392"/>
    <mergeCell ref="J392:L392"/>
    <mergeCell ref="E393:G393"/>
    <mergeCell ref="J393:L393"/>
    <mergeCell ref="E403:G403"/>
    <mergeCell ref="J403:L403"/>
    <mergeCell ref="J404:L404"/>
    <mergeCell ref="O384:R384"/>
    <mergeCell ref="P386:Q386"/>
    <mergeCell ref="Y385:AB385"/>
    <mergeCell ref="Z386:AA386"/>
    <mergeCell ref="O388:R388"/>
    <mergeCell ref="T388:W388"/>
    <mergeCell ref="O390:Q390"/>
    <mergeCell ref="T390:V390"/>
    <mergeCell ref="Y390:AA390"/>
    <mergeCell ref="O391:Q391"/>
    <mergeCell ref="T391:V391"/>
    <mergeCell ref="Y391:AA391"/>
    <mergeCell ref="O392:Q392"/>
    <mergeCell ref="T392:V392"/>
    <mergeCell ref="Y392:AA392"/>
    <mergeCell ref="O393:Q393"/>
    <mergeCell ref="Y413:AB413"/>
    <mergeCell ref="Y414:AB414"/>
    <mergeCell ref="Y415:AB415"/>
    <mergeCell ref="Y416:AB416"/>
    <mergeCell ref="Y417:AB417"/>
    <mergeCell ref="Y418:AB418"/>
    <mergeCell ref="AA401:AB401"/>
    <mergeCell ref="AA402:AB402"/>
    <mergeCell ref="Y403:AA403"/>
    <mergeCell ref="AC408:AC419"/>
    <mergeCell ref="Y409:AB409"/>
    <mergeCell ref="Y410:AB410"/>
    <mergeCell ref="Y411:AB411"/>
    <mergeCell ref="Y419:AB419"/>
    <mergeCell ref="T416:V416"/>
    <mergeCell ref="T417:V417"/>
    <mergeCell ref="O413:R413"/>
    <mergeCell ref="O414:R414"/>
    <mergeCell ref="T414:W414"/>
    <mergeCell ref="O415:Q415"/>
    <mergeCell ref="T415:V415"/>
    <mergeCell ref="O416:Q416"/>
    <mergeCell ref="O417:Q417"/>
    <mergeCell ref="Y388:AB388"/>
    <mergeCell ref="O389:R389"/>
    <mergeCell ref="T389:W389"/>
    <mergeCell ref="Y389:AB389"/>
    <mergeCell ref="T393:V393"/>
    <mergeCell ref="Y393:AA393"/>
    <mergeCell ref="O383:R383"/>
    <mergeCell ref="S383:S394"/>
    <mergeCell ref="X383:X394"/>
    <mergeCell ref="Y383:AB383"/>
    <mergeCell ref="AC383:AC394"/>
    <mergeCell ref="Y384:AB384"/>
    <mergeCell ref="U386:V386"/>
    <mergeCell ref="Y394:AA394"/>
    <mergeCell ref="O394:Q394"/>
    <mergeCell ref="T394:V394"/>
    <mergeCell ref="O396:R396"/>
    <mergeCell ref="T396:W396"/>
    <mergeCell ref="Y396:AB396"/>
    <mergeCell ref="V397:W397"/>
    <mergeCell ref="AA397:AB397"/>
    <mergeCell ref="Q397:R397"/>
    <mergeCell ref="Q398:R398"/>
    <mergeCell ref="V398:W398"/>
    <mergeCell ref="AA398:AB398"/>
    <mergeCell ref="Q399:R399"/>
    <mergeCell ref="AA399:AB399"/>
    <mergeCell ref="AA400:AB400"/>
    <mergeCell ref="Q400:R400"/>
    <mergeCell ref="Q401:R401"/>
    <mergeCell ref="Q402:R402"/>
    <mergeCell ref="O403:Q403"/>
    <mergeCell ref="O409:R409"/>
    <mergeCell ref="O410:R410"/>
    <mergeCell ref="P411:Q411"/>
    <mergeCell ref="O418:Q418"/>
    <mergeCell ref="T418:V418"/>
    <mergeCell ref="O419:Q419"/>
    <mergeCell ref="T419:V419"/>
    <mergeCell ref="T439:W439"/>
    <mergeCell ref="Y439:AB439"/>
    <mergeCell ref="J434:M434"/>
    <mergeCell ref="J442:L442"/>
    <mergeCell ref="O442:Q442"/>
    <mergeCell ref="T442:V442"/>
    <mergeCell ref="Y442:AA442"/>
    <mergeCell ref="J443:L443"/>
    <mergeCell ref="O443:Q443"/>
    <mergeCell ref="T443:V443"/>
    <mergeCell ref="Y443:AA443"/>
    <mergeCell ref="J444:L444"/>
    <mergeCell ref="O444:Q444"/>
    <mergeCell ref="T444:V444"/>
    <mergeCell ref="Y444:AA444"/>
    <mergeCell ref="I433:I444"/>
    <mergeCell ref="N433:N444"/>
    <mergeCell ref="S433:S444"/>
    <mergeCell ref="X433:X444"/>
    <mergeCell ref="AC433:AC444"/>
    <mergeCell ref="O434:R434"/>
    <mergeCell ref="Y441:AA441"/>
    <mergeCell ref="O441:Q441"/>
    <mergeCell ref="T441:V441"/>
    <mergeCell ref="O439:R439"/>
    <mergeCell ref="O440:Q440"/>
    <mergeCell ref="O446:R446"/>
    <mergeCell ref="T446:W446"/>
    <mergeCell ref="Y446:AB446"/>
    <mergeCell ref="V447:W447"/>
    <mergeCell ref="AA447:AB447"/>
    <mergeCell ref="Q450:R450"/>
    <mergeCell ref="Q451:R451"/>
    <mergeCell ref="Q452:R452"/>
    <mergeCell ref="O453:Q453"/>
    <mergeCell ref="O458:R458"/>
    <mergeCell ref="AA451:AB451"/>
    <mergeCell ref="AA452:AB452"/>
    <mergeCell ref="Y453:AA453"/>
    <mergeCell ref="E457:AG457"/>
    <mergeCell ref="Y458:AB458"/>
    <mergeCell ref="AD458:AG458"/>
    <mergeCell ref="AD459:AG459"/>
    <mergeCell ref="Y467:AB467"/>
    <mergeCell ref="Y468:AB468"/>
    <mergeCell ref="X458:X469"/>
    <mergeCell ref="AC458:AC469"/>
    <mergeCell ref="Y459:AB459"/>
    <mergeCell ref="Y460:AB460"/>
    <mergeCell ref="Y461:AB461"/>
    <mergeCell ref="Y463:AB463"/>
    <mergeCell ref="Y464:AB464"/>
    <mergeCell ref="Y469:AB469"/>
    <mergeCell ref="E514:H514"/>
    <mergeCell ref="E515:G515"/>
    <mergeCell ref="I508:I519"/>
    <mergeCell ref="C509:C510"/>
    <mergeCell ref="E509:H509"/>
    <mergeCell ref="E510:H510"/>
    <mergeCell ref="C511:C513"/>
    <mergeCell ref="E513:H513"/>
    <mergeCell ref="C514:C516"/>
    <mergeCell ref="J514:M514"/>
    <mergeCell ref="O514:R514"/>
    <mergeCell ref="T514:W514"/>
    <mergeCell ref="AD514:AG514"/>
    <mergeCell ref="J515:M515"/>
    <mergeCell ref="O515:R515"/>
    <mergeCell ref="T515:W515"/>
    <mergeCell ref="AD515:AG515"/>
    <mergeCell ref="E516:G516"/>
    <mergeCell ref="J516:M516"/>
    <mergeCell ref="O516:R516"/>
    <mergeCell ref="T516:W516"/>
    <mergeCell ref="Y515:AB515"/>
    <mergeCell ref="Y516:AB516"/>
    <mergeCell ref="O518:R518"/>
    <mergeCell ref="O519:R519"/>
    <mergeCell ref="O508:R508"/>
    <mergeCell ref="S508:S519"/>
    <mergeCell ref="O509:R509"/>
    <mergeCell ref="O510:R510"/>
    <mergeCell ref="O511:R511"/>
    <mergeCell ref="O513:R513"/>
    <mergeCell ref="O517:R517"/>
    <mergeCell ref="Y508:AB508"/>
    <mergeCell ref="AC508:AC519"/>
    <mergeCell ref="Y509:AB509"/>
    <mergeCell ref="Y510:AB510"/>
    <mergeCell ref="Y511:AB511"/>
    <mergeCell ref="Y513:AB513"/>
    <mergeCell ref="Y514:AB514"/>
    <mergeCell ref="T519:W519"/>
    <mergeCell ref="Y519:AB519"/>
    <mergeCell ref="AD501:AG501"/>
    <mergeCell ref="AD502:AG502"/>
    <mergeCell ref="AD503:AG503"/>
    <mergeCell ref="E507:AG507"/>
    <mergeCell ref="N508:N519"/>
    <mergeCell ref="AD508:AG508"/>
    <mergeCell ref="J513:M513"/>
    <mergeCell ref="AD519:AG519"/>
    <mergeCell ref="AD494:AG494"/>
    <mergeCell ref="AD495:AG495"/>
    <mergeCell ref="AD496:AG496"/>
    <mergeCell ref="AD497:AG497"/>
    <mergeCell ref="AD498:AG498"/>
    <mergeCell ref="AD499:AG499"/>
    <mergeCell ref="AD500:AG500"/>
    <mergeCell ref="J508:M508"/>
    <mergeCell ref="J509:M509"/>
    <mergeCell ref="AD510:AG510"/>
    <mergeCell ref="J511:M511"/>
    <mergeCell ref="AD511:AG511"/>
    <mergeCell ref="AD509:AG509"/>
    <mergeCell ref="AD513:AG513"/>
    <mergeCell ref="AD516:AG516"/>
    <mergeCell ref="AD517:AG517"/>
    <mergeCell ref="AD518:AG518"/>
    <mergeCell ref="T517:W517"/>
    <mergeCell ref="T518:W518"/>
    <mergeCell ref="T508:W508"/>
    <mergeCell ref="X508:X519"/>
    <mergeCell ref="T509:W509"/>
    <mergeCell ref="T510:W510"/>
    <mergeCell ref="T511:W511"/>
    <mergeCell ref="T513:W513"/>
    <mergeCell ref="Y517:AB517"/>
    <mergeCell ref="Y518:AB518"/>
    <mergeCell ref="E508:H508"/>
    <mergeCell ref="J510:M510"/>
    <mergeCell ref="E517:G517"/>
    <mergeCell ref="J517:M517"/>
    <mergeCell ref="E518:G518"/>
    <mergeCell ref="J518:M518"/>
    <mergeCell ref="J519:M519"/>
    <mergeCell ref="Y533:AB533"/>
    <mergeCell ref="AD533:AG533"/>
    <mergeCell ref="AD534:AG534"/>
    <mergeCell ref="AD535:AG535"/>
    <mergeCell ref="E533:H533"/>
    <mergeCell ref="E534:H534"/>
    <mergeCell ref="E519:G519"/>
    <mergeCell ref="E521:H521"/>
    <mergeCell ref="G522:H522"/>
    <mergeCell ref="G523:H523"/>
    <mergeCell ref="G524:H524"/>
    <mergeCell ref="G525:H525"/>
    <mergeCell ref="C534:C536"/>
    <mergeCell ref="E535:H535"/>
    <mergeCell ref="O534:R534"/>
    <mergeCell ref="T534:W534"/>
    <mergeCell ref="J534:M534"/>
    <mergeCell ref="J535:M535"/>
    <mergeCell ref="O535:R535"/>
    <mergeCell ref="T535:W535"/>
    <mergeCell ref="Y535:AB535"/>
    <mergeCell ref="K536:L536"/>
    <mergeCell ref="G527:H527"/>
    <mergeCell ref="E528:G528"/>
    <mergeCell ref="E529:G529"/>
    <mergeCell ref="E532:AG532"/>
    <mergeCell ref="J533:M533"/>
    <mergeCell ref="O533:R533"/>
    <mergeCell ref="T533:W533"/>
    <mergeCell ref="J541:L541"/>
    <mergeCell ref="J542:L542"/>
    <mergeCell ref="E543:G543"/>
    <mergeCell ref="J543:L543"/>
    <mergeCell ref="E544:G544"/>
    <mergeCell ref="J544:L544"/>
    <mergeCell ref="O542:Q542"/>
    <mergeCell ref="T542:V542"/>
    <mergeCell ref="AD541:AF541"/>
    <mergeCell ref="AD542:AF542"/>
    <mergeCell ref="AD543:AF543"/>
    <mergeCell ref="AD544:AF544"/>
    <mergeCell ref="AD540:AF540"/>
    <mergeCell ref="E541:G541"/>
    <mergeCell ref="O541:Q541"/>
    <mergeCell ref="T541:V541"/>
    <mergeCell ref="Y541:AA541"/>
    <mergeCell ref="E542:G542"/>
    <mergeCell ref="Y542:AA542"/>
    <mergeCell ref="O543:Q543"/>
    <mergeCell ref="T543:V543"/>
    <mergeCell ref="Y543:AA543"/>
    <mergeCell ref="O544:Q544"/>
    <mergeCell ref="T544:V544"/>
    <mergeCell ref="Y544:AA544"/>
    <mergeCell ref="G526:H526"/>
    <mergeCell ref="N533:N544"/>
    <mergeCell ref="S533:S544"/>
    <mergeCell ref="X533:X544"/>
    <mergeCell ref="AC533:AC544"/>
    <mergeCell ref="Y534:AB534"/>
    <mergeCell ref="Z536:AA536"/>
    <mergeCell ref="Y546:AB546"/>
    <mergeCell ref="AA547:AB547"/>
    <mergeCell ref="J540:L540"/>
    <mergeCell ref="O540:Q540"/>
    <mergeCell ref="J546:M546"/>
    <mergeCell ref="T546:W546"/>
    <mergeCell ref="AD546:AG546"/>
    <mergeCell ref="L547:M547"/>
    <mergeCell ref="V547:W547"/>
    <mergeCell ref="AF547:AG547"/>
    <mergeCell ref="AA548:AB548"/>
    <mergeCell ref="AA549:AB549"/>
    <mergeCell ref="O546:R546"/>
    <mergeCell ref="Q547:R547"/>
    <mergeCell ref="L548:M548"/>
    <mergeCell ref="V548:W548"/>
    <mergeCell ref="AF548:AG548"/>
    <mergeCell ref="L549:M549"/>
    <mergeCell ref="V549:W549"/>
    <mergeCell ref="AF549:AG549"/>
    <mergeCell ref="E558:H558"/>
    <mergeCell ref="E559:H559"/>
    <mergeCell ref="O558:R558"/>
    <mergeCell ref="O559:R559"/>
    <mergeCell ref="T559:W559"/>
    <mergeCell ref="Y559:AB559"/>
    <mergeCell ref="J559:M559"/>
    <mergeCell ref="K560:L560"/>
    <mergeCell ref="P560:Q560"/>
    <mergeCell ref="Y560:AB560"/>
    <mergeCell ref="E557:H557"/>
    <mergeCell ref="O557:R557"/>
    <mergeCell ref="Y557:AB557"/>
    <mergeCell ref="AD557:AG557"/>
    <mergeCell ref="C558:C560"/>
    <mergeCell ref="AD558:AG558"/>
    <mergeCell ref="AD559:AG559"/>
    <mergeCell ref="AD560:AG560"/>
    <mergeCell ref="J538:M538"/>
    <mergeCell ref="O538:R538"/>
    <mergeCell ref="T538:W538"/>
    <mergeCell ref="Y538:AB538"/>
    <mergeCell ref="AD538:AG538"/>
    <mergeCell ref="J539:M539"/>
    <mergeCell ref="O539:R539"/>
    <mergeCell ref="T539:W539"/>
    <mergeCell ref="Y539:AB539"/>
    <mergeCell ref="AD539:AG539"/>
    <mergeCell ref="T540:V540"/>
    <mergeCell ref="Y540:AA540"/>
    <mergeCell ref="I533:I544"/>
    <mergeCell ref="E538:H538"/>
    <mergeCell ref="E539:H539"/>
    <mergeCell ref="E540:G540"/>
    <mergeCell ref="E546:H546"/>
    <mergeCell ref="G547:H547"/>
    <mergeCell ref="G548:H548"/>
    <mergeCell ref="AA551:AB551"/>
    <mergeCell ref="AF551:AG551"/>
    <mergeCell ref="Q548:R548"/>
    <mergeCell ref="Q549:R549"/>
    <mergeCell ref="Q550:R550"/>
    <mergeCell ref="V550:W550"/>
    <mergeCell ref="AA550:AB550"/>
    <mergeCell ref="AF550:AG550"/>
    <mergeCell ref="V551:W551"/>
    <mergeCell ref="V552:W552"/>
    <mergeCell ref="AA552:AB552"/>
    <mergeCell ref="AF552:AG552"/>
    <mergeCell ref="G549:H549"/>
    <mergeCell ref="G550:H550"/>
    <mergeCell ref="L550:M550"/>
    <mergeCell ref="G551:H551"/>
    <mergeCell ref="Q551:R551"/>
    <mergeCell ref="G552:H552"/>
    <mergeCell ref="Q552:R552"/>
    <mergeCell ref="E553:G553"/>
    <mergeCell ref="J553:L553"/>
    <mergeCell ref="O553:Q553"/>
    <mergeCell ref="T553:V553"/>
    <mergeCell ref="Y553:AA553"/>
    <mergeCell ref="AD553:AF553"/>
    <mergeCell ref="E556:AG556"/>
    <mergeCell ref="J557:M557"/>
    <mergeCell ref="J558:M558"/>
    <mergeCell ref="E562:H562"/>
    <mergeCell ref="J562:M562"/>
    <mergeCell ref="T557:W557"/>
    <mergeCell ref="T558:W558"/>
    <mergeCell ref="AD567:AG567"/>
    <mergeCell ref="AD568:AG568"/>
    <mergeCell ref="T562:W562"/>
    <mergeCell ref="Y562:AB562"/>
    <mergeCell ref="AD562:AG562"/>
    <mergeCell ref="AD563:AG563"/>
    <mergeCell ref="AD564:AG564"/>
    <mergeCell ref="AD565:AG565"/>
    <mergeCell ref="AD566:AG566"/>
    <mergeCell ref="S557:S568"/>
    <mergeCell ref="O562:R562"/>
    <mergeCell ref="O563:R563"/>
    <mergeCell ref="O564:Q564"/>
    <mergeCell ref="O565:Q565"/>
    <mergeCell ref="O566:Q566"/>
    <mergeCell ref="O567:Q567"/>
    <mergeCell ref="O568:Q568"/>
    <mergeCell ref="T568:V568"/>
    <mergeCell ref="Y568:AB568"/>
    <mergeCell ref="L551:M551"/>
    <mergeCell ref="L552:M552"/>
    <mergeCell ref="I557:I568"/>
    <mergeCell ref="N557:N568"/>
    <mergeCell ref="X557:X568"/>
    <mergeCell ref="AC557:AC568"/>
    <mergeCell ref="Y558:AB558"/>
    <mergeCell ref="J563:M563"/>
    <mergeCell ref="T563:W563"/>
    <mergeCell ref="Y563:AB563"/>
    <mergeCell ref="J564:L564"/>
    <mergeCell ref="T564:V564"/>
    <mergeCell ref="Y564:AB564"/>
    <mergeCell ref="J565:L565"/>
    <mergeCell ref="T565:V565"/>
    <mergeCell ref="Y565:AB565"/>
    <mergeCell ref="J566:L566"/>
    <mergeCell ref="T566:V566"/>
    <mergeCell ref="Y566:AB566"/>
    <mergeCell ref="J567:L567"/>
    <mergeCell ref="T567:V567"/>
    <mergeCell ref="Y567:AB567"/>
    <mergeCell ref="J568:L568"/>
    <mergeCell ref="J570:M570"/>
    <mergeCell ref="O570:R570"/>
    <mergeCell ref="T570:W570"/>
    <mergeCell ref="C563:C565"/>
    <mergeCell ref="E563:H563"/>
    <mergeCell ref="E564:G564"/>
    <mergeCell ref="E565:G565"/>
    <mergeCell ref="E566:G566"/>
    <mergeCell ref="E567:G567"/>
    <mergeCell ref="E568:G568"/>
    <mergeCell ref="G573:H573"/>
    <mergeCell ref="G574:H574"/>
    <mergeCell ref="G575:H575"/>
    <mergeCell ref="G576:H576"/>
    <mergeCell ref="E577:G577"/>
    <mergeCell ref="E580:R581"/>
    <mergeCell ref="E583:AG583"/>
    <mergeCell ref="AD586:AG586"/>
    <mergeCell ref="AD587:AG587"/>
    <mergeCell ref="E584:H584"/>
    <mergeCell ref="O584:R584"/>
    <mergeCell ref="Y584:AB584"/>
    <mergeCell ref="AD584:AG584"/>
    <mergeCell ref="T585:W585"/>
    <mergeCell ref="Y585:AB585"/>
    <mergeCell ref="AD585:AG585"/>
    <mergeCell ref="T589:W589"/>
    <mergeCell ref="Y589:AB589"/>
    <mergeCell ref="AD589:AG589"/>
    <mergeCell ref="T590:W590"/>
    <mergeCell ref="Y590:AB590"/>
    <mergeCell ref="AD590:AG590"/>
    <mergeCell ref="T591:W591"/>
    <mergeCell ref="Y591:AB591"/>
    <mergeCell ref="AD591:AG591"/>
    <mergeCell ref="T592:W592"/>
    <mergeCell ref="Y592:AB592"/>
    <mergeCell ref="AD592:AG592"/>
    <mergeCell ref="T593:W593"/>
    <mergeCell ref="Y593:AB593"/>
    <mergeCell ref="AD593:AG593"/>
    <mergeCell ref="T594:W594"/>
    <mergeCell ref="Y594:AB594"/>
    <mergeCell ref="AD594:AG594"/>
    <mergeCell ref="T595:W595"/>
    <mergeCell ref="Y595:AB595"/>
    <mergeCell ref="AD595:AG595"/>
    <mergeCell ref="T584:W584"/>
    <mergeCell ref="X584:X595"/>
    <mergeCell ref="AC584:AC595"/>
    <mergeCell ref="T586:W586"/>
    <mergeCell ref="Y586:AB586"/>
    <mergeCell ref="T587:W587"/>
    <mergeCell ref="Y587:AB587"/>
    <mergeCell ref="E589:H589"/>
    <mergeCell ref="J589:M589"/>
    <mergeCell ref="O589:R589"/>
    <mergeCell ref="E590:H590"/>
    <mergeCell ref="O590:R590"/>
    <mergeCell ref="J591:L591"/>
    <mergeCell ref="O591:Q591"/>
    <mergeCell ref="E591:G591"/>
    <mergeCell ref="E592:G592"/>
    <mergeCell ref="J592:L592"/>
    <mergeCell ref="O592:Q592"/>
    <mergeCell ref="E608:AG608"/>
    <mergeCell ref="E609:H609"/>
    <mergeCell ref="Y609:AB609"/>
    <mergeCell ref="AD617:AG617"/>
    <mergeCell ref="AD618:AG618"/>
    <mergeCell ref="AD619:AG619"/>
    <mergeCell ref="AD620:AG620"/>
    <mergeCell ref="AD609:AG609"/>
    <mergeCell ref="AD610:AG610"/>
    <mergeCell ref="AD611:AG611"/>
    <mergeCell ref="AD612:AG612"/>
    <mergeCell ref="AD614:AG614"/>
    <mergeCell ref="AD615:AG615"/>
    <mergeCell ref="AD616:AG616"/>
    <mergeCell ref="N584:N595"/>
    <mergeCell ref="J590:M590"/>
    <mergeCell ref="E593:G593"/>
    <mergeCell ref="J593:L593"/>
    <mergeCell ref="E594:G594"/>
    <mergeCell ref="J594:L594"/>
    <mergeCell ref="J595:L595"/>
    <mergeCell ref="L572:M572"/>
    <mergeCell ref="L573:M573"/>
    <mergeCell ref="L574:M574"/>
    <mergeCell ref="L575:M575"/>
    <mergeCell ref="L576:M576"/>
    <mergeCell ref="J577:L577"/>
    <mergeCell ref="I584:I595"/>
    <mergeCell ref="Q574:R574"/>
    <mergeCell ref="Q575:R575"/>
    <mergeCell ref="Q576:R576"/>
    <mergeCell ref="O577:Q577"/>
    <mergeCell ref="T577:V577"/>
    <mergeCell ref="E570:H570"/>
    <mergeCell ref="G571:H571"/>
    <mergeCell ref="L571:M571"/>
    <mergeCell ref="Q571:R571"/>
    <mergeCell ref="G572:H572"/>
    <mergeCell ref="Q572:R572"/>
    <mergeCell ref="Q573:R573"/>
    <mergeCell ref="V571:W571"/>
    <mergeCell ref="V572:W572"/>
    <mergeCell ref="V573:W573"/>
    <mergeCell ref="V574:W574"/>
    <mergeCell ref="V575:W575"/>
    <mergeCell ref="V576:W576"/>
    <mergeCell ref="S584:S595"/>
    <mergeCell ref="J578:L578"/>
    <mergeCell ref="J584:M584"/>
    <mergeCell ref="C585:C587"/>
    <mergeCell ref="E585:H585"/>
    <mergeCell ref="J585:M585"/>
    <mergeCell ref="E586:H586"/>
    <mergeCell ref="J586:M586"/>
    <mergeCell ref="J597:M597"/>
    <mergeCell ref="L598:M598"/>
    <mergeCell ref="L599:M599"/>
    <mergeCell ref="L600:M600"/>
    <mergeCell ref="L601:M601"/>
    <mergeCell ref="L602:M602"/>
    <mergeCell ref="L603:M603"/>
    <mergeCell ref="J604:L604"/>
    <mergeCell ref="Q599:R599"/>
    <mergeCell ref="Q600:R600"/>
    <mergeCell ref="V600:V604"/>
    <mergeCell ref="Q601:R601"/>
    <mergeCell ref="Q602:R602"/>
    <mergeCell ref="Q603:R603"/>
    <mergeCell ref="O604:Q604"/>
    <mergeCell ref="O585:R585"/>
    <mergeCell ref="O586:R586"/>
    <mergeCell ref="O593:Q593"/>
    <mergeCell ref="O594:Q594"/>
    <mergeCell ref="O595:Q595"/>
    <mergeCell ref="O597:R597"/>
    <mergeCell ref="Q598:R598"/>
    <mergeCell ref="E595:G595"/>
    <mergeCell ref="E597:H597"/>
    <mergeCell ref="G598:H598"/>
    <mergeCell ref="G599:H599"/>
    <mergeCell ref="G600:H600"/>
    <mergeCell ref="G601:H601"/>
    <mergeCell ref="G602:H602"/>
    <mergeCell ref="J609:M609"/>
    <mergeCell ref="E610:H610"/>
    <mergeCell ref="J610:M610"/>
    <mergeCell ref="C610:C612"/>
    <mergeCell ref="E611:H611"/>
    <mergeCell ref="O610:R610"/>
    <mergeCell ref="O611:R611"/>
    <mergeCell ref="E614:H614"/>
    <mergeCell ref="J614:M614"/>
    <mergeCell ref="T614:W614"/>
    <mergeCell ref="Y614:AB614"/>
    <mergeCell ref="T616:V616"/>
    <mergeCell ref="Y616:AA616"/>
    <mergeCell ref="AA628:AB628"/>
    <mergeCell ref="AC634:AC645"/>
    <mergeCell ref="Z637:AA637"/>
    <mergeCell ref="Y643:AA643"/>
    <mergeCell ref="Y644:AA644"/>
    <mergeCell ref="Y645:AA645"/>
    <mergeCell ref="AA625:AB625"/>
    <mergeCell ref="AA626:AB626"/>
    <mergeCell ref="AA627:AB627"/>
    <mergeCell ref="Y629:AA629"/>
    <mergeCell ref="Y630:AA630"/>
    <mergeCell ref="X634:X645"/>
    <mergeCell ref="Y634:AB634"/>
    <mergeCell ref="T615:W615"/>
    <mergeCell ref="Y615:AB615"/>
    <mergeCell ref="T617:V617"/>
    <mergeCell ref="Y617:AA617"/>
    <mergeCell ref="T618:V618"/>
    <mergeCell ref="Y618:AA618"/>
    <mergeCell ref="T619:V619"/>
    <mergeCell ref="Y619:AA619"/>
    <mergeCell ref="T609:W609"/>
    <mergeCell ref="X609:X620"/>
    <mergeCell ref="AC609:AC620"/>
    <mergeCell ref="T610:W610"/>
    <mergeCell ref="Y610:AB610"/>
    <mergeCell ref="T611:W611"/>
    <mergeCell ref="Y611:AB611"/>
    <mergeCell ref="V624:W624"/>
    <mergeCell ref="V625:W625"/>
    <mergeCell ref="V626:W626"/>
    <mergeCell ref="V627:W627"/>
    <mergeCell ref="V628:W628"/>
    <mergeCell ref="T629:V629"/>
    <mergeCell ref="T630:V630"/>
    <mergeCell ref="T620:V620"/>
    <mergeCell ref="Y620:AA620"/>
    <mergeCell ref="T622:V622"/>
    <mergeCell ref="Y622:AA622"/>
    <mergeCell ref="V623:W623"/>
    <mergeCell ref="AA623:AB623"/>
    <mergeCell ref="AA624:AB624"/>
    <mergeCell ref="O614:R614"/>
    <mergeCell ref="E615:H615"/>
    <mergeCell ref="J615:M615"/>
    <mergeCell ref="O615:R615"/>
    <mergeCell ref="E616:G616"/>
    <mergeCell ref="J616:L616"/>
    <mergeCell ref="O616:Q616"/>
    <mergeCell ref="E617:G617"/>
    <mergeCell ref="J617:L617"/>
    <mergeCell ref="O617:Q617"/>
    <mergeCell ref="E618:G618"/>
    <mergeCell ref="J618:L618"/>
    <mergeCell ref="O618:Q618"/>
    <mergeCell ref="E619:G619"/>
    <mergeCell ref="J619:L619"/>
    <mergeCell ref="O619:Q619"/>
    <mergeCell ref="G603:H603"/>
    <mergeCell ref="E604:G604"/>
    <mergeCell ref="I609:I620"/>
    <mergeCell ref="N609:N620"/>
    <mergeCell ref="O609:R609"/>
    <mergeCell ref="S609:S620"/>
    <mergeCell ref="J611:M611"/>
    <mergeCell ref="O620:Q620"/>
    <mergeCell ref="J635:M635"/>
    <mergeCell ref="O635:R635"/>
    <mergeCell ref="AD640:AG640"/>
    <mergeCell ref="AD641:AG641"/>
    <mergeCell ref="AD643:AG643"/>
    <mergeCell ref="AD644:AG644"/>
    <mergeCell ref="AD645:AG645"/>
    <mergeCell ref="T639:W639"/>
    <mergeCell ref="Y639:AB639"/>
    <mergeCell ref="AD639:AG639"/>
    <mergeCell ref="T640:W640"/>
    <mergeCell ref="Y640:AB640"/>
    <mergeCell ref="T641:V641"/>
    <mergeCell ref="AD642:AG642"/>
    <mergeCell ref="T643:V643"/>
    <mergeCell ref="T644:V644"/>
    <mergeCell ref="J644:L644"/>
    <mergeCell ref="J645:L645"/>
    <mergeCell ref="O645:Q645"/>
    <mergeCell ref="T645:V645"/>
    <mergeCell ref="T642:V642"/>
    <mergeCell ref="E643:G643"/>
    <mergeCell ref="J643:L643"/>
    <mergeCell ref="O643:Q643"/>
    <mergeCell ref="E644:G644"/>
    <mergeCell ref="O644:Q644"/>
    <mergeCell ref="E645:G645"/>
    <mergeCell ref="O421:R421"/>
    <mergeCell ref="Q422:R422"/>
    <mergeCell ref="L423:M423"/>
    <mergeCell ref="Q423:R423"/>
    <mergeCell ref="J416:L416"/>
    <mergeCell ref="J417:L417"/>
    <mergeCell ref="J418:L418"/>
    <mergeCell ref="J419:L419"/>
    <mergeCell ref="J421:M421"/>
    <mergeCell ref="T421:W421"/>
    <mergeCell ref="L422:M422"/>
    <mergeCell ref="AD391:AG391"/>
    <mergeCell ref="AD392:AG392"/>
    <mergeCell ref="AD393:AG393"/>
    <mergeCell ref="AD394:AG394"/>
    <mergeCell ref="E407:AG407"/>
    <mergeCell ref="E408:H408"/>
    <mergeCell ref="J408:M408"/>
    <mergeCell ref="O408:R408"/>
    <mergeCell ref="T408:W408"/>
    <mergeCell ref="C409:C411"/>
    <mergeCell ref="E409:H409"/>
    <mergeCell ref="J409:M409"/>
    <mergeCell ref="E410:H410"/>
    <mergeCell ref="J410:M410"/>
    <mergeCell ref="AD415:AG415"/>
    <mergeCell ref="AD416:AG416"/>
    <mergeCell ref="AD417:AG417"/>
    <mergeCell ref="AD418:AG418"/>
    <mergeCell ref="AD419:AG419"/>
    <mergeCell ref="Y408:AB408"/>
    <mergeCell ref="AD408:AG408"/>
    <mergeCell ref="AD409:AG409"/>
    <mergeCell ref="AD410:AG410"/>
    <mergeCell ref="AD411:AG411"/>
    <mergeCell ref="AD413:AG413"/>
    <mergeCell ref="AD414:AG414"/>
    <mergeCell ref="F411:G411"/>
    <mergeCell ref="E413:H413"/>
    <mergeCell ref="J413:M413"/>
    <mergeCell ref="C414:C416"/>
    <mergeCell ref="E414:H414"/>
    <mergeCell ref="J414:M414"/>
    <mergeCell ref="J415:L415"/>
    <mergeCell ref="V422:W422"/>
    <mergeCell ref="V423:W423"/>
    <mergeCell ref="V424:W424"/>
    <mergeCell ref="V425:W425"/>
    <mergeCell ref="G423:H423"/>
    <mergeCell ref="G424:H424"/>
    <mergeCell ref="L424:M424"/>
    <mergeCell ref="Q424:R424"/>
    <mergeCell ref="L425:M425"/>
    <mergeCell ref="Q425:R425"/>
    <mergeCell ref="G354:H354"/>
    <mergeCell ref="E364:H364"/>
    <mergeCell ref="C365:C367"/>
    <mergeCell ref="E365:H365"/>
    <mergeCell ref="E366:G366"/>
    <mergeCell ref="E367:G367"/>
    <mergeCell ref="E368:G368"/>
    <mergeCell ref="J370:M370"/>
    <mergeCell ref="O370:R370"/>
    <mergeCell ref="T370:W370"/>
    <mergeCell ref="Y370:AB370"/>
    <mergeCell ref="G353:H353"/>
    <mergeCell ref="I359:I370"/>
    <mergeCell ref="N359:N370"/>
    <mergeCell ref="S359:S370"/>
    <mergeCell ref="X359:X370"/>
    <mergeCell ref="AC359:AC370"/>
    <mergeCell ref="Y362:AB362"/>
    <mergeCell ref="J369:M369"/>
    <mergeCell ref="O369:R369"/>
    <mergeCell ref="E369:G369"/>
    <mergeCell ref="E370:G370"/>
    <mergeCell ref="E372:H372"/>
    <mergeCell ref="J372:M372"/>
    <mergeCell ref="T372:W372"/>
    <mergeCell ref="L373:M373"/>
    <mergeCell ref="V373:W373"/>
    <mergeCell ref="Q376:R376"/>
    <mergeCell ref="Q377:R377"/>
    <mergeCell ref="O372:R372"/>
    <mergeCell ref="Q373:R373"/>
    <mergeCell ref="Q374:R374"/>
    <mergeCell ref="V374:W374"/>
    <mergeCell ref="Q375:R375"/>
    <mergeCell ref="V375:W375"/>
    <mergeCell ref="V376:W376"/>
    <mergeCell ref="V377:W377"/>
    <mergeCell ref="J367:L367"/>
    <mergeCell ref="O367:Q367"/>
    <mergeCell ref="T367:V367"/>
    <mergeCell ref="Y367:AB367"/>
    <mergeCell ref="J368:M368"/>
    <mergeCell ref="O368:R368"/>
    <mergeCell ref="T368:W368"/>
    <mergeCell ref="Y368:AB368"/>
    <mergeCell ref="T369:W369"/>
    <mergeCell ref="Y369:AB369"/>
    <mergeCell ref="L376:M376"/>
    <mergeCell ref="L377:M377"/>
    <mergeCell ref="G373:H373"/>
    <mergeCell ref="G374:H374"/>
    <mergeCell ref="L374:M374"/>
    <mergeCell ref="G375:H375"/>
    <mergeCell ref="L375:M375"/>
    <mergeCell ref="G376:H376"/>
    <mergeCell ref="G377:H377"/>
    <mergeCell ref="G378:H378"/>
    <mergeCell ref="L378:M378"/>
    <mergeCell ref="Q378:R378"/>
    <mergeCell ref="V378:W378"/>
    <mergeCell ref="J379:L379"/>
    <mergeCell ref="O379:Q379"/>
    <mergeCell ref="T379:V379"/>
    <mergeCell ref="E383:H383"/>
    <mergeCell ref="E384:H384"/>
    <mergeCell ref="T383:W383"/>
    <mergeCell ref="T384:W384"/>
    <mergeCell ref="J384:M384"/>
    <mergeCell ref="E385:H385"/>
    <mergeCell ref="J385:M385"/>
    <mergeCell ref="O385:R385"/>
    <mergeCell ref="T385:W385"/>
    <mergeCell ref="C384:C386"/>
    <mergeCell ref="C389:C391"/>
    <mergeCell ref="AD383:AG383"/>
    <mergeCell ref="AD384:AG384"/>
    <mergeCell ref="AD385:AG385"/>
    <mergeCell ref="AD386:AG386"/>
    <mergeCell ref="AD388:AG388"/>
    <mergeCell ref="AD389:AG389"/>
    <mergeCell ref="AD390:AG390"/>
    <mergeCell ref="U411:V411"/>
    <mergeCell ref="T413:W413"/>
    <mergeCell ref="V426:W426"/>
    <mergeCell ref="V427:W427"/>
    <mergeCell ref="T428:V428"/>
    <mergeCell ref="V399:W399"/>
    <mergeCell ref="V400:W400"/>
    <mergeCell ref="V401:W401"/>
    <mergeCell ref="V402:W402"/>
    <mergeCell ref="T403:V403"/>
    <mergeCell ref="T409:W409"/>
    <mergeCell ref="T410:W410"/>
    <mergeCell ref="G425:H425"/>
    <mergeCell ref="G426:H426"/>
    <mergeCell ref="L426:M426"/>
    <mergeCell ref="Q426:R426"/>
    <mergeCell ref="G427:H427"/>
    <mergeCell ref="L427:M427"/>
    <mergeCell ref="Q427:R427"/>
    <mergeCell ref="E415:G415"/>
    <mergeCell ref="E416:G416"/>
    <mergeCell ref="E417:G417"/>
    <mergeCell ref="E418:G418"/>
    <mergeCell ref="E419:G419"/>
    <mergeCell ref="E421:H421"/>
    <mergeCell ref="G422:H422"/>
    <mergeCell ref="T433:W433"/>
    <mergeCell ref="Y433:AB433"/>
    <mergeCell ref="E428:G428"/>
    <mergeCell ref="J428:L428"/>
    <mergeCell ref="O428:Q428"/>
    <mergeCell ref="J429:L429"/>
    <mergeCell ref="O429:Q429"/>
    <mergeCell ref="E432:AG432"/>
    <mergeCell ref="E433:H433"/>
    <mergeCell ref="AD433:AG433"/>
    <mergeCell ref="T434:W434"/>
    <mergeCell ref="Y434:AB434"/>
    <mergeCell ref="AD434:AG434"/>
    <mergeCell ref="E435:H435"/>
    <mergeCell ref="E438:H438"/>
    <mergeCell ref="AD441:AG441"/>
    <mergeCell ref="AD442:AG442"/>
    <mergeCell ref="AD443:AG443"/>
    <mergeCell ref="AD444:AG444"/>
    <mergeCell ref="T435:W435"/>
    <mergeCell ref="Y435:AB435"/>
    <mergeCell ref="AD435:AG435"/>
    <mergeCell ref="AD436:AG436"/>
    <mergeCell ref="AD438:AG438"/>
    <mergeCell ref="AD439:AG439"/>
    <mergeCell ref="AD440:AG440"/>
    <mergeCell ref="J440:L440"/>
    <mergeCell ref="J441:L441"/>
    <mergeCell ref="J446:M446"/>
    <mergeCell ref="L447:M447"/>
    <mergeCell ref="L448:M448"/>
    <mergeCell ref="L449:M449"/>
    <mergeCell ref="L450:M450"/>
    <mergeCell ref="J459:M459"/>
    <mergeCell ref="O459:R459"/>
    <mergeCell ref="T459:W459"/>
    <mergeCell ref="J460:M460"/>
    <mergeCell ref="O460:R460"/>
    <mergeCell ref="T460:W460"/>
    <mergeCell ref="U461:V461"/>
    <mergeCell ref="T463:W463"/>
    <mergeCell ref="O463:R463"/>
    <mergeCell ref="J464:M464"/>
    <mergeCell ref="O464:R464"/>
    <mergeCell ref="T464:W464"/>
    <mergeCell ref="J465:L465"/>
    <mergeCell ref="O465:Q465"/>
    <mergeCell ref="T465:V465"/>
    <mergeCell ref="Y465:AB465"/>
    <mergeCell ref="Y466:AB466"/>
    <mergeCell ref="V472:W472"/>
    <mergeCell ref="V473:W473"/>
    <mergeCell ref="V474:W474"/>
    <mergeCell ref="V475:W475"/>
    <mergeCell ref="V476:W476"/>
    <mergeCell ref="V477:W477"/>
    <mergeCell ref="T478:V478"/>
    <mergeCell ref="J466:L466"/>
    <mergeCell ref="O466:Q466"/>
    <mergeCell ref="T466:V466"/>
    <mergeCell ref="T467:V467"/>
    <mergeCell ref="T468:V468"/>
    <mergeCell ref="T469:V469"/>
    <mergeCell ref="T471:W471"/>
    <mergeCell ref="J433:M433"/>
    <mergeCell ref="O433:R433"/>
    <mergeCell ref="C434:C436"/>
    <mergeCell ref="E434:H434"/>
    <mergeCell ref="J435:M435"/>
    <mergeCell ref="O435:R435"/>
    <mergeCell ref="K436:L436"/>
    <mergeCell ref="T438:W438"/>
    <mergeCell ref="Y438:AB438"/>
    <mergeCell ref="T440:V440"/>
    <mergeCell ref="Y440:AA440"/>
    <mergeCell ref="J438:M438"/>
    <mergeCell ref="O438:R438"/>
    <mergeCell ref="C439:C441"/>
    <mergeCell ref="E439:H439"/>
    <mergeCell ref="J439:M439"/>
    <mergeCell ref="E440:G440"/>
    <mergeCell ref="E441:G441"/>
    <mergeCell ref="V449:W449"/>
    <mergeCell ref="V450:W450"/>
    <mergeCell ref="V451:W451"/>
    <mergeCell ref="V452:W452"/>
    <mergeCell ref="T453:V453"/>
    <mergeCell ref="T458:W458"/>
    <mergeCell ref="Q447:R447"/>
    <mergeCell ref="Q448:R448"/>
    <mergeCell ref="V448:W448"/>
    <mergeCell ref="AA448:AB448"/>
    <mergeCell ref="Q449:R449"/>
    <mergeCell ref="AA449:AB449"/>
    <mergeCell ref="AA450:AB450"/>
    <mergeCell ref="AD460:AG460"/>
    <mergeCell ref="AD461:AG461"/>
    <mergeCell ref="AD463:AG463"/>
    <mergeCell ref="AD464:AG464"/>
    <mergeCell ref="AD465:AG465"/>
    <mergeCell ref="AD466:AG466"/>
    <mergeCell ref="AD467:AG467"/>
    <mergeCell ref="E489:H489"/>
    <mergeCell ref="E490:G490"/>
    <mergeCell ref="E491:G491"/>
    <mergeCell ref="E492:G492"/>
    <mergeCell ref="E493:G493"/>
    <mergeCell ref="G477:H477"/>
    <mergeCell ref="E478:G478"/>
    <mergeCell ref="C484:C486"/>
    <mergeCell ref="E484:H484"/>
    <mergeCell ref="E485:H485"/>
    <mergeCell ref="C487:C491"/>
    <mergeCell ref="E488:H488"/>
    <mergeCell ref="Y483:AB483"/>
    <mergeCell ref="AD483:AG483"/>
    <mergeCell ref="AD468:AG468"/>
    <mergeCell ref="AD469:AG469"/>
    <mergeCell ref="E482:AG482"/>
    <mergeCell ref="E483:H483"/>
    <mergeCell ref="J483:M483"/>
    <mergeCell ref="T483:W483"/>
    <mergeCell ref="J484:M484"/>
    <mergeCell ref="AD484:AG484"/>
    <mergeCell ref="AD486:AG486"/>
    <mergeCell ref="AD487:AG487"/>
    <mergeCell ref="AD488:AG488"/>
    <mergeCell ref="AD489:AG489"/>
    <mergeCell ref="AD490:AG490"/>
    <mergeCell ref="AD491:AG491"/>
    <mergeCell ref="AD492:AG492"/>
    <mergeCell ref="AD493:AG493"/>
    <mergeCell ref="T484:W484"/>
    <mergeCell ref="Y484:AB484"/>
    <mergeCell ref="T485:W485"/>
    <mergeCell ref="Y485:AB485"/>
    <mergeCell ref="AD485:AG485"/>
    <mergeCell ref="U486:V486"/>
    <mergeCell ref="Z486:AA486"/>
    <mergeCell ref="O483:R483"/>
    <mergeCell ref="O484:R484"/>
    <mergeCell ref="J485:M485"/>
    <mergeCell ref="O485:R485"/>
    <mergeCell ref="J488:M488"/>
    <mergeCell ref="O488:R488"/>
    <mergeCell ref="O489:R489"/>
    <mergeCell ref="T491:V491"/>
    <mergeCell ref="T492:V492"/>
    <mergeCell ref="T493:V493"/>
    <mergeCell ref="Y492:AA492"/>
    <mergeCell ref="Y493:AA493"/>
    <mergeCell ref="T488:W488"/>
    <mergeCell ref="Y488:AB488"/>
    <mergeCell ref="T489:W489"/>
    <mergeCell ref="Y489:AB489"/>
    <mergeCell ref="T490:V490"/>
    <mergeCell ref="Y490:AA490"/>
    <mergeCell ref="Y491:AA491"/>
    <mergeCell ref="V500:W500"/>
    <mergeCell ref="V501:W501"/>
    <mergeCell ref="T496:W496"/>
    <mergeCell ref="V497:W497"/>
    <mergeCell ref="V498:W498"/>
    <mergeCell ref="AA498:AB498"/>
    <mergeCell ref="V499:W499"/>
    <mergeCell ref="AA499:AB499"/>
    <mergeCell ref="AA500:AB500"/>
    <mergeCell ref="AA501:AB501"/>
    <mergeCell ref="J489:M489"/>
    <mergeCell ref="J490:L490"/>
    <mergeCell ref="O490:Q490"/>
    <mergeCell ref="J491:L491"/>
    <mergeCell ref="O491:Q491"/>
    <mergeCell ref="J492:L492"/>
    <mergeCell ref="J493:L493"/>
    <mergeCell ref="O492:Q492"/>
    <mergeCell ref="O493:Q493"/>
    <mergeCell ref="E494:G494"/>
    <mergeCell ref="J494:L494"/>
    <mergeCell ref="O494:Q494"/>
    <mergeCell ref="T494:V494"/>
    <mergeCell ref="Y494:AA494"/>
    <mergeCell ref="E496:H496"/>
    <mergeCell ref="J496:M496"/>
    <mergeCell ref="O496:R496"/>
    <mergeCell ref="Y496:AB496"/>
    <mergeCell ref="L497:M497"/>
    <mergeCell ref="Q497:R497"/>
    <mergeCell ref="AA497:AB497"/>
    <mergeCell ref="L499:M499"/>
    <mergeCell ref="L500:M500"/>
    <mergeCell ref="L501:M501"/>
    <mergeCell ref="L502:M502"/>
    <mergeCell ref="J503:L503"/>
    <mergeCell ref="G500:H500"/>
    <mergeCell ref="G501:H501"/>
    <mergeCell ref="G502:H502"/>
    <mergeCell ref="E503:G503"/>
    <mergeCell ref="Q501:R501"/>
    <mergeCell ref="Q502:R502"/>
    <mergeCell ref="V502:W502"/>
    <mergeCell ref="AA502:AB502"/>
    <mergeCell ref="O503:Q503"/>
    <mergeCell ref="T503:V503"/>
    <mergeCell ref="Y503:AA503"/>
    <mergeCell ref="O504:Q504"/>
    <mergeCell ref="G497:H497"/>
    <mergeCell ref="G498:H498"/>
    <mergeCell ref="L498:M498"/>
    <mergeCell ref="Q498:R498"/>
    <mergeCell ref="G499:H499"/>
    <mergeCell ref="Q499:R499"/>
    <mergeCell ref="Q500:R500"/>
    <mergeCell ref="J458:M458"/>
    <mergeCell ref="J463:M463"/>
    <mergeCell ref="J467:L467"/>
    <mergeCell ref="O467:Q467"/>
    <mergeCell ref="J468:L468"/>
    <mergeCell ref="O468:Q468"/>
    <mergeCell ref="L451:M451"/>
    <mergeCell ref="L452:M452"/>
    <mergeCell ref="J453:L453"/>
    <mergeCell ref="J454:L454"/>
    <mergeCell ref="N458:N469"/>
    <mergeCell ref="S458:S469"/>
    <mergeCell ref="P461:Q461"/>
    <mergeCell ref="L473:M473"/>
    <mergeCell ref="L474:M474"/>
    <mergeCell ref="L475:M475"/>
    <mergeCell ref="L476:M476"/>
    <mergeCell ref="L477:M477"/>
    <mergeCell ref="J478:L478"/>
    <mergeCell ref="J479:L479"/>
    <mergeCell ref="Q474:R474"/>
    <mergeCell ref="Q475:R475"/>
    <mergeCell ref="Q476:R476"/>
    <mergeCell ref="Q477:R477"/>
    <mergeCell ref="O478:Q478"/>
    <mergeCell ref="J469:L469"/>
    <mergeCell ref="O469:Q469"/>
    <mergeCell ref="J471:M471"/>
    <mergeCell ref="O471:R471"/>
    <mergeCell ref="L472:M472"/>
    <mergeCell ref="Q472:R472"/>
    <mergeCell ref="Q473:R473"/>
    <mergeCell ref="E442:G442"/>
    <mergeCell ref="E443:G443"/>
    <mergeCell ref="E444:G444"/>
    <mergeCell ref="E446:H446"/>
    <mergeCell ref="G447:H447"/>
    <mergeCell ref="G448:H448"/>
    <mergeCell ref="G449:H449"/>
    <mergeCell ref="E458:H458"/>
    <mergeCell ref="E459:H459"/>
    <mergeCell ref="E460:H460"/>
    <mergeCell ref="E463:H463"/>
    <mergeCell ref="C464:C466"/>
    <mergeCell ref="E464:H464"/>
    <mergeCell ref="E465:G465"/>
    <mergeCell ref="E466:G466"/>
    <mergeCell ref="E467:G467"/>
    <mergeCell ref="E468:G468"/>
    <mergeCell ref="G450:H450"/>
    <mergeCell ref="G451:H451"/>
    <mergeCell ref="G452:H452"/>
    <mergeCell ref="E453:G453"/>
    <mergeCell ref="E454:G454"/>
    <mergeCell ref="I458:I469"/>
    <mergeCell ref="C459:C461"/>
    <mergeCell ref="E469:G469"/>
    <mergeCell ref="E471:H471"/>
    <mergeCell ref="G472:H472"/>
    <mergeCell ref="G473:H473"/>
    <mergeCell ref="G474:H474"/>
    <mergeCell ref="G475:H475"/>
    <mergeCell ref="G476:H476"/>
    <mergeCell ref="T672:W672"/>
    <mergeCell ref="Y672:AB672"/>
    <mergeCell ref="S659:S670"/>
    <mergeCell ref="X659:X670"/>
    <mergeCell ref="AC659:AC670"/>
    <mergeCell ref="T660:W660"/>
    <mergeCell ref="Y660:AB660"/>
    <mergeCell ref="T661:W661"/>
    <mergeCell ref="Y661:AB661"/>
    <mergeCell ref="T664:W664"/>
    <mergeCell ref="Y664:AB664"/>
    <mergeCell ref="AD664:AG664"/>
    <mergeCell ref="T665:W665"/>
    <mergeCell ref="Y665:AB665"/>
    <mergeCell ref="AD665:AG665"/>
    <mergeCell ref="T666:V666"/>
    <mergeCell ref="Y666:AA666"/>
    <mergeCell ref="AD666:AG666"/>
    <mergeCell ref="T667:V667"/>
    <mergeCell ref="Y667:AA667"/>
    <mergeCell ref="AD667:AG667"/>
    <mergeCell ref="T668:V668"/>
    <mergeCell ref="Y668:AA668"/>
    <mergeCell ref="AD668:AG668"/>
    <mergeCell ref="T669:V669"/>
    <mergeCell ref="Y669:AA669"/>
    <mergeCell ref="AD669:AG669"/>
    <mergeCell ref="T670:V670"/>
    <mergeCell ref="Y670:AA670"/>
    <mergeCell ref="AD670:AG670"/>
    <mergeCell ref="Y1218:AA1218"/>
    <mergeCell ref="Y1234:AB1234"/>
    <mergeCell ref="AA1235:AB1235"/>
    <mergeCell ref="AA1236:AB1236"/>
    <mergeCell ref="AA1237:AB1237"/>
    <mergeCell ref="AA1238:AB1238"/>
    <mergeCell ref="AA1239:AB1239"/>
    <mergeCell ref="Y1250:AB1250"/>
    <mergeCell ref="Y1251:AB1251"/>
    <mergeCell ref="Y1252:AA1252"/>
    <mergeCell ref="Y1253:AA1253"/>
    <mergeCell ref="Y1254:AA1254"/>
    <mergeCell ref="Y1255:AA1255"/>
    <mergeCell ref="AA1240:AB1240"/>
    <mergeCell ref="Y1241:AA1241"/>
    <mergeCell ref="X1245:X1256"/>
    <mergeCell ref="Y1245:AB1245"/>
    <mergeCell ref="AC1245:AC1256"/>
    <mergeCell ref="Y1246:AB1246"/>
    <mergeCell ref="Y1247:AB1247"/>
    <mergeCell ref="Y1256:AA1256"/>
    <mergeCell ref="Y1198:AB1198"/>
    <mergeCell ref="Y1199:AB1199"/>
    <mergeCell ref="Y1200:AB1200"/>
    <mergeCell ref="Y1203:AB1203"/>
    <mergeCell ref="Y1204:AB1204"/>
    <mergeCell ref="Y1205:AA1205"/>
    <mergeCell ref="Y1206:AA1206"/>
    <mergeCell ref="Y1207:AA1207"/>
    <mergeCell ref="Y1208:AA1208"/>
    <mergeCell ref="Y1209:AA1209"/>
    <mergeCell ref="AA1190:AB1190"/>
    <mergeCell ref="AA1191:AB1191"/>
    <mergeCell ref="AA1192:AB1192"/>
    <mergeCell ref="AA1193:AB1193"/>
    <mergeCell ref="AA1194:AB1194"/>
    <mergeCell ref="Y1195:AA1195"/>
    <mergeCell ref="AC1198:AC1209"/>
    <mergeCell ref="Y1211:AB1211"/>
    <mergeCell ref="AA1212:AB1212"/>
    <mergeCell ref="AA1213:AB1213"/>
    <mergeCell ref="AA1214:AB1214"/>
    <mergeCell ref="AA1215:AB1215"/>
    <mergeCell ref="AA1216:AB1216"/>
    <mergeCell ref="AA1217:AB1217"/>
    <mergeCell ref="Y1157:AB1157"/>
    <mergeCell ref="Y1158:AA1158"/>
    <mergeCell ref="Y1161:AA1161"/>
    <mergeCell ref="Y1162:AA1162"/>
    <mergeCell ref="AA1145:AB1145"/>
    <mergeCell ref="AA1146:AB1146"/>
    <mergeCell ref="Y1147:AA1147"/>
    <mergeCell ref="AC1151:AC1162"/>
    <mergeCell ref="Y1152:AB1152"/>
    <mergeCell ref="Y1153:AB1153"/>
    <mergeCell ref="Y1156:AB1156"/>
    <mergeCell ref="Y1164:AB1164"/>
    <mergeCell ref="AA1165:AB1165"/>
    <mergeCell ref="AA1166:AB1166"/>
    <mergeCell ref="AA1167:AB1167"/>
    <mergeCell ref="AA1168:AB1168"/>
    <mergeCell ref="AA1169:AB1169"/>
    <mergeCell ref="AA1170:AB1170"/>
    <mergeCell ref="AD1176:AG1176"/>
    <mergeCell ref="AD1177:AG1177"/>
    <mergeCell ref="Y1180:AB1180"/>
    <mergeCell ref="AD1180:AG1180"/>
    <mergeCell ref="Y1182:AA1182"/>
    <mergeCell ref="AD1182:AF1182"/>
    <mergeCell ref="Y1181:AB1181"/>
    <mergeCell ref="AD1181:AG1181"/>
    <mergeCell ref="Y1183:AA1183"/>
    <mergeCell ref="AD1183:AF1183"/>
    <mergeCell ref="Y1184:AA1184"/>
    <mergeCell ref="AD1184:AF1184"/>
    <mergeCell ref="Y1185:AA1185"/>
    <mergeCell ref="AD1185:AF1185"/>
    <mergeCell ref="Y1171:AA1171"/>
    <mergeCell ref="Y1172:AA1172"/>
    <mergeCell ref="Y1175:AB1175"/>
    <mergeCell ref="AC1175:AC1186"/>
    <mergeCell ref="AD1175:AG1175"/>
    <mergeCell ref="Y1176:AB1176"/>
    <mergeCell ref="Y1177:AB1177"/>
    <mergeCell ref="Y1186:AA1186"/>
    <mergeCell ref="AD1186:AF1186"/>
    <mergeCell ref="Y1188:AB1188"/>
    <mergeCell ref="AD1188:AG1188"/>
    <mergeCell ref="AA1189:AB1189"/>
    <mergeCell ref="AF1189:AG1189"/>
    <mergeCell ref="AF1190:AG1190"/>
    <mergeCell ref="AF1191:AG1191"/>
    <mergeCell ref="AF1192:AG1192"/>
    <mergeCell ref="AF1193:AG1193"/>
    <mergeCell ref="AF1194:AG1194"/>
    <mergeCell ref="AD1195:AF1195"/>
    <mergeCell ref="AD1198:AG1198"/>
    <mergeCell ref="AD1199:AG1199"/>
    <mergeCell ref="AD1200:AG1200"/>
    <mergeCell ref="AD1203:AG1203"/>
    <mergeCell ref="AD1204:AG1204"/>
    <mergeCell ref="AD1205:AF1205"/>
    <mergeCell ref="AD1206:AF1206"/>
    <mergeCell ref="AD1207:AF1207"/>
    <mergeCell ref="AD1208:AF1208"/>
    <mergeCell ref="AD1209:AF1209"/>
    <mergeCell ref="AD1211:AG1211"/>
    <mergeCell ref="AF1212:AG1212"/>
    <mergeCell ref="AF1213:AG1213"/>
    <mergeCell ref="AF1214:AG1214"/>
    <mergeCell ref="AF1215:AG1215"/>
    <mergeCell ref="AF1216:AG1216"/>
    <mergeCell ref="Y1222:AB1222"/>
    <mergeCell ref="Y1223:AB1223"/>
    <mergeCell ref="Y1226:AB1226"/>
    <mergeCell ref="AD1226:AG1226"/>
    <mergeCell ref="Y1227:AB1227"/>
    <mergeCell ref="AD1227:AG1227"/>
    <mergeCell ref="Y1228:AA1228"/>
    <mergeCell ref="AD1228:AF1228"/>
    <mergeCell ref="Y1229:AA1229"/>
    <mergeCell ref="AD1229:AF1229"/>
    <mergeCell ref="AD1223:AG1223"/>
    <mergeCell ref="Z1224:AA1224"/>
    <mergeCell ref="Y1230:AA1230"/>
    <mergeCell ref="AD1230:AF1230"/>
    <mergeCell ref="Y1231:AA1231"/>
    <mergeCell ref="AD1231:AF1231"/>
    <mergeCell ref="AF1217:AG1217"/>
    <mergeCell ref="AD1218:AF1218"/>
    <mergeCell ref="X1221:X1232"/>
    <mergeCell ref="Y1221:AB1221"/>
    <mergeCell ref="AC1221:AC1232"/>
    <mergeCell ref="AD1221:AG1221"/>
    <mergeCell ref="AD1222:AG1222"/>
    <mergeCell ref="Y1232:AA1232"/>
    <mergeCell ref="AD1232:AF1232"/>
    <mergeCell ref="AD1234:AG1234"/>
    <mergeCell ref="AF1235:AG1235"/>
    <mergeCell ref="AF1236:AG1236"/>
    <mergeCell ref="AF1237:AG1237"/>
    <mergeCell ref="AF1238:AG1238"/>
    <mergeCell ref="AF1239:AG1239"/>
    <mergeCell ref="AF1240:AG1240"/>
    <mergeCell ref="AD1241:AF1241"/>
    <mergeCell ref="AD1245:AG1245"/>
    <mergeCell ref="AD1246:AG1246"/>
    <mergeCell ref="AD1247:AG1247"/>
    <mergeCell ref="AE1248:AF1248"/>
    <mergeCell ref="AD1250:AG1250"/>
    <mergeCell ref="AD1251:AG1251"/>
    <mergeCell ref="AD1252:AF1252"/>
    <mergeCell ref="AD1253:AF1253"/>
    <mergeCell ref="AD1254:AF1254"/>
    <mergeCell ref="AD1255:AF1255"/>
    <mergeCell ref="AD1256:AF1256"/>
    <mergeCell ref="AD1258:AG1258"/>
    <mergeCell ref="AF1259:AG1259"/>
    <mergeCell ref="AF1260:AG1260"/>
    <mergeCell ref="AF1261:AG1261"/>
    <mergeCell ref="AF1262:AG1262"/>
    <mergeCell ref="AF1263:AG1263"/>
    <mergeCell ref="AF1264:AG1264"/>
    <mergeCell ref="Y1270:AB1270"/>
    <mergeCell ref="Y1271:AB1271"/>
    <mergeCell ref="AD1274:AG1274"/>
    <mergeCell ref="Y1275:AB1275"/>
    <mergeCell ref="AD1275:AG1275"/>
    <mergeCell ref="Y1276:AA1276"/>
    <mergeCell ref="AD1276:AF1276"/>
    <mergeCell ref="Y1277:AA1277"/>
    <mergeCell ref="AD1277:AF1277"/>
    <mergeCell ref="Y1278:AA1278"/>
    <mergeCell ref="AD1278:AF1278"/>
    <mergeCell ref="Y1279:AA1279"/>
    <mergeCell ref="AD1279:AF1279"/>
    <mergeCell ref="Y1269:AB1269"/>
    <mergeCell ref="Y1274:AB1274"/>
    <mergeCell ref="AD1265:AF1265"/>
    <mergeCell ref="AD1266:AF1266"/>
    <mergeCell ref="X1269:X1280"/>
    <mergeCell ref="AC1269:AC1280"/>
    <mergeCell ref="AD1269:AG1269"/>
    <mergeCell ref="AD1270:AG1270"/>
    <mergeCell ref="AD1271:AG1271"/>
    <mergeCell ref="Y1280:AA1280"/>
    <mergeCell ref="AD1280:AF1280"/>
    <mergeCell ref="AD1282:AG1282"/>
    <mergeCell ref="AF1283:AG1283"/>
    <mergeCell ref="AF1284:AG1284"/>
    <mergeCell ref="AF1285:AG1285"/>
    <mergeCell ref="AF1286:AG1286"/>
    <mergeCell ref="AF1287:AG1287"/>
    <mergeCell ref="AF1288:AG1288"/>
    <mergeCell ref="AD1289:AF1289"/>
    <mergeCell ref="AD1292:AG1292"/>
    <mergeCell ref="AD1293:AG1293"/>
    <mergeCell ref="AD1294:AG1294"/>
    <mergeCell ref="AD1297:AG1297"/>
    <mergeCell ref="AD1298:AG1298"/>
    <mergeCell ref="AD1299:AF1299"/>
    <mergeCell ref="AD1300:AF1300"/>
    <mergeCell ref="AD1301:AF1301"/>
    <mergeCell ref="AD1302:AF1302"/>
    <mergeCell ref="AD1303:AF1303"/>
    <mergeCell ref="AD1305:AG1305"/>
    <mergeCell ref="AF1311:AG1311"/>
    <mergeCell ref="AD1316:AG1316"/>
    <mergeCell ref="Y1317:AB1317"/>
    <mergeCell ref="AD1317:AG1317"/>
    <mergeCell ref="Y1318:AB1318"/>
    <mergeCell ref="AD1318:AG1318"/>
    <mergeCell ref="Y1321:AB1321"/>
    <mergeCell ref="AD1321:AG1321"/>
    <mergeCell ref="Y1322:AB1322"/>
    <mergeCell ref="AD1322:AG1322"/>
    <mergeCell ref="Y1323:AA1323"/>
    <mergeCell ref="AD1323:AF1323"/>
    <mergeCell ref="Y1324:AA1324"/>
    <mergeCell ref="AD1324:AF1324"/>
    <mergeCell ref="Y1325:AA1325"/>
    <mergeCell ref="AD1325:AF1325"/>
    <mergeCell ref="Y1326:AA1326"/>
    <mergeCell ref="AD1326:AF1326"/>
  </mergeCells>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0" priority="1" operator="between">
      <formula>1</formula>
      <formula>95</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1" priority="2" operator="between">
      <formula>96</formula>
      <formula>195</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2" priority="3" operator="between">
      <formula>196</formula>
      <formula>260</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3" priority="4" operator="between">
      <formula>261</formula>
      <formula>299</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4" priority="5" operator="between">
      <formula>300</formula>
      <formula>350</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5" priority="6" operator="between">
      <formula>351</formula>
      <formula>450</formula>
    </cfRule>
  </conditionalFormatting>
  <conditionalFormatting sqref="H23 M23 R23 H46 M46 H69 M69 R69 H92 M92 R92 W92 H116 M116 R116 W116 AB116 H140 M140 R140 H164 M164 R164 H188 M188 R188 H211 M211 R211 H234:H235 M234 R234 H259 M259 R259 W259 AB259 H283 M283:M284 R283:R284 W283:W284 AB283:AB284 H308 M308 R308 W308 AB308 AG308 H331 M331:M332 R331 W331 AB331 H355 M355 R355:R356 W355:W356 H379:H380 M379:M380 R379 W379 H403:H404 M403:M404 R403 W403 AB403 H428 M428:M429 R428:R429 W428 H453:H454 M453:M454 R453 W453 AB453 H478 M478:M479 R478 W478 H503:H504 M503:M504 R503:R504 W503:W504 AB503:AB504 AG504 H528:H529 H553 M553 R553 W553 AB553 AG553 H577 M577:M578 R577 W577 H604 M604 R604 H629:H630 M629:M630 R629 W629:W630 AB629:AB630 H654:H655 M654 R654:R655 W654 AB654 H679:H680 M679:M680 R679:R680 W679:W680 AB679 H704:H705 M704:M705 R704 W704 AB704 AG704 H729 M729 R729 W729 AB729 H753 M753:M754 R753 W753 AB753 H778:H779 M778:M779 R778:R779 W778:W779 AB778 H803 M803 R803 H829:H830 M829:M830 H856 M856 R856 H880 M880:M881 R880 W880:W881 AB880:AB881 H905 M905:M906 R905 W905:W906 AB905:AB906 H930 M930:M931 R930 W930:W931 AB930 AG930 H955 M955 R955 W955 AB955 H979 M979 R979 W979 AB979 H1003:H1004 M1003:M1004 R1003:R1004 W1003 AB1003 H1027 M1027:M1028 R1027 W1027:W1028 AB1027:AB1028 H1051 M1051 R1051 W1051 AB1051 AG1051 H1074 M1074 R1074 W1074:W1075 AB1074:AB1075 AG1074 R1091 H1099 M1099 R1099:R1100 W1099 AB1099:AB1100 AG1099 H1123 M1123 R1123 W1123 AB1123 H1147 M1147 R1147 W1147 AB1147 H1171:H1172 M1171:M1172 R1171:R1172 W1171:W1172 AB1171:AB1172 H1195 M1195 R1195 W1195 AB1195 AG1195 H1218 M1218 R1218 W1218 AB1218 AG1218 H1241 M1241:M1242 R1241:R1242 W1241:W1242 AB1241:AB1242 AG1241:AG1242 H1265:H1266 M1265:M1266 R1265:R1266 W1265:W1266 AB1265:AB1266 AG1265:AG1266 H1289 M1289 R1289 W1289 AB1289 AG1289 H1312 M1312 R1312 W1312 AB1312 AG1312 H1336 M1336 R1336 W1336 AB1336 AG1336 H1359:H1360 M1359:M1360 R1359:R1360 W1359 AB1359 AG1359">
    <cfRule type="cellIs" dxfId="6" priority="7" operator="between">
      <formula>451</formula>
      <formula>1000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811"/>
      <c r="B1" s="5812"/>
      <c r="C1" s="5812"/>
      <c r="D1" s="5812"/>
      <c r="E1" s="5812"/>
      <c r="F1" s="5812"/>
      <c r="G1" s="5812"/>
      <c r="H1" s="5812"/>
      <c r="I1" s="5812"/>
      <c r="J1" s="5812"/>
      <c r="K1" s="5812"/>
      <c r="L1" s="5812"/>
      <c r="M1" s="5812"/>
      <c r="N1" s="5812"/>
      <c r="O1" s="5812"/>
      <c r="P1" s="5812"/>
      <c r="Q1" s="5812"/>
      <c r="R1" s="5812"/>
      <c r="S1" s="5812"/>
      <c r="T1" s="5812"/>
      <c r="U1" s="5812"/>
      <c r="V1" s="5812"/>
      <c r="W1" s="5812"/>
      <c r="X1" s="5812"/>
      <c r="Y1" s="5812"/>
      <c r="Z1" s="5812"/>
      <c r="AA1" s="5812"/>
      <c r="AB1" s="5812"/>
      <c r="AC1" s="5812"/>
      <c r="AD1" s="5812"/>
      <c r="AE1" s="5812"/>
      <c r="AF1" s="5812"/>
      <c r="AG1" s="5812"/>
      <c r="AH1" s="5812"/>
      <c r="AI1" s="5811"/>
    </row>
    <row r="2" ht="7.5" customHeight="1">
      <c r="A2" s="3446"/>
      <c r="B2" s="5813"/>
      <c r="C2" s="5814"/>
      <c r="D2" s="5815"/>
      <c r="E2" s="5816"/>
      <c r="F2" s="5816"/>
      <c r="G2" s="5816"/>
      <c r="H2" s="5816"/>
      <c r="I2" s="5815"/>
      <c r="J2" s="5816"/>
      <c r="K2" s="5816"/>
      <c r="L2" s="5816"/>
      <c r="M2" s="5816"/>
      <c r="N2" s="5815"/>
      <c r="O2" s="5816"/>
      <c r="P2" s="5816"/>
      <c r="Q2" s="5816"/>
      <c r="R2" s="5816"/>
      <c r="S2" s="5815"/>
      <c r="T2" s="5816"/>
      <c r="U2" s="5816"/>
      <c r="V2" s="5816"/>
      <c r="W2" s="5816"/>
      <c r="X2" s="5815"/>
      <c r="Y2" s="5816"/>
      <c r="Z2" s="5816"/>
      <c r="AA2" s="5816"/>
      <c r="AB2" s="5816"/>
      <c r="AC2" s="5815"/>
      <c r="AD2" s="5816"/>
      <c r="AE2" s="5816"/>
      <c r="AF2" s="5816"/>
      <c r="AG2" s="5816"/>
      <c r="AH2" s="5817"/>
      <c r="AI2" s="3452"/>
    </row>
    <row r="3" ht="96.75" customHeight="1">
      <c r="A3" s="3453"/>
      <c r="B3" s="3572"/>
      <c r="C3" s="3573" t="str">
        <f>IMAGE("https://i.ibb.co/TKBZjnF/Ace-Trainer-M.png")</f>
        <v/>
      </c>
      <c r="D3" s="3574"/>
      <c r="E3" s="3575" t="str">
        <f t="array" ref="E3">IFERROR(VLOOKUP(E4,Dex!$B$3:$G249,3,FALSE),"")</f>
        <v/>
      </c>
      <c r="F3" s="606"/>
      <c r="G3" s="606"/>
      <c r="H3" s="607"/>
      <c r="I3" s="5818"/>
      <c r="J3" s="3575" t="str">
        <f t="array" ref="J3">IFERROR(VLOOKUP(J4,Dex!$B$3:$G249,3,FALSE),"")</f>
        <v/>
      </c>
      <c r="K3" s="606"/>
      <c r="L3" s="606"/>
      <c r="M3" s="607"/>
      <c r="N3" s="5819"/>
      <c r="O3" s="3575" t="str">
        <f t="array" ref="O3">IFERROR(VLOOKUP(O4,Dex!$B$3:$G249,3,FALSE),"")</f>
        <v/>
      </c>
      <c r="P3" s="606"/>
      <c r="Q3" s="606"/>
      <c r="R3" s="607"/>
      <c r="S3" s="5820"/>
      <c r="T3" s="3575" t="str">
        <f t="array" ref="T3">IFERROR(VLOOKUP(T4,Dex!$B$3:$G249,3,FALSE),"")</f>
        <v/>
      </c>
      <c r="U3" s="606"/>
      <c r="V3" s="606"/>
      <c r="W3" s="607"/>
      <c r="X3" s="5819"/>
      <c r="Y3" s="3575" t="str">
        <f t="array" ref="Y3">IFERROR(VLOOKUP(Y4,Dex!$B$3:$G249,3,FALSE),"")</f>
        <v/>
      </c>
      <c r="Z3" s="606"/>
      <c r="AA3" s="606"/>
      <c r="AB3" s="607"/>
      <c r="AC3" s="5820"/>
      <c r="AD3" s="3575" t="str">
        <f t="array" ref="AD3">IFERROR(VLOOKUP(AD4,Dex!$B$3:$G249,3,FALSE),"")</f>
        <v/>
      </c>
      <c r="AE3" s="606"/>
      <c r="AF3" s="606"/>
      <c r="AG3" s="607"/>
      <c r="AH3" s="5740"/>
      <c r="AI3" s="3466"/>
    </row>
    <row r="4" ht="18.75" customHeight="1">
      <c r="A4" s="3467"/>
      <c r="B4" s="3584"/>
      <c r="C4" s="3585" t="s">
        <v>1781</v>
      </c>
      <c r="D4" s="3586"/>
      <c r="E4" s="3587" t="s">
        <v>243</v>
      </c>
      <c r="F4" s="3588"/>
      <c r="G4" s="3588"/>
      <c r="H4" s="3589"/>
      <c r="J4" s="3587" t="s">
        <v>1330</v>
      </c>
      <c r="K4" s="3588"/>
      <c r="L4" s="3588"/>
      <c r="M4" s="3589"/>
      <c r="O4" s="3587" t="s">
        <v>627</v>
      </c>
      <c r="P4" s="3588"/>
      <c r="Q4" s="3588"/>
      <c r="R4" s="3589"/>
      <c r="T4" s="3587" t="s">
        <v>1311</v>
      </c>
      <c r="U4" s="3588"/>
      <c r="V4" s="3588"/>
      <c r="W4" s="3589"/>
      <c r="Y4" s="3587" t="s">
        <v>1094</v>
      </c>
      <c r="Z4" s="3588"/>
      <c r="AA4" s="3588"/>
      <c r="AB4" s="3589"/>
      <c r="AD4" s="3587" t="s">
        <v>1706</v>
      </c>
      <c r="AE4" s="3588"/>
      <c r="AF4" s="3588"/>
      <c r="AG4" s="3589"/>
      <c r="AH4" s="5741"/>
      <c r="AI4" s="3478"/>
    </row>
    <row r="5">
      <c r="A5" s="3479"/>
      <c r="B5" s="3594"/>
      <c r="C5" s="1638"/>
      <c r="D5" s="3595"/>
      <c r="E5" s="4586" t="s">
        <v>729</v>
      </c>
      <c r="F5" s="3597"/>
      <c r="G5" s="3597"/>
      <c r="H5" s="4587"/>
      <c r="J5" s="4586" t="s">
        <v>729</v>
      </c>
      <c r="K5" s="3597"/>
      <c r="L5" s="3597"/>
      <c r="M5" s="4587"/>
      <c r="O5" s="4586" t="s">
        <v>729</v>
      </c>
      <c r="P5" s="3597"/>
      <c r="Q5" s="3597"/>
      <c r="R5" s="4587"/>
      <c r="T5" s="4586" t="s">
        <v>729</v>
      </c>
      <c r="U5" s="3597"/>
      <c r="V5" s="3597"/>
      <c r="W5" s="4587"/>
      <c r="Y5" s="4586" t="s">
        <v>729</v>
      </c>
      <c r="Z5" s="3597"/>
      <c r="AA5" s="3597"/>
      <c r="AB5" s="4587"/>
      <c r="AD5" s="4586" t="s">
        <v>729</v>
      </c>
      <c r="AE5" s="3597"/>
      <c r="AF5" s="3597"/>
      <c r="AG5" s="4587"/>
      <c r="AH5" s="5742"/>
      <c r="AI5" s="3487"/>
    </row>
    <row r="6" ht="25.5" customHeight="1">
      <c r="A6" s="3453"/>
      <c r="B6" s="3572"/>
      <c r="C6" s="1646"/>
      <c r="D6" s="3574"/>
      <c r="E6" s="3601"/>
      <c r="F6" s="3602" t="str">
        <f t="array" ref="F6">IFERROR(VLOOKUP(E4,Dex!$B$3:$H249,5,FALSE),"")</f>
        <v/>
      </c>
      <c r="G6" s="3603"/>
      <c r="H6" s="3604"/>
      <c r="J6" s="3601"/>
      <c r="K6" s="4588" t="str">
        <f t="array" ref="K6">IFERROR(VLOOKUP(J4,Dex!$B$3:$H249,5,FALSE),"")</f>
        <v/>
      </c>
      <c r="L6" s="4589" t="str">
        <f t="array" ref="L6">IFERROR(VLOOKUP(J4,Dex!$B$3:$H249,7,FALSE),"")</f>
        <v/>
      </c>
      <c r="M6" s="3604"/>
      <c r="O6" s="3601"/>
      <c r="P6" s="4588" t="str">
        <f t="array" ref="P6">IFERROR(VLOOKUP(O4,Dex!$B$3:$H249,5,FALSE),"")</f>
        <v/>
      </c>
      <c r="Q6" s="4589" t="str">
        <f t="array" ref="Q6">IFERROR(VLOOKUP(O4,Dex!$B$3:$H249,7,FALSE),"")</f>
        <v/>
      </c>
      <c r="R6" s="3604"/>
      <c r="T6" s="3601"/>
      <c r="U6" s="4588" t="str">
        <f t="array" ref="U6">IFERROR(VLOOKUP(T4,Dex!$B$3:$H249,5,FALSE),"")</f>
        <v/>
      </c>
      <c r="V6" s="4589" t="str">
        <f t="array" ref="V6">IFERROR(VLOOKUP(T4,Dex!$B$3:$H249,7,FALSE),"")</f>
        <v/>
      </c>
      <c r="W6" s="3604"/>
      <c r="Y6" s="3601"/>
      <c r="Z6" s="4588" t="str">
        <f t="array" ref="Z6">IFERROR(VLOOKUP(Y4,Dex!$B$3:$H249,5,FALSE),"")</f>
        <v/>
      </c>
      <c r="AA6" s="4589" t="str">
        <f t="array" ref="AA6">IFERROR(VLOOKUP(Y4,Dex!$B$3:$H249,7,FALSE),"")</f>
        <v/>
      </c>
      <c r="AB6" s="3604"/>
      <c r="AD6" s="3601"/>
      <c r="AE6" s="4588" t="str">
        <f t="array" ref="AE6">IFERROR(VLOOKUP(AD4,Dex!$B$3:$H249,5,FALSE),"")</f>
        <v/>
      </c>
      <c r="AF6" s="4589" t="str">
        <f t="array" ref="AF6">IFERROR(VLOOKUP(AD4,Dex!$B$3:$H249,7,FALSE),"")</f>
        <v/>
      </c>
      <c r="AG6" s="3604"/>
      <c r="AH6" s="3583"/>
      <c r="AI6" s="3466"/>
    </row>
    <row r="7" ht="2.25" customHeight="1">
      <c r="A7" s="3453"/>
      <c r="B7" s="3572"/>
      <c r="C7" s="3605"/>
      <c r="D7" s="3574"/>
      <c r="E7" s="3606"/>
      <c r="F7" s="3607"/>
      <c r="G7" s="3607"/>
      <c r="H7" s="3608"/>
      <c r="J7" s="3606"/>
      <c r="K7" s="3607"/>
      <c r="L7" s="3607"/>
      <c r="M7" s="3608"/>
      <c r="O7" s="3606"/>
      <c r="P7" s="3607"/>
      <c r="Q7" s="3607"/>
      <c r="R7" s="3608"/>
      <c r="T7" s="3606"/>
      <c r="U7" s="3607"/>
      <c r="V7" s="3607"/>
      <c r="W7" s="3608"/>
      <c r="Y7" s="3606"/>
      <c r="Z7" s="3607"/>
      <c r="AA7" s="3607"/>
      <c r="AB7" s="3608"/>
      <c r="AD7" s="3606"/>
      <c r="AE7" s="3607"/>
      <c r="AF7" s="3607"/>
      <c r="AG7" s="3608"/>
      <c r="AH7" s="3583"/>
      <c r="AI7" s="3466"/>
    </row>
    <row r="8" ht="20.25" customHeight="1">
      <c r="A8" s="3453"/>
      <c r="B8" s="3572"/>
      <c r="C8" s="3605"/>
      <c r="D8" s="3574"/>
      <c r="E8" s="3610" t="s">
        <v>707</v>
      </c>
      <c r="F8" s="3611"/>
      <c r="G8" s="3611"/>
      <c r="H8" s="3612"/>
      <c r="I8" s="5821"/>
      <c r="J8" s="3610" t="s">
        <v>564</v>
      </c>
      <c r="K8" s="3611"/>
      <c r="L8" s="3611"/>
      <c r="M8" s="3612"/>
      <c r="N8" s="5822"/>
      <c r="O8" s="3610" t="s">
        <v>482</v>
      </c>
      <c r="P8" s="3611"/>
      <c r="Q8" s="3611"/>
      <c r="R8" s="3612"/>
      <c r="S8" s="5823"/>
      <c r="T8" s="3610" t="s">
        <v>532</v>
      </c>
      <c r="U8" s="3611"/>
      <c r="V8" s="3611"/>
      <c r="W8" s="3612"/>
      <c r="X8" s="5822"/>
      <c r="Y8" s="3610" t="s">
        <v>1097</v>
      </c>
      <c r="Z8" s="3611"/>
      <c r="AA8" s="3611"/>
      <c r="AB8" s="3612"/>
      <c r="AC8" s="5823"/>
      <c r="AD8" s="3610" t="s">
        <v>532</v>
      </c>
      <c r="AE8" s="3611"/>
      <c r="AF8" s="3611"/>
      <c r="AG8" s="3612"/>
      <c r="AH8" s="5740"/>
      <c r="AI8" s="3466"/>
    </row>
    <row r="9">
      <c r="A9" s="3453"/>
      <c r="B9" s="3572"/>
      <c r="C9" s="3613"/>
      <c r="D9" s="3574"/>
      <c r="E9" s="3614" t="s">
        <v>1112</v>
      </c>
      <c r="F9" s="3579"/>
      <c r="G9" s="3579"/>
      <c r="H9" s="3615"/>
      <c r="I9" s="5821"/>
      <c r="J9" s="3614" t="s">
        <v>1334</v>
      </c>
      <c r="K9" s="3579"/>
      <c r="L9" s="3579"/>
      <c r="M9" s="3615"/>
      <c r="N9" s="5822"/>
      <c r="O9" s="3614" t="s">
        <v>100</v>
      </c>
      <c r="P9" s="3579"/>
      <c r="Q9" s="3579"/>
      <c r="R9" s="3615"/>
      <c r="S9" s="5823"/>
      <c r="T9" s="3614" t="s">
        <v>60</v>
      </c>
      <c r="U9" s="3579"/>
      <c r="V9" s="3579"/>
      <c r="W9" s="3615"/>
      <c r="X9" s="5822"/>
      <c r="Y9" s="3614" t="s">
        <v>1099</v>
      </c>
      <c r="Z9" s="3579"/>
      <c r="AA9" s="3579"/>
      <c r="AB9" s="3615"/>
      <c r="AC9" s="5823"/>
      <c r="AD9" s="3614" t="s">
        <v>1782</v>
      </c>
      <c r="AE9" s="3579"/>
      <c r="AF9" s="3579"/>
      <c r="AG9" s="3615"/>
      <c r="AH9" s="5740"/>
      <c r="AI9" s="3466"/>
    </row>
    <row r="10" ht="20.25" customHeight="1">
      <c r="A10" s="3453"/>
      <c r="B10" s="3572"/>
      <c r="C10" s="3592"/>
      <c r="D10" s="3574"/>
      <c r="E10" s="3616" t="s">
        <v>892</v>
      </c>
      <c r="F10" s="3617"/>
      <c r="G10" s="3618"/>
      <c r="H10" s="3619" t="str">
        <f>IMAGE("https://raw.githubusercontent.com/msikma/pokesprite/master/items/hold-item/rocky-helmet.png",3)</f>
        <v/>
      </c>
      <c r="I10" s="5821"/>
      <c r="J10" s="3616" t="s">
        <v>710</v>
      </c>
      <c r="K10" s="3617"/>
      <c r="L10" s="3618"/>
      <c r="M10" s="3619" t="str">
        <f>IMAGE("https://raw.githubusercontent.com/msikma/pokesprite/master/items/hold-item/weakness-policy.png",3)</f>
        <v/>
      </c>
      <c r="N10" s="5822"/>
      <c r="O10" s="3616" t="s">
        <v>733</v>
      </c>
      <c r="P10" s="3617"/>
      <c r="Q10" s="3618"/>
      <c r="R10" s="3619" t="str">
        <f>IMAGE("https://raw.githubusercontent.com/msikma/pokesprite/master/items/hold-item/leftovers.png",3)</f>
        <v/>
      </c>
      <c r="S10" s="5823"/>
      <c r="T10" s="3616" t="s">
        <v>687</v>
      </c>
      <c r="U10" s="3617"/>
      <c r="V10" s="3618"/>
      <c r="W10" s="3619" t="str">
        <f>IMAGE("https://raw.githubusercontent.com/msikma/pokesprite/master/items/z-crystals/flyinium-z--held.png",3)</f>
        <v/>
      </c>
      <c r="X10" s="5822"/>
      <c r="Y10" s="3616" t="s">
        <v>892</v>
      </c>
      <c r="Z10" s="3617"/>
      <c r="AA10" s="3618"/>
      <c r="AB10" s="3619" t="str">
        <f>IMAGE("https://raw.githubusercontent.com/msikma/pokesprite/master/items/hold-item/rocky-helmet.png",3)</f>
        <v/>
      </c>
      <c r="AC10" s="5823"/>
      <c r="AD10" s="3616" t="s">
        <v>1709</v>
      </c>
      <c r="AE10" s="3617"/>
      <c r="AF10" s="3618"/>
      <c r="AG10" s="3619" t="str">
        <f>IMAGE("https://raw.githubusercontent.com/msikma/pokesprite/master/items/mega-stone/charizardite-y.png",3)</f>
        <v/>
      </c>
      <c r="AH10" s="3583"/>
      <c r="AI10" s="3466"/>
    </row>
    <row r="11" ht="20.25" customHeight="1">
      <c r="A11" s="3453"/>
      <c r="B11" s="3572"/>
      <c r="C11" s="3620"/>
      <c r="D11" s="3574"/>
      <c r="E11" s="3610" t="s">
        <v>191</v>
      </c>
      <c r="F11" s="3611"/>
      <c r="G11" s="3621"/>
      <c r="H11" s="3622" t="str">
        <f>IMAGE("https://raw.githubusercontent.com/msikma/pokesprite/master/misc/types/gen8/rock.png",4,20,20)</f>
        <v/>
      </c>
      <c r="I11" s="5821"/>
      <c r="J11" s="3610" t="s">
        <v>134</v>
      </c>
      <c r="K11" s="3611"/>
      <c r="L11" s="3621"/>
      <c r="M11" s="3622" t="str">
        <f>IMAGE("https://raw.githubusercontent.com/msikma/pokesprite/master/misc/types/gen8/psychic.png",4,20,20)</f>
        <v/>
      </c>
      <c r="N11" s="5822"/>
      <c r="O11" s="3610" t="s">
        <v>170</v>
      </c>
      <c r="P11" s="3611"/>
      <c r="Q11" s="3621"/>
      <c r="R11" s="3622" t="str">
        <f>IMAGE("https://raw.githubusercontent.com/msikma/pokesprite/master/misc/types/gen8/psychic.png",4,20,20)</f>
        <v/>
      </c>
      <c r="S11" s="5823"/>
      <c r="T11" s="3610" t="s">
        <v>287</v>
      </c>
      <c r="U11" s="3611"/>
      <c r="V11" s="3621"/>
      <c r="W11" s="3622" t="str">
        <f>IMAGE("https://raw.githubusercontent.com/msikma/pokesprite/master/misc/types/gen8/normal.png",4,20,20)</f>
        <v/>
      </c>
      <c r="X11" s="5822"/>
      <c r="Y11" s="3610" t="s">
        <v>1028</v>
      </c>
      <c r="Z11" s="3611"/>
      <c r="AA11" s="3621"/>
      <c r="AB11" s="3622" t="str">
        <f>IMAGE("https://raw.githubusercontent.com/msikma/pokesprite/master/misc/types/gen8/grass.png",4,20,20)</f>
        <v/>
      </c>
      <c r="AC11" s="5823"/>
      <c r="AD11" s="3610" t="s">
        <v>192</v>
      </c>
      <c r="AE11" s="3611"/>
      <c r="AF11" s="3621"/>
      <c r="AG11" s="3622" t="str">
        <f>IMAGE("https://raw.githubusercontent.com/msikma/pokesprite/master/misc/types/gen8/poison.png",4,20,20)</f>
        <v/>
      </c>
      <c r="AH11" s="3583"/>
      <c r="AI11" s="3466"/>
    </row>
    <row r="12" ht="20.25" customHeight="1">
      <c r="A12" s="3453"/>
      <c r="B12" s="3572"/>
      <c r="C12" s="3605"/>
      <c r="D12" s="3574"/>
      <c r="E12" s="3614" t="s">
        <v>719</v>
      </c>
      <c r="F12" s="3579"/>
      <c r="G12" s="3580"/>
      <c r="H12" s="3623" t="str">
        <f>IMAGE("https://raw.githubusercontent.com/msikma/pokesprite/master/misc/types/gen8/dragon.png",4,20,20)</f>
        <v/>
      </c>
      <c r="I12" s="5821"/>
      <c r="J12" s="3614" t="s">
        <v>1264</v>
      </c>
      <c r="K12" s="3579"/>
      <c r="L12" s="3580"/>
      <c r="M12" s="3623" t="str">
        <f>IMAGE("https://raw.githubusercontent.com/msikma/pokesprite/master/misc/types/gen8/dark.png",4,20,20)</f>
        <v/>
      </c>
      <c r="N12" s="5822"/>
      <c r="O12" s="3614" t="s">
        <v>592</v>
      </c>
      <c r="P12" s="3579"/>
      <c r="Q12" s="3580"/>
      <c r="R12" s="3623" t="str">
        <f>IMAGE("https://raw.githubusercontent.com/msikma/pokesprite/master/misc/types/gen8/water.png",4,20,20)</f>
        <v/>
      </c>
      <c r="S12" s="5823"/>
      <c r="T12" s="3614" t="s">
        <v>549</v>
      </c>
      <c r="U12" s="3579"/>
      <c r="V12" s="3580"/>
      <c r="W12" s="3623" t="str">
        <f>IMAGE("https://raw.githubusercontent.com/msikma/pokesprite/master/misc/types/gen8/ground.png",4,20,20)</f>
        <v/>
      </c>
      <c r="X12" s="5822"/>
      <c r="Y12" s="3614" t="s">
        <v>591</v>
      </c>
      <c r="Z12" s="3579"/>
      <c r="AA12" s="3580"/>
      <c r="AB12" s="3623" t="str">
        <f>IMAGE("https://raw.githubusercontent.com/msikma/pokesprite/master/misc/types/gen8/normal.png",4,20,20)</f>
        <v/>
      </c>
      <c r="AC12" s="5823"/>
      <c r="AD12" s="3614" t="s">
        <v>1582</v>
      </c>
      <c r="AE12" s="3579"/>
      <c r="AF12" s="3580"/>
      <c r="AG12" s="3623" t="str">
        <f>IMAGE("https://raw.githubusercontent.com/msikma/pokesprite/master/misc/types/gen8/fire.png",4,20,20)</f>
        <v/>
      </c>
      <c r="AH12" s="3583"/>
      <c r="AI12" s="3466"/>
    </row>
    <row r="13" ht="20.25" customHeight="1">
      <c r="A13" s="3453"/>
      <c r="B13" s="3572"/>
      <c r="C13" s="3605"/>
      <c r="D13" s="3574"/>
      <c r="E13" s="3614" t="s">
        <v>1596</v>
      </c>
      <c r="F13" s="3579"/>
      <c r="G13" s="3580"/>
      <c r="H13" s="3623" t="str">
        <f>IMAGE("https://raw.githubusercontent.com/msikma/pokesprite/master/misc/types/gen8/normal.png",4,20,20)</f>
        <v/>
      </c>
      <c r="I13" s="5821"/>
      <c r="J13" s="3614" t="s">
        <v>805</v>
      </c>
      <c r="K13" s="3579"/>
      <c r="L13" s="3580"/>
      <c r="M13" s="3623" t="str">
        <f>IMAGE("https://raw.githubusercontent.com/msikma/pokesprite/master/misc/types/gen8/flying.png",4,20,20)</f>
        <v/>
      </c>
      <c r="N13" s="5822"/>
      <c r="O13" s="3614" t="s">
        <v>786</v>
      </c>
      <c r="P13" s="3579"/>
      <c r="Q13" s="3580"/>
      <c r="R13" s="3623" t="str">
        <f>IMAGE("https://raw.githubusercontent.com/msikma/pokesprite/master/misc/types/gen8/fairy.png",4,20,20)</f>
        <v/>
      </c>
      <c r="S13" s="5823"/>
      <c r="T13" s="3614" t="s">
        <v>1314</v>
      </c>
      <c r="U13" s="3579"/>
      <c r="V13" s="3580"/>
      <c r="W13" s="3623" t="str">
        <f>IMAGE("https://raw.githubusercontent.com/msikma/pokesprite/master/misc/types/gen8/flying.png",4,20,20)</f>
        <v/>
      </c>
      <c r="X13" s="5822"/>
      <c r="Y13" s="3614" t="s">
        <v>616</v>
      </c>
      <c r="Z13" s="3579"/>
      <c r="AA13" s="3580"/>
      <c r="AB13" s="3623" t="str">
        <f>IMAGE("https://raw.githubusercontent.com/msikma/pokesprite/master/misc/types/gen8/grass.png",4,20,20)</f>
        <v/>
      </c>
      <c r="AC13" s="5823"/>
      <c r="AD13" s="3614" t="s">
        <v>1324</v>
      </c>
      <c r="AE13" s="3579"/>
      <c r="AF13" s="3580"/>
      <c r="AG13" s="3623" t="str">
        <f>IMAGE("https://raw.githubusercontent.com/msikma/pokesprite/master/misc/types/gen8/bug.png",4,20,20)</f>
        <v/>
      </c>
      <c r="AH13" s="3583"/>
      <c r="AI13" s="3466"/>
    </row>
    <row r="14" ht="21.0" customHeight="1">
      <c r="A14" s="3453"/>
      <c r="B14" s="3572"/>
      <c r="C14" s="3605"/>
      <c r="D14" s="3574"/>
      <c r="E14" s="3624" t="s">
        <v>551</v>
      </c>
      <c r="F14" s="3625"/>
      <c r="G14" s="3626"/>
      <c r="H14" s="3627" t="str">
        <f>IMAGE("https://raw.githubusercontent.com/msikma/pokesprite/master/misc/types/gen8/flying.png",4,20,20)</f>
        <v/>
      </c>
      <c r="I14" s="5824"/>
      <c r="J14" s="3624" t="s">
        <v>1265</v>
      </c>
      <c r="K14" s="3625"/>
      <c r="L14" s="3626"/>
      <c r="M14" s="3627" t="str">
        <f>IMAGE("https://raw.githubusercontent.com/msikma/pokesprite/master/misc/types/gen8/ground.png",4,20,20)</f>
        <v/>
      </c>
      <c r="N14" s="5825"/>
      <c r="O14" s="3624" t="s">
        <v>670</v>
      </c>
      <c r="P14" s="3625"/>
      <c r="Q14" s="3626"/>
      <c r="R14" s="3627" t="str">
        <f>IMAGE("https://raw.githubusercontent.com/msikma/pokesprite/master/misc/types/gen8/ice.png",4,20,20)</f>
        <v/>
      </c>
      <c r="S14" s="5826"/>
      <c r="T14" s="3624" t="s">
        <v>621</v>
      </c>
      <c r="U14" s="3625"/>
      <c r="V14" s="3626"/>
      <c r="W14" s="3627" t="str">
        <f>IMAGE("https://raw.githubusercontent.com/msikma/pokesprite/master/misc/types/gen8/rock.png",4,20,20)</f>
        <v/>
      </c>
      <c r="X14" s="5825"/>
      <c r="Y14" s="3624" t="s">
        <v>502</v>
      </c>
      <c r="Z14" s="3625"/>
      <c r="AA14" s="3626"/>
      <c r="AB14" s="3627" t="str">
        <f>IMAGE("https://raw.githubusercontent.com/msikma/pokesprite/master/misc/types/gen8/steel.png",4,20,20)</f>
        <v/>
      </c>
      <c r="AC14" s="5826"/>
      <c r="AD14" s="3624" t="s">
        <v>579</v>
      </c>
      <c r="AE14" s="3625"/>
      <c r="AF14" s="3626"/>
      <c r="AG14" s="3627" t="str">
        <f>IMAGE("https://raw.githubusercontent.com/msikma/pokesprite/master/misc/types/gen8/dark.png",4,20,20)</f>
        <v/>
      </c>
      <c r="AH14" s="3583"/>
      <c r="AI14" s="3466"/>
    </row>
    <row r="15" ht="3.0" customHeight="1">
      <c r="A15" s="3524"/>
      <c r="B15" s="3630"/>
      <c r="C15" s="3631"/>
      <c r="D15" s="3632"/>
      <c r="E15" s="3634"/>
      <c r="F15" s="3634"/>
      <c r="G15" s="3634"/>
      <c r="H15" s="3633"/>
      <c r="I15" s="3632"/>
      <c r="J15" s="3634"/>
      <c r="K15" s="3634"/>
      <c r="L15" s="3634"/>
      <c r="M15" s="3633"/>
      <c r="N15" s="3632"/>
      <c r="O15" s="3634"/>
      <c r="P15" s="3634"/>
      <c r="Q15" s="3634"/>
      <c r="R15" s="3633"/>
      <c r="S15" s="3635"/>
      <c r="T15" s="3634"/>
      <c r="U15" s="3634"/>
      <c r="V15" s="3634"/>
      <c r="W15" s="3633"/>
      <c r="X15" s="3632"/>
      <c r="Y15" s="3634"/>
      <c r="Z15" s="3634"/>
      <c r="AA15" s="3634"/>
      <c r="AB15" s="3633"/>
      <c r="AC15" s="3637"/>
      <c r="AD15" s="3634"/>
      <c r="AE15" s="3634"/>
      <c r="AF15" s="3634"/>
      <c r="AG15" s="3633"/>
      <c r="AH15" s="3638"/>
      <c r="AI15" s="3534"/>
    </row>
    <row r="16" ht="16.5" customHeight="1">
      <c r="A16" s="3535"/>
      <c r="B16" s="3639"/>
      <c r="C16" s="3631"/>
      <c r="D16" s="4590"/>
      <c r="E16" s="3641" t="s">
        <v>512</v>
      </c>
      <c r="F16" s="606"/>
      <c r="G16" s="606"/>
      <c r="H16" s="607"/>
      <c r="I16" s="3642"/>
      <c r="J16" s="3641" t="s">
        <v>512</v>
      </c>
      <c r="K16" s="606"/>
      <c r="L16" s="606"/>
      <c r="M16" s="607"/>
      <c r="N16" s="4590"/>
      <c r="O16" s="3641" t="s">
        <v>512</v>
      </c>
      <c r="P16" s="606"/>
      <c r="Q16" s="606"/>
      <c r="R16" s="607"/>
      <c r="S16" s="4591"/>
      <c r="T16" s="3641" t="s">
        <v>512</v>
      </c>
      <c r="U16" s="606"/>
      <c r="V16" s="606"/>
      <c r="W16" s="607"/>
      <c r="X16" s="4592"/>
      <c r="Y16" s="3641" t="s">
        <v>512</v>
      </c>
      <c r="Z16" s="606"/>
      <c r="AA16" s="606"/>
      <c r="AB16" s="607"/>
      <c r="AC16" s="4592"/>
      <c r="AD16" s="3641" t="s">
        <v>512</v>
      </c>
      <c r="AE16" s="606"/>
      <c r="AF16" s="606"/>
      <c r="AG16" s="607"/>
      <c r="AH16" s="3645"/>
      <c r="AI16" s="3543"/>
    </row>
    <row r="17" ht="16.5" customHeight="1">
      <c r="A17" s="3535"/>
      <c r="B17" s="3639"/>
      <c r="C17" s="3631"/>
      <c r="D17" s="3640"/>
      <c r="E17" s="3646" t="s">
        <v>513</v>
      </c>
      <c r="F17" s="3647">
        <f t="array" ref="F17">IFERROR(VLOOKUP(E4,Dex!$B$3:$N249,8,FALSE),"")</f>
        <v>90</v>
      </c>
      <c r="G17" s="3648" t="str">
        <f t="array" ref="G17">IFERROR(VLOOKUP(F17,Dex!$P$22:$Q$276,2,FALSE),"")</f>
        <v/>
      </c>
      <c r="H17" s="3649"/>
      <c r="I17" s="3650"/>
      <c r="J17" s="3646" t="s">
        <v>513</v>
      </c>
      <c r="K17" s="3647">
        <f t="array" ref="K17">IFERROR(VLOOKUP(J4,Dex!$B$3:$N249,8,FALSE),"")</f>
        <v>90</v>
      </c>
      <c r="L17" s="3648" t="str">
        <f t="array" ref="L17">IFERROR(VLOOKUP(K17,Dex!$P$22:$Q$276,2,FALSE),"")</f>
        <v/>
      </c>
      <c r="M17" s="3649"/>
      <c r="N17" s="3640"/>
      <c r="O17" s="3646" t="s">
        <v>513</v>
      </c>
      <c r="P17" s="3647">
        <f t="array" ref="P17">IFERROR(VLOOKUP(O4,Dex!$B$3:$N249,8,FALSE),"")</f>
        <v>70</v>
      </c>
      <c r="Q17" s="3648" t="str">
        <f t="array" ref="Q17">IFERROR(VLOOKUP(P17,Dex!$P$22:$Q$276,2,FALSE),"")</f>
        <v/>
      </c>
      <c r="R17" s="3649"/>
      <c r="S17" s="3644"/>
      <c r="T17" s="3646" t="s">
        <v>513</v>
      </c>
      <c r="U17" s="3647">
        <f t="array" ref="U17">IFERROR(VLOOKUP(T4,Dex!$B$3:$N249,8,FALSE),"")</f>
        <v>89</v>
      </c>
      <c r="V17" s="3648" t="str">
        <f t="array" ref="V17">IFERROR(VLOOKUP(U17,Dex!$P$22:$Q$276,2,FALSE),"")</f>
        <v/>
      </c>
      <c r="W17" s="3649"/>
      <c r="X17" s="3644"/>
      <c r="Y17" s="3646" t="s">
        <v>513</v>
      </c>
      <c r="Z17" s="3647">
        <f t="array" ref="Z17">IFERROR(VLOOKUP(Y4,Dex!$B$3:$N249,8,FALSE),"")</f>
        <v>74</v>
      </c>
      <c r="AA17" s="3648" t="str">
        <f t="array" ref="AA17">IFERROR(VLOOKUP(Z17,Dex!$P$22:$Q$276,2,FALSE),"")</f>
        <v/>
      </c>
      <c r="AB17" s="3649"/>
      <c r="AC17" s="3644"/>
      <c r="AD17" s="3646" t="s">
        <v>513</v>
      </c>
      <c r="AE17" s="3647">
        <f t="array" ref="AE17">IFERROR(VLOOKUP(AD4,Dex!$B$3:$N249,8,FALSE),"")</f>
        <v>100</v>
      </c>
      <c r="AF17" s="3648" t="str">
        <f t="array" ref="AF17">IFERROR(VLOOKUP(AE17,Dex!$P$22:$Q$276,2,FALSE),"")</f>
        <v/>
      </c>
      <c r="AG17" s="3649"/>
      <c r="AH17" s="3645"/>
      <c r="AI17" s="3543"/>
    </row>
    <row r="18" ht="16.5" customHeight="1">
      <c r="A18" s="3535"/>
      <c r="B18" s="3639"/>
      <c r="C18" s="3631"/>
      <c r="D18" s="3640"/>
      <c r="E18" s="3652" t="s">
        <v>514</v>
      </c>
      <c r="F18" s="3653">
        <f t="array" ref="F18">IFERROR(VLOOKUP(E4,Dex!$B$3:$N249,9,FALSE),"")</f>
        <v>120</v>
      </c>
      <c r="G18" s="3654" t="str">
        <f t="array" ref="G18">IFERROR(VLOOKUP(F18,Dex!$P$22:$Q$276,2,FALSE),"")</f>
        <v/>
      </c>
      <c r="H18" s="3655"/>
      <c r="I18" s="3650"/>
      <c r="J18" s="3652" t="s">
        <v>514</v>
      </c>
      <c r="K18" s="3653">
        <f t="array" ref="K18">IFERROR(VLOOKUP(J4,Dex!$B$3:$N249,9,FALSE),"")</f>
        <v>85</v>
      </c>
      <c r="L18" s="3654" t="str">
        <f t="array" ref="L18">IFERROR(VLOOKUP(K18,Dex!$P$22:$Q$276,2,FALSE),"")</f>
        <v/>
      </c>
      <c r="M18" s="3655"/>
      <c r="N18" s="3640"/>
      <c r="O18" s="3652" t="s">
        <v>514</v>
      </c>
      <c r="P18" s="3653">
        <f t="array" ref="P18">IFERROR(VLOOKUP(O4,Dex!$B$3:$N249,9,FALSE),"")</f>
        <v>75</v>
      </c>
      <c r="Q18" s="3654" t="str">
        <f t="array" ref="Q18">IFERROR(VLOOKUP(P18,Dex!$P$22:$Q$276,2,FALSE),"")</f>
        <v/>
      </c>
      <c r="R18" s="3655"/>
      <c r="S18" s="3644"/>
      <c r="T18" s="3652" t="s">
        <v>514</v>
      </c>
      <c r="U18" s="3653">
        <f t="array" ref="U18">IFERROR(VLOOKUP(T4,Dex!$B$3:$N249,9,FALSE),"")</f>
        <v>145</v>
      </c>
      <c r="V18" s="3654" t="str">
        <f t="array" ref="V18">IFERROR(VLOOKUP(U18,Dex!$P$22:$Q$276,2,FALSE),"")</f>
        <v/>
      </c>
      <c r="W18" s="3655"/>
      <c r="X18" s="3644"/>
      <c r="Y18" s="3652" t="s">
        <v>514</v>
      </c>
      <c r="Z18" s="3653">
        <f t="array" ref="Z18">IFERROR(VLOOKUP(Y4,Dex!$B$3:$N249,9,FALSE),"")</f>
        <v>94</v>
      </c>
      <c r="AA18" s="3654" t="str">
        <f t="array" ref="AA18">IFERROR(VLOOKUP(Z18,Dex!$P$22:$Q$276,2,FALSE),"")</f>
        <v/>
      </c>
      <c r="AB18" s="3655"/>
      <c r="AC18" s="3644"/>
      <c r="AD18" s="3652" t="s">
        <v>514</v>
      </c>
      <c r="AE18" s="3653">
        <f t="array" ref="AE18">IFERROR(VLOOKUP(AD4,Dex!$B$3:$N249,9,FALSE),"")</f>
        <v>150</v>
      </c>
      <c r="AF18" s="3654" t="str">
        <f t="array" ref="AF18">IFERROR(VLOOKUP(AE18,Dex!$P$22:$Q$276,2,FALSE),"")</f>
        <v/>
      </c>
      <c r="AG18" s="3655"/>
      <c r="AH18" s="3645"/>
      <c r="AI18" s="3543"/>
    </row>
    <row r="19" ht="16.5" customHeight="1">
      <c r="A19" s="3535"/>
      <c r="B19" s="3639"/>
      <c r="C19" s="3631"/>
      <c r="D19" s="3640"/>
      <c r="E19" s="3652" t="s">
        <v>515</v>
      </c>
      <c r="F19" s="3653">
        <f t="array" ref="F19">IFERROR(VLOOKUP(E4,Dex!$B$3:$N249,10,FALSE),"")</f>
        <v>90</v>
      </c>
      <c r="G19" s="3654" t="str">
        <f t="array" ref="G19">IFERROR(VLOOKUP(F19,Dex!$P$22:$Q$276,2,FALSE),"")</f>
        <v/>
      </c>
      <c r="H19" s="3655"/>
      <c r="I19" s="3650"/>
      <c r="J19" s="3652" t="s">
        <v>515</v>
      </c>
      <c r="K19" s="3653">
        <f t="array" ref="K19">IFERROR(VLOOKUP(J4,Dex!$B$3:$N249,10,FALSE),"")</f>
        <v>90</v>
      </c>
      <c r="L19" s="3654" t="str">
        <f t="array" ref="L19">IFERROR(VLOOKUP(K19,Dex!$P$22:$Q$276,2,FALSE),"")</f>
        <v/>
      </c>
      <c r="M19" s="3655"/>
      <c r="N19" s="3640"/>
      <c r="O19" s="3652" t="s">
        <v>515</v>
      </c>
      <c r="P19" s="3653">
        <f t="array" ref="P19">IFERROR(VLOOKUP(O4,Dex!$B$3:$N249,10,FALSE),"")</f>
        <v>115</v>
      </c>
      <c r="Q19" s="3654" t="str">
        <f t="array" ref="Q19">IFERROR(VLOOKUP(P19,Dex!$P$22:$Q$276,2,FALSE),"")</f>
        <v/>
      </c>
      <c r="R19" s="3655"/>
      <c r="S19" s="3644"/>
      <c r="T19" s="3652" t="s">
        <v>515</v>
      </c>
      <c r="U19" s="3653">
        <f t="array" ref="U19">IFERROR(VLOOKUP(T4,Dex!$B$3:$N249,10,FALSE),"")</f>
        <v>90</v>
      </c>
      <c r="V19" s="3654" t="str">
        <f t="array" ref="V19">IFERROR(VLOOKUP(U19,Dex!$P$22:$Q$276,2,FALSE),"")</f>
        <v/>
      </c>
      <c r="W19" s="3655"/>
      <c r="X19" s="3644"/>
      <c r="Y19" s="3652" t="s">
        <v>515</v>
      </c>
      <c r="Z19" s="3653">
        <f t="array" ref="Z19">IFERROR(VLOOKUP(Y4,Dex!$B$3:$N249,10,FALSE),"")</f>
        <v>131</v>
      </c>
      <c r="AA19" s="3654" t="str">
        <f t="array" ref="AA19">IFERROR(VLOOKUP(Z19,Dex!$P$22:$Q$276,2,FALSE),"")</f>
        <v/>
      </c>
      <c r="AB19" s="3655"/>
      <c r="AC19" s="3644"/>
      <c r="AD19" s="3652" t="s">
        <v>515</v>
      </c>
      <c r="AE19" s="3653">
        <f t="array" ref="AE19">IFERROR(VLOOKUP(AD4,Dex!$B$3:$N249,10,FALSE),"")</f>
        <v>80</v>
      </c>
      <c r="AF19" s="3654" t="str">
        <f t="array" ref="AF19">IFERROR(VLOOKUP(AE19,Dex!$P$22:$Q$276,2,FALSE),"")</f>
        <v/>
      </c>
      <c r="AG19" s="3655"/>
      <c r="AH19" s="3645"/>
      <c r="AI19" s="3543"/>
    </row>
    <row r="20" ht="16.5" customHeight="1">
      <c r="A20" s="3535"/>
      <c r="B20" s="3639"/>
      <c r="C20" s="3631"/>
      <c r="D20" s="3640"/>
      <c r="E20" s="3652" t="s">
        <v>516</v>
      </c>
      <c r="F20" s="3653">
        <f t="array" ref="F20">IFERROR(VLOOKUP(E4,Dex!$B$3:$N249,11,FALSE),"")</f>
        <v>60</v>
      </c>
      <c r="G20" s="3654" t="str">
        <f t="array" ref="G20">IFERROR(VLOOKUP(F20,Dex!$P$22:$Q$276,2,FALSE),"")</f>
        <v/>
      </c>
      <c r="H20" s="3655"/>
      <c r="I20" s="3650"/>
      <c r="J20" s="3652" t="s">
        <v>516</v>
      </c>
      <c r="K20" s="3653">
        <f t="array" ref="K20">IFERROR(VLOOKUP(J4,Dex!$B$3:$N249,11,FALSE),"")</f>
        <v>100</v>
      </c>
      <c r="L20" s="3654" t="str">
        <f t="array" ref="L20">IFERROR(VLOOKUP(K20,Dex!$P$22:$Q$276,2,FALSE),"")</f>
        <v/>
      </c>
      <c r="M20" s="3655"/>
      <c r="N20" s="3640"/>
      <c r="O20" s="3652" t="s">
        <v>516</v>
      </c>
      <c r="P20" s="3653">
        <f t="array" ref="P20">IFERROR(VLOOKUP(O4,Dex!$B$3:$N249,11,FALSE),"")</f>
        <v>95</v>
      </c>
      <c r="Q20" s="3654" t="str">
        <f t="array" ref="Q20">IFERROR(VLOOKUP(P20,Dex!$P$22:$Q$276,2,FALSE),"")</f>
        <v/>
      </c>
      <c r="R20" s="3655"/>
      <c r="S20" s="3644"/>
      <c r="T20" s="3652" t="s">
        <v>516</v>
      </c>
      <c r="U20" s="3653">
        <f t="array" ref="U20">IFERROR(VLOOKUP(T4,Dex!$B$3:$N249,11,FALSE),"")</f>
        <v>105</v>
      </c>
      <c r="V20" s="3654" t="str">
        <f t="array" ref="V20">IFERROR(VLOOKUP(U20,Dex!$P$22:$Q$276,2,FALSE),"")</f>
        <v/>
      </c>
      <c r="W20" s="3655"/>
      <c r="X20" s="3644"/>
      <c r="Y20" s="3652" t="s">
        <v>516</v>
      </c>
      <c r="Z20" s="3653">
        <f t="array" ref="Z20">IFERROR(VLOOKUP(Y4,Dex!$B$3:$N249,11,FALSE),"")</f>
        <v>54</v>
      </c>
      <c r="AA20" s="3654" t="str">
        <f t="array" ref="AA20">IFERROR(VLOOKUP(Z20,Dex!$P$22:$Q$276,2,FALSE),"")</f>
        <v/>
      </c>
      <c r="AB20" s="3655"/>
      <c r="AC20" s="3644"/>
      <c r="AD20" s="3652" t="s">
        <v>516</v>
      </c>
      <c r="AE20" s="3653">
        <f t="array" ref="AE20">IFERROR(VLOOKUP(AD4,Dex!$B$3:$N249,11,FALSE),"")</f>
        <v>90</v>
      </c>
      <c r="AF20" s="3654" t="str">
        <f t="array" ref="AF20">IFERROR(VLOOKUP(AE20,Dex!$P$22:$Q$276,2,FALSE),"")</f>
        <v/>
      </c>
      <c r="AG20" s="3655"/>
      <c r="AH20" s="3645"/>
      <c r="AI20" s="3543"/>
    </row>
    <row r="21" ht="16.5" customHeight="1">
      <c r="A21" s="3535"/>
      <c r="B21" s="3639"/>
      <c r="C21" s="3631"/>
      <c r="D21" s="3640"/>
      <c r="E21" s="3652" t="s">
        <v>517</v>
      </c>
      <c r="F21" s="3653">
        <f t="array" ref="F21">IFERROR(VLOOKUP(E4,Dex!$B$3:$N249,12,FALSE),"")</f>
        <v>90</v>
      </c>
      <c r="G21" s="3654" t="str">
        <f t="array" ref="G21">IFERROR(VLOOKUP(F21,Dex!$P$22:$Q$276,2,FALSE),"")</f>
        <v/>
      </c>
      <c r="H21" s="3655"/>
      <c r="I21" s="3650"/>
      <c r="J21" s="3652" t="s">
        <v>517</v>
      </c>
      <c r="K21" s="3653">
        <f t="array" ref="K21">IFERROR(VLOOKUP(J4,Dex!$B$3:$N249,12,FALSE),"")</f>
        <v>125</v>
      </c>
      <c r="L21" s="3654" t="str">
        <f t="array" ref="L21">IFERROR(VLOOKUP(K21,Dex!$P$22:$Q$276,2,FALSE),"")</f>
        <v/>
      </c>
      <c r="M21" s="3655"/>
      <c r="N21" s="3640"/>
      <c r="O21" s="3652" t="s">
        <v>517</v>
      </c>
      <c r="P21" s="3653">
        <f t="array" ref="P21">IFERROR(VLOOKUP(O4,Dex!$B$3:$N249,12,FALSE),"")</f>
        <v>130</v>
      </c>
      <c r="Q21" s="3654" t="str">
        <f t="array" ref="Q21">IFERROR(VLOOKUP(P21,Dex!$P$22:$Q$276,2,FALSE),"")</f>
        <v/>
      </c>
      <c r="R21" s="3655"/>
      <c r="S21" s="3644"/>
      <c r="T21" s="3652" t="s">
        <v>517</v>
      </c>
      <c r="U21" s="3653">
        <f t="array" ref="U21">IFERROR(VLOOKUP(T4,Dex!$B$3:$N249,12,FALSE),"")</f>
        <v>80</v>
      </c>
      <c r="V21" s="3654" t="str">
        <f t="array" ref="V21">IFERROR(VLOOKUP(U21,Dex!$P$22:$Q$276,2,FALSE),"")</f>
        <v/>
      </c>
      <c r="W21" s="3655"/>
      <c r="X21" s="3644"/>
      <c r="Y21" s="3652" t="s">
        <v>517</v>
      </c>
      <c r="Z21" s="3653">
        <f t="array" ref="Z21">IFERROR(VLOOKUP(Y4,Dex!$B$3:$N249,12,FALSE),"")</f>
        <v>116</v>
      </c>
      <c r="AA21" s="3654" t="str">
        <f t="array" ref="AA21">IFERROR(VLOOKUP(Z21,Dex!$P$22:$Q$276,2,FALSE),"")</f>
        <v/>
      </c>
      <c r="AB21" s="3655"/>
      <c r="AC21" s="3644"/>
      <c r="AD21" s="3652" t="s">
        <v>517</v>
      </c>
      <c r="AE21" s="3653">
        <f t="array" ref="AE21">IFERROR(VLOOKUP(AD4,Dex!$B$3:$N249,12,FALSE),"")</f>
        <v>110</v>
      </c>
      <c r="AF21" s="3654" t="str">
        <f t="array" ref="AF21">IFERROR(VLOOKUP(AE21,Dex!$P$22:$Q$276,2,FALSE),"")</f>
        <v/>
      </c>
      <c r="AG21" s="3655"/>
      <c r="AH21" s="3645"/>
      <c r="AI21" s="3543"/>
    </row>
    <row r="22" ht="16.5" customHeight="1">
      <c r="A22" s="3535"/>
      <c r="B22" s="3639"/>
      <c r="C22" s="1426" t="s">
        <v>745</v>
      </c>
      <c r="D22" s="3640"/>
      <c r="E22" s="3658" t="s">
        <v>518</v>
      </c>
      <c r="F22" s="3659">
        <f t="array" ref="F22">IFERROR(VLOOKUP(E4,Dex!$B$3:$N249,13,FALSE),"")</f>
        <v>41</v>
      </c>
      <c r="G22" s="3660" t="str">
        <f t="array" ref="G22">IFERROR(VLOOKUP(F22,Dex!$P$22:$Q$276,2,FALSE),"")</f>
        <v/>
      </c>
      <c r="H22" s="3661"/>
      <c r="I22" s="3650"/>
      <c r="J22" s="3658" t="s">
        <v>518</v>
      </c>
      <c r="K22" s="3659">
        <f t="array" ref="K22">IFERROR(VLOOKUP(J4,Dex!$B$3:$N249,13,FALSE),"")</f>
        <v>90</v>
      </c>
      <c r="L22" s="3660" t="str">
        <f t="array" ref="L22">IFERROR(VLOOKUP(K22,Dex!$P$22:$Q$276,2,FALSE),"")</f>
        <v/>
      </c>
      <c r="M22" s="3661"/>
      <c r="N22" s="3640"/>
      <c r="O22" s="3658" t="s">
        <v>518</v>
      </c>
      <c r="P22" s="3659">
        <f t="array" ref="P22">IFERROR(VLOOKUP(O4,Dex!$B$3:$N249,13,FALSE),"")</f>
        <v>85</v>
      </c>
      <c r="Q22" s="3660" t="str">
        <f t="array" ref="Q22">IFERROR(VLOOKUP(P22,Dex!$P$22:$Q$276,2,FALSE),"")</f>
        <v/>
      </c>
      <c r="R22" s="3661"/>
      <c r="S22" s="3644"/>
      <c r="T22" s="3658" t="s">
        <v>518</v>
      </c>
      <c r="U22" s="3659">
        <f t="array" ref="U22">IFERROR(VLOOKUP(T4,Dex!$B$3:$N249,13,FALSE),"")</f>
        <v>91</v>
      </c>
      <c r="V22" s="3660" t="str">
        <f t="array" ref="V22">IFERROR(VLOOKUP(U22,Dex!$P$22:$Q$276,2,FALSE),"")</f>
        <v/>
      </c>
      <c r="W22" s="3661"/>
      <c r="X22" s="3644"/>
      <c r="Y22" s="3658" t="s">
        <v>518</v>
      </c>
      <c r="Z22" s="3659">
        <f t="array" ref="Z22">IFERROR(VLOOKUP(Y4,Dex!$B$3:$N249,13,FALSE),"")</f>
        <v>20</v>
      </c>
      <c r="AA22" s="3660" t="str">
        <f t="array" ref="AA22">IFERROR(VLOOKUP(Z22,Dex!$P$22:$Q$276,2,FALSE),"")</f>
        <v/>
      </c>
      <c r="AB22" s="3661"/>
      <c r="AC22" s="3644"/>
      <c r="AD22" s="3658" t="s">
        <v>518</v>
      </c>
      <c r="AE22" s="3659">
        <f t="array" ref="AE22">IFERROR(VLOOKUP(AD4,Dex!$B$3:$N249,13,FALSE),"")</f>
        <v>85</v>
      </c>
      <c r="AF22" s="3660" t="str">
        <f t="array" ref="AF22">IFERROR(VLOOKUP(AE22,Dex!$P$22:$Q$276,2,FALSE),"")</f>
        <v/>
      </c>
      <c r="AG22" s="3661"/>
      <c r="AH22" s="3645"/>
      <c r="AI22" s="3543"/>
    </row>
    <row r="23" ht="16.5" customHeight="1">
      <c r="A23" s="3535"/>
      <c r="B23" s="3639"/>
      <c r="C23" s="1427" t="s">
        <v>1783</v>
      </c>
      <c r="D23" s="4590"/>
      <c r="E23" s="3662" t="s">
        <v>519</v>
      </c>
      <c r="F23" s="630"/>
      <c r="G23" s="631"/>
      <c r="H23" s="632">
        <f>ROUNDDOWN((ROUNDDOWN(((((2*F22+31)*59)/100+5)),0))*1,0)</f>
        <v>71</v>
      </c>
      <c r="I23" s="3642"/>
      <c r="J23" s="3662" t="s">
        <v>519</v>
      </c>
      <c r="K23" s="630"/>
      <c r="L23" s="631"/>
      <c r="M23" s="632">
        <f>ROUNDDOWN((ROUNDDOWN(((((2*K22+31)*59)/100+5)),0))*1.1,0)</f>
        <v>141</v>
      </c>
      <c r="N23" s="4590"/>
      <c r="O23" s="3662" t="s">
        <v>519</v>
      </c>
      <c r="P23" s="630"/>
      <c r="Q23" s="631"/>
      <c r="R23" s="632">
        <f>ROUNDDOWN((ROUNDDOWN(((((2*P22+31)*59)/100+5)),0))*1,0)</f>
        <v>123</v>
      </c>
      <c r="S23" s="4592"/>
      <c r="T23" s="3662" t="s">
        <v>519</v>
      </c>
      <c r="U23" s="630"/>
      <c r="V23" s="631"/>
      <c r="W23" s="632">
        <f>ROUNDDOWN((ROUNDDOWN(((((2*U22+31)*59)/100+5)),0))*1.1,0)</f>
        <v>143</v>
      </c>
      <c r="X23" s="4592"/>
      <c r="Y23" s="3662" t="s">
        <v>519</v>
      </c>
      <c r="Z23" s="630"/>
      <c r="AA23" s="631"/>
      <c r="AB23" s="632">
        <f>ROUNDDOWN((ROUNDDOWN(((((2*Z22)*59)/100+5)),0))*0.9,0)</f>
        <v>25</v>
      </c>
      <c r="AC23" s="4592"/>
      <c r="AD23" s="3662" t="s">
        <v>519</v>
      </c>
      <c r="AE23" s="630"/>
      <c r="AF23" s="631"/>
      <c r="AG23" s="632">
        <f>ROUNDDOWN((ROUNDDOWN(((((2*AE22+31)*59)/100+5)),0))*1.1,0)</f>
        <v>135</v>
      </c>
      <c r="AH23" s="3645"/>
      <c r="AI23" s="3543"/>
    </row>
    <row r="24" ht="15.0" customHeight="1">
      <c r="A24" s="3453"/>
      <c r="B24" s="3663"/>
      <c r="C24" s="3664"/>
      <c r="D24" s="3665"/>
      <c r="E24" s="3668"/>
      <c r="F24" s="3668"/>
      <c r="G24" s="3668"/>
      <c r="H24" s="3667"/>
      <c r="I24" s="3667"/>
      <c r="J24" s="3668"/>
      <c r="K24" s="3668"/>
      <c r="L24" s="3668"/>
      <c r="M24" s="3667"/>
      <c r="N24" s="3669"/>
      <c r="O24" s="5738"/>
      <c r="P24" s="5738"/>
      <c r="Q24" s="5739"/>
      <c r="R24" s="3671"/>
      <c r="S24" s="3671"/>
      <c r="T24" s="5738"/>
      <c r="U24" s="5738"/>
      <c r="V24" s="5739"/>
      <c r="W24" s="3671"/>
      <c r="X24" s="3669"/>
      <c r="Y24" s="4601"/>
      <c r="Z24" s="4601"/>
      <c r="AA24" s="4601"/>
      <c r="AB24" s="3672"/>
      <c r="AC24" s="3672"/>
      <c r="AD24" s="4601"/>
      <c r="AE24" s="4601"/>
      <c r="AF24" s="4601"/>
      <c r="AG24" s="3672"/>
      <c r="AH24" s="3673"/>
      <c r="AI24" s="3543"/>
    </row>
    <row r="25" ht="15.0" customHeight="1">
      <c r="A25" s="3453"/>
      <c r="B25" s="5827"/>
      <c r="C25" s="5828"/>
      <c r="D25" s="5828"/>
      <c r="E25" s="5828"/>
      <c r="F25" s="5828"/>
      <c r="G25" s="5828"/>
      <c r="H25" s="5828"/>
      <c r="I25" s="5828"/>
      <c r="J25" s="5828"/>
      <c r="K25" s="5828"/>
      <c r="L25" s="5828"/>
      <c r="M25" s="5828"/>
      <c r="N25" s="5828"/>
      <c r="O25" s="5828"/>
      <c r="P25" s="5828"/>
      <c r="Q25" s="5828"/>
      <c r="R25" s="5828"/>
      <c r="S25" s="5828"/>
      <c r="T25" s="5828"/>
      <c r="U25" s="5828"/>
      <c r="V25" s="5828"/>
      <c r="W25" s="5828"/>
      <c r="X25" s="5828"/>
      <c r="Y25" s="5828"/>
      <c r="Z25" s="5828"/>
      <c r="AA25" s="5828"/>
      <c r="AB25" s="5828"/>
      <c r="AC25" s="5828"/>
      <c r="AD25" s="5828"/>
      <c r="AE25" s="5828"/>
      <c r="AF25" s="5828"/>
      <c r="AG25" s="5828"/>
      <c r="AH25" s="5829"/>
      <c r="AI25" s="3543"/>
    </row>
    <row r="26">
      <c r="A26" s="3453"/>
      <c r="B26" s="5830"/>
      <c r="C26" s="5831"/>
      <c r="D26" s="5831"/>
      <c r="E26" s="5832" t="s">
        <v>1784</v>
      </c>
      <c r="F26" s="5833"/>
      <c r="G26" s="5833"/>
      <c r="H26" s="5833"/>
      <c r="I26" s="5833"/>
      <c r="J26" s="5833"/>
      <c r="K26" s="5833"/>
      <c r="L26" s="5833"/>
      <c r="M26" s="5833"/>
      <c r="N26" s="5833"/>
      <c r="O26" s="5833"/>
      <c r="P26" s="5833"/>
      <c r="Q26" s="5833"/>
      <c r="R26" s="5833"/>
      <c r="S26" s="5833"/>
      <c r="T26" s="5833"/>
      <c r="U26" s="5833"/>
      <c r="V26" s="5833"/>
      <c r="W26" s="5833"/>
      <c r="X26" s="5833"/>
      <c r="Y26" s="5833"/>
      <c r="Z26" s="5833"/>
      <c r="AA26" s="5833"/>
      <c r="AB26" s="5833"/>
      <c r="AC26" s="5833"/>
      <c r="AD26" s="5833"/>
      <c r="AE26" s="5833"/>
      <c r="AF26" s="5833"/>
      <c r="AG26" s="5834"/>
      <c r="AH26" s="5835"/>
      <c r="AI26" s="3543"/>
    </row>
    <row r="27" ht="96.75" customHeight="1">
      <c r="A27" s="3453"/>
      <c r="B27" s="5836"/>
      <c r="C27" s="5837" t="str">
        <f>IMAGE("https://i.ibb.co/TTVpygz/Kid.png")</f>
        <v/>
      </c>
      <c r="D27" s="5838"/>
      <c r="E27" s="5839" t="str">
        <f t="array" ref="E27">IFERROR(VLOOKUP(E28,Dex!$B$3:$G249,3,FALSE),"")</f>
        <v/>
      </c>
      <c r="F27" s="1945"/>
      <c r="G27" s="1945"/>
      <c r="H27" s="1946"/>
      <c r="I27" s="5840"/>
      <c r="J27" s="5839" t="str">
        <f t="array" ref="J27">IFERROR(VLOOKUP(J28,Dex!$B$3:$G249,3,FALSE),"")</f>
        <v/>
      </c>
      <c r="K27" s="1945"/>
      <c r="L27" s="1945"/>
      <c r="M27" s="1946"/>
      <c r="N27" s="5840"/>
      <c r="O27" s="5839" t="str">
        <f t="array" ref="O27">IFERROR(VLOOKUP(O28,Dex!$B$3:$G249,3,FALSE),"")</f>
        <v/>
      </c>
      <c r="P27" s="1945"/>
      <c r="Q27" s="1945"/>
      <c r="R27" s="1946"/>
      <c r="S27" s="5840"/>
      <c r="T27" s="5839" t="str">
        <f t="array" ref="T27">IFERROR(VLOOKUP(T28,Dex!$B$3:$G249,3,FALSE),"")</f>
        <v/>
      </c>
      <c r="U27" s="1945"/>
      <c r="V27" s="1945"/>
      <c r="W27" s="1946"/>
      <c r="X27" s="5840"/>
      <c r="Y27" s="5839" t="str">
        <f t="array" ref="Y27">IFERROR(VLOOKUP(Y28,Dex!$B$3:$G249,3,FALSE),"")</f>
        <v/>
      </c>
      <c r="Z27" s="1945"/>
      <c r="AA27" s="1945"/>
      <c r="AB27" s="1946"/>
      <c r="AC27" s="5840"/>
      <c r="AD27" s="5839" t="str">
        <f t="array" ref="AD27">IFERROR(VLOOKUP(AD28,Dex!$B$3:$G249,3,FALSE),"")</f>
        <v/>
      </c>
      <c r="AE27" s="1945"/>
      <c r="AF27" s="1945"/>
      <c r="AG27" s="1946"/>
      <c r="AH27" s="5841"/>
      <c r="AI27" s="3543"/>
    </row>
    <row r="28" ht="18.75" customHeight="1">
      <c r="A28" s="3453"/>
      <c r="B28" s="5836"/>
      <c r="C28" s="5842" t="s">
        <v>1785</v>
      </c>
      <c r="D28" s="5843"/>
      <c r="E28" s="5844" t="s">
        <v>1786</v>
      </c>
      <c r="F28" s="5845"/>
      <c r="G28" s="5845"/>
      <c r="H28" s="5846"/>
      <c r="J28" s="5844" t="s">
        <v>1093</v>
      </c>
      <c r="K28" s="5845"/>
      <c r="L28" s="5845"/>
      <c r="M28" s="5846"/>
      <c r="O28" s="5844" t="s">
        <v>1787</v>
      </c>
      <c r="P28" s="5845"/>
      <c r="Q28" s="5845"/>
      <c r="R28" s="5846"/>
      <c r="T28" s="5844" t="s">
        <v>1096</v>
      </c>
      <c r="U28" s="5845"/>
      <c r="V28" s="5845"/>
      <c r="W28" s="5846"/>
      <c r="Y28" s="5844" t="s">
        <v>820</v>
      </c>
      <c r="Z28" s="5845"/>
      <c r="AA28" s="5845"/>
      <c r="AB28" s="5846"/>
      <c r="AD28" s="5844" t="s">
        <v>1788</v>
      </c>
      <c r="AE28" s="5845"/>
      <c r="AF28" s="5845"/>
      <c r="AG28" s="5846"/>
      <c r="AH28" s="5841"/>
      <c r="AI28" s="3543"/>
    </row>
    <row r="29">
      <c r="A29" s="3453"/>
      <c r="B29" s="5836"/>
      <c r="C29" s="1638"/>
      <c r="D29" s="5843"/>
      <c r="E29" s="5847" t="s">
        <v>729</v>
      </c>
      <c r="F29" s="5848"/>
      <c r="G29" s="5848"/>
      <c r="H29" s="5849"/>
      <c r="J29" s="5847" t="s">
        <v>729</v>
      </c>
      <c r="K29" s="5848"/>
      <c r="L29" s="5848"/>
      <c r="M29" s="5849"/>
      <c r="O29" s="5847" t="s">
        <v>729</v>
      </c>
      <c r="P29" s="5848"/>
      <c r="Q29" s="5848"/>
      <c r="R29" s="5849"/>
      <c r="T29" s="5847" t="s">
        <v>729</v>
      </c>
      <c r="U29" s="5848"/>
      <c r="V29" s="5848"/>
      <c r="W29" s="5849"/>
      <c r="Y29" s="5847" t="s">
        <v>729</v>
      </c>
      <c r="Z29" s="5848"/>
      <c r="AA29" s="5848"/>
      <c r="AB29" s="5849"/>
      <c r="AD29" s="5847" t="s">
        <v>729</v>
      </c>
      <c r="AE29" s="5848"/>
      <c r="AF29" s="5848"/>
      <c r="AG29" s="5849"/>
      <c r="AH29" s="5841"/>
      <c r="AI29" s="3543"/>
    </row>
    <row r="30" ht="25.5" customHeight="1">
      <c r="A30" s="3453"/>
      <c r="B30" s="5836"/>
      <c r="C30" s="1646"/>
      <c r="D30" s="5850"/>
      <c r="E30" s="5851"/>
      <c r="F30" s="5852" t="str">
        <f t="array" ref="F30">IFERROR(VLOOKUP(E28,Dex!$B$3:$H249,5,FALSE),"")</f>
        <v/>
      </c>
      <c r="G30" s="5853" t="str">
        <f t="array" ref="G30">IFERROR(VLOOKUP(E28,Dex!$B$3:$H249,7,FALSE),"")</f>
        <v/>
      </c>
      <c r="H30" s="5854"/>
      <c r="J30" s="5851"/>
      <c r="K30" s="5852" t="str">
        <f t="array" ref="K30">IFERROR(VLOOKUP(J28,Dex!$B$3:$H249,5,FALSE),"")</f>
        <v/>
      </c>
      <c r="L30" s="5853" t="str">
        <f t="array" ref="L30">IFERROR(VLOOKUP(J28,Dex!$B$3:$H249,7,FALSE),"")</f>
        <v/>
      </c>
      <c r="M30" s="5854"/>
      <c r="O30" s="5851"/>
      <c r="P30" s="5852" t="str">
        <f t="array" ref="P30">IFERROR(VLOOKUP(O28,Dex!$B$3:$H249,5,FALSE),"")</f>
        <v/>
      </c>
      <c r="Q30" s="5853" t="str">
        <f t="array" ref="Q30">IFERROR(VLOOKUP(O28,Dex!$B$3:$H249,7,FALSE),"")</f>
        <v/>
      </c>
      <c r="R30" s="5854"/>
      <c r="T30" s="5851"/>
      <c r="U30" s="5855" t="str">
        <f t="array" ref="U30">IFERROR(VLOOKUP(T28,Dex!$B$3:$H249,5,FALSE),"")</f>
        <v/>
      </c>
      <c r="V30" s="5856"/>
      <c r="W30" s="5854"/>
      <c r="Y30" s="5851"/>
      <c r="Z30" s="5852" t="str">
        <f t="array" ref="Z30">IFERROR(VLOOKUP(Y28,Dex!$B$3:$H249,5,FALSE),"")</f>
        <v/>
      </c>
      <c r="AA30" s="5853" t="str">
        <f t="array" ref="AA30">IFERROR(VLOOKUP(Y28,Dex!$B$3:$H249,7,FALSE),"")</f>
        <v/>
      </c>
      <c r="AB30" s="5854"/>
      <c r="AD30" s="5851"/>
      <c r="AE30" s="5852" t="str">
        <f t="array" ref="AE30">IFERROR(VLOOKUP(AD28,Dex!$B$3:$H249,5,FALSE),"")</f>
        <v/>
      </c>
      <c r="AF30" s="5853" t="str">
        <f t="array" ref="AF30">IFERROR(VLOOKUP(AD28,Dex!$B$3:$H249,7,FALSE),"")</f>
        <v/>
      </c>
      <c r="AG30" s="5854"/>
      <c r="AH30" s="5857"/>
      <c r="AI30" s="3543"/>
    </row>
    <row r="31" ht="2.25" customHeight="1">
      <c r="A31" s="3453"/>
      <c r="B31" s="5836"/>
      <c r="C31" s="5858"/>
      <c r="D31" s="5850"/>
      <c r="E31" s="5859"/>
      <c r="F31" s="5860"/>
      <c r="G31" s="5860"/>
      <c r="H31" s="5861"/>
      <c r="J31" s="5859"/>
      <c r="K31" s="5860"/>
      <c r="L31" s="5860"/>
      <c r="M31" s="5861"/>
      <c r="O31" s="5859"/>
      <c r="P31" s="5860"/>
      <c r="Q31" s="5860"/>
      <c r="R31" s="5861"/>
      <c r="T31" s="5859"/>
      <c r="U31" s="5860"/>
      <c r="V31" s="5860"/>
      <c r="W31" s="5861"/>
      <c r="Y31" s="5859"/>
      <c r="Z31" s="5860"/>
      <c r="AA31" s="5860"/>
      <c r="AB31" s="5861"/>
      <c r="AD31" s="5859"/>
      <c r="AE31" s="5860"/>
      <c r="AF31" s="5860"/>
      <c r="AG31" s="5861"/>
      <c r="AH31" s="5857"/>
      <c r="AI31" s="3543"/>
    </row>
    <row r="32" ht="20.25" customHeight="1">
      <c r="A32" s="3453"/>
      <c r="B32" s="5836"/>
      <c r="C32" s="5858"/>
      <c r="D32" s="5862"/>
      <c r="E32" s="5863" t="s">
        <v>532</v>
      </c>
      <c r="F32" s="5864"/>
      <c r="G32" s="5864"/>
      <c r="H32" s="5865"/>
      <c r="J32" s="5863" t="s">
        <v>564</v>
      </c>
      <c r="K32" s="5864"/>
      <c r="L32" s="5864"/>
      <c r="M32" s="5865"/>
      <c r="O32" s="5863" t="s">
        <v>564</v>
      </c>
      <c r="P32" s="5864"/>
      <c r="Q32" s="5864"/>
      <c r="R32" s="5865"/>
      <c r="T32" s="5863" t="s">
        <v>707</v>
      </c>
      <c r="U32" s="5864"/>
      <c r="V32" s="5864"/>
      <c r="W32" s="5865"/>
      <c r="Y32" s="5863" t="s">
        <v>566</v>
      </c>
      <c r="Z32" s="5864"/>
      <c r="AA32" s="5864"/>
      <c r="AB32" s="5865"/>
      <c r="AD32" s="5863" t="s">
        <v>566</v>
      </c>
      <c r="AE32" s="5864"/>
      <c r="AF32" s="5864"/>
      <c r="AG32" s="5865"/>
      <c r="AH32" s="5841"/>
      <c r="AI32" s="3543"/>
    </row>
    <row r="33">
      <c r="A33" s="3453"/>
      <c r="B33" s="5836"/>
      <c r="C33" s="5866"/>
      <c r="D33" s="5862"/>
      <c r="E33" s="5867" t="s">
        <v>533</v>
      </c>
      <c r="F33" s="5868"/>
      <c r="G33" s="5868"/>
      <c r="H33" s="5869"/>
      <c r="J33" s="5867" t="s">
        <v>1098</v>
      </c>
      <c r="K33" s="5868"/>
      <c r="L33" s="5868"/>
      <c r="M33" s="5869"/>
      <c r="O33" s="5867" t="s">
        <v>1789</v>
      </c>
      <c r="P33" s="5868"/>
      <c r="Q33" s="5868"/>
      <c r="R33" s="5869"/>
      <c r="T33" s="5867" t="s">
        <v>1100</v>
      </c>
      <c r="U33" s="5868"/>
      <c r="V33" s="5868"/>
      <c r="W33" s="5869"/>
      <c r="Y33" s="5867" t="s">
        <v>826</v>
      </c>
      <c r="Z33" s="5868"/>
      <c r="AA33" s="5868"/>
      <c r="AB33" s="5869"/>
      <c r="AD33" s="5867" t="s">
        <v>1790</v>
      </c>
      <c r="AE33" s="5868"/>
      <c r="AF33" s="5868"/>
      <c r="AG33" s="5869"/>
      <c r="AH33" s="5841"/>
      <c r="AI33" s="3543"/>
    </row>
    <row r="34" ht="20.25" customHeight="1">
      <c r="A34" s="3453"/>
      <c r="B34" s="5836"/>
      <c r="C34" s="5870"/>
      <c r="D34" s="5862"/>
      <c r="E34" s="5871" t="s">
        <v>573</v>
      </c>
      <c r="F34" s="5833"/>
      <c r="G34" s="5834"/>
      <c r="H34" s="5872" t="str">
        <f>IMAGE("https://raw.githubusercontent.com/msikma/pokesprite/master/items/hold-item/focus-sash.png",3)</f>
        <v/>
      </c>
      <c r="J34" s="5871" t="s">
        <v>687</v>
      </c>
      <c r="K34" s="5833"/>
      <c r="L34" s="5834"/>
      <c r="M34" s="5872" t="str">
        <f>IMAGE("https://raw.githubusercontent.com/msikma/pokesprite/master/items/z-crystals/flyinium-z--held.png",3)</f>
        <v/>
      </c>
      <c r="O34" s="5871" t="s">
        <v>733</v>
      </c>
      <c r="P34" s="5833"/>
      <c r="Q34" s="5834"/>
      <c r="R34" s="5872" t="str">
        <f>IMAGE("https://raw.githubusercontent.com/msikma/pokesprite/master/items/hold-item/leftovers.png",3)</f>
        <v/>
      </c>
      <c r="T34" s="5871" t="s">
        <v>733</v>
      </c>
      <c r="U34" s="5833"/>
      <c r="V34" s="5834"/>
      <c r="W34" s="5872" t="str">
        <f>IMAGE("https://raw.githubusercontent.com/msikma/pokesprite/master/items/hold-item/leftovers.png",3)</f>
        <v/>
      </c>
      <c r="Y34" s="5871" t="s">
        <v>713</v>
      </c>
      <c r="Z34" s="5833"/>
      <c r="AA34" s="5834"/>
      <c r="AB34" s="5872" t="str">
        <f>IMAGE("https://raw.githubusercontent.com/msikma/pokesprite/master/items/hold-item/assault-vest.png",3)</f>
        <v/>
      </c>
      <c r="AD34" s="5871" t="s">
        <v>1791</v>
      </c>
      <c r="AE34" s="5833"/>
      <c r="AF34" s="5834"/>
      <c r="AG34" s="5872" t="str">
        <f>IMAGE("https://raw.githubusercontent.com/msikma/pokesprite/master/items/mega-stone/swampertite.png",3)</f>
        <v/>
      </c>
      <c r="AH34" s="5857"/>
      <c r="AI34" s="3543"/>
    </row>
    <row r="35" ht="20.25" customHeight="1">
      <c r="A35" s="3453"/>
      <c r="B35" s="5836"/>
      <c r="C35" s="5873"/>
      <c r="D35" s="5862"/>
      <c r="E35" s="5863" t="s">
        <v>287</v>
      </c>
      <c r="F35" s="5864"/>
      <c r="G35" s="5874"/>
      <c r="H35" s="5875" t="str">
        <f>IMAGE("https://raw.githubusercontent.com/msikma/pokesprite/master/misc/types/gen8/normal.png",4,20,20)</f>
        <v/>
      </c>
      <c r="J35" s="5863" t="s">
        <v>581</v>
      </c>
      <c r="K35" s="5864"/>
      <c r="L35" s="5874"/>
      <c r="M35" s="5875" t="str">
        <f t="shared" ref="M35:M36" si="1">IMAGE("https://raw.githubusercontent.com/msikma/pokesprite/master/misc/types/gen8/electric.png",4,20,20)</f>
        <v/>
      </c>
      <c r="O35" s="5863" t="s">
        <v>266</v>
      </c>
      <c r="P35" s="5864"/>
      <c r="Q35" s="5874"/>
      <c r="R35" s="5875" t="str">
        <f>IMAGE("https://raw.githubusercontent.com/msikma/pokesprite/master/misc/types/gen8/bug.png",4,20,20)</f>
        <v/>
      </c>
      <c r="T35" s="5863" t="s">
        <v>208</v>
      </c>
      <c r="U35" s="5864"/>
      <c r="V35" s="5874"/>
      <c r="W35" s="5875" t="str">
        <f>IMAGE("https://raw.githubusercontent.com/msikma/pokesprite/master/misc/types/gen8/ghost.png",4,20,20)</f>
        <v/>
      </c>
      <c r="Y35" s="5863" t="s">
        <v>831</v>
      </c>
      <c r="Z35" s="5864"/>
      <c r="AA35" s="5874"/>
      <c r="AB35" s="5875" t="str">
        <f>IMAGE("https://raw.githubusercontent.com/msikma/pokesprite/master/misc/types/gen8/steel.png",4,20,20)</f>
        <v/>
      </c>
      <c r="AD35" s="5863" t="s">
        <v>495</v>
      </c>
      <c r="AE35" s="5864"/>
      <c r="AF35" s="5874"/>
      <c r="AG35" s="5875" t="str">
        <f>IMAGE("https://raw.githubusercontent.com/msikma/pokesprite/master/misc/types/gen8/fighting.png",4,20,20)</f>
        <v/>
      </c>
      <c r="AH35" s="5857"/>
      <c r="AI35" s="3543"/>
    </row>
    <row r="36" ht="20.25" customHeight="1">
      <c r="A36" s="3453"/>
      <c r="B36" s="5836"/>
      <c r="C36" s="5858"/>
      <c r="D36" s="5862"/>
      <c r="E36" s="5867" t="s">
        <v>645</v>
      </c>
      <c r="F36" s="5868"/>
      <c r="G36" s="5876"/>
      <c r="H36" s="5877" t="str">
        <f>IMAGE("https://raw.githubusercontent.com/msikma/pokesprite/master/misc/types/gen8/ice.png",4,20,20)</f>
        <v/>
      </c>
      <c r="J36" s="5867" t="s">
        <v>844</v>
      </c>
      <c r="K36" s="5868"/>
      <c r="L36" s="5876"/>
      <c r="M36" s="5877" t="str">
        <f t="shared" si="1"/>
        <v/>
      </c>
      <c r="O36" s="5867" t="s">
        <v>546</v>
      </c>
      <c r="P36" s="5868"/>
      <c r="Q36" s="5876"/>
      <c r="R36" s="5877" t="str">
        <f>IMAGE("https://raw.githubusercontent.com/msikma/pokesprite/master/misc/types/gen8/flying.png",4,20,20)</f>
        <v/>
      </c>
      <c r="T36" s="5867" t="s">
        <v>738</v>
      </c>
      <c r="U36" s="5868"/>
      <c r="V36" s="5876"/>
      <c r="W36" s="5877" t="str">
        <f>IMAGE("https://raw.githubusercontent.com/msikma/pokesprite/master/misc/types/gen8/psychic.png",4,20,20)</f>
        <v/>
      </c>
      <c r="Y36" s="5867" t="s">
        <v>612</v>
      </c>
      <c r="Z36" s="5868"/>
      <c r="AA36" s="5876"/>
      <c r="AB36" s="5877" t="str">
        <f>IMAGE("https://raw.githubusercontent.com/msikma/pokesprite/master/misc/types/gen8/bug.png",4,20,20)</f>
        <v/>
      </c>
      <c r="AD36" s="5867" t="s">
        <v>760</v>
      </c>
      <c r="AE36" s="5868"/>
      <c r="AF36" s="5876"/>
      <c r="AG36" s="5877" t="str">
        <f>IMAGE("https://raw.githubusercontent.com/msikma/pokesprite/master/misc/types/gen8/water.png",4,20,20)</f>
        <v/>
      </c>
      <c r="AH36" s="5857"/>
      <c r="AI36" s="3543"/>
    </row>
    <row r="37" ht="20.25" customHeight="1">
      <c r="A37" s="3453"/>
      <c r="B37" s="5836"/>
      <c r="C37" s="5858"/>
      <c r="D37" s="5862"/>
      <c r="E37" s="5867" t="s">
        <v>845</v>
      </c>
      <c r="F37" s="5868"/>
      <c r="G37" s="5876"/>
      <c r="H37" s="5877" t="str">
        <f>IMAGE("https://raw.githubusercontent.com/msikma/pokesprite/master/misc/types/gen8/water.png",4,20,20)</f>
        <v/>
      </c>
      <c r="J37" s="5867" t="s">
        <v>546</v>
      </c>
      <c r="K37" s="5868"/>
      <c r="L37" s="5876"/>
      <c r="M37" s="5877" t="str">
        <f>IMAGE("https://raw.githubusercontent.com/msikma/pokesprite/master/misc/types/gen8/flying.png",4,20,20)</f>
        <v/>
      </c>
      <c r="O37" s="5867" t="s">
        <v>699</v>
      </c>
      <c r="P37" s="5868"/>
      <c r="Q37" s="5876"/>
      <c r="R37" s="5877" t="str">
        <f>IMAGE("https://raw.githubusercontent.com/msikma/pokesprite/master/misc/types/gen8/water.png",4,20,20)</f>
        <v/>
      </c>
      <c r="T37" s="5867" t="s">
        <v>617</v>
      </c>
      <c r="U37" s="5868"/>
      <c r="V37" s="5876"/>
      <c r="W37" s="5877" t="str">
        <f>IMAGE("https://raw.githubusercontent.com/msikma/pokesprite/master/misc/types/gen8/dragon.png",4,20,20)</f>
        <v/>
      </c>
      <c r="Y37" s="5867" t="s">
        <v>744</v>
      </c>
      <c r="Z37" s="5868"/>
      <c r="AA37" s="5876"/>
      <c r="AB37" s="5877" t="str">
        <f>IMAGE("https://raw.githubusercontent.com/msikma/pokesprite/master/misc/types/gen8/flying.png",4,20,20)</f>
        <v/>
      </c>
      <c r="AD37" s="5867" t="s">
        <v>549</v>
      </c>
      <c r="AE37" s="5868"/>
      <c r="AF37" s="5876"/>
      <c r="AG37" s="5877" t="str">
        <f>IMAGE("https://raw.githubusercontent.com/msikma/pokesprite/master/misc/types/gen8/ground.png",4,20,20)</f>
        <v/>
      </c>
      <c r="AH37" s="5857"/>
      <c r="AI37" s="3543"/>
    </row>
    <row r="38" ht="21.0" customHeight="1">
      <c r="A38" s="3453"/>
      <c r="B38" s="5836"/>
      <c r="C38" s="5858"/>
      <c r="D38" s="5862"/>
      <c r="E38" s="5878" t="s">
        <v>583</v>
      </c>
      <c r="F38" s="5879"/>
      <c r="G38" s="5880"/>
      <c r="H38" s="5881" t="str">
        <f>IMAGE("https://raw.githubusercontent.com/msikma/pokesprite/master/misc/types/gen8/fighting.png",4,20,20)</f>
        <v/>
      </c>
      <c r="I38" s="5882"/>
      <c r="J38" s="5878" t="s">
        <v>699</v>
      </c>
      <c r="K38" s="5879"/>
      <c r="L38" s="5880"/>
      <c r="M38" s="5881" t="str">
        <f>IMAGE("https://raw.githubusercontent.com/msikma/pokesprite/master/misc/types/gen8/water.png",4,20,20)</f>
        <v/>
      </c>
      <c r="N38" s="5882"/>
      <c r="O38" s="5878" t="s">
        <v>670</v>
      </c>
      <c r="P38" s="5879"/>
      <c r="Q38" s="5880"/>
      <c r="R38" s="5881" t="str">
        <f>IMAGE("https://raw.githubusercontent.com/msikma/pokesprite/master/misc/types/gen8/ice.png",4,20,20)</f>
        <v/>
      </c>
      <c r="S38" s="5882"/>
      <c r="T38" s="5878" t="s">
        <v>549</v>
      </c>
      <c r="U38" s="5879"/>
      <c r="V38" s="5880"/>
      <c r="W38" s="5881" t="str">
        <f>IMAGE("https://raw.githubusercontent.com/msikma/pokesprite/master/misc/types/gen8/ground.png",4,20,20)</f>
        <v/>
      </c>
      <c r="X38" s="5882"/>
      <c r="Y38" s="5878" t="s">
        <v>803</v>
      </c>
      <c r="Z38" s="5879"/>
      <c r="AA38" s="5880"/>
      <c r="AB38" s="5881" t="str">
        <f>IMAGE("https://raw.githubusercontent.com/msikma/pokesprite/master/misc/types/gen8/fighting.png",4,20,20)</f>
        <v/>
      </c>
      <c r="AC38" s="5882"/>
      <c r="AD38" s="5878" t="s">
        <v>589</v>
      </c>
      <c r="AE38" s="5879"/>
      <c r="AF38" s="5880"/>
      <c r="AG38" s="5881" t="str">
        <f>IMAGE("https://raw.githubusercontent.com/msikma/pokesprite/master/misc/types/gen8/ice.png",4,20,20)</f>
        <v/>
      </c>
      <c r="AH38" s="5857"/>
      <c r="AI38" s="3543"/>
    </row>
    <row r="39" ht="3.0" customHeight="1">
      <c r="A39" s="3453"/>
      <c r="B39" s="5883"/>
      <c r="C39" s="5831"/>
      <c r="D39" s="5884"/>
      <c r="E39" s="5885"/>
      <c r="F39" s="5885"/>
      <c r="G39" s="5885"/>
      <c r="H39" s="5886"/>
      <c r="I39" s="5884"/>
      <c r="J39" s="5887"/>
      <c r="K39" s="5887"/>
      <c r="L39" s="5887"/>
      <c r="M39" s="5886"/>
      <c r="N39" s="5884"/>
      <c r="O39" s="5887"/>
      <c r="P39" s="5887"/>
      <c r="Q39" s="5887"/>
      <c r="R39" s="5886"/>
      <c r="S39" s="5886"/>
      <c r="T39" s="5887"/>
      <c r="U39" s="5887"/>
      <c r="V39" s="5887"/>
      <c r="W39" s="5886"/>
      <c r="X39" s="5884"/>
      <c r="Y39" s="5887"/>
      <c r="Z39" s="5887"/>
      <c r="AA39" s="5887"/>
      <c r="AB39" s="5885"/>
      <c r="AC39" s="5888"/>
      <c r="AD39" s="5887"/>
      <c r="AE39" s="5887"/>
      <c r="AF39" s="5887"/>
      <c r="AG39" s="5886"/>
      <c r="AH39" s="5889"/>
      <c r="AI39" s="3543"/>
    </row>
    <row r="40" ht="16.5" customHeight="1">
      <c r="A40" s="3453"/>
      <c r="B40" s="5830"/>
      <c r="C40" s="5831"/>
      <c r="D40" s="5890"/>
      <c r="E40" s="5891" t="s">
        <v>512</v>
      </c>
      <c r="F40" s="606"/>
      <c r="G40" s="606"/>
      <c r="H40" s="607"/>
      <c r="I40" s="5892"/>
      <c r="J40" s="5891" t="s">
        <v>512</v>
      </c>
      <c r="K40" s="606"/>
      <c r="L40" s="606"/>
      <c r="M40" s="607"/>
      <c r="N40" s="5893"/>
      <c r="O40" s="5891" t="s">
        <v>512</v>
      </c>
      <c r="P40" s="606"/>
      <c r="Q40" s="606"/>
      <c r="R40" s="607"/>
      <c r="S40" s="5894"/>
      <c r="T40" s="5891" t="s">
        <v>512</v>
      </c>
      <c r="U40" s="606"/>
      <c r="V40" s="606"/>
      <c r="W40" s="607"/>
      <c r="X40" s="5895"/>
      <c r="Y40" s="5891" t="s">
        <v>512</v>
      </c>
      <c r="Z40" s="606"/>
      <c r="AA40" s="606"/>
      <c r="AB40" s="607"/>
      <c r="AC40" s="5895"/>
      <c r="AD40" s="5891" t="s">
        <v>512</v>
      </c>
      <c r="AE40" s="606"/>
      <c r="AF40" s="606"/>
      <c r="AG40" s="607"/>
      <c r="AH40" s="5896"/>
      <c r="AI40" s="3543"/>
    </row>
    <row r="41" ht="16.5" customHeight="1">
      <c r="A41" s="3453"/>
      <c r="B41" s="5830"/>
      <c r="C41" s="5831"/>
      <c r="D41" s="5890"/>
      <c r="E41" s="5897" t="s">
        <v>513</v>
      </c>
      <c r="F41" s="5898">
        <f t="array" ref="F41">IFERROR(VLOOKUP(E28,Dex!$B$3:$N249,8,FALSE),"")</f>
        <v>95</v>
      </c>
      <c r="G41" s="5899" t="str">
        <f t="array" ref="G41">IFERROR(VLOOKUP(F41,Dex!$P$22:$Q$276,2,FALSE),"")</f>
        <v/>
      </c>
      <c r="H41" s="5900"/>
      <c r="I41" s="5901"/>
      <c r="J41" s="5897" t="s">
        <v>513</v>
      </c>
      <c r="K41" s="5898">
        <f t="array" ref="K41">IFERROR(VLOOKUP(J28,Dex!$B$3:$N249,8,FALSE),"")</f>
        <v>90</v>
      </c>
      <c r="L41" s="5899" t="str">
        <f t="array" ref="L41">IFERROR(VLOOKUP(K41,Dex!$P$22:$Q$276,2,FALSE),"")</f>
        <v/>
      </c>
      <c r="M41" s="5900"/>
      <c r="N41" s="5890"/>
      <c r="O41" s="5897" t="s">
        <v>513</v>
      </c>
      <c r="P41" s="5898">
        <f t="array" ref="P41">IFERROR(VLOOKUP(O28,Dex!$B$3:$N249,8,FALSE),"")</f>
        <v>70</v>
      </c>
      <c r="Q41" s="5899" t="str">
        <f t="array" ref="Q41">IFERROR(VLOOKUP(P41,Dex!$P$22:$Q$276,2,FALSE),"")</f>
        <v/>
      </c>
      <c r="R41" s="5900"/>
      <c r="S41" s="5902"/>
      <c r="T41" s="5897" t="s">
        <v>513</v>
      </c>
      <c r="U41" s="5898">
        <f t="array" ref="U41">IFERROR(VLOOKUP(T28,Dex!$B$3:$N249,8,FALSE),"")</f>
        <v>90</v>
      </c>
      <c r="V41" s="5899" t="str">
        <f t="array" ref="V41">IFERROR(VLOOKUP(U41,Dex!$P$22:$Q$276,2,FALSE),"")</f>
        <v/>
      </c>
      <c r="W41" s="5900"/>
      <c r="X41" s="5902"/>
      <c r="Y41" s="5897" t="s">
        <v>513</v>
      </c>
      <c r="Z41" s="5898">
        <f t="array" ref="Z41">IFERROR(VLOOKUP(Y28,Dex!$B$3:$N249,8,FALSE),"")</f>
        <v>70</v>
      </c>
      <c r="AA41" s="5899" t="str">
        <f t="array" ref="AA41">IFERROR(VLOOKUP(Z41,Dex!$P$22:$Q$276,2,FALSE),"")</f>
        <v/>
      </c>
      <c r="AB41" s="5900"/>
      <c r="AC41" s="5902"/>
      <c r="AD41" s="5897" t="s">
        <v>513</v>
      </c>
      <c r="AE41" s="5898">
        <f t="array" ref="AE41">IFERROR(VLOOKUP(AD28,Dex!$B$3:$N249,8,FALSE),"")</f>
        <v>100</v>
      </c>
      <c r="AF41" s="5899" t="str">
        <f t="array" ref="AF41">IFERROR(VLOOKUP(AE41,Dex!$P$22:$Q$276,2,FALSE),"")</f>
        <v/>
      </c>
      <c r="AG41" s="5900"/>
      <c r="AH41" s="5896"/>
      <c r="AI41" s="3543"/>
    </row>
    <row r="42" ht="16.5" customHeight="1">
      <c r="A42" s="3453"/>
      <c r="B42" s="5830"/>
      <c r="C42" s="5831"/>
      <c r="D42" s="5890"/>
      <c r="E42" s="5903" t="s">
        <v>514</v>
      </c>
      <c r="F42" s="5904">
        <f t="array" ref="F42">IFERROR(VLOOKUP(E28,Dex!$B$3:$N249,9,FALSE),"")</f>
        <v>140</v>
      </c>
      <c r="G42" s="5905" t="str">
        <f t="array" ref="G42">IFERROR(VLOOKUP(F42,Dex!$P$22:$Q$276,2,FALSE),"")</f>
        <v/>
      </c>
      <c r="H42" s="5906"/>
      <c r="I42" s="5901"/>
      <c r="J42" s="5903" t="s">
        <v>514</v>
      </c>
      <c r="K42" s="5904">
        <f t="array" ref="K42">IFERROR(VLOOKUP(J28,Dex!$B$3:$N249,9,FALSE),"")</f>
        <v>90</v>
      </c>
      <c r="L42" s="5905" t="str">
        <f t="array" ref="L42">IFERROR(VLOOKUP(K42,Dex!$P$22:$Q$276,2,FALSE),"")</f>
        <v/>
      </c>
      <c r="M42" s="5906"/>
      <c r="N42" s="5890"/>
      <c r="O42" s="5903" t="s">
        <v>514</v>
      </c>
      <c r="P42" s="5904">
        <f t="array" ref="P42">IFERROR(VLOOKUP(O28,Dex!$B$3:$N249,9,FALSE),"")</f>
        <v>65</v>
      </c>
      <c r="Q42" s="5905" t="str">
        <f t="array" ref="Q42">IFERROR(VLOOKUP(P42,Dex!$P$22:$Q$276,2,FALSE),"")</f>
        <v/>
      </c>
      <c r="R42" s="5906"/>
      <c r="S42" s="5902"/>
      <c r="T42" s="5903" t="s">
        <v>514</v>
      </c>
      <c r="U42" s="5904">
        <f t="array" ref="U42">IFERROR(VLOOKUP(T28,Dex!$B$3:$N249,9,FALSE),"")</f>
        <v>100</v>
      </c>
      <c r="V42" s="5905" t="str">
        <f t="array" ref="V42">IFERROR(VLOOKUP(U42,Dex!$P$22:$Q$276,2,FALSE),"")</f>
        <v/>
      </c>
      <c r="W42" s="5906"/>
      <c r="X42" s="5902"/>
      <c r="Y42" s="5903" t="s">
        <v>514</v>
      </c>
      <c r="Z42" s="5904">
        <f t="array" ref="Z42">IFERROR(VLOOKUP(Y28,Dex!$B$3:$N249,9,FALSE),"")</f>
        <v>130</v>
      </c>
      <c r="AA42" s="5905" t="str">
        <f t="array" ref="AA42">IFERROR(VLOOKUP(Z42,Dex!$P$22:$Q$276,2,FALSE),"")</f>
        <v/>
      </c>
      <c r="AB42" s="5906"/>
      <c r="AC42" s="5902"/>
      <c r="AD42" s="5903" t="s">
        <v>514</v>
      </c>
      <c r="AE42" s="5904">
        <f t="array" ref="AE42">IFERROR(VLOOKUP(AD28,Dex!$B$3:$N249,9,FALSE),"")</f>
        <v>150</v>
      </c>
      <c r="AF42" s="5905" t="str">
        <f t="array" ref="AF42">IFERROR(VLOOKUP(AE42,Dex!$P$22:$Q$276,2,FALSE),"")</f>
        <v/>
      </c>
      <c r="AG42" s="5906"/>
      <c r="AH42" s="5896"/>
      <c r="AI42" s="3543"/>
    </row>
    <row r="43" ht="16.5" customHeight="1">
      <c r="A43" s="3453"/>
      <c r="B43" s="5830"/>
      <c r="C43" s="5831"/>
      <c r="D43" s="5890"/>
      <c r="E43" s="5903" t="s">
        <v>515</v>
      </c>
      <c r="F43" s="5904">
        <f t="array" ref="F43">IFERROR(VLOOKUP(E28,Dex!$B$3:$N249,10,FALSE),"")</f>
        <v>80</v>
      </c>
      <c r="G43" s="5905" t="str">
        <f t="array" ref="G43">IFERROR(VLOOKUP(F43,Dex!$P$22:$Q$276,2,FALSE),"")</f>
        <v/>
      </c>
      <c r="H43" s="5906"/>
      <c r="I43" s="5901"/>
      <c r="J43" s="5903" t="s">
        <v>515</v>
      </c>
      <c r="K43" s="5904">
        <f t="array" ref="K43">IFERROR(VLOOKUP(J28,Dex!$B$3:$N249,10,FALSE),"")</f>
        <v>85</v>
      </c>
      <c r="L43" s="5905" t="str">
        <f t="array" ref="L43">IFERROR(VLOOKUP(K43,Dex!$P$22:$Q$276,2,FALSE),"")</f>
        <v/>
      </c>
      <c r="M43" s="5906"/>
      <c r="N43" s="5890"/>
      <c r="O43" s="5903" t="s">
        <v>515</v>
      </c>
      <c r="P43" s="5904">
        <f t="array" ref="P43">IFERROR(VLOOKUP(O28,Dex!$B$3:$N249,10,FALSE),"")</f>
        <v>65</v>
      </c>
      <c r="Q43" s="5905" t="str">
        <f t="array" ref="Q43">IFERROR(VLOOKUP(P43,Dex!$P$22:$Q$276,2,FALSE),"")</f>
        <v/>
      </c>
      <c r="R43" s="5906"/>
      <c r="S43" s="5902"/>
      <c r="T43" s="5903" t="s">
        <v>515</v>
      </c>
      <c r="U43" s="5904">
        <f t="array" ref="U43">IFERROR(VLOOKUP(T28,Dex!$B$3:$N249,10,FALSE),"")</f>
        <v>70</v>
      </c>
      <c r="V43" s="5905" t="str">
        <f t="array" ref="V43">IFERROR(VLOOKUP(U43,Dex!$P$22:$Q$276,2,FALSE),"")</f>
        <v/>
      </c>
      <c r="W43" s="5906"/>
      <c r="X43" s="5902"/>
      <c r="Y43" s="5903" t="s">
        <v>515</v>
      </c>
      <c r="Z43" s="5904">
        <f t="array" ref="Z43">IFERROR(VLOOKUP(Y28,Dex!$B$3:$N249,10,FALSE),"")</f>
        <v>100</v>
      </c>
      <c r="AA43" s="5905" t="str">
        <f t="array" ref="AA43">IFERROR(VLOOKUP(Z43,Dex!$P$22:$Q$276,2,FALSE),"")</f>
        <v/>
      </c>
      <c r="AB43" s="5906"/>
      <c r="AC43" s="5902"/>
      <c r="AD43" s="5903" t="s">
        <v>515</v>
      </c>
      <c r="AE43" s="5904">
        <f t="array" ref="AE43">IFERROR(VLOOKUP(AD28,Dex!$B$3:$N249,10,FALSE),"")</f>
        <v>110</v>
      </c>
      <c r="AF43" s="5905" t="str">
        <f t="array" ref="AF43">IFERROR(VLOOKUP(AE43,Dex!$P$22:$Q$276,2,FALSE),"")</f>
        <v/>
      </c>
      <c r="AG43" s="5906"/>
      <c r="AH43" s="5896"/>
      <c r="AI43" s="3543"/>
    </row>
    <row r="44" ht="16.5" customHeight="1">
      <c r="A44" s="3453"/>
      <c r="B44" s="5830"/>
      <c r="C44" s="5831"/>
      <c r="D44" s="5890"/>
      <c r="E44" s="5903" t="s">
        <v>516</v>
      </c>
      <c r="F44" s="5904">
        <f t="array" ref="F44">IFERROR(VLOOKUP(E28,Dex!$B$3:$N249,11,FALSE),"")</f>
        <v>70</v>
      </c>
      <c r="G44" s="5905" t="str">
        <f t="array" ref="G44">IFERROR(VLOOKUP(F44,Dex!$P$22:$Q$276,2,FALSE),"")</f>
        <v/>
      </c>
      <c r="H44" s="5906"/>
      <c r="I44" s="5901"/>
      <c r="J44" s="5903" t="s">
        <v>516</v>
      </c>
      <c r="K44" s="5904">
        <f t="array" ref="K44">IFERROR(VLOOKUP(J28,Dex!$B$3:$N249,11,FALSE),"")</f>
        <v>125</v>
      </c>
      <c r="L44" s="5905" t="str">
        <f t="array" ref="L44">IFERROR(VLOOKUP(K44,Dex!$P$22:$Q$276,2,FALSE),"")</f>
        <v/>
      </c>
      <c r="M44" s="5906"/>
      <c r="N44" s="5890"/>
      <c r="O44" s="5903" t="s">
        <v>516</v>
      </c>
      <c r="P44" s="5904">
        <f t="array" ref="P44">IFERROR(VLOOKUP(O28,Dex!$B$3:$N249,11,FALSE),"")</f>
        <v>125</v>
      </c>
      <c r="Q44" s="5905" t="str">
        <f t="array" ref="Q44">IFERROR(VLOOKUP(P44,Dex!$P$22:$Q$276,2,FALSE),"")</f>
        <v/>
      </c>
      <c r="R44" s="5906"/>
      <c r="S44" s="5902"/>
      <c r="T44" s="5903" t="s">
        <v>516</v>
      </c>
      <c r="U44" s="5904">
        <f t="array" ref="U44">IFERROR(VLOOKUP(T28,Dex!$B$3:$N249,11,FALSE),"")</f>
        <v>110</v>
      </c>
      <c r="V44" s="5905" t="str">
        <f t="array" ref="V44">IFERROR(VLOOKUP(U44,Dex!$P$22:$Q$276,2,FALSE),"")</f>
        <v/>
      </c>
      <c r="W44" s="5906"/>
      <c r="X44" s="5902"/>
      <c r="Y44" s="5903" t="s">
        <v>516</v>
      </c>
      <c r="Z44" s="5904">
        <f t="array" ref="Z44">IFERROR(VLOOKUP(Y28,Dex!$B$3:$N249,11,FALSE),"")</f>
        <v>55</v>
      </c>
      <c r="AA44" s="5905" t="str">
        <f t="array" ref="AA44">IFERROR(VLOOKUP(Z44,Dex!$P$22:$Q$276,2,FALSE),"")</f>
        <v/>
      </c>
      <c r="AB44" s="5906"/>
      <c r="AC44" s="5902"/>
      <c r="AD44" s="5903" t="s">
        <v>516</v>
      </c>
      <c r="AE44" s="5904">
        <f t="array" ref="AE44">IFERROR(VLOOKUP(AD28,Dex!$B$3:$N249,11,FALSE),"")</f>
        <v>95</v>
      </c>
      <c r="AF44" s="5905" t="str">
        <f t="array" ref="AF44">IFERROR(VLOOKUP(AE44,Dex!$P$22:$Q$276,2,FALSE),"")</f>
        <v/>
      </c>
      <c r="AG44" s="5906"/>
      <c r="AH44" s="5896"/>
      <c r="AI44" s="3543"/>
    </row>
    <row r="45" ht="16.5" customHeight="1">
      <c r="A45" s="3453"/>
      <c r="B45" s="5830"/>
      <c r="C45" s="5831"/>
      <c r="D45" s="5890"/>
      <c r="E45" s="5903" t="s">
        <v>517</v>
      </c>
      <c r="F45" s="5904">
        <f t="array" ref="F45">IFERROR(VLOOKUP(E28,Dex!$B$3:$N249,12,FALSE),"")</f>
        <v>80</v>
      </c>
      <c r="G45" s="5905" t="str">
        <f t="array" ref="G45">IFERROR(VLOOKUP(F45,Dex!$P$22:$Q$276,2,FALSE),"")</f>
        <v/>
      </c>
      <c r="H45" s="5906"/>
      <c r="I45" s="5901"/>
      <c r="J45" s="5903" t="s">
        <v>517</v>
      </c>
      <c r="K45" s="5904">
        <f t="array" ref="K45">IFERROR(VLOOKUP(J28,Dex!$B$3:$N249,12,FALSE),"")</f>
        <v>90</v>
      </c>
      <c r="L45" s="5905" t="str">
        <f t="array" ref="L45">IFERROR(VLOOKUP(K45,Dex!$P$22:$Q$276,2,FALSE),"")</f>
        <v/>
      </c>
      <c r="M45" s="5906"/>
      <c r="N45" s="5890"/>
      <c r="O45" s="5903" t="s">
        <v>517</v>
      </c>
      <c r="P45" s="5904">
        <f t="array" ref="P45">IFERROR(VLOOKUP(O28,Dex!$B$3:$N249,12,FALSE),"")</f>
        <v>90</v>
      </c>
      <c r="Q45" s="5905" t="str">
        <f t="array" ref="Q45">IFERROR(VLOOKUP(P45,Dex!$P$22:$Q$276,2,FALSE),"")</f>
        <v/>
      </c>
      <c r="R45" s="5906"/>
      <c r="S45" s="5902"/>
      <c r="T45" s="5903" t="s">
        <v>517</v>
      </c>
      <c r="U45" s="5904">
        <f t="array" ref="U45">IFERROR(VLOOKUP(T28,Dex!$B$3:$N249,12,FALSE),"")</f>
        <v>150</v>
      </c>
      <c r="V45" s="5905" t="str">
        <f t="array" ref="V45">IFERROR(VLOOKUP(U45,Dex!$P$22:$Q$276,2,FALSE),"")</f>
        <v/>
      </c>
      <c r="W45" s="5906"/>
      <c r="X45" s="5902"/>
      <c r="Y45" s="5903" t="s">
        <v>517</v>
      </c>
      <c r="Z45" s="5904">
        <f t="array" ref="Z45">IFERROR(VLOOKUP(Y28,Dex!$B$3:$N249,12,FALSE),"")</f>
        <v>80</v>
      </c>
      <c r="AA45" s="5905" t="str">
        <f t="array" ref="AA45">IFERROR(VLOOKUP(Z45,Dex!$P$22:$Q$276,2,FALSE),"")</f>
        <v/>
      </c>
      <c r="AB45" s="5906"/>
      <c r="AC45" s="5902"/>
      <c r="AD45" s="5903" t="s">
        <v>517</v>
      </c>
      <c r="AE45" s="5904">
        <f t="array" ref="AE45">IFERROR(VLOOKUP(AD28,Dex!$B$3:$N249,12,FALSE),"")</f>
        <v>110</v>
      </c>
      <c r="AF45" s="5905" t="str">
        <f t="array" ref="AF45">IFERROR(VLOOKUP(AE45,Dex!$P$22:$Q$276,2,FALSE),"")</f>
        <v/>
      </c>
      <c r="AG45" s="5906"/>
      <c r="AH45" s="5896"/>
      <c r="AI45" s="3543"/>
    </row>
    <row r="46" ht="16.5" customHeight="1">
      <c r="A46" s="3453"/>
      <c r="B46" s="5830"/>
      <c r="C46" s="1426" t="s">
        <v>745</v>
      </c>
      <c r="D46" s="5890"/>
      <c r="E46" s="5907" t="s">
        <v>518</v>
      </c>
      <c r="F46" s="5908">
        <f t="array" ref="F46">IFERROR(VLOOKUP(E28,Dex!$B$3:$N249,13,FALSE),"")</f>
        <v>50</v>
      </c>
      <c r="G46" s="5909" t="str">
        <f t="array" ref="G46">IFERROR(VLOOKUP(F46,Dex!$P$22:$Q$276,2,FALSE),"")</f>
        <v/>
      </c>
      <c r="H46" s="5910"/>
      <c r="I46" s="5901"/>
      <c r="J46" s="5907" t="s">
        <v>518</v>
      </c>
      <c r="K46" s="5908">
        <f t="array" ref="K46">IFERROR(VLOOKUP(J28,Dex!$B$3:$N249,13,FALSE),"")</f>
        <v>100</v>
      </c>
      <c r="L46" s="5905" t="str">
        <f t="array" ref="L46">IFERROR(VLOOKUP(K46,Dex!$P$22:$Q$276,2,FALSE),"")</f>
        <v/>
      </c>
      <c r="M46" s="5906"/>
      <c r="N46" s="5890"/>
      <c r="O46" s="5907" t="s">
        <v>518</v>
      </c>
      <c r="P46" s="5908">
        <f t="array" ref="P46">IFERROR(VLOOKUP(O28,Dex!$B$3:$N249,13,FALSE),"")</f>
        <v>65</v>
      </c>
      <c r="Q46" s="5905" t="str">
        <f t="array" ref="Q46">IFERROR(VLOOKUP(P46,Dex!$P$22:$Q$276,2,FALSE),"")</f>
        <v/>
      </c>
      <c r="R46" s="5906"/>
      <c r="S46" s="5902"/>
      <c r="T46" s="5907" t="s">
        <v>518</v>
      </c>
      <c r="U46" s="5908">
        <f t="array" ref="U46">IFERROR(VLOOKUP(T28,Dex!$B$3:$N249,13,FALSE),"")</f>
        <v>80</v>
      </c>
      <c r="V46" s="5905" t="str">
        <f t="array" ref="V46">IFERROR(VLOOKUP(U46,Dex!$P$22:$Q$276,2,FALSE),"")</f>
        <v/>
      </c>
      <c r="W46" s="5906"/>
      <c r="X46" s="5902"/>
      <c r="Y46" s="5907" t="s">
        <v>518</v>
      </c>
      <c r="Z46" s="5908">
        <f t="array" ref="Z46">IFERROR(VLOOKUP(Y28,Dex!$B$3:$N249,13,FALSE),"")</f>
        <v>65</v>
      </c>
      <c r="AA46" s="5905" t="str">
        <f t="array" ref="AA46">IFERROR(VLOOKUP(Z46,Dex!$P$22:$Q$276,2,FALSE),"")</f>
        <v/>
      </c>
      <c r="AB46" s="5906"/>
      <c r="AC46" s="5902"/>
      <c r="AD46" s="5907" t="s">
        <v>518</v>
      </c>
      <c r="AE46" s="5908">
        <f t="array" ref="AE46">IFERROR(VLOOKUP(AD28,Dex!$B$3:$N249,13,FALSE),"")</f>
        <v>70</v>
      </c>
      <c r="AF46" s="5905" t="str">
        <f t="array" ref="AF46">IFERROR(VLOOKUP(AE46,Dex!$P$22:$Q$276,2,FALSE),"")</f>
        <v/>
      </c>
      <c r="AG46" s="5906"/>
      <c r="AH46" s="5896"/>
      <c r="AI46" s="3543"/>
    </row>
    <row r="47" ht="16.5" customHeight="1">
      <c r="A47" s="3453"/>
      <c r="B47" s="5830"/>
      <c r="C47" s="1427" t="s">
        <v>1783</v>
      </c>
      <c r="D47" s="5893"/>
      <c r="E47" s="5911" t="s">
        <v>519</v>
      </c>
      <c r="F47" s="635"/>
      <c r="G47" s="636"/>
      <c r="H47" s="632">
        <f>ROUNDDOWN((ROUNDDOWN(((((2*F46+31)*59)/100+5)),0))*1.1,0)</f>
        <v>90</v>
      </c>
      <c r="I47" s="5892"/>
      <c r="J47" s="5912" t="s">
        <v>519</v>
      </c>
      <c r="K47" s="630"/>
      <c r="L47" s="631"/>
      <c r="M47" s="632">
        <f>ROUNDDOWN((ROUNDDOWN(((((2*K46+31)*59)/100+5)),0))*1.1,0)</f>
        <v>155</v>
      </c>
      <c r="N47" s="5893"/>
      <c r="O47" s="5912" t="s">
        <v>519</v>
      </c>
      <c r="P47" s="630"/>
      <c r="Q47" s="631"/>
      <c r="R47" s="632">
        <f>ROUNDDOWN((ROUNDDOWN(((((2*P46+31)*59)/100+5)),0))*1.1,0)</f>
        <v>108</v>
      </c>
      <c r="S47" s="5895"/>
      <c r="T47" s="5912" t="s">
        <v>519</v>
      </c>
      <c r="U47" s="630"/>
      <c r="V47" s="631"/>
      <c r="W47" s="632">
        <f>ROUNDDOWN((ROUNDDOWN(((((2*U46+31)*59)/100+5)),0))*1,0)</f>
        <v>117</v>
      </c>
      <c r="X47" s="5895"/>
      <c r="Y47" s="5912" t="s">
        <v>519</v>
      </c>
      <c r="Z47" s="630"/>
      <c r="AA47" s="631"/>
      <c r="AB47" s="632">
        <f>ROUNDDOWN((ROUNDDOWN(((((2*Z46+31)*59)/100+5)),0))*1,0)</f>
        <v>99</v>
      </c>
      <c r="AC47" s="5895"/>
      <c r="AD47" s="5911" t="s">
        <v>519</v>
      </c>
      <c r="AE47" s="635"/>
      <c r="AF47" s="636"/>
      <c r="AG47" s="632">
        <f>ROUNDDOWN((ROUNDDOWN(((((2*AE46+31)*59)/100+5)),0))*1,0)</f>
        <v>105</v>
      </c>
      <c r="AH47" s="5896"/>
      <c r="AI47" s="3543"/>
    </row>
    <row r="48" ht="16.5" customHeight="1">
      <c r="A48" s="3453"/>
      <c r="B48" s="5913"/>
      <c r="C48" s="5831"/>
      <c r="D48" s="5914"/>
      <c r="E48" s="5915" t="s">
        <v>555</v>
      </c>
      <c r="F48" s="643"/>
      <c r="G48" s="644"/>
      <c r="H48" s="5916">
        <f>H47*2</f>
        <v>180</v>
      </c>
      <c r="I48" s="5917"/>
      <c r="J48" s="5918"/>
      <c r="K48" s="5918"/>
      <c r="L48" s="5918"/>
      <c r="M48" s="5831"/>
      <c r="N48" s="5914"/>
      <c r="O48" s="5918"/>
      <c r="P48" s="5918"/>
      <c r="Q48" s="5918"/>
      <c r="R48" s="5831"/>
      <c r="S48" s="5919"/>
      <c r="T48" s="5918"/>
      <c r="U48" s="5918"/>
      <c r="V48" s="5918"/>
      <c r="W48" s="5831"/>
      <c r="X48" s="5919"/>
      <c r="Y48" s="5918"/>
      <c r="Z48" s="5918"/>
      <c r="AA48" s="5918"/>
      <c r="AB48" s="5831"/>
      <c r="AC48" s="5920"/>
      <c r="AD48" s="5915" t="s">
        <v>555</v>
      </c>
      <c r="AE48" s="643"/>
      <c r="AF48" s="644"/>
      <c r="AG48" s="5916">
        <f>AG47*2</f>
        <v>210</v>
      </c>
      <c r="AH48" s="5921"/>
      <c r="AI48" s="3543"/>
    </row>
    <row r="49" ht="15.0" customHeight="1">
      <c r="A49" s="3453"/>
      <c r="B49" s="5922"/>
      <c r="C49" s="5923"/>
      <c r="D49" s="5923"/>
      <c r="E49" s="5924"/>
      <c r="F49" s="5924"/>
      <c r="G49" s="5924"/>
      <c r="H49" s="5924"/>
      <c r="I49" s="5923"/>
      <c r="J49" s="5925"/>
      <c r="K49" s="5925"/>
      <c r="L49" s="5925"/>
      <c r="M49" s="5924"/>
      <c r="N49" s="5923"/>
      <c r="O49" s="5924"/>
      <c r="P49" s="5924"/>
      <c r="Q49" s="5924"/>
      <c r="R49" s="5924"/>
      <c r="S49" s="5923"/>
      <c r="T49" s="5924"/>
      <c r="U49" s="5924"/>
      <c r="V49" s="5924"/>
      <c r="W49" s="5924"/>
      <c r="X49" s="5923"/>
      <c r="Y49" s="5924"/>
      <c r="Z49" s="5924"/>
      <c r="AA49" s="5924"/>
      <c r="AB49" s="5924"/>
      <c r="AC49" s="5923"/>
      <c r="AD49" s="5925"/>
      <c r="AE49" s="5925"/>
      <c r="AF49" s="5925"/>
      <c r="AG49" s="5924"/>
      <c r="AH49" s="5926"/>
      <c r="AI49" s="3543"/>
    </row>
    <row r="50" ht="15.0" customHeight="1">
      <c r="A50" s="3446"/>
      <c r="B50" s="5133"/>
      <c r="C50" s="5134"/>
      <c r="D50" s="5134"/>
      <c r="E50" s="5927"/>
      <c r="F50" s="5927"/>
      <c r="G50" s="5927"/>
      <c r="H50" s="5927"/>
      <c r="I50" s="5134"/>
      <c r="J50" s="5927"/>
      <c r="K50" s="5927"/>
      <c r="L50" s="5927"/>
      <c r="M50" s="5927"/>
      <c r="N50" s="5134"/>
      <c r="O50" s="5927"/>
      <c r="P50" s="5927"/>
      <c r="Q50" s="5927"/>
      <c r="R50" s="5927"/>
      <c r="S50" s="5134"/>
      <c r="T50" s="5927"/>
      <c r="U50" s="5927"/>
      <c r="V50" s="5927"/>
      <c r="W50" s="5927"/>
      <c r="X50" s="5134"/>
      <c r="Y50" s="5134"/>
      <c r="Z50" s="5134"/>
      <c r="AA50" s="5134"/>
      <c r="AB50" s="5134"/>
      <c r="AC50" s="5134"/>
      <c r="AD50" s="5134"/>
      <c r="AE50" s="5134"/>
      <c r="AF50" s="5134"/>
      <c r="AG50" s="5134"/>
      <c r="AH50" s="5135"/>
      <c r="AI50" s="3452"/>
    </row>
    <row r="51" ht="96.75" customHeight="1">
      <c r="A51" s="3446"/>
      <c r="B51" s="5143"/>
      <c r="C51" s="5928" t="str">
        <f>IMAGE("https://i.ibb.co/bN4WBzT/Beauty.png")</f>
        <v/>
      </c>
      <c r="D51" s="5145"/>
      <c r="E51" s="5146" t="str">
        <f t="array" ref="E51">IFERROR(VLOOKUP(E52,Dex!$B$3:$G249,3,FALSE),"")</f>
        <v/>
      </c>
      <c r="F51" s="1945"/>
      <c r="G51" s="1945"/>
      <c r="H51" s="1946"/>
      <c r="I51" s="5147"/>
      <c r="J51" s="5146" t="str">
        <f t="array" ref="J51">IFERROR(VLOOKUP(J52,Dex!$B$3:$G249,3,FALSE),"")</f>
        <v/>
      </c>
      <c r="K51" s="1945"/>
      <c r="L51" s="1945"/>
      <c r="M51" s="1946"/>
      <c r="N51" s="5147"/>
      <c r="O51" s="5146" t="str">
        <f t="array" ref="O51">IFERROR(VLOOKUP(O52,Dex!$B$3:$G249,3,FALSE),"")</f>
        <v/>
      </c>
      <c r="P51" s="1945"/>
      <c r="Q51" s="1945"/>
      <c r="R51" s="1946"/>
      <c r="S51" s="5147"/>
      <c r="T51" s="5146" t="str">
        <f t="array" ref="T51">IFERROR(VLOOKUP(T52,Dex!$B$3:$G249,3,FALSE),"")</f>
        <v/>
      </c>
      <c r="U51" s="1945"/>
      <c r="V51" s="1945"/>
      <c r="W51" s="1946"/>
      <c r="X51" s="5929"/>
      <c r="Y51" s="5930"/>
      <c r="Z51" s="5194"/>
      <c r="AA51" s="5194"/>
      <c r="AB51" s="5212"/>
      <c r="AC51" s="5931"/>
      <c r="AD51" s="5198"/>
      <c r="AE51" s="5194"/>
      <c r="AF51" s="5194"/>
      <c r="AG51" s="5212"/>
      <c r="AH51" s="5180"/>
      <c r="AI51" s="3452"/>
    </row>
    <row r="52" ht="18.75" customHeight="1">
      <c r="A52" s="3689"/>
      <c r="B52" s="5151"/>
      <c r="C52" s="5932" t="s">
        <v>1792</v>
      </c>
      <c r="D52" s="5153"/>
      <c r="E52" s="5154" t="s">
        <v>1067</v>
      </c>
      <c r="F52" s="5155"/>
      <c r="G52" s="5155"/>
      <c r="H52" s="5156"/>
      <c r="I52" s="5145"/>
      <c r="J52" s="5154" t="s">
        <v>561</v>
      </c>
      <c r="K52" s="5155"/>
      <c r="L52" s="5155"/>
      <c r="M52" s="5156"/>
      <c r="N52" s="5145"/>
      <c r="O52" s="5154" t="s">
        <v>1793</v>
      </c>
      <c r="P52" s="5155"/>
      <c r="Q52" s="5155"/>
      <c r="R52" s="5156"/>
      <c r="S52" s="5145"/>
      <c r="T52" s="5154" t="s">
        <v>1794</v>
      </c>
      <c r="U52" s="5155"/>
      <c r="V52" s="5155"/>
      <c r="W52" s="5156"/>
      <c r="X52" s="5933"/>
      <c r="Y52" s="5934"/>
      <c r="Z52" s="5194"/>
      <c r="AA52" s="5194"/>
      <c r="AB52" s="5212"/>
      <c r="AC52" s="5935"/>
      <c r="AD52" s="5936"/>
      <c r="AE52" s="5194"/>
      <c r="AF52" s="5194"/>
      <c r="AG52" s="5212"/>
      <c r="AH52" s="5937"/>
      <c r="AI52" s="3700"/>
    </row>
    <row r="53">
      <c r="A53" s="3701"/>
      <c r="B53" s="5161"/>
      <c r="C53" s="1638"/>
      <c r="D53" s="5162"/>
      <c r="E53" s="5163" t="s">
        <v>729</v>
      </c>
      <c r="F53" s="5164"/>
      <c r="G53" s="5164"/>
      <c r="H53" s="5165"/>
      <c r="I53" s="5153"/>
      <c r="J53" s="5163" t="s">
        <v>729</v>
      </c>
      <c r="K53" s="5164"/>
      <c r="L53" s="5164"/>
      <c r="M53" s="5165"/>
      <c r="N53" s="5153"/>
      <c r="O53" s="5163" t="s">
        <v>729</v>
      </c>
      <c r="P53" s="5164"/>
      <c r="Q53" s="5164"/>
      <c r="R53" s="5165"/>
      <c r="S53" s="5153"/>
      <c r="T53" s="5163" t="s">
        <v>729</v>
      </c>
      <c r="U53" s="5164"/>
      <c r="V53" s="5164"/>
      <c r="W53" s="5165"/>
      <c r="X53" s="5938"/>
      <c r="Y53" s="5939"/>
      <c r="Z53" s="5194"/>
      <c r="AA53" s="5194"/>
      <c r="AB53" s="5212"/>
      <c r="AC53" s="5935"/>
      <c r="AD53" s="5940"/>
      <c r="AE53" s="5194"/>
      <c r="AF53" s="5194"/>
      <c r="AG53" s="5212"/>
      <c r="AH53" s="5941"/>
      <c r="AI53" s="3709"/>
    </row>
    <row r="54" ht="25.5" customHeight="1">
      <c r="A54" s="3446"/>
      <c r="B54" s="5143"/>
      <c r="C54" s="1646"/>
      <c r="D54" s="5147"/>
      <c r="E54" s="5170"/>
      <c r="F54" s="5174" t="str">
        <f t="array" ref="F54">IFERROR(VLOOKUP(E52,Dex!$B$3:$H249,5,FALSE),"")</f>
        <v/>
      </c>
      <c r="G54" s="5175" t="str">
        <f t="array" ref="G54">IFERROR(VLOOKUP(E52,Dex!$B$3:$H249,7,FALSE),"")</f>
        <v/>
      </c>
      <c r="H54" s="5173"/>
      <c r="I54" s="5162"/>
      <c r="J54" s="5170"/>
      <c r="K54" s="5171" t="str">
        <f t="array" ref="K54">IFERROR(VLOOKUP(J52,Dex!$B$3:$H249,5,FALSE),"")</f>
        <v/>
      </c>
      <c r="L54" s="5172"/>
      <c r="M54" s="5173"/>
      <c r="N54" s="5162"/>
      <c r="O54" s="5170"/>
      <c r="P54" s="5171" t="str">
        <f t="array" ref="P54">IFERROR(VLOOKUP(O52,Dex!$B$3:$H249,5,FALSE),"")</f>
        <v/>
      </c>
      <c r="Q54" s="5172"/>
      <c r="R54" s="5173"/>
      <c r="S54" s="5162"/>
      <c r="T54" s="5170"/>
      <c r="U54" s="5174" t="str">
        <f t="array" ref="U54">IFERROR(VLOOKUP(T52,Dex!$B$3:$H249,5,FALSE),"")</f>
        <v/>
      </c>
      <c r="V54" s="5175" t="str">
        <f t="array" ref="V54">IFERROR(VLOOKUP(T52,Dex!$B$3:$H249,7,FALSE),"")</f>
        <v/>
      </c>
      <c r="W54" s="5173"/>
      <c r="X54" s="5942"/>
      <c r="Y54" s="5943"/>
      <c r="Z54" s="5944"/>
      <c r="AA54" s="5212"/>
      <c r="AB54" s="5945"/>
      <c r="AC54" s="5935"/>
      <c r="AD54" s="5946"/>
      <c r="AE54" s="5194"/>
      <c r="AF54" s="5194"/>
      <c r="AG54" s="5212"/>
      <c r="AH54" s="5180"/>
      <c r="AI54" s="3452"/>
    </row>
    <row r="55" ht="2.25" customHeight="1">
      <c r="A55" s="3446"/>
      <c r="B55" s="5143"/>
      <c r="C55" s="5205"/>
      <c r="D55" s="5147"/>
      <c r="E55" s="5181"/>
      <c r="F55" s="5182"/>
      <c r="G55" s="5182"/>
      <c r="H55" s="5183"/>
      <c r="I55" s="5147"/>
      <c r="J55" s="5181"/>
      <c r="K55" s="5182"/>
      <c r="L55" s="5182"/>
      <c r="M55" s="5183"/>
      <c r="N55" s="5147"/>
      <c r="O55" s="5181"/>
      <c r="P55" s="5182"/>
      <c r="Q55" s="5182"/>
      <c r="R55" s="5183"/>
      <c r="S55" s="5147"/>
      <c r="T55" s="5181"/>
      <c r="U55" s="5182"/>
      <c r="V55" s="5182"/>
      <c r="W55" s="5183"/>
      <c r="X55" s="5138"/>
      <c r="Y55" s="5943"/>
      <c r="Z55" s="5945"/>
      <c r="AA55" s="5945"/>
      <c r="AB55" s="5945"/>
      <c r="AC55" s="5935"/>
      <c r="AD55" s="5138"/>
      <c r="AE55" s="5138"/>
      <c r="AF55" s="5138"/>
      <c r="AG55" s="5138"/>
      <c r="AH55" s="5180"/>
      <c r="AI55" s="3452"/>
    </row>
    <row r="56" ht="20.25" customHeight="1">
      <c r="A56" s="3446"/>
      <c r="B56" s="5143"/>
      <c r="C56" s="5205"/>
      <c r="D56" s="5147"/>
      <c r="E56" s="5187" t="s">
        <v>565</v>
      </c>
      <c r="F56" s="5188"/>
      <c r="G56" s="5188"/>
      <c r="H56" s="5189"/>
      <c r="I56" s="5147"/>
      <c r="J56" s="5187" t="s">
        <v>566</v>
      </c>
      <c r="K56" s="5188"/>
      <c r="L56" s="5188"/>
      <c r="M56" s="5189"/>
      <c r="N56" s="5147"/>
      <c r="O56" s="5187" t="s">
        <v>564</v>
      </c>
      <c r="P56" s="5188"/>
      <c r="Q56" s="5188"/>
      <c r="R56" s="5189"/>
      <c r="S56" s="5147"/>
      <c r="T56" s="5187" t="s">
        <v>565</v>
      </c>
      <c r="U56" s="5188"/>
      <c r="V56" s="5188"/>
      <c r="W56" s="5189"/>
      <c r="X56" s="5929"/>
      <c r="Y56" s="5947"/>
      <c r="Z56" s="5194"/>
      <c r="AA56" s="5194"/>
      <c r="AB56" s="5212"/>
      <c r="AC56" s="5935"/>
      <c r="AD56" s="5198"/>
      <c r="AE56" s="5194"/>
      <c r="AF56" s="5194"/>
      <c r="AG56" s="5212"/>
      <c r="AH56" s="5180"/>
      <c r="AI56" s="3452"/>
    </row>
    <row r="57">
      <c r="A57" s="3446"/>
      <c r="B57" s="5143"/>
      <c r="C57" s="5205"/>
      <c r="D57" s="5147"/>
      <c r="E57" s="5193" t="s">
        <v>105</v>
      </c>
      <c r="F57" s="5194"/>
      <c r="G57" s="5194"/>
      <c r="H57" s="5195"/>
      <c r="I57" s="5147"/>
      <c r="J57" s="5193" t="s">
        <v>569</v>
      </c>
      <c r="K57" s="5194"/>
      <c r="L57" s="5194"/>
      <c r="M57" s="5195"/>
      <c r="N57" s="5147"/>
      <c r="O57" s="5193" t="s">
        <v>534</v>
      </c>
      <c r="P57" s="5194"/>
      <c r="Q57" s="5194"/>
      <c r="R57" s="5195"/>
      <c r="S57" s="5147"/>
      <c r="T57" s="5193" t="s">
        <v>1795</v>
      </c>
      <c r="U57" s="5194"/>
      <c r="V57" s="5194"/>
      <c r="W57" s="5195"/>
      <c r="X57" s="5929"/>
      <c r="Y57" s="5947"/>
      <c r="Z57" s="5194"/>
      <c r="AA57" s="5194"/>
      <c r="AB57" s="5212"/>
      <c r="AC57" s="5935"/>
      <c r="AD57" s="5198"/>
      <c r="AE57" s="5194"/>
      <c r="AF57" s="5194"/>
      <c r="AG57" s="5212"/>
      <c r="AH57" s="5180"/>
      <c r="AI57" s="3452"/>
    </row>
    <row r="58" ht="20.25" customHeight="1">
      <c r="A58" s="3446"/>
      <c r="B58" s="5136"/>
      <c r="C58" s="5205"/>
      <c r="D58" s="5198"/>
      <c r="E58" s="5199" t="s">
        <v>573</v>
      </c>
      <c r="F58" s="5140"/>
      <c r="G58" s="5141"/>
      <c r="H58" s="5200" t="str">
        <f>IMAGE("https://raw.githubusercontent.com/msikma/pokesprite/master/items/hold-item/focus-sash.png",3)</f>
        <v/>
      </c>
      <c r="I58" s="5147"/>
      <c r="J58" s="5199" t="s">
        <v>574</v>
      </c>
      <c r="K58" s="5140"/>
      <c r="L58" s="5141"/>
      <c r="M58" s="5200" t="str">
        <f>IMAGE("https://raw.githubusercontent.com/msikma/pokesprite/master/items/hold-item/electric-seed.png",3)</f>
        <v/>
      </c>
      <c r="N58" s="5147"/>
      <c r="O58" s="5199" t="s">
        <v>1004</v>
      </c>
      <c r="P58" s="5140"/>
      <c r="Q58" s="5141"/>
      <c r="R58" s="5200" t="str">
        <f>IMAGE("https://raw.githubusercontent.com/msikma/pokesprite/master/items/z-crystals/eevium-z--held.png",3)</f>
        <v/>
      </c>
      <c r="S58" s="5147"/>
      <c r="T58" s="5199" t="s">
        <v>1796</v>
      </c>
      <c r="U58" s="5140"/>
      <c r="V58" s="5141"/>
      <c r="W58" s="5200" t="str">
        <f>IMAGE("https://raw.githubusercontent.com/msikma/pokesprite/master/items/mega-stone/venusaurite.png",3)</f>
        <v/>
      </c>
      <c r="X58" s="5138"/>
      <c r="Y58" s="5947"/>
      <c r="Z58" s="5194"/>
      <c r="AA58" s="5212"/>
      <c r="AB58" s="5948"/>
      <c r="AC58" s="5935"/>
      <c r="AD58" s="5198"/>
      <c r="AE58" s="5194"/>
      <c r="AF58" s="5194"/>
      <c r="AG58" s="5212"/>
      <c r="AH58" s="5180"/>
      <c r="AI58" s="3452"/>
    </row>
    <row r="59" ht="20.25" customHeight="1">
      <c r="A59" s="3446"/>
      <c r="B59" s="5136"/>
      <c r="C59" s="5205"/>
      <c r="D59" s="5206"/>
      <c r="E59" s="5187" t="s">
        <v>581</v>
      </c>
      <c r="F59" s="5188"/>
      <c r="G59" s="5207"/>
      <c r="H59" s="5208" t="str">
        <f t="shared" ref="H59:H60" si="2">IMAGE("https://raw.githubusercontent.com/msikma/pokesprite/master/misc/types/gen8/electric.png",4,20,20)</f>
        <v/>
      </c>
      <c r="I59" s="5198"/>
      <c r="J59" s="5187" t="s">
        <v>168</v>
      </c>
      <c r="K59" s="5188"/>
      <c r="L59" s="5207"/>
      <c r="M59" s="5208" t="str">
        <f t="shared" ref="M59:M60" si="3">IMAGE("https://raw.githubusercontent.com/msikma/pokesprite/master/misc/types/gen8/fighting.png",4,20,20)</f>
        <v/>
      </c>
      <c r="N59" s="5198"/>
      <c r="O59" s="5187" t="s">
        <v>1007</v>
      </c>
      <c r="P59" s="5188"/>
      <c r="Q59" s="5207"/>
      <c r="R59" s="5208" t="str">
        <f>IMAGE("https://raw.githubusercontent.com/msikma/pokesprite/master/misc/types/gen8/normal.png",4,20,20)</f>
        <v/>
      </c>
      <c r="S59" s="5198"/>
      <c r="T59" s="5187" t="s">
        <v>154</v>
      </c>
      <c r="U59" s="5188"/>
      <c r="V59" s="5207"/>
      <c r="W59" s="5208" t="str">
        <f>IMAGE("https://raw.githubusercontent.com/msikma/pokesprite/master/misc/types/gen8/dragon.png",4,20,20)</f>
        <v/>
      </c>
      <c r="X59" s="5138"/>
      <c r="Y59" s="5947"/>
      <c r="Z59" s="5194"/>
      <c r="AA59" s="5212"/>
      <c r="AB59" s="5948"/>
      <c r="AC59" s="5935"/>
      <c r="AD59" s="5198"/>
      <c r="AE59" s="5194"/>
      <c r="AF59" s="5194"/>
      <c r="AG59" s="5212"/>
      <c r="AH59" s="5180"/>
      <c r="AI59" s="3452"/>
    </row>
    <row r="60" ht="20.25" customHeight="1">
      <c r="A60" s="3446"/>
      <c r="B60" s="5136"/>
      <c r="C60" s="5211"/>
      <c r="D60" s="5198"/>
      <c r="E60" s="5193" t="s">
        <v>547</v>
      </c>
      <c r="F60" s="5194"/>
      <c r="G60" s="5212"/>
      <c r="H60" s="5213" t="str">
        <f t="shared" si="2"/>
        <v/>
      </c>
      <c r="I60" s="5206"/>
      <c r="J60" s="5193" t="s">
        <v>583</v>
      </c>
      <c r="K60" s="5194"/>
      <c r="L60" s="5212"/>
      <c r="M60" s="5213" t="str">
        <f t="shared" si="3"/>
        <v/>
      </c>
      <c r="N60" s="5206"/>
      <c r="O60" s="5193" t="s">
        <v>592</v>
      </c>
      <c r="P60" s="5194"/>
      <c r="Q60" s="5212"/>
      <c r="R60" s="5213" t="str">
        <f>IMAGE("https://raw.githubusercontent.com/msikma/pokesprite/master/misc/types/gen8/water.png",4,20,20)</f>
        <v/>
      </c>
      <c r="S60" s="5206"/>
      <c r="T60" s="5193" t="s">
        <v>1797</v>
      </c>
      <c r="U60" s="5194"/>
      <c r="V60" s="5212"/>
      <c r="W60" s="5213" t="str">
        <f>IMAGE("https://raw.githubusercontent.com/msikma/pokesprite/master/misc/types/gen8/grass.png",4,20,20)</f>
        <v/>
      </c>
      <c r="X60" s="5949"/>
      <c r="Y60" s="5947"/>
      <c r="Z60" s="5194"/>
      <c r="AA60" s="5212"/>
      <c r="AB60" s="5948"/>
      <c r="AC60" s="5935"/>
      <c r="AD60" s="5198"/>
      <c r="AE60" s="5194"/>
      <c r="AF60" s="5194"/>
      <c r="AG60" s="5212"/>
      <c r="AH60" s="5180"/>
      <c r="AI60" s="3452"/>
    </row>
    <row r="61" ht="20.25" customHeight="1">
      <c r="A61" s="3446"/>
      <c r="B61" s="5136"/>
      <c r="C61" s="5211"/>
      <c r="D61" s="5198"/>
      <c r="E61" s="5193" t="s">
        <v>959</v>
      </c>
      <c r="F61" s="5194"/>
      <c r="G61" s="5212"/>
      <c r="H61" s="5213" t="str">
        <f>IMAGE("https://raw.githubusercontent.com/msikma/pokesprite/master/misc/types/gen8/fairy.png",4,20,20)</f>
        <v/>
      </c>
      <c r="I61" s="5198"/>
      <c r="J61" s="5193" t="s">
        <v>579</v>
      </c>
      <c r="K61" s="5194"/>
      <c r="L61" s="5212"/>
      <c r="M61" s="5213" t="str">
        <f>IMAGE("https://raw.githubusercontent.com/msikma/pokesprite/master/misc/types/gen8/dark.png",4,20,20)</f>
        <v/>
      </c>
      <c r="N61" s="5198"/>
      <c r="O61" s="5193" t="s">
        <v>670</v>
      </c>
      <c r="P61" s="5194"/>
      <c r="Q61" s="5212"/>
      <c r="R61" s="5213" t="str">
        <f>IMAGE("https://raw.githubusercontent.com/msikma/pokesprite/master/misc/types/gen8/ice.png",4,20,20)</f>
        <v/>
      </c>
      <c r="S61" s="5198"/>
      <c r="T61" s="5193" t="s">
        <v>715</v>
      </c>
      <c r="U61" s="5194"/>
      <c r="V61" s="5212"/>
      <c r="W61" s="5213" t="str">
        <f>IMAGE("https://raw.githubusercontent.com/msikma/pokesprite/master/misc/types/gen8/dragon.png",4,20,20)</f>
        <v/>
      </c>
      <c r="X61" s="5138"/>
      <c r="Y61" s="5947"/>
      <c r="Z61" s="5194"/>
      <c r="AA61" s="5212"/>
      <c r="AB61" s="5948"/>
      <c r="AC61" s="5935"/>
      <c r="AD61" s="5198"/>
      <c r="AE61" s="5194"/>
      <c r="AF61" s="5194"/>
      <c r="AG61" s="5212"/>
      <c r="AH61" s="5180"/>
      <c r="AI61" s="3452"/>
    </row>
    <row r="62" ht="21.0" customHeight="1">
      <c r="A62" s="3446"/>
      <c r="B62" s="5136"/>
      <c r="C62" s="5211"/>
      <c r="D62" s="5198"/>
      <c r="E62" s="5216" t="s">
        <v>742</v>
      </c>
      <c r="F62" s="5217"/>
      <c r="G62" s="5218"/>
      <c r="H62" s="5219" t="str">
        <f>IMAGE("https://raw.githubusercontent.com/msikma/pokesprite/master/misc/types/gen8/grass.png",4,20,20)</f>
        <v/>
      </c>
      <c r="I62" s="5198"/>
      <c r="J62" s="5216" t="s">
        <v>545</v>
      </c>
      <c r="K62" s="5217"/>
      <c r="L62" s="5218"/>
      <c r="M62" s="5219" t="str">
        <f>IMAGE("https://raw.githubusercontent.com/msikma/pokesprite/master/misc/types/gen8/poison.png",4,20,20)</f>
        <v/>
      </c>
      <c r="N62" s="5198"/>
      <c r="O62" s="5216" t="s">
        <v>1384</v>
      </c>
      <c r="P62" s="5217"/>
      <c r="Q62" s="5218"/>
      <c r="R62" s="5219" t="str">
        <f>IMAGE("https://raw.githubusercontent.com/msikma/pokesprite/master/misc/types/gen8/psychic.png",4,20,20)</f>
        <v/>
      </c>
      <c r="S62" s="5198"/>
      <c r="T62" s="5216" t="s">
        <v>554</v>
      </c>
      <c r="U62" s="5217"/>
      <c r="V62" s="5218"/>
      <c r="W62" s="5219" t="str">
        <f>IMAGE("https://raw.githubusercontent.com/msikma/pokesprite/master/misc/types/gen8/dark.png",4,20,20)</f>
        <v/>
      </c>
      <c r="X62" s="5138"/>
      <c r="Y62" s="5947"/>
      <c r="Z62" s="5194"/>
      <c r="AA62" s="5212"/>
      <c r="AB62" s="5948"/>
      <c r="AC62" s="5950"/>
      <c r="AD62" s="5198"/>
      <c r="AE62" s="5194"/>
      <c r="AF62" s="5194"/>
      <c r="AG62" s="5212"/>
      <c r="AH62" s="5180"/>
      <c r="AI62" s="3452"/>
    </row>
    <row r="63" ht="3.0" customHeight="1">
      <c r="A63" s="3524"/>
      <c r="B63" s="5225"/>
      <c r="C63" s="5226"/>
      <c r="D63" s="5227"/>
      <c r="E63" s="5230"/>
      <c r="F63" s="5230"/>
      <c r="G63" s="5230"/>
      <c r="H63" s="5951"/>
      <c r="I63" s="5138"/>
      <c r="J63" s="5230"/>
      <c r="K63" s="5230"/>
      <c r="L63" s="5230"/>
      <c r="M63" s="5228"/>
      <c r="N63" s="5138"/>
      <c r="O63" s="5230"/>
      <c r="P63" s="5230"/>
      <c r="Q63" s="5230"/>
      <c r="R63" s="5230"/>
      <c r="S63" s="5138"/>
      <c r="T63" s="5230"/>
      <c r="U63" s="5230"/>
      <c r="V63" s="5230"/>
      <c r="W63" s="5230"/>
      <c r="X63" s="5138"/>
      <c r="Y63" s="5233"/>
      <c r="Z63" s="5233"/>
      <c r="AA63" s="5233"/>
      <c r="AB63" s="5233"/>
      <c r="AC63" s="5233"/>
      <c r="AD63" s="5233"/>
      <c r="AE63" s="5233"/>
      <c r="AF63" s="5233"/>
      <c r="AG63" s="5233"/>
      <c r="AH63" s="5234"/>
      <c r="AI63" s="3534"/>
    </row>
    <row r="64" ht="16.5" customHeight="1">
      <c r="A64" s="3535"/>
      <c r="B64" s="5235"/>
      <c r="C64" s="5236"/>
      <c r="D64" s="5270"/>
      <c r="E64" s="5238" t="s">
        <v>512</v>
      </c>
      <c r="F64" s="606"/>
      <c r="G64" s="606"/>
      <c r="H64" s="607"/>
      <c r="I64" s="5240"/>
      <c r="J64" s="5238" t="s">
        <v>512</v>
      </c>
      <c r="K64" s="606"/>
      <c r="L64" s="606"/>
      <c r="M64" s="607"/>
      <c r="N64" s="5239"/>
      <c r="O64" s="5238" t="s">
        <v>512</v>
      </c>
      <c r="P64" s="606"/>
      <c r="Q64" s="606"/>
      <c r="R64" s="607"/>
      <c r="S64" s="5240"/>
      <c r="T64" s="5238" t="s">
        <v>512</v>
      </c>
      <c r="U64" s="606"/>
      <c r="V64" s="606"/>
      <c r="W64" s="607"/>
      <c r="X64" s="5952"/>
      <c r="Y64" s="5953"/>
      <c r="Z64" s="5194"/>
      <c r="AA64" s="5212"/>
      <c r="AB64" s="5954"/>
      <c r="AC64" s="5253"/>
      <c r="AD64" s="5279"/>
      <c r="AE64" s="5279"/>
      <c r="AF64" s="5279"/>
      <c r="AG64" s="5279"/>
      <c r="AH64" s="5275"/>
      <c r="AI64" s="3543"/>
    </row>
    <row r="65" ht="16.5" customHeight="1">
      <c r="A65" s="3535"/>
      <c r="B65" s="5235"/>
      <c r="C65" s="5236"/>
      <c r="D65" s="5237"/>
      <c r="E65" s="5244" t="s">
        <v>513</v>
      </c>
      <c r="F65" s="5245">
        <f t="array" ref="F65">IFERROR(VLOOKUP(E52,Dex!$B$3:$N249,8,FALSE),"")</f>
        <v>70</v>
      </c>
      <c r="G65" s="5246" t="str">
        <f t="array" ref="G65">IFERROR(VLOOKUP(F65,Dex!$P$22:$Q$276,2,FALSE),"")</f>
        <v/>
      </c>
      <c r="H65" s="5247"/>
      <c r="I65" s="5248"/>
      <c r="J65" s="5244" t="s">
        <v>513</v>
      </c>
      <c r="K65" s="5245">
        <f t="array" ref="K65">IFERROR(VLOOKUP(J52,Dex!$B$3:$N249,8,FALSE),"")</f>
        <v>50</v>
      </c>
      <c r="L65" s="5246" t="str">
        <f t="array" ref="L65">IFERROR(VLOOKUP(K65,Dex!$P$22:$Q$276,2,FALSE),"")</f>
        <v/>
      </c>
      <c r="M65" s="5247"/>
      <c r="N65" s="5237"/>
      <c r="O65" s="5244" t="s">
        <v>513</v>
      </c>
      <c r="P65" s="5245">
        <f t="array" ref="P65">IFERROR(VLOOKUP(O52,Dex!$B$3:$N249,8,FALSE),"")</f>
        <v>130</v>
      </c>
      <c r="Q65" s="5246" t="str">
        <f t="array" ref="Q65">IFERROR(VLOOKUP(P65,Dex!$P$22:$Q$276,2,FALSE),"")</f>
        <v/>
      </c>
      <c r="R65" s="5247"/>
      <c r="S65" s="5248"/>
      <c r="T65" s="5244" t="s">
        <v>513</v>
      </c>
      <c r="U65" s="5245">
        <f t="array" ref="U65">IFERROR(VLOOKUP(T52,Dex!$B$3:$N249,8,FALSE),"")</f>
        <v>70</v>
      </c>
      <c r="V65" s="5246" t="str">
        <f t="array" ref="V65">IFERROR(VLOOKUP(U65,Dex!$P$22:$Q$276,2,FALSE),"")</f>
        <v/>
      </c>
      <c r="W65" s="5247"/>
      <c r="X65" s="5955"/>
      <c r="Y65" s="5956"/>
      <c r="Z65" s="5956"/>
      <c r="AA65" s="5957"/>
      <c r="AB65" s="5956"/>
      <c r="AC65" s="5253"/>
      <c r="AD65" s="5279"/>
      <c r="AE65" s="5279"/>
      <c r="AF65" s="5279"/>
      <c r="AG65" s="5279"/>
      <c r="AH65" s="5275"/>
      <c r="AI65" s="3543"/>
    </row>
    <row r="66" ht="16.5" customHeight="1">
      <c r="A66" s="3535"/>
      <c r="B66" s="5235"/>
      <c r="C66" s="5236"/>
      <c r="D66" s="5237"/>
      <c r="E66" s="5254" t="s">
        <v>514</v>
      </c>
      <c r="F66" s="5255">
        <f t="array" ref="F66">IFERROR(VLOOKUP(E52,Dex!$B$3:$N249,9,FALSE),"")</f>
        <v>115</v>
      </c>
      <c r="G66" s="5256" t="str">
        <f t="array" ref="G66">IFERROR(VLOOKUP(F66,Dex!$P$22:$Q$276,2,FALSE),"")</f>
        <v/>
      </c>
      <c r="H66" s="5257"/>
      <c r="I66" s="5248"/>
      <c r="J66" s="5254" t="s">
        <v>514</v>
      </c>
      <c r="K66" s="5255">
        <f t="array" ref="K66">IFERROR(VLOOKUP(J52,Dex!$B$3:$N249,9,FALSE),"")</f>
        <v>120</v>
      </c>
      <c r="L66" s="5256" t="str">
        <f t="array" ref="L66">IFERROR(VLOOKUP(K66,Dex!$P$22:$Q$276,2,FALSE),"")</f>
        <v/>
      </c>
      <c r="M66" s="5257"/>
      <c r="N66" s="5237"/>
      <c r="O66" s="5254" t="s">
        <v>514</v>
      </c>
      <c r="P66" s="5255">
        <f t="array" ref="P66">IFERROR(VLOOKUP(O52,Dex!$B$3:$N249,9,FALSE),"")</f>
        <v>65</v>
      </c>
      <c r="Q66" s="5256" t="str">
        <f t="array" ref="Q66">IFERROR(VLOOKUP(P66,Dex!$P$22:$Q$276,2,FALSE),"")</f>
        <v/>
      </c>
      <c r="R66" s="5257"/>
      <c r="S66" s="5248"/>
      <c r="T66" s="5254" t="s">
        <v>514</v>
      </c>
      <c r="U66" s="5255">
        <f t="array" ref="U66">IFERROR(VLOOKUP(T52,Dex!$B$3:$N249,9,FALSE),"")</f>
        <v>145</v>
      </c>
      <c r="V66" s="5256" t="str">
        <f t="array" ref="V66">IFERROR(VLOOKUP(U66,Dex!$P$22:$Q$276,2,FALSE),"")</f>
        <v/>
      </c>
      <c r="W66" s="5257"/>
      <c r="X66" s="5955"/>
      <c r="Y66" s="5956"/>
      <c r="Z66" s="5956"/>
      <c r="AA66" s="5957"/>
      <c r="AB66" s="5956"/>
      <c r="AC66" s="5253"/>
      <c r="AD66" s="5279"/>
      <c r="AE66" s="5279"/>
      <c r="AF66" s="5279"/>
      <c r="AG66" s="5279"/>
      <c r="AH66" s="5275"/>
      <c r="AI66" s="3543"/>
    </row>
    <row r="67" ht="16.5" customHeight="1">
      <c r="A67" s="3535"/>
      <c r="B67" s="5235"/>
      <c r="C67" s="5236"/>
      <c r="D67" s="5237"/>
      <c r="E67" s="5254" t="s">
        <v>515</v>
      </c>
      <c r="F67" s="5255">
        <f t="array" ref="F67">IFERROR(VLOOKUP(E52,Dex!$B$3:$N249,10,FALSE),"")</f>
        <v>85</v>
      </c>
      <c r="G67" s="5256" t="str">
        <f t="array" ref="G67">IFERROR(VLOOKUP(F67,Dex!$P$22:$Q$276,2,FALSE),"")</f>
        <v/>
      </c>
      <c r="H67" s="5257"/>
      <c r="I67" s="5248"/>
      <c r="J67" s="5254" t="s">
        <v>515</v>
      </c>
      <c r="K67" s="5255">
        <f t="array" ref="K67">IFERROR(VLOOKUP(J52,Dex!$B$3:$N249,10,FALSE),"")</f>
        <v>53</v>
      </c>
      <c r="L67" s="5256" t="str">
        <f t="array" ref="L67">IFERROR(VLOOKUP(K67,Dex!$P$22:$Q$276,2,FALSE),"")</f>
        <v/>
      </c>
      <c r="M67" s="5257"/>
      <c r="N67" s="5237"/>
      <c r="O67" s="5254" t="s">
        <v>515</v>
      </c>
      <c r="P67" s="5255">
        <f t="array" ref="P67">IFERROR(VLOOKUP(O52,Dex!$B$3:$N249,10,FALSE),"")</f>
        <v>60</v>
      </c>
      <c r="Q67" s="5256" t="str">
        <f t="array" ref="Q67">IFERROR(VLOOKUP(P67,Dex!$P$22:$Q$276,2,FALSE),"")</f>
        <v/>
      </c>
      <c r="R67" s="5257"/>
      <c r="S67" s="5248"/>
      <c r="T67" s="5254" t="s">
        <v>515</v>
      </c>
      <c r="U67" s="5255">
        <f t="array" ref="U67">IFERROR(VLOOKUP(T52,Dex!$B$3:$N249,10,FALSE),"")</f>
        <v>90</v>
      </c>
      <c r="V67" s="5256" t="str">
        <f t="array" ref="V67">IFERROR(VLOOKUP(U67,Dex!$P$22:$Q$276,2,FALSE),"")</f>
        <v/>
      </c>
      <c r="W67" s="5257"/>
      <c r="X67" s="5955"/>
      <c r="Y67" s="5956"/>
      <c r="Z67" s="5956"/>
      <c r="AA67" s="5957"/>
      <c r="AB67" s="5956"/>
      <c r="AC67" s="5253"/>
      <c r="AD67" s="5279"/>
      <c r="AE67" s="5279"/>
      <c r="AF67" s="5279"/>
      <c r="AG67" s="5279"/>
      <c r="AH67" s="5275"/>
      <c r="AI67" s="3543"/>
    </row>
    <row r="68" ht="16.5" customHeight="1">
      <c r="A68" s="3535"/>
      <c r="B68" s="5235"/>
      <c r="C68" s="5236"/>
      <c r="D68" s="5237"/>
      <c r="E68" s="5254" t="s">
        <v>516</v>
      </c>
      <c r="F68" s="5255">
        <f t="array" ref="F68">IFERROR(VLOOKUP(E52,Dex!$B$3:$N249,11,FALSE),"")</f>
        <v>95</v>
      </c>
      <c r="G68" s="5256" t="str">
        <f t="array" ref="G68">IFERROR(VLOOKUP(F68,Dex!$P$22:$Q$276,2,FALSE),"")</f>
        <v/>
      </c>
      <c r="H68" s="5257"/>
      <c r="I68" s="5248"/>
      <c r="J68" s="5254" t="s">
        <v>516</v>
      </c>
      <c r="K68" s="5255">
        <f t="array" ref="K68">IFERROR(VLOOKUP(J52,Dex!$B$3:$N249,11,FALSE),"")</f>
        <v>35</v>
      </c>
      <c r="L68" s="5256" t="str">
        <f t="array" ref="L68">IFERROR(VLOOKUP(K68,Dex!$P$22:$Q$276,2,FALSE),"")</f>
        <v/>
      </c>
      <c r="M68" s="5257"/>
      <c r="N68" s="5237"/>
      <c r="O68" s="5254" t="s">
        <v>516</v>
      </c>
      <c r="P68" s="5255">
        <f t="array" ref="P68">IFERROR(VLOOKUP(O52,Dex!$B$3:$N249,11,FALSE),"")</f>
        <v>110</v>
      </c>
      <c r="Q68" s="5256" t="str">
        <f t="array" ref="Q68">IFERROR(VLOOKUP(P68,Dex!$P$22:$Q$276,2,FALSE),"")</f>
        <v/>
      </c>
      <c r="R68" s="5257"/>
      <c r="S68" s="5248"/>
      <c r="T68" s="5254" t="s">
        <v>516</v>
      </c>
      <c r="U68" s="5255">
        <f t="array" ref="U68">IFERROR(VLOOKUP(T52,Dex!$B$3:$N249,11,FALSE),"")</f>
        <v>135</v>
      </c>
      <c r="V68" s="5256" t="str">
        <f t="array" ref="V68">IFERROR(VLOOKUP(U68,Dex!$P$22:$Q$276,2,FALSE),"")</f>
        <v/>
      </c>
      <c r="W68" s="5257"/>
      <c r="X68" s="5955"/>
      <c r="Y68" s="5956"/>
      <c r="Z68" s="5956"/>
      <c r="AA68" s="5957"/>
      <c r="AB68" s="5956"/>
      <c r="AC68" s="5253"/>
      <c r="AD68" s="5279"/>
      <c r="AE68" s="5279"/>
      <c r="AF68" s="5279"/>
      <c r="AG68" s="5279"/>
      <c r="AH68" s="5275"/>
      <c r="AI68" s="3543"/>
    </row>
    <row r="69" ht="16.5" customHeight="1">
      <c r="A69" s="3535"/>
      <c r="B69" s="5235"/>
      <c r="C69" s="5236"/>
      <c r="D69" s="5237"/>
      <c r="E69" s="5254" t="s">
        <v>517</v>
      </c>
      <c r="F69" s="5255">
        <f t="array" ref="F69">IFERROR(VLOOKUP(E52,Dex!$B$3:$N249,12,FALSE),"")</f>
        <v>75</v>
      </c>
      <c r="G69" s="5256" t="str">
        <f t="array" ref="G69">IFERROR(VLOOKUP(F69,Dex!$P$22:$Q$276,2,FALSE),"")</f>
        <v/>
      </c>
      <c r="H69" s="5257"/>
      <c r="I69" s="5248"/>
      <c r="J69" s="5254" t="s">
        <v>517</v>
      </c>
      <c r="K69" s="5255">
        <f t="array" ref="K69">IFERROR(VLOOKUP(J52,Dex!$B$3:$N249,12,FALSE),"")</f>
        <v>110</v>
      </c>
      <c r="L69" s="5256" t="str">
        <f t="array" ref="L69">IFERROR(VLOOKUP(K69,Dex!$P$22:$Q$276,2,FALSE),"")</f>
        <v/>
      </c>
      <c r="M69" s="5257"/>
      <c r="N69" s="5237"/>
      <c r="O69" s="5254" t="s">
        <v>517</v>
      </c>
      <c r="P69" s="5255">
        <f t="array" ref="P69">IFERROR(VLOOKUP(O52,Dex!$B$3:$N249,12,FALSE),"")</f>
        <v>95</v>
      </c>
      <c r="Q69" s="5256" t="str">
        <f t="array" ref="Q69">IFERROR(VLOOKUP(P69,Dex!$P$22:$Q$276,2,FALSE),"")</f>
        <v/>
      </c>
      <c r="R69" s="5257"/>
      <c r="S69" s="5248"/>
      <c r="T69" s="5254" t="s">
        <v>517</v>
      </c>
      <c r="U69" s="5255">
        <f t="array" ref="U69">IFERROR(VLOOKUP(T52,Dex!$B$3:$N249,12,FALSE),"")</f>
        <v>70</v>
      </c>
      <c r="V69" s="5256" t="str">
        <f t="array" ref="V69">IFERROR(VLOOKUP(U69,Dex!$P$22:$Q$276,2,FALSE),"")</f>
        <v/>
      </c>
      <c r="W69" s="5257"/>
      <c r="X69" s="5955"/>
      <c r="Y69" s="5956"/>
      <c r="Z69" s="5956"/>
      <c r="AA69" s="5957"/>
      <c r="AB69" s="5956"/>
      <c r="AC69" s="5253"/>
      <c r="AD69" s="5279"/>
      <c r="AE69" s="5279"/>
      <c r="AF69" s="5279"/>
      <c r="AG69" s="5279"/>
      <c r="AH69" s="5275"/>
      <c r="AI69" s="3543"/>
    </row>
    <row r="70" ht="16.5" customHeight="1">
      <c r="A70" s="3535"/>
      <c r="B70" s="5235"/>
      <c r="C70" s="1426" t="s">
        <v>745</v>
      </c>
      <c r="D70" s="5237"/>
      <c r="E70" s="5262" t="s">
        <v>518</v>
      </c>
      <c r="F70" s="5263">
        <f t="array" ref="F70">IFERROR(VLOOKUP(E52,Dex!$B$3:$N249,13,FALSE),"")</f>
        <v>130</v>
      </c>
      <c r="G70" s="5264" t="str">
        <f t="array" ref="G70">IFERROR(VLOOKUP(F70,Dex!$P$22:$Q$276,2,FALSE),"")</f>
        <v/>
      </c>
      <c r="H70" s="5265"/>
      <c r="I70" s="5248"/>
      <c r="J70" s="5262" t="s">
        <v>518</v>
      </c>
      <c r="K70" s="5263">
        <f t="array" ref="K70">IFERROR(VLOOKUP(J52,Dex!$B$3:$N249,13,FALSE),"")</f>
        <v>87</v>
      </c>
      <c r="L70" s="5264" t="str">
        <f t="array" ref="L70">IFERROR(VLOOKUP(K70,Dex!$P$22:$Q$276,2,FALSE),"")</f>
        <v/>
      </c>
      <c r="M70" s="5265"/>
      <c r="N70" s="5237"/>
      <c r="O70" s="5262" t="s">
        <v>518</v>
      </c>
      <c r="P70" s="5263">
        <f t="array" ref="P70">IFERROR(VLOOKUP(O52,Dex!$B$3:$N249,13,FALSE),"")</f>
        <v>65</v>
      </c>
      <c r="Q70" s="5958" t="str">
        <f t="array" ref="Q70">IFERROR(VLOOKUP(P70,Dex!$P$22:$Q$276,2,FALSE),"")</f>
        <v/>
      </c>
      <c r="R70" s="5959"/>
      <c r="S70" s="5248"/>
      <c r="T70" s="5262" t="s">
        <v>518</v>
      </c>
      <c r="U70" s="5263">
        <f t="array" ref="U70">IFERROR(VLOOKUP(T52,Dex!$B$3:$N249,13,FALSE),"")</f>
        <v>105</v>
      </c>
      <c r="V70" s="5264" t="str">
        <f t="array" ref="V70">IFERROR(VLOOKUP(U70,Dex!$P$22:$Q$276,2,FALSE),"")</f>
        <v/>
      </c>
      <c r="W70" s="5265"/>
      <c r="X70" s="5955"/>
      <c r="Y70" s="5956"/>
      <c r="Z70" s="5956"/>
      <c r="AA70" s="5957"/>
      <c r="AB70" s="5956"/>
      <c r="AC70" s="5253"/>
      <c r="AD70" s="5279"/>
      <c r="AE70" s="5279"/>
      <c r="AF70" s="5279"/>
      <c r="AG70" s="5279"/>
      <c r="AH70" s="5275"/>
      <c r="AI70" s="3543"/>
    </row>
    <row r="71" ht="16.5" customHeight="1">
      <c r="A71" s="3535"/>
      <c r="B71" s="5235"/>
      <c r="C71" s="1427" t="s">
        <v>1783</v>
      </c>
      <c r="D71" s="5270"/>
      <c r="E71" s="5271" t="s">
        <v>519</v>
      </c>
      <c r="F71" s="630"/>
      <c r="G71" s="631"/>
      <c r="H71" s="632">
        <f>ROUNDDOWN((ROUNDDOWN(((((2*F70+31)*59)/100+5)),0))*1.1,0)</f>
        <v>193</v>
      </c>
      <c r="I71" s="5270"/>
      <c r="J71" s="5272" t="s">
        <v>519</v>
      </c>
      <c r="K71" s="635"/>
      <c r="L71" s="636"/>
      <c r="M71" s="632">
        <f>ROUNDDOWN((ROUNDDOWN(((((2*K70+31)*59)/100+5)),0))*1,0)</f>
        <v>125</v>
      </c>
      <c r="N71" s="5270"/>
      <c r="O71" s="5272" t="s">
        <v>519</v>
      </c>
      <c r="P71" s="635"/>
      <c r="Q71" s="636"/>
      <c r="R71" s="632">
        <f>ROUNDDOWN((ROUNDDOWN(((((2*P70+31)*59)/100+5)),0))*1.1,0)</f>
        <v>108</v>
      </c>
      <c r="S71" s="5270"/>
      <c r="T71" s="5271" t="s">
        <v>519</v>
      </c>
      <c r="U71" s="630"/>
      <c r="V71" s="631"/>
      <c r="W71" s="632">
        <f>ROUNDDOWN((ROUNDDOWN(((((2*U70+31)*59)/100+5)),0))*1.1,0)</f>
        <v>161</v>
      </c>
      <c r="X71" s="5960"/>
      <c r="Y71" s="5961"/>
      <c r="Z71" s="5194"/>
      <c r="AA71" s="5212"/>
      <c r="AB71" s="5956"/>
      <c r="AC71" s="5253"/>
      <c r="AD71" s="5279"/>
      <c r="AE71" s="5279"/>
      <c r="AF71" s="5279"/>
      <c r="AG71" s="5279"/>
      <c r="AH71" s="5275"/>
      <c r="AI71" s="3543"/>
    </row>
    <row r="72" ht="16.5" customHeight="1">
      <c r="A72" s="3535"/>
      <c r="B72" s="5235"/>
      <c r="C72" s="5236"/>
      <c r="D72" s="5270"/>
      <c r="E72" s="5226"/>
      <c r="F72" s="5226"/>
      <c r="G72" s="5226"/>
      <c r="H72" s="5226"/>
      <c r="I72" s="5270"/>
      <c r="J72" s="5276" t="s">
        <v>594</v>
      </c>
      <c r="K72" s="643"/>
      <c r="L72" s="644"/>
      <c r="M72" s="5916">
        <f>M71*2</f>
        <v>250</v>
      </c>
      <c r="N72" s="5270"/>
      <c r="O72" s="5276" t="s">
        <v>1013</v>
      </c>
      <c r="P72" s="643"/>
      <c r="Q72" s="644"/>
      <c r="R72" s="5916">
        <f>R71*2</f>
        <v>216</v>
      </c>
      <c r="S72" s="5270"/>
      <c r="T72" s="5226"/>
      <c r="U72" s="5226"/>
      <c r="V72" s="5226"/>
      <c r="W72" s="5226"/>
      <c r="X72" s="5960"/>
      <c r="Y72" s="5962"/>
      <c r="Z72" s="5962"/>
      <c r="AA72" s="5962"/>
      <c r="AB72" s="5963"/>
      <c r="AC72" s="5253"/>
      <c r="AD72" s="5279"/>
      <c r="AE72" s="5279"/>
      <c r="AF72" s="5279"/>
      <c r="AG72" s="5279"/>
      <c r="AH72" s="5275"/>
      <c r="AI72" s="3543"/>
    </row>
    <row r="73" ht="11.25" customHeight="1">
      <c r="A73" s="3446"/>
      <c r="B73" s="5136"/>
      <c r="C73" s="5964"/>
      <c r="D73" s="5138"/>
      <c r="E73" s="5965"/>
      <c r="F73" s="5965"/>
      <c r="G73" s="5965"/>
      <c r="H73" s="5965"/>
      <c r="I73" s="5960"/>
      <c r="J73" s="5965"/>
      <c r="K73" s="5965"/>
      <c r="L73" s="5965"/>
      <c r="M73" s="5965"/>
      <c r="N73" s="5960"/>
      <c r="O73" s="5965"/>
      <c r="P73" s="5965"/>
      <c r="Q73" s="5965"/>
      <c r="R73" s="5965"/>
      <c r="S73" s="5960"/>
      <c r="T73" s="5965"/>
      <c r="U73" s="5965"/>
      <c r="V73" s="5965"/>
      <c r="W73" s="5965"/>
      <c r="X73" s="5960"/>
      <c r="Y73" s="5965"/>
      <c r="Z73" s="5965"/>
      <c r="AA73" s="5965"/>
      <c r="AB73" s="5965"/>
      <c r="AC73" s="5138"/>
      <c r="AD73" s="5138"/>
      <c r="AE73" s="5138"/>
      <c r="AF73" s="5138"/>
      <c r="AG73" s="5138"/>
      <c r="AH73" s="5180"/>
      <c r="AI73" s="3452"/>
    </row>
    <row r="74" ht="11.25" customHeight="1">
      <c r="A74" s="3446"/>
      <c r="B74" s="5136"/>
      <c r="C74" s="5964"/>
      <c r="D74" s="5138"/>
      <c r="E74" s="3250" t="s">
        <v>1315</v>
      </c>
      <c r="F74" s="3251"/>
      <c r="G74" s="3251"/>
      <c r="H74" s="3251"/>
      <c r="I74" s="3251"/>
      <c r="J74" s="3251"/>
      <c r="K74" s="3251"/>
      <c r="L74" s="3251"/>
      <c r="M74" s="3251"/>
      <c r="N74" s="3251"/>
      <c r="O74" s="3251"/>
      <c r="P74" s="3251"/>
      <c r="Q74" s="3251"/>
      <c r="R74" s="3251"/>
      <c r="S74" s="3251"/>
      <c r="T74" s="3251"/>
      <c r="U74" s="3251"/>
      <c r="V74" s="3251"/>
      <c r="W74" s="3252"/>
      <c r="X74" s="5960"/>
      <c r="Y74" s="5948"/>
      <c r="Z74" s="5948"/>
      <c r="AA74" s="5948"/>
      <c r="AB74" s="5948"/>
      <c r="AC74" s="5138"/>
      <c r="AD74" s="5138"/>
      <c r="AE74" s="5138"/>
      <c r="AF74" s="5138"/>
      <c r="AG74" s="5138"/>
      <c r="AH74" s="5180"/>
      <c r="AI74" s="3452"/>
    </row>
    <row r="75" ht="11.25" customHeight="1">
      <c r="A75" s="3446"/>
      <c r="B75" s="5136"/>
      <c r="C75" s="5964"/>
      <c r="D75" s="5138"/>
      <c r="E75" s="314"/>
      <c r="F75" s="3255"/>
      <c r="G75" s="3255"/>
      <c r="H75" s="3255"/>
      <c r="I75" s="3255"/>
      <c r="J75" s="3255"/>
      <c r="K75" s="3255"/>
      <c r="L75" s="3255"/>
      <c r="M75" s="3255"/>
      <c r="N75" s="3255"/>
      <c r="O75" s="3255"/>
      <c r="P75" s="3255"/>
      <c r="Q75" s="3255"/>
      <c r="R75" s="3255"/>
      <c r="S75" s="3255"/>
      <c r="T75" s="3255"/>
      <c r="U75" s="3255"/>
      <c r="V75" s="3255"/>
      <c r="W75" s="3256"/>
      <c r="X75" s="5960"/>
      <c r="Y75" s="5948"/>
      <c r="Z75" s="5948"/>
      <c r="AA75" s="5948"/>
      <c r="AB75" s="5948"/>
      <c r="AC75" s="5138"/>
      <c r="AD75" s="5138"/>
      <c r="AE75" s="5138"/>
      <c r="AF75" s="5138"/>
      <c r="AG75" s="5138"/>
      <c r="AH75" s="5180"/>
      <c r="AI75" s="3452"/>
    </row>
    <row r="76" ht="3.75" customHeight="1">
      <c r="A76" s="3446"/>
      <c r="B76" s="5966"/>
      <c r="C76" s="5967"/>
      <c r="D76" s="5968"/>
      <c r="E76" s="5969"/>
      <c r="F76" s="5969"/>
      <c r="G76" s="5969"/>
      <c r="H76" s="5969"/>
      <c r="I76" s="5970"/>
      <c r="J76" s="5969"/>
      <c r="K76" s="5969"/>
      <c r="L76" s="5969"/>
      <c r="M76" s="5969"/>
      <c r="N76" s="5970"/>
      <c r="O76" s="5969"/>
      <c r="P76" s="5969"/>
      <c r="Q76" s="5969"/>
      <c r="R76" s="5969"/>
      <c r="S76" s="5970"/>
      <c r="T76" s="5969"/>
      <c r="U76" s="5969"/>
      <c r="V76" s="5969"/>
      <c r="W76" s="5969"/>
      <c r="X76" s="5970"/>
      <c r="Y76" s="5969"/>
      <c r="Z76" s="5969"/>
      <c r="AA76" s="5969"/>
      <c r="AB76" s="5969"/>
      <c r="AC76" s="5968"/>
      <c r="AD76" s="5968"/>
      <c r="AE76" s="5968"/>
      <c r="AF76" s="5968"/>
      <c r="AG76" s="5968"/>
      <c r="AH76" s="5142"/>
      <c r="AI76" s="3452"/>
    </row>
    <row r="77" ht="96.75" customHeight="1">
      <c r="A77" s="3446"/>
      <c r="B77" s="5143"/>
      <c r="C77" s="5928" t="str">
        <f>IMAGE("https://i.ibb.co/bN4WBzT/Beauty.png")</f>
        <v/>
      </c>
      <c r="D77" s="5145"/>
      <c r="E77" s="5146" t="str">
        <f t="array" ref="E77">IFERROR(VLOOKUP(E78,Dex!$B$3:$G249,3,FALSE),"")</f>
        <v/>
      </c>
      <c r="F77" s="1945"/>
      <c r="G77" s="1945"/>
      <c r="H77" s="1946"/>
      <c r="I77" s="5147"/>
      <c r="J77" s="5146" t="str">
        <f t="array" ref="J77">IFERROR(VLOOKUP(J78,Dex!$B$3:$G249,3,FALSE),"")</f>
        <v/>
      </c>
      <c r="K77" s="1945"/>
      <c r="L77" s="1945"/>
      <c r="M77" s="1946"/>
      <c r="N77" s="5147"/>
      <c r="O77" s="5146" t="str">
        <f t="array" ref="O77">IFERROR(VLOOKUP(O78,Dex!$B$3:$G249,3,FALSE),"")</f>
        <v/>
      </c>
      <c r="P77" s="1945"/>
      <c r="Q77" s="1945"/>
      <c r="R77" s="1946"/>
      <c r="S77" s="5147"/>
      <c r="T77" s="5146" t="str">
        <f t="array" ref="T77">IFERROR(VLOOKUP(T78,Dex!$B$3:$G249,3,FALSE),"")</f>
        <v/>
      </c>
      <c r="U77" s="1945"/>
      <c r="V77" s="1945"/>
      <c r="W77" s="1946"/>
      <c r="X77" s="5929"/>
      <c r="Y77" s="5930"/>
      <c r="Z77" s="5194"/>
      <c r="AA77" s="5194"/>
      <c r="AB77" s="5212"/>
      <c r="AC77" s="5931"/>
      <c r="AD77" s="5198"/>
      <c r="AE77" s="5194"/>
      <c r="AF77" s="5194"/>
      <c r="AG77" s="5212"/>
      <c r="AH77" s="5180"/>
      <c r="AI77" s="3452"/>
    </row>
    <row r="78" ht="18.75" customHeight="1">
      <c r="A78" s="3689"/>
      <c r="B78" s="5151"/>
      <c r="C78" s="5932" t="s">
        <v>1798</v>
      </c>
      <c r="D78" s="5153"/>
      <c r="E78" s="5154" t="s">
        <v>1799</v>
      </c>
      <c r="F78" s="5155"/>
      <c r="G78" s="5155"/>
      <c r="H78" s="5156"/>
      <c r="I78" s="5145"/>
      <c r="J78" s="5154" t="s">
        <v>1800</v>
      </c>
      <c r="K78" s="5155"/>
      <c r="L78" s="5155"/>
      <c r="M78" s="5156"/>
      <c r="N78" s="5145"/>
      <c r="O78" s="5154" t="s">
        <v>1723</v>
      </c>
      <c r="P78" s="5155"/>
      <c r="Q78" s="5155"/>
      <c r="R78" s="5156"/>
      <c r="S78" s="5145"/>
      <c r="T78" s="5154" t="s">
        <v>1801</v>
      </c>
      <c r="U78" s="5155"/>
      <c r="V78" s="5155"/>
      <c r="W78" s="5156"/>
      <c r="X78" s="5933"/>
      <c r="Y78" s="5934"/>
      <c r="Z78" s="5194"/>
      <c r="AA78" s="5194"/>
      <c r="AB78" s="5212"/>
      <c r="AC78" s="5935"/>
      <c r="AD78" s="5936"/>
      <c r="AE78" s="5194"/>
      <c r="AF78" s="5194"/>
      <c r="AG78" s="5212"/>
      <c r="AH78" s="5937"/>
      <c r="AI78" s="3700"/>
    </row>
    <row r="79">
      <c r="A79" s="3701"/>
      <c r="B79" s="5161"/>
      <c r="C79" s="1638"/>
      <c r="D79" s="5162"/>
      <c r="E79" s="5163" t="s">
        <v>729</v>
      </c>
      <c r="F79" s="5164"/>
      <c r="G79" s="5164"/>
      <c r="H79" s="5165"/>
      <c r="I79" s="5153"/>
      <c r="J79" s="5163" t="s">
        <v>729</v>
      </c>
      <c r="K79" s="5164"/>
      <c r="L79" s="5164"/>
      <c r="M79" s="5165"/>
      <c r="N79" s="5153"/>
      <c r="O79" s="5163" t="s">
        <v>729</v>
      </c>
      <c r="P79" s="5164"/>
      <c r="Q79" s="5164"/>
      <c r="R79" s="5165"/>
      <c r="S79" s="5153"/>
      <c r="T79" s="5163" t="s">
        <v>729</v>
      </c>
      <c r="U79" s="5164"/>
      <c r="V79" s="5164"/>
      <c r="W79" s="5165"/>
      <c r="X79" s="5938"/>
      <c r="Y79" s="5939"/>
      <c r="Z79" s="5194"/>
      <c r="AA79" s="5194"/>
      <c r="AB79" s="5212"/>
      <c r="AC79" s="5935"/>
      <c r="AD79" s="5940"/>
      <c r="AE79" s="5194"/>
      <c r="AF79" s="5194"/>
      <c r="AG79" s="5212"/>
      <c r="AH79" s="5941"/>
      <c r="AI79" s="3709"/>
    </row>
    <row r="80" ht="25.5" customHeight="1">
      <c r="A80" s="3446"/>
      <c r="B80" s="5143"/>
      <c r="C80" s="1646"/>
      <c r="D80" s="5147"/>
      <c r="E80" s="5170"/>
      <c r="F80" s="5174" t="str">
        <f t="array" ref="F80">IFERROR(VLOOKUP(E78,Dex!$B$3:$H249,5,FALSE),"")</f>
        <v/>
      </c>
      <c r="G80" s="5175" t="str">
        <f t="array" ref="G80">IFERROR(VLOOKUP(E78,Dex!$B$3:$H249,7,FALSE),"")</f>
        <v/>
      </c>
      <c r="H80" s="5173"/>
      <c r="I80" s="5162"/>
      <c r="J80" s="5170"/>
      <c r="K80" s="5171" t="str">
        <f t="array" ref="K80">IFERROR(VLOOKUP(J78,Dex!$B$3:$H249,5,FALSE),"")</f>
        <v/>
      </c>
      <c r="L80" s="5172"/>
      <c r="M80" s="5173"/>
      <c r="N80" s="5162"/>
      <c r="O80" s="5170"/>
      <c r="P80" s="5171" t="str">
        <f t="array" ref="P80">IFERROR(VLOOKUP(O78,Dex!$B$3:$H249,5,FALSE),"")</f>
        <v/>
      </c>
      <c r="Q80" s="5172"/>
      <c r="R80" s="5173"/>
      <c r="S80" s="5162"/>
      <c r="T80" s="5170"/>
      <c r="U80" s="5174" t="str">
        <f t="array" ref="U80">IFERROR(VLOOKUP(T78,Dex!$B$3:$H249,5,FALSE),"")</f>
        <v/>
      </c>
      <c r="V80" s="5175" t="str">
        <f t="array" ref="V80">IFERROR(VLOOKUP(T78,Dex!$B$3:$H249,7,FALSE),"")</f>
        <v/>
      </c>
      <c r="W80" s="5173"/>
      <c r="X80" s="5942"/>
      <c r="Y80" s="5943"/>
      <c r="Z80" s="5944"/>
      <c r="AA80" s="5212"/>
      <c r="AB80" s="5945"/>
      <c r="AC80" s="5935"/>
      <c r="AD80" s="5946"/>
      <c r="AE80" s="5194"/>
      <c r="AF80" s="5194"/>
      <c r="AG80" s="5212"/>
      <c r="AH80" s="5180"/>
      <c r="AI80" s="3452"/>
    </row>
    <row r="81" ht="2.25" customHeight="1">
      <c r="A81" s="3446"/>
      <c r="B81" s="5143"/>
      <c r="C81" s="5205"/>
      <c r="D81" s="5147"/>
      <c r="E81" s="5181"/>
      <c r="F81" s="5182"/>
      <c r="G81" s="5182"/>
      <c r="H81" s="5183"/>
      <c r="I81" s="5147"/>
      <c r="J81" s="5181"/>
      <c r="K81" s="5182"/>
      <c r="L81" s="5182"/>
      <c r="M81" s="5183"/>
      <c r="N81" s="5147"/>
      <c r="O81" s="5181"/>
      <c r="P81" s="5182"/>
      <c r="Q81" s="5182"/>
      <c r="R81" s="5183"/>
      <c r="S81" s="5147"/>
      <c r="T81" s="5181"/>
      <c r="U81" s="5182"/>
      <c r="V81" s="5182"/>
      <c r="W81" s="5183"/>
      <c r="X81" s="5138"/>
      <c r="Y81" s="5943"/>
      <c r="Z81" s="5945"/>
      <c r="AA81" s="5945"/>
      <c r="AB81" s="5945"/>
      <c r="AC81" s="5935"/>
      <c r="AD81" s="5138"/>
      <c r="AE81" s="5138"/>
      <c r="AF81" s="5138"/>
      <c r="AG81" s="5138"/>
      <c r="AH81" s="5180"/>
      <c r="AI81" s="3452"/>
    </row>
    <row r="82" ht="20.25" customHeight="1">
      <c r="A82" s="3446"/>
      <c r="B82" s="5143"/>
      <c r="C82" s="5205"/>
      <c r="D82" s="5147"/>
      <c r="E82" s="5187" t="s">
        <v>532</v>
      </c>
      <c r="F82" s="5188"/>
      <c r="G82" s="5188"/>
      <c r="H82" s="5189"/>
      <c r="I82" s="5147"/>
      <c r="J82" s="5187" t="s">
        <v>566</v>
      </c>
      <c r="K82" s="5188"/>
      <c r="L82" s="5188"/>
      <c r="M82" s="5189"/>
      <c r="N82" s="5147"/>
      <c r="O82" s="5187" t="s">
        <v>532</v>
      </c>
      <c r="P82" s="5188"/>
      <c r="Q82" s="5188"/>
      <c r="R82" s="5189"/>
      <c r="S82" s="5147"/>
      <c r="T82" s="5187" t="s">
        <v>531</v>
      </c>
      <c r="U82" s="5188"/>
      <c r="V82" s="5188"/>
      <c r="W82" s="5189"/>
      <c r="X82" s="5929"/>
      <c r="Y82" s="5947"/>
      <c r="Z82" s="5194"/>
      <c r="AA82" s="5194"/>
      <c r="AB82" s="5212"/>
      <c r="AC82" s="5935"/>
      <c r="AD82" s="5198"/>
      <c r="AE82" s="5194"/>
      <c r="AF82" s="5194"/>
      <c r="AG82" s="5212"/>
      <c r="AH82" s="5180"/>
      <c r="AI82" s="3452"/>
    </row>
    <row r="83">
      <c r="A83" s="3446"/>
      <c r="B83" s="5143"/>
      <c r="C83" s="5205"/>
      <c r="D83" s="5147"/>
      <c r="E83" s="5193" t="s">
        <v>1132</v>
      </c>
      <c r="F83" s="5194"/>
      <c r="G83" s="5194"/>
      <c r="H83" s="5195"/>
      <c r="I83" s="5147"/>
      <c r="J83" s="5193" t="s">
        <v>1802</v>
      </c>
      <c r="K83" s="5194"/>
      <c r="L83" s="5194"/>
      <c r="M83" s="5195"/>
      <c r="N83" s="5147"/>
      <c r="O83" s="5193" t="s">
        <v>1725</v>
      </c>
      <c r="P83" s="5194"/>
      <c r="Q83" s="5194"/>
      <c r="R83" s="5195"/>
      <c r="S83" s="5147"/>
      <c r="T83" s="5193" t="s">
        <v>1803</v>
      </c>
      <c r="U83" s="5194"/>
      <c r="V83" s="5194"/>
      <c r="W83" s="5195"/>
      <c r="X83" s="5929"/>
      <c r="Y83" s="5947"/>
      <c r="Z83" s="5194"/>
      <c r="AA83" s="5194"/>
      <c r="AB83" s="5212"/>
      <c r="AC83" s="5935"/>
      <c r="AD83" s="5198"/>
      <c r="AE83" s="5194"/>
      <c r="AF83" s="5194"/>
      <c r="AG83" s="5212"/>
      <c r="AH83" s="5180"/>
      <c r="AI83" s="3452"/>
    </row>
    <row r="84" ht="20.25" customHeight="1">
      <c r="A84" s="3446"/>
      <c r="B84" s="5136"/>
      <c r="C84" s="5205"/>
      <c r="D84" s="5198"/>
      <c r="E84" s="5199" t="s">
        <v>573</v>
      </c>
      <c r="F84" s="5140"/>
      <c r="G84" s="5141"/>
      <c r="H84" s="5200" t="str">
        <f>IMAGE("https://raw.githubusercontent.com/msikma/pokesprite/master/items/hold-item/focus-sash.png",3)</f>
        <v/>
      </c>
      <c r="I84" s="5147"/>
      <c r="J84" s="5199" t="s">
        <v>638</v>
      </c>
      <c r="K84" s="5140"/>
      <c r="L84" s="5141"/>
      <c r="M84" s="5200" t="str">
        <f>IMAGE("https://raw.githubusercontent.com/msikma/pokesprite/master/items/z-crystals/fightinium-z--held.png",3)</f>
        <v/>
      </c>
      <c r="N84" s="5147"/>
      <c r="O84" s="5199" t="s">
        <v>541</v>
      </c>
      <c r="P84" s="5140"/>
      <c r="Q84" s="5141"/>
      <c r="R84" s="5200" t="str">
        <f>IMAGE("https://raw.githubusercontent.com/msikma/pokesprite/master/items/hold-item/life-orb.png",3)</f>
        <v/>
      </c>
      <c r="S84" s="5147"/>
      <c r="T84" s="5199" t="s">
        <v>1796</v>
      </c>
      <c r="U84" s="5140"/>
      <c r="V84" s="5141"/>
      <c r="W84" s="5200" t="str">
        <f>IMAGE("https://raw.githubusercontent.com/msikma/pokesprite/master/items/mega-stone/venusaurite.png",3)</f>
        <v/>
      </c>
      <c r="X84" s="5138"/>
      <c r="Y84" s="5947"/>
      <c r="Z84" s="5194"/>
      <c r="AA84" s="5212"/>
      <c r="AB84" s="5948"/>
      <c r="AC84" s="5935"/>
      <c r="AD84" s="5198"/>
      <c r="AE84" s="5194"/>
      <c r="AF84" s="5194"/>
      <c r="AG84" s="5212"/>
      <c r="AH84" s="5180"/>
      <c r="AI84" s="3452"/>
    </row>
    <row r="85" ht="20.25" customHeight="1">
      <c r="A85" s="3446"/>
      <c r="B85" s="5136"/>
      <c r="C85" s="5205"/>
      <c r="D85" s="5206"/>
      <c r="E85" s="5187" t="s">
        <v>1146</v>
      </c>
      <c r="F85" s="5188"/>
      <c r="G85" s="5207"/>
      <c r="H85" s="5208" t="str">
        <f>IMAGE("https://raw.githubusercontent.com/msikma/pokesprite/master/misc/types/gen8/dark.png",4,20,20)</f>
        <v/>
      </c>
      <c r="I85" s="5198"/>
      <c r="J85" s="5187" t="s">
        <v>274</v>
      </c>
      <c r="K85" s="5188"/>
      <c r="L85" s="5207"/>
      <c r="M85" s="5208" t="str">
        <f t="shared" ref="M85:M86" si="4">IMAGE("https://raw.githubusercontent.com/msikma/pokesprite/master/misc/types/gen8/steel.png",4,20,20)</f>
        <v/>
      </c>
      <c r="N85" s="5198"/>
      <c r="O85" s="5187" t="s">
        <v>1221</v>
      </c>
      <c r="P85" s="5188"/>
      <c r="Q85" s="5207"/>
      <c r="R85" s="5208" t="str">
        <f>IMAGE("https://raw.githubusercontent.com/msikma/pokesprite/master/misc/types/gen8/fire.png",4,20,20)</f>
        <v/>
      </c>
      <c r="S85" s="5198"/>
      <c r="T85" s="5187" t="s">
        <v>715</v>
      </c>
      <c r="U85" s="5188"/>
      <c r="V85" s="5207"/>
      <c r="W85" s="5208" t="str">
        <f>IMAGE("https://raw.githubusercontent.com/msikma/pokesprite/master/misc/types/gen8/dragon.png",4,20,20)</f>
        <v/>
      </c>
      <c r="X85" s="5138"/>
      <c r="Y85" s="5947"/>
      <c r="Z85" s="5194"/>
      <c r="AA85" s="5212"/>
      <c r="AB85" s="5948"/>
      <c r="AC85" s="5935"/>
      <c r="AD85" s="5198"/>
      <c r="AE85" s="5194"/>
      <c r="AF85" s="5194"/>
      <c r="AG85" s="5212"/>
      <c r="AH85" s="5180"/>
      <c r="AI85" s="3452"/>
    </row>
    <row r="86" ht="20.25" customHeight="1">
      <c r="A86" s="3446"/>
      <c r="B86" s="5136"/>
      <c r="C86" s="5211"/>
      <c r="D86" s="5198"/>
      <c r="E86" s="5193" t="s">
        <v>693</v>
      </c>
      <c r="F86" s="5194"/>
      <c r="G86" s="5212"/>
      <c r="H86" s="5213" t="str">
        <f>IMAGE("https://raw.githubusercontent.com/msikma/pokesprite/master/misc/types/gen8/flying.png",4,20,20)</f>
        <v/>
      </c>
      <c r="I86" s="5206"/>
      <c r="J86" s="5193" t="s">
        <v>1804</v>
      </c>
      <c r="K86" s="5194"/>
      <c r="L86" s="5212"/>
      <c r="M86" s="5213" t="str">
        <f t="shared" si="4"/>
        <v/>
      </c>
      <c r="N86" s="5206"/>
      <c r="O86" s="5193" t="s">
        <v>612</v>
      </c>
      <c r="P86" s="5194"/>
      <c r="Q86" s="5212"/>
      <c r="R86" s="5213" t="str">
        <f>IMAGE("https://raw.githubusercontent.com/msikma/pokesprite/master/misc/types/gen8/bug.png",4,20,20)</f>
        <v/>
      </c>
      <c r="S86" s="5206"/>
      <c r="T86" s="5193" t="s">
        <v>1532</v>
      </c>
      <c r="U86" s="5194"/>
      <c r="V86" s="5212"/>
      <c r="W86" s="5213" t="str">
        <f>IMAGE("https://raw.githubusercontent.com/msikma/pokesprite/master/misc/types/gen8/fighting.png",4,20,20)</f>
        <v/>
      </c>
      <c r="X86" s="5949"/>
      <c r="Y86" s="5947"/>
      <c r="Z86" s="5194"/>
      <c r="AA86" s="5212"/>
      <c r="AB86" s="5948"/>
      <c r="AC86" s="5935"/>
      <c r="AD86" s="5198"/>
      <c r="AE86" s="5194"/>
      <c r="AF86" s="5194"/>
      <c r="AG86" s="5212"/>
      <c r="AH86" s="5180"/>
      <c r="AI86" s="3452"/>
    </row>
    <row r="87" ht="20.25" customHeight="1">
      <c r="A87" s="3446"/>
      <c r="B87" s="5136"/>
      <c r="C87" s="5211"/>
      <c r="D87" s="5198"/>
      <c r="E87" s="5193" t="s">
        <v>928</v>
      </c>
      <c r="F87" s="5194"/>
      <c r="G87" s="5212"/>
      <c r="H87" s="5213" t="str">
        <f>IMAGE("https://raw.githubusercontent.com/msikma/pokesprite/master/misc/types/gen8/normal.png",4,20,20)</f>
        <v/>
      </c>
      <c r="I87" s="5198"/>
      <c r="J87" s="5193" t="s">
        <v>1805</v>
      </c>
      <c r="K87" s="5194"/>
      <c r="L87" s="5212"/>
      <c r="M87" s="5213" t="str">
        <f>IMAGE("https://raw.githubusercontent.com/msikma/pokesprite/master/misc/types/gen8/electric.png",4,20,20)</f>
        <v/>
      </c>
      <c r="N87" s="5198"/>
      <c r="O87" s="5193" t="s">
        <v>1728</v>
      </c>
      <c r="P87" s="5194"/>
      <c r="Q87" s="5212"/>
      <c r="R87" s="5213" t="str">
        <f>IMAGE("https://raw.githubusercontent.com/msikma/pokesprite/master/misc/types/gen8/fighting.png",4,20,20)</f>
        <v/>
      </c>
      <c r="S87" s="5198"/>
      <c r="T87" s="5193" t="s">
        <v>784</v>
      </c>
      <c r="U87" s="5194"/>
      <c r="V87" s="5212"/>
      <c r="W87" s="5213" t="str">
        <f>IMAGE("https://raw.githubusercontent.com/msikma/pokesprite/master/misc/types/gen8/grass.png",4,20,20)</f>
        <v/>
      </c>
      <c r="X87" s="5138"/>
      <c r="Y87" s="5947"/>
      <c r="Z87" s="5194"/>
      <c r="AA87" s="5212"/>
      <c r="AB87" s="5948"/>
      <c r="AC87" s="5935"/>
      <c r="AD87" s="5198"/>
      <c r="AE87" s="5194"/>
      <c r="AF87" s="5194"/>
      <c r="AG87" s="5212"/>
      <c r="AH87" s="5180"/>
      <c r="AI87" s="3452"/>
    </row>
    <row r="88" ht="21.0" customHeight="1">
      <c r="A88" s="3446"/>
      <c r="B88" s="5136"/>
      <c r="C88" s="5211"/>
      <c r="D88" s="5198"/>
      <c r="E88" s="5216" t="s">
        <v>1583</v>
      </c>
      <c r="F88" s="5217"/>
      <c r="G88" s="5218"/>
      <c r="H88" s="5219" t="str">
        <f>IMAGE("https://raw.githubusercontent.com/msikma/pokesprite/master/misc/types/gen8/fighting.png",4,20,20)</f>
        <v/>
      </c>
      <c r="I88" s="5198"/>
      <c r="J88" s="5216" t="s">
        <v>1532</v>
      </c>
      <c r="K88" s="5217"/>
      <c r="L88" s="5218"/>
      <c r="M88" s="5219" t="str">
        <f>IMAGE("https://raw.githubusercontent.com/msikma/pokesprite/master/misc/types/gen8/fighting.png",4,20,20)</f>
        <v/>
      </c>
      <c r="N88" s="5198"/>
      <c r="O88" s="5216" t="s">
        <v>554</v>
      </c>
      <c r="P88" s="5217"/>
      <c r="Q88" s="5218"/>
      <c r="R88" s="5219" t="str">
        <f>IMAGE("https://raw.githubusercontent.com/msikma/pokesprite/master/misc/types/gen8/dark.png",4,20,20)</f>
        <v/>
      </c>
      <c r="S88" s="5198"/>
      <c r="T88" s="5216" t="s">
        <v>501</v>
      </c>
      <c r="U88" s="5217"/>
      <c r="V88" s="5218"/>
      <c r="W88" s="5219" t="str">
        <f>IMAGE("https://raw.githubusercontent.com/msikma/pokesprite/master/misc/types/gen8/normal.png",4,20,20)</f>
        <v/>
      </c>
      <c r="X88" s="5138"/>
      <c r="Y88" s="5947"/>
      <c r="Z88" s="5194"/>
      <c r="AA88" s="5212"/>
      <c r="AB88" s="5948"/>
      <c r="AC88" s="5950"/>
      <c r="AD88" s="5198"/>
      <c r="AE88" s="5194"/>
      <c r="AF88" s="5194"/>
      <c r="AG88" s="5212"/>
      <c r="AH88" s="5180"/>
      <c r="AI88" s="3452"/>
    </row>
    <row r="89" ht="3.0" customHeight="1">
      <c r="A89" s="3524"/>
      <c r="B89" s="5225"/>
      <c r="C89" s="5226"/>
      <c r="D89" s="5227"/>
      <c r="E89" s="5230"/>
      <c r="F89" s="5230"/>
      <c r="G89" s="5230"/>
      <c r="H89" s="5229"/>
      <c r="I89" s="5138"/>
      <c r="J89" s="5230"/>
      <c r="K89" s="5230"/>
      <c r="L89" s="5230"/>
      <c r="M89" s="5228"/>
      <c r="N89" s="5138"/>
      <c r="O89" s="5230"/>
      <c r="P89" s="5230"/>
      <c r="Q89" s="5230"/>
      <c r="R89" s="5228"/>
      <c r="S89" s="5138"/>
      <c r="T89" s="5230"/>
      <c r="U89" s="5230"/>
      <c r="V89" s="5230"/>
      <c r="W89" s="5228"/>
      <c r="X89" s="5138"/>
      <c r="Y89" s="5233"/>
      <c r="Z89" s="5233"/>
      <c r="AA89" s="5233"/>
      <c r="AB89" s="5233"/>
      <c r="AC89" s="5233"/>
      <c r="AD89" s="5233"/>
      <c r="AE89" s="5233"/>
      <c r="AF89" s="5233"/>
      <c r="AG89" s="5233"/>
      <c r="AH89" s="5234"/>
      <c r="AI89" s="3534"/>
    </row>
    <row r="90" ht="16.5" customHeight="1">
      <c r="A90" s="3535"/>
      <c r="B90" s="5235"/>
      <c r="C90" s="5236"/>
      <c r="D90" s="5270"/>
      <c r="E90" s="5238" t="s">
        <v>512</v>
      </c>
      <c r="F90" s="606"/>
      <c r="G90" s="606"/>
      <c r="H90" s="607"/>
      <c r="I90" s="5239"/>
      <c r="J90" s="5238" t="s">
        <v>512</v>
      </c>
      <c r="K90" s="606"/>
      <c r="L90" s="606"/>
      <c r="M90" s="607"/>
      <c r="N90" s="5239"/>
      <c r="O90" s="5238" t="s">
        <v>512</v>
      </c>
      <c r="P90" s="606"/>
      <c r="Q90" s="606"/>
      <c r="R90" s="607"/>
      <c r="S90" s="5239"/>
      <c r="T90" s="5238" t="s">
        <v>512</v>
      </c>
      <c r="U90" s="606"/>
      <c r="V90" s="606"/>
      <c r="W90" s="607"/>
      <c r="X90" s="5227"/>
      <c r="Y90" s="5953"/>
      <c r="Z90" s="5194"/>
      <c r="AA90" s="5212"/>
      <c r="AB90" s="5954"/>
      <c r="AC90" s="5253"/>
      <c r="AD90" s="5279"/>
      <c r="AE90" s="5279"/>
      <c r="AF90" s="5279"/>
      <c r="AG90" s="5279"/>
      <c r="AH90" s="5275"/>
      <c r="AI90" s="3543"/>
    </row>
    <row r="91" ht="16.5" customHeight="1">
      <c r="A91" s="3535"/>
      <c r="B91" s="5235"/>
      <c r="C91" s="5236"/>
      <c r="D91" s="5237"/>
      <c r="E91" s="5244" t="s">
        <v>513</v>
      </c>
      <c r="F91" s="5245">
        <f t="array" ref="F91">IFERROR(VLOOKUP(E78,Dex!$B$3:$N249,8,FALSE),"")</f>
        <v>60</v>
      </c>
      <c r="G91" s="5246" t="str">
        <f t="array" ref="G91">IFERROR(VLOOKUP(F91,Dex!$P$22:$Q$276,2,FALSE),"")</f>
        <v/>
      </c>
      <c r="H91" s="5247"/>
      <c r="I91" s="5237"/>
      <c r="J91" s="5244" t="s">
        <v>513</v>
      </c>
      <c r="K91" s="5245">
        <f t="array" ref="K91">IFERROR(VLOOKUP(J78,Dex!$B$3:$N249,8,FALSE),"")</f>
        <v>60</v>
      </c>
      <c r="L91" s="5246" t="str">
        <f t="array" ref="L91">IFERROR(VLOOKUP(K91,Dex!$P$22:$Q$276,2,FALSE),"")</f>
        <v/>
      </c>
      <c r="M91" s="5247"/>
      <c r="N91" s="5237"/>
      <c r="O91" s="5244" t="s">
        <v>513</v>
      </c>
      <c r="P91" s="5245">
        <f t="array" ref="P91">IFERROR(VLOOKUP(O78,Dex!$B$3:$N249,8,FALSE),"")</f>
        <v>80</v>
      </c>
      <c r="Q91" s="5246" t="str">
        <f t="array" ref="Q91">IFERROR(VLOOKUP(P91,Dex!$P$22:$Q$276,2,FALSE),"")</f>
        <v/>
      </c>
      <c r="R91" s="5247"/>
      <c r="S91" s="5270"/>
      <c r="T91" s="5244" t="s">
        <v>513</v>
      </c>
      <c r="U91" s="5245">
        <f t="array" ref="U91">IFERROR(VLOOKUP(T78,Dex!$B$3:$N249,8,FALSE),"")</f>
        <v>110</v>
      </c>
      <c r="V91" s="5246" t="str">
        <f t="array" ref="V91">IFERROR(VLOOKUP(U91,Dex!$P$22:$Q$276,2,FALSE),"")</f>
        <v/>
      </c>
      <c r="W91" s="5247"/>
      <c r="X91" s="5960"/>
      <c r="Y91" s="5956"/>
      <c r="Z91" s="5956"/>
      <c r="AA91" s="5957"/>
      <c r="AB91" s="5956"/>
      <c r="AC91" s="5253"/>
      <c r="AD91" s="5279"/>
      <c r="AE91" s="5279"/>
      <c r="AF91" s="5279"/>
      <c r="AG91" s="5279"/>
      <c r="AH91" s="5275"/>
      <c r="AI91" s="3543"/>
    </row>
    <row r="92" ht="16.5" customHeight="1">
      <c r="A92" s="3535"/>
      <c r="B92" s="5235"/>
      <c r="C92" s="5236"/>
      <c r="D92" s="5237"/>
      <c r="E92" s="5254" t="s">
        <v>514</v>
      </c>
      <c r="F92" s="5255">
        <f t="array" ref="F92">IFERROR(VLOOKUP(E78,Dex!$B$3:$N249,9,FALSE),"")</f>
        <v>110</v>
      </c>
      <c r="G92" s="5256" t="str">
        <f t="array" ref="G92">IFERROR(VLOOKUP(F92,Dex!$P$22:$Q$276,2,FALSE),"")</f>
        <v/>
      </c>
      <c r="H92" s="5257"/>
      <c r="I92" s="5237"/>
      <c r="J92" s="5254" t="s">
        <v>514</v>
      </c>
      <c r="K92" s="5255">
        <f t="array" ref="K92">IFERROR(VLOOKUP(J78,Dex!$B$3:$N249,9,FALSE),"")</f>
        <v>100</v>
      </c>
      <c r="L92" s="5256" t="str">
        <f t="array" ref="L92">IFERROR(VLOOKUP(K92,Dex!$P$22:$Q$276,2,FALSE),"")</f>
        <v/>
      </c>
      <c r="M92" s="5257"/>
      <c r="N92" s="5237"/>
      <c r="O92" s="5254" t="s">
        <v>514</v>
      </c>
      <c r="P92" s="5255">
        <f t="array" ref="P92">IFERROR(VLOOKUP(O78,Dex!$B$3:$N249,9,FALSE),"")</f>
        <v>116</v>
      </c>
      <c r="Q92" s="5256" t="str">
        <f t="array" ref="Q92">IFERROR(VLOOKUP(P92,Dex!$P$22:$Q$276,2,FALSE),"")</f>
        <v/>
      </c>
      <c r="R92" s="5257"/>
      <c r="S92" s="5270"/>
      <c r="T92" s="5254" t="s">
        <v>514</v>
      </c>
      <c r="U92" s="5255">
        <f t="array" ref="U92">IFERROR(VLOOKUP(T78,Dex!$B$3:$N249,9,FALSE),"")</f>
        <v>105</v>
      </c>
      <c r="V92" s="5256" t="str">
        <f t="array" ref="V92">IFERROR(VLOOKUP(U92,Dex!$P$22:$Q$276,2,FALSE),"")</f>
        <v/>
      </c>
      <c r="W92" s="5257"/>
      <c r="X92" s="5960"/>
      <c r="Y92" s="5956"/>
      <c r="Z92" s="5956"/>
      <c r="AA92" s="5957"/>
      <c r="AB92" s="5956"/>
      <c r="AC92" s="5253"/>
      <c r="AD92" s="5279"/>
      <c r="AE92" s="5279"/>
      <c r="AF92" s="5279"/>
      <c r="AG92" s="5279"/>
      <c r="AH92" s="5275"/>
      <c r="AI92" s="3543"/>
    </row>
    <row r="93" ht="16.5" customHeight="1">
      <c r="A93" s="3535"/>
      <c r="B93" s="5235"/>
      <c r="C93" s="5236"/>
      <c r="D93" s="5237"/>
      <c r="E93" s="5254" t="s">
        <v>515</v>
      </c>
      <c r="F93" s="5255">
        <f t="array" ref="F93">IFERROR(VLOOKUP(E78,Dex!$B$3:$N249,10,FALSE),"")</f>
        <v>70</v>
      </c>
      <c r="G93" s="5256" t="str">
        <f t="array" ref="G93">IFERROR(VLOOKUP(F93,Dex!$P$22:$Q$276,2,FALSE),"")</f>
        <v/>
      </c>
      <c r="H93" s="5257"/>
      <c r="I93" s="5237"/>
      <c r="J93" s="5254" t="s">
        <v>515</v>
      </c>
      <c r="K93" s="5255">
        <f t="array" ref="K93">IFERROR(VLOOKUP(J78,Dex!$B$3:$N249,10,FALSE),"")</f>
        <v>115</v>
      </c>
      <c r="L93" s="5256" t="str">
        <f t="array" ref="L93">IFERROR(VLOOKUP(K93,Dex!$P$22:$Q$276,2,FALSE),"")</f>
        <v/>
      </c>
      <c r="M93" s="5257"/>
      <c r="N93" s="5237"/>
      <c r="O93" s="5254" t="s">
        <v>515</v>
      </c>
      <c r="P93" s="5255">
        <f t="array" ref="P93">IFERROR(VLOOKUP(O78,Dex!$B$3:$N249,10,FALSE),"")</f>
        <v>75</v>
      </c>
      <c r="Q93" s="5256" t="str">
        <f t="array" ref="Q93">IFERROR(VLOOKUP(P93,Dex!$P$22:$Q$276,2,FALSE),"")</f>
        <v/>
      </c>
      <c r="R93" s="5257"/>
      <c r="S93" s="5270"/>
      <c r="T93" s="5254" t="s">
        <v>515</v>
      </c>
      <c r="U93" s="5255">
        <f t="array" ref="U93">IFERROR(VLOOKUP(T78,Dex!$B$3:$N249,10,FALSE),"")</f>
        <v>100</v>
      </c>
      <c r="V93" s="5256" t="str">
        <f t="array" ref="V93">IFERROR(VLOOKUP(U93,Dex!$P$22:$Q$276,2,FALSE),"")</f>
        <v/>
      </c>
      <c r="W93" s="5257"/>
      <c r="X93" s="5960"/>
      <c r="Y93" s="5956"/>
      <c r="Z93" s="5956"/>
      <c r="AA93" s="5957"/>
      <c r="AB93" s="5956"/>
      <c r="AC93" s="5253"/>
      <c r="AD93" s="5279"/>
      <c r="AE93" s="5279"/>
      <c r="AF93" s="5279"/>
      <c r="AG93" s="5279"/>
      <c r="AH93" s="5275"/>
      <c r="AI93" s="3543"/>
    </row>
    <row r="94" ht="16.5" customHeight="1">
      <c r="A94" s="3535"/>
      <c r="B94" s="5235"/>
      <c r="C94" s="5236"/>
      <c r="D94" s="5237"/>
      <c r="E94" s="5254" t="s">
        <v>516</v>
      </c>
      <c r="F94" s="5255">
        <f t="array" ref="F94">IFERROR(VLOOKUP(E78,Dex!$B$3:$N249,11,FALSE),"")</f>
        <v>60</v>
      </c>
      <c r="G94" s="5256" t="str">
        <f t="array" ref="G94">IFERROR(VLOOKUP(F94,Dex!$P$22:$Q$276,2,FALSE),"")</f>
        <v/>
      </c>
      <c r="H94" s="5257"/>
      <c r="I94" s="5237"/>
      <c r="J94" s="5254" t="s">
        <v>516</v>
      </c>
      <c r="K94" s="5255">
        <f t="array" ref="K94">IFERROR(VLOOKUP(J78,Dex!$B$3:$N249,11,FALSE),"")</f>
        <v>70</v>
      </c>
      <c r="L94" s="5256" t="str">
        <f t="array" ref="L94">IFERROR(VLOOKUP(K94,Dex!$P$22:$Q$276,2,FALSE),"")</f>
        <v/>
      </c>
      <c r="M94" s="5257"/>
      <c r="N94" s="5237"/>
      <c r="O94" s="5254" t="s">
        <v>516</v>
      </c>
      <c r="P94" s="5255">
        <f t="array" ref="P94">IFERROR(VLOOKUP(O78,Dex!$B$3:$N249,11,FALSE),"")</f>
        <v>65</v>
      </c>
      <c r="Q94" s="5256" t="str">
        <f t="array" ref="Q94">IFERROR(VLOOKUP(P94,Dex!$P$22:$Q$276,2,FALSE),"")</f>
        <v/>
      </c>
      <c r="R94" s="5257"/>
      <c r="S94" s="5270"/>
      <c r="T94" s="5254" t="s">
        <v>516</v>
      </c>
      <c r="U94" s="5255">
        <f t="array" ref="U94">IFERROR(VLOOKUP(T78,Dex!$B$3:$N249,11,FALSE),"")</f>
        <v>135</v>
      </c>
      <c r="V94" s="5256" t="str">
        <f t="array" ref="V94">IFERROR(VLOOKUP(U94,Dex!$P$22:$Q$276,2,FALSE),"")</f>
        <v/>
      </c>
      <c r="W94" s="5257"/>
      <c r="X94" s="5960"/>
      <c r="Y94" s="5956"/>
      <c r="Z94" s="5956"/>
      <c r="AA94" s="5957"/>
      <c r="AB94" s="5956"/>
      <c r="AC94" s="5253"/>
      <c r="AD94" s="5279"/>
      <c r="AE94" s="5279"/>
      <c r="AF94" s="5279"/>
      <c r="AG94" s="5279"/>
      <c r="AH94" s="5275"/>
      <c r="AI94" s="3543"/>
    </row>
    <row r="95" ht="16.5" customHeight="1">
      <c r="A95" s="3535"/>
      <c r="B95" s="5235"/>
      <c r="C95" s="5236"/>
      <c r="D95" s="5237"/>
      <c r="E95" s="5254" t="s">
        <v>517</v>
      </c>
      <c r="F95" s="5255">
        <f t="array" ref="F95">IFERROR(VLOOKUP(E78,Dex!$B$3:$N249,12,FALSE),"")</f>
        <v>60</v>
      </c>
      <c r="G95" s="5256" t="str">
        <f t="array" ref="G95">IFERROR(VLOOKUP(F95,Dex!$P$22:$Q$276,2,FALSE),"")</f>
        <v/>
      </c>
      <c r="H95" s="5257"/>
      <c r="I95" s="5237"/>
      <c r="J95" s="5254" t="s">
        <v>517</v>
      </c>
      <c r="K95" s="5255">
        <f t="array" ref="K95">IFERROR(VLOOKUP(J78,Dex!$B$3:$N249,12,FALSE),"")</f>
        <v>85</v>
      </c>
      <c r="L95" s="5256" t="str">
        <f t="array" ref="L95">IFERROR(VLOOKUP(K95,Dex!$P$22:$Q$276,2,FALSE),"")</f>
        <v/>
      </c>
      <c r="M95" s="5257"/>
      <c r="N95" s="5237"/>
      <c r="O95" s="5254" t="s">
        <v>517</v>
      </c>
      <c r="P95" s="5255">
        <f t="array" ref="P95">IFERROR(VLOOKUP(O78,Dex!$B$3:$N249,12,FALSE),"")</f>
        <v>75</v>
      </c>
      <c r="Q95" s="5256" t="str">
        <f t="array" ref="Q95">IFERROR(VLOOKUP(P95,Dex!$P$22:$Q$276,2,FALSE),"")</f>
        <v/>
      </c>
      <c r="R95" s="5257"/>
      <c r="S95" s="5270"/>
      <c r="T95" s="5254" t="s">
        <v>517</v>
      </c>
      <c r="U95" s="5255">
        <f t="array" ref="U95">IFERROR(VLOOKUP(T78,Dex!$B$3:$N249,12,FALSE),"")</f>
        <v>100</v>
      </c>
      <c r="V95" s="5256" t="str">
        <f t="array" ref="V95">IFERROR(VLOOKUP(U95,Dex!$P$22:$Q$276,2,FALSE),"")</f>
        <v/>
      </c>
      <c r="W95" s="5257"/>
      <c r="X95" s="5960"/>
      <c r="Y95" s="5956"/>
      <c r="Z95" s="5956"/>
      <c r="AA95" s="5957"/>
      <c r="AB95" s="5956"/>
      <c r="AC95" s="5253"/>
      <c r="AD95" s="5279"/>
      <c r="AE95" s="5279"/>
      <c r="AF95" s="5279"/>
      <c r="AG95" s="5279"/>
      <c r="AH95" s="5275"/>
      <c r="AI95" s="3543"/>
    </row>
    <row r="96" ht="16.5" customHeight="1">
      <c r="A96" s="3535"/>
      <c r="B96" s="5235"/>
      <c r="C96" s="1426" t="s">
        <v>745</v>
      </c>
      <c r="D96" s="5237"/>
      <c r="E96" s="5262" t="s">
        <v>518</v>
      </c>
      <c r="F96" s="5263">
        <f t="array" ref="F96">IFERROR(VLOOKUP(E78,Dex!$B$3:$N249,13,FALSE),"")</f>
        <v>110</v>
      </c>
      <c r="G96" s="5264" t="str">
        <f t="array" ref="G96">IFERROR(VLOOKUP(F96,Dex!$P$22:$Q$276,2,FALSE),"")</f>
        <v/>
      </c>
      <c r="H96" s="5265"/>
      <c r="I96" s="5237"/>
      <c r="J96" s="5262" t="s">
        <v>518</v>
      </c>
      <c r="K96" s="5263">
        <f t="array" ref="K96">IFERROR(VLOOKUP(J78,Dex!$B$3:$N249,13,FALSE),"")</f>
        <v>90</v>
      </c>
      <c r="L96" s="5264" t="str">
        <f t="array" ref="L96">IFERROR(VLOOKUP(K96,Dex!$P$22:$Q$276,2,FALSE),"")</f>
        <v/>
      </c>
      <c r="M96" s="5265"/>
      <c r="N96" s="5237"/>
      <c r="O96" s="5262" t="s">
        <v>518</v>
      </c>
      <c r="P96" s="5263">
        <f t="array" ref="P96">IFERROR(VLOOKUP(O78,Dex!$B$3:$N249,13,FALSE),"")</f>
        <v>119</v>
      </c>
      <c r="Q96" s="5264" t="str">
        <f t="array" ref="Q96">IFERROR(VLOOKUP(P96,Dex!$P$22:$Q$276,2,FALSE),"")</f>
        <v/>
      </c>
      <c r="R96" s="5265"/>
      <c r="S96" s="5270"/>
      <c r="T96" s="5262" t="s">
        <v>518</v>
      </c>
      <c r="U96" s="5263">
        <f t="array" ref="U96">IFERROR(VLOOKUP(T78,Dex!$B$3:$N249,13,FALSE),"")</f>
        <v>40</v>
      </c>
      <c r="V96" s="5264" t="str">
        <f t="array" ref="V96">IFERROR(VLOOKUP(U96,Dex!$P$22:$Q$276,2,FALSE),"")</f>
        <v/>
      </c>
      <c r="W96" s="5265"/>
      <c r="X96" s="5960"/>
      <c r="Y96" s="5956"/>
      <c r="Z96" s="5956"/>
      <c r="AA96" s="5957"/>
      <c r="AB96" s="5956"/>
      <c r="AC96" s="5253"/>
      <c r="AD96" s="5279"/>
      <c r="AE96" s="5279"/>
      <c r="AF96" s="5279"/>
      <c r="AG96" s="5279"/>
      <c r="AH96" s="5275"/>
      <c r="AI96" s="3543"/>
    </row>
    <row r="97" ht="16.5" customHeight="1">
      <c r="A97" s="3535"/>
      <c r="B97" s="5235"/>
      <c r="C97" s="1427" t="s">
        <v>1783</v>
      </c>
      <c r="D97" s="5270"/>
      <c r="E97" s="5271" t="s">
        <v>519</v>
      </c>
      <c r="F97" s="630"/>
      <c r="G97" s="631"/>
      <c r="H97" s="632">
        <f>ROUNDDOWN((ROUNDDOWN(((((2*F96+31)*59)/100+5)),0))*1.1,0)</f>
        <v>168</v>
      </c>
      <c r="I97" s="5270"/>
      <c r="J97" s="5271" t="s">
        <v>519</v>
      </c>
      <c r="K97" s="630"/>
      <c r="L97" s="631"/>
      <c r="M97" s="632">
        <f>ROUNDDOWN((ROUNDDOWN(((((2*K96+31)*59)/100+5)),0))*1,0)</f>
        <v>129</v>
      </c>
      <c r="N97" s="5270"/>
      <c r="O97" s="5271" t="s">
        <v>519</v>
      </c>
      <c r="P97" s="630"/>
      <c r="Q97" s="631"/>
      <c r="R97" s="632">
        <f>ROUNDDOWN((ROUNDDOWN(((((2*P96+31)*59)/100+5)),0))*1.1,0)</f>
        <v>179</v>
      </c>
      <c r="S97" s="5270"/>
      <c r="T97" s="5271" t="s">
        <v>519</v>
      </c>
      <c r="U97" s="630"/>
      <c r="V97" s="631"/>
      <c r="W97" s="632">
        <f>ROUNDDOWN((ROUNDDOWN(((((2*U96+31)*59)/100+5)),0))*1,0)</f>
        <v>70</v>
      </c>
      <c r="X97" s="5960"/>
      <c r="Y97" s="5961"/>
      <c r="Z97" s="5194"/>
      <c r="AA97" s="5212"/>
      <c r="AB97" s="5956"/>
      <c r="AC97" s="5253"/>
      <c r="AD97" s="5279"/>
      <c r="AE97" s="5279"/>
      <c r="AF97" s="5279"/>
      <c r="AG97" s="5279"/>
      <c r="AH97" s="5275"/>
      <c r="AI97" s="3543"/>
    </row>
    <row r="98" ht="15.0" customHeight="1">
      <c r="A98" s="3446"/>
      <c r="B98" s="5280"/>
      <c r="C98" s="5281"/>
      <c r="D98" s="5282"/>
      <c r="E98" s="5283"/>
      <c r="F98" s="5283"/>
      <c r="G98" s="5283"/>
      <c r="H98" s="5283"/>
      <c r="I98" s="5284"/>
      <c r="J98" s="5283"/>
      <c r="K98" s="5283"/>
      <c r="L98" s="5283"/>
      <c r="M98" s="5283"/>
      <c r="N98" s="5284"/>
      <c r="O98" s="5283"/>
      <c r="P98" s="5283"/>
      <c r="Q98" s="5283"/>
      <c r="R98" s="5283"/>
      <c r="S98" s="5284"/>
      <c r="T98" s="5283"/>
      <c r="U98" s="5283"/>
      <c r="V98" s="5283"/>
      <c r="W98" s="5283"/>
      <c r="X98" s="5284"/>
      <c r="Y98" s="5283"/>
      <c r="Z98" s="5283"/>
      <c r="AA98" s="5283"/>
      <c r="AB98" s="5283"/>
      <c r="AC98" s="5282"/>
      <c r="AD98" s="5282"/>
      <c r="AE98" s="5282"/>
      <c r="AF98" s="5282"/>
      <c r="AG98" s="5282"/>
      <c r="AH98" s="5285"/>
      <c r="AI98" s="3452"/>
    </row>
    <row r="99" ht="15.0" customHeight="1">
      <c r="A99" s="3446"/>
      <c r="B99" s="3567"/>
      <c r="C99" s="3568"/>
      <c r="D99" s="3569"/>
      <c r="E99" s="3570"/>
      <c r="F99" s="3570"/>
      <c r="G99" s="3570"/>
      <c r="H99" s="3570"/>
      <c r="I99" s="3569"/>
      <c r="J99" s="3570"/>
      <c r="K99" s="3570"/>
      <c r="L99" s="3570"/>
      <c r="M99" s="3570"/>
      <c r="N99" s="3569"/>
      <c r="O99" s="3570"/>
      <c r="P99" s="3570"/>
      <c r="Q99" s="3570"/>
      <c r="R99" s="3570"/>
      <c r="S99" s="3569"/>
      <c r="T99" s="3570"/>
      <c r="U99" s="3570"/>
      <c r="V99" s="3570"/>
      <c r="W99" s="3570"/>
      <c r="X99" s="3569"/>
      <c r="Y99" s="3570"/>
      <c r="Z99" s="3570"/>
      <c r="AA99" s="3570"/>
      <c r="AB99" s="3570"/>
      <c r="AC99" s="3569"/>
      <c r="AD99" s="3570"/>
      <c r="AE99" s="3570"/>
      <c r="AF99" s="3570"/>
      <c r="AG99" s="3570"/>
      <c r="AH99" s="3571"/>
      <c r="AI99" s="3452"/>
    </row>
    <row r="100" ht="96.75" customHeight="1">
      <c r="A100" s="3453"/>
      <c r="B100" s="3572"/>
      <c r="C100" s="3573" t="str">
        <f>IMAGE("https://i.ibb.co/26kF6WW/Ace-Trainer-F.png")</f>
        <v/>
      </c>
      <c r="D100" s="3574"/>
      <c r="E100" s="3575" t="str">
        <f t="array" ref="E100">IFERROR(VLOOKUP(E101,Dex!$B$3:$G249,3,FALSE),"")</f>
        <v/>
      </c>
      <c r="F100" s="606"/>
      <c r="G100" s="606"/>
      <c r="H100" s="607"/>
      <c r="I100" s="5818"/>
      <c r="J100" s="3575" t="str">
        <f t="array" ref="J100">IFERROR(VLOOKUP(J101,Dex!$B$3:$G249,3,FALSE),"")</f>
        <v/>
      </c>
      <c r="K100" s="606"/>
      <c r="L100" s="606"/>
      <c r="M100" s="607"/>
      <c r="N100" s="5819"/>
      <c r="O100" s="3575" t="str">
        <f t="array" ref="O100">IFERROR(VLOOKUP(O101,Dex!$B$3:$G249,3,FALSE),"")</f>
        <v/>
      </c>
      <c r="P100" s="606"/>
      <c r="Q100" s="606"/>
      <c r="R100" s="607"/>
      <c r="S100" s="5820"/>
      <c r="T100" s="3575" t="str">
        <f t="array" ref="T100">IFERROR(VLOOKUP(T101,Dex!$B$3:$G249,3,FALSE),"")</f>
        <v/>
      </c>
      <c r="U100" s="606"/>
      <c r="V100" s="606"/>
      <c r="W100" s="607"/>
      <c r="X100" s="5819"/>
      <c r="Y100" s="3575" t="str">
        <f t="array" ref="Y100">IFERROR(VLOOKUP(Y101,Dex!$B$3:$G249,3,FALSE),"")</f>
        <v/>
      </c>
      <c r="Z100" s="606"/>
      <c r="AA100" s="606"/>
      <c r="AB100" s="607"/>
      <c r="AC100" s="5820"/>
      <c r="AD100" s="3575" t="str">
        <f t="array" ref="AD100">IFERROR(VLOOKUP(AD101,Dex!$B$3:$G249,3,FALSE),"")</f>
        <v/>
      </c>
      <c r="AE100" s="606"/>
      <c r="AF100" s="606"/>
      <c r="AG100" s="607"/>
      <c r="AH100" s="5740"/>
      <c r="AI100" s="3466"/>
    </row>
    <row r="101" ht="18.75" customHeight="1">
      <c r="A101" s="3467"/>
      <c r="B101" s="3584"/>
      <c r="C101" s="3585" t="s">
        <v>1806</v>
      </c>
      <c r="D101" s="3586"/>
      <c r="E101" s="3587" t="s">
        <v>1329</v>
      </c>
      <c r="F101" s="3588"/>
      <c r="G101" s="3588"/>
      <c r="H101" s="3589"/>
      <c r="J101" s="3587" t="s">
        <v>1807</v>
      </c>
      <c r="K101" s="3588"/>
      <c r="L101" s="3588"/>
      <c r="M101" s="3589"/>
      <c r="O101" s="3587" t="s">
        <v>598</v>
      </c>
      <c r="P101" s="3588"/>
      <c r="Q101" s="3588"/>
      <c r="R101" s="3589"/>
      <c r="T101" s="3587" t="s">
        <v>527</v>
      </c>
      <c r="U101" s="3588"/>
      <c r="V101" s="3588"/>
      <c r="W101" s="3589"/>
      <c r="Y101" s="3587" t="s">
        <v>1808</v>
      </c>
      <c r="Z101" s="3588"/>
      <c r="AA101" s="3588"/>
      <c r="AB101" s="3589"/>
      <c r="AD101" s="3587" t="s">
        <v>1809</v>
      </c>
      <c r="AE101" s="3588"/>
      <c r="AF101" s="3588"/>
      <c r="AG101" s="3589"/>
      <c r="AH101" s="5741"/>
      <c r="AI101" s="3478"/>
    </row>
    <row r="102">
      <c r="A102" s="3479"/>
      <c r="B102" s="3594"/>
      <c r="C102" s="1638"/>
      <c r="D102" s="3595"/>
      <c r="E102" s="4586" t="s">
        <v>729</v>
      </c>
      <c r="F102" s="3597"/>
      <c r="G102" s="3597"/>
      <c r="H102" s="4587"/>
      <c r="J102" s="4586" t="s">
        <v>729</v>
      </c>
      <c r="K102" s="3597"/>
      <c r="L102" s="3597"/>
      <c r="M102" s="4587"/>
      <c r="O102" s="4586" t="s">
        <v>729</v>
      </c>
      <c r="P102" s="3597"/>
      <c r="Q102" s="3597"/>
      <c r="R102" s="4587"/>
      <c r="T102" s="4586" t="s">
        <v>729</v>
      </c>
      <c r="U102" s="3597"/>
      <c r="V102" s="3597"/>
      <c r="W102" s="4587"/>
      <c r="Y102" s="4586" t="s">
        <v>729</v>
      </c>
      <c r="Z102" s="3597"/>
      <c r="AA102" s="3597"/>
      <c r="AB102" s="4587"/>
      <c r="AD102" s="4586" t="s">
        <v>729</v>
      </c>
      <c r="AE102" s="3597"/>
      <c r="AF102" s="3597"/>
      <c r="AG102" s="4587"/>
      <c r="AH102" s="5742"/>
      <c r="AI102" s="3487"/>
    </row>
    <row r="103" ht="25.5" customHeight="1">
      <c r="A103" s="3453"/>
      <c r="B103" s="3572"/>
      <c r="C103" s="1646"/>
      <c r="D103" s="3574"/>
      <c r="E103" s="3601"/>
      <c r="F103" s="3602" t="str">
        <f t="array" ref="F103">IFERROR(VLOOKUP(E101,Dex!$B$3:$H249,5,FALSE),"")</f>
        <v/>
      </c>
      <c r="G103" s="3603"/>
      <c r="H103" s="3604"/>
      <c r="J103" s="3601"/>
      <c r="K103" s="4588" t="str">
        <f t="array" ref="K103">IFERROR(VLOOKUP(J101,Dex!$B$3:$H249,5,FALSE),"")</f>
        <v/>
      </c>
      <c r="L103" s="4589" t="str">
        <f t="array" ref="L103">IFERROR(VLOOKUP(J101,Dex!$B$3:$H249,7,FALSE),"")</f>
        <v/>
      </c>
      <c r="M103" s="3604"/>
      <c r="O103" s="3601"/>
      <c r="P103" s="4588" t="str">
        <f t="array" ref="P103">IFERROR(VLOOKUP(O101,Dex!$B$3:$H249,5,FALSE),"")</f>
        <v/>
      </c>
      <c r="Q103" s="4589" t="str">
        <f t="array" ref="Q103">IFERROR(VLOOKUP(O101,Dex!$B$3:$H249,7,FALSE),"")</f>
        <v/>
      </c>
      <c r="R103" s="3604"/>
      <c r="T103" s="3601"/>
      <c r="U103" s="4588" t="str">
        <f t="array" ref="U103">IFERROR(VLOOKUP(T101,Dex!$B$3:$H249,5,FALSE),"")</f>
        <v/>
      </c>
      <c r="V103" s="4589" t="str">
        <f t="array" ref="V103">IFERROR(VLOOKUP(T101,Dex!$B$3:$H249,7,FALSE),"")</f>
        <v/>
      </c>
      <c r="W103" s="3604"/>
      <c r="Y103" s="3601"/>
      <c r="Z103" s="3602" t="str">
        <f t="array" ref="Z103">IFERROR(VLOOKUP(Y101,Dex!$B$3:$H249,5,FALSE),"")</f>
        <v/>
      </c>
      <c r="AA103" s="3603"/>
      <c r="AB103" s="3604"/>
      <c r="AD103" s="3601"/>
      <c r="AE103" s="4588" t="str">
        <f t="array" ref="AE103">IFERROR(VLOOKUP(AD101,Dex!$B$3:$H249,5,FALSE),"")</f>
        <v/>
      </c>
      <c r="AF103" s="4589" t="str">
        <f t="array" ref="AF103">IFERROR(VLOOKUP(AD101,Dex!$B$3:$H249,7,FALSE),"")</f>
        <v/>
      </c>
      <c r="AG103" s="3604"/>
      <c r="AH103" s="3583"/>
      <c r="AI103" s="3466"/>
    </row>
    <row r="104" ht="2.25" customHeight="1">
      <c r="A104" s="3453"/>
      <c r="B104" s="3572"/>
      <c r="C104" s="3605"/>
      <c r="D104" s="3574"/>
      <c r="E104" s="3606"/>
      <c r="F104" s="3607"/>
      <c r="G104" s="3607"/>
      <c r="H104" s="3608"/>
      <c r="J104" s="3606"/>
      <c r="K104" s="3607"/>
      <c r="L104" s="3607"/>
      <c r="M104" s="3608"/>
      <c r="O104" s="3606"/>
      <c r="P104" s="3607"/>
      <c r="Q104" s="3607"/>
      <c r="R104" s="3608"/>
      <c r="T104" s="3606"/>
      <c r="U104" s="3607"/>
      <c r="V104" s="3607"/>
      <c r="W104" s="3608"/>
      <c r="Y104" s="3606"/>
      <c r="Z104" s="3607"/>
      <c r="AA104" s="3607"/>
      <c r="AB104" s="3608"/>
      <c r="AD104" s="3606"/>
      <c r="AE104" s="3607"/>
      <c r="AF104" s="3607"/>
      <c r="AG104" s="3608"/>
      <c r="AH104" s="3583"/>
      <c r="AI104" s="3466"/>
    </row>
    <row r="105" ht="20.25" customHeight="1">
      <c r="A105" s="3453"/>
      <c r="B105" s="3572"/>
      <c r="C105" s="3605"/>
      <c r="D105" s="3574"/>
      <c r="E105" s="3610" t="s">
        <v>532</v>
      </c>
      <c r="F105" s="3611"/>
      <c r="G105" s="3611"/>
      <c r="H105" s="3612"/>
      <c r="I105" s="5821"/>
      <c r="J105" s="3610" t="s">
        <v>566</v>
      </c>
      <c r="K105" s="3611"/>
      <c r="L105" s="3611"/>
      <c r="M105" s="3612"/>
      <c r="N105" s="5822"/>
      <c r="O105" s="3610" t="s">
        <v>566</v>
      </c>
      <c r="P105" s="3611"/>
      <c r="Q105" s="3611"/>
      <c r="R105" s="3612"/>
      <c r="S105" s="5823"/>
      <c r="T105" s="3610" t="s">
        <v>564</v>
      </c>
      <c r="U105" s="3611"/>
      <c r="V105" s="3611"/>
      <c r="W105" s="3612"/>
      <c r="X105" s="5822"/>
      <c r="Y105" s="3610" t="s">
        <v>564</v>
      </c>
      <c r="Z105" s="3611"/>
      <c r="AA105" s="3611"/>
      <c r="AB105" s="3612"/>
      <c r="AC105" s="5823"/>
      <c r="AD105" s="3610" t="s">
        <v>566</v>
      </c>
      <c r="AE105" s="3611"/>
      <c r="AF105" s="3611"/>
      <c r="AG105" s="3612"/>
      <c r="AH105" s="5740"/>
      <c r="AI105" s="3466"/>
    </row>
    <row r="106">
      <c r="A106" s="3453"/>
      <c r="B106" s="3572"/>
      <c r="C106" s="3613"/>
      <c r="D106" s="3574"/>
      <c r="E106" s="3614" t="s">
        <v>1333</v>
      </c>
      <c r="F106" s="3579"/>
      <c r="G106" s="3579"/>
      <c r="H106" s="3615"/>
      <c r="I106" s="5821"/>
      <c r="J106" s="3614" t="s">
        <v>889</v>
      </c>
      <c r="K106" s="3579"/>
      <c r="L106" s="3579"/>
      <c r="M106" s="3615"/>
      <c r="N106" s="5822"/>
      <c r="O106" s="3614" t="s">
        <v>569</v>
      </c>
      <c r="P106" s="3579"/>
      <c r="Q106" s="3579"/>
      <c r="R106" s="3615"/>
      <c r="S106" s="5823"/>
      <c r="T106" s="3614" t="s">
        <v>1748</v>
      </c>
      <c r="U106" s="3579"/>
      <c r="V106" s="3579"/>
      <c r="W106" s="3615"/>
      <c r="X106" s="5822"/>
      <c r="Y106" s="3614" t="s">
        <v>569</v>
      </c>
      <c r="Z106" s="3579"/>
      <c r="AA106" s="3579"/>
      <c r="AB106" s="3615"/>
      <c r="AC106" s="5823"/>
      <c r="AD106" s="3614" t="s">
        <v>1810</v>
      </c>
      <c r="AE106" s="3579"/>
      <c r="AF106" s="3579"/>
      <c r="AG106" s="3615"/>
      <c r="AH106" s="5740"/>
      <c r="AI106" s="3466"/>
    </row>
    <row r="107" ht="20.25" customHeight="1">
      <c r="A107" s="3453"/>
      <c r="B107" s="3572"/>
      <c r="C107" s="3592"/>
      <c r="D107" s="3574"/>
      <c r="E107" s="3616" t="s">
        <v>733</v>
      </c>
      <c r="F107" s="3617"/>
      <c r="G107" s="3618"/>
      <c r="H107" s="3619" t="str">
        <f>IMAGE("https://raw.githubusercontent.com/msikma/pokesprite/master/items/hold-item/leftovers.png",3)</f>
        <v/>
      </c>
      <c r="I107" s="5821"/>
      <c r="J107" s="3616" t="s">
        <v>713</v>
      </c>
      <c r="K107" s="3617"/>
      <c r="L107" s="3618"/>
      <c r="M107" s="3619" t="str">
        <f>IMAGE("https://raw.githubusercontent.com/msikma/pokesprite/master/items/hold-item/assault-vest.png",3)</f>
        <v/>
      </c>
      <c r="N107" s="5822"/>
      <c r="O107" s="3616" t="s">
        <v>712</v>
      </c>
      <c r="P107" s="3617"/>
      <c r="Q107" s="3618"/>
      <c r="R107" s="3619" t="str">
        <f>IMAGE("https://raw.githubusercontent.com/msikma/pokesprite/master/items/hold-item/power-herb.png",3)</f>
        <v/>
      </c>
      <c r="S107" s="5823"/>
      <c r="T107" s="3616" t="s">
        <v>712</v>
      </c>
      <c r="U107" s="3617"/>
      <c r="V107" s="3618"/>
      <c r="W107" s="3619" t="str">
        <f>IMAGE("https://raw.githubusercontent.com/msikma/pokesprite/master/items/hold-item/power-herb.png",3)</f>
        <v/>
      </c>
      <c r="X107" s="5822"/>
      <c r="Y107" s="3616" t="s">
        <v>712</v>
      </c>
      <c r="Z107" s="3617"/>
      <c r="AA107" s="3618"/>
      <c r="AB107" s="3619" t="str">
        <f>IMAGE("https://raw.githubusercontent.com/msikma/pokesprite/master/items/hold-item/power-herb.png",3)</f>
        <v/>
      </c>
      <c r="AC107" s="5823"/>
      <c r="AD107" s="3616" t="s">
        <v>1811</v>
      </c>
      <c r="AE107" s="3617"/>
      <c r="AF107" s="3618"/>
      <c r="AG107" s="3619" t="str">
        <f>IMAGE("https://raw.githubusercontent.com/msikma/pokesprite/master/items/mega-stone/lopunnite.png",3)</f>
        <v/>
      </c>
      <c r="AH107" s="3583"/>
      <c r="AI107" s="3466"/>
    </row>
    <row r="108" ht="20.25" customHeight="1">
      <c r="A108" s="3453"/>
      <c r="B108" s="3572"/>
      <c r="C108" s="3620"/>
      <c r="D108" s="3574"/>
      <c r="E108" s="3610" t="s">
        <v>1339</v>
      </c>
      <c r="F108" s="3611"/>
      <c r="G108" s="3621"/>
      <c r="H108" s="3622" t="str">
        <f>IMAGE("https://raw.githubusercontent.com/msikma/pokesprite/master/misc/types/gen8/fairy.png",4,20,20)</f>
        <v/>
      </c>
      <c r="I108" s="5821"/>
      <c r="J108" s="3610" t="s">
        <v>1323</v>
      </c>
      <c r="K108" s="3611"/>
      <c r="L108" s="3621"/>
      <c r="M108" s="3622" t="str">
        <f>IMAGE("https://raw.githubusercontent.com/msikma/pokesprite/master/misc/types/gen8/steel.png",4,20,20)</f>
        <v/>
      </c>
      <c r="N108" s="5822"/>
      <c r="O108" s="3610" t="s">
        <v>1812</v>
      </c>
      <c r="P108" s="3611"/>
      <c r="Q108" s="3621"/>
      <c r="R108" s="3622" t="str">
        <f>IMAGE("https://raw.githubusercontent.com/msikma/pokesprite/master/misc/types/gen8/flying.png",4,20,20)</f>
        <v/>
      </c>
      <c r="S108" s="5823"/>
      <c r="T108" s="3610" t="s">
        <v>155</v>
      </c>
      <c r="U108" s="3611"/>
      <c r="V108" s="3621"/>
      <c r="W108" s="3622" t="str">
        <f>IMAGE("https://raw.githubusercontent.com/msikma/pokesprite/master/misc/types/gen8/rock.png",4,20,20)</f>
        <v/>
      </c>
      <c r="X108" s="5822"/>
      <c r="Y108" s="3610" t="s">
        <v>155</v>
      </c>
      <c r="Z108" s="3611"/>
      <c r="AA108" s="3621"/>
      <c r="AB108" s="3622" t="str">
        <f>IMAGE("https://raw.githubusercontent.com/msikma/pokesprite/master/misc/types/gen8/rock.png",4,20,20)</f>
        <v/>
      </c>
      <c r="AC108" s="5823"/>
      <c r="AD108" s="3610" t="s">
        <v>549</v>
      </c>
      <c r="AE108" s="3611"/>
      <c r="AF108" s="3621"/>
      <c r="AG108" s="3622" t="str">
        <f>IMAGE("https://raw.githubusercontent.com/msikma/pokesprite/master/misc/types/gen8/ground.png",4,20,20)</f>
        <v/>
      </c>
      <c r="AH108" s="3583"/>
      <c r="AI108" s="3466"/>
    </row>
    <row r="109" ht="20.25" customHeight="1">
      <c r="A109" s="3453"/>
      <c r="B109" s="3572"/>
      <c r="C109" s="3605"/>
      <c r="D109" s="3574"/>
      <c r="E109" s="3614" t="s">
        <v>611</v>
      </c>
      <c r="F109" s="3579"/>
      <c r="G109" s="3580"/>
      <c r="H109" s="3623" t="str">
        <f>IMAGE("https://raw.githubusercontent.com/msikma/pokesprite/master/misc/types/gen8/electric.png",4,20,20)</f>
        <v/>
      </c>
      <c r="I109" s="5821"/>
      <c r="J109" s="3614" t="s">
        <v>1712</v>
      </c>
      <c r="K109" s="3579"/>
      <c r="L109" s="3580"/>
      <c r="M109" s="3623" t="str">
        <f>IMAGE("https://raw.githubusercontent.com/msikma/pokesprite/master/misc/types/gen8/bug.png",4,20,20)</f>
        <v/>
      </c>
      <c r="N109" s="5822"/>
      <c r="O109" s="3614" t="s">
        <v>287</v>
      </c>
      <c r="P109" s="3579"/>
      <c r="Q109" s="3580"/>
      <c r="R109" s="3623" t="str">
        <f>IMAGE("https://raw.githubusercontent.com/msikma/pokesprite/master/misc/types/gen8/normal.png",4,20,20)</f>
        <v/>
      </c>
      <c r="S109" s="5823"/>
      <c r="T109" s="3614" t="s">
        <v>649</v>
      </c>
      <c r="U109" s="3579"/>
      <c r="V109" s="3580"/>
      <c r="W109" s="3623" t="str">
        <f>IMAGE("https://raw.githubusercontent.com/msikma/pokesprite/master/misc/types/gen8/water.png",4,20,20)</f>
        <v/>
      </c>
      <c r="X109" s="5822"/>
      <c r="Y109" s="3614" t="s">
        <v>647</v>
      </c>
      <c r="Z109" s="3579"/>
      <c r="AA109" s="3580"/>
      <c r="AB109" s="3623" t="str">
        <f>IMAGE("https://raw.githubusercontent.com/msikma/pokesprite/master/misc/types/gen8/ghost.png",4,20,20)</f>
        <v/>
      </c>
      <c r="AC109" s="5823"/>
      <c r="AD109" s="3614" t="s">
        <v>1040</v>
      </c>
      <c r="AE109" s="3579"/>
      <c r="AF109" s="3580"/>
      <c r="AG109" s="3623" t="str">
        <f>IMAGE("https://raw.githubusercontent.com/msikma/pokesprite/master/misc/types/gen8/flying.png",4,20,20)</f>
        <v/>
      </c>
      <c r="AH109" s="3583"/>
      <c r="AI109" s="3466"/>
    </row>
    <row r="110" ht="20.25" customHeight="1">
      <c r="A110" s="3453"/>
      <c r="B110" s="3572"/>
      <c r="C110" s="3605"/>
      <c r="D110" s="3574"/>
      <c r="E110" s="3614" t="s">
        <v>812</v>
      </c>
      <c r="F110" s="3579"/>
      <c r="G110" s="3580"/>
      <c r="H110" s="3623" t="str">
        <f>IMAGE("https://raw.githubusercontent.com/msikma/pokesprite/master/misc/types/gen8/dark.png",4,20,20)</f>
        <v/>
      </c>
      <c r="I110" s="5821"/>
      <c r="J110" s="3614" t="s">
        <v>583</v>
      </c>
      <c r="K110" s="3579"/>
      <c r="L110" s="3580"/>
      <c r="M110" s="3623" t="str">
        <f>IMAGE("https://raw.githubusercontent.com/msikma/pokesprite/master/misc/types/gen8/fighting.png",4,20,20)</f>
        <v/>
      </c>
      <c r="N110" s="5822"/>
      <c r="O110" s="3614" t="s">
        <v>583</v>
      </c>
      <c r="P110" s="3579"/>
      <c r="Q110" s="3580"/>
      <c r="R110" s="3623" t="str">
        <f>IMAGE("https://raw.githubusercontent.com/msikma/pokesprite/master/misc/types/gen8/fighting.png",4,20,20)</f>
        <v/>
      </c>
      <c r="S110" s="5823"/>
      <c r="T110" s="3614" t="s">
        <v>582</v>
      </c>
      <c r="U110" s="3579"/>
      <c r="V110" s="3580"/>
      <c r="W110" s="3623" t="str">
        <f>IMAGE("https://raw.githubusercontent.com/msikma/pokesprite/master/misc/types/gen8/ice.png",4,20,20)</f>
        <v/>
      </c>
      <c r="X110" s="5822"/>
      <c r="Y110" s="3614" t="s">
        <v>644</v>
      </c>
      <c r="Z110" s="3579"/>
      <c r="AA110" s="3580"/>
      <c r="AB110" s="3623" t="str">
        <f>IMAGE("https://raw.githubusercontent.com/msikma/pokesprite/master/misc/types/gen8/ground.png",4,20,20)</f>
        <v/>
      </c>
      <c r="AC110" s="5823"/>
      <c r="AD110" s="3614" t="s">
        <v>192</v>
      </c>
      <c r="AE110" s="3579"/>
      <c r="AF110" s="3580"/>
      <c r="AG110" s="3623" t="str">
        <f>IMAGE("https://raw.githubusercontent.com/msikma/pokesprite/master/misc/types/gen8/poison.png",4,20,20)</f>
        <v/>
      </c>
      <c r="AH110" s="3583"/>
      <c r="AI110" s="3466"/>
    </row>
    <row r="111" ht="21.0" customHeight="1">
      <c r="A111" s="3453"/>
      <c r="B111" s="3572"/>
      <c r="C111" s="3605"/>
      <c r="D111" s="3574"/>
      <c r="E111" s="3624" t="s">
        <v>591</v>
      </c>
      <c r="F111" s="3625"/>
      <c r="G111" s="3626"/>
      <c r="H111" s="3627" t="str">
        <f>IMAGE("https://raw.githubusercontent.com/msikma/pokesprite/master/misc/types/gen8/normal.png",4,20,20)</f>
        <v/>
      </c>
      <c r="I111" s="5824"/>
      <c r="J111" s="3624" t="s">
        <v>579</v>
      </c>
      <c r="K111" s="3625"/>
      <c r="L111" s="3626"/>
      <c r="M111" s="3627" t="str">
        <f>IMAGE("https://raw.githubusercontent.com/msikma/pokesprite/master/misc/types/gen8/dark.png",4,20,20)</f>
        <v/>
      </c>
      <c r="N111" s="5825"/>
      <c r="O111" s="3624" t="s">
        <v>613</v>
      </c>
      <c r="P111" s="3625"/>
      <c r="Q111" s="3626"/>
      <c r="R111" s="3627" t="str">
        <f>IMAGE("https://raw.githubusercontent.com/msikma/pokesprite/master/misc/types/gen8/flying.png",4,20,20)</f>
        <v/>
      </c>
      <c r="S111" s="5826"/>
      <c r="T111" s="3624" t="s">
        <v>552</v>
      </c>
      <c r="U111" s="3625"/>
      <c r="V111" s="3626"/>
      <c r="W111" s="3627" t="str">
        <f>IMAGE("https://raw.githubusercontent.com/msikma/pokesprite/master/misc/types/gen8/psychic.png",4,20,20)</f>
        <v/>
      </c>
      <c r="X111" s="5825"/>
      <c r="Y111" s="3624" t="s">
        <v>862</v>
      </c>
      <c r="Z111" s="3625"/>
      <c r="AA111" s="3626"/>
      <c r="AB111" s="3627" t="str">
        <f>IMAGE("https://raw.githubusercontent.com/msikma/pokesprite/master/misc/types/gen8/fire.png",4,20,20)</f>
        <v/>
      </c>
      <c r="AC111" s="5826"/>
      <c r="AD111" s="3624" t="s">
        <v>1596</v>
      </c>
      <c r="AE111" s="3625"/>
      <c r="AF111" s="3626"/>
      <c r="AG111" s="3627" t="str">
        <f>IMAGE("https://raw.githubusercontent.com/msikma/pokesprite/master/misc/types/gen8/normal.png",4,20,20)</f>
        <v/>
      </c>
      <c r="AH111" s="3583"/>
      <c r="AI111" s="3466"/>
    </row>
    <row r="112" ht="3.0" customHeight="1">
      <c r="A112" s="3524"/>
      <c r="B112" s="3630"/>
      <c r="C112" s="3631"/>
      <c r="D112" s="3632"/>
      <c r="E112" s="3634"/>
      <c r="F112" s="3634"/>
      <c r="G112" s="3634"/>
      <c r="H112" s="3634"/>
      <c r="I112" s="3632"/>
      <c r="J112" s="3634"/>
      <c r="K112" s="3634"/>
      <c r="L112" s="3634"/>
      <c r="M112" s="3634"/>
      <c r="N112" s="3632"/>
      <c r="O112" s="3634"/>
      <c r="P112" s="3634"/>
      <c r="Q112" s="3634"/>
      <c r="R112" s="3634"/>
      <c r="S112" s="3635"/>
      <c r="T112" s="3634"/>
      <c r="U112" s="3634"/>
      <c r="V112" s="3634"/>
      <c r="W112" s="3634"/>
      <c r="X112" s="3632"/>
      <c r="Y112" s="3634"/>
      <c r="Z112" s="3634"/>
      <c r="AA112" s="3634"/>
      <c r="AB112" s="3634"/>
      <c r="AC112" s="3637"/>
      <c r="AD112" s="3634"/>
      <c r="AE112" s="3634"/>
      <c r="AF112" s="3634"/>
      <c r="AG112" s="3634"/>
      <c r="AH112" s="3638"/>
      <c r="AI112" s="3534"/>
    </row>
    <row r="113" ht="16.5" customHeight="1">
      <c r="A113" s="3535"/>
      <c r="B113" s="3639"/>
      <c r="C113" s="3631"/>
      <c r="D113" s="4590"/>
      <c r="E113" s="3641" t="s">
        <v>512</v>
      </c>
      <c r="F113" s="606"/>
      <c r="G113" s="606"/>
      <c r="H113" s="607"/>
      <c r="I113" s="5971"/>
      <c r="J113" s="3641" t="s">
        <v>512</v>
      </c>
      <c r="K113" s="606"/>
      <c r="L113" s="606"/>
      <c r="M113" s="607"/>
      <c r="N113" s="5972"/>
      <c r="O113" s="3641" t="s">
        <v>512</v>
      </c>
      <c r="P113" s="606"/>
      <c r="Q113" s="606"/>
      <c r="R113" s="607"/>
      <c r="S113" s="5973"/>
      <c r="T113" s="3641" t="s">
        <v>512</v>
      </c>
      <c r="U113" s="606"/>
      <c r="V113" s="606"/>
      <c r="W113" s="607"/>
      <c r="X113" s="5785"/>
      <c r="Y113" s="3641" t="s">
        <v>512</v>
      </c>
      <c r="Z113" s="606"/>
      <c r="AA113" s="606"/>
      <c r="AB113" s="607"/>
      <c r="AC113" s="5785"/>
      <c r="AD113" s="3641" t="s">
        <v>512</v>
      </c>
      <c r="AE113" s="606"/>
      <c r="AF113" s="606"/>
      <c r="AG113" s="607"/>
      <c r="AH113" s="5786"/>
      <c r="AI113" s="3543"/>
    </row>
    <row r="114" ht="16.5" customHeight="1">
      <c r="A114" s="3535"/>
      <c r="B114" s="3639"/>
      <c r="C114" s="3631"/>
      <c r="D114" s="3640"/>
      <c r="E114" s="3646" t="s">
        <v>513</v>
      </c>
      <c r="F114" s="3647">
        <f t="array" ref="F114">IFERROR(VLOOKUP(E101,Dex!$B$3:$N249,8,FALSE),"")</f>
        <v>100</v>
      </c>
      <c r="G114" s="3648" t="str">
        <f t="array" ref="G114">IFERROR(VLOOKUP(F114,Dex!$P$22:$Q$276,2,FALSE),"")</f>
        <v/>
      </c>
      <c r="H114" s="3649"/>
      <c r="I114" s="5974"/>
      <c r="J114" s="3646" t="s">
        <v>513</v>
      </c>
      <c r="K114" s="3647">
        <f t="array" ref="K114">IFERROR(VLOOKUP(J101,Dex!$B$3:$N249,8,FALSE),"")</f>
        <v>70</v>
      </c>
      <c r="L114" s="3648" t="str">
        <f t="array" ref="L114">IFERROR(VLOOKUP(K114,Dex!$P$22:$Q$276,2,FALSE),"")</f>
        <v/>
      </c>
      <c r="M114" s="3649"/>
      <c r="N114" s="5975"/>
      <c r="O114" s="3646" t="s">
        <v>513</v>
      </c>
      <c r="P114" s="3647">
        <f t="array" ref="P114">IFERROR(VLOOKUP(O101,Dex!$B$3:$N249,8,FALSE),"")</f>
        <v>78</v>
      </c>
      <c r="Q114" s="3648" t="str">
        <f t="array" ref="Q114">IFERROR(VLOOKUP(P114,Dex!$P$22:$Q$276,2,FALSE),"")</f>
        <v/>
      </c>
      <c r="R114" s="3649"/>
      <c r="S114" s="5791"/>
      <c r="T114" s="3646" t="s">
        <v>513</v>
      </c>
      <c r="U114" s="3647">
        <f t="array" ref="U114">IFERROR(VLOOKUP(T101,Dex!$B$3:$N249,8,FALSE),"")</f>
        <v>60</v>
      </c>
      <c r="V114" s="3648" t="str">
        <f t="array" ref="V114">IFERROR(VLOOKUP(U114,Dex!$P$22:$Q$276,2,FALSE),"")</f>
        <v/>
      </c>
      <c r="W114" s="3649"/>
      <c r="X114" s="5791"/>
      <c r="Y114" s="3646" t="s">
        <v>513</v>
      </c>
      <c r="Z114" s="3647">
        <f t="array" ref="Z114">IFERROR(VLOOKUP(Y101,Dex!$B$3:$N249,8,FALSE),"")</f>
        <v>80</v>
      </c>
      <c r="AA114" s="3648" t="str">
        <f t="array" ref="AA114">IFERROR(VLOOKUP(Z114,Dex!$P$22:$Q$276,2,FALSE),"")</f>
        <v/>
      </c>
      <c r="AB114" s="3649"/>
      <c r="AC114" s="5791"/>
      <c r="AD114" s="3646" t="s">
        <v>513</v>
      </c>
      <c r="AE114" s="3647">
        <f t="array" ref="AE114">IFERROR(VLOOKUP(AD101,Dex!$B$3:$N249,8,FALSE),"")</f>
        <v>72</v>
      </c>
      <c r="AF114" s="3648" t="str">
        <f t="array" ref="AF114">IFERROR(VLOOKUP(AE114,Dex!$P$22:$Q$276,2,FALSE),"")</f>
        <v/>
      </c>
      <c r="AG114" s="3649"/>
      <c r="AH114" s="5786"/>
      <c r="AI114" s="3543"/>
    </row>
    <row r="115" ht="16.5" customHeight="1">
      <c r="A115" s="3535"/>
      <c r="B115" s="3639"/>
      <c r="C115" s="3631"/>
      <c r="D115" s="3640"/>
      <c r="E115" s="3652" t="s">
        <v>514</v>
      </c>
      <c r="F115" s="3653">
        <f t="array" ref="F115">IFERROR(VLOOKUP(E101,Dex!$B$3:$N249,9,FALSE),"")</f>
        <v>100</v>
      </c>
      <c r="G115" s="3654" t="str">
        <f t="array" ref="G115">IFERROR(VLOOKUP(F115,Dex!$P$22:$Q$276,2,FALSE),"")</f>
        <v/>
      </c>
      <c r="H115" s="3655"/>
      <c r="I115" s="5974"/>
      <c r="J115" s="3652" t="s">
        <v>514</v>
      </c>
      <c r="K115" s="3653">
        <f t="array" ref="K115">IFERROR(VLOOKUP(J101,Dex!$B$3:$N249,9,FALSE),"")</f>
        <v>135</v>
      </c>
      <c r="L115" s="3654" t="str">
        <f t="array" ref="L115">IFERROR(VLOOKUP(K115,Dex!$P$22:$Q$276,2,FALSE),"")</f>
        <v/>
      </c>
      <c r="M115" s="3655"/>
      <c r="N115" s="5975"/>
      <c r="O115" s="3652" t="s">
        <v>514</v>
      </c>
      <c r="P115" s="3653">
        <f t="array" ref="P115">IFERROR(VLOOKUP(O101,Dex!$B$3:$N249,9,FALSE),"")</f>
        <v>92</v>
      </c>
      <c r="Q115" s="3654" t="str">
        <f t="array" ref="Q115">IFERROR(VLOOKUP(P115,Dex!$P$22:$Q$276,2,FALSE),"")</f>
        <v/>
      </c>
      <c r="R115" s="3655"/>
      <c r="S115" s="5791"/>
      <c r="T115" s="3652" t="s">
        <v>514</v>
      </c>
      <c r="U115" s="3653">
        <f t="array" ref="U115">IFERROR(VLOOKUP(T101,Dex!$B$3:$N249,9,FALSE),"")</f>
        <v>75</v>
      </c>
      <c r="V115" s="3654" t="str">
        <f t="array" ref="V115">IFERROR(VLOOKUP(U115,Dex!$P$22:$Q$276,2,FALSE),"")</f>
        <v/>
      </c>
      <c r="W115" s="3655"/>
      <c r="X115" s="5791"/>
      <c r="Y115" s="3652" t="s">
        <v>514</v>
      </c>
      <c r="Z115" s="3653">
        <f t="array" ref="Z115">IFERROR(VLOOKUP(Y101,Dex!$B$3:$N249,9,FALSE),"")</f>
        <v>75</v>
      </c>
      <c r="AA115" s="3654" t="str">
        <f t="array" ref="AA115">IFERROR(VLOOKUP(Z115,Dex!$P$22:$Q$276,2,FALSE),"")</f>
        <v/>
      </c>
      <c r="AB115" s="3655"/>
      <c r="AC115" s="5791"/>
      <c r="AD115" s="3652" t="s">
        <v>514</v>
      </c>
      <c r="AE115" s="3653">
        <f t="array" ref="AE115">IFERROR(VLOOKUP(AD101,Dex!$B$3:$N249,9,FALSE),"")</f>
        <v>140</v>
      </c>
      <c r="AF115" s="3654" t="str">
        <f t="array" ref="AF115">IFERROR(VLOOKUP(AE115,Dex!$P$22:$Q$276,2,FALSE),"")</f>
        <v/>
      </c>
      <c r="AG115" s="3655"/>
      <c r="AH115" s="5786"/>
      <c r="AI115" s="3543"/>
    </row>
    <row r="116" ht="16.5" customHeight="1">
      <c r="A116" s="3535"/>
      <c r="B116" s="3639"/>
      <c r="C116" s="3631"/>
      <c r="D116" s="3640"/>
      <c r="E116" s="3652" t="s">
        <v>515</v>
      </c>
      <c r="F116" s="3653">
        <f t="array" ref="F116">IFERROR(VLOOKUP(E101,Dex!$B$3:$N249,10,FALSE),"")</f>
        <v>100</v>
      </c>
      <c r="G116" s="3654" t="str">
        <f t="array" ref="G116">IFERROR(VLOOKUP(F116,Dex!$P$22:$Q$276,2,FALSE),"")</f>
        <v/>
      </c>
      <c r="H116" s="3655"/>
      <c r="I116" s="5974"/>
      <c r="J116" s="3652" t="s">
        <v>515</v>
      </c>
      <c r="K116" s="3653">
        <f t="array" ref="K116">IFERROR(VLOOKUP(J101,Dex!$B$3:$N249,10,FALSE),"")</f>
        <v>105</v>
      </c>
      <c r="L116" s="3654" t="str">
        <f t="array" ref="L116">IFERROR(VLOOKUP(K116,Dex!$P$22:$Q$276,2,FALSE),"")</f>
        <v/>
      </c>
      <c r="M116" s="3655"/>
      <c r="N116" s="5975"/>
      <c r="O116" s="3652" t="s">
        <v>515</v>
      </c>
      <c r="P116" s="3653">
        <f t="array" ref="P116">IFERROR(VLOOKUP(O101,Dex!$B$3:$N249,10,FALSE),"")</f>
        <v>75</v>
      </c>
      <c r="Q116" s="3654" t="str">
        <f t="array" ref="Q116">IFERROR(VLOOKUP(P116,Dex!$P$22:$Q$276,2,FALSE),"")</f>
        <v/>
      </c>
      <c r="R116" s="3655"/>
      <c r="S116" s="5791"/>
      <c r="T116" s="3652" t="s">
        <v>515</v>
      </c>
      <c r="U116" s="3653">
        <f t="array" ref="U116">IFERROR(VLOOKUP(T101,Dex!$B$3:$N249,10,FALSE),"")</f>
        <v>85</v>
      </c>
      <c r="V116" s="3654" t="str">
        <f t="array" ref="V116">IFERROR(VLOOKUP(U116,Dex!$P$22:$Q$276,2,FALSE),"")</f>
        <v/>
      </c>
      <c r="W116" s="3655"/>
      <c r="X116" s="5791"/>
      <c r="Y116" s="3652" t="s">
        <v>515</v>
      </c>
      <c r="Z116" s="3653">
        <f t="array" ref="Z116">IFERROR(VLOOKUP(Y101,Dex!$B$3:$N249,10,FALSE),"")</f>
        <v>50</v>
      </c>
      <c r="AA116" s="3654" t="str">
        <f t="array" ref="AA116">IFERROR(VLOOKUP(Z116,Dex!$P$22:$Q$276,2,FALSE),"")</f>
        <v/>
      </c>
      <c r="AB116" s="3655"/>
      <c r="AC116" s="5791"/>
      <c r="AD116" s="3652" t="s">
        <v>515</v>
      </c>
      <c r="AE116" s="3653">
        <f t="array" ref="AE116">IFERROR(VLOOKUP(AD101,Dex!$B$3:$N249,10,FALSE),"")</f>
        <v>160</v>
      </c>
      <c r="AF116" s="3654" t="str">
        <f t="array" ref="AF116">IFERROR(VLOOKUP(AE116,Dex!$P$22:$Q$276,2,FALSE),"")</f>
        <v/>
      </c>
      <c r="AG116" s="3655"/>
      <c r="AH116" s="5786"/>
      <c r="AI116" s="3543"/>
    </row>
    <row r="117" ht="16.5" customHeight="1">
      <c r="A117" s="3535"/>
      <c r="B117" s="3639"/>
      <c r="C117" s="3631"/>
      <c r="D117" s="3640"/>
      <c r="E117" s="3652" t="s">
        <v>516</v>
      </c>
      <c r="F117" s="3653">
        <f t="array" ref="F117">IFERROR(VLOOKUP(E101,Dex!$B$3:$N249,11,FALSE),"")</f>
        <v>100</v>
      </c>
      <c r="G117" s="3654" t="str">
        <f t="array" ref="G117">IFERROR(VLOOKUP(F117,Dex!$P$22:$Q$276,2,FALSE),"")</f>
        <v/>
      </c>
      <c r="H117" s="3655"/>
      <c r="I117" s="5974"/>
      <c r="J117" s="3652" t="s">
        <v>516</v>
      </c>
      <c r="K117" s="3653">
        <f t="array" ref="K117">IFERROR(VLOOKUP(J101,Dex!$B$3:$N249,11,FALSE),"")</f>
        <v>60</v>
      </c>
      <c r="L117" s="3654" t="str">
        <f t="array" ref="L117">IFERROR(VLOOKUP(K117,Dex!$P$22:$Q$276,2,FALSE),"")</f>
        <v/>
      </c>
      <c r="M117" s="3655"/>
      <c r="N117" s="5975"/>
      <c r="O117" s="3652" t="s">
        <v>516</v>
      </c>
      <c r="P117" s="3653">
        <f t="array" ref="P117">IFERROR(VLOOKUP(O101,Dex!$B$3:$N249,11,FALSE),"")</f>
        <v>74</v>
      </c>
      <c r="Q117" s="3654" t="str">
        <f t="array" ref="Q117">IFERROR(VLOOKUP(P117,Dex!$P$22:$Q$276,2,FALSE),"")</f>
        <v/>
      </c>
      <c r="R117" s="3655"/>
      <c r="S117" s="5791"/>
      <c r="T117" s="3652" t="s">
        <v>516</v>
      </c>
      <c r="U117" s="3653">
        <f t="array" ref="U117">IFERROR(VLOOKUP(T101,Dex!$B$3:$N249,11,FALSE),"")</f>
        <v>100</v>
      </c>
      <c r="V117" s="3654" t="str">
        <f t="array" ref="V117">IFERROR(VLOOKUP(U117,Dex!$P$22:$Q$276,2,FALSE),"")</f>
        <v/>
      </c>
      <c r="W117" s="3655"/>
      <c r="X117" s="5791"/>
      <c r="Y117" s="3652" t="s">
        <v>516</v>
      </c>
      <c r="Z117" s="3653">
        <f t="array" ref="Z117">IFERROR(VLOOKUP(Y101,Dex!$B$3:$N249,11,FALSE),"")</f>
        <v>145</v>
      </c>
      <c r="AA117" s="3654" t="str">
        <f t="array" ref="AA117">IFERROR(VLOOKUP(Z117,Dex!$P$22:$Q$276,2,FALSE),"")</f>
        <v/>
      </c>
      <c r="AB117" s="3655"/>
      <c r="AC117" s="5791"/>
      <c r="AD117" s="3652" t="s">
        <v>516</v>
      </c>
      <c r="AE117" s="3653">
        <f t="array" ref="AE117">IFERROR(VLOOKUP(AD101,Dex!$B$3:$N249,11,FALSE),"")</f>
        <v>85</v>
      </c>
      <c r="AF117" s="3654" t="str">
        <f t="array" ref="AF117">IFERROR(VLOOKUP(AE117,Dex!$P$22:$Q$276,2,FALSE),"")</f>
        <v/>
      </c>
      <c r="AG117" s="3655"/>
      <c r="AH117" s="5786"/>
      <c r="AI117" s="3543"/>
    </row>
    <row r="118" ht="16.5" customHeight="1">
      <c r="A118" s="3535"/>
      <c r="B118" s="3639"/>
      <c r="C118" s="3631"/>
      <c r="D118" s="3640"/>
      <c r="E118" s="3652" t="s">
        <v>517</v>
      </c>
      <c r="F118" s="3653">
        <f t="array" ref="F118">IFERROR(VLOOKUP(E101,Dex!$B$3:$N249,12,FALSE),"")</f>
        <v>100</v>
      </c>
      <c r="G118" s="3654" t="str">
        <f t="array" ref="G118">IFERROR(VLOOKUP(F118,Dex!$P$22:$Q$276,2,FALSE),"")</f>
        <v/>
      </c>
      <c r="H118" s="3655"/>
      <c r="I118" s="5974"/>
      <c r="J118" s="3652" t="s">
        <v>517</v>
      </c>
      <c r="K118" s="3653">
        <f t="array" ref="K118">IFERROR(VLOOKUP(J101,Dex!$B$3:$N249,12,FALSE),"")</f>
        <v>105</v>
      </c>
      <c r="L118" s="3654" t="str">
        <f t="array" ref="L118">IFERROR(VLOOKUP(K118,Dex!$P$22:$Q$276,2,FALSE),"")</f>
        <v/>
      </c>
      <c r="M118" s="3655"/>
      <c r="N118" s="5975"/>
      <c r="O118" s="3652" t="s">
        <v>517</v>
      </c>
      <c r="P118" s="3653">
        <f t="array" ref="P118">IFERROR(VLOOKUP(O101,Dex!$B$3:$N249,12,FALSE),"")</f>
        <v>63</v>
      </c>
      <c r="Q118" s="3654" t="str">
        <f t="array" ref="Q118">IFERROR(VLOOKUP(P118,Dex!$P$22:$Q$276,2,FALSE),"")</f>
        <v/>
      </c>
      <c r="R118" s="3655"/>
      <c r="S118" s="5791"/>
      <c r="T118" s="3652" t="s">
        <v>517</v>
      </c>
      <c r="U118" s="3653">
        <f t="array" ref="U118">IFERROR(VLOOKUP(T101,Dex!$B$3:$N249,12,FALSE),"")</f>
        <v>85</v>
      </c>
      <c r="V118" s="3654" t="str">
        <f t="array" ref="V118">IFERROR(VLOOKUP(U118,Dex!$P$22:$Q$276,2,FALSE),"")</f>
        <v/>
      </c>
      <c r="W118" s="3655"/>
      <c r="X118" s="5791"/>
      <c r="Y118" s="3652" t="s">
        <v>517</v>
      </c>
      <c r="Z118" s="3653">
        <f t="array" ref="Z118">IFERROR(VLOOKUP(Y101,Dex!$B$3:$N249,12,FALSE),"")</f>
        <v>130</v>
      </c>
      <c r="AA118" s="3654" t="str">
        <f t="array" ref="AA118">IFERROR(VLOOKUP(Z118,Dex!$P$22:$Q$276,2,FALSE),"")</f>
        <v/>
      </c>
      <c r="AB118" s="3655"/>
      <c r="AC118" s="5791"/>
      <c r="AD118" s="3652" t="s">
        <v>517</v>
      </c>
      <c r="AE118" s="3653">
        <f t="array" ref="AE118">IFERROR(VLOOKUP(AD101,Dex!$B$3:$N249,12,FALSE),"")</f>
        <v>90</v>
      </c>
      <c r="AF118" s="3654" t="str">
        <f t="array" ref="AF118">IFERROR(VLOOKUP(AE118,Dex!$P$22:$Q$276,2,FALSE),"")</f>
        <v/>
      </c>
      <c r="AG118" s="3655"/>
      <c r="AH118" s="5786"/>
      <c r="AI118" s="3543"/>
    </row>
    <row r="119" ht="16.5" customHeight="1">
      <c r="A119" s="3535"/>
      <c r="B119" s="3639"/>
      <c r="C119" s="1426" t="s">
        <v>745</v>
      </c>
      <c r="D119" s="3640"/>
      <c r="E119" s="3658" t="s">
        <v>518</v>
      </c>
      <c r="F119" s="3659">
        <f t="array" ref="F119">IFERROR(VLOOKUP(E101,Dex!$B$3:$N249,13,FALSE),"")</f>
        <v>100</v>
      </c>
      <c r="G119" s="3660" t="str">
        <f t="array" ref="G119">IFERROR(VLOOKUP(F119,Dex!$P$22:$Q$276,2,FALSE),"")</f>
        <v/>
      </c>
      <c r="H119" s="3661"/>
      <c r="I119" s="5974"/>
      <c r="J119" s="3658" t="s">
        <v>518</v>
      </c>
      <c r="K119" s="3659">
        <f t="array" ref="K119">IFERROR(VLOOKUP(J101,Dex!$B$3:$N249,13,FALSE),"")</f>
        <v>20</v>
      </c>
      <c r="L119" s="3660" t="str">
        <f t="array" ref="L119">IFERROR(VLOOKUP(K119,Dex!$P$22:$Q$276,2,FALSE),"")</f>
        <v/>
      </c>
      <c r="M119" s="3661"/>
      <c r="N119" s="5975"/>
      <c r="O119" s="3658" t="s">
        <v>518</v>
      </c>
      <c r="P119" s="3659">
        <f t="array" ref="P119">IFERROR(VLOOKUP(O101,Dex!$B$3:$N249,13,FALSE),"")</f>
        <v>118</v>
      </c>
      <c r="Q119" s="5477" t="str">
        <f t="array" ref="Q119">IFERROR(VLOOKUP(P119,Dex!$P$22:$Q$276,2,FALSE),"")</f>
        <v/>
      </c>
      <c r="R119" s="5478"/>
      <c r="S119" s="5791"/>
      <c r="T119" s="3658" t="s">
        <v>518</v>
      </c>
      <c r="U119" s="3659">
        <f t="array" ref="U119">IFERROR(VLOOKUP(T101,Dex!$B$3:$N249,13,FALSE),"")</f>
        <v>115</v>
      </c>
      <c r="V119" s="3660" t="str">
        <f t="array" ref="V119">IFERROR(VLOOKUP(U119,Dex!$P$22:$Q$276,2,FALSE),"")</f>
        <v/>
      </c>
      <c r="W119" s="3661"/>
      <c r="X119" s="5791"/>
      <c r="Y119" s="3658" t="s">
        <v>518</v>
      </c>
      <c r="Z119" s="3659">
        <f t="array" ref="Z119">IFERROR(VLOOKUP(Y101,Dex!$B$3:$N249,13,FALSE),"")</f>
        <v>55</v>
      </c>
      <c r="AA119" s="5477" t="str">
        <f t="array" ref="AA119">IFERROR(VLOOKUP(Z119,Dex!$P$22:$Q$276,2,FALSE),"")</f>
        <v/>
      </c>
      <c r="AB119" s="5478"/>
      <c r="AC119" s="5791"/>
      <c r="AD119" s="3658" t="s">
        <v>518</v>
      </c>
      <c r="AE119" s="3659">
        <f t="array" ref="AE119">IFERROR(VLOOKUP(AD101,Dex!$B$3:$N249,13,FALSE),"")</f>
        <v>81</v>
      </c>
      <c r="AF119" s="3660" t="str">
        <f t="array" ref="AF119">IFERROR(VLOOKUP(AE119,Dex!$P$22:$Q$276,2,FALSE),"")</f>
        <v/>
      </c>
      <c r="AG119" s="3661"/>
      <c r="AH119" s="5786"/>
      <c r="AI119" s="3543"/>
    </row>
    <row r="120" ht="16.5" customHeight="1">
      <c r="A120" s="3535"/>
      <c r="B120" s="3639"/>
      <c r="C120" s="1427" t="s">
        <v>746</v>
      </c>
      <c r="D120" s="4590"/>
      <c r="E120" s="3662" t="s">
        <v>519</v>
      </c>
      <c r="F120" s="630"/>
      <c r="G120" s="631"/>
      <c r="H120" s="632">
        <f>ROUNDDOWN((ROUNDDOWN(((((2*F119+31)*68)/100+5)),0))*1.1,0)</f>
        <v>178</v>
      </c>
      <c r="I120" s="3642"/>
      <c r="J120" s="3662" t="s">
        <v>519</v>
      </c>
      <c r="K120" s="630"/>
      <c r="L120" s="631"/>
      <c r="M120" s="632">
        <f>ROUNDDOWN((ROUNDDOWN(((((2*K119+31)*68)/100+5)),0))*1,0)</f>
        <v>53</v>
      </c>
      <c r="N120" s="4590"/>
      <c r="O120" s="4593" t="s">
        <v>519</v>
      </c>
      <c r="P120" s="635"/>
      <c r="Q120" s="636"/>
      <c r="R120" s="632">
        <f>ROUNDDOWN((ROUNDDOWN(((((2*P119+31)*68)/100+5)),0))*1,0)</f>
        <v>186</v>
      </c>
      <c r="S120" s="4592"/>
      <c r="T120" s="3662" t="s">
        <v>519</v>
      </c>
      <c r="U120" s="630"/>
      <c r="V120" s="631"/>
      <c r="W120" s="632">
        <f>ROUNDDOWN((ROUNDDOWN(((((2*U119+31)*68)/100+5)),0))*1.1,0)</f>
        <v>200</v>
      </c>
      <c r="X120" s="4592"/>
      <c r="Y120" s="4593" t="s">
        <v>519</v>
      </c>
      <c r="Z120" s="635"/>
      <c r="AA120" s="636"/>
      <c r="AB120" s="632">
        <f>ROUNDDOWN((ROUNDDOWN(((((2*Z119+31)*68)/100+5)),0))*1.1,0)</f>
        <v>110</v>
      </c>
      <c r="AC120" s="4592"/>
      <c r="AD120" s="3662" t="s">
        <v>519</v>
      </c>
      <c r="AE120" s="630"/>
      <c r="AF120" s="631"/>
      <c r="AG120" s="632">
        <f>ROUNDDOWN((ROUNDDOWN(((((2*AE119+31)*68)/100+5)),0))*1,0)</f>
        <v>136</v>
      </c>
      <c r="AH120" s="3645"/>
      <c r="AI120" s="3543"/>
    </row>
    <row r="121" ht="16.5" customHeight="1">
      <c r="A121" s="3535"/>
      <c r="B121" s="4594"/>
      <c r="C121" s="3631"/>
      <c r="D121" s="5480"/>
      <c r="E121" s="5481"/>
      <c r="F121" s="5481"/>
      <c r="G121" s="5481"/>
      <c r="H121" s="5479"/>
      <c r="I121" s="4596"/>
      <c r="J121" s="5481"/>
      <c r="K121" s="5481"/>
      <c r="L121" s="5481"/>
      <c r="M121" s="5479"/>
      <c r="N121" s="5480"/>
      <c r="O121" s="4597" t="s">
        <v>594</v>
      </c>
      <c r="P121" s="643"/>
      <c r="Q121" s="644"/>
      <c r="R121" s="5916">
        <f>R120*2</f>
        <v>372</v>
      </c>
      <c r="S121" s="4598"/>
      <c r="T121" s="5481"/>
      <c r="U121" s="5481"/>
      <c r="V121" s="5481"/>
      <c r="W121" s="5479"/>
      <c r="X121" s="4598"/>
      <c r="Y121" s="4597" t="s">
        <v>594</v>
      </c>
      <c r="Z121" s="643"/>
      <c r="AA121" s="644"/>
      <c r="AB121" s="5916">
        <f>AB120*2</f>
        <v>220</v>
      </c>
      <c r="AC121" s="4599"/>
      <c r="AD121" s="5481"/>
      <c r="AE121" s="5481"/>
      <c r="AF121" s="5481"/>
      <c r="AG121" s="5479"/>
      <c r="AH121" s="4600"/>
      <c r="AI121" s="3543"/>
    </row>
    <row r="122" ht="15.0" customHeight="1">
      <c r="A122" s="3453"/>
      <c r="B122" s="3663"/>
      <c r="C122" s="3664"/>
      <c r="D122" s="3665"/>
      <c r="E122" s="3666"/>
      <c r="F122" s="3666"/>
      <c r="G122" s="3666"/>
      <c r="H122" s="3667"/>
      <c r="I122" s="3667"/>
      <c r="J122" s="3666"/>
      <c r="K122" s="3666"/>
      <c r="L122" s="3666"/>
      <c r="M122" s="3667"/>
      <c r="N122" s="3669"/>
      <c r="O122" s="3666"/>
      <c r="P122" s="3666"/>
      <c r="Q122" s="3666"/>
      <c r="R122" s="3667"/>
      <c r="S122" s="3671"/>
      <c r="T122" s="3666"/>
      <c r="U122" s="3666"/>
      <c r="V122" s="3666"/>
      <c r="W122" s="3667"/>
      <c r="X122" s="3669"/>
      <c r="Y122" s="3666"/>
      <c r="Z122" s="3666"/>
      <c r="AA122" s="3666"/>
      <c r="AB122" s="3667"/>
      <c r="AC122" s="3672"/>
      <c r="AD122" s="3666"/>
      <c r="AE122" s="3666"/>
      <c r="AF122" s="3666"/>
      <c r="AG122" s="3667"/>
      <c r="AH122" s="3673"/>
      <c r="AI122" s="3543"/>
    </row>
    <row r="123" ht="15.0" customHeight="1">
      <c r="A123" s="3689"/>
      <c r="B123" s="5976"/>
      <c r="C123" s="5977"/>
      <c r="D123" s="5978"/>
      <c r="E123" s="5979"/>
      <c r="F123" s="5979"/>
      <c r="G123" s="5979"/>
      <c r="H123" s="5979"/>
      <c r="I123" s="5977"/>
      <c r="J123" s="5979"/>
      <c r="K123" s="5979"/>
      <c r="L123" s="5979"/>
      <c r="M123" s="5979"/>
      <c r="N123" s="5977"/>
      <c r="O123" s="5979"/>
      <c r="P123" s="5979"/>
      <c r="Q123" s="5979"/>
      <c r="R123" s="5979"/>
      <c r="S123" s="5977"/>
      <c r="T123" s="5979"/>
      <c r="U123" s="5979"/>
      <c r="V123" s="5979"/>
      <c r="W123" s="5979"/>
      <c r="X123" s="5977"/>
      <c r="Y123" s="5979"/>
      <c r="Z123" s="5979"/>
      <c r="AA123" s="5979"/>
      <c r="AB123" s="5979"/>
      <c r="AC123" s="5977"/>
      <c r="AD123" s="5979"/>
      <c r="AE123" s="5979"/>
      <c r="AF123" s="5979"/>
      <c r="AG123" s="5979"/>
      <c r="AH123" s="5980"/>
      <c r="AI123" s="3700"/>
    </row>
    <row r="124" ht="96.75" customHeight="1">
      <c r="A124" s="3689"/>
      <c r="B124" s="5981"/>
      <c r="C124" s="5982" t="str">
        <f>IMAGE("https://i.ibb.co/ZTK3dwM/Jojo-Fan.png")</f>
        <v/>
      </c>
      <c r="D124" s="5983"/>
      <c r="E124" s="5984" t="str">
        <f t="array" ref="E124">IFERROR(VLOOKUP(E125,Dex!$B$3:$G249,3,FALSE),"")</f>
        <v/>
      </c>
      <c r="F124" s="1945"/>
      <c r="G124" s="1945"/>
      <c r="H124" s="1946"/>
      <c r="I124" s="5985"/>
      <c r="J124" s="5984" t="str">
        <f t="array" ref="J124">IFERROR(VLOOKUP(J125,Dex!$B$3:$G249,3,FALSE),"")</f>
        <v/>
      </c>
      <c r="K124" s="1945"/>
      <c r="L124" s="1945"/>
      <c r="M124" s="1946"/>
      <c r="N124" s="5985"/>
      <c r="O124" s="5984" t="str">
        <f t="array" ref="O124">IFERROR(VLOOKUP(O125,Dex!$B$3:$G249,3,FALSE),"")</f>
        <v/>
      </c>
      <c r="P124" s="1945"/>
      <c r="Q124" s="1945"/>
      <c r="R124" s="1946"/>
      <c r="S124" s="5985"/>
      <c r="T124" s="5984" t="str">
        <f t="array" ref="T124">IFERROR(VLOOKUP(T125,Dex!$B$3:$G249,3,FALSE),"")</f>
        <v/>
      </c>
      <c r="U124" s="1945"/>
      <c r="V124" s="1945"/>
      <c r="W124" s="1946"/>
      <c r="X124" s="5985"/>
      <c r="Y124" s="5984" t="str">
        <f t="array" ref="Y124">IFERROR(VLOOKUP(Y125,Dex!$B$3:$G249,3,FALSE),"")</f>
        <v/>
      </c>
      <c r="Z124" s="1945"/>
      <c r="AA124" s="1945"/>
      <c r="AB124" s="1946"/>
      <c r="AC124" s="5985"/>
      <c r="AD124" s="5984" t="str">
        <f t="array" ref="AD124">IFERROR(VLOOKUP(AD125,Dex!$B$3:$G249,3,FALSE),"")</f>
        <v/>
      </c>
      <c r="AE124" s="1945"/>
      <c r="AF124" s="1945"/>
      <c r="AG124" s="1946"/>
      <c r="AH124" s="5986"/>
      <c r="AI124" s="3700"/>
    </row>
    <row r="125" ht="18.75" customHeight="1">
      <c r="A125" s="3689"/>
      <c r="B125" s="5981"/>
      <c r="C125" s="5987" t="s">
        <v>1813</v>
      </c>
      <c r="D125" s="5988"/>
      <c r="E125" s="5989" t="s">
        <v>653</v>
      </c>
      <c r="F125" s="5990"/>
      <c r="G125" s="5990"/>
      <c r="H125" s="5991"/>
      <c r="J125" s="5989" t="s">
        <v>1814</v>
      </c>
      <c r="K125" s="5990"/>
      <c r="L125" s="5990"/>
      <c r="M125" s="5991"/>
      <c r="O125" s="5989" t="s">
        <v>597</v>
      </c>
      <c r="P125" s="5990"/>
      <c r="Q125" s="5990"/>
      <c r="R125" s="5991"/>
      <c r="T125" s="5989" t="s">
        <v>999</v>
      </c>
      <c r="U125" s="5990"/>
      <c r="V125" s="5990"/>
      <c r="W125" s="5991"/>
      <c r="Y125" s="5989" t="s">
        <v>1815</v>
      </c>
      <c r="Z125" s="5990"/>
      <c r="AA125" s="5990"/>
      <c r="AB125" s="5991"/>
      <c r="AD125" s="5989" t="s">
        <v>1816</v>
      </c>
      <c r="AE125" s="5990"/>
      <c r="AF125" s="5990"/>
      <c r="AG125" s="5991"/>
      <c r="AH125" s="5986"/>
      <c r="AI125" s="3700"/>
    </row>
    <row r="126">
      <c r="A126" s="3689"/>
      <c r="B126" s="5981"/>
      <c r="C126" s="1638"/>
      <c r="D126" s="5988"/>
      <c r="E126" s="5992" t="s">
        <v>729</v>
      </c>
      <c r="F126" s="5993"/>
      <c r="G126" s="5993"/>
      <c r="H126" s="5994"/>
      <c r="J126" s="5992" t="s">
        <v>729</v>
      </c>
      <c r="K126" s="5993"/>
      <c r="L126" s="5993"/>
      <c r="M126" s="5994"/>
      <c r="O126" s="5992" t="s">
        <v>729</v>
      </c>
      <c r="P126" s="5993"/>
      <c r="Q126" s="5993"/>
      <c r="R126" s="5994"/>
      <c r="T126" s="5992" t="s">
        <v>729</v>
      </c>
      <c r="U126" s="5993"/>
      <c r="V126" s="5993"/>
      <c r="W126" s="5994"/>
      <c r="Y126" s="5992" t="s">
        <v>729</v>
      </c>
      <c r="Z126" s="5993"/>
      <c r="AA126" s="5993"/>
      <c r="AB126" s="5994"/>
      <c r="AD126" s="5992" t="s">
        <v>729</v>
      </c>
      <c r="AE126" s="5993"/>
      <c r="AF126" s="5993"/>
      <c r="AG126" s="5994"/>
      <c r="AH126" s="5986"/>
      <c r="AI126" s="3700"/>
    </row>
    <row r="127" ht="25.5" customHeight="1">
      <c r="A127" s="3689"/>
      <c r="B127" s="5981"/>
      <c r="C127" s="1646"/>
      <c r="D127" s="5995"/>
      <c r="E127" s="5996"/>
      <c r="F127" s="5997" t="str">
        <f t="array" ref="F127">IFERROR(VLOOKUP(E125,Dex!$B$3:$H249,5,FALSE),"")</f>
        <v/>
      </c>
      <c r="G127" s="5998" t="str">
        <f t="array" ref="G127">IFERROR(VLOOKUP(E125,Dex!$B$3:$H249,7,FALSE),"")</f>
        <v/>
      </c>
      <c r="H127" s="5999"/>
      <c r="J127" s="5996"/>
      <c r="K127" s="5997" t="str">
        <f t="array" ref="K127">IFERROR(VLOOKUP(J125,Dex!$B$3:$H249,5,FALSE),"")</f>
        <v/>
      </c>
      <c r="L127" s="5998" t="str">
        <f t="array" ref="L127">IFERROR(VLOOKUP(J125,Dex!$B$3:$H249,7,FALSE),"")</f>
        <v/>
      </c>
      <c r="M127" s="5999"/>
      <c r="O127" s="5996"/>
      <c r="P127" s="5997" t="str">
        <f t="array" ref="P127">IFERROR(VLOOKUP(O125,Dex!$B$3:$H249,5,FALSE),"")</f>
        <v/>
      </c>
      <c r="Q127" s="5998" t="str">
        <f t="array" ref="Q127">IFERROR(VLOOKUP(O125,Dex!$B$3:$H249,7,FALSE),"")</f>
        <v/>
      </c>
      <c r="R127" s="5999"/>
      <c r="T127" s="5996"/>
      <c r="U127" s="6000" t="str">
        <f t="array" ref="U127">IFERROR(VLOOKUP(T125,Dex!$B$3:$H249,5,FALSE),"")</f>
        <v/>
      </c>
      <c r="V127" s="6001"/>
      <c r="W127" s="5999"/>
      <c r="Y127" s="5996"/>
      <c r="Z127" s="5997" t="str">
        <f t="array" ref="Z127">IFERROR(VLOOKUP(Y125,Dex!$B$3:$H249,5,FALSE),"")</f>
        <v/>
      </c>
      <c r="AA127" s="5998" t="str">
        <f t="array" ref="AA127">IFERROR(VLOOKUP(Y125,Dex!$B$3:$H249,7,FALSE),"")</f>
        <v/>
      </c>
      <c r="AB127" s="5999"/>
      <c r="AD127" s="5996"/>
      <c r="AE127" s="6000" t="str">
        <f t="array" ref="AE127">IFERROR(VLOOKUP(AD125,Dex!$B$3:$H249,5,FALSE),"")</f>
        <v/>
      </c>
      <c r="AF127" s="6001"/>
      <c r="AG127" s="5999"/>
      <c r="AH127" s="6002"/>
      <c r="AI127" s="3700"/>
    </row>
    <row r="128" ht="2.25" customHeight="1">
      <c r="A128" s="3689"/>
      <c r="B128" s="5981"/>
      <c r="C128" s="6003"/>
      <c r="D128" s="5995"/>
      <c r="E128" s="6004"/>
      <c r="F128" s="6005"/>
      <c r="G128" s="6005"/>
      <c r="H128" s="6006"/>
      <c r="J128" s="6004"/>
      <c r="K128" s="6005"/>
      <c r="L128" s="6005"/>
      <c r="M128" s="6006"/>
      <c r="O128" s="6004"/>
      <c r="P128" s="6005"/>
      <c r="Q128" s="6005"/>
      <c r="R128" s="6006"/>
      <c r="T128" s="6004"/>
      <c r="U128" s="6005"/>
      <c r="V128" s="6005"/>
      <c r="W128" s="6006"/>
      <c r="Y128" s="6004"/>
      <c r="Z128" s="6005"/>
      <c r="AA128" s="6005"/>
      <c r="AB128" s="6006"/>
      <c r="AD128" s="6004"/>
      <c r="AE128" s="6005"/>
      <c r="AF128" s="6005"/>
      <c r="AG128" s="6006"/>
      <c r="AH128" s="6002"/>
      <c r="AI128" s="3700"/>
    </row>
    <row r="129" ht="20.25" customHeight="1">
      <c r="A129" s="3689"/>
      <c r="B129" s="5981"/>
      <c r="C129" s="6003"/>
      <c r="D129" s="6007"/>
      <c r="E129" s="6008" t="s">
        <v>532</v>
      </c>
      <c r="F129" s="6009"/>
      <c r="G129" s="6009"/>
      <c r="H129" s="6010"/>
      <c r="J129" s="6008" t="s">
        <v>633</v>
      </c>
      <c r="K129" s="6009"/>
      <c r="L129" s="6009"/>
      <c r="M129" s="6010"/>
      <c r="O129" s="6008" t="s">
        <v>532</v>
      </c>
      <c r="P129" s="6009"/>
      <c r="Q129" s="6009"/>
      <c r="R129" s="6010"/>
      <c r="T129" s="6008" t="s">
        <v>564</v>
      </c>
      <c r="U129" s="6009"/>
      <c r="V129" s="6009"/>
      <c r="W129" s="6010"/>
      <c r="Y129" s="6008" t="s">
        <v>564</v>
      </c>
      <c r="Z129" s="6009"/>
      <c r="AA129" s="6009"/>
      <c r="AB129" s="6010"/>
      <c r="AD129" s="6008" t="s">
        <v>566</v>
      </c>
      <c r="AE129" s="6009"/>
      <c r="AF129" s="6009"/>
      <c r="AG129" s="6010"/>
      <c r="AH129" s="5986"/>
      <c r="AI129" s="3700"/>
    </row>
    <row r="130">
      <c r="A130" s="3689"/>
      <c r="B130" s="5981"/>
      <c r="C130" s="6011"/>
      <c r="D130" s="6007"/>
      <c r="E130" s="6012" t="s">
        <v>659</v>
      </c>
      <c r="F130" s="6013"/>
      <c r="G130" s="6013"/>
      <c r="H130" s="6014"/>
      <c r="J130" s="6012" t="s">
        <v>1817</v>
      </c>
      <c r="K130" s="6013"/>
      <c r="L130" s="6013"/>
      <c r="M130" s="6014"/>
      <c r="O130" s="6012" t="s">
        <v>603</v>
      </c>
      <c r="P130" s="6013"/>
      <c r="Q130" s="6013"/>
      <c r="R130" s="6014"/>
      <c r="T130" s="6012" t="s">
        <v>1002</v>
      </c>
      <c r="U130" s="6013"/>
      <c r="V130" s="6013"/>
      <c r="W130" s="6014"/>
      <c r="Y130" s="6012" t="s">
        <v>86</v>
      </c>
      <c r="Z130" s="6013"/>
      <c r="AA130" s="6013"/>
      <c r="AB130" s="6014"/>
      <c r="AD130" s="6012" t="s">
        <v>1818</v>
      </c>
      <c r="AE130" s="6013"/>
      <c r="AF130" s="6013"/>
      <c r="AG130" s="6014"/>
      <c r="AH130" s="5986"/>
      <c r="AI130" s="3700"/>
    </row>
    <row r="131" ht="20.25" customHeight="1">
      <c r="A131" s="3689"/>
      <c r="B131" s="5981"/>
      <c r="C131" s="6015"/>
      <c r="D131" s="6007"/>
      <c r="E131" s="6016" t="s">
        <v>573</v>
      </c>
      <c r="F131" s="6017"/>
      <c r="G131" s="6018"/>
      <c r="H131" s="6019" t="str">
        <f>IMAGE("https://raw.githubusercontent.com/msikma/pokesprite/master/items/hold-item/focus-sash.png",3)</f>
        <v/>
      </c>
      <c r="J131" s="6016" t="s">
        <v>733</v>
      </c>
      <c r="K131" s="6017"/>
      <c r="L131" s="6018"/>
      <c r="M131" s="6019" t="str">
        <f>IMAGE("https://raw.githubusercontent.com/msikma/pokesprite/master/items/hold-item/leftovers.png",3)</f>
        <v/>
      </c>
      <c r="O131" s="6020" t="s">
        <v>606</v>
      </c>
      <c r="P131" s="6017"/>
      <c r="Q131" s="6018"/>
      <c r="R131" s="6019" t="str">
        <f>IMAGE("https://i.ibb.co/6ZBsLZp/corner.png",4,28,28)</f>
        <v/>
      </c>
      <c r="T131" s="6016" t="s">
        <v>1445</v>
      </c>
      <c r="U131" s="6017"/>
      <c r="V131" s="6018"/>
      <c r="W131" s="6019" t="str">
        <f>IMAGE("https://raw.githubusercontent.com/msikma/pokesprite/master/items/hold-item/choice-scarf.png",3)</f>
        <v/>
      </c>
      <c r="Y131" s="6016" t="s">
        <v>541</v>
      </c>
      <c r="Z131" s="6017"/>
      <c r="AA131" s="6018"/>
      <c r="AB131" s="6019" t="str">
        <f>IMAGE("https://raw.githubusercontent.com/msikma/pokesprite/master/items/hold-item/life-orb.png",3)</f>
        <v/>
      </c>
      <c r="AD131" s="6016" t="s">
        <v>1819</v>
      </c>
      <c r="AE131" s="6017"/>
      <c r="AF131" s="6018"/>
      <c r="AG131" s="6019" t="str">
        <f>IMAGE("https://raw.githubusercontent.com/msikma/pokesprite/master/items/mega-stone/aggronite.png",3)</f>
        <v/>
      </c>
      <c r="AH131" s="6002"/>
      <c r="AI131" s="3700"/>
    </row>
    <row r="132" ht="20.25" customHeight="1">
      <c r="A132" s="3689"/>
      <c r="B132" s="5981"/>
      <c r="C132" s="6021"/>
      <c r="D132" s="6007"/>
      <c r="E132" s="6022" t="s">
        <v>1820</v>
      </c>
      <c r="F132" s="6023"/>
      <c r="G132" s="6024"/>
      <c r="H132" s="6025" t="str">
        <f>IMAGE("https://raw.githubusercontent.com/msikma/pokesprite/master/misc/types/gen8/dark.png",4,20,20)</f>
        <v/>
      </c>
      <c r="J132" s="6022" t="s">
        <v>647</v>
      </c>
      <c r="K132" s="6023"/>
      <c r="L132" s="6024"/>
      <c r="M132" s="6025" t="str">
        <f>IMAGE("https://raw.githubusercontent.com/msikma/pokesprite/master/misc/types/gen8/ghost.png",4,20,20)</f>
        <v/>
      </c>
      <c r="O132" s="6022" t="s">
        <v>609</v>
      </c>
      <c r="P132" s="6023"/>
      <c r="Q132" s="6024"/>
      <c r="R132" s="6025" t="str">
        <f>IMAGE("https://raw.githubusercontent.com/msikma/pokesprite/master/misc/types/gen8/rock.png",4,20,20)</f>
        <v/>
      </c>
      <c r="T132" s="6022" t="s">
        <v>1211</v>
      </c>
      <c r="U132" s="6023"/>
      <c r="V132" s="6024"/>
      <c r="W132" s="6025" t="str">
        <f>IMAGE("https://raw.githubusercontent.com/msikma/pokesprite/master/misc/types/gen8/fire.png",4,20,20)</f>
        <v/>
      </c>
      <c r="Y132" s="6022" t="s">
        <v>259</v>
      </c>
      <c r="Z132" s="6023"/>
      <c r="AA132" s="6024"/>
      <c r="AB132" s="6025" t="str">
        <f>IMAGE("https://raw.githubusercontent.com/msikma/pokesprite/master/misc/types/gen8/dark.png",4,20,20)</f>
        <v/>
      </c>
      <c r="AD132" s="6022" t="s">
        <v>495</v>
      </c>
      <c r="AE132" s="6023"/>
      <c r="AF132" s="6024"/>
      <c r="AG132" s="6025" t="str">
        <f>IMAGE("https://raw.githubusercontent.com/msikma/pokesprite/master/misc/types/gen8/fighting.png",4,20,20)</f>
        <v/>
      </c>
      <c r="AH132" s="6002"/>
      <c r="AI132" s="3700"/>
    </row>
    <row r="133" ht="20.25" customHeight="1">
      <c r="A133" s="3689"/>
      <c r="B133" s="5981"/>
      <c r="C133" s="6003"/>
      <c r="D133" s="6007"/>
      <c r="E133" s="6012" t="s">
        <v>548</v>
      </c>
      <c r="F133" s="6013"/>
      <c r="G133" s="6026"/>
      <c r="H133" s="6027" t="str">
        <f>IMAGE("https://raw.githubusercontent.com/msikma/pokesprite/master/misc/types/gen8/fighting.png",4,20,20)</f>
        <v/>
      </c>
      <c r="J133" s="6012" t="s">
        <v>1821</v>
      </c>
      <c r="K133" s="6013"/>
      <c r="L133" s="6026"/>
      <c r="M133" s="6027" t="str">
        <f>IMAGE("https://raw.githubusercontent.com/msikma/pokesprite/master/misc/types/gen8/steel.png",4,20,20)</f>
        <v/>
      </c>
      <c r="O133" s="6012" t="s">
        <v>612</v>
      </c>
      <c r="P133" s="6013"/>
      <c r="Q133" s="6026"/>
      <c r="R133" s="6027" t="str">
        <f>IMAGE("https://raw.githubusercontent.com/msikma/pokesprite/master/misc/types/gen8/bug.png",4,20,20)</f>
        <v/>
      </c>
      <c r="T133" s="6012" t="s">
        <v>697</v>
      </c>
      <c r="U133" s="6013"/>
      <c r="V133" s="6026"/>
      <c r="W133" s="6027" t="str">
        <f>IMAGE("https://raw.githubusercontent.com/msikma/pokesprite/master/misc/types/gen8/dark.png",4,20,20)</f>
        <v/>
      </c>
      <c r="Y133" s="6012" t="s">
        <v>543</v>
      </c>
      <c r="Z133" s="6013"/>
      <c r="AA133" s="6026"/>
      <c r="AB133" s="6027" t="str">
        <f>IMAGE("https://raw.githubusercontent.com/msikma/pokesprite/master/misc/types/gen8/grass.png",4,20,20)</f>
        <v/>
      </c>
      <c r="AD133" s="6012" t="s">
        <v>831</v>
      </c>
      <c r="AE133" s="6013"/>
      <c r="AF133" s="6026"/>
      <c r="AG133" s="6027" t="str">
        <f>IMAGE("https://raw.githubusercontent.com/msikma/pokesprite/master/misc/types/gen8/steel.png",4,20,20)</f>
        <v/>
      </c>
      <c r="AH133" s="6002"/>
      <c r="AI133" s="3700"/>
    </row>
    <row r="134" ht="20.25" customHeight="1">
      <c r="A134" s="3689"/>
      <c r="B134" s="5981"/>
      <c r="C134" s="6003"/>
      <c r="D134" s="6007"/>
      <c r="E134" s="6012" t="s">
        <v>1020</v>
      </c>
      <c r="F134" s="6013"/>
      <c r="G134" s="6026"/>
      <c r="H134" s="6028" t="str">
        <f>IMAGE("https://raw.githubusercontent.com/msikma/pokesprite/master/misc/types/gen8/fire.png",4,20,20)</f>
        <v/>
      </c>
      <c r="J134" s="6012" t="s">
        <v>875</v>
      </c>
      <c r="K134" s="6013"/>
      <c r="L134" s="6026"/>
      <c r="M134" s="6028" t="str">
        <f>IMAGE("https://raw.githubusercontent.com/msikma/pokesprite/master/misc/types/gen8/ghost.png",4,20,20)</f>
        <v/>
      </c>
      <c r="O134" s="6012" t="s">
        <v>1392</v>
      </c>
      <c r="P134" s="6013"/>
      <c r="Q134" s="6026"/>
      <c r="R134" s="6028" t="str">
        <f>IMAGE("https://raw.githubusercontent.com/msikma/pokesprite/master/misc/types/gen8/grass.png",4,20,20)</f>
        <v/>
      </c>
      <c r="T134" s="6012" t="s">
        <v>590</v>
      </c>
      <c r="U134" s="6013"/>
      <c r="V134" s="6026"/>
      <c r="W134" s="6028" t="str">
        <f>IMAGE("https://raw.githubusercontent.com/msikma/pokesprite/master/misc/types/gen8/fighting.png",4,20,20)</f>
        <v/>
      </c>
      <c r="Y134" s="6012" t="s">
        <v>669</v>
      </c>
      <c r="Z134" s="6013"/>
      <c r="AA134" s="6026"/>
      <c r="AB134" s="6028" t="str">
        <f>IMAGE("https://raw.githubusercontent.com/msikma/pokesprite/master/misc/types/gen8/psychic.png",4,20,20)</f>
        <v/>
      </c>
      <c r="AD134" s="6012" t="s">
        <v>589</v>
      </c>
      <c r="AE134" s="6013"/>
      <c r="AF134" s="6026"/>
      <c r="AG134" s="6028" t="str">
        <f>IMAGE("https://raw.githubusercontent.com/msikma/pokesprite/master/misc/types/gen8/ice.png",4,20,20)</f>
        <v/>
      </c>
      <c r="AH134" s="6002"/>
      <c r="AI134" s="3700"/>
    </row>
    <row r="135" ht="21.0" customHeight="1">
      <c r="A135" s="3689"/>
      <c r="B135" s="5981"/>
      <c r="C135" s="6003"/>
      <c r="D135" s="6007"/>
      <c r="E135" s="6029" t="s">
        <v>1231</v>
      </c>
      <c r="F135" s="6030"/>
      <c r="G135" s="6031"/>
      <c r="H135" s="6032" t="str">
        <f>IMAGE("https://raw.githubusercontent.com/msikma/pokesprite/master/misc/types/gen8/poison.png",4,20,20)</f>
        <v/>
      </c>
      <c r="I135" s="6033"/>
      <c r="J135" s="6029" t="s">
        <v>646</v>
      </c>
      <c r="K135" s="6030"/>
      <c r="L135" s="6031"/>
      <c r="M135" s="6032" t="str">
        <f>IMAGE("https://raw.githubusercontent.com/msikma/pokesprite/master/misc/types/gen8/steel.png",4,20,20)</f>
        <v/>
      </c>
      <c r="N135" s="6033"/>
      <c r="O135" s="6029" t="s">
        <v>579</v>
      </c>
      <c r="P135" s="6030"/>
      <c r="Q135" s="6031"/>
      <c r="R135" s="6032" t="str">
        <f>IMAGE("https://raw.githubusercontent.com/msikma/pokesprite/master/misc/types/gen8/dark.png",4,20,20)</f>
        <v/>
      </c>
      <c r="S135" s="6033"/>
      <c r="T135" s="6034" t="s">
        <v>1265</v>
      </c>
      <c r="U135" s="6030"/>
      <c r="V135" s="6031"/>
      <c r="W135" s="6032" t="str">
        <f>IMAGE("https://raw.githubusercontent.com/msikma/pokesprite/master/misc/types/gen8/ground.png",4,20,20)</f>
        <v/>
      </c>
      <c r="X135" s="6033"/>
      <c r="Y135" s="6029" t="s">
        <v>644</v>
      </c>
      <c r="Z135" s="6030"/>
      <c r="AA135" s="6031"/>
      <c r="AB135" s="6032" t="str">
        <f>IMAGE("https://raw.githubusercontent.com/msikma/pokesprite/master/misc/types/gen8/ground.png",4,20,20)</f>
        <v/>
      </c>
      <c r="AC135" s="6033"/>
      <c r="AD135" s="6029" t="s">
        <v>548</v>
      </c>
      <c r="AE135" s="6030"/>
      <c r="AF135" s="6031"/>
      <c r="AG135" s="6032" t="str">
        <f>IMAGE("https://raw.githubusercontent.com/msikma/pokesprite/master/misc/types/gen8/fighting.png",4,20,20)</f>
        <v/>
      </c>
      <c r="AH135" s="6002"/>
      <c r="AI135" s="3700"/>
    </row>
    <row r="136" ht="3.0" customHeight="1">
      <c r="A136" s="3524"/>
      <c r="B136" s="6035"/>
      <c r="C136" s="6036"/>
      <c r="D136" s="6037"/>
      <c r="E136" s="6038"/>
      <c r="F136" s="6038"/>
      <c r="G136" s="6038"/>
      <c r="H136" s="6039"/>
      <c r="I136" s="6037"/>
      <c r="J136" s="6040"/>
      <c r="K136" s="6040"/>
      <c r="L136" s="6040"/>
      <c r="M136" s="6039"/>
      <c r="N136" s="6037"/>
      <c r="O136" s="6040"/>
      <c r="P136" s="6040"/>
      <c r="Q136" s="6040"/>
      <c r="R136" s="6039"/>
      <c r="S136" s="6039"/>
      <c r="T136" s="6040"/>
      <c r="U136" s="6040"/>
      <c r="V136" s="6040"/>
      <c r="W136" s="6039"/>
      <c r="X136" s="6037"/>
      <c r="Y136" s="6040"/>
      <c r="Z136" s="6040"/>
      <c r="AA136" s="6040"/>
      <c r="AB136" s="6039"/>
      <c r="AC136" s="6041"/>
      <c r="AD136" s="6040"/>
      <c r="AE136" s="6040"/>
      <c r="AF136" s="6040"/>
      <c r="AG136" s="6039"/>
      <c r="AH136" s="6042"/>
      <c r="AI136" s="3534"/>
    </row>
    <row r="137" ht="16.5" customHeight="1">
      <c r="A137" s="3535"/>
      <c r="B137" s="6043"/>
      <c r="C137" s="6036"/>
      <c r="D137" s="6044"/>
      <c r="E137" s="6045" t="s">
        <v>512</v>
      </c>
      <c r="F137" s="606"/>
      <c r="G137" s="606"/>
      <c r="H137" s="607"/>
      <c r="I137" s="6046"/>
      <c r="J137" s="6045" t="s">
        <v>512</v>
      </c>
      <c r="K137" s="606"/>
      <c r="L137" s="606"/>
      <c r="M137" s="607"/>
      <c r="N137" s="6047"/>
      <c r="O137" s="6045" t="s">
        <v>512</v>
      </c>
      <c r="P137" s="606"/>
      <c r="Q137" s="606"/>
      <c r="R137" s="607"/>
      <c r="S137" s="6048"/>
      <c r="T137" s="6045" t="s">
        <v>512</v>
      </c>
      <c r="U137" s="606"/>
      <c r="V137" s="606"/>
      <c r="W137" s="607"/>
      <c r="X137" s="6049"/>
      <c r="Y137" s="6045" t="s">
        <v>512</v>
      </c>
      <c r="Z137" s="606"/>
      <c r="AA137" s="606"/>
      <c r="AB137" s="607"/>
      <c r="AC137" s="6049"/>
      <c r="AD137" s="6045" t="s">
        <v>512</v>
      </c>
      <c r="AE137" s="606"/>
      <c r="AF137" s="606"/>
      <c r="AG137" s="607"/>
      <c r="AH137" s="6050"/>
      <c r="AI137" s="3543"/>
    </row>
    <row r="138" ht="16.5" customHeight="1">
      <c r="A138" s="3535"/>
      <c r="B138" s="6043"/>
      <c r="C138" s="6036"/>
      <c r="D138" s="6044"/>
      <c r="E138" s="6051" t="s">
        <v>513</v>
      </c>
      <c r="F138" s="6052">
        <f t="array" ref="F138">IFERROR(VLOOKUP(E125,Dex!$B$3:$N249,8,FALSE),"")</f>
        <v>80</v>
      </c>
      <c r="G138" s="6053" t="str">
        <f t="array" ref="G138">IFERROR(VLOOKUP(F138,Dex!$P$22:$Q$276,2,FALSE),"")</f>
        <v/>
      </c>
      <c r="H138" s="6054"/>
      <c r="I138" s="6055"/>
      <c r="J138" s="6051" t="s">
        <v>513</v>
      </c>
      <c r="K138" s="6052">
        <f t="array" ref="K138">IFERROR(VLOOKUP(J125,Dex!$B$3:$N249,8,FALSE),"")</f>
        <v>60</v>
      </c>
      <c r="L138" s="6053" t="str">
        <f t="array" ref="L138">IFERROR(VLOOKUP(K138,Dex!$P$22:$Q$276,2,FALSE),"")</f>
        <v/>
      </c>
      <c r="M138" s="6054"/>
      <c r="N138" s="6044"/>
      <c r="O138" s="6051" t="s">
        <v>513</v>
      </c>
      <c r="P138" s="6052">
        <f t="array" ref="P138">IFERROR(VLOOKUP(O125,Dex!$B$3:$N249,8,FALSE),"")</f>
        <v>80</v>
      </c>
      <c r="Q138" s="6053" t="str">
        <f t="array" ref="Q138">IFERROR(VLOOKUP(P138,Dex!$P$22:$Q$276,2,FALSE),"")</f>
        <v/>
      </c>
      <c r="R138" s="6054"/>
      <c r="S138" s="6056"/>
      <c r="T138" s="6051" t="s">
        <v>513</v>
      </c>
      <c r="U138" s="6052">
        <f t="array" ref="U138">IFERROR(VLOOKUP(T125,Dex!$B$3:$N249,8,FALSE),"")</f>
        <v>75</v>
      </c>
      <c r="V138" s="6053" t="str">
        <f t="array" ref="V138">IFERROR(VLOOKUP(U138,Dex!$P$22:$Q$276,2,FALSE),"")</f>
        <v/>
      </c>
      <c r="W138" s="6054"/>
      <c r="X138" s="6056"/>
      <c r="Y138" s="6051" t="s">
        <v>513</v>
      </c>
      <c r="Z138" s="6052">
        <f t="array" ref="Z138">IFERROR(VLOOKUP(Y125,Dex!$B$3:$N249,8,FALSE),"")</f>
        <v>100</v>
      </c>
      <c r="AA138" s="6053" t="str">
        <f t="array" ref="AA138">IFERROR(VLOOKUP(Z138,Dex!$P$22:$Q$276,2,FALSE),"")</f>
        <v/>
      </c>
      <c r="AB138" s="6054"/>
      <c r="AC138" s="6056"/>
      <c r="AD138" s="6051" t="s">
        <v>513</v>
      </c>
      <c r="AE138" s="6052">
        <f t="array" ref="AE138">IFERROR(VLOOKUP(AD125,Dex!$B$3:$N249,8,FALSE),"")</f>
        <v>90</v>
      </c>
      <c r="AF138" s="6053" t="str">
        <f t="array" ref="AF138">IFERROR(VLOOKUP(AE138,Dex!$P$22:$Q$276,2,FALSE),"")</f>
        <v/>
      </c>
      <c r="AG138" s="6054"/>
      <c r="AH138" s="6050"/>
      <c r="AI138" s="3543"/>
    </row>
    <row r="139" ht="16.5" customHeight="1">
      <c r="A139" s="3535"/>
      <c r="B139" s="6043"/>
      <c r="C139" s="6036"/>
      <c r="D139" s="6044"/>
      <c r="E139" s="6057" t="s">
        <v>514</v>
      </c>
      <c r="F139" s="6058">
        <f t="array" ref="F139">IFERROR(VLOOKUP(E125,Dex!$B$3:$N249,9,FALSE),"")</f>
        <v>160</v>
      </c>
      <c r="G139" s="6059" t="str">
        <f t="array" ref="G139">IFERROR(VLOOKUP(F139,Dex!$P$22:$Q$276,2,FALSE),"")</f>
        <v/>
      </c>
      <c r="H139" s="6060"/>
      <c r="I139" s="6055"/>
      <c r="J139" s="6057" t="s">
        <v>514</v>
      </c>
      <c r="K139" s="6058">
        <f t="array" ref="K139">IFERROR(VLOOKUP(J125,Dex!$B$3:$N249,9,FALSE),"")</f>
        <v>140</v>
      </c>
      <c r="L139" s="6059" t="str">
        <f t="array" ref="L139">IFERROR(VLOOKUP(K139,Dex!$P$22:$Q$276,2,FALSE),"")</f>
        <v/>
      </c>
      <c r="M139" s="6060"/>
      <c r="N139" s="6044"/>
      <c r="O139" s="6057" t="s">
        <v>514</v>
      </c>
      <c r="P139" s="6058">
        <f t="array" ref="P139">IFERROR(VLOOKUP(O125,Dex!$B$3:$N249,9,FALSE),"")</f>
        <v>120</v>
      </c>
      <c r="Q139" s="6059" t="str">
        <f t="array" ref="Q139">IFERROR(VLOOKUP(P139,Dex!$P$22:$Q$276,2,FALSE),"")</f>
        <v/>
      </c>
      <c r="R139" s="6060"/>
      <c r="S139" s="6056"/>
      <c r="T139" s="6057" t="s">
        <v>514</v>
      </c>
      <c r="U139" s="6058">
        <f t="array" ref="U139">IFERROR(VLOOKUP(T125,Dex!$B$3:$N249,9,FALSE),"")</f>
        <v>98</v>
      </c>
      <c r="V139" s="6059" t="str">
        <f t="array" ref="V139">IFERROR(VLOOKUP(U139,Dex!$P$22:$Q$276,2,FALSE),"")</f>
        <v/>
      </c>
      <c r="W139" s="6060"/>
      <c r="X139" s="6056"/>
      <c r="Y139" s="6057" t="s">
        <v>514</v>
      </c>
      <c r="Z139" s="6058">
        <f t="array" ref="Z139">IFERROR(VLOOKUP(Y125,Dex!$B$3:$N249,9,FALSE),"")</f>
        <v>100</v>
      </c>
      <c r="AA139" s="6059" t="str">
        <f t="array" ref="AA139">IFERROR(VLOOKUP(Z139,Dex!$P$22:$Q$276,2,FALSE),"")</f>
        <v/>
      </c>
      <c r="AB139" s="6060"/>
      <c r="AC139" s="6056"/>
      <c r="AD139" s="6057" t="s">
        <v>514</v>
      </c>
      <c r="AE139" s="6058">
        <f t="array" ref="AE139">IFERROR(VLOOKUP(AD125,Dex!$B$3:$N249,9,FALSE),"")</f>
        <v>145</v>
      </c>
      <c r="AF139" s="6059" t="str">
        <f t="array" ref="AF139">IFERROR(VLOOKUP(AE139,Dex!$P$22:$Q$276,2,FALSE),"")</f>
        <v/>
      </c>
      <c r="AG139" s="6060"/>
      <c r="AH139" s="6050"/>
      <c r="AI139" s="3543"/>
    </row>
    <row r="140" ht="16.5" customHeight="1">
      <c r="A140" s="3535"/>
      <c r="B140" s="6043"/>
      <c r="C140" s="6036"/>
      <c r="D140" s="6044"/>
      <c r="E140" s="6057" t="s">
        <v>515</v>
      </c>
      <c r="F140" s="6058">
        <f t="array" ref="F140">IFERROR(VLOOKUP(E125,Dex!$B$3:$N249,10,FALSE),"")</f>
        <v>60</v>
      </c>
      <c r="G140" s="6059" t="str">
        <f t="array" ref="G140">IFERROR(VLOOKUP(F140,Dex!$P$22:$Q$276,2,FALSE),"")</f>
        <v/>
      </c>
      <c r="H140" s="6060"/>
      <c r="I140" s="6055"/>
      <c r="J140" s="6057" t="s">
        <v>515</v>
      </c>
      <c r="K140" s="6058">
        <f t="array" ref="K140">IFERROR(VLOOKUP(J125,Dex!$B$3:$N249,10,FALSE),"")</f>
        <v>50</v>
      </c>
      <c r="L140" s="6059" t="str">
        <f t="array" ref="L140">IFERROR(VLOOKUP(K140,Dex!$P$22:$Q$276,2,FALSE),"")</f>
        <v/>
      </c>
      <c r="M140" s="6060"/>
      <c r="N140" s="6044"/>
      <c r="O140" s="6057" t="s">
        <v>515</v>
      </c>
      <c r="P140" s="6058">
        <f t="array" ref="P140">IFERROR(VLOOKUP(O125,Dex!$B$3:$N249,10,FALSE),"")</f>
        <v>84</v>
      </c>
      <c r="Q140" s="6059" t="str">
        <f t="array" ref="Q140">IFERROR(VLOOKUP(P140,Dex!$P$22:$Q$276,2,FALSE),"")</f>
        <v/>
      </c>
      <c r="R140" s="6060"/>
      <c r="S140" s="6056"/>
      <c r="T140" s="6057" t="s">
        <v>515</v>
      </c>
      <c r="U140" s="6058">
        <f t="array" ref="U140">IFERROR(VLOOKUP(T125,Dex!$B$3:$N249,10,FALSE),"")</f>
        <v>63</v>
      </c>
      <c r="V140" s="6059" t="str">
        <f t="array" ref="V140">IFERROR(VLOOKUP(U140,Dex!$P$22:$Q$276,2,FALSE),"")</f>
        <v/>
      </c>
      <c r="W140" s="6060"/>
      <c r="X140" s="6056"/>
      <c r="Y140" s="6057" t="s">
        <v>515</v>
      </c>
      <c r="Z140" s="6058">
        <f t="array" ref="Z140">IFERROR(VLOOKUP(Y125,Dex!$B$3:$N249,10,FALSE),"")</f>
        <v>100</v>
      </c>
      <c r="AA140" s="6059" t="str">
        <f t="array" ref="AA140">IFERROR(VLOOKUP(Z140,Dex!$P$22:$Q$276,2,FALSE),"")</f>
        <v/>
      </c>
      <c r="AB140" s="6060"/>
      <c r="AC140" s="6056"/>
      <c r="AD140" s="6057" t="s">
        <v>515</v>
      </c>
      <c r="AE140" s="6058">
        <f t="array" ref="AE140">IFERROR(VLOOKUP(AD125,Dex!$B$3:$N249,10,FALSE),"")</f>
        <v>110</v>
      </c>
      <c r="AF140" s="6059" t="str">
        <f t="array" ref="AF140">IFERROR(VLOOKUP(AE140,Dex!$P$22:$Q$276,2,FALSE),"")</f>
        <v/>
      </c>
      <c r="AG140" s="6060"/>
      <c r="AH140" s="6050"/>
      <c r="AI140" s="3543"/>
    </row>
    <row r="141" ht="16.5" customHeight="1">
      <c r="A141" s="3535"/>
      <c r="B141" s="6043"/>
      <c r="C141" s="6036"/>
      <c r="D141" s="6044"/>
      <c r="E141" s="6057" t="s">
        <v>516</v>
      </c>
      <c r="F141" s="6058">
        <f t="array" ref="F141">IFERROR(VLOOKUP(E125,Dex!$B$3:$N249,11,FALSE),"")</f>
        <v>170</v>
      </c>
      <c r="G141" s="6059" t="str">
        <f t="array" ref="G141">IFERROR(VLOOKUP(F141,Dex!$P$22:$Q$276,2,FALSE),"")</f>
        <v/>
      </c>
      <c r="H141" s="6060"/>
      <c r="I141" s="6055"/>
      <c r="J141" s="6057" t="s">
        <v>516</v>
      </c>
      <c r="K141" s="6058">
        <f t="array" ref="K141">IFERROR(VLOOKUP(J125,Dex!$B$3:$N249,11,FALSE),"")</f>
        <v>140</v>
      </c>
      <c r="L141" s="6059" t="str">
        <f t="array" ref="L141">IFERROR(VLOOKUP(K141,Dex!$P$22:$Q$276,2,FALSE),"")</f>
        <v/>
      </c>
      <c r="M141" s="6060"/>
      <c r="N141" s="6044"/>
      <c r="O141" s="6057" t="s">
        <v>516</v>
      </c>
      <c r="P141" s="6058">
        <f t="array" ref="P141">IFERROR(VLOOKUP(O125,Dex!$B$3:$N249,11,FALSE),"")</f>
        <v>60</v>
      </c>
      <c r="Q141" s="6059" t="str">
        <f t="array" ref="Q141">IFERROR(VLOOKUP(P141,Dex!$P$22:$Q$276,2,FALSE),"")</f>
        <v/>
      </c>
      <c r="R141" s="6060"/>
      <c r="S141" s="6056"/>
      <c r="T141" s="6057" t="s">
        <v>516</v>
      </c>
      <c r="U141" s="6058">
        <f t="array" ref="U141">IFERROR(VLOOKUP(T125,Dex!$B$3:$N249,11,FALSE),"")</f>
        <v>98</v>
      </c>
      <c r="V141" s="6059" t="str">
        <f t="array" ref="V141">IFERROR(VLOOKUP(U141,Dex!$P$22:$Q$276,2,FALSE),"")</f>
        <v/>
      </c>
      <c r="W141" s="6060"/>
      <c r="X141" s="6056"/>
      <c r="Y141" s="6057" t="s">
        <v>516</v>
      </c>
      <c r="Z141" s="6058">
        <f t="array" ref="Z141">IFERROR(VLOOKUP(Y125,Dex!$B$3:$N249,11,FALSE),"")</f>
        <v>100</v>
      </c>
      <c r="AA141" s="6059" t="str">
        <f t="array" ref="AA141">IFERROR(VLOOKUP(Z141,Dex!$P$22:$Q$276,2,FALSE),"")</f>
        <v/>
      </c>
      <c r="AB141" s="6060"/>
      <c r="AC141" s="6056"/>
      <c r="AD141" s="6057" t="s">
        <v>516</v>
      </c>
      <c r="AE141" s="6058">
        <f t="array" ref="AE141">IFERROR(VLOOKUP(AD125,Dex!$B$3:$N249,11,FALSE),"")</f>
        <v>65</v>
      </c>
      <c r="AF141" s="6059" t="str">
        <f t="array" ref="AF141">IFERROR(VLOOKUP(AE141,Dex!$P$22:$Q$276,2,FALSE),"")</f>
        <v/>
      </c>
      <c r="AG141" s="6060"/>
      <c r="AH141" s="6050"/>
      <c r="AI141" s="3543"/>
    </row>
    <row r="142" ht="16.5" customHeight="1">
      <c r="A142" s="3535"/>
      <c r="B142" s="6043"/>
      <c r="C142" s="6036"/>
      <c r="D142" s="6044"/>
      <c r="E142" s="6057" t="s">
        <v>517</v>
      </c>
      <c r="F142" s="6058">
        <f t="array" ref="F142">IFERROR(VLOOKUP(E125,Dex!$B$3:$N249,12,FALSE),"")</f>
        <v>130</v>
      </c>
      <c r="G142" s="6059" t="str">
        <f t="array" ref="G142">IFERROR(VLOOKUP(F142,Dex!$P$22:$Q$276,2,FALSE),"")</f>
        <v/>
      </c>
      <c r="H142" s="6060"/>
      <c r="I142" s="6055"/>
      <c r="J142" s="6057" t="s">
        <v>517</v>
      </c>
      <c r="K142" s="6058">
        <f t="array" ref="K142">IFERROR(VLOOKUP(J125,Dex!$B$3:$N249,12,FALSE),"")</f>
        <v>50</v>
      </c>
      <c r="L142" s="6059" t="str">
        <f t="array" ref="L142">IFERROR(VLOOKUP(K142,Dex!$P$22:$Q$276,2,FALSE),"")</f>
        <v/>
      </c>
      <c r="M142" s="6060"/>
      <c r="N142" s="6044"/>
      <c r="O142" s="6057" t="s">
        <v>517</v>
      </c>
      <c r="P142" s="6058">
        <f t="array" ref="P142">IFERROR(VLOOKUP(O125,Dex!$B$3:$N249,12,FALSE),"")</f>
        <v>96</v>
      </c>
      <c r="Q142" s="6059" t="str">
        <f t="array" ref="Q142">IFERROR(VLOOKUP(P142,Dex!$P$22:$Q$276,2,FALSE),"")</f>
        <v/>
      </c>
      <c r="R142" s="6060"/>
      <c r="S142" s="6056"/>
      <c r="T142" s="6057" t="s">
        <v>517</v>
      </c>
      <c r="U142" s="6058">
        <f t="array" ref="U142">IFERROR(VLOOKUP(T125,Dex!$B$3:$N249,12,FALSE),"")</f>
        <v>63</v>
      </c>
      <c r="V142" s="6059" t="str">
        <f t="array" ref="V142">IFERROR(VLOOKUP(U142,Dex!$P$22:$Q$276,2,FALSE),"")</f>
        <v/>
      </c>
      <c r="W142" s="6060"/>
      <c r="X142" s="6056"/>
      <c r="Y142" s="6057" t="s">
        <v>517</v>
      </c>
      <c r="Z142" s="6058">
        <f t="array" ref="Z142">IFERROR(VLOOKUP(Y125,Dex!$B$3:$N249,12,FALSE),"")</f>
        <v>100</v>
      </c>
      <c r="AA142" s="6059" t="str">
        <f t="array" ref="AA142">IFERROR(VLOOKUP(Z142,Dex!$P$22:$Q$276,2,FALSE),"")</f>
        <v/>
      </c>
      <c r="AB142" s="6060"/>
      <c r="AC142" s="6056"/>
      <c r="AD142" s="6057" t="s">
        <v>517</v>
      </c>
      <c r="AE142" s="6058">
        <f t="array" ref="AE142">IFERROR(VLOOKUP(AD125,Dex!$B$3:$N249,12,FALSE),"")</f>
        <v>115</v>
      </c>
      <c r="AF142" s="6059" t="str">
        <f t="array" ref="AF142">IFERROR(VLOOKUP(AE142,Dex!$P$22:$Q$276,2,FALSE),"")</f>
        <v/>
      </c>
      <c r="AG142" s="6060"/>
      <c r="AH142" s="6050"/>
      <c r="AI142" s="3543"/>
    </row>
    <row r="143" ht="16.5" customHeight="1">
      <c r="A143" s="3535"/>
      <c r="B143" s="6043"/>
      <c r="C143" s="1426" t="s">
        <v>745</v>
      </c>
      <c r="D143" s="6044"/>
      <c r="E143" s="6061" t="s">
        <v>518</v>
      </c>
      <c r="F143" s="6062">
        <f t="array" ref="F143">IFERROR(VLOOKUP(E125,Dex!$B$3:$N249,13,FALSE),"")</f>
        <v>80</v>
      </c>
      <c r="G143" s="6063" t="str">
        <f t="array" ref="G143">IFERROR(VLOOKUP(F143,Dex!$P$22:$Q$276,2,FALSE),"")</f>
        <v/>
      </c>
      <c r="H143" s="6064"/>
      <c r="I143" s="6055"/>
      <c r="J143" s="6061" t="s">
        <v>518</v>
      </c>
      <c r="K143" s="6062">
        <f t="array" ref="K143">IFERROR(VLOOKUP(J125,Dex!$B$3:$N249,13,FALSE),"")</f>
        <v>60</v>
      </c>
      <c r="L143" s="6063" t="str">
        <f t="array" ref="L143">IFERROR(VLOOKUP(K143,Dex!$P$22:$Q$276,2,FALSE),"")</f>
        <v/>
      </c>
      <c r="M143" s="6064"/>
      <c r="N143" s="6044"/>
      <c r="O143" s="6061" t="s">
        <v>518</v>
      </c>
      <c r="P143" s="6062">
        <f t="array" ref="P143">IFERROR(VLOOKUP(O125,Dex!$B$3:$N249,13,FALSE),"")</f>
        <v>110</v>
      </c>
      <c r="Q143" s="6063" t="str">
        <f t="array" ref="Q143">IFERROR(VLOOKUP(P143,Dex!$P$22:$Q$276,2,FALSE),"")</f>
        <v/>
      </c>
      <c r="R143" s="6064"/>
      <c r="S143" s="6056"/>
      <c r="T143" s="6061" t="s">
        <v>518</v>
      </c>
      <c r="U143" s="6062">
        <f t="array" ref="U143">IFERROR(VLOOKUP(T125,Dex!$B$3:$N249,13,FALSE),"")</f>
        <v>101</v>
      </c>
      <c r="V143" s="6063" t="str">
        <f t="array" ref="V143">IFERROR(VLOOKUP(U143,Dex!$P$22:$Q$276,2,FALSE),"")</f>
        <v/>
      </c>
      <c r="W143" s="6064"/>
      <c r="X143" s="6056"/>
      <c r="Y143" s="6061" t="s">
        <v>518</v>
      </c>
      <c r="Z143" s="6062">
        <f t="array" ref="Z143">IFERROR(VLOOKUP(Y125,Dex!$B$3:$N249,13,FALSE),"")</f>
        <v>100</v>
      </c>
      <c r="AA143" s="6063" t="str">
        <f t="array" ref="AA143">IFERROR(VLOOKUP(Z143,Dex!$P$22:$Q$276,2,FALSE),"")</f>
        <v/>
      </c>
      <c r="AB143" s="6064"/>
      <c r="AC143" s="6056"/>
      <c r="AD143" s="6061" t="s">
        <v>518</v>
      </c>
      <c r="AE143" s="6062">
        <f t="array" ref="AE143">IFERROR(VLOOKUP(AD125,Dex!$B$3:$N249,13,FALSE),"")</f>
        <v>75</v>
      </c>
      <c r="AF143" s="6063" t="str">
        <f t="array" ref="AF143">IFERROR(VLOOKUP(AE143,Dex!$P$22:$Q$276,2,FALSE),"")</f>
        <v/>
      </c>
      <c r="AG143" s="6064"/>
      <c r="AH143" s="6050"/>
      <c r="AI143" s="3543"/>
    </row>
    <row r="144" ht="16.5" customHeight="1">
      <c r="A144" s="3535"/>
      <c r="B144" s="6043"/>
      <c r="C144" s="1427" t="s">
        <v>746</v>
      </c>
      <c r="D144" s="6044"/>
      <c r="E144" s="6065" t="s">
        <v>519</v>
      </c>
      <c r="F144" s="630"/>
      <c r="G144" s="631"/>
      <c r="H144" s="632">
        <f>ROUNDDOWN((ROUNDDOWN(((((2*F143+31)*68)/100+5)),0))*1.1,0)</f>
        <v>147</v>
      </c>
      <c r="I144" s="6046"/>
      <c r="J144" s="6065" t="s">
        <v>519</v>
      </c>
      <c r="K144" s="630"/>
      <c r="L144" s="631"/>
      <c r="M144" s="632">
        <f>ROUNDDOWN((ROUNDDOWN(((((2*K143+31)*68)/100+5)),0))*0.9,0)</f>
        <v>96</v>
      </c>
      <c r="N144" s="6047"/>
      <c r="O144" s="6065" t="s">
        <v>519</v>
      </c>
      <c r="P144" s="630"/>
      <c r="Q144" s="631"/>
      <c r="R144" s="632">
        <f>ROUNDDOWN((ROUNDDOWN(((((2*P143+31)*68)/100+5)),0))*1.1,0)</f>
        <v>192</v>
      </c>
      <c r="S144" s="6049"/>
      <c r="T144" s="6066" t="s">
        <v>519</v>
      </c>
      <c r="U144" s="635"/>
      <c r="V144" s="636"/>
      <c r="W144" s="632">
        <f>ROUNDDOWN((ROUNDDOWN(((((2*U143+31)*68)/100+5)),0))*1.1,0)</f>
        <v>179</v>
      </c>
      <c r="X144" s="6049"/>
      <c r="Y144" s="6065" t="s">
        <v>519</v>
      </c>
      <c r="Z144" s="630"/>
      <c r="AA144" s="631"/>
      <c r="AB144" s="632">
        <f>ROUNDDOWN((ROUNDDOWN(((((2*Z143+31)*68)/100+5)),0))*1.1,0)</f>
        <v>178</v>
      </c>
      <c r="AC144" s="6049"/>
      <c r="AD144" s="6065" t="s">
        <v>519</v>
      </c>
      <c r="AE144" s="630"/>
      <c r="AF144" s="631"/>
      <c r="AG144" s="632">
        <f>ROUNDDOWN((ROUNDDOWN(((((2*AE143+31)*68)/100+5)),0))*1,0)</f>
        <v>128</v>
      </c>
      <c r="AH144" s="6050"/>
      <c r="AI144" s="3543"/>
    </row>
    <row r="145" ht="16.5" customHeight="1">
      <c r="A145" s="3535"/>
      <c r="B145" s="6067"/>
      <c r="C145" s="6036"/>
      <c r="D145" s="6068"/>
      <c r="E145" s="6036"/>
      <c r="F145" s="6036"/>
      <c r="G145" s="6036"/>
      <c r="H145" s="6036"/>
      <c r="I145" s="6069"/>
      <c r="J145" s="6036"/>
      <c r="K145" s="6036"/>
      <c r="L145" s="6036"/>
      <c r="M145" s="6036"/>
      <c r="N145" s="6068"/>
      <c r="O145" s="6036"/>
      <c r="P145" s="6036"/>
      <c r="Q145" s="6036"/>
      <c r="R145" s="6036"/>
      <c r="S145" s="6070"/>
      <c r="T145" s="6071" t="s">
        <v>1449</v>
      </c>
      <c r="U145" s="643"/>
      <c r="V145" s="644"/>
      <c r="W145" s="645">
        <f>ROUNDDOWN(W144*1.5,0)</f>
        <v>268</v>
      </c>
      <c r="X145" s="6072"/>
      <c r="Y145" s="6036"/>
      <c r="Z145" s="6036"/>
      <c r="AA145" s="6036"/>
      <c r="AB145" s="6036"/>
      <c r="AC145" s="6072"/>
      <c r="AD145" s="6036"/>
      <c r="AE145" s="6036"/>
      <c r="AF145" s="6036"/>
      <c r="AG145" s="6036"/>
      <c r="AH145" s="6073"/>
      <c r="AI145" s="3543"/>
    </row>
    <row r="146" ht="15.0" customHeight="1">
      <c r="A146" s="3689"/>
      <c r="B146" s="6074"/>
      <c r="C146" s="6075"/>
      <c r="D146" s="6075"/>
      <c r="E146" s="6075"/>
      <c r="F146" s="6075"/>
      <c r="G146" s="6075"/>
      <c r="H146" s="6075"/>
      <c r="I146" s="6075"/>
      <c r="J146" s="6075"/>
      <c r="K146" s="6075"/>
      <c r="L146" s="6075"/>
      <c r="M146" s="6075"/>
      <c r="N146" s="6075"/>
      <c r="O146" s="6076"/>
      <c r="P146" s="6076"/>
      <c r="Q146" s="6076"/>
      <c r="R146" s="6075"/>
      <c r="S146" s="6075"/>
      <c r="T146" s="6077"/>
      <c r="U146" s="6077"/>
      <c r="V146" s="6077"/>
      <c r="W146" s="6075"/>
      <c r="X146" s="6075"/>
      <c r="Y146" s="6078"/>
      <c r="Z146" s="6078"/>
      <c r="AA146" s="6078"/>
      <c r="AB146" s="6075"/>
      <c r="AC146" s="6075"/>
      <c r="AD146" s="6075"/>
      <c r="AE146" s="6075"/>
      <c r="AF146" s="6075"/>
      <c r="AG146" s="6075"/>
      <c r="AH146" s="6079"/>
      <c r="AI146" s="3700"/>
    </row>
    <row r="147" ht="15.0" customHeight="1">
      <c r="A147" s="3689"/>
      <c r="B147" s="6080"/>
      <c r="C147" s="6081"/>
      <c r="D147" s="6081"/>
      <c r="E147" s="6081"/>
      <c r="F147" s="6081"/>
      <c r="G147" s="6081"/>
      <c r="H147" s="6081"/>
      <c r="I147" s="6081"/>
      <c r="J147" s="6081"/>
      <c r="K147" s="6081"/>
      <c r="L147" s="6081"/>
      <c r="M147" s="6081"/>
      <c r="N147" s="6081"/>
      <c r="O147" s="6082"/>
      <c r="P147" s="6082"/>
      <c r="Q147" s="6082"/>
      <c r="R147" s="6081"/>
      <c r="S147" s="6081"/>
      <c r="T147" s="6083"/>
      <c r="U147" s="6083"/>
      <c r="V147" s="6083"/>
      <c r="W147" s="6081"/>
      <c r="X147" s="6081"/>
      <c r="Y147" s="6083"/>
      <c r="Z147" s="6083"/>
      <c r="AA147" s="6083"/>
      <c r="AB147" s="6081"/>
      <c r="AC147" s="6081"/>
      <c r="AD147" s="6081"/>
      <c r="AE147" s="6081"/>
      <c r="AF147" s="6081"/>
      <c r="AG147" s="6081"/>
      <c r="AH147" s="6084"/>
      <c r="AI147" s="3700"/>
    </row>
    <row r="148" ht="11.25" customHeight="1">
      <c r="A148" s="3689"/>
      <c r="B148" s="6085"/>
      <c r="C148" s="6086"/>
      <c r="D148" s="6086"/>
      <c r="E148" s="3250" t="s">
        <v>1822</v>
      </c>
      <c r="F148" s="3251"/>
      <c r="G148" s="3251"/>
      <c r="H148" s="3251"/>
      <c r="I148" s="3251"/>
      <c r="J148" s="3251"/>
      <c r="K148" s="3251"/>
      <c r="L148" s="3251"/>
      <c r="M148" s="3251"/>
      <c r="N148" s="3251"/>
      <c r="O148" s="3251"/>
      <c r="P148" s="3251"/>
      <c r="Q148" s="3251"/>
      <c r="R148" s="3251"/>
      <c r="S148" s="3251"/>
      <c r="T148" s="3251"/>
      <c r="U148" s="3251"/>
      <c r="V148" s="3251"/>
      <c r="W148" s="3251"/>
      <c r="X148" s="3251"/>
      <c r="Y148" s="3251"/>
      <c r="Z148" s="3251"/>
      <c r="AA148" s="3251"/>
      <c r="AB148" s="3251"/>
      <c r="AC148" s="3251"/>
      <c r="AD148" s="3251"/>
      <c r="AE148" s="3251"/>
      <c r="AF148" s="3251"/>
      <c r="AG148" s="3252"/>
      <c r="AH148" s="6087"/>
      <c r="AI148" s="3700"/>
    </row>
    <row r="149" ht="11.25" customHeight="1">
      <c r="A149" s="3689"/>
      <c r="B149" s="6085"/>
      <c r="C149" s="6086"/>
      <c r="D149" s="6086"/>
      <c r="E149" s="314"/>
      <c r="F149" s="3255"/>
      <c r="G149" s="3255"/>
      <c r="H149" s="3255"/>
      <c r="I149" s="3255"/>
      <c r="J149" s="3255"/>
      <c r="K149" s="3255"/>
      <c r="L149" s="3255"/>
      <c r="M149" s="3255"/>
      <c r="N149" s="3255"/>
      <c r="O149" s="3255"/>
      <c r="P149" s="3255"/>
      <c r="Q149" s="3255"/>
      <c r="R149" s="3255"/>
      <c r="S149" s="3255"/>
      <c r="T149" s="3255"/>
      <c r="U149" s="3255"/>
      <c r="V149" s="3255"/>
      <c r="W149" s="3255"/>
      <c r="X149" s="3255"/>
      <c r="Y149" s="3255"/>
      <c r="Z149" s="3255"/>
      <c r="AA149" s="3255"/>
      <c r="AB149" s="3255"/>
      <c r="AC149" s="3255"/>
      <c r="AD149" s="3255"/>
      <c r="AE149" s="3255"/>
      <c r="AF149" s="3255"/>
      <c r="AG149" s="3256"/>
      <c r="AH149" s="6087"/>
      <c r="AI149" s="3700"/>
    </row>
    <row r="150" ht="3.75" customHeight="1">
      <c r="A150" s="3689"/>
      <c r="B150" s="6085"/>
      <c r="C150" s="6088"/>
      <c r="D150" s="6086"/>
      <c r="E150" s="6088"/>
      <c r="F150" s="6088"/>
      <c r="G150" s="6088"/>
      <c r="H150" s="6088"/>
      <c r="I150" s="6086"/>
      <c r="J150" s="6088"/>
      <c r="K150" s="6088"/>
      <c r="L150" s="6088"/>
      <c r="M150" s="6088"/>
      <c r="N150" s="6086"/>
      <c r="O150" s="6088"/>
      <c r="P150" s="6088"/>
      <c r="Q150" s="6088"/>
      <c r="R150" s="6088"/>
      <c r="S150" s="6086"/>
      <c r="T150" s="6088"/>
      <c r="U150" s="6088"/>
      <c r="V150" s="6088"/>
      <c r="W150" s="6088"/>
      <c r="X150" s="6086"/>
      <c r="Y150" s="6088"/>
      <c r="Z150" s="6088"/>
      <c r="AA150" s="6088"/>
      <c r="AB150" s="6088"/>
      <c r="AC150" s="6086"/>
      <c r="AD150" s="6088"/>
      <c r="AE150" s="6088"/>
      <c r="AF150" s="6088"/>
      <c r="AG150" s="6088"/>
      <c r="AH150" s="6087"/>
      <c r="AI150" s="3700"/>
    </row>
    <row r="151">
      <c r="A151" s="3689"/>
      <c r="B151" s="6089"/>
      <c r="C151" s="6090"/>
      <c r="D151" s="6090"/>
      <c r="E151" s="6091" t="s">
        <v>1823</v>
      </c>
      <c r="F151" s="6092"/>
      <c r="G151" s="6092"/>
      <c r="H151" s="6092"/>
      <c r="I151" s="6092"/>
      <c r="J151" s="6092"/>
      <c r="K151" s="6092"/>
      <c r="L151" s="6092"/>
      <c r="M151" s="6092"/>
      <c r="N151" s="6092"/>
      <c r="O151" s="6092"/>
      <c r="P151" s="6092"/>
      <c r="Q151" s="6092"/>
      <c r="R151" s="6092"/>
      <c r="S151" s="6092"/>
      <c r="T151" s="6092"/>
      <c r="U151" s="6092"/>
      <c r="V151" s="6092"/>
      <c r="W151" s="6092"/>
      <c r="X151" s="6092"/>
      <c r="Y151" s="6092"/>
      <c r="Z151" s="6092"/>
      <c r="AA151" s="6092"/>
      <c r="AB151" s="6092"/>
      <c r="AC151" s="6092"/>
      <c r="AD151" s="6092"/>
      <c r="AE151" s="6092"/>
      <c r="AF151" s="6092"/>
      <c r="AG151" s="6093"/>
      <c r="AH151" s="6094"/>
      <c r="AI151" s="3700"/>
    </row>
    <row r="152" ht="96.75" customHeight="1">
      <c r="A152" s="3689"/>
      <c r="B152" s="6095"/>
      <c r="C152" s="6096" t="str">
        <f>IMAGE("https://i.ibb.co/nzhVFm2/Ketchup.png")</f>
        <v/>
      </c>
      <c r="D152" s="6097"/>
      <c r="E152" s="6098" t="str">
        <f t="array" ref="E152">IFERROR(VLOOKUP(E153,Dex!$B$3:$G249,3,FALSE),"")</f>
        <v/>
      </c>
      <c r="F152" s="1945"/>
      <c r="G152" s="1945"/>
      <c r="H152" s="1946"/>
      <c r="I152" s="6099"/>
      <c r="J152" s="6098" t="str">
        <f t="array" ref="J152">IFERROR(VLOOKUP(J153,Dex!$B$3:$G249,3,FALSE),"")</f>
        <v/>
      </c>
      <c r="K152" s="1945"/>
      <c r="L152" s="1945"/>
      <c r="M152" s="1946"/>
      <c r="N152" s="6099"/>
      <c r="O152" s="6098" t="str">
        <f t="array" ref="O152">IFERROR(VLOOKUP(O153,Dex!$B$3:$G249,3,FALSE),"")</f>
        <v/>
      </c>
      <c r="P152" s="1945"/>
      <c r="Q152" s="1945"/>
      <c r="R152" s="1946"/>
      <c r="S152" s="6099"/>
      <c r="T152" s="6098" t="str">
        <f t="array" ref="T152">IFERROR(VLOOKUP(T153,Dex!$B$3:$G249,3,FALSE),"")</f>
        <v/>
      </c>
      <c r="U152" s="1945"/>
      <c r="V152" s="1945"/>
      <c r="W152" s="1946"/>
      <c r="X152" s="6099"/>
      <c r="Y152" s="6098" t="str">
        <f t="array" ref="Y152">IFERROR(VLOOKUP(Y153,Dex!$B$3:$G249,3,FALSE),"")</f>
        <v/>
      </c>
      <c r="Z152" s="1945"/>
      <c r="AA152" s="1945"/>
      <c r="AB152" s="1946"/>
      <c r="AC152" s="6099"/>
      <c r="AD152" s="6098" t="str">
        <f t="array" ref="AD152">IFERROR(VLOOKUP(AD153,Dex!$B$3:$G249,3,FALSE),"")</f>
        <v/>
      </c>
      <c r="AE152" s="1945"/>
      <c r="AF152" s="1945"/>
      <c r="AG152" s="1946"/>
      <c r="AH152" s="6094"/>
      <c r="AI152" s="3700"/>
    </row>
    <row r="153" ht="18.75" customHeight="1">
      <c r="A153" s="3689"/>
      <c r="B153" s="6095"/>
      <c r="C153" s="6100" t="s">
        <v>1824</v>
      </c>
      <c r="D153" s="6101"/>
      <c r="E153" s="6102" t="s">
        <v>1733</v>
      </c>
      <c r="F153" s="6103"/>
      <c r="G153" s="6103"/>
      <c r="H153" s="6104"/>
      <c r="J153" s="6102" t="s">
        <v>912</v>
      </c>
      <c r="K153" s="6103"/>
      <c r="L153" s="6103"/>
      <c r="M153" s="6104"/>
      <c r="O153" s="6102" t="s">
        <v>1044</v>
      </c>
      <c r="P153" s="6103"/>
      <c r="Q153" s="6103"/>
      <c r="R153" s="6104"/>
      <c r="T153" s="6102" t="s">
        <v>1342</v>
      </c>
      <c r="U153" s="6103"/>
      <c r="V153" s="6103"/>
      <c r="W153" s="6104"/>
      <c r="Y153" s="6102" t="s">
        <v>1068</v>
      </c>
      <c r="Z153" s="6103"/>
      <c r="AA153" s="6103"/>
      <c r="AB153" s="6104"/>
      <c r="AD153" s="6102" t="s">
        <v>1825</v>
      </c>
      <c r="AE153" s="6103"/>
      <c r="AF153" s="6103"/>
      <c r="AG153" s="6104"/>
      <c r="AH153" s="6094"/>
      <c r="AI153" s="3700"/>
    </row>
    <row r="154">
      <c r="A154" s="3689"/>
      <c r="B154" s="6095"/>
      <c r="C154" s="1638"/>
      <c r="D154" s="6101"/>
      <c r="E154" s="6105" t="s">
        <v>729</v>
      </c>
      <c r="F154" s="6106"/>
      <c r="G154" s="6106"/>
      <c r="H154" s="6107"/>
      <c r="J154" s="6105" t="s">
        <v>729</v>
      </c>
      <c r="K154" s="6106"/>
      <c r="L154" s="6106"/>
      <c r="M154" s="6107"/>
      <c r="O154" s="6105" t="s">
        <v>729</v>
      </c>
      <c r="P154" s="6106"/>
      <c r="Q154" s="6106"/>
      <c r="R154" s="6107"/>
      <c r="T154" s="6105" t="s">
        <v>729</v>
      </c>
      <c r="U154" s="6106"/>
      <c r="V154" s="6106"/>
      <c r="W154" s="6107"/>
      <c r="Y154" s="6105" t="s">
        <v>729</v>
      </c>
      <c r="Z154" s="6106"/>
      <c r="AA154" s="6106"/>
      <c r="AB154" s="6107"/>
      <c r="AD154" s="6105" t="s">
        <v>729</v>
      </c>
      <c r="AE154" s="6106"/>
      <c r="AF154" s="6106"/>
      <c r="AG154" s="6107"/>
      <c r="AH154" s="6094"/>
      <c r="AI154" s="3700"/>
    </row>
    <row r="155" ht="25.5" customHeight="1">
      <c r="A155" s="3689"/>
      <c r="B155" s="6095"/>
      <c r="C155" s="1646"/>
      <c r="D155" s="6108"/>
      <c r="E155" s="6109"/>
      <c r="F155" s="6110" t="str">
        <f t="array" ref="F155">IFERROR(VLOOKUP(E153,Dex!$B$3:$H249,5,FALSE),"")</f>
        <v/>
      </c>
      <c r="G155" s="6111" t="str">
        <f t="array" ref="G155">IFERROR(VLOOKUP(E153,Dex!$B$3:$H249,7,FALSE),"")</f>
        <v/>
      </c>
      <c r="H155" s="6112"/>
      <c r="J155" s="6109"/>
      <c r="K155" s="6110" t="str">
        <f t="array" ref="K155">IFERROR(VLOOKUP(J153,Dex!$B$3:$H249,5,FALSE),"")</f>
        <v/>
      </c>
      <c r="L155" s="6111" t="str">
        <f t="array" ref="L155">IFERROR(VLOOKUP(J153,Dex!$B$3:$H249,7,FALSE),"")</f>
        <v/>
      </c>
      <c r="M155" s="6112"/>
      <c r="O155" s="6109"/>
      <c r="P155" s="6110" t="str">
        <f t="array" ref="P155">IFERROR(VLOOKUP(O153,Dex!$B$3:$H249,5,FALSE),"")</f>
        <v/>
      </c>
      <c r="Q155" s="6111" t="str">
        <f t="array" ref="Q155">IFERROR(VLOOKUP(O153,Dex!$B$3:$H249,7,FALSE),"")</f>
        <v/>
      </c>
      <c r="R155" s="6112"/>
      <c r="T155" s="6109"/>
      <c r="U155" s="6110" t="str">
        <f t="array" ref="U155">IFERROR(VLOOKUP(T153,Dex!$B$3:$H249,5,FALSE),"")</f>
        <v/>
      </c>
      <c r="V155" s="6111" t="str">
        <f t="array" ref="V155">IFERROR(VLOOKUP(T153,Dex!$B$3:$H249,7,FALSE),"")</f>
        <v/>
      </c>
      <c r="W155" s="6112"/>
      <c r="Y155" s="6109"/>
      <c r="Z155" s="6110" t="str">
        <f t="array" ref="Z155">IFERROR(VLOOKUP(Y153,Dex!$B$3:$H249,5,FALSE),"")</f>
        <v/>
      </c>
      <c r="AA155" s="6111" t="str">
        <f t="array" ref="AA155">IFERROR(VLOOKUP(Y153,Dex!$B$3:$H249,7,FALSE),"")</f>
        <v/>
      </c>
      <c r="AB155" s="6112"/>
      <c r="AD155" s="6109"/>
      <c r="AE155" s="6110" t="str">
        <f t="array" ref="AE155">IFERROR(VLOOKUP(AD153,Dex!$B$3:$H249,5,FALSE),"")</f>
        <v/>
      </c>
      <c r="AF155" s="6111" t="str">
        <f t="array" ref="AF155">IFERROR(VLOOKUP(AD153,Dex!$B$3:$H249,7,FALSE),"")</f>
        <v/>
      </c>
      <c r="AG155" s="6112"/>
      <c r="AH155" s="6113"/>
      <c r="AI155" s="3700"/>
    </row>
    <row r="156" ht="2.25" customHeight="1">
      <c r="A156" s="3689"/>
      <c r="B156" s="6085"/>
      <c r="C156" s="6114"/>
      <c r="D156" s="6115"/>
      <c r="E156" s="6116"/>
      <c r="F156" s="6117"/>
      <c r="G156" s="6117"/>
      <c r="H156" s="6118"/>
      <c r="J156" s="6116"/>
      <c r="K156" s="6117"/>
      <c r="L156" s="6117"/>
      <c r="M156" s="6118"/>
      <c r="O156" s="6116"/>
      <c r="P156" s="6117"/>
      <c r="Q156" s="6117"/>
      <c r="R156" s="6118"/>
      <c r="T156" s="6116"/>
      <c r="U156" s="6117"/>
      <c r="V156" s="6117"/>
      <c r="W156" s="6118"/>
      <c r="Y156" s="6116"/>
      <c r="Z156" s="6117"/>
      <c r="AA156" s="6117"/>
      <c r="AB156" s="6118"/>
      <c r="AD156" s="6116"/>
      <c r="AE156" s="6117"/>
      <c r="AF156" s="6117"/>
      <c r="AG156" s="6118"/>
      <c r="AH156" s="6113"/>
      <c r="AI156" s="3700"/>
    </row>
    <row r="157" ht="20.25" customHeight="1">
      <c r="A157" s="3689"/>
      <c r="B157" s="6085"/>
      <c r="C157" s="6119"/>
      <c r="D157" s="6120"/>
      <c r="E157" s="6121" t="s">
        <v>564</v>
      </c>
      <c r="F157" s="6122"/>
      <c r="G157" s="6122"/>
      <c r="H157" s="6123"/>
      <c r="J157" s="6121" t="s">
        <v>532</v>
      </c>
      <c r="K157" s="6122"/>
      <c r="L157" s="6122"/>
      <c r="M157" s="6123"/>
      <c r="O157" s="6121" t="s">
        <v>564</v>
      </c>
      <c r="P157" s="6122"/>
      <c r="Q157" s="6122"/>
      <c r="R157" s="6123"/>
      <c r="T157" s="6121" t="s">
        <v>532</v>
      </c>
      <c r="U157" s="6122"/>
      <c r="V157" s="6122"/>
      <c r="W157" s="6123"/>
      <c r="Y157" s="6121" t="s">
        <v>532</v>
      </c>
      <c r="Z157" s="6122"/>
      <c r="AA157" s="6122"/>
      <c r="AB157" s="6123"/>
      <c r="AD157" s="6121" t="s">
        <v>532</v>
      </c>
      <c r="AE157" s="6122"/>
      <c r="AF157" s="6122"/>
      <c r="AG157" s="6123"/>
      <c r="AH157" s="6094"/>
      <c r="AI157" s="3700"/>
    </row>
    <row r="158" ht="20.25" customHeight="1">
      <c r="A158" s="3689"/>
      <c r="B158" s="6085"/>
      <c r="C158" s="6124"/>
      <c r="D158" s="6120"/>
      <c r="E158" s="6125" t="s">
        <v>1399</v>
      </c>
      <c r="F158" s="6126"/>
      <c r="G158" s="6126"/>
      <c r="H158" s="6127"/>
      <c r="J158" s="6125" t="s">
        <v>798</v>
      </c>
      <c r="K158" s="6126"/>
      <c r="L158" s="6126"/>
      <c r="M158" s="6127"/>
      <c r="O158" s="6125" t="s">
        <v>120</v>
      </c>
      <c r="P158" s="6126"/>
      <c r="Q158" s="6126"/>
      <c r="R158" s="6127"/>
      <c r="T158" s="6125" t="s">
        <v>92</v>
      </c>
      <c r="U158" s="6126"/>
      <c r="V158" s="6126"/>
      <c r="W158" s="6127"/>
      <c r="Y158" s="6125" t="s">
        <v>1070</v>
      </c>
      <c r="Z158" s="6126"/>
      <c r="AA158" s="6126"/>
      <c r="AB158" s="6127"/>
      <c r="AD158" s="6125" t="s">
        <v>1070</v>
      </c>
      <c r="AE158" s="6126"/>
      <c r="AF158" s="6126"/>
      <c r="AG158" s="6127"/>
      <c r="AH158" s="6094"/>
      <c r="AI158" s="3700"/>
    </row>
    <row r="159" ht="20.25" customHeight="1">
      <c r="A159" s="3689"/>
      <c r="B159" s="6085"/>
      <c r="C159" s="6128"/>
      <c r="D159" s="6120"/>
      <c r="E159" s="6129" t="s">
        <v>1826</v>
      </c>
      <c r="F159" s="6092"/>
      <c r="G159" s="6093"/>
      <c r="H159" s="6130" t="str">
        <f>IMAGE("https://raw.githubusercontent.com/msikma/pokesprite/master/items/berry/petaya.png",3)</f>
        <v/>
      </c>
      <c r="J159" s="6129" t="s">
        <v>920</v>
      </c>
      <c r="K159" s="6092"/>
      <c r="L159" s="6093"/>
      <c r="M159" s="6130" t="str">
        <f>IMAGE("https://raw.githubusercontent.com/msikma/pokesprite/master/items/hold-item/white-herb.png",3)</f>
        <v/>
      </c>
      <c r="O159" s="6129" t="s">
        <v>710</v>
      </c>
      <c r="P159" s="6092"/>
      <c r="Q159" s="6093"/>
      <c r="R159" s="6130" t="str">
        <f>IMAGE("https://raw.githubusercontent.com/msikma/pokesprite/master/items/hold-item/weakness-policy.png",3)</f>
        <v/>
      </c>
      <c r="T159" s="6129" t="s">
        <v>1261</v>
      </c>
      <c r="U159" s="6092"/>
      <c r="V159" s="6093"/>
      <c r="W159" s="6130" t="str">
        <f>IMAGE("https://raw.githubusercontent.com/msikma/pokesprite/master/items/z-crystals/ghostium-z--held.png",3)</f>
        <v/>
      </c>
      <c r="Y159" s="6129" t="s">
        <v>895</v>
      </c>
      <c r="Z159" s="6092"/>
      <c r="AA159" s="6093"/>
      <c r="AB159" s="6130" t="str">
        <f>IMAGE("https://raw.githubusercontent.com/msikma/pokesprite/master/items/berry/salac.png",3)</f>
        <v/>
      </c>
      <c r="AD159" s="6129" t="s">
        <v>1445</v>
      </c>
      <c r="AE159" s="6092"/>
      <c r="AF159" s="6093"/>
      <c r="AG159" s="6130" t="str">
        <f>IMAGE("https://raw.githubusercontent.com/msikma/pokesprite/master/items/hold-item/choice-scarf.png",3)</f>
        <v/>
      </c>
      <c r="AH159" s="6113"/>
      <c r="AI159" s="3700"/>
    </row>
    <row r="160" ht="20.25" customHeight="1">
      <c r="A160" s="3689"/>
      <c r="B160" s="6085"/>
      <c r="C160" s="6131"/>
      <c r="D160" s="6120"/>
      <c r="E160" s="6121" t="s">
        <v>195</v>
      </c>
      <c r="F160" s="6122"/>
      <c r="G160" s="6132"/>
      <c r="H160" s="6133" t="str">
        <f>IMAGE("https://raw.githubusercontent.com/msikma/pokesprite/master/misc/types/gen8/bug.png",4,20,20)</f>
        <v/>
      </c>
      <c r="J160" s="6121" t="s">
        <v>273</v>
      </c>
      <c r="K160" s="6122"/>
      <c r="L160" s="6132"/>
      <c r="M160" s="6133" t="str">
        <f>IMAGE("https://raw.githubusercontent.com/msikma/pokesprite/master/misc/types/gen8/normal.png",4,20,20)</f>
        <v/>
      </c>
      <c r="O160" s="6121" t="s">
        <v>147</v>
      </c>
      <c r="P160" s="6122"/>
      <c r="Q160" s="6132"/>
      <c r="R160" s="6133" t="str">
        <f>IMAGE("https://raw.githubusercontent.com/msikma/pokesprite/master/misc/types/gen8/steel.png",4,20,20)</f>
        <v/>
      </c>
      <c r="T160" s="6121" t="s">
        <v>219</v>
      </c>
      <c r="U160" s="6122"/>
      <c r="V160" s="6132"/>
      <c r="W160" s="6133" t="str">
        <f>IMAGE("https://raw.githubusercontent.com/msikma/pokesprite/master/misc/types/gen8/dragon.png",4,20,20)</f>
        <v/>
      </c>
      <c r="Y160" s="6121" t="s">
        <v>168</v>
      </c>
      <c r="Z160" s="6122"/>
      <c r="AA160" s="6132"/>
      <c r="AB160" s="6133" t="str">
        <f>IMAGE("https://raw.githubusercontent.com/msikma/pokesprite/master/misc/types/gen8/fighting.png",4,20,20)</f>
        <v/>
      </c>
      <c r="AD160" s="6121" t="s">
        <v>667</v>
      </c>
      <c r="AE160" s="6122"/>
      <c r="AF160" s="6132"/>
      <c r="AG160" s="6133" t="str">
        <f>IMAGE("https://raw.githubusercontent.com/msikma/pokesprite/master/misc/types/gen8/dark.png",4,20,20)</f>
        <v/>
      </c>
      <c r="AH160" s="6094"/>
      <c r="AI160" s="3700"/>
    </row>
    <row r="161" ht="20.25" customHeight="1">
      <c r="A161" s="3689"/>
      <c r="B161" s="6085"/>
      <c r="C161" s="6119"/>
      <c r="D161" s="6120"/>
      <c r="E161" s="6125" t="s">
        <v>844</v>
      </c>
      <c r="F161" s="6126"/>
      <c r="G161" s="6134"/>
      <c r="H161" s="6135" t="str">
        <f>IMAGE("https://raw.githubusercontent.com/msikma/pokesprite/master/misc/types/gen8/electric.png",4,20,20)</f>
        <v/>
      </c>
      <c r="J161" s="6125" t="s">
        <v>845</v>
      </c>
      <c r="K161" s="6126"/>
      <c r="L161" s="6134"/>
      <c r="M161" s="6135" t="str">
        <f>IMAGE("https://raw.githubusercontent.com/msikma/pokesprite/master/misc/types/gen8/water.png",4,20,20)</f>
        <v/>
      </c>
      <c r="O161" s="6125" t="s">
        <v>805</v>
      </c>
      <c r="P161" s="6126"/>
      <c r="Q161" s="6134"/>
      <c r="R161" s="6135" t="str">
        <f>IMAGE("https://raw.githubusercontent.com/msikma/pokesprite/master/misc/types/gen8/flying.png",4,20,20)</f>
        <v/>
      </c>
      <c r="T161" s="6125" t="s">
        <v>1347</v>
      </c>
      <c r="U161" s="6126"/>
      <c r="V161" s="6134"/>
      <c r="W161" s="6135" t="str">
        <f>IMAGE("https://raw.githubusercontent.com/msikma/pokesprite/master/misc/types/gen8/ghost.png",4,20,20)</f>
        <v/>
      </c>
      <c r="Y161" s="6125" t="s">
        <v>1072</v>
      </c>
      <c r="Z161" s="6126"/>
      <c r="AA161" s="6134"/>
      <c r="AB161" s="6135" t="str">
        <f>IMAGE("https://raw.githubusercontent.com/msikma/pokesprite/master/misc/types/gen8/water.png",4,20,20)</f>
        <v/>
      </c>
      <c r="AD161" s="6125" t="s">
        <v>583</v>
      </c>
      <c r="AE161" s="6126"/>
      <c r="AF161" s="6134"/>
      <c r="AG161" s="6135" t="str">
        <f>IMAGE("https://raw.githubusercontent.com/msikma/pokesprite/master/misc/types/gen8/fighting.png",4,20,20)</f>
        <v/>
      </c>
      <c r="AH161" s="6094"/>
      <c r="AI161" s="3700"/>
    </row>
    <row r="162" ht="20.25" customHeight="1">
      <c r="A162" s="3689"/>
      <c r="B162" s="6085"/>
      <c r="C162" s="6119"/>
      <c r="D162" s="6120"/>
      <c r="E162" s="6125" t="s">
        <v>846</v>
      </c>
      <c r="F162" s="6126"/>
      <c r="G162" s="6134"/>
      <c r="H162" s="6135" t="str">
        <f>IMAGE("https://raw.githubusercontent.com/msikma/pokesprite/master/misc/types/gen8/bug.png",4,20,20)</f>
        <v/>
      </c>
      <c r="J162" s="6125" t="s">
        <v>924</v>
      </c>
      <c r="K162" s="6126"/>
      <c r="L162" s="6134"/>
      <c r="M162" s="6135" t="str">
        <f>IMAGE("https://raw.githubusercontent.com/msikma/pokesprite/master/misc/types/gen8/ice.png",4,20,20)</f>
        <v/>
      </c>
      <c r="O162" s="6125" t="s">
        <v>619</v>
      </c>
      <c r="P162" s="6126"/>
      <c r="Q162" s="6134"/>
      <c r="R162" s="6135" t="str">
        <f>IMAGE("https://raw.githubusercontent.com/msikma/pokesprite/master/misc/types/gen8/fire.png",4,20,20)</f>
        <v/>
      </c>
      <c r="T162" s="6125" t="s">
        <v>1348</v>
      </c>
      <c r="U162" s="6126"/>
      <c r="V162" s="6134"/>
      <c r="W162" s="6135" t="str">
        <f>IMAGE("https://raw.githubusercontent.com/msikma/pokesprite/master/misc/types/gen8/dragon.png",4,20,20)</f>
        <v/>
      </c>
      <c r="Y162" s="6125" t="s">
        <v>548</v>
      </c>
      <c r="Z162" s="6126"/>
      <c r="AA162" s="6134"/>
      <c r="AB162" s="6135" t="str">
        <f>IMAGE("https://raw.githubusercontent.com/msikma/pokesprite/master/misc/types/gen8/fighting.png",4,20,20)</f>
        <v/>
      </c>
      <c r="AD162" s="6125" t="s">
        <v>545</v>
      </c>
      <c r="AE162" s="6126"/>
      <c r="AF162" s="6134"/>
      <c r="AG162" s="6135" t="str">
        <f>IMAGE("https://raw.githubusercontent.com/msikma/pokesprite/master/misc/types/gen8/poison.png",4,20,20)</f>
        <v/>
      </c>
      <c r="AH162" s="6094"/>
      <c r="AI162" s="3700"/>
    </row>
    <row r="163" ht="21.0" customHeight="1">
      <c r="A163" s="3689"/>
      <c r="B163" s="6085"/>
      <c r="C163" s="6119"/>
      <c r="D163" s="6120"/>
      <c r="E163" s="6136" t="s">
        <v>775</v>
      </c>
      <c r="F163" s="6137"/>
      <c r="G163" s="6138"/>
      <c r="H163" s="6139" t="str">
        <f>IMAGE("https://raw.githubusercontent.com/msikma/pokesprite/master/misc/types/gen8/grass.png",4,20,20)</f>
        <v/>
      </c>
      <c r="I163" s="6140"/>
      <c r="J163" s="6136" t="s">
        <v>927</v>
      </c>
      <c r="K163" s="6137"/>
      <c r="L163" s="6138"/>
      <c r="M163" s="6139" t="str">
        <f>IMAGE("https://raw.githubusercontent.com/msikma/pokesprite/master/misc/types/gen8/rock.png",4,20,20)</f>
        <v/>
      </c>
      <c r="N163" s="6140"/>
      <c r="O163" s="6136" t="s">
        <v>646</v>
      </c>
      <c r="P163" s="6137"/>
      <c r="Q163" s="6138"/>
      <c r="R163" s="6139" t="str">
        <f>IMAGE("https://raw.githubusercontent.com/msikma/pokesprite/master/misc/types/gen8/steel.png",4,20,20)</f>
        <v/>
      </c>
      <c r="S163" s="6140"/>
      <c r="T163" s="6136" t="s">
        <v>1827</v>
      </c>
      <c r="U163" s="6137"/>
      <c r="V163" s="6138"/>
      <c r="W163" s="6139" t="str">
        <f>IMAGE("https://raw.githubusercontent.com/msikma/pokesprite/master/misc/types/gen8/steel.png",4,20,20)</f>
        <v/>
      </c>
      <c r="X163" s="6140"/>
      <c r="Y163" s="6136" t="s">
        <v>974</v>
      </c>
      <c r="Z163" s="6137"/>
      <c r="AA163" s="6138"/>
      <c r="AB163" s="6139" t="str">
        <f>IMAGE("https://raw.githubusercontent.com/msikma/pokesprite/master/misc/types/gen8/water.png",4,20,20)</f>
        <v/>
      </c>
      <c r="AC163" s="6140"/>
      <c r="AD163" s="6136" t="s">
        <v>612</v>
      </c>
      <c r="AE163" s="6137"/>
      <c r="AF163" s="6138"/>
      <c r="AG163" s="6139" t="str">
        <f>IMAGE("https://raw.githubusercontent.com/msikma/pokesprite/master/misc/types/gen8/bug.png",4,20,20)</f>
        <v/>
      </c>
      <c r="AH163" s="6094"/>
      <c r="AI163" s="3700"/>
    </row>
    <row r="164" ht="3.0" customHeight="1">
      <c r="A164" s="3524"/>
      <c r="B164" s="6141"/>
      <c r="C164" s="6090"/>
      <c r="D164" s="6142"/>
      <c r="E164" s="6143"/>
      <c r="F164" s="6143"/>
      <c r="G164" s="6143"/>
      <c r="H164" s="6144"/>
      <c r="I164" s="6142"/>
      <c r="J164" s="6145"/>
      <c r="K164" s="6145"/>
      <c r="L164" s="6145"/>
      <c r="M164" s="6144"/>
      <c r="N164" s="6142"/>
      <c r="O164" s="6145"/>
      <c r="P164" s="6145"/>
      <c r="Q164" s="6145"/>
      <c r="R164" s="6144"/>
      <c r="S164" s="6142"/>
      <c r="T164" s="6145"/>
      <c r="U164" s="6145"/>
      <c r="V164" s="6145"/>
      <c r="W164" s="6144"/>
      <c r="X164" s="6142"/>
      <c r="Y164" s="6145"/>
      <c r="Z164" s="6145"/>
      <c r="AA164" s="6145"/>
      <c r="AB164" s="6144"/>
      <c r="AC164" s="6142"/>
      <c r="AD164" s="6145"/>
      <c r="AE164" s="6145"/>
      <c r="AF164" s="6145"/>
      <c r="AG164" s="6144"/>
      <c r="AH164" s="6146"/>
      <c r="AI164" s="3534"/>
    </row>
    <row r="165" ht="16.5" customHeight="1">
      <c r="A165" s="3535"/>
      <c r="B165" s="6089"/>
      <c r="C165" s="6090"/>
      <c r="D165" s="6147"/>
      <c r="E165" s="6148" t="s">
        <v>512</v>
      </c>
      <c r="F165" s="606"/>
      <c r="G165" s="606"/>
      <c r="H165" s="607"/>
      <c r="I165" s="6149"/>
      <c r="J165" s="6148" t="s">
        <v>512</v>
      </c>
      <c r="K165" s="606"/>
      <c r="L165" s="606"/>
      <c r="M165" s="607"/>
      <c r="N165" s="6149"/>
      <c r="O165" s="6148" t="s">
        <v>512</v>
      </c>
      <c r="P165" s="606"/>
      <c r="Q165" s="606"/>
      <c r="R165" s="607"/>
      <c r="S165" s="6149"/>
      <c r="T165" s="6148" t="s">
        <v>512</v>
      </c>
      <c r="U165" s="606"/>
      <c r="V165" s="606"/>
      <c r="W165" s="607"/>
      <c r="X165" s="6149"/>
      <c r="Y165" s="6148" t="s">
        <v>512</v>
      </c>
      <c r="Z165" s="606"/>
      <c r="AA165" s="606"/>
      <c r="AB165" s="607"/>
      <c r="AC165" s="6149"/>
      <c r="AD165" s="6148" t="s">
        <v>512</v>
      </c>
      <c r="AE165" s="606"/>
      <c r="AF165" s="606"/>
      <c r="AG165" s="607"/>
      <c r="AH165" s="6150"/>
      <c r="AI165" s="3543"/>
    </row>
    <row r="166" ht="16.5" customHeight="1">
      <c r="A166" s="3535"/>
      <c r="B166" s="6089"/>
      <c r="C166" s="6090"/>
      <c r="D166" s="6147"/>
      <c r="E166" s="6151" t="s">
        <v>513</v>
      </c>
      <c r="F166" s="6152">
        <f t="array" ref="F166">IFERROR(VLOOKUP(E153,Dex!$B$3:$N249,8,FALSE),"")</f>
        <v>70</v>
      </c>
      <c r="G166" s="6153" t="str">
        <f t="array" ref="G166">IFERROR(VLOOKUP(F166,Dex!$P$22:$Q$276,2,FALSE),"")</f>
        <v/>
      </c>
      <c r="H166" s="6154"/>
      <c r="I166" s="6155"/>
      <c r="J166" s="6151" t="s">
        <v>513</v>
      </c>
      <c r="K166" s="6152">
        <f t="array" ref="K166">IFERROR(VLOOKUP(J153,Dex!$B$3:$N249,8,FALSE),"")</f>
        <v>50</v>
      </c>
      <c r="L166" s="6153" t="str">
        <f t="array" ref="L166">IFERROR(VLOOKUP(K166,Dex!$P$22:$Q$276,2,FALSE),"")</f>
        <v/>
      </c>
      <c r="M166" s="6154"/>
      <c r="N166" s="6155"/>
      <c r="O166" s="6151" t="s">
        <v>513</v>
      </c>
      <c r="P166" s="6152">
        <f t="array" ref="P166">IFERROR(VLOOKUP(O153,Dex!$B$3:$N249,8,FALSE),"")</f>
        <v>97</v>
      </c>
      <c r="Q166" s="6153" t="str">
        <f t="array" ref="Q166">IFERROR(VLOOKUP(P166,Dex!$P$22:$Q$276,2,FALSE),"")</f>
        <v/>
      </c>
      <c r="R166" s="6154"/>
      <c r="S166" s="6155"/>
      <c r="T166" s="6151" t="s">
        <v>513</v>
      </c>
      <c r="U166" s="6152">
        <f t="array" ref="U166">IFERROR(VLOOKUP(T153,Dex!$B$3:$N249,8,FALSE),"")</f>
        <v>88</v>
      </c>
      <c r="V166" s="6153" t="str">
        <f t="array" ref="V166">IFERROR(VLOOKUP(U166,Dex!$P$22:$Q$276,2,FALSE),"")</f>
        <v/>
      </c>
      <c r="W166" s="6154"/>
      <c r="X166" s="6155"/>
      <c r="Y166" s="6151" t="s">
        <v>513</v>
      </c>
      <c r="Z166" s="6152">
        <f t="array" ref="Z166">IFERROR(VLOOKUP(Y153,Dex!$B$3:$N249,8,FALSE),"")</f>
        <v>100</v>
      </c>
      <c r="AA166" s="6153" t="str">
        <f t="array" ref="AA166">IFERROR(VLOOKUP(Z166,Dex!$P$22:$Q$276,2,FALSE),"")</f>
        <v/>
      </c>
      <c r="AB166" s="6154"/>
      <c r="AC166" s="6155"/>
      <c r="AD166" s="6151" t="s">
        <v>513</v>
      </c>
      <c r="AE166" s="6152">
        <f t="array" ref="AE166">IFERROR(VLOOKUP(AD153,Dex!$B$3:$N249,8,FALSE),"")</f>
        <v>100</v>
      </c>
      <c r="AF166" s="6153" t="str">
        <f t="array" ref="AF166">IFERROR(VLOOKUP(AE166,Dex!$P$22:$Q$276,2,FALSE),"")</f>
        <v/>
      </c>
      <c r="AG166" s="6154"/>
      <c r="AH166" s="6150"/>
      <c r="AI166" s="3543"/>
    </row>
    <row r="167" ht="16.5" customHeight="1">
      <c r="A167" s="3535"/>
      <c r="B167" s="6089"/>
      <c r="C167" s="6090"/>
      <c r="D167" s="6147"/>
      <c r="E167" s="6156" t="s">
        <v>514</v>
      </c>
      <c r="F167" s="6157">
        <f t="array" ref="F167">IFERROR(VLOOKUP(E153,Dex!$B$3:$N249,9,FALSE),"")</f>
        <v>77</v>
      </c>
      <c r="G167" s="6158" t="str">
        <f t="array" ref="G167">IFERROR(VLOOKUP(F167,Dex!$P$22:$Q$276,2,FALSE),"")</f>
        <v/>
      </c>
      <c r="H167" s="6159"/>
      <c r="I167" s="6155"/>
      <c r="J167" s="6156" t="s">
        <v>514</v>
      </c>
      <c r="K167" s="6157">
        <f t="array" ref="K167">IFERROR(VLOOKUP(J153,Dex!$B$3:$N249,9,FALSE),"")</f>
        <v>95</v>
      </c>
      <c r="L167" s="6158" t="str">
        <f t="array" ref="L167">IFERROR(VLOOKUP(K167,Dex!$P$22:$Q$276,2,FALSE),"")</f>
        <v/>
      </c>
      <c r="M167" s="6159"/>
      <c r="N167" s="6155"/>
      <c r="O167" s="6156" t="s">
        <v>514</v>
      </c>
      <c r="P167" s="6157">
        <f t="array" ref="P167">IFERROR(VLOOKUP(O153,Dex!$B$3:$N249,9,FALSE),"")</f>
        <v>101</v>
      </c>
      <c r="Q167" s="6158" t="str">
        <f t="array" ref="Q167">IFERROR(VLOOKUP(P167,Dex!$P$22:$Q$276,2,FALSE),"")</f>
        <v/>
      </c>
      <c r="R167" s="6159"/>
      <c r="S167" s="6155"/>
      <c r="T167" s="6156" t="s">
        <v>514</v>
      </c>
      <c r="U167" s="6157">
        <f t="array" ref="U167">IFERROR(VLOOKUP(T153,Dex!$B$3:$N249,9,FALSE),"")</f>
        <v>120</v>
      </c>
      <c r="V167" s="6158" t="str">
        <f t="array" ref="V167">IFERROR(VLOOKUP(U167,Dex!$P$22:$Q$276,2,FALSE),"")</f>
        <v/>
      </c>
      <c r="W167" s="6159"/>
      <c r="X167" s="6155"/>
      <c r="Y167" s="6156" t="s">
        <v>514</v>
      </c>
      <c r="Z167" s="6157">
        <f t="array" ref="Z167">IFERROR(VLOOKUP(Y153,Dex!$B$3:$N249,9,FALSE),"")</f>
        <v>130</v>
      </c>
      <c r="AA167" s="6158" t="str">
        <f t="array" ref="AA167">IFERROR(VLOOKUP(Z167,Dex!$P$22:$Q$276,2,FALSE),"")</f>
        <v/>
      </c>
      <c r="AB167" s="6159"/>
      <c r="AC167" s="6155"/>
      <c r="AD167" s="6156" t="s">
        <v>514</v>
      </c>
      <c r="AE167" s="6157">
        <f t="array" ref="AE167">IFERROR(VLOOKUP(AD153,Dex!$B$3:$N249,9,FALSE),"")</f>
        <v>130</v>
      </c>
      <c r="AF167" s="6158" t="str">
        <f t="array" ref="AF167">IFERROR(VLOOKUP(AE167,Dex!$P$22:$Q$276,2,FALSE),"")</f>
        <v/>
      </c>
      <c r="AG167" s="6159"/>
      <c r="AH167" s="6150"/>
      <c r="AI167" s="3543"/>
    </row>
    <row r="168" ht="16.5" customHeight="1">
      <c r="A168" s="3535"/>
      <c r="B168" s="6089"/>
      <c r="C168" s="6090"/>
      <c r="D168" s="6147"/>
      <c r="E168" s="6156" t="s">
        <v>515</v>
      </c>
      <c r="F168" s="6157">
        <f t="array" ref="F168">IFERROR(VLOOKUP(E153,Dex!$B$3:$N249,10,FALSE),"")</f>
        <v>60</v>
      </c>
      <c r="G168" s="6158" t="str">
        <f t="array" ref="G168">IFERROR(VLOOKUP(F168,Dex!$P$22:$Q$276,2,FALSE),"")</f>
        <v/>
      </c>
      <c r="H168" s="6159"/>
      <c r="I168" s="6155"/>
      <c r="J168" s="6156" t="s">
        <v>515</v>
      </c>
      <c r="K168" s="6157">
        <f t="array" ref="K168">IFERROR(VLOOKUP(J153,Dex!$B$3:$N249,10,FALSE),"")</f>
        <v>180</v>
      </c>
      <c r="L168" s="6158" t="str">
        <f t="array" ref="L168">IFERROR(VLOOKUP(K168,Dex!$P$22:$Q$276,2,FALSE),"")</f>
        <v/>
      </c>
      <c r="M168" s="6159"/>
      <c r="N168" s="6155"/>
      <c r="O168" s="6156" t="s">
        <v>515</v>
      </c>
      <c r="P168" s="6157">
        <f t="array" ref="P168">IFERROR(VLOOKUP(O153,Dex!$B$3:$N249,10,FALSE),"")</f>
        <v>103</v>
      </c>
      <c r="Q168" s="6158" t="str">
        <f t="array" ref="Q168">IFERROR(VLOOKUP(P168,Dex!$P$22:$Q$276,2,FALSE),"")</f>
        <v/>
      </c>
      <c r="R168" s="6159"/>
      <c r="S168" s="6155"/>
      <c r="T168" s="6156" t="s">
        <v>515</v>
      </c>
      <c r="U168" s="6157">
        <f t="array" ref="U168">IFERROR(VLOOKUP(T153,Dex!$B$3:$N249,10,FALSE),"")</f>
        <v>75</v>
      </c>
      <c r="V168" s="6158" t="str">
        <f t="array" ref="V168">IFERROR(VLOOKUP(U168,Dex!$P$22:$Q$276,2,FALSE),"")</f>
        <v/>
      </c>
      <c r="W168" s="6159"/>
      <c r="X168" s="6155"/>
      <c r="Y168" s="6156" t="s">
        <v>515</v>
      </c>
      <c r="Z168" s="6157">
        <f t="array" ref="Z168">IFERROR(VLOOKUP(Y153,Dex!$B$3:$N249,10,FALSE),"")</f>
        <v>100</v>
      </c>
      <c r="AA168" s="6158" t="str">
        <f t="array" ref="AA168">IFERROR(VLOOKUP(Z168,Dex!$P$22:$Q$276,2,FALSE),"")</f>
        <v/>
      </c>
      <c r="AB168" s="6159"/>
      <c r="AC168" s="6155"/>
      <c r="AD168" s="6156" t="s">
        <v>515</v>
      </c>
      <c r="AE168" s="6157">
        <f t="array" ref="AE168">IFERROR(VLOOKUP(AD153,Dex!$B$3:$N249,10,FALSE),"")</f>
        <v>100</v>
      </c>
      <c r="AF168" s="6158" t="str">
        <f t="array" ref="AF168">IFERROR(VLOOKUP(AE168,Dex!$P$22:$Q$276,2,FALSE),"")</f>
        <v/>
      </c>
      <c r="AG168" s="6159"/>
      <c r="AH168" s="6150"/>
      <c r="AI168" s="3543"/>
    </row>
    <row r="169" ht="16.5" customHeight="1">
      <c r="A169" s="3535"/>
      <c r="B169" s="6089"/>
      <c r="C169" s="6090"/>
      <c r="D169" s="6147"/>
      <c r="E169" s="6156" t="s">
        <v>516</v>
      </c>
      <c r="F169" s="6157">
        <f t="array" ref="F169">IFERROR(VLOOKUP(E153,Dex!$B$3:$N249,11,FALSE),"")</f>
        <v>97</v>
      </c>
      <c r="G169" s="6158" t="str">
        <f t="array" ref="G169">IFERROR(VLOOKUP(F169,Dex!$P$22:$Q$276,2,FALSE),"")</f>
        <v/>
      </c>
      <c r="H169" s="6159"/>
      <c r="I169" s="6155"/>
      <c r="J169" s="6156" t="s">
        <v>516</v>
      </c>
      <c r="K169" s="6157">
        <f t="array" ref="K169">IFERROR(VLOOKUP(J153,Dex!$B$3:$N249,11,FALSE),"")</f>
        <v>85</v>
      </c>
      <c r="L169" s="6158" t="str">
        <f t="array" ref="L169">IFERROR(VLOOKUP(K169,Dex!$P$22:$Q$276,2,FALSE),"")</f>
        <v/>
      </c>
      <c r="M169" s="6159"/>
      <c r="N169" s="6155"/>
      <c r="O169" s="6156" t="s">
        <v>516</v>
      </c>
      <c r="P169" s="6157">
        <f t="array" ref="P169">IFERROR(VLOOKUP(O153,Dex!$B$3:$N249,11,FALSE),"")</f>
        <v>107</v>
      </c>
      <c r="Q169" s="6158" t="str">
        <f t="array" ref="Q169">IFERROR(VLOOKUP(P169,Dex!$P$22:$Q$276,2,FALSE),"")</f>
        <v/>
      </c>
      <c r="R169" s="6159"/>
      <c r="S169" s="6155"/>
      <c r="T169" s="6156" t="s">
        <v>516</v>
      </c>
      <c r="U169" s="6157">
        <f t="array" ref="U169">IFERROR(VLOOKUP(T153,Dex!$B$3:$N249,11,FALSE),"")</f>
        <v>100</v>
      </c>
      <c r="V169" s="6158" t="str">
        <f t="array" ref="V169">IFERROR(VLOOKUP(U169,Dex!$P$22:$Q$276,2,FALSE),"")</f>
        <v/>
      </c>
      <c r="W169" s="6159"/>
      <c r="X169" s="6155"/>
      <c r="Y169" s="6156" t="s">
        <v>516</v>
      </c>
      <c r="Z169" s="6157">
        <f t="array" ref="Z169">IFERROR(VLOOKUP(Y153,Dex!$B$3:$N249,11,FALSE),"")</f>
        <v>63</v>
      </c>
      <c r="AA169" s="6158" t="str">
        <f t="array" ref="AA169">IFERROR(VLOOKUP(Z169,Dex!$P$22:$Q$276,2,FALSE),"")</f>
        <v/>
      </c>
      <c r="AB169" s="6159"/>
      <c r="AC169" s="6155"/>
      <c r="AD169" s="6156" t="s">
        <v>516</v>
      </c>
      <c r="AE169" s="6157">
        <f t="array" ref="AE169">IFERROR(VLOOKUP(AD153,Dex!$B$3:$N249,11,FALSE),"")</f>
        <v>63</v>
      </c>
      <c r="AF169" s="6158" t="str">
        <f t="array" ref="AF169">IFERROR(VLOOKUP(AE169,Dex!$P$22:$Q$276,2,FALSE),"")</f>
        <v/>
      </c>
      <c r="AG169" s="6159"/>
      <c r="AH169" s="6150"/>
      <c r="AI169" s="3543"/>
    </row>
    <row r="170" ht="16.5" customHeight="1">
      <c r="A170" s="3535"/>
      <c r="B170" s="6089"/>
      <c r="C170" s="6160"/>
      <c r="D170" s="6147"/>
      <c r="E170" s="6156" t="s">
        <v>517</v>
      </c>
      <c r="F170" s="6157">
        <f t="array" ref="F170">IFERROR(VLOOKUP(E153,Dex!$B$3:$N249,12,FALSE),"")</f>
        <v>60</v>
      </c>
      <c r="G170" s="6158" t="str">
        <f t="array" ref="G170">IFERROR(VLOOKUP(F170,Dex!$P$22:$Q$276,2,FALSE),"")</f>
        <v/>
      </c>
      <c r="H170" s="6159"/>
      <c r="I170" s="6155"/>
      <c r="J170" s="6156" t="s">
        <v>517</v>
      </c>
      <c r="K170" s="6157">
        <f t="array" ref="K170">IFERROR(VLOOKUP(J153,Dex!$B$3:$N249,12,FALSE),"")</f>
        <v>45</v>
      </c>
      <c r="L170" s="6158" t="str">
        <f t="array" ref="L170">IFERROR(VLOOKUP(K170,Dex!$P$22:$Q$276,2,FALSE),"")</f>
        <v/>
      </c>
      <c r="M170" s="6159"/>
      <c r="N170" s="6155"/>
      <c r="O170" s="6156" t="s">
        <v>517</v>
      </c>
      <c r="P170" s="6157">
        <f t="array" ref="P170">IFERROR(VLOOKUP(O153,Dex!$B$3:$N249,12,FALSE),"")</f>
        <v>101</v>
      </c>
      <c r="Q170" s="6158" t="str">
        <f t="array" ref="Q170">IFERROR(VLOOKUP(P170,Dex!$P$22:$Q$276,2,FALSE),"")</f>
        <v/>
      </c>
      <c r="R170" s="6159"/>
      <c r="S170" s="6155"/>
      <c r="T170" s="6156" t="s">
        <v>517</v>
      </c>
      <c r="U170" s="6157">
        <f t="array" ref="U170">IFERROR(VLOOKUP(T153,Dex!$B$3:$N249,12,FALSE),"")</f>
        <v>75</v>
      </c>
      <c r="V170" s="6158" t="str">
        <f t="array" ref="V170">IFERROR(VLOOKUP(U170,Dex!$P$22:$Q$276,2,FALSE),"")</f>
        <v/>
      </c>
      <c r="W170" s="6159"/>
      <c r="X170" s="6155"/>
      <c r="Y170" s="6156" t="s">
        <v>517</v>
      </c>
      <c r="Z170" s="6157">
        <f t="array" ref="Z170">IFERROR(VLOOKUP(Y153,Dex!$B$3:$N249,12,FALSE),"")</f>
        <v>60</v>
      </c>
      <c r="AA170" s="6158" t="str">
        <f t="array" ref="AA170">IFERROR(VLOOKUP(Z170,Dex!$P$22:$Q$276,2,FALSE),"")</f>
        <v/>
      </c>
      <c r="AB170" s="6159"/>
      <c r="AC170" s="6155"/>
      <c r="AD170" s="6156" t="s">
        <v>517</v>
      </c>
      <c r="AE170" s="6157">
        <f t="array" ref="AE170">IFERROR(VLOOKUP(AD153,Dex!$B$3:$N249,12,FALSE),"")</f>
        <v>60</v>
      </c>
      <c r="AF170" s="6158" t="str">
        <f t="array" ref="AF170">IFERROR(VLOOKUP(AE170,Dex!$P$22:$Q$276,2,FALSE),"")</f>
        <v/>
      </c>
      <c r="AG170" s="6159"/>
      <c r="AH170" s="6150"/>
      <c r="AI170" s="3543"/>
    </row>
    <row r="171" ht="16.5" customHeight="1">
      <c r="A171" s="3535"/>
      <c r="B171" s="6089"/>
      <c r="C171" s="1426" t="s">
        <v>745</v>
      </c>
      <c r="D171" s="6161"/>
      <c r="E171" s="6162" t="s">
        <v>518</v>
      </c>
      <c r="F171" s="6163">
        <f t="array" ref="F171">IFERROR(VLOOKUP(E153,Dex!$B$3:$N249,13,FALSE),"")</f>
        <v>108</v>
      </c>
      <c r="G171" s="6164" t="str">
        <f t="array" ref="G171">IFERROR(VLOOKUP(F171,Dex!$P$22:$Q$276,2,FALSE),"")</f>
        <v/>
      </c>
      <c r="H171" s="6165"/>
      <c r="I171" s="6155"/>
      <c r="J171" s="6162" t="s">
        <v>518</v>
      </c>
      <c r="K171" s="6163">
        <f t="array" ref="K171">IFERROR(VLOOKUP(J153,Dex!$B$3:$N249,13,FALSE),"")</f>
        <v>70</v>
      </c>
      <c r="L171" s="6164" t="str">
        <f t="array" ref="L171">IFERROR(VLOOKUP(K171,Dex!$P$22:$Q$276,2,FALSE),"")</f>
        <v/>
      </c>
      <c r="M171" s="6165"/>
      <c r="N171" s="6155"/>
      <c r="O171" s="6162" t="s">
        <v>518</v>
      </c>
      <c r="P171" s="6163">
        <f t="array" ref="P171">IFERROR(VLOOKUP(O153,Dex!$B$3:$N249,13,FALSE),"")</f>
        <v>61</v>
      </c>
      <c r="Q171" s="6164" t="str">
        <f t="array" ref="Q171">IFERROR(VLOOKUP(P171,Dex!$P$22:$Q$276,2,FALSE),"")</f>
        <v/>
      </c>
      <c r="R171" s="6165"/>
      <c r="S171" s="6155"/>
      <c r="T171" s="6162" t="s">
        <v>518</v>
      </c>
      <c r="U171" s="6163">
        <f t="array" ref="U171">IFERROR(VLOOKUP(T153,Dex!$B$3:$N249,13,FALSE),"")</f>
        <v>142</v>
      </c>
      <c r="V171" s="6164" t="str">
        <f t="array" ref="V171">IFERROR(VLOOKUP(U171,Dex!$P$22:$Q$276,2,FALSE),"")</f>
        <v/>
      </c>
      <c r="W171" s="6165"/>
      <c r="X171" s="6155"/>
      <c r="Y171" s="6162" t="s">
        <v>518</v>
      </c>
      <c r="Z171" s="6163">
        <f t="array" ref="Z171">IFERROR(VLOOKUP(Y153,Dex!$B$3:$N249,13,FALSE),"")</f>
        <v>97</v>
      </c>
      <c r="AA171" s="6166" t="str">
        <f t="array" ref="AA171">IFERROR(VLOOKUP(Z171,Dex!$P$22:$Q$276,2,FALSE),"")</f>
        <v/>
      </c>
      <c r="AB171" s="6167"/>
      <c r="AC171" s="6155"/>
      <c r="AD171" s="6162" t="s">
        <v>518</v>
      </c>
      <c r="AE171" s="6163">
        <f t="array" ref="AE171">IFERROR(VLOOKUP(AD153,Dex!$B$3:$N249,13,FALSE),"")</f>
        <v>97</v>
      </c>
      <c r="AF171" s="6164" t="str">
        <f t="array" ref="AF171">IFERROR(VLOOKUP(AE171,Dex!$P$22:$Q$276,2,FALSE),"")</f>
        <v/>
      </c>
      <c r="AG171" s="6165"/>
      <c r="AH171" s="6150"/>
      <c r="AI171" s="3543"/>
    </row>
    <row r="172" ht="16.5" customHeight="1">
      <c r="A172" s="3535"/>
      <c r="B172" s="6089"/>
      <c r="C172" s="1427" t="s">
        <v>1828</v>
      </c>
      <c r="D172" s="6161"/>
      <c r="E172" s="6168" t="s">
        <v>519</v>
      </c>
      <c r="F172" s="630"/>
      <c r="G172" s="631"/>
      <c r="H172" s="632">
        <f>ROUNDDOWN((ROUNDDOWN(((((2*F171+31)*81)/100+5)),0))*1.1,0)</f>
        <v>225</v>
      </c>
      <c r="I172" s="6149"/>
      <c r="J172" s="6168" t="s">
        <v>519</v>
      </c>
      <c r="K172" s="630"/>
      <c r="L172" s="631"/>
      <c r="M172" s="632">
        <f>ROUNDDOWN((ROUNDDOWN(((((2*K171+31)*81)/100+5)),0))*1.1,0)</f>
        <v>157</v>
      </c>
      <c r="N172" s="6149"/>
      <c r="O172" s="6168" t="s">
        <v>519</v>
      </c>
      <c r="P172" s="630"/>
      <c r="Q172" s="631"/>
      <c r="R172" s="632">
        <f>ROUNDDOWN((ROUNDDOWN(((((2*P171+31)*81)/100+5)),0))*1.1,0)</f>
        <v>140</v>
      </c>
      <c r="S172" s="6149"/>
      <c r="T172" s="6168" t="s">
        <v>519</v>
      </c>
      <c r="U172" s="630"/>
      <c r="V172" s="631"/>
      <c r="W172" s="632">
        <f>ROUNDDOWN((ROUNDDOWN(((((2*U171+31)*81)/100+5)),0))*1.1,0)</f>
        <v>286</v>
      </c>
      <c r="X172" s="6149"/>
      <c r="Y172" s="6169" t="s">
        <v>519</v>
      </c>
      <c r="Z172" s="635"/>
      <c r="AA172" s="636"/>
      <c r="AB172" s="632">
        <f>ROUNDDOWN((ROUNDDOWN(((((2*Z171+31)*81)/100+5)),0))*1.1,0)</f>
        <v>205</v>
      </c>
      <c r="AC172" s="6149"/>
      <c r="AD172" s="6169" t="s">
        <v>519</v>
      </c>
      <c r="AE172" s="635"/>
      <c r="AF172" s="636"/>
      <c r="AG172" s="632">
        <f>ROUNDDOWN((ROUNDDOWN(((((2*AE171+31)*81)/100+5)),0))*1.1,0)</f>
        <v>205</v>
      </c>
      <c r="AH172" s="6150"/>
      <c r="AI172" s="3543"/>
    </row>
    <row r="173" ht="16.5" customHeight="1">
      <c r="A173" s="3689"/>
      <c r="B173" s="6089"/>
      <c r="C173" s="6090"/>
      <c r="D173" s="6090"/>
      <c r="E173" s="6168" t="s">
        <v>672</v>
      </c>
      <c r="F173" s="630"/>
      <c r="G173" s="631"/>
      <c r="H173" s="5916">
        <f>H172*2</f>
        <v>450</v>
      </c>
      <c r="I173" s="6090"/>
      <c r="J173" s="6168" t="s">
        <v>672</v>
      </c>
      <c r="K173" s="630"/>
      <c r="L173" s="631"/>
      <c r="M173" s="5916">
        <f>M172*2</f>
        <v>314</v>
      </c>
      <c r="N173" s="6170"/>
      <c r="O173" s="6168" t="s">
        <v>672</v>
      </c>
      <c r="P173" s="630"/>
      <c r="Q173" s="631"/>
      <c r="R173" s="5916">
        <f>R172*2</f>
        <v>280</v>
      </c>
      <c r="S173" s="6090"/>
      <c r="T173" s="6168" t="s">
        <v>672</v>
      </c>
      <c r="U173" s="630"/>
      <c r="V173" s="631"/>
      <c r="W173" s="5916">
        <f>W172*2</f>
        <v>572</v>
      </c>
      <c r="X173" s="6090"/>
      <c r="Y173" s="6168" t="s">
        <v>672</v>
      </c>
      <c r="Z173" s="630"/>
      <c r="AA173" s="631"/>
      <c r="AB173" s="5916">
        <f>AB172*2</f>
        <v>410</v>
      </c>
      <c r="AC173" s="6090"/>
      <c r="AD173" s="6168" t="s">
        <v>672</v>
      </c>
      <c r="AE173" s="630"/>
      <c r="AF173" s="631"/>
      <c r="AG173" s="5916">
        <f>AG172*2</f>
        <v>410</v>
      </c>
      <c r="AH173" s="6150"/>
      <c r="AI173" s="3700"/>
    </row>
    <row r="174" ht="16.5" customHeight="1">
      <c r="A174" s="3689"/>
      <c r="B174" s="6089"/>
      <c r="C174" s="6171"/>
      <c r="D174" s="6171"/>
      <c r="E174" s="6171"/>
      <c r="F174" s="6171"/>
      <c r="G174" s="6171"/>
      <c r="H174" s="6171"/>
      <c r="I174" s="6171"/>
      <c r="J174" s="6171"/>
      <c r="K174" s="6171"/>
      <c r="L174" s="6171"/>
      <c r="M174" s="6171"/>
      <c r="N174" s="6172"/>
      <c r="O174" s="6171"/>
      <c r="P174" s="6171"/>
      <c r="Q174" s="6171"/>
      <c r="R174" s="6171"/>
      <c r="S174" s="6171"/>
      <c r="T174" s="6171"/>
      <c r="U174" s="6171"/>
      <c r="V174" s="6171"/>
      <c r="W174" s="6171"/>
      <c r="X174" s="6171"/>
      <c r="Y174" s="6173" t="s">
        <v>1829</v>
      </c>
      <c r="Z174" s="643"/>
      <c r="AA174" s="644"/>
      <c r="AB174" s="645">
        <f>ROUNDDOWN(AB173*1.5,0)</f>
        <v>615</v>
      </c>
      <c r="AC174" s="6171"/>
      <c r="AD174" s="6173" t="s">
        <v>1449</v>
      </c>
      <c r="AE174" s="643"/>
      <c r="AF174" s="644"/>
      <c r="AG174" s="645">
        <f>ROUNDDOWN(AG173*1.5,0)</f>
        <v>615</v>
      </c>
      <c r="AH174" s="6150"/>
      <c r="AI174" s="3700"/>
    </row>
    <row r="175" ht="11.25" customHeight="1">
      <c r="A175" s="3689"/>
      <c r="B175" s="6089"/>
      <c r="C175" s="6081"/>
      <c r="D175" s="6081"/>
      <c r="E175" s="6081"/>
      <c r="F175" s="6081"/>
      <c r="G175" s="6081"/>
      <c r="H175" s="6081"/>
      <c r="I175" s="6081"/>
      <c r="J175" s="6081"/>
      <c r="K175" s="6081"/>
      <c r="L175" s="6081"/>
      <c r="M175" s="6081"/>
      <c r="N175" s="6081"/>
      <c r="O175" s="6082"/>
      <c r="P175" s="6082"/>
      <c r="Q175" s="6082"/>
      <c r="R175" s="6081"/>
      <c r="S175" s="6081"/>
      <c r="T175" s="6083"/>
      <c r="U175" s="6083"/>
      <c r="V175" s="6083"/>
      <c r="W175" s="6081"/>
      <c r="X175" s="6081"/>
      <c r="Y175" s="6083"/>
      <c r="Z175" s="6083"/>
      <c r="AA175" s="6083"/>
      <c r="AB175" s="6081"/>
      <c r="AC175" s="6081"/>
      <c r="AD175" s="6081"/>
      <c r="AE175" s="6081"/>
      <c r="AF175" s="6081"/>
      <c r="AG175" s="6081"/>
      <c r="AH175" s="6150"/>
      <c r="AI175" s="3700"/>
    </row>
    <row r="176" ht="11.25" customHeight="1">
      <c r="A176" s="3689"/>
      <c r="B176" s="6089"/>
      <c r="C176" s="6086"/>
      <c r="D176" s="6086"/>
      <c r="E176" s="3250" t="s">
        <v>1830</v>
      </c>
      <c r="F176" s="3251"/>
      <c r="G176" s="3251"/>
      <c r="H176" s="3251"/>
      <c r="I176" s="3251"/>
      <c r="J176" s="3251"/>
      <c r="K176" s="3251"/>
      <c r="L176" s="3251"/>
      <c r="M176" s="3251"/>
      <c r="N176" s="3251"/>
      <c r="O176" s="3251"/>
      <c r="P176" s="3251"/>
      <c r="Q176" s="3251"/>
      <c r="R176" s="3251"/>
      <c r="S176" s="3251"/>
      <c r="T176" s="3251"/>
      <c r="U176" s="3251"/>
      <c r="V176" s="3251"/>
      <c r="W176" s="3251"/>
      <c r="X176" s="3251"/>
      <c r="Y176" s="3251"/>
      <c r="Z176" s="3251"/>
      <c r="AA176" s="3251"/>
      <c r="AB176" s="3251"/>
      <c r="AC176" s="3251"/>
      <c r="AD176" s="3251"/>
      <c r="AE176" s="3251"/>
      <c r="AF176" s="3251"/>
      <c r="AG176" s="3252"/>
      <c r="AH176" s="6150"/>
      <c r="AI176" s="3700"/>
    </row>
    <row r="177" ht="11.25" customHeight="1">
      <c r="A177" s="3689"/>
      <c r="B177" s="6089"/>
      <c r="C177" s="6086"/>
      <c r="D177" s="6086"/>
      <c r="E177" s="314"/>
      <c r="F177" s="3255"/>
      <c r="G177" s="3255"/>
      <c r="H177" s="3255"/>
      <c r="I177" s="3255"/>
      <c r="J177" s="3255"/>
      <c r="K177" s="3255"/>
      <c r="L177" s="3255"/>
      <c r="M177" s="3255"/>
      <c r="N177" s="3255"/>
      <c r="O177" s="3255"/>
      <c r="P177" s="3255"/>
      <c r="Q177" s="3255"/>
      <c r="R177" s="3255"/>
      <c r="S177" s="3255"/>
      <c r="T177" s="3255"/>
      <c r="U177" s="3255"/>
      <c r="V177" s="3255"/>
      <c r="W177" s="3255"/>
      <c r="X177" s="3255"/>
      <c r="Y177" s="3255"/>
      <c r="Z177" s="3255"/>
      <c r="AA177" s="3255"/>
      <c r="AB177" s="3255"/>
      <c r="AC177" s="3255"/>
      <c r="AD177" s="3255"/>
      <c r="AE177" s="3255"/>
      <c r="AF177" s="3255"/>
      <c r="AG177" s="3256"/>
      <c r="AH177" s="6150"/>
      <c r="AI177" s="3700"/>
    </row>
    <row r="178" ht="3.75" customHeight="1">
      <c r="A178" s="3689"/>
      <c r="B178" s="6085"/>
      <c r="C178" s="6088"/>
      <c r="D178" s="6086"/>
      <c r="E178" s="6174"/>
      <c r="F178" s="6174"/>
      <c r="G178" s="6174"/>
      <c r="H178" s="6174"/>
      <c r="I178" s="6086"/>
      <c r="J178" s="6174"/>
      <c r="K178" s="6174"/>
      <c r="L178" s="6174"/>
      <c r="M178" s="6174"/>
      <c r="N178" s="6086"/>
      <c r="O178" s="6174"/>
      <c r="P178" s="6174"/>
      <c r="Q178" s="6174"/>
      <c r="R178" s="6174"/>
      <c r="S178" s="6086"/>
      <c r="T178" s="6174"/>
      <c r="U178" s="6174"/>
      <c r="V178" s="6174"/>
      <c r="W178" s="6174"/>
      <c r="X178" s="6086"/>
      <c r="Y178" s="6174"/>
      <c r="Z178" s="6174"/>
      <c r="AA178" s="6174"/>
      <c r="AB178" s="6174"/>
      <c r="AC178" s="6086"/>
      <c r="AD178" s="6174"/>
      <c r="AE178" s="6174"/>
      <c r="AF178" s="6174"/>
      <c r="AG178" s="6174"/>
      <c r="AH178" s="6150"/>
      <c r="AI178" s="3700"/>
    </row>
    <row r="179">
      <c r="A179" s="3689"/>
      <c r="B179" s="6089"/>
      <c r="C179" s="6090"/>
      <c r="D179" s="6090"/>
      <c r="E179" s="6091" t="s">
        <v>1831</v>
      </c>
      <c r="F179" s="6092"/>
      <c r="G179" s="6092"/>
      <c r="H179" s="6092"/>
      <c r="I179" s="6092"/>
      <c r="J179" s="6092"/>
      <c r="K179" s="6092"/>
      <c r="L179" s="6092"/>
      <c r="M179" s="6092"/>
      <c r="N179" s="6092"/>
      <c r="O179" s="6092"/>
      <c r="P179" s="6092"/>
      <c r="Q179" s="6092"/>
      <c r="R179" s="6092"/>
      <c r="S179" s="6092"/>
      <c r="T179" s="6092"/>
      <c r="U179" s="6092"/>
      <c r="V179" s="6092"/>
      <c r="W179" s="6092"/>
      <c r="X179" s="6092"/>
      <c r="Y179" s="6092"/>
      <c r="Z179" s="6092"/>
      <c r="AA179" s="6092"/>
      <c r="AB179" s="6092"/>
      <c r="AC179" s="6092"/>
      <c r="AD179" s="6092"/>
      <c r="AE179" s="6092"/>
      <c r="AF179" s="6092"/>
      <c r="AG179" s="6093"/>
      <c r="AH179" s="6094"/>
      <c r="AI179" s="3700"/>
    </row>
    <row r="180" ht="96.75" customHeight="1">
      <c r="A180" s="3689"/>
      <c r="B180" s="6095"/>
      <c r="C180" s="6096" t="str">
        <f>IMAGE("https://i.ibb.co/nzhVFm2/Ketchup.png")</f>
        <v/>
      </c>
      <c r="D180" s="6097"/>
      <c r="E180" s="6098" t="str">
        <f t="array" ref="E180">IFERROR(VLOOKUP(E181,Dex!$B$3:$G249,3,FALSE),"")</f>
        <v/>
      </c>
      <c r="F180" s="1945"/>
      <c r="G180" s="1945"/>
      <c r="H180" s="1946"/>
      <c r="I180" s="6099"/>
      <c r="J180" s="6098" t="str">
        <f t="array" ref="J180">IFERROR(VLOOKUP(J181,Dex!$B$3:$G249,3,FALSE),"")</f>
        <v/>
      </c>
      <c r="K180" s="1945"/>
      <c r="L180" s="1945"/>
      <c r="M180" s="1946"/>
      <c r="N180" s="6099"/>
      <c r="O180" s="6098" t="str">
        <f t="array" ref="O180">IFERROR(VLOOKUP(O181,Dex!$B$3:$G249,3,FALSE),"")</f>
        <v/>
      </c>
      <c r="P180" s="1945"/>
      <c r="Q180" s="1945"/>
      <c r="R180" s="1946"/>
      <c r="S180" s="6099"/>
      <c r="T180" s="6098" t="str">
        <f t="array" ref="T180">IFERROR(VLOOKUP(T181,Dex!$B$3:$G249,3,FALSE),"")</f>
        <v/>
      </c>
      <c r="U180" s="1945"/>
      <c r="V180" s="1945"/>
      <c r="W180" s="1946"/>
      <c r="X180" s="6099"/>
      <c r="Y180" s="6098" t="str">
        <f t="array" ref="Y180">IFERROR(VLOOKUP(Y181,Dex!$B$3:$G249,3,FALSE),"")</f>
        <v/>
      </c>
      <c r="Z180" s="1945"/>
      <c r="AA180" s="1945"/>
      <c r="AB180" s="1946"/>
      <c r="AC180" s="6099"/>
      <c r="AD180" s="6098" t="str">
        <f t="array" ref="AD180">IFERROR(VLOOKUP(AD181,Dex!$B$3:$G249,3,FALSE),"")</f>
        <v/>
      </c>
      <c r="AE180" s="1945"/>
      <c r="AF180" s="1945"/>
      <c r="AG180" s="1946"/>
      <c r="AH180" s="6175"/>
      <c r="AI180" s="3700"/>
    </row>
    <row r="181" ht="18.75" customHeight="1">
      <c r="A181" s="3689"/>
      <c r="B181" s="6095"/>
      <c r="C181" s="6100" t="s">
        <v>1832</v>
      </c>
      <c r="D181" s="6101"/>
      <c r="E181" s="6102" t="s">
        <v>1833</v>
      </c>
      <c r="F181" s="6103"/>
      <c r="G181" s="6103"/>
      <c r="H181" s="6104"/>
      <c r="J181" s="6102" t="s">
        <v>752</v>
      </c>
      <c r="K181" s="6103"/>
      <c r="L181" s="6103"/>
      <c r="M181" s="6104"/>
      <c r="O181" s="6102" t="s">
        <v>1482</v>
      </c>
      <c r="P181" s="6103"/>
      <c r="Q181" s="6103"/>
      <c r="R181" s="6104"/>
      <c r="T181" s="6102" t="s">
        <v>1834</v>
      </c>
      <c r="U181" s="6103"/>
      <c r="V181" s="6103"/>
      <c r="W181" s="6104"/>
      <c r="Y181" s="6102" t="s">
        <v>1068</v>
      </c>
      <c r="Z181" s="6103"/>
      <c r="AA181" s="6103"/>
      <c r="AB181" s="6104"/>
      <c r="AD181" s="6102" t="s">
        <v>1825</v>
      </c>
      <c r="AE181" s="6103"/>
      <c r="AF181" s="6103"/>
      <c r="AG181" s="6104"/>
      <c r="AH181" s="6094"/>
      <c r="AI181" s="3700"/>
    </row>
    <row r="182">
      <c r="A182" s="3689"/>
      <c r="B182" s="6095"/>
      <c r="C182" s="1638"/>
      <c r="D182" s="6101"/>
      <c r="E182" s="6105" t="s">
        <v>729</v>
      </c>
      <c r="F182" s="6106"/>
      <c r="G182" s="6106"/>
      <c r="H182" s="6107"/>
      <c r="J182" s="6105" t="s">
        <v>729</v>
      </c>
      <c r="K182" s="6106"/>
      <c r="L182" s="6106"/>
      <c r="M182" s="6107"/>
      <c r="O182" s="6105" t="s">
        <v>729</v>
      </c>
      <c r="P182" s="6106"/>
      <c r="Q182" s="6106"/>
      <c r="R182" s="6107"/>
      <c r="T182" s="6105" t="s">
        <v>729</v>
      </c>
      <c r="U182" s="6106"/>
      <c r="V182" s="6106"/>
      <c r="W182" s="6107"/>
      <c r="Y182" s="6105" t="s">
        <v>729</v>
      </c>
      <c r="Z182" s="6106"/>
      <c r="AA182" s="6106"/>
      <c r="AB182" s="6107"/>
      <c r="AD182" s="6105" t="s">
        <v>729</v>
      </c>
      <c r="AE182" s="6106"/>
      <c r="AF182" s="6106"/>
      <c r="AG182" s="6107"/>
      <c r="AH182" s="6094"/>
      <c r="AI182" s="3700"/>
    </row>
    <row r="183" ht="25.5" customHeight="1">
      <c r="A183" s="3689"/>
      <c r="B183" s="6095"/>
      <c r="C183" s="1646"/>
      <c r="D183" s="6108"/>
      <c r="E183" s="6109"/>
      <c r="F183" s="6176" t="str">
        <f t="array" ref="F183">IFERROR(VLOOKUP(E181,Dex!$B$3:$H249,5,FALSE),"")</f>
        <v/>
      </c>
      <c r="G183" s="6177"/>
      <c r="H183" s="6112"/>
      <c r="J183" s="6109"/>
      <c r="K183" s="6110" t="str">
        <f t="array" ref="K183">IFERROR(VLOOKUP(J181,Dex!$B$3:$H249,5,FALSE),"")</f>
        <v/>
      </c>
      <c r="L183" s="6111" t="str">
        <f t="array" ref="L183">IFERROR(VLOOKUP(J181,Dex!$B$3:$H249,7,FALSE),"")</f>
        <v/>
      </c>
      <c r="M183" s="6112"/>
      <c r="O183" s="6109"/>
      <c r="P183" s="6176" t="str">
        <f t="array" ref="P183">IFERROR(VLOOKUP(O181,Dex!$B$3:$H249,5,FALSE),"")</f>
        <v/>
      </c>
      <c r="Q183" s="6177"/>
      <c r="R183" s="6112"/>
      <c r="T183" s="6109"/>
      <c r="U183" s="6110" t="str">
        <f t="array" ref="U183">IFERROR(VLOOKUP(T181,Dex!$B$3:$H249,5,FALSE),"")</f>
        <v/>
      </c>
      <c r="V183" s="6111" t="str">
        <f t="array" ref="V183">IFERROR(VLOOKUP(T181,Dex!$B$3:$H249,7,FALSE),"")</f>
        <v/>
      </c>
      <c r="W183" s="6112"/>
      <c r="Y183" s="6109"/>
      <c r="Z183" s="6110" t="str">
        <f t="array" ref="Z183">IFERROR(VLOOKUP(Y181,Dex!$B$3:$H249,5,FALSE),"")</f>
        <v/>
      </c>
      <c r="AA183" s="6111" t="str">
        <f t="array" ref="AA183">IFERROR(VLOOKUP(Y181,Dex!$B$3:$H249,7,FALSE),"")</f>
        <v/>
      </c>
      <c r="AB183" s="6112"/>
      <c r="AD183" s="6109"/>
      <c r="AE183" s="6110" t="str">
        <f t="array" ref="AE183">IFERROR(VLOOKUP(AD181,Dex!$B$3:$H249,5,FALSE),"")</f>
        <v/>
      </c>
      <c r="AF183" s="6111" t="str">
        <f t="array" ref="AF183">IFERROR(VLOOKUP(AD181,Dex!$B$3:$H249,7,FALSE),"")</f>
        <v/>
      </c>
      <c r="AG183" s="6112"/>
      <c r="AH183" s="6113"/>
      <c r="AI183" s="3700"/>
    </row>
    <row r="184" ht="2.25" customHeight="1">
      <c r="A184" s="3689"/>
      <c r="B184" s="6085"/>
      <c r="C184" s="6114"/>
      <c r="D184" s="6115"/>
      <c r="E184" s="6116"/>
      <c r="F184" s="6117"/>
      <c r="G184" s="6117"/>
      <c r="H184" s="6118"/>
      <c r="J184" s="6116"/>
      <c r="K184" s="6117"/>
      <c r="L184" s="6117"/>
      <c r="M184" s="6118"/>
      <c r="O184" s="6116"/>
      <c r="P184" s="6117"/>
      <c r="Q184" s="6117"/>
      <c r="R184" s="6118"/>
      <c r="T184" s="6116"/>
      <c r="U184" s="6117"/>
      <c r="V184" s="6117"/>
      <c r="W184" s="6118"/>
      <c r="Y184" s="6116"/>
      <c r="Z184" s="6117"/>
      <c r="AA184" s="6117"/>
      <c r="AB184" s="6118"/>
      <c r="AD184" s="6116"/>
      <c r="AE184" s="6117"/>
      <c r="AF184" s="6117"/>
      <c r="AG184" s="6118"/>
      <c r="AH184" s="6113"/>
      <c r="AI184" s="3700"/>
    </row>
    <row r="185" ht="20.25" customHeight="1">
      <c r="A185" s="3689"/>
      <c r="B185" s="6085"/>
      <c r="C185" s="6119"/>
      <c r="D185" s="6120"/>
      <c r="E185" s="6121" t="s">
        <v>531</v>
      </c>
      <c r="F185" s="6122"/>
      <c r="G185" s="6122"/>
      <c r="H185" s="6123"/>
      <c r="J185" s="6121" t="s">
        <v>531</v>
      </c>
      <c r="K185" s="6122"/>
      <c r="L185" s="6122"/>
      <c r="M185" s="6123"/>
      <c r="O185" s="6121" t="s">
        <v>531</v>
      </c>
      <c r="P185" s="6122"/>
      <c r="Q185" s="6122"/>
      <c r="R185" s="6123"/>
      <c r="T185" s="6121" t="s">
        <v>566</v>
      </c>
      <c r="U185" s="6122"/>
      <c r="V185" s="6122"/>
      <c r="W185" s="6123"/>
      <c r="Y185" s="6121" t="s">
        <v>532</v>
      </c>
      <c r="Z185" s="6122"/>
      <c r="AA185" s="6122"/>
      <c r="AB185" s="6123"/>
      <c r="AD185" s="6121" t="s">
        <v>532</v>
      </c>
      <c r="AE185" s="6122"/>
      <c r="AF185" s="6122"/>
      <c r="AG185" s="6123"/>
      <c r="AH185" s="6094"/>
      <c r="AI185" s="3700"/>
    </row>
    <row r="186">
      <c r="A186" s="3689"/>
      <c r="B186" s="6085"/>
      <c r="C186" s="6124"/>
      <c r="D186" s="6120"/>
      <c r="E186" s="6125" t="s">
        <v>953</v>
      </c>
      <c r="F186" s="6126"/>
      <c r="G186" s="6126"/>
      <c r="H186" s="6127"/>
      <c r="J186" s="6125" t="s">
        <v>756</v>
      </c>
      <c r="K186" s="6126"/>
      <c r="L186" s="6126"/>
      <c r="M186" s="6127"/>
      <c r="O186" s="6125" t="s">
        <v>1484</v>
      </c>
      <c r="P186" s="6126"/>
      <c r="Q186" s="6126"/>
      <c r="R186" s="6127"/>
      <c r="T186" s="6125" t="s">
        <v>1835</v>
      </c>
      <c r="U186" s="6126"/>
      <c r="V186" s="6126"/>
      <c r="W186" s="6127"/>
      <c r="Y186" s="6125" t="s">
        <v>1070</v>
      </c>
      <c r="Z186" s="6126"/>
      <c r="AA186" s="6126"/>
      <c r="AB186" s="6127"/>
      <c r="AD186" s="6125" t="s">
        <v>1070</v>
      </c>
      <c r="AE186" s="6126"/>
      <c r="AF186" s="6126"/>
      <c r="AG186" s="6127"/>
      <c r="AH186" s="6094"/>
      <c r="AI186" s="3700"/>
    </row>
    <row r="187" ht="20.25" customHeight="1">
      <c r="A187" s="3689"/>
      <c r="B187" s="6085"/>
      <c r="C187" s="6128"/>
      <c r="D187" s="6120"/>
      <c r="E187" s="6129" t="s">
        <v>712</v>
      </c>
      <c r="F187" s="6092"/>
      <c r="G187" s="6093"/>
      <c r="H187" s="6130" t="str">
        <f>IMAGE("https://raw.githubusercontent.com/msikma/pokesprite/master/items/hold-item/power-herb.png",3)</f>
        <v/>
      </c>
      <c r="J187" s="6129" t="s">
        <v>541</v>
      </c>
      <c r="K187" s="6092"/>
      <c r="L187" s="6093"/>
      <c r="M187" s="6130" t="str">
        <f>IMAGE("https://raw.githubusercontent.com/msikma/pokesprite/master/items/hold-item/life-orb.png",3)</f>
        <v/>
      </c>
      <c r="O187" s="6129" t="s">
        <v>541</v>
      </c>
      <c r="P187" s="6092"/>
      <c r="Q187" s="6093"/>
      <c r="R187" s="6130" t="str">
        <f>IMAGE("https://raw.githubusercontent.com/msikma/pokesprite/master/items/hold-item/life-orb.png",3)</f>
        <v/>
      </c>
      <c r="T187" s="6129" t="s">
        <v>1836</v>
      </c>
      <c r="U187" s="6092"/>
      <c r="V187" s="6093"/>
      <c r="W187" s="6130" t="str">
        <f>IMAGE("https://raw.githubusercontent.com/msikma/pokesprite/master/items/mega-stone/banettite.png",3)</f>
        <v/>
      </c>
      <c r="Y187" s="6129" t="s">
        <v>541</v>
      </c>
      <c r="Z187" s="6092"/>
      <c r="AA187" s="6093"/>
      <c r="AB187" s="6130" t="str">
        <f>IMAGE("https://raw.githubusercontent.com/msikma/pokesprite/master/items/hold-item/life-orb.png",3)</f>
        <v/>
      </c>
      <c r="AD187" s="6129" t="s">
        <v>541</v>
      </c>
      <c r="AE187" s="6092"/>
      <c r="AF187" s="6093"/>
      <c r="AG187" s="6130" t="str">
        <f>IMAGE("https://raw.githubusercontent.com/msikma/pokesprite/master/items/hold-item/life-orb.png",3)</f>
        <v/>
      </c>
      <c r="AH187" s="6113"/>
      <c r="AI187" s="3700"/>
    </row>
    <row r="188" ht="20.25" customHeight="1">
      <c r="A188" s="3689"/>
      <c r="B188" s="6085"/>
      <c r="C188" s="6131"/>
      <c r="D188" s="6120"/>
      <c r="E188" s="6121" t="s">
        <v>191</v>
      </c>
      <c r="F188" s="6122"/>
      <c r="G188" s="6132"/>
      <c r="H188" s="6133" t="str">
        <f t="shared" ref="H188:H189" si="5">IMAGE("https://raw.githubusercontent.com/msikma/pokesprite/master/misc/types/gen8/rock.png",4,20,20)</f>
        <v/>
      </c>
      <c r="J188" s="6121" t="s">
        <v>259</v>
      </c>
      <c r="K188" s="6122"/>
      <c r="L188" s="6132"/>
      <c r="M188" s="6133" t="str">
        <f>IMAGE("https://raw.githubusercontent.com/msikma/pokesprite/master/misc/types/gen8/dark.png",4,20,20)</f>
        <v/>
      </c>
      <c r="O188" s="6121" t="s">
        <v>619</v>
      </c>
      <c r="P188" s="6122"/>
      <c r="Q188" s="6132"/>
      <c r="R188" s="6133" t="str">
        <f>IMAGE("https://raw.githubusercontent.com/msikma/pokesprite/master/misc/types/gen8/fire.png",4,20,20)</f>
        <v/>
      </c>
      <c r="T188" s="6121" t="s">
        <v>928</v>
      </c>
      <c r="U188" s="6122"/>
      <c r="V188" s="6132"/>
      <c r="W188" s="6133" t="str">
        <f>IMAGE("https://raw.githubusercontent.com/msikma/pokesprite/master/misc/types/gen8/normal.png",4,20,20)</f>
        <v/>
      </c>
      <c r="Y188" s="6121" t="s">
        <v>168</v>
      </c>
      <c r="Z188" s="6122"/>
      <c r="AA188" s="6132"/>
      <c r="AB188" s="6133" t="str">
        <f>IMAGE("https://raw.githubusercontent.com/msikma/pokesprite/master/misc/types/gen8/fighting.png",4,20,20)</f>
        <v/>
      </c>
      <c r="AD188" s="6121" t="s">
        <v>667</v>
      </c>
      <c r="AE188" s="6122"/>
      <c r="AF188" s="6132"/>
      <c r="AG188" s="6133" t="str">
        <f>IMAGE("https://raw.githubusercontent.com/msikma/pokesprite/master/misc/types/gen8/dark.png",4,20,20)</f>
        <v/>
      </c>
      <c r="AH188" s="6094"/>
      <c r="AI188" s="3700"/>
    </row>
    <row r="189" ht="20.25" customHeight="1">
      <c r="A189" s="3689"/>
      <c r="B189" s="6085"/>
      <c r="C189" s="6119"/>
      <c r="D189" s="6120"/>
      <c r="E189" s="6125" t="s">
        <v>155</v>
      </c>
      <c r="F189" s="6126"/>
      <c r="G189" s="6134"/>
      <c r="H189" s="6135" t="str">
        <f t="shared" si="5"/>
        <v/>
      </c>
      <c r="J189" s="6125" t="s">
        <v>547</v>
      </c>
      <c r="K189" s="6126"/>
      <c r="L189" s="6134"/>
      <c r="M189" s="6135" t="str">
        <f>IMAGE("https://raw.githubusercontent.com/msikma/pokesprite/master/misc/types/gen8/electric.png",4,20,20)</f>
        <v/>
      </c>
      <c r="O189" s="6125" t="s">
        <v>718</v>
      </c>
      <c r="P189" s="6126"/>
      <c r="Q189" s="6134"/>
      <c r="R189" s="6135" t="str">
        <f>IMAGE("https://raw.githubusercontent.com/msikma/pokesprite/master/misc/types/gen8/fighting.png",4,20,20)</f>
        <v/>
      </c>
      <c r="T189" s="6125" t="s">
        <v>1694</v>
      </c>
      <c r="U189" s="6126"/>
      <c r="V189" s="6134"/>
      <c r="W189" s="6135" t="str">
        <f t="shared" ref="W189:W191" si="6">IMAGE("https://raw.githubusercontent.com/msikma/pokesprite/master/misc/types/gen8/ghost.png",4,20,20)</f>
        <v/>
      </c>
      <c r="Y189" s="6125" t="s">
        <v>1072</v>
      </c>
      <c r="Z189" s="6126"/>
      <c r="AA189" s="6134"/>
      <c r="AB189" s="6135" t="str">
        <f>IMAGE("https://raw.githubusercontent.com/msikma/pokesprite/master/misc/types/gen8/water.png",4,20,20)</f>
        <v/>
      </c>
      <c r="AD189" s="6125" t="s">
        <v>583</v>
      </c>
      <c r="AE189" s="6126"/>
      <c r="AF189" s="6134"/>
      <c r="AG189" s="6135" t="str">
        <f>IMAGE("https://raw.githubusercontent.com/msikma/pokesprite/master/misc/types/gen8/fighting.png",4,20,20)</f>
        <v/>
      </c>
      <c r="AH189" s="6094"/>
      <c r="AI189" s="3700"/>
    </row>
    <row r="190" ht="20.25" customHeight="1">
      <c r="A190" s="3689"/>
      <c r="B190" s="6085"/>
      <c r="C190" s="6119"/>
      <c r="D190" s="6120"/>
      <c r="E190" s="6125" t="s">
        <v>552</v>
      </c>
      <c r="F190" s="6126"/>
      <c r="G190" s="6134"/>
      <c r="H190" s="6135" t="str">
        <f>IMAGE("https://raw.githubusercontent.com/msikma/pokesprite/master/misc/types/gen8/psychic.png",4,20,20)</f>
        <v/>
      </c>
      <c r="J190" s="6125" t="s">
        <v>1381</v>
      </c>
      <c r="K190" s="6126"/>
      <c r="L190" s="6134"/>
      <c r="M190" s="6135" t="str">
        <f>IMAGE("https://raw.githubusercontent.com/msikma/pokesprite/master/misc/types/gen8/flying.png",4,20,20)</f>
        <v/>
      </c>
      <c r="O190" s="6125" t="s">
        <v>666</v>
      </c>
      <c r="P190" s="6126"/>
      <c r="Q190" s="6134"/>
      <c r="R190" s="6135" t="str">
        <f>IMAGE("https://raw.githubusercontent.com/msikma/pokesprite/master/misc/types/gen8/dark.png",4,20,20)</f>
        <v/>
      </c>
      <c r="T190" s="6125" t="s">
        <v>875</v>
      </c>
      <c r="U190" s="6126"/>
      <c r="V190" s="6134"/>
      <c r="W190" s="6135" t="str">
        <f t="shared" si="6"/>
        <v/>
      </c>
      <c r="Y190" s="6125" t="s">
        <v>548</v>
      </c>
      <c r="Z190" s="6126"/>
      <c r="AA190" s="6134"/>
      <c r="AB190" s="6135" t="str">
        <f>IMAGE("https://raw.githubusercontent.com/msikma/pokesprite/master/misc/types/gen8/fighting.png",4,20,20)</f>
        <v/>
      </c>
      <c r="AD190" s="6125" t="s">
        <v>545</v>
      </c>
      <c r="AE190" s="6126"/>
      <c r="AF190" s="6134"/>
      <c r="AG190" s="6135" t="str">
        <f>IMAGE("https://raw.githubusercontent.com/msikma/pokesprite/master/misc/types/gen8/poison.png",4,20,20)</f>
        <v/>
      </c>
      <c r="AH190" s="6094"/>
      <c r="AI190" s="3700"/>
    </row>
    <row r="191" ht="21.0" customHeight="1">
      <c r="A191" s="3689"/>
      <c r="B191" s="6085"/>
      <c r="C191" s="6119"/>
      <c r="D191" s="6120"/>
      <c r="E191" s="6136" t="s">
        <v>1243</v>
      </c>
      <c r="F191" s="6137"/>
      <c r="G191" s="6138"/>
      <c r="H191" s="6139" t="str">
        <f>IMAGE("https://raw.githubusercontent.com/msikma/pokesprite/master/misc/types/gen8/fire.png",4,20,20)</f>
        <v/>
      </c>
      <c r="I191" s="6140"/>
      <c r="J191" s="6136" t="s">
        <v>590</v>
      </c>
      <c r="K191" s="6137"/>
      <c r="L191" s="6138"/>
      <c r="M191" s="6139" t="str">
        <f>IMAGE("https://raw.githubusercontent.com/msikma/pokesprite/master/misc/types/gen8/fighting.png",4,20,20)</f>
        <v/>
      </c>
      <c r="N191" s="6140"/>
      <c r="O191" s="6136" t="s">
        <v>648</v>
      </c>
      <c r="P191" s="6137"/>
      <c r="Q191" s="6138"/>
      <c r="R191" s="6139" t="str">
        <f>IMAGE("https://raw.githubusercontent.com/msikma/pokesprite/master/misc/types/gen8/water.png",4,20,20)</f>
        <v/>
      </c>
      <c r="S191" s="6140"/>
      <c r="T191" s="6136" t="s">
        <v>148</v>
      </c>
      <c r="U191" s="6137"/>
      <c r="V191" s="6138"/>
      <c r="W191" s="6139" t="str">
        <f t="shared" si="6"/>
        <v/>
      </c>
      <c r="X191" s="6140"/>
      <c r="Y191" s="6136" t="s">
        <v>974</v>
      </c>
      <c r="Z191" s="6137"/>
      <c r="AA191" s="6138"/>
      <c r="AB191" s="6139" t="str">
        <f>IMAGE("https://raw.githubusercontent.com/msikma/pokesprite/master/misc/types/gen8/water.png",4,20,20)</f>
        <v/>
      </c>
      <c r="AC191" s="6140"/>
      <c r="AD191" s="6136" t="s">
        <v>612</v>
      </c>
      <c r="AE191" s="6137"/>
      <c r="AF191" s="6138"/>
      <c r="AG191" s="6139" t="str">
        <f>IMAGE("https://raw.githubusercontent.com/msikma/pokesprite/master/misc/types/gen8/bug.png",4,20,20)</f>
        <v/>
      </c>
      <c r="AH191" s="6094"/>
      <c r="AI191" s="3700"/>
    </row>
    <row r="192" ht="3.0" customHeight="1">
      <c r="A192" s="3524"/>
      <c r="B192" s="6141"/>
      <c r="C192" s="6090"/>
      <c r="D192" s="6142"/>
      <c r="E192" s="6145"/>
      <c r="F192" s="6145"/>
      <c r="G192" s="6145"/>
      <c r="H192" s="6144"/>
      <c r="I192" s="6142"/>
      <c r="J192" s="6145"/>
      <c r="K192" s="6145"/>
      <c r="L192" s="6145"/>
      <c r="M192" s="6144"/>
      <c r="N192" s="6142"/>
      <c r="O192" s="6145"/>
      <c r="P192" s="6145"/>
      <c r="Q192" s="6145"/>
      <c r="R192" s="6144"/>
      <c r="S192" s="6142"/>
      <c r="T192" s="6145"/>
      <c r="U192" s="6145"/>
      <c r="V192" s="6145"/>
      <c r="W192" s="6144"/>
      <c r="X192" s="6142"/>
      <c r="Y192" s="6145"/>
      <c r="Z192" s="6145"/>
      <c r="AA192" s="6145"/>
      <c r="AB192" s="6144"/>
      <c r="AC192" s="6142"/>
      <c r="AD192" s="6145"/>
      <c r="AE192" s="6145"/>
      <c r="AF192" s="6145"/>
      <c r="AG192" s="6144"/>
      <c r="AH192" s="6146"/>
      <c r="AI192" s="3534"/>
    </row>
    <row r="193" ht="16.5" customHeight="1">
      <c r="A193" s="3535"/>
      <c r="B193" s="6089"/>
      <c r="C193" s="6090"/>
      <c r="D193" s="6178"/>
      <c r="E193" s="6148" t="s">
        <v>512</v>
      </c>
      <c r="F193" s="606"/>
      <c r="G193" s="606"/>
      <c r="H193" s="607"/>
      <c r="I193" s="6149"/>
      <c r="J193" s="6148" t="s">
        <v>512</v>
      </c>
      <c r="K193" s="606"/>
      <c r="L193" s="606"/>
      <c r="M193" s="607"/>
      <c r="N193" s="6149"/>
      <c r="O193" s="6148" t="s">
        <v>512</v>
      </c>
      <c r="P193" s="606"/>
      <c r="Q193" s="606"/>
      <c r="R193" s="607"/>
      <c r="S193" s="6149"/>
      <c r="T193" s="6148" t="s">
        <v>512</v>
      </c>
      <c r="U193" s="606"/>
      <c r="V193" s="606"/>
      <c r="W193" s="607"/>
      <c r="X193" s="6149"/>
      <c r="Y193" s="6148" t="s">
        <v>512</v>
      </c>
      <c r="Z193" s="606"/>
      <c r="AA193" s="606"/>
      <c r="AB193" s="607"/>
      <c r="AC193" s="6149"/>
      <c r="AD193" s="6148" t="s">
        <v>512</v>
      </c>
      <c r="AE193" s="606"/>
      <c r="AF193" s="606"/>
      <c r="AG193" s="607"/>
      <c r="AH193" s="6150"/>
      <c r="AI193" s="3543"/>
    </row>
    <row r="194" ht="16.5" customHeight="1">
      <c r="A194" s="3535"/>
      <c r="B194" s="6089"/>
      <c r="C194" s="6090"/>
      <c r="D194" s="6147"/>
      <c r="E194" s="6151" t="s">
        <v>513</v>
      </c>
      <c r="F194" s="6152">
        <f t="array" ref="F194">IFERROR(VLOOKUP(E181,Dex!$B$3:$N249,8,FALSE),"")</f>
        <v>97</v>
      </c>
      <c r="G194" s="6153" t="str">
        <f t="array" ref="G194">IFERROR(VLOOKUP(F194,Dex!$P$22:$Q$276,2,FALSE),"")</f>
        <v/>
      </c>
      <c r="H194" s="6154"/>
      <c r="I194" s="6155"/>
      <c r="J194" s="6151" t="s">
        <v>513</v>
      </c>
      <c r="K194" s="6152">
        <f t="array" ref="K194">IFERROR(VLOOKUP(J181,Dex!$B$3:$N249,8,FALSE),"")</f>
        <v>79</v>
      </c>
      <c r="L194" s="6153" t="str">
        <f t="array" ref="L194">IFERROR(VLOOKUP(K194,Dex!$P$22:$Q$276,2,FALSE),"")</f>
        <v/>
      </c>
      <c r="M194" s="6154"/>
      <c r="N194" s="6155"/>
      <c r="O194" s="6151" t="s">
        <v>513</v>
      </c>
      <c r="P194" s="6152">
        <f t="array" ref="P194">IFERROR(VLOOKUP(O181,Dex!$B$3:$N249,8,FALSE),"")</f>
        <v>75</v>
      </c>
      <c r="Q194" s="6153" t="str">
        <f t="array" ref="Q194">IFERROR(VLOOKUP(P194,Dex!$P$22:$Q$276,2,FALSE),"")</f>
        <v/>
      </c>
      <c r="R194" s="6154"/>
      <c r="S194" s="6155"/>
      <c r="T194" s="6151" t="s">
        <v>513</v>
      </c>
      <c r="U194" s="6152">
        <f t="array" ref="U194">IFERROR(VLOOKUP(T181,Dex!$B$3:$N249,8,FALSE),"")</f>
        <v>64</v>
      </c>
      <c r="V194" s="6153" t="str">
        <f t="array" ref="V194">IFERROR(VLOOKUP(U194,Dex!$P$22:$Q$276,2,FALSE),"")</f>
        <v/>
      </c>
      <c r="W194" s="6154"/>
      <c r="X194" s="6155"/>
      <c r="Y194" s="6151" t="s">
        <v>513</v>
      </c>
      <c r="Z194" s="6152">
        <f t="array" ref="Z194">IFERROR(VLOOKUP(Y181,Dex!$B$3:$N249,8,FALSE),"")</f>
        <v>100</v>
      </c>
      <c r="AA194" s="6153" t="str">
        <f t="array" ref="AA194">IFERROR(VLOOKUP(Z194,Dex!$P$22:$Q$276,2,FALSE),"")</f>
        <v/>
      </c>
      <c r="AB194" s="6154"/>
      <c r="AC194" s="6155"/>
      <c r="AD194" s="6151" t="s">
        <v>513</v>
      </c>
      <c r="AE194" s="6152">
        <f t="array" ref="AE194">IFERROR(VLOOKUP(AD181,Dex!$B$3:$N249,8,FALSE),"")</f>
        <v>100</v>
      </c>
      <c r="AF194" s="6153" t="str">
        <f t="array" ref="AF194">IFERROR(VLOOKUP(AE194,Dex!$P$22:$Q$276,2,FALSE),"")</f>
        <v/>
      </c>
      <c r="AG194" s="6154"/>
      <c r="AH194" s="6150"/>
      <c r="AI194" s="3543"/>
    </row>
    <row r="195" ht="16.5" customHeight="1">
      <c r="A195" s="3535"/>
      <c r="B195" s="6089"/>
      <c r="C195" s="6090"/>
      <c r="D195" s="6147"/>
      <c r="E195" s="6156" t="s">
        <v>514</v>
      </c>
      <c r="F195" s="6157">
        <f t="array" ref="F195">IFERROR(VLOOKUP(E181,Dex!$B$3:$N249,9,FALSE),"")</f>
        <v>107</v>
      </c>
      <c r="G195" s="6158" t="str">
        <f t="array" ref="G195">IFERROR(VLOOKUP(F195,Dex!$P$22:$Q$276,2,FALSE),"")</f>
        <v/>
      </c>
      <c r="H195" s="6159"/>
      <c r="I195" s="6155"/>
      <c r="J195" s="6156" t="s">
        <v>514</v>
      </c>
      <c r="K195" s="6157">
        <f t="array" ref="K195">IFERROR(VLOOKUP(J181,Dex!$B$3:$N249,9,FALSE),"")</f>
        <v>105</v>
      </c>
      <c r="L195" s="6158" t="str">
        <f t="array" ref="L195">IFERROR(VLOOKUP(K195,Dex!$P$22:$Q$276,2,FALSE),"")</f>
        <v/>
      </c>
      <c r="M195" s="6159"/>
      <c r="N195" s="6155"/>
      <c r="O195" s="6156" t="s">
        <v>514</v>
      </c>
      <c r="P195" s="6157">
        <f t="array" ref="P195">IFERROR(VLOOKUP(O181,Dex!$B$3:$N249,9,FALSE),"")</f>
        <v>80</v>
      </c>
      <c r="Q195" s="6158" t="str">
        <f t="array" ref="Q195">IFERROR(VLOOKUP(P195,Dex!$P$22:$Q$276,2,FALSE),"")</f>
        <v/>
      </c>
      <c r="R195" s="6159"/>
      <c r="S195" s="6155"/>
      <c r="T195" s="6156" t="s">
        <v>514</v>
      </c>
      <c r="U195" s="6157">
        <f t="array" ref="U195">IFERROR(VLOOKUP(T181,Dex!$B$3:$N249,9,FALSE),"")</f>
        <v>165</v>
      </c>
      <c r="V195" s="6158" t="str">
        <f t="array" ref="V195">IFERROR(VLOOKUP(U195,Dex!$P$22:$Q$276,2,FALSE),"")</f>
        <v/>
      </c>
      <c r="W195" s="6159"/>
      <c r="X195" s="6155"/>
      <c r="Y195" s="6156" t="s">
        <v>514</v>
      </c>
      <c r="Z195" s="6157">
        <f t="array" ref="Z195">IFERROR(VLOOKUP(Y181,Dex!$B$3:$N249,9,FALSE),"")</f>
        <v>130</v>
      </c>
      <c r="AA195" s="6158" t="str">
        <f t="array" ref="AA195">IFERROR(VLOOKUP(Z195,Dex!$P$22:$Q$276,2,FALSE),"")</f>
        <v/>
      </c>
      <c r="AB195" s="6159"/>
      <c r="AC195" s="6155"/>
      <c r="AD195" s="6156" t="s">
        <v>514</v>
      </c>
      <c r="AE195" s="6157">
        <f t="array" ref="AE195">IFERROR(VLOOKUP(AD181,Dex!$B$3:$N249,9,FALSE),"")</f>
        <v>130</v>
      </c>
      <c r="AF195" s="6158" t="str">
        <f t="array" ref="AF195">IFERROR(VLOOKUP(AE195,Dex!$P$22:$Q$276,2,FALSE),"")</f>
        <v/>
      </c>
      <c r="AG195" s="6159"/>
      <c r="AH195" s="6150"/>
      <c r="AI195" s="3543"/>
    </row>
    <row r="196" ht="16.5" customHeight="1">
      <c r="A196" s="3535"/>
      <c r="B196" s="6089"/>
      <c r="C196" s="6090"/>
      <c r="D196" s="6147"/>
      <c r="E196" s="6156" t="s">
        <v>515</v>
      </c>
      <c r="F196" s="6157">
        <f t="array" ref="F196">IFERROR(VLOOKUP(E181,Dex!$B$3:$N249,10,FALSE),"")</f>
        <v>101</v>
      </c>
      <c r="G196" s="6158" t="str">
        <f t="array" ref="G196">IFERROR(VLOOKUP(F196,Dex!$P$22:$Q$276,2,FALSE),"")</f>
        <v/>
      </c>
      <c r="H196" s="6159"/>
      <c r="I196" s="6155"/>
      <c r="J196" s="6156" t="s">
        <v>515</v>
      </c>
      <c r="K196" s="6157">
        <f t="array" ref="K196">IFERROR(VLOOKUP(J181,Dex!$B$3:$N249,10,FALSE),"")</f>
        <v>70</v>
      </c>
      <c r="L196" s="6158" t="str">
        <f t="array" ref="L196">IFERROR(VLOOKUP(K196,Dex!$P$22:$Q$276,2,FALSE),"")</f>
        <v/>
      </c>
      <c r="M196" s="6159"/>
      <c r="N196" s="6155"/>
      <c r="O196" s="6156" t="s">
        <v>515</v>
      </c>
      <c r="P196" s="6157">
        <f t="array" ref="P196">IFERROR(VLOOKUP(O181,Dex!$B$3:$N249,10,FALSE),"")</f>
        <v>67</v>
      </c>
      <c r="Q196" s="6158" t="str">
        <f t="array" ref="Q196">IFERROR(VLOOKUP(P196,Dex!$P$22:$Q$276,2,FALSE),"")</f>
        <v/>
      </c>
      <c r="R196" s="6159"/>
      <c r="S196" s="6155"/>
      <c r="T196" s="6156" t="s">
        <v>515</v>
      </c>
      <c r="U196" s="6157">
        <f t="array" ref="U196">IFERROR(VLOOKUP(T181,Dex!$B$3:$N249,10,FALSE),"")</f>
        <v>75</v>
      </c>
      <c r="V196" s="6158" t="str">
        <f t="array" ref="V196">IFERROR(VLOOKUP(U196,Dex!$P$22:$Q$276,2,FALSE),"")</f>
        <v/>
      </c>
      <c r="W196" s="6159"/>
      <c r="X196" s="6155"/>
      <c r="Y196" s="6156" t="s">
        <v>515</v>
      </c>
      <c r="Z196" s="6157">
        <f t="array" ref="Z196">IFERROR(VLOOKUP(Y181,Dex!$B$3:$N249,10,FALSE),"")</f>
        <v>100</v>
      </c>
      <c r="AA196" s="6158" t="str">
        <f t="array" ref="AA196">IFERROR(VLOOKUP(Z196,Dex!$P$22:$Q$276,2,FALSE),"")</f>
        <v/>
      </c>
      <c r="AB196" s="6159"/>
      <c r="AC196" s="6155"/>
      <c r="AD196" s="6156" t="s">
        <v>515</v>
      </c>
      <c r="AE196" s="6157">
        <f t="array" ref="AE196">IFERROR(VLOOKUP(AD181,Dex!$B$3:$N249,10,FALSE),"")</f>
        <v>100</v>
      </c>
      <c r="AF196" s="6158" t="str">
        <f t="array" ref="AF196">IFERROR(VLOOKUP(AE196,Dex!$P$22:$Q$276,2,FALSE),"")</f>
        <v/>
      </c>
      <c r="AG196" s="6159"/>
      <c r="AH196" s="6150"/>
      <c r="AI196" s="3543"/>
    </row>
    <row r="197" ht="16.5" customHeight="1">
      <c r="A197" s="3535"/>
      <c r="B197" s="6089"/>
      <c r="C197" s="6090"/>
      <c r="D197" s="6147"/>
      <c r="E197" s="6156" t="s">
        <v>516</v>
      </c>
      <c r="F197" s="6157">
        <f t="array" ref="F197">IFERROR(VLOOKUP(E181,Dex!$B$3:$N249,11,FALSE),"")</f>
        <v>127</v>
      </c>
      <c r="G197" s="6158" t="str">
        <f t="array" ref="G197">IFERROR(VLOOKUP(F197,Dex!$P$22:$Q$276,2,FALSE),"")</f>
        <v/>
      </c>
      <c r="H197" s="6159"/>
      <c r="I197" s="6155"/>
      <c r="J197" s="6156" t="s">
        <v>516</v>
      </c>
      <c r="K197" s="6157">
        <f t="array" ref="K197">IFERROR(VLOOKUP(J181,Dex!$B$3:$N249,11,FALSE),"")</f>
        <v>145</v>
      </c>
      <c r="L197" s="6158" t="str">
        <f t="array" ref="L197">IFERROR(VLOOKUP(K197,Dex!$P$22:$Q$276,2,FALSE),"")</f>
        <v/>
      </c>
      <c r="M197" s="6159"/>
      <c r="N197" s="6155"/>
      <c r="O197" s="6156" t="s">
        <v>516</v>
      </c>
      <c r="P197" s="6157">
        <f t="array" ref="P197">IFERROR(VLOOKUP(O181,Dex!$B$3:$N249,11,FALSE),"")</f>
        <v>125</v>
      </c>
      <c r="Q197" s="6158" t="str">
        <f t="array" ref="Q197">IFERROR(VLOOKUP(P197,Dex!$P$22:$Q$276,2,FALSE),"")</f>
        <v/>
      </c>
      <c r="R197" s="6159"/>
      <c r="S197" s="6155"/>
      <c r="T197" s="6156" t="s">
        <v>516</v>
      </c>
      <c r="U197" s="6157">
        <f t="array" ref="U197">IFERROR(VLOOKUP(T181,Dex!$B$3:$N249,11,FALSE),"")</f>
        <v>93</v>
      </c>
      <c r="V197" s="6158" t="str">
        <f t="array" ref="V197">IFERROR(VLOOKUP(U197,Dex!$P$22:$Q$276,2,FALSE),"")</f>
        <v/>
      </c>
      <c r="W197" s="6159"/>
      <c r="X197" s="6155"/>
      <c r="Y197" s="6156" t="s">
        <v>516</v>
      </c>
      <c r="Z197" s="6157">
        <f t="array" ref="Z197">IFERROR(VLOOKUP(Y181,Dex!$B$3:$N249,11,FALSE),"")</f>
        <v>63</v>
      </c>
      <c r="AA197" s="6158" t="str">
        <f t="array" ref="AA197">IFERROR(VLOOKUP(Z197,Dex!$P$22:$Q$276,2,FALSE),"")</f>
        <v/>
      </c>
      <c r="AB197" s="6159"/>
      <c r="AC197" s="6155"/>
      <c r="AD197" s="6156" t="s">
        <v>516</v>
      </c>
      <c r="AE197" s="6157">
        <f t="array" ref="AE197">IFERROR(VLOOKUP(AD181,Dex!$B$3:$N249,11,FALSE),"")</f>
        <v>63</v>
      </c>
      <c r="AF197" s="6158" t="str">
        <f t="array" ref="AF197">IFERROR(VLOOKUP(AE197,Dex!$P$22:$Q$276,2,FALSE),"")</f>
        <v/>
      </c>
      <c r="AG197" s="6159"/>
      <c r="AH197" s="6150"/>
      <c r="AI197" s="3543"/>
    </row>
    <row r="198" ht="16.5" customHeight="1">
      <c r="A198" s="3535"/>
      <c r="B198" s="6089"/>
      <c r="C198" s="6160"/>
      <c r="D198" s="6147"/>
      <c r="E198" s="6156" t="s">
        <v>517</v>
      </c>
      <c r="F198" s="6157">
        <f t="array" ref="F198">IFERROR(VLOOKUP(E181,Dex!$B$3:$N249,12,FALSE),"")</f>
        <v>89</v>
      </c>
      <c r="G198" s="6158" t="str">
        <f t="array" ref="G198">IFERROR(VLOOKUP(F198,Dex!$P$22:$Q$276,2,FALSE),"")</f>
        <v/>
      </c>
      <c r="H198" s="6159"/>
      <c r="I198" s="6155"/>
      <c r="J198" s="6156" t="s">
        <v>517</v>
      </c>
      <c r="K198" s="6157">
        <f t="array" ref="K198">IFERROR(VLOOKUP(J181,Dex!$B$3:$N249,12,FALSE),"")</f>
        <v>80</v>
      </c>
      <c r="L198" s="6158" t="str">
        <f t="array" ref="L198">IFERROR(VLOOKUP(K198,Dex!$P$22:$Q$276,2,FALSE),"")</f>
        <v/>
      </c>
      <c r="M198" s="6159"/>
      <c r="N198" s="6155"/>
      <c r="O198" s="6156" t="s">
        <v>517</v>
      </c>
      <c r="P198" s="6157">
        <f t="array" ref="P198">IFERROR(VLOOKUP(O181,Dex!$B$3:$N249,12,FALSE),"")</f>
        <v>95</v>
      </c>
      <c r="Q198" s="6158" t="str">
        <f t="array" ref="Q198">IFERROR(VLOOKUP(P198,Dex!$P$22:$Q$276,2,FALSE),"")</f>
        <v/>
      </c>
      <c r="R198" s="6159"/>
      <c r="S198" s="6155"/>
      <c r="T198" s="6156" t="s">
        <v>517</v>
      </c>
      <c r="U198" s="6157">
        <f t="array" ref="U198">IFERROR(VLOOKUP(T181,Dex!$B$3:$N249,12,FALSE),"")</f>
        <v>83</v>
      </c>
      <c r="V198" s="6158" t="str">
        <f t="array" ref="V198">IFERROR(VLOOKUP(U198,Dex!$P$22:$Q$276,2,FALSE),"")</f>
        <v/>
      </c>
      <c r="W198" s="6159"/>
      <c r="X198" s="6155"/>
      <c r="Y198" s="6156" t="s">
        <v>517</v>
      </c>
      <c r="Z198" s="6157">
        <f t="array" ref="Z198">IFERROR(VLOOKUP(Y181,Dex!$B$3:$N249,12,FALSE),"")</f>
        <v>60</v>
      </c>
      <c r="AA198" s="6158" t="str">
        <f t="array" ref="AA198">IFERROR(VLOOKUP(Z198,Dex!$P$22:$Q$276,2,FALSE),"")</f>
        <v/>
      </c>
      <c r="AB198" s="6159"/>
      <c r="AC198" s="6155"/>
      <c r="AD198" s="6156" t="s">
        <v>517</v>
      </c>
      <c r="AE198" s="6157">
        <f t="array" ref="AE198">IFERROR(VLOOKUP(AD181,Dex!$B$3:$N249,12,FALSE),"")</f>
        <v>60</v>
      </c>
      <c r="AF198" s="6158" t="str">
        <f t="array" ref="AF198">IFERROR(VLOOKUP(AE198,Dex!$P$22:$Q$276,2,FALSE),"")</f>
        <v/>
      </c>
      <c r="AG198" s="6159"/>
      <c r="AH198" s="6150"/>
      <c r="AI198" s="3543"/>
    </row>
    <row r="199" ht="16.5" customHeight="1">
      <c r="A199" s="3535"/>
      <c r="B199" s="6179"/>
      <c r="C199" s="1426" t="s">
        <v>745</v>
      </c>
      <c r="D199" s="6161"/>
      <c r="E199" s="6162" t="s">
        <v>518</v>
      </c>
      <c r="F199" s="6163">
        <f t="array" ref="F199">IFERROR(VLOOKUP(E181,Dex!$B$3:$N249,13,FALSE),"")</f>
        <v>79</v>
      </c>
      <c r="G199" s="6164" t="str">
        <f t="array" ref="G199">IFERROR(VLOOKUP(F199,Dex!$P$22:$Q$276,2,FALSE),"")</f>
        <v/>
      </c>
      <c r="H199" s="6165"/>
      <c r="I199" s="6155"/>
      <c r="J199" s="6162" t="s">
        <v>518</v>
      </c>
      <c r="K199" s="6163">
        <f t="array" ref="K199">IFERROR(VLOOKUP(J181,Dex!$B$3:$N249,13,FALSE),"")</f>
        <v>101</v>
      </c>
      <c r="L199" s="6164" t="str">
        <f t="array" ref="L199">IFERROR(VLOOKUP(K199,Dex!$P$22:$Q$276,2,FALSE),"")</f>
        <v/>
      </c>
      <c r="M199" s="6165"/>
      <c r="N199" s="6155"/>
      <c r="O199" s="6162" t="s">
        <v>518</v>
      </c>
      <c r="P199" s="6163">
        <f t="array" ref="P199">IFERROR(VLOOKUP(O181,Dex!$B$3:$N249,13,FALSE),"")</f>
        <v>98</v>
      </c>
      <c r="Q199" s="6164" t="str">
        <f t="array" ref="Q199">IFERROR(VLOOKUP(P199,Dex!$P$22:$Q$276,2,FALSE),"")</f>
        <v/>
      </c>
      <c r="R199" s="6165"/>
      <c r="S199" s="6155"/>
      <c r="T199" s="6162" t="s">
        <v>518</v>
      </c>
      <c r="U199" s="6163">
        <f t="array" ref="U199">IFERROR(VLOOKUP(T181,Dex!$B$3:$N249,13,FALSE),"")</f>
        <v>75</v>
      </c>
      <c r="V199" s="6164" t="str">
        <f t="array" ref="V199">IFERROR(VLOOKUP(U199,Dex!$P$22:$Q$276,2,FALSE),"")</f>
        <v/>
      </c>
      <c r="W199" s="6165"/>
      <c r="X199" s="6155"/>
      <c r="Y199" s="6162" t="s">
        <v>518</v>
      </c>
      <c r="Z199" s="6163">
        <f t="array" ref="Z199">IFERROR(VLOOKUP(Y181,Dex!$B$3:$N249,13,FALSE),"")</f>
        <v>97</v>
      </c>
      <c r="AA199" s="6164" t="str">
        <f t="array" ref="AA199">IFERROR(VLOOKUP(Z199,Dex!$P$22:$Q$276,2,FALSE),"")</f>
        <v/>
      </c>
      <c r="AB199" s="6165"/>
      <c r="AC199" s="6155"/>
      <c r="AD199" s="6162" t="s">
        <v>518</v>
      </c>
      <c r="AE199" s="6163">
        <f t="array" ref="AE199">IFERROR(VLOOKUP(AD181,Dex!$B$3:$N249,13,FALSE),"")</f>
        <v>97</v>
      </c>
      <c r="AF199" s="6164" t="str">
        <f t="array" ref="AF199">IFERROR(VLOOKUP(AE199,Dex!$P$22:$Q$276,2,FALSE),"")</f>
        <v/>
      </c>
      <c r="AG199" s="6165"/>
      <c r="AH199" s="6150"/>
      <c r="AI199" s="3543"/>
    </row>
    <row r="200" ht="16.5" customHeight="1">
      <c r="A200" s="3535"/>
      <c r="B200" s="6179"/>
      <c r="C200" s="1427" t="s">
        <v>1828</v>
      </c>
      <c r="D200" s="6180"/>
      <c r="E200" s="6168" t="s">
        <v>519</v>
      </c>
      <c r="F200" s="630"/>
      <c r="G200" s="631"/>
      <c r="H200" s="632">
        <f>ROUNDDOWN((ROUNDDOWN(((((2*F199+31)*81)/100+5)),0))*1,0)</f>
        <v>158</v>
      </c>
      <c r="I200" s="6149"/>
      <c r="J200" s="6168" t="s">
        <v>519</v>
      </c>
      <c r="K200" s="630"/>
      <c r="L200" s="631"/>
      <c r="M200" s="632">
        <f>ROUNDDOWN((ROUNDDOWN(((((2*K199+30)*81)/100+5)),0))*1,0)</f>
        <v>192</v>
      </c>
      <c r="N200" s="6149"/>
      <c r="O200" s="6168" t="s">
        <v>519</v>
      </c>
      <c r="P200" s="630"/>
      <c r="Q200" s="631"/>
      <c r="R200" s="632">
        <f>ROUNDDOWN((ROUNDDOWN(((((2*P199+31)*81)/100+5)),0))*1,0)</f>
        <v>188</v>
      </c>
      <c r="S200" s="6149"/>
      <c r="T200" s="6168" t="s">
        <v>519</v>
      </c>
      <c r="U200" s="630"/>
      <c r="V200" s="631"/>
      <c r="W200" s="632">
        <f>ROUNDDOWN((ROUNDDOWN(((((2*U199+31)*81)/100+5)),0))*1,0)</f>
        <v>151</v>
      </c>
      <c r="X200" s="6149"/>
      <c r="Y200" s="6168" t="s">
        <v>519</v>
      </c>
      <c r="Z200" s="630"/>
      <c r="AA200" s="631"/>
      <c r="AB200" s="632">
        <f>ROUNDDOWN((ROUNDDOWN(((((2*Z199+31)*81)/100+5)),0))*1.1,0)</f>
        <v>205</v>
      </c>
      <c r="AC200" s="6149"/>
      <c r="AD200" s="6168" t="s">
        <v>519</v>
      </c>
      <c r="AE200" s="630"/>
      <c r="AF200" s="631"/>
      <c r="AG200" s="632">
        <f>ROUNDDOWN((ROUNDDOWN(((((2*AE199+31)*81)/100+5)),0))*1.1,0)</f>
        <v>205</v>
      </c>
      <c r="AH200" s="6150"/>
      <c r="AI200" s="3543"/>
    </row>
    <row r="201" ht="15.0" customHeight="1">
      <c r="A201" s="3689"/>
      <c r="B201" s="6181"/>
      <c r="C201" s="6182"/>
      <c r="D201" s="6183"/>
      <c r="E201" s="6184"/>
      <c r="F201" s="6184"/>
      <c r="G201" s="6184"/>
      <c r="H201" s="6184"/>
      <c r="I201" s="6183"/>
      <c r="J201" s="6184"/>
      <c r="K201" s="6184"/>
      <c r="L201" s="6184"/>
      <c r="M201" s="6184"/>
      <c r="N201" s="6183"/>
      <c r="O201" s="6184"/>
      <c r="P201" s="6184"/>
      <c r="Q201" s="6184"/>
      <c r="R201" s="6184"/>
      <c r="S201" s="6183"/>
      <c r="T201" s="6184"/>
      <c r="U201" s="6184"/>
      <c r="V201" s="6184"/>
      <c r="W201" s="6184"/>
      <c r="X201" s="6183"/>
      <c r="Y201" s="6184"/>
      <c r="Z201" s="6184"/>
      <c r="AA201" s="6184"/>
      <c r="AB201" s="6184"/>
      <c r="AC201" s="6183"/>
      <c r="AD201" s="6184"/>
      <c r="AE201" s="6184"/>
      <c r="AF201" s="6184"/>
      <c r="AG201" s="6184"/>
      <c r="AH201" s="6185"/>
      <c r="AI201" s="3700"/>
    </row>
    <row r="202" ht="15.0" customHeight="1">
      <c r="A202" s="3689"/>
      <c r="B202" s="5636"/>
      <c r="C202" s="5637"/>
      <c r="D202" s="5638"/>
      <c r="E202" s="5639"/>
      <c r="F202" s="5639"/>
      <c r="G202" s="5639"/>
      <c r="H202" s="5639"/>
      <c r="I202" s="5638"/>
      <c r="J202" s="5639"/>
      <c r="K202" s="5639"/>
      <c r="L202" s="5639"/>
      <c r="M202" s="5639"/>
      <c r="N202" s="5638"/>
      <c r="O202" s="5639"/>
      <c r="P202" s="5639"/>
      <c r="Q202" s="5639"/>
      <c r="R202" s="5639"/>
      <c r="S202" s="5638"/>
      <c r="T202" s="5639"/>
      <c r="U202" s="5639"/>
      <c r="V202" s="5639"/>
      <c r="W202" s="5639"/>
      <c r="X202" s="5638"/>
      <c r="Y202" s="5639"/>
      <c r="Z202" s="5639"/>
      <c r="AA202" s="5639"/>
      <c r="AB202" s="5639"/>
      <c r="AC202" s="5640"/>
      <c r="AD202" s="5640"/>
      <c r="AE202" s="5640"/>
      <c r="AF202" s="5640"/>
      <c r="AG202" s="5640"/>
      <c r="AH202" s="5641"/>
      <c r="AI202" s="3700"/>
    </row>
    <row r="203" ht="96.75" customHeight="1">
      <c r="A203" s="3689"/>
      <c r="B203" s="5649"/>
      <c r="C203" s="5650" t="str">
        <f>IMAGE("https://i.ibb.co/r4MDjgq/Burglar.png")</f>
        <v/>
      </c>
      <c r="D203" s="5651"/>
      <c r="E203" s="5652" t="str">
        <f t="array" ref="E203">IFERROR(VLOOKUP(E204,Dex!$B$3:$G249,3,FALSE),"")</f>
        <v/>
      </c>
      <c r="F203" s="1945"/>
      <c r="G203" s="1945"/>
      <c r="H203" s="1946"/>
      <c r="I203" s="5651"/>
      <c r="J203" s="5652" t="str">
        <f t="array" ref="J203">IFERROR(VLOOKUP(J204,Dex!$B$3:$G249,3,FALSE),"")</f>
        <v/>
      </c>
      <c r="K203" s="1945"/>
      <c r="L203" s="1945"/>
      <c r="M203" s="1946"/>
      <c r="N203" s="5651"/>
      <c r="O203" s="5652" t="str">
        <f t="array" ref="O203">IFERROR(VLOOKUP(O204,Dex!$B$3:$G249,3,FALSE),"")</f>
        <v/>
      </c>
      <c r="P203" s="1945"/>
      <c r="Q203" s="1945"/>
      <c r="R203" s="1946"/>
      <c r="S203" s="5651"/>
      <c r="T203" s="5652" t="str">
        <f t="array" ref="T203">IFERROR(VLOOKUP(T204,Dex!$B$3:$G249,3,FALSE),"")</f>
        <v/>
      </c>
      <c r="U203" s="1945"/>
      <c r="V203" s="1945"/>
      <c r="W203" s="1946"/>
      <c r="X203" s="5651"/>
      <c r="Y203" s="5652" t="str">
        <f t="array" ref="Y203">IFERROR(VLOOKUP(Y204,Dex!$B$3:$G249,3,FALSE),"")</f>
        <v/>
      </c>
      <c r="Z203" s="1945"/>
      <c r="AA203" s="1945"/>
      <c r="AB203" s="1946"/>
      <c r="AC203" s="6186"/>
      <c r="AD203" s="6187"/>
      <c r="AE203" s="5646"/>
      <c r="AF203" s="5646"/>
      <c r="AG203" s="5647"/>
      <c r="AH203" s="5670"/>
      <c r="AI203" s="3700"/>
    </row>
    <row r="204" ht="18.75" customHeight="1">
      <c r="A204" s="3689"/>
      <c r="B204" s="5649"/>
      <c r="C204" s="5655" t="s">
        <v>1837</v>
      </c>
      <c r="D204" s="5656"/>
      <c r="E204" s="5657" t="s">
        <v>1838</v>
      </c>
      <c r="F204" s="5658"/>
      <c r="G204" s="5658"/>
      <c r="H204" s="5659"/>
      <c r="I204" s="5656"/>
      <c r="J204" s="5657" t="s">
        <v>1839</v>
      </c>
      <c r="K204" s="5658"/>
      <c r="L204" s="5658"/>
      <c r="M204" s="5659"/>
      <c r="N204" s="5656"/>
      <c r="O204" s="5657" t="s">
        <v>150</v>
      </c>
      <c r="P204" s="5658"/>
      <c r="Q204" s="5658"/>
      <c r="R204" s="5659"/>
      <c r="S204" s="5656"/>
      <c r="T204" s="5657" t="s">
        <v>1840</v>
      </c>
      <c r="U204" s="5658"/>
      <c r="V204" s="5658"/>
      <c r="W204" s="5659"/>
      <c r="X204" s="5656"/>
      <c r="Y204" s="5657" t="s">
        <v>1841</v>
      </c>
      <c r="Z204" s="5658"/>
      <c r="AA204" s="5658"/>
      <c r="AB204" s="5659"/>
      <c r="AC204" s="6188"/>
      <c r="AD204" s="6189"/>
      <c r="AE204" s="5646"/>
      <c r="AF204" s="5646"/>
      <c r="AG204" s="5647"/>
      <c r="AH204" s="5670"/>
      <c r="AI204" s="3700"/>
    </row>
    <row r="205">
      <c r="A205" s="3689"/>
      <c r="B205" s="5649"/>
      <c r="C205" s="1638"/>
      <c r="D205" s="5656"/>
      <c r="E205" s="5660" t="s">
        <v>796</v>
      </c>
      <c r="F205" s="5661"/>
      <c r="G205" s="5661"/>
      <c r="H205" s="5662"/>
      <c r="I205" s="5656"/>
      <c r="J205" s="5660" t="s">
        <v>796</v>
      </c>
      <c r="K205" s="5661"/>
      <c r="L205" s="5661"/>
      <c r="M205" s="5662"/>
      <c r="N205" s="5656"/>
      <c r="O205" s="5660" t="s">
        <v>796</v>
      </c>
      <c r="P205" s="5661"/>
      <c r="Q205" s="5661"/>
      <c r="R205" s="5662"/>
      <c r="S205" s="5656"/>
      <c r="T205" s="5660" t="s">
        <v>796</v>
      </c>
      <c r="U205" s="5661"/>
      <c r="V205" s="5661"/>
      <c r="W205" s="5662"/>
      <c r="X205" s="5656"/>
      <c r="Y205" s="5660" t="s">
        <v>796</v>
      </c>
      <c r="Z205" s="5661"/>
      <c r="AA205" s="5661"/>
      <c r="AB205" s="5662"/>
      <c r="AC205" s="6188"/>
      <c r="AD205" s="6190"/>
      <c r="AE205" s="5646"/>
      <c r="AF205" s="5646"/>
      <c r="AG205" s="5647"/>
      <c r="AH205" s="5670"/>
      <c r="AI205" s="3700"/>
    </row>
    <row r="206" ht="25.5" customHeight="1">
      <c r="A206" s="3689"/>
      <c r="B206" s="5649"/>
      <c r="C206" s="1646"/>
      <c r="D206" s="5663"/>
      <c r="E206" s="5664"/>
      <c r="F206" s="5668" t="str">
        <f t="array" ref="F206">IFERROR(VLOOKUP(E204,Dex!$B$3:$H249,5,FALSE),"")</f>
        <v/>
      </c>
      <c r="G206" s="5669" t="str">
        <f t="array" ref="G206">IFERROR(VLOOKUP(E204,Dex!$B$3:$H249,7,FALSE),"")</f>
        <v/>
      </c>
      <c r="H206" s="5667"/>
      <c r="I206" s="5663"/>
      <c r="J206" s="5664"/>
      <c r="K206" s="5665" t="str">
        <f t="array" ref="K206">IFERROR(VLOOKUP(J204,Dex!$B$3:$H249,5,FALSE),"")</f>
        <v/>
      </c>
      <c r="L206" s="5666"/>
      <c r="M206" s="5667"/>
      <c r="N206" s="5663"/>
      <c r="O206" s="5664"/>
      <c r="P206" s="5668" t="str">
        <f t="array" ref="P206">IFERROR(VLOOKUP(O204,Dex!$B$3:$H249,5,FALSE),"")</f>
        <v/>
      </c>
      <c r="Q206" s="5669" t="str">
        <f t="array" ref="Q206">IFERROR(VLOOKUP(O204,Dex!$B$3:$H249,7,FALSE),"")</f>
        <v/>
      </c>
      <c r="R206" s="5667"/>
      <c r="S206" s="5663"/>
      <c r="T206" s="5664"/>
      <c r="U206" s="5668" t="str">
        <f t="array" ref="U206">IFERROR(VLOOKUP(T204,Dex!$B$3:$H249,5,FALSE),"")</f>
        <v/>
      </c>
      <c r="V206" s="5669" t="str">
        <f t="array" ref="V206">IFERROR(VLOOKUP(T204,Dex!$B$3:$H249,7,FALSE),"")</f>
        <v/>
      </c>
      <c r="W206" s="5667"/>
      <c r="X206" s="5663"/>
      <c r="Y206" s="5664"/>
      <c r="Z206" s="5668" t="str">
        <f t="array" ref="Z206">IFERROR(VLOOKUP(Y204,Dex!$B$3:$H249,5,FALSE),"")</f>
        <v/>
      </c>
      <c r="AA206" s="5669" t="str">
        <f t="array" ref="AA206">IFERROR(VLOOKUP(Y204,Dex!$B$3:$H249,7,FALSE),"")</f>
        <v/>
      </c>
      <c r="AB206" s="5667"/>
      <c r="AC206" s="6188"/>
      <c r="AD206" s="6191"/>
      <c r="AE206" s="6192"/>
      <c r="AF206" s="6192"/>
      <c r="AG206" s="6192"/>
      <c r="AH206" s="5670"/>
      <c r="AI206" s="3700"/>
    </row>
    <row r="207" ht="2.25" customHeight="1">
      <c r="A207" s="3689"/>
      <c r="B207" s="5671"/>
      <c r="C207" s="5672"/>
      <c r="D207" s="5673"/>
      <c r="E207" s="5674"/>
      <c r="F207" s="5675"/>
      <c r="G207" s="5675"/>
      <c r="H207" s="5676"/>
      <c r="I207" s="5673"/>
      <c r="J207" s="5674"/>
      <c r="K207" s="5675"/>
      <c r="L207" s="5675"/>
      <c r="M207" s="5676"/>
      <c r="N207" s="5673"/>
      <c r="O207" s="5674"/>
      <c r="P207" s="5675"/>
      <c r="Q207" s="5675"/>
      <c r="R207" s="5676"/>
      <c r="S207" s="5673"/>
      <c r="T207" s="5674"/>
      <c r="U207" s="5675"/>
      <c r="V207" s="5675"/>
      <c r="W207" s="5676"/>
      <c r="X207" s="5673"/>
      <c r="Y207" s="5674"/>
      <c r="Z207" s="5675"/>
      <c r="AA207" s="5675"/>
      <c r="AB207" s="5676"/>
      <c r="AC207" s="6188"/>
      <c r="AD207" s="6191"/>
      <c r="AE207" s="6192"/>
      <c r="AF207" s="6192"/>
      <c r="AG207" s="6192"/>
      <c r="AH207" s="5670"/>
      <c r="AI207" s="3700"/>
    </row>
    <row r="208" ht="20.25" customHeight="1">
      <c r="A208" s="3689"/>
      <c r="B208" s="5671"/>
      <c r="C208" s="5643"/>
      <c r="D208" s="5673"/>
      <c r="E208" s="5677" t="s">
        <v>532</v>
      </c>
      <c r="F208" s="5678"/>
      <c r="G208" s="5678"/>
      <c r="H208" s="5679"/>
      <c r="I208" s="5663"/>
      <c r="J208" s="5677" t="s">
        <v>532</v>
      </c>
      <c r="K208" s="5678"/>
      <c r="L208" s="5678"/>
      <c r="M208" s="5679"/>
      <c r="N208" s="5663"/>
      <c r="O208" s="5677" t="s">
        <v>564</v>
      </c>
      <c r="P208" s="5678"/>
      <c r="Q208" s="5678"/>
      <c r="R208" s="5679"/>
      <c r="S208" s="5663"/>
      <c r="T208" s="5677" t="s">
        <v>531</v>
      </c>
      <c r="U208" s="5678"/>
      <c r="V208" s="5678"/>
      <c r="W208" s="5679"/>
      <c r="X208" s="5663"/>
      <c r="Y208" s="5677" t="s">
        <v>564</v>
      </c>
      <c r="Z208" s="5678"/>
      <c r="AA208" s="5678"/>
      <c r="AB208" s="5679"/>
      <c r="AC208" s="6188"/>
      <c r="AD208" s="6193"/>
      <c r="AE208" s="5646"/>
      <c r="AF208" s="5646"/>
      <c r="AG208" s="5647"/>
      <c r="AH208" s="5670"/>
      <c r="AI208" s="3700"/>
    </row>
    <row r="209" ht="20.25" customHeight="1">
      <c r="A209" s="3689"/>
      <c r="B209" s="5671"/>
      <c r="C209" s="5680"/>
      <c r="D209" s="5673"/>
      <c r="E209" s="5681" t="s">
        <v>60</v>
      </c>
      <c r="F209" s="5646"/>
      <c r="G209" s="5646"/>
      <c r="H209" s="5682"/>
      <c r="I209" s="5663"/>
      <c r="J209" s="5681" t="s">
        <v>1462</v>
      </c>
      <c r="K209" s="5646"/>
      <c r="L209" s="5646"/>
      <c r="M209" s="5682"/>
      <c r="N209" s="5663"/>
      <c r="O209" s="5681" t="s">
        <v>995</v>
      </c>
      <c r="P209" s="5646"/>
      <c r="Q209" s="5646"/>
      <c r="R209" s="5682"/>
      <c r="S209" s="5663"/>
      <c r="T209" s="5681" t="s">
        <v>115</v>
      </c>
      <c r="U209" s="5646"/>
      <c r="V209" s="5646"/>
      <c r="W209" s="5682"/>
      <c r="X209" s="5663"/>
      <c r="Y209" s="5681" t="s">
        <v>826</v>
      </c>
      <c r="Z209" s="5646"/>
      <c r="AA209" s="5646"/>
      <c r="AB209" s="5682"/>
      <c r="AC209" s="6188"/>
      <c r="AD209" s="6193"/>
      <c r="AE209" s="5646"/>
      <c r="AF209" s="5646"/>
      <c r="AG209" s="5647"/>
      <c r="AH209" s="5670"/>
      <c r="AI209" s="3700"/>
    </row>
    <row r="210" ht="20.25" customHeight="1">
      <c r="A210" s="3689"/>
      <c r="B210" s="5671"/>
      <c r="C210" s="5683"/>
      <c r="D210" s="5673"/>
      <c r="E210" s="5684" t="s">
        <v>489</v>
      </c>
      <c r="F210" s="5685"/>
      <c r="G210" s="5686"/>
      <c r="H210" s="5687" t="str">
        <f>IMAGE("https://raw.githubusercontent.com/msikma/pokesprite/master/items/hold-item/eviolite.png",3)</f>
        <v/>
      </c>
      <c r="I210" s="5673"/>
      <c r="J210" s="5684" t="s">
        <v>540</v>
      </c>
      <c r="K210" s="5685"/>
      <c r="L210" s="5686"/>
      <c r="M210" s="5687" t="str">
        <f>IMAGE("https://raw.githubusercontent.com/msikma/pokesprite/master/items/hold-item/mystic-water.png",3)</f>
        <v/>
      </c>
      <c r="N210" s="5673"/>
      <c r="O210" s="5684" t="s">
        <v>573</v>
      </c>
      <c r="P210" s="5685"/>
      <c r="Q210" s="5686"/>
      <c r="R210" s="5687" t="str">
        <f>IMAGE("https://raw.githubusercontent.com/msikma/pokesprite/master/items/hold-item/focus-sash.png",3)</f>
        <v/>
      </c>
      <c r="S210" s="5673"/>
      <c r="T210" s="5684" t="s">
        <v>713</v>
      </c>
      <c r="U210" s="5685"/>
      <c r="V210" s="5686"/>
      <c r="W210" s="5687" t="str">
        <f>IMAGE("https://raw.githubusercontent.com/msikma/pokesprite/master/items/hold-item/assault-vest.png",3)</f>
        <v/>
      </c>
      <c r="X210" s="5673"/>
      <c r="Y210" s="5684" t="s">
        <v>541</v>
      </c>
      <c r="Z210" s="5685"/>
      <c r="AA210" s="5686"/>
      <c r="AB210" s="5687" t="str">
        <f>IMAGE("https://raw.githubusercontent.com/msikma/pokesprite/master/items/hold-item/life-orb.png",3)</f>
        <v/>
      </c>
      <c r="AC210" s="6188"/>
      <c r="AD210" s="6193"/>
      <c r="AE210" s="5646"/>
      <c r="AF210" s="5647"/>
      <c r="AG210" s="6194"/>
      <c r="AH210" s="5670"/>
      <c r="AI210" s="3700"/>
    </row>
    <row r="211" ht="20.25" customHeight="1">
      <c r="A211" s="3689"/>
      <c r="B211" s="5671"/>
      <c r="C211" s="5688"/>
      <c r="D211" s="5673"/>
      <c r="E211" s="5677" t="s">
        <v>204</v>
      </c>
      <c r="F211" s="5678"/>
      <c r="G211" s="5689"/>
      <c r="H211" s="5690" t="str">
        <f>IMAGE("https://raw.githubusercontent.com/msikma/pokesprite/master/misc/types/gen8/poison.png",4,20,20)</f>
        <v/>
      </c>
      <c r="I211" s="5673"/>
      <c r="J211" s="5677" t="s">
        <v>1842</v>
      </c>
      <c r="K211" s="5678"/>
      <c r="L211" s="5689"/>
      <c r="M211" s="5690" t="str">
        <f>IMAGE("https://raw.githubusercontent.com/msikma/pokesprite/master/misc/types/gen8/water.png",4,20,20)</f>
        <v/>
      </c>
      <c r="N211" s="5673"/>
      <c r="O211" s="5677" t="s">
        <v>260</v>
      </c>
      <c r="P211" s="5678"/>
      <c r="Q211" s="5689"/>
      <c r="R211" s="5690" t="str">
        <f>IMAGE("https://raw.githubusercontent.com/msikma/pokesprite/master/misc/types/gen8/fighting.png",4,20,20)</f>
        <v/>
      </c>
      <c r="S211" s="5673"/>
      <c r="T211" s="5677" t="s">
        <v>543</v>
      </c>
      <c r="U211" s="5678"/>
      <c r="V211" s="5689"/>
      <c r="W211" s="5690" t="str">
        <f>IMAGE("https://raw.githubusercontent.com/msikma/pokesprite/master/misc/types/gen8/grass.png",4,20,20)</f>
        <v/>
      </c>
      <c r="X211" s="5673"/>
      <c r="Y211" s="5677" t="s">
        <v>1843</v>
      </c>
      <c r="Z211" s="5678"/>
      <c r="AA211" s="5689"/>
      <c r="AB211" s="5690" t="str">
        <f>IMAGE("https://raw.githubusercontent.com/msikma/pokesprite/master/misc/types/gen8/fairy.png",4,20,20)</f>
        <v/>
      </c>
      <c r="AC211" s="6188"/>
      <c r="AD211" s="6193"/>
      <c r="AE211" s="5646"/>
      <c r="AF211" s="5647"/>
      <c r="AG211" s="6194"/>
      <c r="AH211" s="5670"/>
      <c r="AI211" s="3700"/>
    </row>
    <row r="212" ht="20.25" customHeight="1">
      <c r="A212" s="3689"/>
      <c r="B212" s="5671"/>
      <c r="C212" s="5643"/>
      <c r="D212" s="5673"/>
      <c r="E212" s="5681" t="s">
        <v>1232</v>
      </c>
      <c r="F212" s="5646"/>
      <c r="G212" s="5647"/>
      <c r="H212" s="5691" t="str">
        <f>IMAGE("https://raw.githubusercontent.com/msikma/pokesprite/master/misc/types/gen8/dark.png",4,20,20)</f>
        <v/>
      </c>
      <c r="I212" s="5673"/>
      <c r="J212" s="5681" t="s">
        <v>549</v>
      </c>
      <c r="K212" s="5646"/>
      <c r="L212" s="5647"/>
      <c r="M212" s="5691" t="str">
        <f>IMAGE("https://raw.githubusercontent.com/msikma/pokesprite/master/misc/types/gen8/ground.png",4,20,20)</f>
        <v/>
      </c>
      <c r="N212" s="5673"/>
      <c r="O212" s="5681" t="s">
        <v>1211</v>
      </c>
      <c r="P212" s="5646"/>
      <c r="Q212" s="5647"/>
      <c r="R212" s="5691" t="str">
        <f>IMAGE("https://raw.githubusercontent.com/msikma/pokesprite/master/misc/types/gen8/fire.png",4,20,20)</f>
        <v/>
      </c>
      <c r="S212" s="5673"/>
      <c r="T212" s="5681" t="s">
        <v>1248</v>
      </c>
      <c r="U212" s="5646"/>
      <c r="V212" s="5647"/>
      <c r="W212" s="5691" t="str">
        <f>IMAGE("https://raw.githubusercontent.com/msikma/pokesprite/master/misc/types/gen8/dragon.png",4,20,20)</f>
        <v/>
      </c>
      <c r="X212" s="5673"/>
      <c r="Y212" s="5681" t="s">
        <v>1243</v>
      </c>
      <c r="Z212" s="5646"/>
      <c r="AA212" s="5647"/>
      <c r="AB212" s="5691" t="str">
        <f>IMAGE("https://raw.githubusercontent.com/msikma/pokesprite/master/misc/types/gen8/fire.png",4,20,20)</f>
        <v/>
      </c>
      <c r="AC212" s="6188"/>
      <c r="AD212" s="6193"/>
      <c r="AE212" s="5646"/>
      <c r="AF212" s="5647"/>
      <c r="AG212" s="6194"/>
      <c r="AH212" s="5670"/>
      <c r="AI212" s="3700"/>
    </row>
    <row r="213" ht="20.25" customHeight="1">
      <c r="A213" s="3689"/>
      <c r="B213" s="5671"/>
      <c r="C213" s="5643"/>
      <c r="D213" s="5673"/>
      <c r="E213" s="5681" t="s">
        <v>845</v>
      </c>
      <c r="F213" s="5646"/>
      <c r="G213" s="5647"/>
      <c r="H213" s="5691" t="str">
        <f>IMAGE("https://raw.githubusercontent.com/msikma/pokesprite/master/misc/types/gen8/water.png",4,20,20)</f>
        <v/>
      </c>
      <c r="I213" s="5673"/>
      <c r="J213" s="5681" t="s">
        <v>974</v>
      </c>
      <c r="K213" s="5646"/>
      <c r="L213" s="5647"/>
      <c r="M213" s="5691" t="str">
        <f>IMAGE("https://raw.githubusercontent.com/msikma/pokesprite/master/misc/types/gen8/water.png",4,20,20)</f>
        <v/>
      </c>
      <c r="N213" s="5673"/>
      <c r="O213" s="5681" t="s">
        <v>1021</v>
      </c>
      <c r="P213" s="5646"/>
      <c r="Q213" s="5647"/>
      <c r="R213" s="5691" t="str">
        <f>IMAGE("https://raw.githubusercontent.com/msikma/pokesprite/master/misc/types/gen8/rock.png",4,20,20)</f>
        <v/>
      </c>
      <c r="S213" s="5673"/>
      <c r="T213" s="5681" t="s">
        <v>720</v>
      </c>
      <c r="U213" s="5646"/>
      <c r="V213" s="5647"/>
      <c r="W213" s="5691" t="str">
        <f>IMAGE("https://raw.githubusercontent.com/msikma/pokesprite/master/misc/types/gen8/fighting.png",4,20,20)</f>
        <v/>
      </c>
      <c r="X213" s="5673"/>
      <c r="Y213" s="5681" t="s">
        <v>614</v>
      </c>
      <c r="Z213" s="5646"/>
      <c r="AA213" s="5647"/>
      <c r="AB213" s="5691" t="str">
        <f>IMAGE("https://raw.githubusercontent.com/msikma/pokesprite/master/misc/types/gen8/poison.png",4,20,20)</f>
        <v/>
      </c>
      <c r="AC213" s="6188"/>
      <c r="AD213" s="6193"/>
      <c r="AE213" s="5646"/>
      <c r="AF213" s="5647"/>
      <c r="AG213" s="6194"/>
      <c r="AH213" s="5670"/>
      <c r="AI213" s="3700"/>
    </row>
    <row r="214" ht="21.0" customHeight="1">
      <c r="A214" s="3689"/>
      <c r="B214" s="5671"/>
      <c r="C214" s="5643"/>
      <c r="D214" s="5673"/>
      <c r="E214" s="5692" t="s">
        <v>611</v>
      </c>
      <c r="F214" s="5693"/>
      <c r="G214" s="5694"/>
      <c r="H214" s="5695" t="str">
        <f>IMAGE("https://raw.githubusercontent.com/msikma/pokesprite/master/misc/types/gen8/electric.png",4,20,20)</f>
        <v/>
      </c>
      <c r="I214" s="5673"/>
      <c r="J214" s="5692" t="s">
        <v>689</v>
      </c>
      <c r="K214" s="5693"/>
      <c r="L214" s="5694"/>
      <c r="M214" s="5695" t="str">
        <f>IMAGE("https://raw.githubusercontent.com/msikma/pokesprite/master/misc/types/gen8/ice.png",4,20,20)</f>
        <v/>
      </c>
      <c r="N214" s="5673"/>
      <c r="O214" s="5692" t="s">
        <v>644</v>
      </c>
      <c r="P214" s="5693"/>
      <c r="Q214" s="5694"/>
      <c r="R214" s="5695" t="str">
        <f>IMAGE("https://raw.githubusercontent.com/msikma/pokesprite/master/misc/types/gen8/ground.png",4,20,20)</f>
        <v/>
      </c>
      <c r="S214" s="5673"/>
      <c r="T214" s="5692" t="s">
        <v>644</v>
      </c>
      <c r="U214" s="5693"/>
      <c r="V214" s="5694"/>
      <c r="W214" s="5695" t="str">
        <f>IMAGE("https://raw.githubusercontent.com/msikma/pokesprite/master/misc/types/gen8/ground.png",4,20,20)</f>
        <v/>
      </c>
      <c r="X214" s="5673"/>
      <c r="Y214" s="5692" t="s">
        <v>612</v>
      </c>
      <c r="Z214" s="5693"/>
      <c r="AA214" s="5694"/>
      <c r="AB214" s="5695" t="str">
        <f>IMAGE("https://raw.githubusercontent.com/msikma/pokesprite/master/misc/types/gen8/bug.png",4,20,20)</f>
        <v/>
      </c>
      <c r="AC214" s="6195"/>
      <c r="AD214" s="6193"/>
      <c r="AE214" s="5646"/>
      <c r="AF214" s="5647"/>
      <c r="AG214" s="6194"/>
      <c r="AH214" s="5670"/>
      <c r="AI214" s="3700"/>
    </row>
    <row r="215" ht="3.0" customHeight="1">
      <c r="A215" s="3524"/>
      <c r="B215" s="5697"/>
      <c r="C215" s="5698"/>
      <c r="D215" s="5699"/>
      <c r="E215" s="5702"/>
      <c r="F215" s="5702"/>
      <c r="G215" s="5702"/>
      <c r="H215" s="5701"/>
      <c r="I215" s="5699"/>
      <c r="J215" s="5702"/>
      <c r="K215" s="5702"/>
      <c r="L215" s="5702"/>
      <c r="M215" s="5701"/>
      <c r="N215" s="5699"/>
      <c r="O215" s="5702"/>
      <c r="P215" s="5702"/>
      <c r="Q215" s="5702"/>
      <c r="R215" s="5701"/>
      <c r="S215" s="5699"/>
      <c r="T215" s="5702"/>
      <c r="U215" s="5702"/>
      <c r="V215" s="5702"/>
      <c r="W215" s="5701"/>
      <c r="X215" s="5699"/>
      <c r="Y215" s="5702"/>
      <c r="Z215" s="5702"/>
      <c r="AA215" s="5702"/>
      <c r="AB215" s="5701"/>
      <c r="AC215" s="5699"/>
      <c r="AD215" s="6196"/>
      <c r="AE215" s="6196"/>
      <c r="AF215" s="6196"/>
      <c r="AG215" s="6196"/>
      <c r="AH215" s="5703"/>
      <c r="AI215" s="3534"/>
    </row>
    <row r="216" ht="16.5" customHeight="1">
      <c r="A216" s="3535"/>
      <c r="B216" s="5704"/>
      <c r="C216" s="5698"/>
      <c r="D216" s="5707"/>
      <c r="E216" s="5706" t="s">
        <v>512</v>
      </c>
      <c r="F216" s="606"/>
      <c r="G216" s="606"/>
      <c r="H216" s="607"/>
      <c r="I216" s="5707"/>
      <c r="J216" s="5706" t="s">
        <v>512</v>
      </c>
      <c r="K216" s="606"/>
      <c r="L216" s="606"/>
      <c r="M216" s="607"/>
      <c r="N216" s="5707"/>
      <c r="O216" s="5706" t="s">
        <v>512</v>
      </c>
      <c r="P216" s="606"/>
      <c r="Q216" s="606"/>
      <c r="R216" s="607"/>
      <c r="S216" s="5707"/>
      <c r="T216" s="5706" t="s">
        <v>512</v>
      </c>
      <c r="U216" s="606"/>
      <c r="V216" s="606"/>
      <c r="W216" s="607"/>
      <c r="X216" s="5707"/>
      <c r="Y216" s="5706" t="s">
        <v>512</v>
      </c>
      <c r="Z216" s="606"/>
      <c r="AA216" s="606"/>
      <c r="AB216" s="607"/>
      <c r="AC216" s="5714"/>
      <c r="AD216" s="6193"/>
      <c r="AE216" s="5646"/>
      <c r="AF216" s="5647"/>
      <c r="AG216" s="6194"/>
      <c r="AH216" s="5709"/>
      <c r="AI216" s="3543"/>
    </row>
    <row r="217" ht="16.5" customHeight="1">
      <c r="A217" s="3535"/>
      <c r="B217" s="5704"/>
      <c r="C217" s="5698"/>
      <c r="D217" s="5705"/>
      <c r="E217" s="5710" t="s">
        <v>513</v>
      </c>
      <c r="F217" s="5711">
        <f t="array" ref="F217">IFERROR(VLOOKUP(E204,Dex!$B$3:$N249,8,FALSE),"")</f>
        <v>65</v>
      </c>
      <c r="G217" s="5712" t="str">
        <f t="array" ref="G217">IFERROR(VLOOKUP(F217,Dex!$P$22:$Q$276,2,FALSE),"")</f>
        <v/>
      </c>
      <c r="H217" s="5713"/>
      <c r="I217" s="5705"/>
      <c r="J217" s="5710" t="s">
        <v>513</v>
      </c>
      <c r="K217" s="5711">
        <f t="array" ref="K217">IFERROR(VLOOKUP(J204,Dex!$B$3:$N249,8,FALSE),"")</f>
        <v>35</v>
      </c>
      <c r="L217" s="5712" t="str">
        <f t="array" ref="L217">IFERROR(VLOOKUP(K217,Dex!$P$22:$Q$276,2,FALSE),"")</f>
        <v/>
      </c>
      <c r="M217" s="5713"/>
      <c r="N217" s="5705"/>
      <c r="O217" s="5710" t="s">
        <v>513</v>
      </c>
      <c r="P217" s="5711">
        <f t="array" ref="P217">IFERROR(VLOOKUP(O204,Dex!$B$3:$N249,8,FALSE),"")</f>
        <v>60</v>
      </c>
      <c r="Q217" s="5712" t="str">
        <f t="array" ref="Q217">IFERROR(VLOOKUP(P217,Dex!$P$22:$Q$276,2,FALSE),"")</f>
        <v/>
      </c>
      <c r="R217" s="5713"/>
      <c r="S217" s="5705"/>
      <c r="T217" s="5710" t="s">
        <v>513</v>
      </c>
      <c r="U217" s="5711">
        <f t="array" ref="U217">IFERROR(VLOOKUP(T204,Dex!$B$3:$N249,8,FALSE),"")</f>
        <v>106</v>
      </c>
      <c r="V217" s="5712" t="str">
        <f t="array" ref="V217">IFERROR(VLOOKUP(U217,Dex!$P$22:$Q$276,2,FALSE),"")</f>
        <v/>
      </c>
      <c r="W217" s="5713"/>
      <c r="X217" s="5705"/>
      <c r="Y217" s="5710" t="s">
        <v>513</v>
      </c>
      <c r="Z217" s="5711">
        <f t="array" ref="Z217">IFERROR(VLOOKUP(Y204,Dex!$B$3:$N249,8,FALSE),"")</f>
        <v>88</v>
      </c>
      <c r="AA217" s="5712" t="str">
        <f t="array" ref="AA217">IFERROR(VLOOKUP(Z217,Dex!$P$22:$Q$276,2,FALSE),"")</f>
        <v/>
      </c>
      <c r="AB217" s="5713"/>
      <c r="AC217" s="5714"/>
      <c r="AD217" s="6193"/>
      <c r="AE217" s="5646"/>
      <c r="AF217" s="5647"/>
      <c r="AG217" s="6194"/>
      <c r="AH217" s="5709"/>
      <c r="AI217" s="3543"/>
    </row>
    <row r="218" ht="16.5" customHeight="1">
      <c r="A218" s="3535"/>
      <c r="B218" s="5704"/>
      <c r="C218" s="5698"/>
      <c r="D218" s="5705"/>
      <c r="E218" s="5715" t="s">
        <v>514</v>
      </c>
      <c r="F218" s="5716">
        <f t="array" ref="F218">IFERROR(VLOOKUP(E204,Dex!$B$3:$N249,9,FALSE),"")</f>
        <v>95</v>
      </c>
      <c r="G218" s="5717" t="str">
        <f t="array" ref="G218">IFERROR(VLOOKUP(F218,Dex!$P$22:$Q$276,2,FALSE),"")</f>
        <v/>
      </c>
      <c r="H218" s="5718"/>
      <c r="I218" s="5705"/>
      <c r="J218" s="5715" t="s">
        <v>514</v>
      </c>
      <c r="K218" s="5716">
        <f t="array" ref="K218">IFERROR(VLOOKUP(J204,Dex!$B$3:$N249,9,FALSE),"")</f>
        <v>115</v>
      </c>
      <c r="L218" s="5717" t="str">
        <f t="array" ref="L218">IFERROR(VLOOKUP(K218,Dex!$P$22:$Q$276,2,FALSE),"")</f>
        <v/>
      </c>
      <c r="M218" s="5718"/>
      <c r="N218" s="5705"/>
      <c r="O218" s="5715" t="s">
        <v>514</v>
      </c>
      <c r="P218" s="5716">
        <f t="array" ref="P218">IFERROR(VLOOKUP(O204,Dex!$B$3:$N249,9,FALSE),"")</f>
        <v>50</v>
      </c>
      <c r="Q218" s="5717" t="str">
        <f t="array" ref="Q218">IFERROR(VLOOKUP(P218,Dex!$P$22:$Q$276,2,FALSE),"")</f>
        <v/>
      </c>
      <c r="R218" s="5718"/>
      <c r="S218" s="5705"/>
      <c r="T218" s="5715" t="s">
        <v>514</v>
      </c>
      <c r="U218" s="5716">
        <f t="array" ref="U218">IFERROR(VLOOKUP(T204,Dex!$B$3:$N249,9,FALSE),"")</f>
        <v>80</v>
      </c>
      <c r="V218" s="5717" t="str">
        <f t="array" ref="V218">IFERROR(VLOOKUP(U218,Dex!$P$22:$Q$276,2,FALSE),"")</f>
        <v/>
      </c>
      <c r="W218" s="5718"/>
      <c r="X218" s="5705"/>
      <c r="Y218" s="5715" t="s">
        <v>514</v>
      </c>
      <c r="Z218" s="5716">
        <f t="array" ref="Z218">IFERROR(VLOOKUP(Y204,Dex!$B$3:$N249,9,FALSE),"")</f>
        <v>71</v>
      </c>
      <c r="AA218" s="5717" t="str">
        <f t="array" ref="AA218">IFERROR(VLOOKUP(Z218,Dex!$P$22:$Q$276,2,FALSE),"")</f>
        <v/>
      </c>
      <c r="AB218" s="5718"/>
      <c r="AC218" s="5714"/>
      <c r="AD218" s="6193"/>
      <c r="AE218" s="5646"/>
      <c r="AF218" s="5647"/>
      <c r="AG218" s="6194"/>
      <c r="AH218" s="5709"/>
      <c r="AI218" s="3543"/>
    </row>
    <row r="219" ht="16.5" customHeight="1">
      <c r="A219" s="3535"/>
      <c r="B219" s="5704"/>
      <c r="C219" s="5698"/>
      <c r="D219" s="5705"/>
      <c r="E219" s="5715" t="s">
        <v>515</v>
      </c>
      <c r="F219" s="5716">
        <f t="array" ref="F219">IFERROR(VLOOKUP(E204,Dex!$B$3:$N249,10,FALSE),"")</f>
        <v>85</v>
      </c>
      <c r="G219" s="5717" t="str">
        <f t="array" ref="G219">IFERROR(VLOOKUP(F219,Dex!$P$22:$Q$276,2,FALSE),"")</f>
        <v/>
      </c>
      <c r="H219" s="5718"/>
      <c r="I219" s="5705"/>
      <c r="J219" s="5715" t="s">
        <v>515</v>
      </c>
      <c r="K219" s="5716">
        <f t="array" ref="K219">IFERROR(VLOOKUP(J204,Dex!$B$3:$N249,10,FALSE),"")</f>
        <v>50</v>
      </c>
      <c r="L219" s="5717" t="str">
        <f t="array" ref="L219">IFERROR(VLOOKUP(K219,Dex!$P$22:$Q$276,2,FALSE),"")</f>
        <v/>
      </c>
      <c r="M219" s="5718"/>
      <c r="N219" s="5705"/>
      <c r="O219" s="5715" t="s">
        <v>515</v>
      </c>
      <c r="P219" s="5716">
        <f t="array" ref="P219">IFERROR(VLOOKUP(O204,Dex!$B$3:$N249,10,FALSE),"")</f>
        <v>120</v>
      </c>
      <c r="Q219" s="5717" t="str">
        <f t="array" ref="Q219">IFERROR(VLOOKUP(P219,Dex!$P$22:$Q$276,2,FALSE),"")</f>
        <v/>
      </c>
      <c r="R219" s="5718"/>
      <c r="S219" s="5705"/>
      <c r="T219" s="5715" t="s">
        <v>515</v>
      </c>
      <c r="U219" s="5716">
        <f t="array" ref="U219">IFERROR(VLOOKUP(T204,Dex!$B$3:$N249,10,FALSE),"")</f>
        <v>110</v>
      </c>
      <c r="V219" s="5717" t="str">
        <f t="array" ref="V219">IFERROR(VLOOKUP(U219,Dex!$P$22:$Q$276,2,FALSE),"")</f>
        <v/>
      </c>
      <c r="W219" s="5718"/>
      <c r="X219" s="5705"/>
      <c r="Y219" s="5715" t="s">
        <v>515</v>
      </c>
      <c r="Z219" s="5716">
        <f t="array" ref="Z219">IFERROR(VLOOKUP(Y204,Dex!$B$3:$N249,10,FALSE),"")</f>
        <v>82</v>
      </c>
      <c r="AA219" s="5717" t="str">
        <f t="array" ref="AA219">IFERROR(VLOOKUP(Z219,Dex!$P$22:$Q$276,2,FALSE),"")</f>
        <v/>
      </c>
      <c r="AB219" s="5718"/>
      <c r="AC219" s="5714"/>
      <c r="AD219" s="6193"/>
      <c r="AE219" s="5646"/>
      <c r="AF219" s="5647"/>
      <c r="AG219" s="6194"/>
      <c r="AH219" s="5709"/>
      <c r="AI219" s="3543"/>
    </row>
    <row r="220" ht="16.5" customHeight="1">
      <c r="A220" s="3535"/>
      <c r="B220" s="5704"/>
      <c r="C220" s="5698"/>
      <c r="D220" s="5705"/>
      <c r="E220" s="5715" t="s">
        <v>516</v>
      </c>
      <c r="F220" s="5716">
        <f t="array" ref="F220">IFERROR(VLOOKUP(E204,Dex!$B$3:$N249,11,FALSE),"")</f>
        <v>55</v>
      </c>
      <c r="G220" s="5717" t="str">
        <f t="array" ref="G220">IFERROR(VLOOKUP(F220,Dex!$P$22:$Q$276,2,FALSE),"")</f>
        <v/>
      </c>
      <c r="H220" s="5718"/>
      <c r="I220" s="5705"/>
      <c r="J220" s="5715" t="s">
        <v>516</v>
      </c>
      <c r="K220" s="5716">
        <f t="array" ref="K220">IFERROR(VLOOKUP(J204,Dex!$B$3:$N249,11,FALSE),"")</f>
        <v>35</v>
      </c>
      <c r="L220" s="5717" t="str">
        <f t="array" ref="L220">IFERROR(VLOOKUP(K220,Dex!$P$22:$Q$276,2,FALSE),"")</f>
        <v/>
      </c>
      <c r="M220" s="5718"/>
      <c r="N220" s="5705"/>
      <c r="O220" s="5715" t="s">
        <v>516</v>
      </c>
      <c r="P220" s="5716">
        <f t="array" ref="P220">IFERROR(VLOOKUP(O204,Dex!$B$3:$N249,11,FALSE),"")</f>
        <v>90</v>
      </c>
      <c r="Q220" s="5717" t="str">
        <f t="array" ref="Q220">IFERROR(VLOOKUP(P220,Dex!$P$22:$Q$276,2,FALSE),"")</f>
        <v/>
      </c>
      <c r="R220" s="5718"/>
      <c r="S220" s="5705"/>
      <c r="T220" s="5715" t="s">
        <v>516</v>
      </c>
      <c r="U220" s="5716">
        <f t="array" ref="U220">IFERROR(VLOOKUP(T204,Dex!$B$3:$N249,11,FALSE),"")</f>
        <v>120</v>
      </c>
      <c r="V220" s="5717" t="str">
        <f t="array" ref="V220">IFERROR(VLOOKUP(U220,Dex!$P$22:$Q$276,2,FALSE),"")</f>
        <v/>
      </c>
      <c r="W220" s="5718"/>
      <c r="X220" s="5705"/>
      <c r="Y220" s="5715" t="s">
        <v>516</v>
      </c>
      <c r="Z220" s="5716">
        <f t="array" ref="Z220">IFERROR(VLOOKUP(Y204,Dex!$B$3:$N249,11,FALSE),"")</f>
        <v>91</v>
      </c>
      <c r="AA220" s="5717" t="str">
        <f t="array" ref="AA220">IFERROR(VLOOKUP(Z220,Dex!$P$22:$Q$276,2,FALSE),"")</f>
        <v/>
      </c>
      <c r="AB220" s="5718"/>
      <c r="AC220" s="5714"/>
      <c r="AD220" s="6193"/>
      <c r="AE220" s="5646"/>
      <c r="AF220" s="5647"/>
      <c r="AG220" s="6194"/>
      <c r="AH220" s="5709"/>
      <c r="AI220" s="3543"/>
    </row>
    <row r="221" ht="16.5" customHeight="1">
      <c r="A221" s="3535"/>
      <c r="B221" s="5704"/>
      <c r="C221" s="5719"/>
      <c r="D221" s="5705"/>
      <c r="E221" s="5715" t="s">
        <v>517</v>
      </c>
      <c r="F221" s="5716">
        <f t="array" ref="F221">IFERROR(VLOOKUP(E204,Dex!$B$3:$N249,12,FALSE),"")</f>
        <v>55</v>
      </c>
      <c r="G221" s="5717" t="str">
        <f t="array" ref="G221">IFERROR(VLOOKUP(F221,Dex!$P$22:$Q$276,2,FALSE),"")</f>
        <v/>
      </c>
      <c r="H221" s="5718"/>
      <c r="I221" s="5705"/>
      <c r="J221" s="5715" t="s">
        <v>517</v>
      </c>
      <c r="K221" s="5716">
        <f t="array" ref="K221">IFERROR(VLOOKUP(J204,Dex!$B$3:$N249,12,FALSE),"")</f>
        <v>70</v>
      </c>
      <c r="L221" s="5717" t="str">
        <f t="array" ref="L221">IFERROR(VLOOKUP(K221,Dex!$P$22:$Q$276,2,FALSE),"")</f>
        <v/>
      </c>
      <c r="M221" s="5718"/>
      <c r="N221" s="5705"/>
      <c r="O221" s="5715" t="s">
        <v>517</v>
      </c>
      <c r="P221" s="5716">
        <f t="array" ref="P221">IFERROR(VLOOKUP(O204,Dex!$B$3:$N249,12,FALSE),"")</f>
        <v>80</v>
      </c>
      <c r="Q221" s="5717" t="str">
        <f t="array" ref="Q221">IFERROR(VLOOKUP(P221,Dex!$P$22:$Q$276,2,FALSE),"")</f>
        <v/>
      </c>
      <c r="R221" s="5718"/>
      <c r="S221" s="5705"/>
      <c r="T221" s="5715" t="s">
        <v>517</v>
      </c>
      <c r="U221" s="5716">
        <f t="array" ref="U221">IFERROR(VLOOKUP(T204,Dex!$B$3:$N249,12,FALSE),"")</f>
        <v>80</v>
      </c>
      <c r="V221" s="5717" t="str">
        <f t="array" ref="V221">IFERROR(VLOOKUP(U221,Dex!$P$22:$Q$276,2,FALSE),"")</f>
        <v/>
      </c>
      <c r="W221" s="5718"/>
      <c r="X221" s="5705"/>
      <c r="Y221" s="5715" t="s">
        <v>517</v>
      </c>
      <c r="Z221" s="5716">
        <f t="array" ref="Z221">IFERROR(VLOOKUP(Y204,Dex!$B$3:$N249,12,FALSE),"")</f>
        <v>125</v>
      </c>
      <c r="AA221" s="5717" t="str">
        <f t="array" ref="AA221">IFERROR(VLOOKUP(Z221,Dex!$P$22:$Q$276,2,FALSE),"")</f>
        <v/>
      </c>
      <c r="AB221" s="5718"/>
      <c r="AC221" s="5714"/>
      <c r="AD221" s="6193"/>
      <c r="AE221" s="5646"/>
      <c r="AF221" s="5647"/>
      <c r="AG221" s="6194"/>
      <c r="AH221" s="5709"/>
      <c r="AI221" s="3543"/>
    </row>
    <row r="222" ht="16.5" customHeight="1">
      <c r="A222" s="3535"/>
      <c r="B222" s="5720"/>
      <c r="C222" s="1426" t="s">
        <v>745</v>
      </c>
      <c r="D222" s="5721"/>
      <c r="E222" s="5722" t="s">
        <v>518</v>
      </c>
      <c r="F222" s="5723">
        <f t="array" ref="F222">IFERROR(VLOOKUP(E204,Dex!$B$3:$N249,13,FALSE),"")</f>
        <v>85</v>
      </c>
      <c r="G222" s="5717" t="str">
        <f t="array" ref="G222">IFERROR(VLOOKUP(F222,Dex!$P$22:$Q$276,2,FALSE),"")</f>
        <v/>
      </c>
      <c r="H222" s="5718"/>
      <c r="I222" s="5721"/>
      <c r="J222" s="5722" t="s">
        <v>518</v>
      </c>
      <c r="K222" s="5723">
        <f t="array" ref="K222">IFERROR(VLOOKUP(J204,Dex!$B$3:$N249,13,FALSE),"")</f>
        <v>120</v>
      </c>
      <c r="L222" s="5717" t="str">
        <f t="array" ref="L222">IFERROR(VLOOKUP(K222,Dex!$P$22:$Q$276,2,FALSE),"")</f>
        <v/>
      </c>
      <c r="M222" s="5718"/>
      <c r="N222" s="5721"/>
      <c r="O222" s="5722" t="s">
        <v>518</v>
      </c>
      <c r="P222" s="5723">
        <f t="array" ref="P222">IFERROR(VLOOKUP(O204,Dex!$B$3:$N249,13,FALSE),"")</f>
        <v>30</v>
      </c>
      <c r="Q222" s="5717" t="str">
        <f t="array" ref="Q222">IFERROR(VLOOKUP(P222,Dex!$P$22:$Q$276,2,FALSE),"")</f>
        <v/>
      </c>
      <c r="R222" s="5718"/>
      <c r="S222" s="5721"/>
      <c r="T222" s="5722" t="s">
        <v>518</v>
      </c>
      <c r="U222" s="5723">
        <f t="array" ref="U222">IFERROR(VLOOKUP(T204,Dex!$B$3:$N249,13,FALSE),"")</f>
        <v>44</v>
      </c>
      <c r="V222" s="5717" t="str">
        <f t="array" ref="V222">IFERROR(VLOOKUP(U222,Dex!$P$22:$Q$276,2,FALSE),"")</f>
        <v/>
      </c>
      <c r="W222" s="5718"/>
      <c r="X222" s="5721"/>
      <c r="Y222" s="5722" t="s">
        <v>518</v>
      </c>
      <c r="Z222" s="5723">
        <f t="array" ref="Z222">IFERROR(VLOOKUP(Y204,Dex!$B$3:$N249,13,FALSE),"")</f>
        <v>99</v>
      </c>
      <c r="AA222" s="5717" t="str">
        <f t="array" ref="AA222">IFERROR(VLOOKUP(Z222,Dex!$P$22:$Q$276,2,FALSE),"")</f>
        <v/>
      </c>
      <c r="AB222" s="5718"/>
      <c r="AC222" s="5714"/>
      <c r="AD222" s="6193"/>
      <c r="AE222" s="5646"/>
      <c r="AF222" s="5647"/>
      <c r="AG222" s="6194"/>
      <c r="AH222" s="5709"/>
      <c r="AI222" s="3543"/>
    </row>
    <row r="223" ht="16.5" customHeight="1">
      <c r="A223" s="3535"/>
      <c r="B223" s="5720"/>
      <c r="C223" s="1427" t="s">
        <v>1104</v>
      </c>
      <c r="D223" s="5725"/>
      <c r="E223" s="5724" t="s">
        <v>519</v>
      </c>
      <c r="F223" s="630"/>
      <c r="G223" s="631"/>
      <c r="H223" s="632">
        <f>ROUNDDOWN((ROUNDDOWN(((((2*F222+31)*80)/100+5)),0))*1.1,0)</f>
        <v>181</v>
      </c>
      <c r="I223" s="5725"/>
      <c r="J223" s="5724" t="s">
        <v>519</v>
      </c>
      <c r="K223" s="630"/>
      <c r="L223" s="631"/>
      <c r="M223" s="632">
        <f>ROUNDDOWN((ROUNDDOWN(((((2*K222+31)*80)/100+5)),0))*1.1,0)</f>
        <v>243</v>
      </c>
      <c r="N223" s="5725"/>
      <c r="O223" s="5724" t="s">
        <v>519</v>
      </c>
      <c r="P223" s="630"/>
      <c r="Q223" s="631"/>
      <c r="R223" s="632">
        <f>ROUNDDOWN((ROUNDDOWN(((((2*P222+31)*80)/100+5)),0))*1.1,0)</f>
        <v>84</v>
      </c>
      <c r="S223" s="5725"/>
      <c r="T223" s="5724" t="s">
        <v>519</v>
      </c>
      <c r="U223" s="630"/>
      <c r="V223" s="631"/>
      <c r="W223" s="632">
        <f>ROUNDDOWN((ROUNDDOWN(((((2*U222+31)*80)/100+5)),0))*1,0)</f>
        <v>100</v>
      </c>
      <c r="X223" s="5725"/>
      <c r="Y223" s="5724" t="s">
        <v>519</v>
      </c>
      <c r="Z223" s="630"/>
      <c r="AA223" s="631"/>
      <c r="AB223" s="632">
        <f>ROUNDDOWN((ROUNDDOWN(((((2*Z222+31)*80)/100+5)),0))*1.1,0)</f>
        <v>206</v>
      </c>
      <c r="AC223" s="5714"/>
      <c r="AD223" s="6193"/>
      <c r="AE223" s="5646"/>
      <c r="AF223" s="5647"/>
      <c r="AG223" s="6194"/>
      <c r="AH223" s="5709"/>
      <c r="AI223" s="3543"/>
    </row>
    <row r="224" ht="15.0" customHeight="1">
      <c r="A224" s="3689"/>
      <c r="B224" s="5726"/>
      <c r="C224" s="5727"/>
      <c r="D224" s="5728"/>
      <c r="E224" s="5729"/>
      <c r="F224" s="5729"/>
      <c r="G224" s="5729"/>
      <c r="H224" s="5727"/>
      <c r="I224" s="5728"/>
      <c r="J224" s="5729"/>
      <c r="K224" s="5729"/>
      <c r="L224" s="5729"/>
      <c r="M224" s="5727"/>
      <c r="N224" s="5728"/>
      <c r="O224" s="5729"/>
      <c r="P224" s="5729"/>
      <c r="Q224" s="5729"/>
      <c r="R224" s="5727"/>
      <c r="S224" s="5728"/>
      <c r="T224" s="5729"/>
      <c r="U224" s="5729"/>
      <c r="V224" s="5729"/>
      <c r="W224" s="5727"/>
      <c r="X224" s="5728"/>
      <c r="Y224" s="5729"/>
      <c r="Z224" s="5729"/>
      <c r="AA224" s="5729"/>
      <c r="AB224" s="5727"/>
      <c r="AC224" s="5728"/>
      <c r="AD224" s="5728"/>
      <c r="AE224" s="5728"/>
      <c r="AF224" s="5728"/>
      <c r="AG224" s="5728"/>
      <c r="AH224" s="5730"/>
      <c r="AI224" s="3700"/>
    </row>
    <row r="225" ht="15.0" customHeight="1">
      <c r="A225" s="3689"/>
      <c r="B225" s="5636"/>
      <c r="C225" s="5637"/>
      <c r="D225" s="5638"/>
      <c r="E225" s="5639"/>
      <c r="F225" s="5639"/>
      <c r="G225" s="5639"/>
      <c r="H225" s="5639"/>
      <c r="I225" s="5638"/>
      <c r="J225" s="5639"/>
      <c r="K225" s="5639"/>
      <c r="L225" s="5639"/>
      <c r="M225" s="5639"/>
      <c r="N225" s="5638"/>
      <c r="O225" s="5639"/>
      <c r="P225" s="5639"/>
      <c r="Q225" s="5639"/>
      <c r="R225" s="5639"/>
      <c r="S225" s="5638"/>
      <c r="T225" s="5639"/>
      <c r="U225" s="5639"/>
      <c r="V225" s="5639"/>
      <c r="W225" s="5639"/>
      <c r="X225" s="5638"/>
      <c r="Y225" s="5639"/>
      <c r="Z225" s="5639"/>
      <c r="AA225" s="5639"/>
      <c r="AB225" s="5639"/>
      <c r="AC225" s="5640"/>
      <c r="AD225" s="5640"/>
      <c r="AE225" s="5640"/>
      <c r="AF225" s="5640"/>
      <c r="AG225" s="5640"/>
      <c r="AH225" s="5641"/>
      <c r="AI225" s="3700"/>
    </row>
    <row r="226" ht="96.75" customHeight="1">
      <c r="A226" s="3689"/>
      <c r="B226" s="5649"/>
      <c r="C226" s="5650" t="str">
        <f>IMAGE("https://i.ibb.co/r4MDjgq/Burglar.png")</f>
        <v/>
      </c>
      <c r="D226" s="5651"/>
      <c r="E226" s="5652" t="str">
        <f t="array" ref="E226">IFERROR(VLOOKUP(E227,Dex!$B$3:$G249,3,FALSE),"")</f>
        <v/>
      </c>
      <c r="F226" s="1945"/>
      <c r="G226" s="1945"/>
      <c r="H226" s="1946"/>
      <c r="I226" s="5651"/>
      <c r="J226" s="5652" t="str">
        <f t="array" ref="J226">IFERROR(VLOOKUP(J227,Dex!$B$3:$G249,3,FALSE),"")</f>
        <v/>
      </c>
      <c r="K226" s="1945"/>
      <c r="L226" s="1945"/>
      <c r="M226" s="1946"/>
      <c r="N226" s="5651"/>
      <c r="O226" s="5652" t="str">
        <f t="array" ref="O226">IFERROR(VLOOKUP(O227,Dex!$B$3:$G249,3,FALSE),"")</f>
        <v/>
      </c>
      <c r="P226" s="1945"/>
      <c r="Q226" s="1945"/>
      <c r="R226" s="1946"/>
      <c r="S226" s="5651"/>
      <c r="T226" s="5652" t="str">
        <f t="array" ref="T226">IFERROR(VLOOKUP(T227,Dex!$B$3:$G249,3,FALSE),"")</f>
        <v/>
      </c>
      <c r="U226" s="1945"/>
      <c r="V226" s="1945"/>
      <c r="W226" s="1946"/>
      <c r="X226" s="5651"/>
      <c r="Y226" s="5652" t="str">
        <f t="array" ref="Y226">IFERROR(VLOOKUP(Y227,Dex!$B$3:$G249,3,FALSE),"")</f>
        <v/>
      </c>
      <c r="Z226" s="1945"/>
      <c r="AA226" s="1945"/>
      <c r="AB226" s="1946"/>
      <c r="AC226" s="6186"/>
      <c r="AD226" s="6187"/>
      <c r="AE226" s="5646"/>
      <c r="AF226" s="5646"/>
      <c r="AG226" s="5647"/>
      <c r="AH226" s="5670"/>
      <c r="AI226" s="3700"/>
    </row>
    <row r="227" ht="18.75" customHeight="1">
      <c r="A227" s="3689"/>
      <c r="B227" s="5649"/>
      <c r="C227" s="5655" t="s">
        <v>1844</v>
      </c>
      <c r="D227" s="5656"/>
      <c r="E227" s="5657" t="s">
        <v>1203</v>
      </c>
      <c r="F227" s="5658"/>
      <c r="G227" s="5658"/>
      <c r="H227" s="5659"/>
      <c r="I227" s="5656"/>
      <c r="J227" s="5657" t="s">
        <v>1204</v>
      </c>
      <c r="K227" s="5658"/>
      <c r="L227" s="5658"/>
      <c r="M227" s="5659"/>
      <c r="N227" s="5656"/>
      <c r="O227" s="5657" t="s">
        <v>1845</v>
      </c>
      <c r="P227" s="5658"/>
      <c r="Q227" s="5658"/>
      <c r="R227" s="5659"/>
      <c r="S227" s="5656"/>
      <c r="T227" s="5657" t="s">
        <v>1846</v>
      </c>
      <c r="U227" s="5658"/>
      <c r="V227" s="5658"/>
      <c r="W227" s="5659"/>
      <c r="X227" s="5656"/>
      <c r="Y227" s="5657" t="s">
        <v>231</v>
      </c>
      <c r="Z227" s="5658"/>
      <c r="AA227" s="5658"/>
      <c r="AB227" s="5659"/>
      <c r="AC227" s="6188"/>
      <c r="AD227" s="6189"/>
      <c r="AE227" s="5646"/>
      <c r="AF227" s="5646"/>
      <c r="AG227" s="5647"/>
      <c r="AH227" s="5670"/>
      <c r="AI227" s="3700"/>
    </row>
    <row r="228">
      <c r="A228" s="3689"/>
      <c r="B228" s="5649"/>
      <c r="C228" s="1638"/>
      <c r="D228" s="5656"/>
      <c r="E228" s="5660" t="s">
        <v>796</v>
      </c>
      <c r="F228" s="5661"/>
      <c r="G228" s="5661"/>
      <c r="H228" s="5662"/>
      <c r="I228" s="5656"/>
      <c r="J228" s="5660" t="s">
        <v>796</v>
      </c>
      <c r="K228" s="5661"/>
      <c r="L228" s="5661"/>
      <c r="M228" s="5662"/>
      <c r="N228" s="5656"/>
      <c r="O228" s="5660" t="s">
        <v>796</v>
      </c>
      <c r="P228" s="5661"/>
      <c r="Q228" s="5661"/>
      <c r="R228" s="5662"/>
      <c r="S228" s="5656"/>
      <c r="T228" s="5660" t="s">
        <v>796</v>
      </c>
      <c r="U228" s="5661"/>
      <c r="V228" s="5661"/>
      <c r="W228" s="5662"/>
      <c r="X228" s="5656"/>
      <c r="Y228" s="5660" t="s">
        <v>796</v>
      </c>
      <c r="Z228" s="5661"/>
      <c r="AA228" s="5661"/>
      <c r="AB228" s="5662"/>
      <c r="AC228" s="6188"/>
      <c r="AD228" s="6190"/>
      <c r="AE228" s="5646"/>
      <c r="AF228" s="5646"/>
      <c r="AG228" s="5647"/>
      <c r="AH228" s="5670"/>
      <c r="AI228" s="3700"/>
    </row>
    <row r="229" ht="25.5" customHeight="1">
      <c r="A229" s="3689"/>
      <c r="B229" s="5649"/>
      <c r="C229" s="1646"/>
      <c r="D229" s="5663"/>
      <c r="E229" s="5664"/>
      <c r="F229" s="5668" t="str">
        <f t="array" ref="F229">IFERROR(VLOOKUP(E227,Dex!$B$3:$H249,5,FALSE),"")</f>
        <v/>
      </c>
      <c r="G229" s="5669" t="str">
        <f t="array" ref="G229">IFERROR(VLOOKUP(E227,Dex!$B$3:$H249,7,FALSE),"")</f>
        <v/>
      </c>
      <c r="H229" s="5667"/>
      <c r="I229" s="5663"/>
      <c r="J229" s="5664"/>
      <c r="K229" s="5668" t="str">
        <f t="array" ref="K229">IFERROR(VLOOKUP(J227,Dex!$B$3:$H249,5,FALSE),"")</f>
        <v/>
      </c>
      <c r="L229" s="5669" t="str">
        <f t="array" ref="L229">IFERROR(VLOOKUP(J227,Dex!$B$3:$H249,7,FALSE),"")</f>
        <v/>
      </c>
      <c r="M229" s="5667"/>
      <c r="N229" s="5663"/>
      <c r="O229" s="5664"/>
      <c r="P229" s="5668" t="str">
        <f t="array" ref="P229">IFERROR(VLOOKUP(O227,Dex!$B$3:$H249,5,FALSE),"")</f>
        <v/>
      </c>
      <c r="Q229" s="5669" t="str">
        <f t="array" ref="Q229">IFERROR(VLOOKUP(O227,Dex!$B$3:$H249,7,FALSE),"")</f>
        <v/>
      </c>
      <c r="R229" s="5667"/>
      <c r="S229" s="5663"/>
      <c r="T229" s="5664"/>
      <c r="U229" s="5668" t="str">
        <f t="array" ref="U229">IFERROR(VLOOKUP(T227,Dex!$B$3:$H249,5,FALSE),"")</f>
        <v/>
      </c>
      <c r="V229" s="5669" t="str">
        <f t="array" ref="V229">IFERROR(VLOOKUP(T227,Dex!$B$3:$H249,7,FALSE),"")</f>
        <v/>
      </c>
      <c r="W229" s="5667"/>
      <c r="X229" s="5663"/>
      <c r="Y229" s="5664"/>
      <c r="Z229" s="5665" t="str">
        <f t="array" ref="Z229">IFERROR(VLOOKUP(Y227,Dex!$B$3:$H249,5,FALSE),"")</f>
        <v/>
      </c>
      <c r="AA229" s="5666"/>
      <c r="AB229" s="5667"/>
      <c r="AC229" s="6188"/>
      <c r="AD229" s="6191"/>
      <c r="AE229" s="6192"/>
      <c r="AF229" s="6192"/>
      <c r="AG229" s="6192"/>
      <c r="AH229" s="5670"/>
      <c r="AI229" s="3700"/>
    </row>
    <row r="230" ht="2.25" customHeight="1">
      <c r="A230" s="3689"/>
      <c r="B230" s="5671"/>
      <c r="C230" s="5672"/>
      <c r="D230" s="5673"/>
      <c r="E230" s="5674"/>
      <c r="F230" s="5675"/>
      <c r="G230" s="5675"/>
      <c r="H230" s="5676"/>
      <c r="I230" s="5673"/>
      <c r="J230" s="5674"/>
      <c r="K230" s="5675"/>
      <c r="L230" s="5675"/>
      <c r="M230" s="5676"/>
      <c r="N230" s="5673"/>
      <c r="O230" s="5674"/>
      <c r="P230" s="5675"/>
      <c r="Q230" s="5675"/>
      <c r="R230" s="5676"/>
      <c r="S230" s="5673"/>
      <c r="T230" s="5674"/>
      <c r="U230" s="5675"/>
      <c r="V230" s="5675"/>
      <c r="W230" s="5676"/>
      <c r="X230" s="5673"/>
      <c r="Y230" s="5674"/>
      <c r="Z230" s="5675"/>
      <c r="AA230" s="5675"/>
      <c r="AB230" s="5676"/>
      <c r="AC230" s="6188"/>
      <c r="AD230" s="6191"/>
      <c r="AE230" s="6192"/>
      <c r="AF230" s="6192"/>
      <c r="AG230" s="6192"/>
      <c r="AH230" s="5670"/>
      <c r="AI230" s="3700"/>
    </row>
    <row r="231" ht="20.25" customHeight="1">
      <c r="A231" s="3689"/>
      <c r="B231" s="5671"/>
      <c r="C231" s="5643"/>
      <c r="D231" s="5673"/>
      <c r="E231" s="5677" t="s">
        <v>532</v>
      </c>
      <c r="F231" s="5678"/>
      <c r="G231" s="5678"/>
      <c r="H231" s="5679"/>
      <c r="I231" s="5663"/>
      <c r="J231" s="5677" t="s">
        <v>532</v>
      </c>
      <c r="K231" s="5678"/>
      <c r="L231" s="5678"/>
      <c r="M231" s="5679"/>
      <c r="N231" s="5663"/>
      <c r="O231" s="5677" t="s">
        <v>564</v>
      </c>
      <c r="P231" s="5678"/>
      <c r="Q231" s="5678"/>
      <c r="R231" s="5679"/>
      <c r="S231" s="5663"/>
      <c r="T231" s="5677" t="s">
        <v>482</v>
      </c>
      <c r="U231" s="5678"/>
      <c r="V231" s="5678"/>
      <c r="W231" s="5679"/>
      <c r="X231" s="5663"/>
      <c r="Y231" s="5677" t="s">
        <v>564</v>
      </c>
      <c r="Z231" s="5678"/>
      <c r="AA231" s="5678"/>
      <c r="AB231" s="5679"/>
      <c r="AC231" s="6188"/>
      <c r="AD231" s="6193"/>
      <c r="AE231" s="5646"/>
      <c r="AF231" s="5646"/>
      <c r="AG231" s="5647"/>
      <c r="AH231" s="5670"/>
      <c r="AI231" s="3700"/>
    </row>
    <row r="232" ht="20.25" customHeight="1">
      <c r="A232" s="3689"/>
      <c r="B232" s="5671"/>
      <c r="C232" s="5680"/>
      <c r="D232" s="5673"/>
      <c r="E232" s="5681" t="s">
        <v>1207</v>
      </c>
      <c r="F232" s="5646"/>
      <c r="G232" s="5646"/>
      <c r="H232" s="5682"/>
      <c r="I232" s="5663"/>
      <c r="J232" s="5681" t="s">
        <v>91</v>
      </c>
      <c r="K232" s="5646"/>
      <c r="L232" s="5646"/>
      <c r="M232" s="5682"/>
      <c r="N232" s="5663"/>
      <c r="O232" s="5681" t="s">
        <v>1847</v>
      </c>
      <c r="P232" s="5646"/>
      <c r="Q232" s="5646"/>
      <c r="R232" s="5682"/>
      <c r="S232" s="5663"/>
      <c r="T232" s="5681" t="s">
        <v>58</v>
      </c>
      <c r="U232" s="5646"/>
      <c r="V232" s="5646"/>
      <c r="W232" s="5682"/>
      <c r="X232" s="5663"/>
      <c r="Y232" s="5681" t="s">
        <v>1171</v>
      </c>
      <c r="Z232" s="5646"/>
      <c r="AA232" s="5646"/>
      <c r="AB232" s="5682"/>
      <c r="AC232" s="6188"/>
      <c r="AD232" s="6193"/>
      <c r="AE232" s="5646"/>
      <c r="AF232" s="5646"/>
      <c r="AG232" s="5647"/>
      <c r="AH232" s="5670"/>
      <c r="AI232" s="3700"/>
    </row>
    <row r="233" ht="20.25" customHeight="1">
      <c r="A233" s="3689"/>
      <c r="B233" s="5671"/>
      <c r="C233" s="5683"/>
      <c r="D233" s="5673"/>
      <c r="E233" s="5684" t="s">
        <v>573</v>
      </c>
      <c r="F233" s="5685"/>
      <c r="G233" s="5686"/>
      <c r="H233" s="5687" t="str">
        <f>IMAGE("https://raw.githubusercontent.com/msikma/pokesprite/master/items/hold-item/focus-sash.png",3)</f>
        <v/>
      </c>
      <c r="I233" s="5673"/>
      <c r="J233" s="5684" t="s">
        <v>490</v>
      </c>
      <c r="K233" s="5685"/>
      <c r="L233" s="5686"/>
      <c r="M233" s="5687" t="str">
        <f>IMAGE("https://raw.githubusercontent.com/msikma/pokesprite/master/items/berry/lum.png",3)</f>
        <v/>
      </c>
      <c r="N233" s="5673"/>
      <c r="O233" s="5684" t="s">
        <v>493</v>
      </c>
      <c r="P233" s="5685"/>
      <c r="Q233" s="5686"/>
      <c r="R233" s="5687" t="str">
        <f>IMAGE("https://raw.githubusercontent.com/msikma/pokesprite/master/items/hold-item/air-balloon.png",3)</f>
        <v/>
      </c>
      <c r="S233" s="5673"/>
      <c r="T233" s="5684" t="s">
        <v>733</v>
      </c>
      <c r="U233" s="5685"/>
      <c r="V233" s="5686"/>
      <c r="W233" s="5687" t="str">
        <f>IMAGE("https://raw.githubusercontent.com/msikma/pokesprite/master/items/hold-item/leftovers.png",3)</f>
        <v/>
      </c>
      <c r="X233" s="5673"/>
      <c r="Y233" s="5684" t="s">
        <v>541</v>
      </c>
      <c r="Z233" s="5685"/>
      <c r="AA233" s="5686"/>
      <c r="AB233" s="5687" t="str">
        <f>IMAGE("https://raw.githubusercontent.com/msikma/pokesprite/master/items/hold-item/life-orb.png",3)</f>
        <v/>
      </c>
      <c r="AC233" s="6188"/>
      <c r="AD233" s="6193"/>
      <c r="AE233" s="5646"/>
      <c r="AF233" s="5647"/>
      <c r="AG233" s="6194"/>
      <c r="AH233" s="5670"/>
      <c r="AI233" s="3700"/>
    </row>
    <row r="234" ht="20.25" customHeight="1">
      <c r="A234" s="3689"/>
      <c r="B234" s="5671"/>
      <c r="C234" s="5688"/>
      <c r="D234" s="5673"/>
      <c r="E234" s="5677" t="s">
        <v>293</v>
      </c>
      <c r="F234" s="5678"/>
      <c r="G234" s="5689"/>
      <c r="H234" s="5690" t="str">
        <f>IMAGE("https://raw.githubusercontent.com/msikma/pokesprite/master/misc/types/gen8/flying.png",4,20,20)</f>
        <v/>
      </c>
      <c r="I234" s="5673"/>
      <c r="J234" s="5677" t="s">
        <v>548</v>
      </c>
      <c r="K234" s="5678"/>
      <c r="L234" s="5689"/>
      <c r="M234" s="5690" t="str">
        <f>IMAGE("https://raw.githubusercontent.com/msikma/pokesprite/master/misc/types/gen8/fighting.png",4,20,20)</f>
        <v/>
      </c>
      <c r="N234" s="5673"/>
      <c r="O234" s="5677" t="s">
        <v>669</v>
      </c>
      <c r="P234" s="5678"/>
      <c r="Q234" s="5689"/>
      <c r="R234" s="5690" t="str">
        <f>IMAGE("https://raw.githubusercontent.com/msikma/pokesprite/master/misc/types/gen8/psychic.png",4,20,20)</f>
        <v/>
      </c>
      <c r="S234" s="5673"/>
      <c r="T234" s="5677" t="s">
        <v>611</v>
      </c>
      <c r="U234" s="5678"/>
      <c r="V234" s="5689"/>
      <c r="W234" s="5690" t="str">
        <f>IMAGE("https://raw.githubusercontent.com/msikma/pokesprite/master/misc/types/gen8/electric.png",4,20,20)</f>
        <v/>
      </c>
      <c r="X234" s="5673"/>
      <c r="Y234" s="5677" t="s">
        <v>743</v>
      </c>
      <c r="Z234" s="5678"/>
      <c r="AA234" s="5689"/>
      <c r="AB234" s="5690" t="str">
        <f>IMAGE("https://raw.githubusercontent.com/msikma/pokesprite/master/misc/types/gen8/normal.png",4,20,20)</f>
        <v/>
      </c>
      <c r="AC234" s="6188"/>
      <c r="AD234" s="6193"/>
      <c r="AE234" s="5646"/>
      <c r="AF234" s="5647"/>
      <c r="AG234" s="6194"/>
      <c r="AH234" s="5670"/>
      <c r="AI234" s="3700"/>
    </row>
    <row r="235" ht="20.25" customHeight="1">
      <c r="A235" s="3689"/>
      <c r="B235" s="5671"/>
      <c r="C235" s="5643"/>
      <c r="D235" s="5673"/>
      <c r="E235" s="5681" t="s">
        <v>1041</v>
      </c>
      <c r="F235" s="5646"/>
      <c r="G235" s="5647"/>
      <c r="H235" s="5691" t="str">
        <f>IMAGE("https://raw.githubusercontent.com/msikma/pokesprite/master/misc/types/gen8/grass.png",4,20,20)</f>
        <v/>
      </c>
      <c r="I235" s="5673"/>
      <c r="J235" s="5681" t="s">
        <v>545</v>
      </c>
      <c r="K235" s="5646"/>
      <c r="L235" s="5647"/>
      <c r="M235" s="5691" t="str">
        <f>IMAGE("https://raw.githubusercontent.com/msikma/pokesprite/master/misc/types/gen8/poison.png",4,20,20)</f>
        <v/>
      </c>
      <c r="N235" s="5673"/>
      <c r="O235" s="5681" t="s">
        <v>614</v>
      </c>
      <c r="P235" s="5646"/>
      <c r="Q235" s="5647"/>
      <c r="R235" s="5691" t="str">
        <f>IMAGE("https://raw.githubusercontent.com/msikma/pokesprite/master/misc/types/gen8/poison.png",4,20,20)</f>
        <v/>
      </c>
      <c r="S235" s="5673"/>
      <c r="T235" s="5681" t="s">
        <v>641</v>
      </c>
      <c r="U235" s="5646"/>
      <c r="V235" s="5647"/>
      <c r="W235" s="5691" t="str">
        <f>IMAGE("https://raw.githubusercontent.com/msikma/pokesprite/master/misc/types/gen8/fairy.png",4,20,20)</f>
        <v/>
      </c>
      <c r="X235" s="5673"/>
      <c r="Y235" s="5681" t="s">
        <v>547</v>
      </c>
      <c r="Z235" s="5646"/>
      <c r="AA235" s="5647"/>
      <c r="AB235" s="5691" t="str">
        <f>IMAGE("https://raw.githubusercontent.com/msikma/pokesprite/master/misc/types/gen8/electric.png",4,20,20)</f>
        <v/>
      </c>
      <c r="AC235" s="6188"/>
      <c r="AD235" s="6193"/>
      <c r="AE235" s="5646"/>
      <c r="AF235" s="5647"/>
      <c r="AG235" s="6194"/>
      <c r="AH235" s="5670"/>
      <c r="AI235" s="3700"/>
    </row>
    <row r="236" ht="20.25" customHeight="1">
      <c r="A236" s="3689"/>
      <c r="B236" s="5671"/>
      <c r="C236" s="5643"/>
      <c r="D236" s="5673"/>
      <c r="E236" s="5681" t="s">
        <v>579</v>
      </c>
      <c r="F236" s="5646"/>
      <c r="G236" s="5647"/>
      <c r="H236" s="5691" t="str">
        <f>IMAGE("https://raw.githubusercontent.com/msikma/pokesprite/master/misc/types/gen8/dark.png",4,20,20)</f>
        <v/>
      </c>
      <c r="I236" s="5673"/>
      <c r="J236" s="5681" t="s">
        <v>939</v>
      </c>
      <c r="K236" s="5646"/>
      <c r="L236" s="5647"/>
      <c r="M236" s="5691" t="str">
        <f>IMAGE("https://raw.githubusercontent.com/msikma/pokesprite/master/misc/types/gen8/psychic.png",4,20,20)</f>
        <v/>
      </c>
      <c r="N236" s="5673"/>
      <c r="O236" s="5681" t="s">
        <v>259</v>
      </c>
      <c r="P236" s="5646"/>
      <c r="Q236" s="5647"/>
      <c r="R236" s="5691" t="str">
        <f>IMAGE("https://raw.githubusercontent.com/msikma/pokesprite/master/misc/types/gen8/dark.png",4,20,20)</f>
        <v/>
      </c>
      <c r="S236" s="5673"/>
      <c r="T236" s="5681" t="s">
        <v>623</v>
      </c>
      <c r="U236" s="5646"/>
      <c r="V236" s="5647"/>
      <c r="W236" s="5691" t="str">
        <f t="shared" ref="W236:W237" si="7">IMAGE("https://raw.githubusercontent.com/msikma/pokesprite/master/misc/types/gen8/psychic.png",4,20,20)</f>
        <v/>
      </c>
      <c r="X236" s="5673"/>
      <c r="Y236" s="5681" t="s">
        <v>647</v>
      </c>
      <c r="Z236" s="5646"/>
      <c r="AA236" s="5647"/>
      <c r="AB236" s="5691" t="str">
        <f>IMAGE("https://raw.githubusercontent.com/msikma/pokesprite/master/misc/types/gen8/ghost.png",4,20,20)</f>
        <v/>
      </c>
      <c r="AC236" s="6188"/>
      <c r="AD236" s="6193"/>
      <c r="AE236" s="5646"/>
      <c r="AF236" s="5647"/>
      <c r="AG236" s="6194"/>
      <c r="AH236" s="5670"/>
      <c r="AI236" s="3700"/>
    </row>
    <row r="237" ht="21.0" customHeight="1">
      <c r="A237" s="3689"/>
      <c r="B237" s="5671"/>
      <c r="C237" s="5643"/>
      <c r="D237" s="5673"/>
      <c r="E237" s="5692" t="s">
        <v>879</v>
      </c>
      <c r="F237" s="5693"/>
      <c r="G237" s="5694"/>
      <c r="H237" s="5695" t="str">
        <f>IMAGE("https://raw.githubusercontent.com/msikma/pokesprite/master/misc/types/gen8/fighting.png",4,20,20)</f>
        <v/>
      </c>
      <c r="I237" s="5673"/>
      <c r="J237" s="5692" t="s">
        <v>579</v>
      </c>
      <c r="K237" s="5693"/>
      <c r="L237" s="5694"/>
      <c r="M237" s="5695" t="str">
        <f>IMAGE("https://raw.githubusercontent.com/msikma/pokesprite/master/misc/types/gen8/dark.png",4,20,20)</f>
        <v/>
      </c>
      <c r="N237" s="5673"/>
      <c r="O237" s="5692" t="s">
        <v>590</v>
      </c>
      <c r="P237" s="5693"/>
      <c r="Q237" s="5694"/>
      <c r="R237" s="5695" t="str">
        <f>IMAGE("https://raw.githubusercontent.com/msikma/pokesprite/master/misc/types/gen8/fighting.png",4,20,20)</f>
        <v/>
      </c>
      <c r="S237" s="5673"/>
      <c r="T237" s="5692" t="s">
        <v>669</v>
      </c>
      <c r="U237" s="5693"/>
      <c r="V237" s="5694"/>
      <c r="W237" s="5695" t="str">
        <f t="shared" si="7"/>
        <v/>
      </c>
      <c r="X237" s="5673"/>
      <c r="Y237" s="5692" t="s">
        <v>612</v>
      </c>
      <c r="Z237" s="5693"/>
      <c r="AA237" s="5694"/>
      <c r="AB237" s="5695" t="str">
        <f>IMAGE("https://raw.githubusercontent.com/msikma/pokesprite/master/misc/types/gen8/bug.png",4,20,20)</f>
        <v/>
      </c>
      <c r="AC237" s="6195"/>
      <c r="AD237" s="6193"/>
      <c r="AE237" s="5646"/>
      <c r="AF237" s="5647"/>
      <c r="AG237" s="6194"/>
      <c r="AH237" s="5670"/>
      <c r="AI237" s="3700"/>
    </row>
    <row r="238" ht="3.0" customHeight="1">
      <c r="A238" s="3524"/>
      <c r="B238" s="5697"/>
      <c r="C238" s="5698"/>
      <c r="D238" s="5699"/>
      <c r="E238" s="5702"/>
      <c r="F238" s="5702"/>
      <c r="G238" s="5702"/>
      <c r="H238" s="5701"/>
      <c r="I238" s="5699"/>
      <c r="J238" s="5702"/>
      <c r="K238" s="5702"/>
      <c r="L238" s="5702"/>
      <c r="M238" s="5701"/>
      <c r="N238" s="5699"/>
      <c r="O238" s="5702"/>
      <c r="P238" s="5702"/>
      <c r="Q238" s="5702"/>
      <c r="R238" s="5701"/>
      <c r="S238" s="5699"/>
      <c r="T238" s="5702"/>
      <c r="U238" s="5702"/>
      <c r="V238" s="5702"/>
      <c r="W238" s="5701"/>
      <c r="X238" s="5699"/>
      <c r="Y238" s="5702"/>
      <c r="Z238" s="5702"/>
      <c r="AA238" s="5702"/>
      <c r="AB238" s="5701"/>
      <c r="AC238" s="5699"/>
      <c r="AD238" s="6196"/>
      <c r="AE238" s="6196"/>
      <c r="AF238" s="6196"/>
      <c r="AG238" s="6196"/>
      <c r="AH238" s="5703"/>
      <c r="AI238" s="3534"/>
    </row>
    <row r="239" ht="16.5" customHeight="1">
      <c r="A239" s="3535"/>
      <c r="B239" s="5704"/>
      <c r="C239" s="5698"/>
      <c r="D239" s="5707"/>
      <c r="E239" s="5706" t="s">
        <v>512</v>
      </c>
      <c r="F239" s="606"/>
      <c r="G239" s="606"/>
      <c r="H239" s="607"/>
      <c r="I239" s="5707"/>
      <c r="J239" s="5706" t="s">
        <v>512</v>
      </c>
      <c r="K239" s="606"/>
      <c r="L239" s="606"/>
      <c r="M239" s="607"/>
      <c r="N239" s="5707"/>
      <c r="O239" s="5706" t="s">
        <v>512</v>
      </c>
      <c r="P239" s="606"/>
      <c r="Q239" s="606"/>
      <c r="R239" s="607"/>
      <c r="S239" s="5707"/>
      <c r="T239" s="5706" t="s">
        <v>512</v>
      </c>
      <c r="U239" s="606"/>
      <c r="V239" s="606"/>
      <c r="W239" s="607"/>
      <c r="X239" s="5707"/>
      <c r="Y239" s="5706" t="s">
        <v>512</v>
      </c>
      <c r="Z239" s="606"/>
      <c r="AA239" s="606"/>
      <c r="AB239" s="607"/>
      <c r="AC239" s="5714"/>
      <c r="AD239" s="6193"/>
      <c r="AE239" s="5646"/>
      <c r="AF239" s="5647"/>
      <c r="AG239" s="6194"/>
      <c r="AH239" s="5709"/>
      <c r="AI239" s="3543"/>
    </row>
    <row r="240" ht="16.5" customHeight="1">
      <c r="A240" s="3535"/>
      <c r="B240" s="5704"/>
      <c r="C240" s="5698"/>
      <c r="D240" s="5705"/>
      <c r="E240" s="5710" t="s">
        <v>513</v>
      </c>
      <c r="F240" s="5711">
        <f t="array" ref="F240">IFERROR(VLOOKUP(E227,Dex!$B$3:$N249,8,FALSE),"")</f>
        <v>90</v>
      </c>
      <c r="G240" s="5712" t="str">
        <f t="array" ref="G240">IFERROR(VLOOKUP(F240,Dex!$P$22:$Q$276,2,FALSE),"")</f>
        <v/>
      </c>
      <c r="H240" s="5713"/>
      <c r="I240" s="5705"/>
      <c r="J240" s="5710" t="s">
        <v>513</v>
      </c>
      <c r="K240" s="5711">
        <f t="array" ref="K240">IFERROR(VLOOKUP(J227,Dex!$B$3:$N249,8,FALSE),"")</f>
        <v>88</v>
      </c>
      <c r="L240" s="5712" t="str">
        <f t="array" ref="L240">IFERROR(VLOOKUP(K240,Dex!$P$22:$Q$276,2,FALSE),"")</f>
        <v/>
      </c>
      <c r="M240" s="5713"/>
      <c r="N240" s="5705"/>
      <c r="O240" s="5710" t="s">
        <v>513</v>
      </c>
      <c r="P240" s="5711">
        <f t="array" ref="P240">IFERROR(VLOOKUP(O227,Dex!$B$3:$N249,8,FALSE),"")</f>
        <v>88</v>
      </c>
      <c r="Q240" s="5712" t="str">
        <f t="array" ref="Q240">IFERROR(VLOOKUP(P240,Dex!$P$22:$Q$276,2,FALSE),"")</f>
        <v/>
      </c>
      <c r="R240" s="5713"/>
      <c r="S240" s="5705"/>
      <c r="T240" s="5710" t="s">
        <v>513</v>
      </c>
      <c r="U240" s="5711">
        <f t="array" ref="U240">IFERROR(VLOOKUP(T227,Dex!$B$3:$N249,8,FALSE),"")</f>
        <v>115</v>
      </c>
      <c r="V240" s="5712" t="str">
        <f t="array" ref="V240">IFERROR(VLOOKUP(U240,Dex!$P$22:$Q$276,2,FALSE),"")</f>
        <v/>
      </c>
      <c r="W240" s="5713"/>
      <c r="X240" s="5705"/>
      <c r="Y240" s="5710" t="s">
        <v>513</v>
      </c>
      <c r="Z240" s="5711">
        <f t="array" ref="Z240">IFERROR(VLOOKUP(Y227,Dex!$B$3:$N249,8,FALSE),"")</f>
        <v>65</v>
      </c>
      <c r="AA240" s="5712" t="str">
        <f t="array" ref="AA240">IFERROR(VLOOKUP(Z240,Dex!$P$22:$Q$276,2,FALSE),"")</f>
        <v/>
      </c>
      <c r="AB240" s="5713"/>
      <c r="AC240" s="5714"/>
      <c r="AD240" s="6193"/>
      <c r="AE240" s="5646"/>
      <c r="AF240" s="5647"/>
      <c r="AG240" s="6194"/>
      <c r="AH240" s="5709"/>
      <c r="AI240" s="3543"/>
    </row>
    <row r="241" ht="16.5" customHeight="1">
      <c r="A241" s="3535"/>
      <c r="B241" s="5704"/>
      <c r="C241" s="5698"/>
      <c r="D241" s="5705"/>
      <c r="E241" s="5715" t="s">
        <v>514</v>
      </c>
      <c r="F241" s="5716">
        <f t="array" ref="F241">IFERROR(VLOOKUP(E227,Dex!$B$3:$N249,9,FALSE),"")</f>
        <v>120</v>
      </c>
      <c r="G241" s="5717" t="str">
        <f t="array" ref="G241">IFERROR(VLOOKUP(F241,Dex!$P$22:$Q$276,2,FALSE),"")</f>
        <v/>
      </c>
      <c r="H241" s="5718"/>
      <c r="I241" s="5705"/>
      <c r="J241" s="5715" t="s">
        <v>514</v>
      </c>
      <c r="K241" s="5716">
        <f t="array" ref="K241">IFERROR(VLOOKUP(J227,Dex!$B$3:$N249,9,FALSE),"")</f>
        <v>128</v>
      </c>
      <c r="L241" s="5717" t="str">
        <f t="array" ref="L241">IFERROR(VLOOKUP(K241,Dex!$P$22:$Q$276,2,FALSE),"")</f>
        <v/>
      </c>
      <c r="M241" s="5718"/>
      <c r="N241" s="5705"/>
      <c r="O241" s="5715" t="s">
        <v>514</v>
      </c>
      <c r="P241" s="5716">
        <f t="array" ref="P241">IFERROR(VLOOKUP(O227,Dex!$B$3:$N249,9,FALSE),"")</f>
        <v>75</v>
      </c>
      <c r="Q241" s="5717" t="str">
        <f t="array" ref="Q241">IFERROR(VLOOKUP(P241,Dex!$P$22:$Q$276,2,FALSE),"")</f>
        <v/>
      </c>
      <c r="R241" s="5718"/>
      <c r="S241" s="5705"/>
      <c r="T241" s="5715" t="s">
        <v>514</v>
      </c>
      <c r="U241" s="5716">
        <f t="array" ref="U241">IFERROR(VLOOKUP(T227,Dex!$B$3:$N249,9,FALSE),"")</f>
        <v>65</v>
      </c>
      <c r="V241" s="5717" t="str">
        <f t="array" ref="V241">IFERROR(VLOOKUP(U241,Dex!$P$22:$Q$276,2,FALSE),"")</f>
        <v/>
      </c>
      <c r="W241" s="5718"/>
      <c r="X241" s="5705"/>
      <c r="Y241" s="5715" t="s">
        <v>514</v>
      </c>
      <c r="Z241" s="5716">
        <f t="array" ref="Z241">IFERROR(VLOOKUP(Y227,Dex!$B$3:$N249,9,FALSE),"")</f>
        <v>80</v>
      </c>
      <c r="AA241" s="5717" t="str">
        <f t="array" ref="AA241">IFERROR(VLOOKUP(Z241,Dex!$P$22:$Q$276,2,FALSE),"")</f>
        <v/>
      </c>
      <c r="AB241" s="5718"/>
      <c r="AC241" s="5714"/>
      <c r="AD241" s="6193"/>
      <c r="AE241" s="5646"/>
      <c r="AF241" s="5647"/>
      <c r="AG241" s="6194"/>
      <c r="AH241" s="5709"/>
      <c r="AI241" s="3543"/>
    </row>
    <row r="242" ht="16.5" customHeight="1">
      <c r="A242" s="3535"/>
      <c r="B242" s="5704"/>
      <c r="C242" s="5698"/>
      <c r="D242" s="5705"/>
      <c r="E242" s="5715" t="s">
        <v>515</v>
      </c>
      <c r="F242" s="5716">
        <f t="array" ref="F242">IFERROR(VLOOKUP(E227,Dex!$B$3:$N249,10,FALSE),"")</f>
        <v>60</v>
      </c>
      <c r="G242" s="5717" t="str">
        <f t="array" ref="G242">IFERROR(VLOOKUP(F242,Dex!$P$22:$Q$276,2,FALSE),"")</f>
        <v/>
      </c>
      <c r="H242" s="5718"/>
      <c r="I242" s="5705"/>
      <c r="J242" s="5715" t="s">
        <v>515</v>
      </c>
      <c r="K242" s="5716">
        <f t="array" ref="K242">IFERROR(VLOOKUP(J227,Dex!$B$3:$N249,10,FALSE),"")</f>
        <v>115</v>
      </c>
      <c r="L242" s="5717" t="str">
        <f t="array" ref="L242">IFERROR(VLOOKUP(K242,Dex!$P$22:$Q$276,2,FALSE),"")</f>
        <v/>
      </c>
      <c r="M242" s="5718"/>
      <c r="N242" s="5705"/>
      <c r="O242" s="5715" t="s">
        <v>515</v>
      </c>
      <c r="P242" s="5716">
        <f t="array" ref="P242">IFERROR(VLOOKUP(O227,Dex!$B$3:$N249,10,FALSE),"")</f>
        <v>66</v>
      </c>
      <c r="Q242" s="5717" t="str">
        <f t="array" ref="Q242">IFERROR(VLOOKUP(P242,Dex!$P$22:$Q$276,2,FALSE),"")</f>
        <v/>
      </c>
      <c r="R242" s="5718"/>
      <c r="S242" s="5705"/>
      <c r="T242" s="5715" t="s">
        <v>515</v>
      </c>
      <c r="U242" s="5716">
        <f t="array" ref="U242">IFERROR(VLOOKUP(T227,Dex!$B$3:$N249,10,FALSE),"")</f>
        <v>99</v>
      </c>
      <c r="V242" s="5717" t="str">
        <f t="array" ref="V242">IFERROR(VLOOKUP(U242,Dex!$P$22:$Q$276,2,FALSE),"")</f>
        <v/>
      </c>
      <c r="W242" s="5718"/>
      <c r="X242" s="5705"/>
      <c r="Y242" s="5715" t="s">
        <v>515</v>
      </c>
      <c r="Z242" s="5716">
        <f t="array" ref="Z242">IFERROR(VLOOKUP(Y227,Dex!$B$3:$N249,10,FALSE),"")</f>
        <v>60</v>
      </c>
      <c r="AA242" s="5717" t="str">
        <f t="array" ref="AA242">IFERROR(VLOOKUP(Z242,Dex!$P$22:$Q$276,2,FALSE),"")</f>
        <v/>
      </c>
      <c r="AB242" s="5718"/>
      <c r="AC242" s="5714"/>
      <c r="AD242" s="6193"/>
      <c r="AE242" s="5646"/>
      <c r="AF242" s="5647"/>
      <c r="AG242" s="6194"/>
      <c r="AH242" s="5709"/>
      <c r="AI242" s="3543"/>
    </row>
    <row r="243" ht="16.5" customHeight="1">
      <c r="A243" s="3535"/>
      <c r="B243" s="5704"/>
      <c r="C243" s="5698"/>
      <c r="D243" s="5705"/>
      <c r="E243" s="5715" t="s">
        <v>516</v>
      </c>
      <c r="F243" s="5716">
        <f t="array" ref="F243">IFERROR(VLOOKUP(E227,Dex!$B$3:$N249,11,FALSE),"")</f>
        <v>110</v>
      </c>
      <c r="G243" s="5717" t="str">
        <f t="array" ref="G243">IFERROR(VLOOKUP(F243,Dex!$P$22:$Q$276,2,FALSE),"")</f>
        <v/>
      </c>
      <c r="H243" s="5718"/>
      <c r="I243" s="5705"/>
      <c r="J243" s="5715" t="s">
        <v>516</v>
      </c>
      <c r="K243" s="5716">
        <f t="array" ref="K243">IFERROR(VLOOKUP(J227,Dex!$B$3:$N249,11,FALSE),"")</f>
        <v>58</v>
      </c>
      <c r="L243" s="5717" t="str">
        <f t="array" ref="L243">IFERROR(VLOOKUP(K243,Dex!$P$22:$Q$276,2,FALSE),"")</f>
        <v/>
      </c>
      <c r="M243" s="5718"/>
      <c r="N243" s="5705"/>
      <c r="O243" s="5715" t="s">
        <v>516</v>
      </c>
      <c r="P243" s="5716">
        <f t="array" ref="P243">IFERROR(VLOOKUP(O227,Dex!$B$3:$N249,11,FALSE),"")</f>
        <v>130</v>
      </c>
      <c r="Q243" s="5717" t="str">
        <f t="array" ref="Q243">IFERROR(VLOOKUP(P243,Dex!$P$22:$Q$276,2,FALSE),"")</f>
        <v/>
      </c>
      <c r="R243" s="5718"/>
      <c r="S243" s="5705"/>
      <c r="T243" s="5715" t="s">
        <v>516</v>
      </c>
      <c r="U243" s="5716">
        <f t="array" ref="U243">IFERROR(VLOOKUP(T227,Dex!$B$3:$N249,11,FALSE),"")</f>
        <v>85</v>
      </c>
      <c r="V243" s="5717" t="str">
        <f t="array" ref="V243">IFERROR(VLOOKUP(U243,Dex!$P$22:$Q$276,2,FALSE),"")</f>
        <v/>
      </c>
      <c r="W243" s="5718"/>
      <c r="X243" s="5705"/>
      <c r="Y243" s="5715" t="s">
        <v>516</v>
      </c>
      <c r="Z243" s="5716">
        <f t="array" ref="Z243">IFERROR(VLOOKUP(Y227,Dex!$B$3:$N249,11,FALSE),"")</f>
        <v>60</v>
      </c>
      <c r="AA243" s="5717" t="str">
        <f t="array" ref="AA243">IFERROR(VLOOKUP(Z243,Dex!$P$22:$Q$276,2,FALSE),"")</f>
        <v/>
      </c>
      <c r="AB243" s="5718"/>
      <c r="AC243" s="5714"/>
      <c r="AD243" s="6193"/>
      <c r="AE243" s="5646"/>
      <c r="AF243" s="5647"/>
      <c r="AG243" s="6194"/>
      <c r="AH243" s="5709"/>
      <c r="AI243" s="3543"/>
    </row>
    <row r="244" ht="16.5" customHeight="1">
      <c r="A244" s="3535"/>
      <c r="B244" s="5704"/>
      <c r="C244" s="5719"/>
      <c r="D244" s="5705"/>
      <c r="E244" s="5715" t="s">
        <v>517</v>
      </c>
      <c r="F244" s="5716">
        <f t="array" ref="F244">IFERROR(VLOOKUP(E227,Dex!$B$3:$N249,12,FALSE),"")</f>
        <v>60</v>
      </c>
      <c r="G244" s="5717" t="str">
        <f t="array" ref="G244">IFERROR(VLOOKUP(F244,Dex!$P$22:$Q$276,2,FALSE),"")</f>
        <v/>
      </c>
      <c r="H244" s="5718"/>
      <c r="I244" s="5705"/>
      <c r="J244" s="5715" t="s">
        <v>517</v>
      </c>
      <c r="K244" s="5716">
        <f t="array" ref="K244">IFERROR(VLOOKUP(J227,Dex!$B$3:$N249,12,FALSE),"")</f>
        <v>86</v>
      </c>
      <c r="L244" s="5717" t="str">
        <f t="array" ref="L244">IFERROR(VLOOKUP(K244,Dex!$P$22:$Q$276,2,FALSE),"")</f>
        <v/>
      </c>
      <c r="M244" s="5718"/>
      <c r="N244" s="5705"/>
      <c r="O244" s="5715" t="s">
        <v>517</v>
      </c>
      <c r="P244" s="5716">
        <f t="array" ref="P244">IFERROR(VLOOKUP(O227,Dex!$B$3:$N249,12,FALSE),"")</f>
        <v>90</v>
      </c>
      <c r="Q244" s="5717" t="str">
        <f t="array" ref="Q244">IFERROR(VLOOKUP(P244,Dex!$P$22:$Q$276,2,FALSE),"")</f>
        <v/>
      </c>
      <c r="R244" s="5718"/>
      <c r="S244" s="5705"/>
      <c r="T244" s="5715" t="s">
        <v>517</v>
      </c>
      <c r="U244" s="5716">
        <f t="array" ref="U244">IFERROR(VLOOKUP(T227,Dex!$B$3:$N249,12,FALSE),"")</f>
        <v>115</v>
      </c>
      <c r="V244" s="5717" t="str">
        <f t="array" ref="V244">IFERROR(VLOOKUP(U244,Dex!$P$22:$Q$276,2,FALSE),"")</f>
        <v/>
      </c>
      <c r="W244" s="5718"/>
      <c r="X244" s="5705"/>
      <c r="Y244" s="5715" t="s">
        <v>517</v>
      </c>
      <c r="Z244" s="5716">
        <f t="array" ref="Z244">IFERROR(VLOOKUP(Y227,Dex!$B$3:$N249,12,FALSE),"")</f>
        <v>65</v>
      </c>
      <c r="AA244" s="5717" t="str">
        <f t="array" ref="AA244">IFERROR(VLOOKUP(Z244,Dex!$P$22:$Q$276,2,FALSE),"")</f>
        <v/>
      </c>
      <c r="AB244" s="5718"/>
      <c r="AC244" s="5714"/>
      <c r="AD244" s="6193"/>
      <c r="AE244" s="5646"/>
      <c r="AF244" s="5647"/>
      <c r="AG244" s="6194"/>
      <c r="AH244" s="5709"/>
      <c r="AI244" s="3543"/>
    </row>
    <row r="245" ht="16.5" customHeight="1">
      <c r="A245" s="3535"/>
      <c r="B245" s="5720"/>
      <c r="C245" s="1426" t="s">
        <v>745</v>
      </c>
      <c r="D245" s="5721"/>
      <c r="E245" s="5722" t="s">
        <v>518</v>
      </c>
      <c r="F245" s="5723">
        <f t="array" ref="F245">IFERROR(VLOOKUP(E227,Dex!$B$3:$N249,13,FALSE),"")</f>
        <v>80</v>
      </c>
      <c r="G245" s="5717" t="str">
        <f t="array" ref="G245">IFERROR(VLOOKUP(F245,Dex!$P$22:$Q$276,2,FALSE),"")</f>
        <v/>
      </c>
      <c r="H245" s="5718"/>
      <c r="I245" s="5721"/>
      <c r="J245" s="5722" t="s">
        <v>518</v>
      </c>
      <c r="K245" s="5723">
        <f t="array" ref="K245">IFERROR(VLOOKUP(J227,Dex!$B$3:$N249,13,FALSE),"")</f>
        <v>80</v>
      </c>
      <c r="L245" s="5717" t="str">
        <f t="array" ref="L245">IFERROR(VLOOKUP(K245,Dex!$P$22:$Q$276,2,FALSE),"")</f>
        <v/>
      </c>
      <c r="M245" s="5718"/>
      <c r="N245" s="5721"/>
      <c r="O245" s="5722" t="s">
        <v>518</v>
      </c>
      <c r="P245" s="5723">
        <f t="array" ref="P245">IFERROR(VLOOKUP(O227,Dex!$B$3:$N249,13,FALSE),"")</f>
        <v>106</v>
      </c>
      <c r="Q245" s="5717" t="str">
        <f t="array" ref="Q245">IFERROR(VLOOKUP(P245,Dex!$P$22:$Q$276,2,FALSE),"")</f>
        <v/>
      </c>
      <c r="R245" s="5718"/>
      <c r="S245" s="5721"/>
      <c r="T245" s="5722" t="s">
        <v>518</v>
      </c>
      <c r="U245" s="5723">
        <f t="array" ref="U245">IFERROR(VLOOKUP(T227,Dex!$B$3:$N249,13,FALSE),"")</f>
        <v>111</v>
      </c>
      <c r="V245" s="5717" t="str">
        <f t="array" ref="V245">IFERROR(VLOOKUP(U245,Dex!$P$22:$Q$276,2,FALSE),"")</f>
        <v/>
      </c>
      <c r="W245" s="5718"/>
      <c r="X245" s="5721"/>
      <c r="Y245" s="5722" t="s">
        <v>518</v>
      </c>
      <c r="Z245" s="5723">
        <f t="array" ref="Z245">IFERROR(VLOOKUP(Y227,Dex!$B$3:$N249,13,FALSE),"")</f>
        <v>115</v>
      </c>
      <c r="AA245" s="5717" t="str">
        <f t="array" ref="AA245">IFERROR(VLOOKUP(Z245,Dex!$P$22:$Q$276,2,FALSE),"")</f>
        <v/>
      </c>
      <c r="AB245" s="5718"/>
      <c r="AC245" s="5714"/>
      <c r="AD245" s="6193"/>
      <c r="AE245" s="5646"/>
      <c r="AF245" s="5647"/>
      <c r="AG245" s="6194"/>
      <c r="AH245" s="5709"/>
      <c r="AI245" s="3543"/>
    </row>
    <row r="246" ht="16.5" customHeight="1">
      <c r="A246" s="3535"/>
      <c r="B246" s="5720"/>
      <c r="C246" s="1427" t="s">
        <v>1104</v>
      </c>
      <c r="D246" s="5725"/>
      <c r="E246" s="5724" t="s">
        <v>519</v>
      </c>
      <c r="F246" s="630"/>
      <c r="G246" s="631"/>
      <c r="H246" s="632">
        <f>ROUNDDOWN((ROUNDDOWN(((((2*F245+31)*80)/100+5)),0))*1.1,0)</f>
        <v>172</v>
      </c>
      <c r="I246" s="5725"/>
      <c r="J246" s="6197" t="s">
        <v>519</v>
      </c>
      <c r="K246" s="6198"/>
      <c r="L246" s="6199"/>
      <c r="M246" s="632">
        <f>ROUNDDOWN((ROUNDDOWN(((((2*K245+31)*80)/100+5)),0))*1.1,0)</f>
        <v>172</v>
      </c>
      <c r="N246" s="5725"/>
      <c r="O246" s="6197" t="s">
        <v>519</v>
      </c>
      <c r="P246" s="6198"/>
      <c r="Q246" s="6199"/>
      <c r="R246" s="632">
        <f>ROUNDDOWN((ROUNDDOWN(((((2*P245+31)*80)/100+5)),0))*1.1,0)</f>
        <v>218</v>
      </c>
      <c r="S246" s="5725"/>
      <c r="T246" s="6197" t="s">
        <v>519</v>
      </c>
      <c r="U246" s="6198"/>
      <c r="V246" s="6199"/>
      <c r="W246" s="632">
        <f>ROUNDDOWN((ROUNDDOWN(((((2*U245+31)*80)/100+5)),0))*1,0)</f>
        <v>207</v>
      </c>
      <c r="X246" s="5725"/>
      <c r="Y246" s="6197" t="s">
        <v>519</v>
      </c>
      <c r="Z246" s="6198"/>
      <c r="AA246" s="6199"/>
      <c r="AB246" s="632">
        <f>ROUNDDOWN((ROUNDDOWN(((((2*Z245+31)*80)/100+5)),0))*1.1,0)</f>
        <v>234</v>
      </c>
      <c r="AC246" s="5714"/>
      <c r="AD246" s="6193"/>
      <c r="AE246" s="5646"/>
      <c r="AF246" s="5647"/>
      <c r="AG246" s="6194"/>
      <c r="AH246" s="5709"/>
      <c r="AI246" s="3543"/>
    </row>
    <row r="247" ht="16.5" customHeight="1">
      <c r="A247" s="3535"/>
      <c r="B247" s="6200"/>
      <c r="C247" s="5698"/>
      <c r="D247" s="6201"/>
      <c r="E247" s="5724" t="s">
        <v>672</v>
      </c>
      <c r="F247" s="630"/>
      <c r="G247" s="631"/>
      <c r="H247" s="632">
        <f>H246*2</f>
        <v>344</v>
      </c>
      <c r="I247" s="5725"/>
      <c r="J247" s="5724" t="s">
        <v>672</v>
      </c>
      <c r="K247" s="630"/>
      <c r="L247" s="631"/>
      <c r="M247" s="632">
        <f>M246*2</f>
        <v>344</v>
      </c>
      <c r="N247" s="5725"/>
      <c r="O247" s="5724" t="s">
        <v>672</v>
      </c>
      <c r="P247" s="630"/>
      <c r="Q247" s="631"/>
      <c r="R247" s="632">
        <f>R246*2</f>
        <v>436</v>
      </c>
      <c r="S247" s="5725"/>
      <c r="T247" s="5724" t="s">
        <v>672</v>
      </c>
      <c r="U247" s="630"/>
      <c r="V247" s="631"/>
      <c r="W247" s="632">
        <f>W246*2</f>
        <v>414</v>
      </c>
      <c r="X247" s="5725"/>
      <c r="Y247" s="5724" t="s">
        <v>672</v>
      </c>
      <c r="Z247" s="630"/>
      <c r="AA247" s="631"/>
      <c r="AB247" s="632">
        <f>AB246*2</f>
        <v>468</v>
      </c>
      <c r="AC247" s="6202"/>
      <c r="AD247" s="6203"/>
      <c r="AE247" s="6203"/>
      <c r="AF247" s="6203"/>
      <c r="AG247" s="6203"/>
      <c r="AH247" s="6204"/>
      <c r="AI247" s="3543"/>
    </row>
    <row r="248" ht="7.5" customHeight="1">
      <c r="A248" s="3689"/>
      <c r="B248" s="5726"/>
      <c r="C248" s="5727"/>
      <c r="D248" s="5728"/>
      <c r="E248" s="5729"/>
      <c r="F248" s="5729"/>
      <c r="G248" s="5729"/>
      <c r="H248" s="5727"/>
      <c r="I248" s="5728"/>
      <c r="J248" s="5729"/>
      <c r="K248" s="5729"/>
      <c r="L248" s="5729"/>
      <c r="M248" s="5727"/>
      <c r="N248" s="5728"/>
      <c r="O248" s="5729"/>
      <c r="P248" s="5729"/>
      <c r="Q248" s="5729"/>
      <c r="R248" s="5727"/>
      <c r="S248" s="5728"/>
      <c r="T248" s="5729"/>
      <c r="U248" s="5729"/>
      <c r="V248" s="5729"/>
      <c r="W248" s="5727"/>
      <c r="X248" s="5728"/>
      <c r="Y248" s="5729"/>
      <c r="Z248" s="5729"/>
      <c r="AA248" s="5729"/>
      <c r="AB248" s="5727"/>
      <c r="AC248" s="5728"/>
      <c r="AD248" s="5728"/>
      <c r="AE248" s="5728"/>
      <c r="AF248" s="5728"/>
      <c r="AG248" s="5728"/>
      <c r="AH248" s="5730"/>
      <c r="AI248" s="3700"/>
    </row>
    <row r="249" ht="3.75" customHeight="1">
      <c r="A249" s="5811"/>
      <c r="B249" s="6205"/>
      <c r="C249" s="6205"/>
      <c r="D249" s="6205"/>
      <c r="E249" s="6205"/>
      <c r="F249" s="6205"/>
      <c r="G249" s="6205"/>
      <c r="H249" s="6205"/>
      <c r="I249" s="6205"/>
      <c r="J249" s="6205"/>
      <c r="K249" s="6205"/>
      <c r="L249" s="6205"/>
      <c r="M249" s="6205"/>
      <c r="N249" s="6205"/>
      <c r="O249" s="6205"/>
      <c r="P249" s="6205"/>
      <c r="Q249" s="6205"/>
      <c r="R249" s="6205"/>
      <c r="S249" s="6205"/>
      <c r="T249" s="6205"/>
      <c r="U249" s="6205"/>
      <c r="V249" s="6205"/>
      <c r="W249" s="6205"/>
      <c r="X249" s="6205"/>
      <c r="Y249" s="6205"/>
      <c r="Z249" s="6205"/>
      <c r="AA249" s="6205"/>
      <c r="AB249" s="6205"/>
      <c r="AC249" s="6205"/>
      <c r="AD249" s="6205"/>
      <c r="AE249" s="6205"/>
      <c r="AF249" s="6205"/>
      <c r="AG249" s="6205"/>
      <c r="AH249" s="6205"/>
      <c r="AI249" s="5811"/>
    </row>
  </sheetData>
  <mergeCells count="1138">
    <mergeCell ref="T3:W3"/>
    <mergeCell ref="T4:W4"/>
    <mergeCell ref="E5:H5"/>
    <mergeCell ref="J5:M5"/>
    <mergeCell ref="E3:H3"/>
    <mergeCell ref="O3:R3"/>
    <mergeCell ref="Y3:AB3"/>
    <mergeCell ref="C4:C6"/>
    <mergeCell ref="O4:R4"/>
    <mergeCell ref="Y4:AB4"/>
    <mergeCell ref="Y5:AB5"/>
    <mergeCell ref="T11:V11"/>
    <mergeCell ref="T12:V12"/>
    <mergeCell ref="O13:Q13"/>
    <mergeCell ref="T13:V13"/>
    <mergeCell ref="Y13:AA13"/>
    <mergeCell ref="E4:H4"/>
    <mergeCell ref="F6:G6"/>
    <mergeCell ref="E8:H8"/>
    <mergeCell ref="C9:C11"/>
    <mergeCell ref="E9:H9"/>
    <mergeCell ref="E10:G10"/>
    <mergeCell ref="E11:G11"/>
    <mergeCell ref="AA19:AB19"/>
    <mergeCell ref="AA20:AB20"/>
    <mergeCell ref="AA21:AB21"/>
    <mergeCell ref="AA22:AB22"/>
    <mergeCell ref="Q22:R22"/>
    <mergeCell ref="V22:W22"/>
    <mergeCell ref="J3:M3"/>
    <mergeCell ref="J4:M4"/>
    <mergeCell ref="J8:M8"/>
    <mergeCell ref="J9:M9"/>
    <mergeCell ref="J10:L10"/>
    <mergeCell ref="J11:L11"/>
    <mergeCell ref="J12:L12"/>
    <mergeCell ref="J28:M28"/>
    <mergeCell ref="J29:M29"/>
    <mergeCell ref="O32:R32"/>
    <mergeCell ref="T32:W32"/>
    <mergeCell ref="O34:Q34"/>
    <mergeCell ref="T34:V34"/>
    <mergeCell ref="J34:L34"/>
    <mergeCell ref="J35:L35"/>
    <mergeCell ref="O35:Q35"/>
    <mergeCell ref="T35:V35"/>
    <mergeCell ref="O36:Q36"/>
    <mergeCell ref="T36:V36"/>
    <mergeCell ref="Y36:AA36"/>
    <mergeCell ref="O5:R5"/>
    <mergeCell ref="T5:W5"/>
    <mergeCell ref="O8:R8"/>
    <mergeCell ref="T8:W8"/>
    <mergeCell ref="Y8:AB8"/>
    <mergeCell ref="T9:W9"/>
    <mergeCell ref="Y9:AB9"/>
    <mergeCell ref="O9:R9"/>
    <mergeCell ref="O10:Q10"/>
    <mergeCell ref="T10:V10"/>
    <mergeCell ref="Y10:AA10"/>
    <mergeCell ref="O11:Q11"/>
    <mergeCell ref="Y11:AA11"/>
    <mergeCell ref="O12:Q12"/>
    <mergeCell ref="Y12:AA12"/>
    <mergeCell ref="J13:L13"/>
    <mergeCell ref="J14:L14"/>
    <mergeCell ref="O14:Q14"/>
    <mergeCell ref="T14:V14"/>
    <mergeCell ref="Y14:AA14"/>
    <mergeCell ref="T16:W16"/>
    <mergeCell ref="Y16:AB16"/>
    <mergeCell ref="O16:R16"/>
    <mergeCell ref="Q17:R17"/>
    <mergeCell ref="V17:W17"/>
    <mergeCell ref="AA17:AB17"/>
    <mergeCell ref="Q18:R18"/>
    <mergeCell ref="V18:W18"/>
    <mergeCell ref="AA18:AB18"/>
    <mergeCell ref="V20:W20"/>
    <mergeCell ref="V21:W21"/>
    <mergeCell ref="L18:M18"/>
    <mergeCell ref="L19:M19"/>
    <mergeCell ref="Q19:R19"/>
    <mergeCell ref="V19:W19"/>
    <mergeCell ref="L20:M20"/>
    <mergeCell ref="Q20:R20"/>
    <mergeCell ref="Q21:R21"/>
    <mergeCell ref="Y28:AB28"/>
    <mergeCell ref="Y29:AB29"/>
    <mergeCell ref="Y32:AB32"/>
    <mergeCell ref="Y33:AB33"/>
    <mergeCell ref="Y34:AA34"/>
    <mergeCell ref="Y35:AA35"/>
    <mergeCell ref="O23:Q23"/>
    <mergeCell ref="T23:V23"/>
    <mergeCell ref="Y23:AA23"/>
    <mergeCell ref="E26:AG26"/>
    <mergeCell ref="O27:R27"/>
    <mergeCell ref="T27:W27"/>
    <mergeCell ref="Y27:AB27"/>
    <mergeCell ref="E12:G12"/>
    <mergeCell ref="E13:G13"/>
    <mergeCell ref="E14:G14"/>
    <mergeCell ref="E16:H16"/>
    <mergeCell ref="G17:H17"/>
    <mergeCell ref="G18:H18"/>
    <mergeCell ref="G19:H19"/>
    <mergeCell ref="E28:H28"/>
    <mergeCell ref="E29:H29"/>
    <mergeCell ref="C28:C30"/>
    <mergeCell ref="C33:C35"/>
    <mergeCell ref="E33:H33"/>
    <mergeCell ref="E34:G34"/>
    <mergeCell ref="E35:G35"/>
    <mergeCell ref="E36:G36"/>
    <mergeCell ref="E37:G37"/>
    <mergeCell ref="E38:G38"/>
    <mergeCell ref="G20:H20"/>
    <mergeCell ref="G21:H21"/>
    <mergeCell ref="G22:H22"/>
    <mergeCell ref="E23:G23"/>
    <mergeCell ref="E27:H27"/>
    <mergeCell ref="I27:I38"/>
    <mergeCell ref="E32:H32"/>
    <mergeCell ref="L92:M92"/>
    <mergeCell ref="L93:M93"/>
    <mergeCell ref="L94:M94"/>
    <mergeCell ref="L95:M95"/>
    <mergeCell ref="L96:M96"/>
    <mergeCell ref="J97:L97"/>
    <mergeCell ref="J100:M100"/>
    <mergeCell ref="J101:M101"/>
    <mergeCell ref="J102:M102"/>
    <mergeCell ref="J105:M105"/>
    <mergeCell ref="J106:M106"/>
    <mergeCell ref="J107:L107"/>
    <mergeCell ref="J108:L108"/>
    <mergeCell ref="J109:L109"/>
    <mergeCell ref="J110:L110"/>
    <mergeCell ref="J111:L111"/>
    <mergeCell ref="J113:M113"/>
    <mergeCell ref="L114:M114"/>
    <mergeCell ref="L115:M115"/>
    <mergeCell ref="L116:M116"/>
    <mergeCell ref="L117:M117"/>
    <mergeCell ref="J129:M129"/>
    <mergeCell ref="J130:M130"/>
    <mergeCell ref="J131:L131"/>
    <mergeCell ref="J132:L132"/>
    <mergeCell ref="J133:L133"/>
    <mergeCell ref="J134:L134"/>
    <mergeCell ref="J135:L135"/>
    <mergeCell ref="J137:M137"/>
    <mergeCell ref="L138:M138"/>
    <mergeCell ref="L139:M139"/>
    <mergeCell ref="L118:M118"/>
    <mergeCell ref="L119:M119"/>
    <mergeCell ref="J120:L120"/>
    <mergeCell ref="J124:M124"/>
    <mergeCell ref="N124:N135"/>
    <mergeCell ref="J125:M125"/>
    <mergeCell ref="J126:M126"/>
    <mergeCell ref="J32:M32"/>
    <mergeCell ref="J33:M33"/>
    <mergeCell ref="J36:L36"/>
    <mergeCell ref="J37:L37"/>
    <mergeCell ref="J16:M16"/>
    <mergeCell ref="L17:M17"/>
    <mergeCell ref="L21:M21"/>
    <mergeCell ref="L22:M22"/>
    <mergeCell ref="J23:L23"/>
    <mergeCell ref="J27:M27"/>
    <mergeCell ref="N27:N38"/>
    <mergeCell ref="J38:L38"/>
    <mergeCell ref="J40:M40"/>
    <mergeCell ref="L41:M41"/>
    <mergeCell ref="L42:M42"/>
    <mergeCell ref="L43:M43"/>
    <mergeCell ref="L44:M44"/>
    <mergeCell ref="L45:M45"/>
    <mergeCell ref="L46:M46"/>
    <mergeCell ref="J47:L47"/>
    <mergeCell ref="J51:M51"/>
    <mergeCell ref="J52:M52"/>
    <mergeCell ref="J53:M53"/>
    <mergeCell ref="K54:L54"/>
    <mergeCell ref="J56:M56"/>
    <mergeCell ref="J57:M57"/>
    <mergeCell ref="J58:L58"/>
    <mergeCell ref="J59:L59"/>
    <mergeCell ref="J60:L60"/>
    <mergeCell ref="J61:L61"/>
    <mergeCell ref="J62:L62"/>
    <mergeCell ref="J64:M64"/>
    <mergeCell ref="J84:L84"/>
    <mergeCell ref="J85:L85"/>
    <mergeCell ref="J86:L86"/>
    <mergeCell ref="J87:L87"/>
    <mergeCell ref="J88:L88"/>
    <mergeCell ref="J90:M90"/>
    <mergeCell ref="L91:M91"/>
    <mergeCell ref="AF138:AG138"/>
    <mergeCell ref="AF139:AG139"/>
    <mergeCell ref="AD130:AG130"/>
    <mergeCell ref="AD131:AF131"/>
    <mergeCell ref="AD132:AF132"/>
    <mergeCell ref="AD133:AF133"/>
    <mergeCell ref="AD134:AF134"/>
    <mergeCell ref="AD135:AF135"/>
    <mergeCell ref="AD137:AG137"/>
    <mergeCell ref="AD203:AG203"/>
    <mergeCell ref="AD204:AG204"/>
    <mergeCell ref="AD205:AG205"/>
    <mergeCell ref="K206:L206"/>
    <mergeCell ref="O209:R209"/>
    <mergeCell ref="T209:W209"/>
    <mergeCell ref="AD209:AG209"/>
    <mergeCell ref="J209:M209"/>
    <mergeCell ref="J210:L210"/>
    <mergeCell ref="O210:Q210"/>
    <mergeCell ref="T210:V210"/>
    <mergeCell ref="J211:L211"/>
    <mergeCell ref="O211:Q211"/>
    <mergeCell ref="T211:V211"/>
    <mergeCell ref="AD190:AF190"/>
    <mergeCell ref="J191:L191"/>
    <mergeCell ref="O191:Q191"/>
    <mergeCell ref="T191:V191"/>
    <mergeCell ref="Y191:AA191"/>
    <mergeCell ref="AD191:AF191"/>
    <mergeCell ref="J190:L190"/>
    <mergeCell ref="O190:Q190"/>
    <mergeCell ref="J193:M193"/>
    <mergeCell ref="T193:W193"/>
    <mergeCell ref="AD193:AG193"/>
    <mergeCell ref="V194:W194"/>
    <mergeCell ref="AF194:AG194"/>
    <mergeCell ref="V195:W195"/>
    <mergeCell ref="V196:W196"/>
    <mergeCell ref="V198:W198"/>
    <mergeCell ref="V199:W199"/>
    <mergeCell ref="L194:M194"/>
    <mergeCell ref="L195:M195"/>
    <mergeCell ref="Q195:R195"/>
    <mergeCell ref="AA195:AB195"/>
    <mergeCell ref="L196:M196"/>
    <mergeCell ref="L197:M197"/>
    <mergeCell ref="V197:W197"/>
    <mergeCell ref="AD210:AF210"/>
    <mergeCell ref="AD211:AF211"/>
    <mergeCell ref="AD212:AF212"/>
    <mergeCell ref="AD213:AF213"/>
    <mergeCell ref="AD214:AF214"/>
    <mergeCell ref="AF195:AG195"/>
    <mergeCell ref="AF196:AG196"/>
    <mergeCell ref="AF197:AG197"/>
    <mergeCell ref="AF198:AG198"/>
    <mergeCell ref="AF199:AG199"/>
    <mergeCell ref="AD200:AF200"/>
    <mergeCell ref="AD208:AG208"/>
    <mergeCell ref="L217:M217"/>
    <mergeCell ref="L218:M218"/>
    <mergeCell ref="Q218:R218"/>
    <mergeCell ref="V218:W218"/>
    <mergeCell ref="AA218:AB218"/>
    <mergeCell ref="AD218:AF218"/>
    <mergeCell ref="Y216:AB216"/>
    <mergeCell ref="AA217:AB217"/>
    <mergeCell ref="J216:M216"/>
    <mergeCell ref="O216:R216"/>
    <mergeCell ref="T216:W216"/>
    <mergeCell ref="AD216:AF216"/>
    <mergeCell ref="Q217:R217"/>
    <mergeCell ref="V217:W217"/>
    <mergeCell ref="AD217:AF217"/>
    <mergeCell ref="Q219:R219"/>
    <mergeCell ref="Q220:R220"/>
    <mergeCell ref="Q221:R221"/>
    <mergeCell ref="V221:W221"/>
    <mergeCell ref="Q222:R222"/>
    <mergeCell ref="V222:W222"/>
    <mergeCell ref="T223:V223"/>
    <mergeCell ref="AA219:AB219"/>
    <mergeCell ref="AA220:AB220"/>
    <mergeCell ref="AA221:AB221"/>
    <mergeCell ref="AD221:AF221"/>
    <mergeCell ref="AA222:AB222"/>
    <mergeCell ref="AD222:AF222"/>
    <mergeCell ref="Y223:AA223"/>
    <mergeCell ref="AD223:AF223"/>
    <mergeCell ref="G219:H219"/>
    <mergeCell ref="L219:M219"/>
    <mergeCell ref="V219:W219"/>
    <mergeCell ref="AD219:AF219"/>
    <mergeCell ref="L220:M220"/>
    <mergeCell ref="V220:W220"/>
    <mergeCell ref="AD220:AF220"/>
    <mergeCell ref="G220:H220"/>
    <mergeCell ref="G221:H221"/>
    <mergeCell ref="L221:M221"/>
    <mergeCell ref="G222:H222"/>
    <mergeCell ref="L222:M222"/>
    <mergeCell ref="J223:L223"/>
    <mergeCell ref="O223:Q223"/>
    <mergeCell ref="E226:H226"/>
    <mergeCell ref="E227:H227"/>
    <mergeCell ref="E223:G223"/>
    <mergeCell ref="J226:M226"/>
    <mergeCell ref="T226:W226"/>
    <mergeCell ref="Y226:AB226"/>
    <mergeCell ref="C227:C229"/>
    <mergeCell ref="E228:H228"/>
    <mergeCell ref="O228:R228"/>
    <mergeCell ref="J232:M232"/>
    <mergeCell ref="J233:L233"/>
    <mergeCell ref="E234:G234"/>
    <mergeCell ref="J234:L234"/>
    <mergeCell ref="E235:G235"/>
    <mergeCell ref="J235:L235"/>
    <mergeCell ref="E236:G236"/>
    <mergeCell ref="J236:L236"/>
    <mergeCell ref="E237:G237"/>
    <mergeCell ref="J237:L237"/>
    <mergeCell ref="J227:M227"/>
    <mergeCell ref="J228:M228"/>
    <mergeCell ref="E231:H231"/>
    <mergeCell ref="J231:M231"/>
    <mergeCell ref="C232:C234"/>
    <mergeCell ref="E232:H232"/>
    <mergeCell ref="E233:G233"/>
    <mergeCell ref="AD235:AF235"/>
    <mergeCell ref="AD236:AF236"/>
    <mergeCell ref="AD237:AF237"/>
    <mergeCell ref="AD226:AG226"/>
    <mergeCell ref="AD227:AG227"/>
    <mergeCell ref="AD228:AG228"/>
    <mergeCell ref="AD231:AG231"/>
    <mergeCell ref="AD232:AG232"/>
    <mergeCell ref="AD233:AF233"/>
    <mergeCell ref="AD234:AF234"/>
    <mergeCell ref="T236:V236"/>
    <mergeCell ref="T237:V237"/>
    <mergeCell ref="Y237:AA237"/>
    <mergeCell ref="T227:W227"/>
    <mergeCell ref="T228:W228"/>
    <mergeCell ref="T231:W231"/>
    <mergeCell ref="T232:W232"/>
    <mergeCell ref="T233:V233"/>
    <mergeCell ref="T234:V234"/>
    <mergeCell ref="T235:V235"/>
    <mergeCell ref="G243:H243"/>
    <mergeCell ref="G244:H244"/>
    <mergeCell ref="G245:H245"/>
    <mergeCell ref="E246:G246"/>
    <mergeCell ref="J246:L246"/>
    <mergeCell ref="E247:G247"/>
    <mergeCell ref="J247:L247"/>
    <mergeCell ref="J239:M239"/>
    <mergeCell ref="L240:M240"/>
    <mergeCell ref="G241:H241"/>
    <mergeCell ref="L241:M241"/>
    <mergeCell ref="G242:H242"/>
    <mergeCell ref="L242:M242"/>
    <mergeCell ref="L243:M243"/>
    <mergeCell ref="O226:R226"/>
    <mergeCell ref="O227:R227"/>
    <mergeCell ref="O231:R231"/>
    <mergeCell ref="O232:R232"/>
    <mergeCell ref="O233:Q233"/>
    <mergeCell ref="O234:Q234"/>
    <mergeCell ref="O235:Q235"/>
    <mergeCell ref="O236:Q236"/>
    <mergeCell ref="O237:Q237"/>
    <mergeCell ref="E239:H239"/>
    <mergeCell ref="O239:R239"/>
    <mergeCell ref="G240:H240"/>
    <mergeCell ref="Q240:R240"/>
    <mergeCell ref="AA240:AB240"/>
    <mergeCell ref="Q243:R243"/>
    <mergeCell ref="Q244:R244"/>
    <mergeCell ref="Q245:R245"/>
    <mergeCell ref="O246:Q246"/>
    <mergeCell ref="O247:Q247"/>
    <mergeCell ref="AA243:AB243"/>
    <mergeCell ref="AA244:AB244"/>
    <mergeCell ref="AA245:AB245"/>
    <mergeCell ref="Y246:AA246"/>
    <mergeCell ref="Y247:AA247"/>
    <mergeCell ref="L244:M244"/>
    <mergeCell ref="L245:M245"/>
    <mergeCell ref="V244:W244"/>
    <mergeCell ref="V245:W245"/>
    <mergeCell ref="T246:V246"/>
    <mergeCell ref="T247:V247"/>
    <mergeCell ref="T239:W239"/>
    <mergeCell ref="V240:W240"/>
    <mergeCell ref="Q241:R241"/>
    <mergeCell ref="V241:W241"/>
    <mergeCell ref="Q242:R242"/>
    <mergeCell ref="V242:W242"/>
    <mergeCell ref="V243:W243"/>
    <mergeCell ref="AF169:AG169"/>
    <mergeCell ref="AF170:AG170"/>
    <mergeCell ref="AF171:AG171"/>
    <mergeCell ref="AD172:AF172"/>
    <mergeCell ref="AD173:AF173"/>
    <mergeCell ref="AD174:AF174"/>
    <mergeCell ref="E176:AG177"/>
    <mergeCell ref="T180:W180"/>
    <mergeCell ref="Y180:AB180"/>
    <mergeCell ref="J181:M181"/>
    <mergeCell ref="O181:R181"/>
    <mergeCell ref="T181:W181"/>
    <mergeCell ref="Y181:AB181"/>
    <mergeCell ref="J180:M180"/>
    <mergeCell ref="J182:M182"/>
    <mergeCell ref="O182:R182"/>
    <mergeCell ref="T182:W182"/>
    <mergeCell ref="AD181:AG181"/>
    <mergeCell ref="AD182:AG182"/>
    <mergeCell ref="O180:R180"/>
    <mergeCell ref="AD180:AG180"/>
    <mergeCell ref="P183:Q183"/>
    <mergeCell ref="J185:M185"/>
    <mergeCell ref="O185:R185"/>
    <mergeCell ref="T185:W185"/>
    <mergeCell ref="Y185:AB185"/>
    <mergeCell ref="AD185:AG185"/>
    <mergeCell ref="J186:M186"/>
    <mergeCell ref="O186:R186"/>
    <mergeCell ref="T186:W186"/>
    <mergeCell ref="Y186:AB186"/>
    <mergeCell ref="J188:L188"/>
    <mergeCell ref="O188:Q188"/>
    <mergeCell ref="AD186:AG186"/>
    <mergeCell ref="J187:L187"/>
    <mergeCell ref="O187:Q187"/>
    <mergeCell ref="T187:V187"/>
    <mergeCell ref="Y187:AA187"/>
    <mergeCell ref="AD187:AF187"/>
    <mergeCell ref="T188:V188"/>
    <mergeCell ref="Y188:AA188"/>
    <mergeCell ref="AD188:AF188"/>
    <mergeCell ref="J189:L189"/>
    <mergeCell ref="O189:Q189"/>
    <mergeCell ref="T189:V189"/>
    <mergeCell ref="Y189:AA189"/>
    <mergeCell ref="AD189:AF189"/>
    <mergeCell ref="T190:V190"/>
    <mergeCell ref="Y190:AA190"/>
    <mergeCell ref="E179:AG179"/>
    <mergeCell ref="E180:H180"/>
    <mergeCell ref="N180:N191"/>
    <mergeCell ref="S180:S191"/>
    <mergeCell ref="X180:X191"/>
    <mergeCell ref="AC180:AC191"/>
    <mergeCell ref="Y182:AB182"/>
    <mergeCell ref="O193:R193"/>
    <mergeCell ref="Q194:R194"/>
    <mergeCell ref="Y193:AB193"/>
    <mergeCell ref="AA194:AB194"/>
    <mergeCell ref="Q196:R196"/>
    <mergeCell ref="Q197:R197"/>
    <mergeCell ref="L198:M198"/>
    <mergeCell ref="Q198:R198"/>
    <mergeCell ref="L199:M199"/>
    <mergeCell ref="Q199:R199"/>
    <mergeCell ref="J200:L200"/>
    <mergeCell ref="O200:Q200"/>
    <mergeCell ref="T200:V200"/>
    <mergeCell ref="T205:W205"/>
    <mergeCell ref="Y205:AB205"/>
    <mergeCell ref="J203:M203"/>
    <mergeCell ref="O203:R203"/>
    <mergeCell ref="T203:W203"/>
    <mergeCell ref="Y203:AB203"/>
    <mergeCell ref="J204:M204"/>
    <mergeCell ref="T204:W204"/>
    <mergeCell ref="J205:M205"/>
    <mergeCell ref="O204:R204"/>
    <mergeCell ref="O205:R205"/>
    <mergeCell ref="E208:H208"/>
    <mergeCell ref="J208:M208"/>
    <mergeCell ref="O208:R208"/>
    <mergeCell ref="T208:W208"/>
    <mergeCell ref="Y208:AB208"/>
    <mergeCell ref="T212:V212"/>
    <mergeCell ref="T213:V213"/>
    <mergeCell ref="T214:V214"/>
    <mergeCell ref="Y214:AA214"/>
    <mergeCell ref="E213:G213"/>
    <mergeCell ref="E214:G214"/>
    <mergeCell ref="J214:L214"/>
    <mergeCell ref="O214:Q214"/>
    <mergeCell ref="E212:G212"/>
    <mergeCell ref="J212:L212"/>
    <mergeCell ref="O212:Q212"/>
    <mergeCell ref="Y212:AA212"/>
    <mergeCell ref="J213:L213"/>
    <mergeCell ref="O213:Q213"/>
    <mergeCell ref="Y213:AA213"/>
    <mergeCell ref="Y209:AB209"/>
    <mergeCell ref="Y210:AA210"/>
    <mergeCell ref="AC203:AC214"/>
    <mergeCell ref="AC226:AC237"/>
    <mergeCell ref="AA196:AB196"/>
    <mergeCell ref="AA197:AB197"/>
    <mergeCell ref="AA198:AB198"/>
    <mergeCell ref="AA199:AB199"/>
    <mergeCell ref="Y200:AA200"/>
    <mergeCell ref="Y204:AB204"/>
    <mergeCell ref="Y211:AA211"/>
    <mergeCell ref="Y235:AA235"/>
    <mergeCell ref="Y236:AA236"/>
    <mergeCell ref="Y239:AB239"/>
    <mergeCell ref="Y227:AB227"/>
    <mergeCell ref="Y228:AB228"/>
    <mergeCell ref="Z229:AA229"/>
    <mergeCell ref="Y231:AB231"/>
    <mergeCell ref="Y232:AB232"/>
    <mergeCell ref="Y233:AA233"/>
    <mergeCell ref="Y234:AA234"/>
    <mergeCell ref="AD244:AF244"/>
    <mergeCell ref="AD245:AF245"/>
    <mergeCell ref="AD246:AF246"/>
    <mergeCell ref="AD239:AF239"/>
    <mergeCell ref="AD240:AF240"/>
    <mergeCell ref="AA241:AB241"/>
    <mergeCell ref="AD241:AF241"/>
    <mergeCell ref="AA242:AB242"/>
    <mergeCell ref="AD242:AF242"/>
    <mergeCell ref="AD243:AF243"/>
    <mergeCell ref="AD40:AG40"/>
    <mergeCell ref="AF41:AG41"/>
    <mergeCell ref="AF42:AG42"/>
    <mergeCell ref="AF43:AG43"/>
    <mergeCell ref="AF44:AG44"/>
    <mergeCell ref="AF45:AG45"/>
    <mergeCell ref="AF46:AG46"/>
    <mergeCell ref="AD56:AG56"/>
    <mergeCell ref="AD57:AG57"/>
    <mergeCell ref="AD58:AG58"/>
    <mergeCell ref="AD59:AG59"/>
    <mergeCell ref="AD60:AG60"/>
    <mergeCell ref="AD61:AG61"/>
    <mergeCell ref="AC51:AC62"/>
    <mergeCell ref="AC77:AC88"/>
    <mergeCell ref="AD47:AF47"/>
    <mergeCell ref="AD48:AF48"/>
    <mergeCell ref="AD51:AG51"/>
    <mergeCell ref="AD52:AG52"/>
    <mergeCell ref="AD53:AG53"/>
    <mergeCell ref="AD54:AG54"/>
    <mergeCell ref="AD62:AG62"/>
    <mergeCell ref="AD85:AG85"/>
    <mergeCell ref="AD86:AG86"/>
    <mergeCell ref="AD87:AG87"/>
    <mergeCell ref="AD88:AG88"/>
    <mergeCell ref="AD77:AG77"/>
    <mergeCell ref="AD78:AG78"/>
    <mergeCell ref="AD79:AG79"/>
    <mergeCell ref="AD80:AG80"/>
    <mergeCell ref="AD82:AG82"/>
    <mergeCell ref="AD83:AG83"/>
    <mergeCell ref="AD84:AG84"/>
    <mergeCell ref="AD3:AG3"/>
    <mergeCell ref="AD4:AG4"/>
    <mergeCell ref="AD5:AG5"/>
    <mergeCell ref="AD8:AG8"/>
    <mergeCell ref="AD9:AG9"/>
    <mergeCell ref="AD10:AF10"/>
    <mergeCell ref="AD11:AF11"/>
    <mergeCell ref="AD12:AF12"/>
    <mergeCell ref="AD13:AF13"/>
    <mergeCell ref="AD14:AF14"/>
    <mergeCell ref="AD16:AG16"/>
    <mergeCell ref="AF17:AG17"/>
    <mergeCell ref="AF18:AG18"/>
    <mergeCell ref="AF19:AG19"/>
    <mergeCell ref="AD29:AG29"/>
    <mergeCell ref="AD32:AG32"/>
    <mergeCell ref="AD33:AG33"/>
    <mergeCell ref="AD34:AF34"/>
    <mergeCell ref="AD35:AF35"/>
    <mergeCell ref="AD36:AF36"/>
    <mergeCell ref="AD37:AF37"/>
    <mergeCell ref="AD38:AF38"/>
    <mergeCell ref="AF20:AG20"/>
    <mergeCell ref="AF21:AG21"/>
    <mergeCell ref="AF22:AG22"/>
    <mergeCell ref="AD23:AF23"/>
    <mergeCell ref="AC27:AC38"/>
    <mergeCell ref="AD27:AG27"/>
    <mergeCell ref="AD28:AG28"/>
    <mergeCell ref="T52:W52"/>
    <mergeCell ref="T53:W53"/>
    <mergeCell ref="V42:W42"/>
    <mergeCell ref="V43:W43"/>
    <mergeCell ref="V44:W44"/>
    <mergeCell ref="V45:W45"/>
    <mergeCell ref="V46:W46"/>
    <mergeCell ref="T47:V47"/>
    <mergeCell ref="T51:W51"/>
    <mergeCell ref="O33:R33"/>
    <mergeCell ref="T33:W33"/>
    <mergeCell ref="O37:Q37"/>
    <mergeCell ref="T37:V37"/>
    <mergeCell ref="Y37:AA37"/>
    <mergeCell ref="O38:Q38"/>
    <mergeCell ref="T38:V38"/>
    <mergeCell ref="Y38:AA38"/>
    <mergeCell ref="S27:S38"/>
    <mergeCell ref="X27:X38"/>
    <mergeCell ref="O28:R28"/>
    <mergeCell ref="T28:W28"/>
    <mergeCell ref="O29:R29"/>
    <mergeCell ref="T29:W29"/>
    <mergeCell ref="U30:V30"/>
    <mergeCell ref="O40:R40"/>
    <mergeCell ref="T40:W40"/>
    <mergeCell ref="Y40:AB40"/>
    <mergeCell ref="Q41:R41"/>
    <mergeCell ref="V41:W41"/>
    <mergeCell ref="Q42:R42"/>
    <mergeCell ref="AA43:AB43"/>
    <mergeCell ref="Y52:AB52"/>
    <mergeCell ref="Y53:AB53"/>
    <mergeCell ref="AA41:AB41"/>
    <mergeCell ref="AA42:AB42"/>
    <mergeCell ref="AA44:AB44"/>
    <mergeCell ref="AA45:AB45"/>
    <mergeCell ref="AA46:AB46"/>
    <mergeCell ref="Y47:AA47"/>
    <mergeCell ref="Y51:AB51"/>
    <mergeCell ref="Y78:AB78"/>
    <mergeCell ref="Y79:AB79"/>
    <mergeCell ref="O77:R77"/>
    <mergeCell ref="T77:W77"/>
    <mergeCell ref="Y77:AB77"/>
    <mergeCell ref="O78:R78"/>
    <mergeCell ref="T78:W78"/>
    <mergeCell ref="O79:R79"/>
    <mergeCell ref="T79:W79"/>
    <mergeCell ref="O53:R53"/>
    <mergeCell ref="P54:Q54"/>
    <mergeCell ref="Z54:AA54"/>
    <mergeCell ref="T56:W56"/>
    <mergeCell ref="Y56:AB56"/>
    <mergeCell ref="Q43:R43"/>
    <mergeCell ref="Q44:R44"/>
    <mergeCell ref="Q45:R45"/>
    <mergeCell ref="Q46:R46"/>
    <mergeCell ref="O47:Q47"/>
    <mergeCell ref="O51:R51"/>
    <mergeCell ref="O52:R52"/>
    <mergeCell ref="Y60:AA60"/>
    <mergeCell ref="Y61:AA61"/>
    <mergeCell ref="Y62:AA62"/>
    <mergeCell ref="Y64:AA64"/>
    <mergeCell ref="Y71:AA71"/>
    <mergeCell ref="O56:R56"/>
    <mergeCell ref="O57:R57"/>
    <mergeCell ref="T57:W57"/>
    <mergeCell ref="Y57:AB57"/>
    <mergeCell ref="O58:Q58"/>
    <mergeCell ref="Y58:AA58"/>
    <mergeCell ref="Y59:AA59"/>
    <mergeCell ref="T58:V58"/>
    <mergeCell ref="T59:V59"/>
    <mergeCell ref="T60:V60"/>
    <mergeCell ref="T61:V61"/>
    <mergeCell ref="T62:V62"/>
    <mergeCell ref="T64:W64"/>
    <mergeCell ref="V65:W65"/>
    <mergeCell ref="O59:Q59"/>
    <mergeCell ref="O60:Q60"/>
    <mergeCell ref="O61:Q61"/>
    <mergeCell ref="O62:Q62"/>
    <mergeCell ref="O64:R64"/>
    <mergeCell ref="Q65:R65"/>
    <mergeCell ref="Q66:R66"/>
    <mergeCell ref="P80:Q80"/>
    <mergeCell ref="Z80:AA80"/>
    <mergeCell ref="L65:M65"/>
    <mergeCell ref="L66:M66"/>
    <mergeCell ref="L67:M67"/>
    <mergeCell ref="L68:M68"/>
    <mergeCell ref="L69:M69"/>
    <mergeCell ref="L70:M70"/>
    <mergeCell ref="J71:L71"/>
    <mergeCell ref="J72:L72"/>
    <mergeCell ref="J77:M77"/>
    <mergeCell ref="J78:M78"/>
    <mergeCell ref="J79:M79"/>
    <mergeCell ref="K80:L80"/>
    <mergeCell ref="J82:M82"/>
    <mergeCell ref="J83:M83"/>
    <mergeCell ref="Q67:R67"/>
    <mergeCell ref="Q68:R68"/>
    <mergeCell ref="Q69:R69"/>
    <mergeCell ref="Q70:R70"/>
    <mergeCell ref="O71:Q71"/>
    <mergeCell ref="O72:Q72"/>
    <mergeCell ref="E74:W75"/>
    <mergeCell ref="T82:W82"/>
    <mergeCell ref="Y82:AB82"/>
    <mergeCell ref="V66:W66"/>
    <mergeCell ref="V67:W67"/>
    <mergeCell ref="V68:W68"/>
    <mergeCell ref="V69:W69"/>
    <mergeCell ref="V70:W70"/>
    <mergeCell ref="T71:V71"/>
    <mergeCell ref="O82:R82"/>
    <mergeCell ref="Y84:AA84"/>
    <mergeCell ref="Y85:AA85"/>
    <mergeCell ref="Y87:AA87"/>
    <mergeCell ref="Y88:AA88"/>
    <mergeCell ref="Y90:AA90"/>
    <mergeCell ref="O83:R83"/>
    <mergeCell ref="T83:W83"/>
    <mergeCell ref="Y83:AB83"/>
    <mergeCell ref="O84:Q84"/>
    <mergeCell ref="T84:V84"/>
    <mergeCell ref="O85:Q85"/>
    <mergeCell ref="Y86:AA86"/>
    <mergeCell ref="V93:W93"/>
    <mergeCell ref="V94:W94"/>
    <mergeCell ref="T85:V85"/>
    <mergeCell ref="T86:V86"/>
    <mergeCell ref="T87:V87"/>
    <mergeCell ref="T88:V88"/>
    <mergeCell ref="T90:W90"/>
    <mergeCell ref="V91:W91"/>
    <mergeCell ref="V92:W92"/>
    <mergeCell ref="E101:H101"/>
    <mergeCell ref="E102:H102"/>
    <mergeCell ref="G93:H93"/>
    <mergeCell ref="G94:H94"/>
    <mergeCell ref="G95:H95"/>
    <mergeCell ref="G96:H96"/>
    <mergeCell ref="E97:G97"/>
    <mergeCell ref="E100:H100"/>
    <mergeCell ref="C101:C103"/>
    <mergeCell ref="E40:H40"/>
    <mergeCell ref="G41:H41"/>
    <mergeCell ref="G42:H42"/>
    <mergeCell ref="G43:H43"/>
    <mergeCell ref="G44:H44"/>
    <mergeCell ref="G45:H45"/>
    <mergeCell ref="G46:H46"/>
    <mergeCell ref="E47:G47"/>
    <mergeCell ref="E48:G48"/>
    <mergeCell ref="E51:H51"/>
    <mergeCell ref="C52:C54"/>
    <mergeCell ref="E52:H52"/>
    <mergeCell ref="E53:H53"/>
    <mergeCell ref="E56:H56"/>
    <mergeCell ref="E57:H57"/>
    <mergeCell ref="E58:G58"/>
    <mergeCell ref="E59:G59"/>
    <mergeCell ref="E60:G60"/>
    <mergeCell ref="E61:G61"/>
    <mergeCell ref="E62:G62"/>
    <mergeCell ref="E64:H64"/>
    <mergeCell ref="G65:H65"/>
    <mergeCell ref="G66:H66"/>
    <mergeCell ref="G67:H67"/>
    <mergeCell ref="G68:H68"/>
    <mergeCell ref="G69:H69"/>
    <mergeCell ref="G70:H70"/>
    <mergeCell ref="E71:G71"/>
    <mergeCell ref="E77:H77"/>
    <mergeCell ref="C78:C80"/>
    <mergeCell ref="E78:H78"/>
    <mergeCell ref="E79:H79"/>
    <mergeCell ref="E82:H82"/>
    <mergeCell ref="E83:H83"/>
    <mergeCell ref="E84:G84"/>
    <mergeCell ref="E85:G85"/>
    <mergeCell ref="E86:G86"/>
    <mergeCell ref="E87:G87"/>
    <mergeCell ref="E88:G88"/>
    <mergeCell ref="E90:H90"/>
    <mergeCell ref="G91:H91"/>
    <mergeCell ref="G92:H92"/>
    <mergeCell ref="F103:G103"/>
    <mergeCell ref="E105:H105"/>
    <mergeCell ref="C106:C108"/>
    <mergeCell ref="E106:H106"/>
    <mergeCell ref="E107:G107"/>
    <mergeCell ref="E108:G108"/>
    <mergeCell ref="E109:G109"/>
    <mergeCell ref="E110:G110"/>
    <mergeCell ref="E111:G111"/>
    <mergeCell ref="E113:H113"/>
    <mergeCell ref="G114:H114"/>
    <mergeCell ref="G115:H115"/>
    <mergeCell ref="G116:H116"/>
    <mergeCell ref="G117:H117"/>
    <mergeCell ref="E126:H126"/>
    <mergeCell ref="E129:H129"/>
    <mergeCell ref="C130:C132"/>
    <mergeCell ref="E130:H130"/>
    <mergeCell ref="E131:G131"/>
    <mergeCell ref="E132:G132"/>
    <mergeCell ref="E133:G133"/>
    <mergeCell ref="E134:G134"/>
    <mergeCell ref="G118:H118"/>
    <mergeCell ref="G119:H119"/>
    <mergeCell ref="E120:G120"/>
    <mergeCell ref="E124:H124"/>
    <mergeCell ref="I124:I135"/>
    <mergeCell ref="C125:C127"/>
    <mergeCell ref="E125:H125"/>
    <mergeCell ref="E135:G135"/>
    <mergeCell ref="E137:H137"/>
    <mergeCell ref="G138:H138"/>
    <mergeCell ref="G139:H139"/>
    <mergeCell ref="G140:H140"/>
    <mergeCell ref="G141:H141"/>
    <mergeCell ref="G142:H142"/>
    <mergeCell ref="E159:G159"/>
    <mergeCell ref="E160:G160"/>
    <mergeCell ref="C186:C188"/>
    <mergeCell ref="E186:H186"/>
    <mergeCell ref="E187:G187"/>
    <mergeCell ref="E188:G188"/>
    <mergeCell ref="G171:H171"/>
    <mergeCell ref="E172:G172"/>
    <mergeCell ref="E173:G173"/>
    <mergeCell ref="I180:I191"/>
    <mergeCell ref="C181:C183"/>
    <mergeCell ref="E181:H181"/>
    <mergeCell ref="E182:H182"/>
    <mergeCell ref="E209:H209"/>
    <mergeCell ref="E210:G210"/>
    <mergeCell ref="E216:H216"/>
    <mergeCell ref="G217:H217"/>
    <mergeCell ref="G218:H218"/>
    <mergeCell ref="G199:H199"/>
    <mergeCell ref="E200:G200"/>
    <mergeCell ref="E203:H203"/>
    <mergeCell ref="C204:C206"/>
    <mergeCell ref="E204:H204"/>
    <mergeCell ref="E205:H205"/>
    <mergeCell ref="C209:C211"/>
    <mergeCell ref="E211:G211"/>
    <mergeCell ref="E157:H157"/>
    <mergeCell ref="E158:H158"/>
    <mergeCell ref="E161:G161"/>
    <mergeCell ref="E162:G162"/>
    <mergeCell ref="G143:H143"/>
    <mergeCell ref="E144:G144"/>
    <mergeCell ref="I152:I163"/>
    <mergeCell ref="C153:C155"/>
    <mergeCell ref="E153:H153"/>
    <mergeCell ref="E154:H154"/>
    <mergeCell ref="C158:C160"/>
    <mergeCell ref="E163:G163"/>
    <mergeCell ref="E165:H165"/>
    <mergeCell ref="G166:H166"/>
    <mergeCell ref="G167:H167"/>
    <mergeCell ref="G168:H168"/>
    <mergeCell ref="G169:H169"/>
    <mergeCell ref="G170:H170"/>
    <mergeCell ref="F183:G183"/>
    <mergeCell ref="E185:H185"/>
    <mergeCell ref="E189:G189"/>
    <mergeCell ref="E190:G190"/>
    <mergeCell ref="E191:G191"/>
    <mergeCell ref="E193:H193"/>
    <mergeCell ref="G194:H194"/>
    <mergeCell ref="G195:H195"/>
    <mergeCell ref="G196:H196"/>
    <mergeCell ref="G197:H197"/>
    <mergeCell ref="G198:H198"/>
    <mergeCell ref="T113:W113"/>
    <mergeCell ref="V114:W114"/>
    <mergeCell ref="O107:Q107"/>
    <mergeCell ref="O108:Q108"/>
    <mergeCell ref="O109:Q109"/>
    <mergeCell ref="O110:Q110"/>
    <mergeCell ref="O111:Q111"/>
    <mergeCell ref="O113:R113"/>
    <mergeCell ref="Q114:R114"/>
    <mergeCell ref="T97:V97"/>
    <mergeCell ref="T100:W100"/>
    <mergeCell ref="Y100:AB100"/>
    <mergeCell ref="AD100:AG100"/>
    <mergeCell ref="Q94:R94"/>
    <mergeCell ref="Q95:R95"/>
    <mergeCell ref="V95:W95"/>
    <mergeCell ref="Q96:R96"/>
    <mergeCell ref="V96:W96"/>
    <mergeCell ref="O97:Q97"/>
    <mergeCell ref="Y97:AA97"/>
    <mergeCell ref="O86:Q86"/>
    <mergeCell ref="O87:Q87"/>
    <mergeCell ref="O88:Q88"/>
    <mergeCell ref="O90:R90"/>
    <mergeCell ref="Q91:R91"/>
    <mergeCell ref="Q92:R92"/>
    <mergeCell ref="Q93:R93"/>
    <mergeCell ref="O100:R100"/>
    <mergeCell ref="O101:R101"/>
    <mergeCell ref="T101:W101"/>
    <mergeCell ref="Y101:AB101"/>
    <mergeCell ref="T102:W102"/>
    <mergeCell ref="Y102:AB102"/>
    <mergeCell ref="Z103:AA103"/>
    <mergeCell ref="O102:R102"/>
    <mergeCell ref="O105:R105"/>
    <mergeCell ref="T105:W105"/>
    <mergeCell ref="Y105:AB105"/>
    <mergeCell ref="O106:R106"/>
    <mergeCell ref="Y106:AB106"/>
    <mergeCell ref="Y107:AA107"/>
    <mergeCell ref="AD110:AF110"/>
    <mergeCell ref="AD111:AF111"/>
    <mergeCell ref="Y113:AB113"/>
    <mergeCell ref="AD113:AG113"/>
    <mergeCell ref="AA114:AB114"/>
    <mergeCell ref="AF114:AG114"/>
    <mergeCell ref="AD101:AG101"/>
    <mergeCell ref="AD102:AG102"/>
    <mergeCell ref="AD105:AG105"/>
    <mergeCell ref="AD106:AG106"/>
    <mergeCell ref="AD107:AF107"/>
    <mergeCell ref="AD108:AF108"/>
    <mergeCell ref="AD109:AF109"/>
    <mergeCell ref="T106:W106"/>
    <mergeCell ref="T107:V107"/>
    <mergeCell ref="T108:V108"/>
    <mergeCell ref="Y108:AA108"/>
    <mergeCell ref="T109:V109"/>
    <mergeCell ref="Y109:AA109"/>
    <mergeCell ref="Y110:AA110"/>
    <mergeCell ref="Y111:AA111"/>
    <mergeCell ref="AA115:AB115"/>
    <mergeCell ref="AA116:AB116"/>
    <mergeCell ref="AA117:AB117"/>
    <mergeCell ref="AF117:AG117"/>
    <mergeCell ref="AA118:AB118"/>
    <mergeCell ref="AF118:AG118"/>
    <mergeCell ref="AA119:AB119"/>
    <mergeCell ref="AF119:AG119"/>
    <mergeCell ref="T110:V110"/>
    <mergeCell ref="T111:V111"/>
    <mergeCell ref="Q115:R115"/>
    <mergeCell ref="V115:W115"/>
    <mergeCell ref="AF115:AG115"/>
    <mergeCell ref="V116:W116"/>
    <mergeCell ref="AF116:AG116"/>
    <mergeCell ref="O120:Q120"/>
    <mergeCell ref="T120:V120"/>
    <mergeCell ref="Y120:AA120"/>
    <mergeCell ref="AD120:AF120"/>
    <mergeCell ref="O121:Q121"/>
    <mergeCell ref="Y121:AA121"/>
    <mergeCell ref="O125:R125"/>
    <mergeCell ref="O126:R126"/>
    <mergeCell ref="Q116:R116"/>
    <mergeCell ref="Q117:R117"/>
    <mergeCell ref="V117:W117"/>
    <mergeCell ref="Q118:R118"/>
    <mergeCell ref="V118:W118"/>
    <mergeCell ref="V119:W119"/>
    <mergeCell ref="O124:R124"/>
    <mergeCell ref="T124:W124"/>
    <mergeCell ref="Y124:AB124"/>
    <mergeCell ref="AD124:AG124"/>
    <mergeCell ref="AD125:AG125"/>
    <mergeCell ref="AD126:AG126"/>
    <mergeCell ref="AE127:AF127"/>
    <mergeCell ref="AD129:AG129"/>
    <mergeCell ref="V138:W138"/>
    <mergeCell ref="V141:W141"/>
    <mergeCell ref="V142:W142"/>
    <mergeCell ref="V143:W143"/>
    <mergeCell ref="T144:V144"/>
    <mergeCell ref="T145:V145"/>
    <mergeCell ref="T135:V135"/>
    <mergeCell ref="Y135:AA135"/>
    <mergeCell ref="T137:W137"/>
    <mergeCell ref="Y137:AB137"/>
    <mergeCell ref="AA138:AB138"/>
    <mergeCell ref="AA139:AB139"/>
    <mergeCell ref="AA140:AB140"/>
    <mergeCell ref="J152:M152"/>
    <mergeCell ref="T152:W152"/>
    <mergeCell ref="AA141:AB141"/>
    <mergeCell ref="AA142:AB142"/>
    <mergeCell ref="AA143:AB143"/>
    <mergeCell ref="Y144:AA144"/>
    <mergeCell ref="E148:AG149"/>
    <mergeCell ref="E151:AG151"/>
    <mergeCell ref="E152:H152"/>
    <mergeCell ref="AD160:AF160"/>
    <mergeCell ref="AD161:AF161"/>
    <mergeCell ref="AD162:AF162"/>
    <mergeCell ref="Y152:AB152"/>
    <mergeCell ref="AD152:AG152"/>
    <mergeCell ref="AD153:AG153"/>
    <mergeCell ref="AD154:AG154"/>
    <mergeCell ref="AD157:AG157"/>
    <mergeCell ref="AD158:AG158"/>
    <mergeCell ref="AD159:AF159"/>
    <mergeCell ref="Y129:AB129"/>
    <mergeCell ref="Y130:AB130"/>
    <mergeCell ref="T126:W126"/>
    <mergeCell ref="U127:V127"/>
    <mergeCell ref="O129:R129"/>
    <mergeCell ref="T129:W129"/>
    <mergeCell ref="O130:R130"/>
    <mergeCell ref="T130:W130"/>
    <mergeCell ref="T131:V131"/>
    <mergeCell ref="Y131:AA131"/>
    <mergeCell ref="T132:V132"/>
    <mergeCell ref="Y132:AA132"/>
    <mergeCell ref="T133:V133"/>
    <mergeCell ref="Y133:AA133"/>
    <mergeCell ref="T134:V134"/>
    <mergeCell ref="Y134:AA134"/>
    <mergeCell ref="Q119:R119"/>
    <mergeCell ref="S124:S135"/>
    <mergeCell ref="X124:X135"/>
    <mergeCell ref="AC124:AC135"/>
    <mergeCell ref="T125:W125"/>
    <mergeCell ref="Y125:AB125"/>
    <mergeCell ref="Y126:AB126"/>
    <mergeCell ref="V139:W139"/>
    <mergeCell ref="V140:W140"/>
    <mergeCell ref="AF140:AG140"/>
    <mergeCell ref="AF141:AG141"/>
    <mergeCell ref="AF142:AG142"/>
    <mergeCell ref="AF143:AG143"/>
    <mergeCell ref="AD144:AF144"/>
    <mergeCell ref="O131:Q131"/>
    <mergeCell ref="O132:Q132"/>
    <mergeCell ref="O133:Q133"/>
    <mergeCell ref="O134:Q134"/>
    <mergeCell ref="O135:Q135"/>
    <mergeCell ref="O137:R137"/>
    <mergeCell ref="Q138:R138"/>
    <mergeCell ref="Q139:R139"/>
    <mergeCell ref="L140:M140"/>
    <mergeCell ref="Q140:R140"/>
    <mergeCell ref="L141:M141"/>
    <mergeCell ref="Q141:R141"/>
    <mergeCell ref="L142:M142"/>
    <mergeCell ref="L143:M143"/>
    <mergeCell ref="O153:R153"/>
    <mergeCell ref="T153:W153"/>
    <mergeCell ref="O152:R152"/>
    <mergeCell ref="O154:R154"/>
    <mergeCell ref="Y153:AB153"/>
    <mergeCell ref="Y154:AB154"/>
    <mergeCell ref="O157:R157"/>
    <mergeCell ref="T157:W157"/>
    <mergeCell ref="Y157:AB157"/>
    <mergeCell ref="O158:R158"/>
    <mergeCell ref="V169:W169"/>
    <mergeCell ref="V170:W170"/>
    <mergeCell ref="V171:W171"/>
    <mergeCell ref="T165:W165"/>
    <mergeCell ref="V166:W166"/>
    <mergeCell ref="V167:W167"/>
    <mergeCell ref="AA167:AB167"/>
    <mergeCell ref="V168:W168"/>
    <mergeCell ref="AA168:AB168"/>
    <mergeCell ref="AA169:AB169"/>
    <mergeCell ref="J144:L144"/>
    <mergeCell ref="O144:Q144"/>
    <mergeCell ref="J153:M153"/>
    <mergeCell ref="J154:M154"/>
    <mergeCell ref="J157:M157"/>
    <mergeCell ref="J158:M158"/>
    <mergeCell ref="O159:Q159"/>
    <mergeCell ref="Q142:R142"/>
    <mergeCell ref="Q143:R143"/>
    <mergeCell ref="N152:N163"/>
    <mergeCell ref="S152:S163"/>
    <mergeCell ref="X152:X163"/>
    <mergeCell ref="AC152:AC163"/>
    <mergeCell ref="T154:W154"/>
    <mergeCell ref="T163:V163"/>
    <mergeCell ref="Y163:AA163"/>
    <mergeCell ref="J165:M165"/>
    <mergeCell ref="O165:R165"/>
    <mergeCell ref="Y165:AB165"/>
    <mergeCell ref="Q166:R166"/>
    <mergeCell ref="AA166:AB166"/>
    <mergeCell ref="Q169:R169"/>
    <mergeCell ref="Q170:R170"/>
    <mergeCell ref="L171:M171"/>
    <mergeCell ref="Q171:R171"/>
    <mergeCell ref="J172:L172"/>
    <mergeCell ref="O172:Q172"/>
    <mergeCell ref="T172:V172"/>
    <mergeCell ref="J173:L173"/>
    <mergeCell ref="O173:Q173"/>
    <mergeCell ref="T173:V173"/>
    <mergeCell ref="L166:M166"/>
    <mergeCell ref="L167:M167"/>
    <mergeCell ref="Q167:R167"/>
    <mergeCell ref="L168:M168"/>
    <mergeCell ref="Q168:R168"/>
    <mergeCell ref="L169:M169"/>
    <mergeCell ref="L170:M170"/>
    <mergeCell ref="AA170:AB170"/>
    <mergeCell ref="AA171:AB171"/>
    <mergeCell ref="Y172:AA172"/>
    <mergeCell ref="Y173:AA173"/>
    <mergeCell ref="Y174:AA174"/>
    <mergeCell ref="T158:W158"/>
    <mergeCell ref="Y158:AB158"/>
    <mergeCell ref="T159:V159"/>
    <mergeCell ref="Y159:AA159"/>
    <mergeCell ref="J159:L159"/>
    <mergeCell ref="J160:L160"/>
    <mergeCell ref="J161:L161"/>
    <mergeCell ref="J162:L162"/>
    <mergeCell ref="J163:L163"/>
    <mergeCell ref="O160:Q160"/>
    <mergeCell ref="T160:V160"/>
    <mergeCell ref="Y160:AA160"/>
    <mergeCell ref="O161:Q161"/>
    <mergeCell ref="T161:V161"/>
    <mergeCell ref="Y161:AA161"/>
    <mergeCell ref="O162:Q162"/>
    <mergeCell ref="T162:V162"/>
    <mergeCell ref="Y162:AA162"/>
    <mergeCell ref="O163:Q163"/>
    <mergeCell ref="AD163:AF163"/>
    <mergeCell ref="AD165:AG165"/>
    <mergeCell ref="AF166:AG166"/>
    <mergeCell ref="AF167:AG167"/>
    <mergeCell ref="AF168:AG168"/>
  </mergeCells>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0" priority="1" operator="between">
      <formula>1</formula>
      <formula>95</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1" priority="2" operator="between">
      <formula>96</formula>
      <formula>195</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2" priority="3" operator="between">
      <formula>196</formula>
      <formula>260</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3" priority="4" operator="between">
      <formula>261</formula>
      <formula>299</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4" priority="5" operator="between">
      <formula>300</formula>
      <formula>350</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5" priority="6" operator="between">
      <formula>351</formula>
      <formula>450</formula>
    </cfRule>
  </conditionalFormatting>
  <conditionalFormatting sqref="H23 M23 R23 W23 AB23 AG23 H47:H48 M47 R47 W47 AB47 AG47:AG48 H71:H72 M71:M72 R71:R72 W71:W72 AB71:AB72 H97 M97 R97 W97 AB97 H120 M120:M121 R120:R121 W120:W121 AB120:AB121 AG120 H144 M144 R144 W144:W145 AB144 AG144 H172:H173 M172:M173 R172:R175 W172:W173 AB172:AB174 AG172:AG174 R178 R192 H200 M200 R200 W200 AB200 AG200 R215 H223 M223 R223:R224 W223 AB223:AB224 R238 H246:H247 M246:M247 R246:R248 W246:W247 AB246:AB248">
    <cfRule type="cellIs" dxfId="6" priority="7" operator="between">
      <formula>451</formula>
      <formula>1000</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26EDC"/>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6206"/>
      <c r="B1" s="6207"/>
      <c r="C1" s="6208"/>
      <c r="D1" s="6207"/>
      <c r="E1" s="6207"/>
      <c r="F1" s="6207"/>
      <c r="G1" s="6207"/>
      <c r="H1" s="6207"/>
      <c r="I1" s="6207"/>
      <c r="J1" s="6207"/>
      <c r="K1" s="6207"/>
      <c r="L1" s="6207"/>
      <c r="M1" s="6207"/>
      <c r="N1" s="6207"/>
      <c r="O1" s="6207"/>
      <c r="P1" s="6207"/>
      <c r="Q1" s="6207"/>
      <c r="R1" s="6207"/>
      <c r="S1" s="6207"/>
      <c r="T1" s="6207"/>
      <c r="U1" s="6207"/>
      <c r="V1" s="6207"/>
      <c r="W1" s="6207"/>
      <c r="X1" s="6207"/>
      <c r="Y1" s="6207"/>
      <c r="Z1" s="6207"/>
      <c r="AA1" s="6207"/>
      <c r="AB1" s="6207"/>
      <c r="AC1" s="6207"/>
      <c r="AD1" s="6207"/>
      <c r="AE1" s="6207"/>
      <c r="AF1" s="6207"/>
      <c r="AG1" s="6207"/>
      <c r="AH1" s="6207"/>
      <c r="AI1" s="6209"/>
    </row>
    <row r="2" ht="7.5" customHeight="1">
      <c r="A2" s="6210"/>
      <c r="B2" s="6211"/>
      <c r="C2" s="6212"/>
      <c r="D2" s="6213"/>
      <c r="E2" s="6213"/>
      <c r="F2" s="6213"/>
      <c r="G2" s="6213"/>
      <c r="H2" s="6213"/>
      <c r="I2" s="6213"/>
      <c r="J2" s="6213"/>
      <c r="K2" s="6213"/>
      <c r="L2" s="6213"/>
      <c r="M2" s="6213"/>
      <c r="N2" s="6213"/>
      <c r="O2" s="6213"/>
      <c r="P2" s="6213"/>
      <c r="Q2" s="6213"/>
      <c r="R2" s="6213"/>
      <c r="S2" s="6213"/>
      <c r="T2" s="6213"/>
      <c r="U2" s="6213"/>
      <c r="V2" s="6213"/>
      <c r="W2" s="6213"/>
      <c r="X2" s="6213"/>
      <c r="Y2" s="6213"/>
      <c r="Z2" s="6213"/>
      <c r="AA2" s="6213"/>
      <c r="AB2" s="6213"/>
      <c r="AC2" s="6213"/>
      <c r="AD2" s="6213"/>
      <c r="AE2" s="6213"/>
      <c r="AF2" s="6213"/>
      <c r="AG2" s="6213"/>
      <c r="AH2" s="6214"/>
      <c r="AI2" s="6215"/>
    </row>
    <row r="3">
      <c r="A3" s="6210"/>
      <c r="B3" s="6216"/>
      <c r="C3" s="6217" t="s">
        <v>1848</v>
      </c>
      <c r="D3" s="1732"/>
      <c r="E3" s="1732"/>
      <c r="F3" s="1732"/>
      <c r="G3" s="1732"/>
      <c r="H3" s="1732"/>
      <c r="I3" s="1732"/>
      <c r="J3" s="1732"/>
      <c r="K3" s="1732"/>
      <c r="L3" s="1732"/>
      <c r="M3" s="1732"/>
      <c r="N3" s="1732"/>
      <c r="O3" s="1732"/>
      <c r="P3" s="1732"/>
      <c r="Q3" s="1732"/>
      <c r="R3" s="1732"/>
      <c r="S3" s="1732"/>
      <c r="T3" s="1732"/>
      <c r="U3" s="1732"/>
      <c r="V3" s="1732"/>
      <c r="W3" s="1732"/>
      <c r="X3" s="1732"/>
      <c r="Y3" s="1732"/>
      <c r="Z3" s="1732"/>
      <c r="AA3" s="1732"/>
      <c r="AB3" s="1732"/>
      <c r="AC3" s="1732"/>
      <c r="AD3" s="1732"/>
      <c r="AE3" s="1732"/>
      <c r="AF3" s="1732"/>
      <c r="AG3" s="1733"/>
      <c r="AH3" s="6218"/>
      <c r="AI3" s="6215"/>
    </row>
    <row r="4" ht="7.5" customHeight="1">
      <c r="A4" s="6210"/>
      <c r="B4" s="6216"/>
      <c r="C4" s="6219"/>
      <c r="D4" s="6220"/>
      <c r="E4" s="6220"/>
      <c r="F4" s="6220"/>
      <c r="G4" s="6220"/>
      <c r="H4" s="6220"/>
      <c r="I4" s="6220"/>
      <c r="J4" s="6220"/>
      <c r="K4" s="6220"/>
      <c r="L4" s="6220"/>
      <c r="M4" s="6220"/>
      <c r="N4" s="6220"/>
      <c r="O4" s="6220"/>
      <c r="P4" s="6220"/>
      <c r="Q4" s="6220"/>
      <c r="R4" s="6220"/>
      <c r="S4" s="6220"/>
      <c r="T4" s="6220"/>
      <c r="U4" s="6220"/>
      <c r="V4" s="6220"/>
      <c r="W4" s="6220"/>
      <c r="X4" s="6220"/>
      <c r="Y4" s="6220"/>
      <c r="Z4" s="6220"/>
      <c r="AA4" s="6220"/>
      <c r="AB4" s="6220"/>
      <c r="AC4" s="6220"/>
      <c r="AD4" s="6220"/>
      <c r="AE4" s="6220"/>
      <c r="AF4" s="6220"/>
      <c r="AG4" s="6220"/>
      <c r="AH4" s="6218"/>
      <c r="AI4" s="6215"/>
    </row>
    <row r="5" ht="11.25" customHeight="1">
      <c r="A5" s="6210"/>
      <c r="B5" s="6216"/>
      <c r="C5" s="6219"/>
      <c r="D5" s="6220"/>
      <c r="E5" s="6221" t="s">
        <v>1849</v>
      </c>
      <c r="F5" s="3251"/>
      <c r="G5" s="3251"/>
      <c r="H5" s="3251"/>
      <c r="I5" s="3251"/>
      <c r="J5" s="3251"/>
      <c r="K5" s="3251"/>
      <c r="L5" s="3251"/>
      <c r="M5" s="3251"/>
      <c r="N5" s="3251"/>
      <c r="O5" s="3251"/>
      <c r="P5" s="3251"/>
      <c r="Q5" s="3251"/>
      <c r="R5" s="3251"/>
      <c r="S5" s="3251"/>
      <c r="T5" s="3251"/>
      <c r="U5" s="3251"/>
      <c r="V5" s="3251"/>
      <c r="W5" s="3251"/>
      <c r="X5" s="3251"/>
      <c r="Y5" s="3251"/>
      <c r="Z5" s="3251"/>
      <c r="AA5" s="3251"/>
      <c r="AB5" s="3251"/>
      <c r="AC5" s="3251"/>
      <c r="AD5" s="3251"/>
      <c r="AE5" s="3251"/>
      <c r="AF5" s="3251"/>
      <c r="AG5" s="3252"/>
      <c r="AH5" s="6218"/>
      <c r="AI5" s="6215"/>
    </row>
    <row r="6" ht="11.25" customHeight="1">
      <c r="A6" s="6210"/>
      <c r="B6" s="6216"/>
      <c r="C6" s="6219"/>
      <c r="D6" s="6220"/>
      <c r="E6" s="314"/>
      <c r="F6" s="3255"/>
      <c r="G6" s="3255"/>
      <c r="H6" s="3255"/>
      <c r="I6" s="3255"/>
      <c r="J6" s="3255"/>
      <c r="K6" s="3255"/>
      <c r="L6" s="3255"/>
      <c r="M6" s="3255"/>
      <c r="N6" s="3255"/>
      <c r="O6" s="3255"/>
      <c r="P6" s="3255"/>
      <c r="Q6" s="3255"/>
      <c r="R6" s="3255"/>
      <c r="S6" s="3255"/>
      <c r="T6" s="3255"/>
      <c r="U6" s="3255"/>
      <c r="V6" s="3255"/>
      <c r="W6" s="3255"/>
      <c r="X6" s="3255"/>
      <c r="Y6" s="3255"/>
      <c r="Z6" s="3255"/>
      <c r="AA6" s="3255"/>
      <c r="AB6" s="3255"/>
      <c r="AC6" s="3255"/>
      <c r="AD6" s="3255"/>
      <c r="AE6" s="3255"/>
      <c r="AF6" s="3255"/>
      <c r="AG6" s="3256"/>
      <c r="AH6" s="6218"/>
      <c r="AI6" s="6215"/>
    </row>
    <row r="7" ht="3.75" customHeight="1">
      <c r="A7" s="6210"/>
      <c r="B7" s="6216"/>
      <c r="C7" s="6219"/>
      <c r="D7" s="6220"/>
      <c r="E7" s="6222"/>
      <c r="F7" s="6222"/>
      <c r="G7" s="6222"/>
      <c r="H7" s="6222"/>
      <c r="I7" s="6222"/>
      <c r="J7" s="6222"/>
      <c r="K7" s="6222"/>
      <c r="L7" s="6222"/>
      <c r="M7" s="6222"/>
      <c r="N7" s="6222"/>
      <c r="O7" s="6222"/>
      <c r="P7" s="6222"/>
      <c r="Q7" s="6222"/>
      <c r="R7" s="6222"/>
      <c r="S7" s="6222"/>
      <c r="T7" s="6222"/>
      <c r="U7" s="6222"/>
      <c r="V7" s="6222"/>
      <c r="W7" s="6222"/>
      <c r="X7" s="6222"/>
      <c r="Y7" s="6222"/>
      <c r="Z7" s="6222"/>
      <c r="AA7" s="6222"/>
      <c r="AB7" s="6222"/>
      <c r="AC7" s="6222"/>
      <c r="AD7" s="6222"/>
      <c r="AE7" s="6222"/>
      <c r="AF7" s="6222"/>
      <c r="AG7" s="6222"/>
      <c r="AH7" s="6218"/>
      <c r="AI7" s="6215"/>
    </row>
    <row r="8" ht="18.75" customHeight="1">
      <c r="A8" s="6210"/>
      <c r="B8" s="6216"/>
      <c r="C8" s="6219"/>
      <c r="D8" s="6220"/>
      <c r="E8" s="6223" t="s">
        <v>1850</v>
      </c>
      <c r="F8" s="6224"/>
      <c r="G8" s="6224"/>
      <c r="H8" s="6224"/>
      <c r="I8" s="6224"/>
      <c r="J8" s="6224"/>
      <c r="K8" s="6224"/>
      <c r="L8" s="6224"/>
      <c r="M8" s="6224"/>
      <c r="N8" s="6224"/>
      <c r="O8" s="6224"/>
      <c r="P8" s="6224"/>
      <c r="Q8" s="6224"/>
      <c r="R8" s="6224"/>
      <c r="S8" s="6224"/>
      <c r="T8" s="6224"/>
      <c r="U8" s="6224"/>
      <c r="V8" s="6224"/>
      <c r="W8" s="6224"/>
      <c r="X8" s="6224"/>
      <c r="Y8" s="6224"/>
      <c r="Z8" s="6224"/>
      <c r="AA8" s="6224"/>
      <c r="AB8" s="6224"/>
      <c r="AC8" s="6224"/>
      <c r="AD8" s="6224"/>
      <c r="AE8" s="6224"/>
      <c r="AF8" s="6224"/>
      <c r="AG8" s="6225"/>
      <c r="AH8" s="6218"/>
      <c r="AI8" s="6215"/>
    </row>
    <row r="9" ht="96.75" customHeight="1">
      <c r="A9" s="6210"/>
      <c r="B9" s="6216"/>
      <c r="C9" s="6226" t="str">
        <f>IMAGE("https://i.ibb.co/5BW746H/Lorelei.png")</f>
        <v/>
      </c>
      <c r="D9" s="6227"/>
      <c r="E9" s="6228" t="str">
        <f t="array" ref="E9">IFERROR(VLOOKUP(E10,Dex!$B$3:$G298,3,FALSE),"")</f>
        <v/>
      </c>
      <c r="F9" s="1945"/>
      <c r="G9" s="1945"/>
      <c r="H9" s="1946"/>
      <c r="I9" s="6229"/>
      <c r="J9" s="6228" t="str">
        <f t="array" ref="J9">IFERROR(VLOOKUP(J10,Dex!$B$3:$G298,3,FALSE),"")</f>
        <v/>
      </c>
      <c r="K9" s="1945"/>
      <c r="L9" s="1945"/>
      <c r="M9" s="1946"/>
      <c r="N9" s="6229"/>
      <c r="O9" s="6228" t="str">
        <f t="array" ref="O9">IFERROR(VLOOKUP(O10,Dex!$B$3:$G298,3,FALSE),"")</f>
        <v/>
      </c>
      <c r="P9" s="1945"/>
      <c r="Q9" s="1945"/>
      <c r="R9" s="1946"/>
      <c r="S9" s="6229"/>
      <c r="T9" s="6228" t="str">
        <f t="array" ref="T9">IFERROR(VLOOKUP(T10,Dex!$B$3:$G298,3,FALSE),"")</f>
        <v/>
      </c>
      <c r="U9" s="1945"/>
      <c r="V9" s="1945"/>
      <c r="W9" s="1946"/>
      <c r="X9" s="6229"/>
      <c r="Y9" s="6228" t="str">
        <f t="array" ref="Y9">IFERROR(VLOOKUP(Y10,Dex!$B$3:$G298,3,FALSE),"")</f>
        <v/>
      </c>
      <c r="Z9" s="1945"/>
      <c r="AA9" s="1945"/>
      <c r="AB9" s="1946"/>
      <c r="AC9" s="6229"/>
      <c r="AD9" s="6228" t="str">
        <f t="array" ref="AD9">IFERROR(VLOOKUP(AD10,Dex!$B$3:$G298,3,FALSE),"")</f>
        <v/>
      </c>
      <c r="AE9" s="1945"/>
      <c r="AF9" s="1945"/>
      <c r="AG9" s="1946"/>
      <c r="AH9" s="6230"/>
      <c r="AI9" s="6215"/>
    </row>
    <row r="10" ht="18.75" customHeight="1">
      <c r="A10" s="6231"/>
      <c r="B10" s="6232"/>
      <c r="C10" s="6233" t="s">
        <v>1851</v>
      </c>
      <c r="D10" s="6234"/>
      <c r="E10" s="6235" t="s">
        <v>524</v>
      </c>
      <c r="F10" s="6236"/>
      <c r="G10" s="6236"/>
      <c r="H10" s="6237"/>
      <c r="J10" s="6235" t="s">
        <v>749</v>
      </c>
      <c r="K10" s="6236"/>
      <c r="L10" s="6236"/>
      <c r="M10" s="6237"/>
      <c r="O10" s="6235" t="s">
        <v>949</v>
      </c>
      <c r="P10" s="6236"/>
      <c r="Q10" s="6236"/>
      <c r="R10" s="6237"/>
      <c r="T10" s="6235" t="s">
        <v>1660</v>
      </c>
      <c r="U10" s="6236"/>
      <c r="V10" s="6236"/>
      <c r="W10" s="6237"/>
      <c r="Y10" s="6235" t="s">
        <v>1852</v>
      </c>
      <c r="Z10" s="6236"/>
      <c r="AA10" s="6236"/>
      <c r="AB10" s="6237"/>
      <c r="AD10" s="6235" t="s">
        <v>1788</v>
      </c>
      <c r="AE10" s="6236"/>
      <c r="AF10" s="6236"/>
      <c r="AG10" s="6237"/>
      <c r="AH10" s="6238"/>
      <c r="AI10" s="6239"/>
    </row>
    <row r="11">
      <c r="A11" s="6240"/>
      <c r="B11" s="6241"/>
      <c r="C11" s="556"/>
      <c r="D11" s="6242"/>
      <c r="E11" s="6243" t="s">
        <v>729</v>
      </c>
      <c r="F11" s="6244"/>
      <c r="G11" s="6244"/>
      <c r="H11" s="6245"/>
      <c r="J11" s="6243" t="s">
        <v>729</v>
      </c>
      <c r="K11" s="6244"/>
      <c r="L11" s="6244"/>
      <c r="M11" s="6245"/>
      <c r="O11" s="6243" t="s">
        <v>729</v>
      </c>
      <c r="P11" s="6244"/>
      <c r="Q11" s="6244"/>
      <c r="R11" s="6245"/>
      <c r="T11" s="6243" t="s">
        <v>729</v>
      </c>
      <c r="U11" s="6244"/>
      <c r="V11" s="6244"/>
      <c r="W11" s="6245"/>
      <c r="Y11" s="6243" t="s">
        <v>729</v>
      </c>
      <c r="Z11" s="6244"/>
      <c r="AA11" s="6244"/>
      <c r="AB11" s="6245"/>
      <c r="AD11" s="6243" t="s">
        <v>729</v>
      </c>
      <c r="AE11" s="6244"/>
      <c r="AF11" s="6244"/>
      <c r="AG11" s="6245"/>
      <c r="AH11" s="6246"/>
      <c r="AI11" s="6247"/>
    </row>
    <row r="12" ht="25.5" customHeight="1">
      <c r="A12" s="6210"/>
      <c r="B12" s="6216"/>
      <c r="C12" s="6248"/>
      <c r="D12" s="6220"/>
      <c r="E12" s="6249"/>
      <c r="F12" s="6250" t="str">
        <f t="array" ref="F12">IFERROR(VLOOKUP(E10,Dex!$B$3:$H298,5,FALSE),"")</f>
        <v/>
      </c>
      <c r="G12" s="6251" t="str">
        <f t="array" ref="G12">IFERROR(VLOOKUP(E10,Dex!$B$3:$H298,7,FALSE),"")</f>
        <v/>
      </c>
      <c r="H12" s="6252"/>
      <c r="J12" s="6249"/>
      <c r="K12" s="6250" t="str">
        <f t="array" ref="K12">IFERROR(VLOOKUP(J10,Dex!$B$3:$H298,5,FALSE),"")</f>
        <v/>
      </c>
      <c r="L12" s="6251" t="str">
        <f t="array" ref="L12">IFERROR(VLOOKUP(J10,Dex!$B$3:$H298,7,FALSE),"")</f>
        <v/>
      </c>
      <c r="M12" s="6252"/>
      <c r="O12" s="6249"/>
      <c r="P12" s="6250" t="str">
        <f t="array" ref="P12">IFERROR(VLOOKUP(O10,Dex!$B$3:$H298,5,FALSE),"")</f>
        <v/>
      </c>
      <c r="Q12" s="6251" t="str">
        <f t="array" ref="Q12">IFERROR(VLOOKUP(O10,Dex!$B$3:$H298,7,FALSE),"")</f>
        <v/>
      </c>
      <c r="R12" s="6252"/>
      <c r="T12" s="6249"/>
      <c r="U12" s="6250" t="str">
        <f t="array" ref="U12">IFERROR(VLOOKUP(T10,Dex!$B$3:$H298,5,FALSE),"")</f>
        <v/>
      </c>
      <c r="V12" s="6251" t="str">
        <f t="array" ref="V12">IFERROR(VLOOKUP(T10,Dex!$B$3:$H298,7,FALSE),"")</f>
        <v/>
      </c>
      <c r="W12" s="6252"/>
      <c r="Y12" s="6249"/>
      <c r="Z12" s="6250" t="str">
        <f t="array" ref="Z12">IFERROR(VLOOKUP(Y10,Dex!$B$3:$H298,5,FALSE),"")</f>
        <v/>
      </c>
      <c r="AA12" s="6251" t="str">
        <f t="array" ref="AA12">IFERROR(VLOOKUP(Y10,Dex!$B$3:$H298,7,FALSE),"")</f>
        <v/>
      </c>
      <c r="AB12" s="6252"/>
      <c r="AD12" s="6249"/>
      <c r="AE12" s="6250" t="str">
        <f t="array" ref="AE12">IFERROR(VLOOKUP(AD10,Dex!$B$3:$H298,5,FALSE),"")</f>
        <v/>
      </c>
      <c r="AF12" s="6251" t="str">
        <f t="array" ref="AF12">IFERROR(VLOOKUP(AD10,Dex!$B$3:$H298,7,FALSE),"")</f>
        <v/>
      </c>
      <c r="AG12" s="6252"/>
      <c r="AH12" s="6218"/>
      <c r="AI12" s="6215"/>
    </row>
    <row r="13" ht="2.25" customHeight="1">
      <c r="A13" s="6210"/>
      <c r="B13" s="6216"/>
      <c r="C13" s="6253"/>
      <c r="D13" s="6220"/>
      <c r="E13" s="6254"/>
      <c r="F13" s="6255"/>
      <c r="G13" s="6255"/>
      <c r="H13" s="6256"/>
      <c r="J13" s="6254"/>
      <c r="K13" s="6255"/>
      <c r="L13" s="6255"/>
      <c r="M13" s="6256"/>
      <c r="O13" s="6254"/>
      <c r="P13" s="6255"/>
      <c r="Q13" s="6255"/>
      <c r="R13" s="6256"/>
      <c r="T13" s="6254"/>
      <c r="U13" s="6255"/>
      <c r="V13" s="6255"/>
      <c r="W13" s="6256"/>
      <c r="Y13" s="6254"/>
      <c r="Z13" s="6255"/>
      <c r="AA13" s="6255"/>
      <c r="AB13" s="6256"/>
      <c r="AD13" s="6254"/>
      <c r="AE13" s="6255"/>
      <c r="AF13" s="6255"/>
      <c r="AG13" s="6256"/>
      <c r="AH13" s="6218"/>
      <c r="AI13" s="6215"/>
    </row>
    <row r="14" ht="20.25" customHeight="1">
      <c r="A14" s="6210"/>
      <c r="B14" s="6216"/>
      <c r="C14" s="6257"/>
      <c r="D14" s="6258"/>
      <c r="E14" s="6259" t="s">
        <v>531</v>
      </c>
      <c r="F14" s="6260"/>
      <c r="G14" s="6260"/>
      <c r="H14" s="6261"/>
      <c r="J14" s="6259" t="s">
        <v>564</v>
      </c>
      <c r="K14" s="6260"/>
      <c r="L14" s="6260"/>
      <c r="M14" s="6261"/>
      <c r="O14" s="6259" t="s">
        <v>1332</v>
      </c>
      <c r="P14" s="6260"/>
      <c r="Q14" s="6260"/>
      <c r="R14" s="6261"/>
      <c r="T14" s="6259" t="s">
        <v>530</v>
      </c>
      <c r="U14" s="6260"/>
      <c r="V14" s="6260"/>
      <c r="W14" s="6261"/>
      <c r="Y14" s="6259" t="s">
        <v>564</v>
      </c>
      <c r="Z14" s="6260"/>
      <c r="AA14" s="6260"/>
      <c r="AB14" s="6261"/>
      <c r="AD14" s="6259" t="s">
        <v>566</v>
      </c>
      <c r="AE14" s="6260"/>
      <c r="AF14" s="6260"/>
      <c r="AG14" s="6261"/>
      <c r="AH14" s="6230"/>
      <c r="AI14" s="6215"/>
    </row>
    <row r="15">
      <c r="A15" s="6210"/>
      <c r="B15" s="6216"/>
      <c r="C15" s="6262"/>
      <c r="D15" s="6258"/>
      <c r="E15" s="6263" t="s">
        <v>533</v>
      </c>
      <c r="F15" s="6264"/>
      <c r="G15" s="6264"/>
      <c r="H15" s="6265"/>
      <c r="J15" s="6263" t="s">
        <v>63</v>
      </c>
      <c r="K15" s="6264"/>
      <c r="L15" s="6264"/>
      <c r="M15" s="6265"/>
      <c r="O15" s="6263" t="s">
        <v>954</v>
      </c>
      <c r="P15" s="6264"/>
      <c r="Q15" s="6264"/>
      <c r="R15" s="6265"/>
      <c r="T15" s="6263" t="s">
        <v>1662</v>
      </c>
      <c r="U15" s="6264"/>
      <c r="V15" s="6264"/>
      <c r="W15" s="6265"/>
      <c r="Y15" s="6263" t="s">
        <v>709</v>
      </c>
      <c r="Z15" s="6264"/>
      <c r="AA15" s="6264"/>
      <c r="AB15" s="6265"/>
      <c r="AD15" s="6263" t="s">
        <v>1853</v>
      </c>
      <c r="AE15" s="6264"/>
      <c r="AF15" s="6264"/>
      <c r="AG15" s="6265"/>
      <c r="AH15" s="6230"/>
      <c r="AI15" s="6215"/>
    </row>
    <row r="16" ht="20.25" customHeight="1">
      <c r="A16" s="6210"/>
      <c r="B16" s="6216"/>
      <c r="C16" s="6262"/>
      <c r="D16" s="6258"/>
      <c r="E16" s="6266" t="s">
        <v>573</v>
      </c>
      <c r="F16" s="6224"/>
      <c r="G16" s="6225"/>
      <c r="H16" s="6267" t="str">
        <f>IMAGE("https://raw.githubusercontent.com/msikma/pokesprite/master/items/hold-item/focus-sash.png",3)</f>
        <v/>
      </c>
      <c r="J16" s="6266" t="s">
        <v>639</v>
      </c>
      <c r="K16" s="6224"/>
      <c r="L16" s="6225"/>
      <c r="M16" s="6267" t="str">
        <f>IMAGE("https://i.ibb.co/SK50ng3/booster.png",4,22,22)</f>
        <v/>
      </c>
      <c r="O16" s="6266" t="s">
        <v>713</v>
      </c>
      <c r="P16" s="6224"/>
      <c r="Q16" s="6225"/>
      <c r="R16" s="6267" t="str">
        <f>IMAGE("https://raw.githubusercontent.com/msikma/pokesprite/master/items/hold-item/assault-vest.png",3)</f>
        <v/>
      </c>
      <c r="T16" s="6266" t="s">
        <v>687</v>
      </c>
      <c r="U16" s="6224"/>
      <c r="V16" s="6225"/>
      <c r="W16" s="6267" t="str">
        <f>IMAGE("https://raw.githubusercontent.com/msikma/pokesprite/master/items/z-crystals/flyinium-z--held.png",3)</f>
        <v/>
      </c>
      <c r="Y16" s="6266" t="s">
        <v>1854</v>
      </c>
      <c r="Z16" s="6224"/>
      <c r="AA16" s="6225"/>
      <c r="AB16" s="6267" t="str">
        <f>IMAGE("https://raw.githubusercontent.com/msikma/pokesprite/master/items/hold-item/lustrous-orb.png",3)</f>
        <v/>
      </c>
      <c r="AD16" s="6266" t="s">
        <v>1791</v>
      </c>
      <c r="AE16" s="6224"/>
      <c r="AF16" s="6225"/>
      <c r="AG16" s="6267" t="str">
        <f>IMAGE("https://raw.githubusercontent.com/msikma/pokesprite/master/items/mega-stone/swampertite.png",3)</f>
        <v/>
      </c>
      <c r="AH16" s="6218"/>
      <c r="AI16" s="6215"/>
    </row>
    <row r="17" ht="20.25" customHeight="1">
      <c r="A17" s="6210"/>
      <c r="B17" s="6216"/>
      <c r="C17" s="6262"/>
      <c r="D17" s="6258"/>
      <c r="E17" s="6259" t="s">
        <v>777</v>
      </c>
      <c r="F17" s="6260"/>
      <c r="G17" s="6268"/>
      <c r="H17" s="6269" t="str">
        <f>IMAGE("https://raw.githubusercontent.com/msikma/pokesprite/master/misc/types/gen8/normal.png",4,20,20)</f>
        <v/>
      </c>
      <c r="J17" s="6259" t="s">
        <v>649</v>
      </c>
      <c r="K17" s="6260"/>
      <c r="L17" s="6268"/>
      <c r="M17" s="6269" t="str">
        <f>IMAGE("https://raw.githubusercontent.com/msikma/pokesprite/master/misc/types/gen8/water.png",4,20,20)</f>
        <v/>
      </c>
      <c r="O17" s="6259" t="s">
        <v>612</v>
      </c>
      <c r="P17" s="6260"/>
      <c r="Q17" s="6268"/>
      <c r="R17" s="6269" t="str">
        <f>IMAGE("https://raw.githubusercontent.com/msikma/pokesprite/master/misc/types/gen8/bug.png",4,20,20)</f>
        <v/>
      </c>
      <c r="T17" s="6259" t="s">
        <v>546</v>
      </c>
      <c r="U17" s="6260"/>
      <c r="V17" s="6268"/>
      <c r="W17" s="6269" t="str">
        <f>IMAGE("https://raw.githubusercontent.com/msikma/pokesprite/master/misc/types/gen8/flying.png",4,20,20)</f>
        <v/>
      </c>
      <c r="Y17" s="6259" t="s">
        <v>617</v>
      </c>
      <c r="Z17" s="6260"/>
      <c r="AA17" s="6268"/>
      <c r="AB17" s="6269" t="str">
        <f>IMAGE("https://raw.githubusercontent.com/msikma/pokesprite/master/misc/types/gen8/dragon.png",4,20,20)</f>
        <v/>
      </c>
      <c r="AD17" s="6259" t="s">
        <v>760</v>
      </c>
      <c r="AE17" s="6260"/>
      <c r="AF17" s="6268"/>
      <c r="AG17" s="6269" t="str">
        <f>IMAGE("https://raw.githubusercontent.com/msikma/pokesprite/master/misc/types/gen8/water.png",4,20,20)</f>
        <v/>
      </c>
      <c r="AH17" s="6218"/>
      <c r="AI17" s="6215"/>
    </row>
    <row r="18" ht="20.25" customHeight="1">
      <c r="A18" s="6210"/>
      <c r="B18" s="6216"/>
      <c r="C18" s="6270"/>
      <c r="D18" s="6258"/>
      <c r="E18" s="6263" t="s">
        <v>649</v>
      </c>
      <c r="F18" s="6264"/>
      <c r="G18" s="6271"/>
      <c r="H18" s="6272" t="str">
        <f>IMAGE("https://raw.githubusercontent.com/msikma/pokesprite/master/misc/types/gen8/water.png",4,20,20)</f>
        <v/>
      </c>
      <c r="J18" s="6263" t="s">
        <v>586</v>
      </c>
      <c r="K18" s="6264"/>
      <c r="L18" s="6271"/>
      <c r="M18" s="6272" t="str">
        <f t="shared" ref="M18:M19" si="1">IMAGE("https://raw.githubusercontent.com/msikma/pokesprite/master/misc/types/gen8/ice.png",4,20,20)</f>
        <v/>
      </c>
      <c r="O18" s="6263" t="s">
        <v>739</v>
      </c>
      <c r="P18" s="6264"/>
      <c r="Q18" s="6271"/>
      <c r="R18" s="6272" t="str">
        <f>IMAGE("https://raw.githubusercontent.com/msikma/pokesprite/master/misc/types/gen8/steel.png",4,20,20)</f>
        <v/>
      </c>
      <c r="T18" s="6263" t="s">
        <v>844</v>
      </c>
      <c r="U18" s="6264"/>
      <c r="V18" s="6271"/>
      <c r="W18" s="6272" t="str">
        <f>IMAGE("https://raw.githubusercontent.com/msikma/pokesprite/master/misc/types/gen8/electric.png",4,20,20)</f>
        <v/>
      </c>
      <c r="Y18" s="6263" t="s">
        <v>649</v>
      </c>
      <c r="Z18" s="6264"/>
      <c r="AA18" s="6271"/>
      <c r="AB18" s="6272" t="str">
        <f>IMAGE("https://raw.githubusercontent.com/msikma/pokesprite/master/misc/types/gen8/water.png",4,20,20)</f>
        <v/>
      </c>
      <c r="AD18" s="6263" t="s">
        <v>549</v>
      </c>
      <c r="AE18" s="6264"/>
      <c r="AF18" s="6271"/>
      <c r="AG18" s="6272" t="str">
        <f>IMAGE("https://raw.githubusercontent.com/msikma/pokesprite/master/misc/types/gen8/ground.png",4,20,20)</f>
        <v/>
      </c>
      <c r="AH18" s="6218"/>
      <c r="AI18" s="6215"/>
    </row>
    <row r="19" ht="20.25" customHeight="1">
      <c r="A19" s="6210"/>
      <c r="B19" s="6216"/>
      <c r="C19" s="6219"/>
      <c r="D19" s="6258"/>
      <c r="E19" s="6263" t="s">
        <v>775</v>
      </c>
      <c r="F19" s="6264"/>
      <c r="G19" s="6271"/>
      <c r="H19" s="6272" t="str">
        <f>IMAGE("https://raw.githubusercontent.com/msikma/pokesprite/master/misc/types/gen8/grass.png",4,20,20)</f>
        <v/>
      </c>
      <c r="J19" s="6263" t="s">
        <v>509</v>
      </c>
      <c r="K19" s="6264"/>
      <c r="L19" s="6271"/>
      <c r="M19" s="6272" t="str">
        <f t="shared" si="1"/>
        <v/>
      </c>
      <c r="O19" s="6263" t="s">
        <v>844</v>
      </c>
      <c r="P19" s="6264"/>
      <c r="Q19" s="6271"/>
      <c r="R19" s="6272" t="str">
        <f>IMAGE("https://raw.githubusercontent.com/msikma/pokesprite/master/misc/types/gen8/electric.png",4,20,20)</f>
        <v/>
      </c>
      <c r="T19" s="6263" t="s">
        <v>1349</v>
      </c>
      <c r="U19" s="6264"/>
      <c r="V19" s="6271"/>
      <c r="W19" s="6272" t="str">
        <f>IMAGE("https://raw.githubusercontent.com/msikma/pokesprite/master/misc/types/gen8/water.png",4,20,20)</f>
        <v/>
      </c>
      <c r="Y19" s="6263" t="s">
        <v>844</v>
      </c>
      <c r="Z19" s="6264"/>
      <c r="AA19" s="6271"/>
      <c r="AB19" s="6272" t="str">
        <f>IMAGE("https://raw.githubusercontent.com/msikma/pokesprite/master/misc/types/gen8/electric.png",4,20,20)</f>
        <v/>
      </c>
      <c r="AD19" s="6263" t="s">
        <v>589</v>
      </c>
      <c r="AE19" s="6264"/>
      <c r="AF19" s="6271"/>
      <c r="AG19" s="6272" t="str">
        <f>IMAGE("https://raw.githubusercontent.com/msikma/pokesprite/master/misc/types/gen8/ice.png",4,20,20)</f>
        <v/>
      </c>
      <c r="AH19" s="6218"/>
      <c r="AI19" s="6215"/>
    </row>
    <row r="20" ht="21.0" customHeight="1">
      <c r="A20" s="6210"/>
      <c r="B20" s="6216"/>
      <c r="C20" s="6219"/>
      <c r="D20" s="6258"/>
      <c r="E20" s="6273" t="s">
        <v>670</v>
      </c>
      <c r="F20" s="6274"/>
      <c r="G20" s="6275"/>
      <c r="H20" s="6276" t="str">
        <f>IMAGE("https://raw.githubusercontent.com/msikma/pokesprite/master/misc/types/gen8/ice.png",4,20,20)</f>
        <v/>
      </c>
      <c r="I20" s="6277"/>
      <c r="J20" s="6273" t="s">
        <v>698</v>
      </c>
      <c r="K20" s="6274"/>
      <c r="L20" s="6275"/>
      <c r="M20" s="6276" t="str">
        <f>IMAGE("https://raw.githubusercontent.com/msikma/pokesprite/master/misc/types/gen8/normal.png",4,20,20)</f>
        <v/>
      </c>
      <c r="N20" s="6277"/>
      <c r="O20" s="6273" t="s">
        <v>670</v>
      </c>
      <c r="P20" s="6274"/>
      <c r="Q20" s="6275"/>
      <c r="R20" s="6276" t="str">
        <f>IMAGE("https://raw.githubusercontent.com/msikma/pokesprite/master/misc/types/gen8/ice.png",4,20,20)</f>
        <v/>
      </c>
      <c r="S20" s="6277"/>
      <c r="T20" s="6273" t="s">
        <v>958</v>
      </c>
      <c r="U20" s="6274"/>
      <c r="V20" s="6275"/>
      <c r="W20" s="6276" t="str">
        <f>IMAGE("https://raw.githubusercontent.com/msikma/pokesprite/master/misc/types/gen8/normal.png",4,20,20)</f>
        <v/>
      </c>
      <c r="X20" s="6277"/>
      <c r="Y20" s="6273" t="s">
        <v>718</v>
      </c>
      <c r="Z20" s="6274"/>
      <c r="AA20" s="6275"/>
      <c r="AB20" s="6276" t="str">
        <f>IMAGE("https://raw.githubusercontent.com/msikma/pokesprite/master/misc/types/gen8/fighting.png",4,20,20)</f>
        <v/>
      </c>
      <c r="AC20" s="6277"/>
      <c r="AD20" s="6273" t="s">
        <v>1023</v>
      </c>
      <c r="AE20" s="6274"/>
      <c r="AF20" s="6275"/>
      <c r="AG20" s="6276" t="str">
        <f>IMAGE("https://raw.githubusercontent.com/msikma/pokesprite/master/misc/types/gen8/fighting.png",4,20,20)</f>
        <v/>
      </c>
      <c r="AH20" s="6218"/>
      <c r="AI20" s="6215"/>
    </row>
    <row r="21" ht="3.0" customHeight="1">
      <c r="A21" s="6278"/>
      <c r="B21" s="6279"/>
      <c r="C21" s="6280"/>
      <c r="D21" s="6281"/>
      <c r="E21" s="6282"/>
      <c r="F21" s="6282"/>
      <c r="G21" s="6282"/>
      <c r="H21" s="6283"/>
      <c r="I21" s="6220"/>
      <c r="J21" s="6284"/>
      <c r="K21" s="6284"/>
      <c r="L21" s="6284"/>
      <c r="M21" s="6283"/>
      <c r="N21" s="6220"/>
      <c r="O21" s="6284"/>
      <c r="P21" s="6284"/>
      <c r="Q21" s="6284"/>
      <c r="R21" s="6283"/>
      <c r="S21" s="6220"/>
      <c r="T21" s="6284"/>
      <c r="U21" s="6284"/>
      <c r="V21" s="6284"/>
      <c r="W21" s="6283"/>
      <c r="X21" s="6220"/>
      <c r="Y21" s="6285"/>
      <c r="Z21" s="6285"/>
      <c r="AA21" s="6285"/>
      <c r="AB21" s="6286"/>
      <c r="AC21" s="6286"/>
      <c r="AD21" s="6285"/>
      <c r="AE21" s="6285"/>
      <c r="AF21" s="6285"/>
      <c r="AG21" s="6286"/>
      <c r="AH21" s="6287"/>
      <c r="AI21" s="6288"/>
    </row>
    <row r="22" ht="16.5" customHeight="1">
      <c r="A22" s="6289"/>
      <c r="B22" s="6290"/>
      <c r="C22" s="6291"/>
      <c r="D22" s="6292"/>
      <c r="E22" s="6293" t="s">
        <v>512</v>
      </c>
      <c r="F22" s="606"/>
      <c r="G22" s="606"/>
      <c r="H22" s="607"/>
      <c r="I22" s="6294"/>
      <c r="J22" s="6293" t="s">
        <v>512</v>
      </c>
      <c r="K22" s="606"/>
      <c r="L22" s="606"/>
      <c r="M22" s="607"/>
      <c r="N22" s="6294"/>
      <c r="O22" s="6293" t="s">
        <v>512</v>
      </c>
      <c r="P22" s="606"/>
      <c r="Q22" s="606"/>
      <c r="R22" s="607"/>
      <c r="S22" s="6294"/>
      <c r="T22" s="6293" t="s">
        <v>512</v>
      </c>
      <c r="U22" s="606"/>
      <c r="V22" s="606"/>
      <c r="W22" s="607"/>
      <c r="X22" s="6294"/>
      <c r="Y22" s="6293" t="s">
        <v>512</v>
      </c>
      <c r="Z22" s="606"/>
      <c r="AA22" s="606"/>
      <c r="AB22" s="607"/>
      <c r="AC22" s="6295"/>
      <c r="AD22" s="6293" t="s">
        <v>512</v>
      </c>
      <c r="AE22" s="606"/>
      <c r="AF22" s="606"/>
      <c r="AG22" s="607"/>
      <c r="AH22" s="6296"/>
      <c r="AI22" s="6297"/>
    </row>
    <row r="23" ht="16.5" customHeight="1">
      <c r="A23" s="6289"/>
      <c r="B23" s="6290"/>
      <c r="C23" s="6291"/>
      <c r="D23" s="6292"/>
      <c r="E23" s="6298" t="s">
        <v>513</v>
      </c>
      <c r="F23" s="6299">
        <f t="array" ref="F23">IFERROR(VLOOKUP(E10,Dex!$B$3:$N298,8,FALSE),"")</f>
        <v>80</v>
      </c>
      <c r="G23" s="6300" t="str">
        <f t="array" ref="G23">IFERROR(VLOOKUP(F23,Dex!$P$22:$Q$276,2,FALSE),"")</f>
        <v/>
      </c>
      <c r="H23" s="6301"/>
      <c r="I23" s="6292"/>
      <c r="J23" s="6298" t="s">
        <v>513</v>
      </c>
      <c r="K23" s="6299">
        <f t="array" ref="K23">IFERROR(VLOOKUP(J10,Dex!$B$3:$N298,8,FALSE),"")</f>
        <v>56</v>
      </c>
      <c r="L23" s="6300" t="str">
        <f t="array" ref="L23">IFERROR(VLOOKUP(K23,Dex!$P$22:$Q$276,2,FALSE),"")</f>
        <v/>
      </c>
      <c r="M23" s="6301"/>
      <c r="N23" s="6292"/>
      <c r="O23" s="6298" t="s">
        <v>513</v>
      </c>
      <c r="P23" s="6299">
        <f t="array" ref="P23">IFERROR(VLOOKUP(O10,Dex!$B$3:$N298,8,FALSE),"")</f>
        <v>71</v>
      </c>
      <c r="Q23" s="6300" t="str">
        <f t="array" ref="Q23">IFERROR(VLOOKUP(P23,Dex!$P$22:$Q$276,2,FALSE),"")</f>
        <v/>
      </c>
      <c r="R23" s="6301"/>
      <c r="S23" s="6292"/>
      <c r="T23" s="6298" t="s">
        <v>513</v>
      </c>
      <c r="U23" s="6299">
        <f t="array" ref="U23">IFERROR(VLOOKUP(T10,Dex!$B$3:$N298,8,FALSE),"")</f>
        <v>91</v>
      </c>
      <c r="V23" s="6300" t="str">
        <f t="array" ref="V23">IFERROR(VLOOKUP(U23,Dex!$P$22:$Q$276,2,FALSE),"")</f>
        <v/>
      </c>
      <c r="W23" s="6301"/>
      <c r="X23" s="6292"/>
      <c r="Y23" s="6298" t="s">
        <v>513</v>
      </c>
      <c r="Z23" s="6299">
        <f t="array" ref="Z23">IFERROR(VLOOKUP(Y10,Dex!$B$3:$N298,8,FALSE),"")</f>
        <v>90</v>
      </c>
      <c r="AA23" s="6300" t="str">
        <f t="array" ref="AA23">IFERROR(VLOOKUP(Z23,Dex!$P$22:$Q$276,2,FALSE),"")</f>
        <v/>
      </c>
      <c r="AB23" s="6301"/>
      <c r="AC23" s="6302"/>
      <c r="AD23" s="6298" t="s">
        <v>513</v>
      </c>
      <c r="AE23" s="6299">
        <f t="array" ref="AE23">IFERROR(VLOOKUP(AD10,Dex!$B$3:$N298,8,FALSE),"")</f>
        <v>100</v>
      </c>
      <c r="AF23" s="6300" t="str">
        <f t="array" ref="AF23">IFERROR(VLOOKUP(AE23,Dex!$P$22:$Q$276,2,FALSE),"")</f>
        <v/>
      </c>
      <c r="AG23" s="6301"/>
      <c r="AH23" s="6296"/>
      <c r="AI23" s="6297"/>
    </row>
    <row r="24" ht="16.5" customHeight="1">
      <c r="A24" s="6289"/>
      <c r="B24" s="6290"/>
      <c r="C24" s="6291"/>
      <c r="D24" s="6292"/>
      <c r="E24" s="6303" t="s">
        <v>514</v>
      </c>
      <c r="F24" s="6304">
        <f t="array" ref="F24">IFERROR(VLOOKUP(E10,Dex!$B$3:$N298,9,FALSE),"")</f>
        <v>70</v>
      </c>
      <c r="G24" s="6305" t="str">
        <f t="array" ref="G24">IFERROR(VLOOKUP(F24,Dex!$P$22:$Q$276,2,FALSE),"")</f>
        <v/>
      </c>
      <c r="H24" s="6306"/>
      <c r="I24" s="6292"/>
      <c r="J24" s="6303" t="s">
        <v>514</v>
      </c>
      <c r="K24" s="6304">
        <f t="array" ref="K24">IFERROR(VLOOKUP(J10,Dex!$B$3:$N298,9,FALSE),"")</f>
        <v>80</v>
      </c>
      <c r="L24" s="6305" t="str">
        <f t="array" ref="L24">IFERROR(VLOOKUP(K24,Dex!$P$22:$Q$276,2,FALSE),"")</f>
        <v/>
      </c>
      <c r="M24" s="6306"/>
      <c r="N24" s="6292"/>
      <c r="O24" s="6303" t="s">
        <v>514</v>
      </c>
      <c r="P24" s="6304">
        <f t="array" ref="P24">IFERROR(VLOOKUP(O10,Dex!$B$3:$N298,9,FALSE),"")</f>
        <v>120</v>
      </c>
      <c r="Q24" s="6305" t="str">
        <f t="array" ref="Q24">IFERROR(VLOOKUP(P24,Dex!$P$22:$Q$276,2,FALSE),"")</f>
        <v/>
      </c>
      <c r="R24" s="6306"/>
      <c r="S24" s="6292"/>
      <c r="T24" s="6303" t="s">
        <v>514</v>
      </c>
      <c r="U24" s="6304">
        <f t="array" ref="U24">IFERROR(VLOOKUP(T10,Dex!$B$3:$N298,9,FALSE),"")</f>
        <v>134</v>
      </c>
      <c r="V24" s="6305" t="str">
        <f t="array" ref="V24">IFERROR(VLOOKUP(U24,Dex!$P$22:$Q$276,2,FALSE),"")</f>
        <v/>
      </c>
      <c r="W24" s="6306"/>
      <c r="X24" s="6292"/>
      <c r="Y24" s="6303" t="s">
        <v>514</v>
      </c>
      <c r="Z24" s="6304">
        <f t="array" ref="Z24">IFERROR(VLOOKUP(Y10,Dex!$B$3:$N298,9,FALSE),"")</f>
        <v>100</v>
      </c>
      <c r="AA24" s="6305" t="str">
        <f t="array" ref="AA24">IFERROR(VLOOKUP(Z24,Dex!$P$22:$Q$276,2,FALSE),"")</f>
        <v/>
      </c>
      <c r="AB24" s="6306"/>
      <c r="AC24" s="6302"/>
      <c r="AD24" s="6303" t="s">
        <v>514</v>
      </c>
      <c r="AE24" s="6304">
        <f t="array" ref="AE24">IFERROR(VLOOKUP(AD10,Dex!$B$3:$N298,9,FALSE),"")</f>
        <v>150</v>
      </c>
      <c r="AF24" s="6305" t="str">
        <f t="array" ref="AF24">IFERROR(VLOOKUP(AE24,Dex!$P$22:$Q$276,2,FALSE),"")</f>
        <v/>
      </c>
      <c r="AG24" s="6306"/>
      <c r="AH24" s="6296"/>
      <c r="AI24" s="6297"/>
    </row>
    <row r="25" ht="16.5" customHeight="1">
      <c r="A25" s="6289"/>
      <c r="B25" s="6290"/>
      <c r="C25" s="6291"/>
      <c r="D25" s="6292"/>
      <c r="E25" s="6303" t="s">
        <v>515</v>
      </c>
      <c r="F25" s="6304">
        <f t="array" ref="F25">IFERROR(VLOOKUP(E10,Dex!$B$3:$N298,10,FALSE),"")</f>
        <v>70</v>
      </c>
      <c r="G25" s="6305" t="str">
        <f t="array" ref="G25">IFERROR(VLOOKUP(F25,Dex!$P$22:$Q$276,2,FALSE),"")</f>
        <v/>
      </c>
      <c r="H25" s="6306"/>
      <c r="I25" s="6292"/>
      <c r="J25" s="6303" t="s">
        <v>515</v>
      </c>
      <c r="K25" s="6304">
        <f t="array" ref="K25">IFERROR(VLOOKUP(J10,Dex!$B$3:$N298,10,FALSE),"")</f>
        <v>114</v>
      </c>
      <c r="L25" s="6305" t="str">
        <f t="array" ref="L25">IFERROR(VLOOKUP(K25,Dex!$P$22:$Q$276,2,FALSE),"")</f>
        <v/>
      </c>
      <c r="M25" s="6306"/>
      <c r="N25" s="6292"/>
      <c r="O25" s="6303" t="s">
        <v>515</v>
      </c>
      <c r="P25" s="6304">
        <f t="array" ref="P25">IFERROR(VLOOKUP(O10,Dex!$B$3:$N298,10,FALSE),"")</f>
        <v>95</v>
      </c>
      <c r="Q25" s="6305" t="str">
        <f t="array" ref="Q25">IFERROR(VLOOKUP(P25,Dex!$P$22:$Q$276,2,FALSE),"")</f>
        <v/>
      </c>
      <c r="R25" s="6306"/>
      <c r="S25" s="6292"/>
      <c r="T25" s="6303" t="s">
        <v>515</v>
      </c>
      <c r="U25" s="6304">
        <f t="array" ref="U25">IFERROR(VLOOKUP(T10,Dex!$B$3:$N298,10,FALSE),"")</f>
        <v>95</v>
      </c>
      <c r="V25" s="6305" t="str">
        <f t="array" ref="V25">IFERROR(VLOOKUP(U25,Dex!$P$22:$Q$276,2,FALSE),"")</f>
        <v/>
      </c>
      <c r="W25" s="6306"/>
      <c r="X25" s="6292"/>
      <c r="Y25" s="6303" t="s">
        <v>515</v>
      </c>
      <c r="Z25" s="6304">
        <f t="array" ref="Z25">IFERROR(VLOOKUP(Y10,Dex!$B$3:$N298,10,FALSE),"")</f>
        <v>100</v>
      </c>
      <c r="AA25" s="6305" t="str">
        <f t="array" ref="AA25">IFERROR(VLOOKUP(Z25,Dex!$P$22:$Q$276,2,FALSE),"")</f>
        <v/>
      </c>
      <c r="AB25" s="6306"/>
      <c r="AC25" s="6302"/>
      <c r="AD25" s="6303" t="s">
        <v>515</v>
      </c>
      <c r="AE25" s="6304">
        <f t="array" ref="AE25">IFERROR(VLOOKUP(AD10,Dex!$B$3:$N298,10,FALSE),"")</f>
        <v>110</v>
      </c>
      <c r="AF25" s="6305" t="str">
        <f t="array" ref="AF25">IFERROR(VLOOKUP(AE25,Dex!$P$22:$Q$276,2,FALSE),"")</f>
        <v/>
      </c>
      <c r="AG25" s="6306"/>
      <c r="AH25" s="6296"/>
      <c r="AI25" s="6297"/>
    </row>
    <row r="26" ht="16.5" customHeight="1">
      <c r="A26" s="6289"/>
      <c r="B26" s="6290"/>
      <c r="C26" s="6291"/>
      <c r="D26" s="6292"/>
      <c r="E26" s="6303" t="s">
        <v>516</v>
      </c>
      <c r="F26" s="6304">
        <f t="array" ref="F26">IFERROR(VLOOKUP(E10,Dex!$B$3:$N298,11,FALSE),"")</f>
        <v>100</v>
      </c>
      <c r="G26" s="6305" t="str">
        <f t="array" ref="G26">IFERROR(VLOOKUP(F26,Dex!$P$22:$Q$276,2,FALSE),"")</f>
        <v/>
      </c>
      <c r="H26" s="6306"/>
      <c r="I26" s="6292"/>
      <c r="J26" s="6303" t="s">
        <v>516</v>
      </c>
      <c r="K26" s="6304">
        <f t="array" ref="K26">IFERROR(VLOOKUP(J10,Dex!$B$3:$N298,11,FALSE),"")</f>
        <v>124</v>
      </c>
      <c r="L26" s="6305" t="str">
        <f t="array" ref="L26">IFERROR(VLOOKUP(K26,Dex!$P$22:$Q$276,2,FALSE),"")</f>
        <v/>
      </c>
      <c r="M26" s="6306"/>
      <c r="N26" s="6292"/>
      <c r="O26" s="6303" t="s">
        <v>516</v>
      </c>
      <c r="P26" s="6304">
        <f t="array" ref="P26">IFERROR(VLOOKUP(O10,Dex!$B$3:$N298,11,FALSE),"")</f>
        <v>120</v>
      </c>
      <c r="Q26" s="6305" t="str">
        <f t="array" ref="Q26">IFERROR(VLOOKUP(P26,Dex!$P$22:$Q$276,2,FALSE),"")</f>
        <v/>
      </c>
      <c r="R26" s="6306"/>
      <c r="S26" s="6292"/>
      <c r="T26" s="6303" t="s">
        <v>516</v>
      </c>
      <c r="U26" s="6304">
        <f t="array" ref="U26">IFERROR(VLOOKUP(T10,Dex!$B$3:$N298,11,FALSE),"")</f>
        <v>100</v>
      </c>
      <c r="V26" s="6305" t="str">
        <f t="array" ref="V26">IFERROR(VLOOKUP(U26,Dex!$P$22:$Q$276,2,FALSE),"")</f>
        <v/>
      </c>
      <c r="W26" s="6306"/>
      <c r="X26" s="6292"/>
      <c r="Y26" s="6303" t="s">
        <v>516</v>
      </c>
      <c r="Z26" s="6304">
        <f t="array" ref="Z26">IFERROR(VLOOKUP(Y10,Dex!$B$3:$N298,11,FALSE),"")</f>
        <v>150</v>
      </c>
      <c r="AA26" s="6305" t="str">
        <f t="array" ref="AA26">IFERROR(VLOOKUP(Z26,Dex!$P$22:$Q$276,2,FALSE),"")</f>
        <v/>
      </c>
      <c r="AB26" s="6306"/>
      <c r="AC26" s="6302"/>
      <c r="AD26" s="6303" t="s">
        <v>516</v>
      </c>
      <c r="AE26" s="6304">
        <f t="array" ref="AE26">IFERROR(VLOOKUP(AD10,Dex!$B$3:$N298,11,FALSE),"")</f>
        <v>95</v>
      </c>
      <c r="AF26" s="6305" t="str">
        <f t="array" ref="AF26">IFERROR(VLOOKUP(AE26,Dex!$P$22:$Q$276,2,FALSE),"")</f>
        <v/>
      </c>
      <c r="AG26" s="6306"/>
      <c r="AH26" s="6296"/>
      <c r="AI26" s="6297"/>
    </row>
    <row r="27" ht="16.5" customHeight="1">
      <c r="A27" s="6289"/>
      <c r="B27" s="6290"/>
      <c r="C27" s="6291"/>
      <c r="D27" s="6292"/>
      <c r="E27" s="6303" t="s">
        <v>517</v>
      </c>
      <c r="F27" s="6304">
        <f t="array" ref="F27">IFERROR(VLOOKUP(E10,Dex!$B$3:$N298,12,FALSE),"")</f>
        <v>100</v>
      </c>
      <c r="G27" s="6305" t="str">
        <f t="array" ref="G27">IFERROR(VLOOKUP(F27,Dex!$P$22:$Q$276,2,FALSE),"")</f>
        <v/>
      </c>
      <c r="H27" s="6306"/>
      <c r="I27" s="6292"/>
      <c r="J27" s="6303" t="s">
        <v>517</v>
      </c>
      <c r="K27" s="6304">
        <f t="array" ref="K27">IFERROR(VLOOKUP(J10,Dex!$B$3:$N298,12,FALSE),"")</f>
        <v>60</v>
      </c>
      <c r="L27" s="6305" t="str">
        <f t="array" ref="L27">IFERROR(VLOOKUP(K27,Dex!$P$22:$Q$276,2,FALSE),"")</f>
        <v/>
      </c>
      <c r="M27" s="6306"/>
      <c r="N27" s="6292"/>
      <c r="O27" s="6303" t="s">
        <v>517</v>
      </c>
      <c r="P27" s="6304">
        <f t="array" ref="P27">IFERROR(VLOOKUP(O10,Dex!$B$3:$N298,12,FALSE),"")</f>
        <v>95</v>
      </c>
      <c r="Q27" s="6305" t="str">
        <f t="array" ref="Q27">IFERROR(VLOOKUP(P27,Dex!$P$22:$Q$276,2,FALSE),"")</f>
        <v/>
      </c>
      <c r="R27" s="6306"/>
      <c r="S27" s="6292"/>
      <c r="T27" s="6303" t="s">
        <v>517</v>
      </c>
      <c r="U27" s="6304">
        <f t="array" ref="U27">IFERROR(VLOOKUP(T10,Dex!$B$3:$N298,12,FALSE),"")</f>
        <v>100</v>
      </c>
      <c r="V27" s="6305" t="str">
        <f t="array" ref="V27">IFERROR(VLOOKUP(U27,Dex!$P$22:$Q$276,2,FALSE),"")</f>
        <v/>
      </c>
      <c r="W27" s="6306"/>
      <c r="X27" s="6292"/>
      <c r="Y27" s="6303" t="s">
        <v>517</v>
      </c>
      <c r="Z27" s="6304">
        <f t="array" ref="Z27">IFERROR(VLOOKUP(Y10,Dex!$B$3:$N298,12,FALSE),"")</f>
        <v>120</v>
      </c>
      <c r="AA27" s="6305" t="str">
        <f t="array" ref="AA27">IFERROR(VLOOKUP(Z27,Dex!$P$22:$Q$276,2,FALSE),"")</f>
        <v/>
      </c>
      <c r="AB27" s="6306"/>
      <c r="AC27" s="6302"/>
      <c r="AD27" s="6303" t="s">
        <v>517</v>
      </c>
      <c r="AE27" s="6304">
        <f t="array" ref="AE27">IFERROR(VLOOKUP(AD10,Dex!$B$3:$N298,12,FALSE),"")</f>
        <v>110</v>
      </c>
      <c r="AF27" s="6305" t="str">
        <f t="array" ref="AF27">IFERROR(VLOOKUP(AE27,Dex!$P$22:$Q$276,2,FALSE),"")</f>
        <v/>
      </c>
      <c r="AG27" s="6306"/>
      <c r="AH27" s="6296"/>
      <c r="AI27" s="6297"/>
    </row>
    <row r="28" ht="16.5" customHeight="1">
      <c r="A28" s="6289"/>
      <c r="B28" s="6290"/>
      <c r="C28" s="6291"/>
      <c r="D28" s="6292"/>
      <c r="E28" s="6307" t="s">
        <v>518</v>
      </c>
      <c r="F28" s="6308">
        <f t="array" ref="F28">IFERROR(VLOOKUP(E10,Dex!$B$3:$N298,13,FALSE),"")</f>
        <v>70</v>
      </c>
      <c r="G28" s="6309" t="str">
        <f t="array" ref="G28">IFERROR(VLOOKUP(F28,Dex!$P$22:$Q$276,2,FALSE),"")</f>
        <v/>
      </c>
      <c r="H28" s="6310"/>
      <c r="I28" s="6292"/>
      <c r="J28" s="6307" t="s">
        <v>518</v>
      </c>
      <c r="K28" s="6308">
        <f t="array" ref="K28">IFERROR(VLOOKUP(J10,Dex!$B$3:$N298,13,FALSE),"")</f>
        <v>136</v>
      </c>
      <c r="L28" s="6309" t="str">
        <f t="array" ref="L28">IFERROR(VLOOKUP(K28,Dex!$P$22:$Q$276,2,FALSE),"")</f>
        <v/>
      </c>
      <c r="M28" s="6310"/>
      <c r="N28" s="6292"/>
      <c r="O28" s="6307" t="s">
        <v>518</v>
      </c>
      <c r="P28" s="6308">
        <f t="array" ref="P28">IFERROR(VLOOKUP(O10,Dex!$B$3:$N298,13,FALSE),"")</f>
        <v>99</v>
      </c>
      <c r="Q28" s="6311" t="str">
        <f t="array" ref="Q28">IFERROR(VLOOKUP(P28,Dex!$P$22:$Q$276,2,FALSE),"")</f>
        <v/>
      </c>
      <c r="R28" s="6312"/>
      <c r="S28" s="6292"/>
      <c r="T28" s="6307" t="s">
        <v>518</v>
      </c>
      <c r="U28" s="6308">
        <f t="array" ref="U28">IFERROR(VLOOKUP(T10,Dex!$B$3:$N298,13,FALSE),"")</f>
        <v>80</v>
      </c>
      <c r="V28" s="6311" t="str">
        <f t="array" ref="V28">IFERROR(VLOOKUP(U28,Dex!$P$22:$Q$276,2,FALSE),"")</f>
        <v/>
      </c>
      <c r="W28" s="6312"/>
      <c r="X28" s="6292"/>
      <c r="Y28" s="6307" t="s">
        <v>518</v>
      </c>
      <c r="Z28" s="6308">
        <f t="array" ref="Z28">IFERROR(VLOOKUP(Y10,Dex!$B$3:$N298,13,FALSE),"")</f>
        <v>120</v>
      </c>
      <c r="AA28" s="6311" t="str">
        <f t="array" ref="AA28">IFERROR(VLOOKUP(Z28,Dex!$P$22:$Q$276,2,FALSE),"")</f>
        <v/>
      </c>
      <c r="AB28" s="6312"/>
      <c r="AC28" s="6302"/>
      <c r="AD28" s="6307" t="s">
        <v>518</v>
      </c>
      <c r="AE28" s="6308">
        <f t="array" ref="AE28">IFERROR(VLOOKUP(AD10,Dex!$B$3:$N298,13,FALSE),"")</f>
        <v>70</v>
      </c>
      <c r="AF28" s="6311" t="str">
        <f t="array" ref="AF28">IFERROR(VLOOKUP(AE28,Dex!$P$22:$Q$276,2,FALSE),"")</f>
        <v/>
      </c>
      <c r="AG28" s="6312"/>
      <c r="AH28" s="6296"/>
      <c r="AI28" s="6297"/>
    </row>
    <row r="29" ht="16.5" customHeight="1">
      <c r="A29" s="6289"/>
      <c r="B29" s="6290"/>
      <c r="C29" s="6291"/>
      <c r="D29" s="6313"/>
      <c r="E29" s="6314" t="s">
        <v>519</v>
      </c>
      <c r="F29" s="635"/>
      <c r="G29" s="636"/>
      <c r="H29" s="632">
        <f>ROUNDDOWN((ROUNDDOWN(((((2*F28+31)*85)/100+5)),0))*1,0)</f>
        <v>150</v>
      </c>
      <c r="I29" s="6313"/>
      <c r="J29" s="6314" t="s">
        <v>519</v>
      </c>
      <c r="K29" s="635"/>
      <c r="L29" s="636"/>
      <c r="M29" s="632">
        <f>ROUNDDOWN((ROUNDDOWN(((((2*K28+31)*85)/100+5)),0))*1.1,0)</f>
        <v>288</v>
      </c>
      <c r="N29" s="6313"/>
      <c r="O29" s="6315" t="s">
        <v>519</v>
      </c>
      <c r="P29" s="630"/>
      <c r="Q29" s="631"/>
      <c r="R29" s="632">
        <f>ROUNDDOWN((ROUNDDOWN(((((2*P28+31)*85)/100+5)),0))*1.1,0)</f>
        <v>218</v>
      </c>
      <c r="S29" s="6313"/>
      <c r="T29" s="6315" t="s">
        <v>519</v>
      </c>
      <c r="U29" s="630"/>
      <c r="V29" s="631"/>
      <c r="W29" s="632">
        <f>ROUNDDOWN((ROUNDDOWN(((((2*U28+31)*85)/100+5)),0))*1,0)</f>
        <v>167</v>
      </c>
      <c r="X29" s="6313"/>
      <c r="Y29" s="6315" t="s">
        <v>519</v>
      </c>
      <c r="Z29" s="630"/>
      <c r="AA29" s="631"/>
      <c r="AB29" s="632">
        <f>ROUNDDOWN((ROUNDDOWN(((((2*Z28+31)*85)/100+5)),0))*1.1,0)</f>
        <v>258</v>
      </c>
      <c r="AC29" s="6295"/>
      <c r="AD29" s="6314" t="s">
        <v>519</v>
      </c>
      <c r="AE29" s="635"/>
      <c r="AF29" s="636"/>
      <c r="AG29" s="632">
        <f>ROUNDDOWN((ROUNDDOWN(((((2*AE28+31)*85)/100+5)),0))*1,0)</f>
        <v>150</v>
      </c>
      <c r="AH29" s="6296"/>
      <c r="AI29" s="6297"/>
    </row>
    <row r="30" ht="16.5" customHeight="1">
      <c r="A30" s="6289"/>
      <c r="B30" s="6290"/>
      <c r="C30" s="6291"/>
      <c r="D30" s="6292"/>
      <c r="E30" s="6316" t="s">
        <v>555</v>
      </c>
      <c r="F30" s="643"/>
      <c r="G30" s="644"/>
      <c r="H30" s="6317">
        <f>H29*2</f>
        <v>300</v>
      </c>
      <c r="I30" s="6292"/>
      <c r="J30" s="6316" t="s">
        <v>1855</v>
      </c>
      <c r="K30" s="643"/>
      <c r="L30" s="644"/>
      <c r="M30" s="645">
        <f>ROUNDDOWN(M29*1.5,0)</f>
        <v>432</v>
      </c>
      <c r="N30" s="6313"/>
      <c r="O30" s="6291"/>
      <c r="P30" s="6291"/>
      <c r="Q30" s="6291"/>
      <c r="R30" s="6291"/>
      <c r="S30" s="6292"/>
      <c r="T30" s="6291"/>
      <c r="U30" s="6291"/>
      <c r="V30" s="6291"/>
      <c r="W30" s="6291"/>
      <c r="X30" s="6292"/>
      <c r="Y30" s="6291"/>
      <c r="Z30" s="6291"/>
      <c r="AA30" s="6291"/>
      <c r="AB30" s="6291"/>
      <c r="AC30" s="6302"/>
      <c r="AD30" s="6316" t="s">
        <v>555</v>
      </c>
      <c r="AE30" s="643"/>
      <c r="AF30" s="644"/>
      <c r="AG30" s="6317">
        <f>AG29*2</f>
        <v>300</v>
      </c>
      <c r="AH30" s="6296"/>
      <c r="AI30" s="6297"/>
    </row>
    <row r="31" ht="11.25" customHeight="1">
      <c r="A31" s="6210"/>
      <c r="B31" s="6216"/>
      <c r="C31" s="6219"/>
      <c r="D31" s="6220"/>
      <c r="E31" s="6318"/>
      <c r="F31" s="6318"/>
      <c r="G31" s="6318"/>
      <c r="H31" s="6318"/>
      <c r="I31" s="6220"/>
      <c r="J31" s="6318"/>
      <c r="K31" s="6318"/>
      <c r="L31" s="6318"/>
      <c r="M31" s="6318"/>
      <c r="N31" s="6220"/>
      <c r="O31" s="6319"/>
      <c r="P31" s="6319"/>
      <c r="Q31" s="6319"/>
      <c r="R31" s="6318"/>
      <c r="S31" s="6220"/>
      <c r="T31" s="6318"/>
      <c r="U31" s="6318"/>
      <c r="V31" s="6318"/>
      <c r="W31" s="6318"/>
      <c r="X31" s="6220"/>
      <c r="Y31" s="6318"/>
      <c r="Z31" s="6318"/>
      <c r="AA31" s="6318"/>
      <c r="AB31" s="6318"/>
      <c r="AC31" s="6220"/>
      <c r="AD31" s="6318"/>
      <c r="AE31" s="6318"/>
      <c r="AF31" s="6318"/>
      <c r="AG31" s="6318"/>
      <c r="AH31" s="6218"/>
      <c r="AI31" s="6215"/>
    </row>
    <row r="32" ht="11.25" customHeight="1">
      <c r="A32" s="6210"/>
      <c r="B32" s="6320"/>
      <c r="C32" s="6321"/>
      <c r="D32" s="6322"/>
      <c r="E32" s="6323" t="s">
        <v>1856</v>
      </c>
      <c r="F32" s="3251"/>
      <c r="G32" s="3251"/>
      <c r="H32" s="3251"/>
      <c r="I32" s="3251"/>
      <c r="J32" s="3251"/>
      <c r="K32" s="3251"/>
      <c r="L32" s="3251"/>
      <c r="M32" s="3251"/>
      <c r="N32" s="3251"/>
      <c r="O32" s="3251"/>
      <c r="P32" s="3251"/>
      <c r="Q32" s="3251"/>
      <c r="R32" s="3251"/>
      <c r="S32" s="3251"/>
      <c r="T32" s="3251"/>
      <c r="U32" s="3251"/>
      <c r="V32" s="3251"/>
      <c r="W32" s="3251"/>
      <c r="X32" s="3251"/>
      <c r="Y32" s="3251"/>
      <c r="Z32" s="3251"/>
      <c r="AA32" s="3251"/>
      <c r="AB32" s="3251"/>
      <c r="AC32" s="3251"/>
      <c r="AD32" s="3251"/>
      <c r="AE32" s="3251"/>
      <c r="AF32" s="3251"/>
      <c r="AG32" s="3252"/>
      <c r="AH32" s="6324"/>
      <c r="AI32" s="6215"/>
    </row>
    <row r="33" ht="11.25" customHeight="1">
      <c r="A33" s="6210"/>
      <c r="B33" s="6325"/>
      <c r="C33" s="6326"/>
      <c r="D33" s="6327"/>
      <c r="E33" s="314"/>
      <c r="F33" s="3255"/>
      <c r="G33" s="3255"/>
      <c r="H33" s="3255"/>
      <c r="I33" s="3255"/>
      <c r="J33" s="3255"/>
      <c r="K33" s="3255"/>
      <c r="L33" s="3255"/>
      <c r="M33" s="3255"/>
      <c r="N33" s="3255"/>
      <c r="O33" s="3255"/>
      <c r="P33" s="3255"/>
      <c r="Q33" s="3255"/>
      <c r="R33" s="3255"/>
      <c r="S33" s="3255"/>
      <c r="T33" s="3255"/>
      <c r="U33" s="3255"/>
      <c r="V33" s="3255"/>
      <c r="W33" s="3255"/>
      <c r="X33" s="3255"/>
      <c r="Y33" s="3255"/>
      <c r="Z33" s="3255"/>
      <c r="AA33" s="3255"/>
      <c r="AB33" s="3255"/>
      <c r="AC33" s="3255"/>
      <c r="AD33" s="3255"/>
      <c r="AE33" s="3255"/>
      <c r="AF33" s="3255"/>
      <c r="AG33" s="3256"/>
      <c r="AH33" s="6328"/>
      <c r="AI33" s="6215"/>
    </row>
    <row r="34" ht="3.75" customHeight="1">
      <c r="A34" s="6210"/>
      <c r="B34" s="6325"/>
      <c r="C34" s="6326"/>
      <c r="D34" s="6327"/>
      <c r="E34" s="6329"/>
      <c r="F34" s="6329"/>
      <c r="G34" s="6329"/>
      <c r="H34" s="6329"/>
      <c r="I34" s="6327"/>
      <c r="J34" s="6329"/>
      <c r="K34" s="6329"/>
      <c r="L34" s="6329"/>
      <c r="M34" s="6329"/>
      <c r="N34" s="6327"/>
      <c r="O34" s="6329"/>
      <c r="P34" s="6329"/>
      <c r="Q34" s="6329"/>
      <c r="R34" s="6329"/>
      <c r="S34" s="6327"/>
      <c r="T34" s="6329"/>
      <c r="U34" s="6329"/>
      <c r="V34" s="6329"/>
      <c r="W34" s="6329"/>
      <c r="X34" s="6327"/>
      <c r="Y34" s="6329"/>
      <c r="Z34" s="6329"/>
      <c r="AA34" s="6329"/>
      <c r="AB34" s="6329"/>
      <c r="AC34" s="6327"/>
      <c r="AD34" s="6329"/>
      <c r="AE34" s="6329"/>
      <c r="AF34" s="6329"/>
      <c r="AG34" s="6329"/>
      <c r="AH34" s="6328"/>
      <c r="AI34" s="6215"/>
    </row>
    <row r="35" ht="18.75" customHeight="1">
      <c r="A35" s="6210"/>
      <c r="B35" s="6325"/>
      <c r="C35" s="6326"/>
      <c r="D35" s="6327"/>
      <c r="E35" s="6330" t="s">
        <v>1857</v>
      </c>
      <c r="F35" s="6331"/>
      <c r="G35" s="6331"/>
      <c r="H35" s="6331"/>
      <c r="I35" s="6331"/>
      <c r="J35" s="6331"/>
      <c r="K35" s="6331"/>
      <c r="L35" s="6331"/>
      <c r="M35" s="6331"/>
      <c r="N35" s="6331"/>
      <c r="O35" s="6331"/>
      <c r="P35" s="6331"/>
      <c r="Q35" s="6331"/>
      <c r="R35" s="6331"/>
      <c r="S35" s="6331"/>
      <c r="T35" s="6331"/>
      <c r="U35" s="6331"/>
      <c r="V35" s="6331"/>
      <c r="W35" s="6331"/>
      <c r="X35" s="6331"/>
      <c r="Y35" s="6331"/>
      <c r="Z35" s="6331"/>
      <c r="AA35" s="6331"/>
      <c r="AB35" s="6331"/>
      <c r="AC35" s="6331"/>
      <c r="AD35" s="6331"/>
      <c r="AE35" s="6331"/>
      <c r="AF35" s="6331"/>
      <c r="AG35" s="6332"/>
      <c r="AH35" s="6328"/>
      <c r="AI35" s="6215"/>
    </row>
    <row r="36" ht="96.75" customHeight="1">
      <c r="A36" s="6210"/>
      <c r="B36" s="6325"/>
      <c r="C36" s="6333" t="str">
        <f>IMAGE("https://i.ibb.co/5BW746H/Lorelei.png")</f>
        <v/>
      </c>
      <c r="D36" s="6334"/>
      <c r="E36" s="6335" t="str">
        <f t="array" ref="E36">IFERROR(VLOOKUP(E37,Dex!$B$3:$G298,3,FALSE),"")</f>
        <v/>
      </c>
      <c r="F36" s="1945"/>
      <c r="G36" s="1945"/>
      <c r="H36" s="1946"/>
      <c r="I36" s="6336"/>
      <c r="J36" s="6335" t="str">
        <f t="array" ref="J36">IFERROR(VLOOKUP(J37,Dex!$B$3:$G298,3,FALSE),"")</f>
        <v/>
      </c>
      <c r="K36" s="1945"/>
      <c r="L36" s="1945"/>
      <c r="M36" s="1946"/>
      <c r="N36" s="6336"/>
      <c r="O36" s="6335" t="str">
        <f t="array" ref="O36">IFERROR(VLOOKUP(O37,Dex!$B$3:$G298,3,FALSE),"")</f>
        <v/>
      </c>
      <c r="P36" s="1945"/>
      <c r="Q36" s="1945"/>
      <c r="R36" s="1946"/>
      <c r="S36" s="6336"/>
      <c r="T36" s="6335" t="str">
        <f t="array" ref="T36">IFERROR(VLOOKUP(T37,Dex!$B$3:$G298,3,FALSE),"")</f>
        <v/>
      </c>
      <c r="U36" s="1945"/>
      <c r="V36" s="1945"/>
      <c r="W36" s="1946"/>
      <c r="X36" s="6336"/>
      <c r="Y36" s="6335" t="str">
        <f t="array" ref="Y36">IFERROR(VLOOKUP(Y37,Dex!$B$3:$G298,3,FALSE),"")</f>
        <v/>
      </c>
      <c r="Z36" s="1945"/>
      <c r="AA36" s="1945"/>
      <c r="AB36" s="1946"/>
      <c r="AC36" s="6336"/>
      <c r="AD36" s="6335" t="str">
        <f t="array" ref="AD36">IFERROR(VLOOKUP(AD37,Dex!$B$3:$G298,3,FALSE),"")</f>
        <v/>
      </c>
      <c r="AE36" s="1945"/>
      <c r="AF36" s="1945"/>
      <c r="AG36" s="1946"/>
      <c r="AH36" s="6337"/>
      <c r="AI36" s="6215"/>
    </row>
    <row r="37" ht="18.75" customHeight="1">
      <c r="A37" s="6231"/>
      <c r="B37" s="6338"/>
      <c r="C37" s="6339" t="s">
        <v>1858</v>
      </c>
      <c r="D37" s="6340"/>
      <c r="E37" s="6341" t="s">
        <v>1859</v>
      </c>
      <c r="F37" s="6342"/>
      <c r="G37" s="6342"/>
      <c r="H37" s="6343"/>
      <c r="J37" s="6341" t="s">
        <v>1311</v>
      </c>
      <c r="K37" s="6342"/>
      <c r="L37" s="6342"/>
      <c r="M37" s="6343"/>
      <c r="O37" s="6341" t="s">
        <v>1860</v>
      </c>
      <c r="P37" s="6342"/>
      <c r="Q37" s="6342"/>
      <c r="R37" s="6343"/>
      <c r="T37" s="6341" t="s">
        <v>627</v>
      </c>
      <c r="U37" s="6342"/>
      <c r="V37" s="6342"/>
      <c r="W37" s="6343"/>
      <c r="Y37" s="6341" t="s">
        <v>1861</v>
      </c>
      <c r="Z37" s="6342"/>
      <c r="AA37" s="6342"/>
      <c r="AB37" s="6343"/>
      <c r="AD37" s="6341" t="s">
        <v>1862</v>
      </c>
      <c r="AE37" s="6342"/>
      <c r="AF37" s="6342"/>
      <c r="AG37" s="6343"/>
      <c r="AH37" s="6344"/>
      <c r="AI37" s="6239"/>
    </row>
    <row r="38">
      <c r="A38" s="6240"/>
      <c r="B38" s="6345"/>
      <c r="C38" s="556"/>
      <c r="D38" s="6346"/>
      <c r="E38" s="6347" t="s">
        <v>729</v>
      </c>
      <c r="F38" s="6348"/>
      <c r="G38" s="6348"/>
      <c r="H38" s="6349"/>
      <c r="J38" s="6347" t="s">
        <v>729</v>
      </c>
      <c r="K38" s="6348"/>
      <c r="L38" s="6348"/>
      <c r="M38" s="6349"/>
      <c r="O38" s="6347" t="s">
        <v>729</v>
      </c>
      <c r="P38" s="6348"/>
      <c r="Q38" s="6348"/>
      <c r="R38" s="6349"/>
      <c r="T38" s="6347" t="s">
        <v>729</v>
      </c>
      <c r="U38" s="6348"/>
      <c r="V38" s="6348"/>
      <c r="W38" s="6349"/>
      <c r="Y38" s="6347" t="s">
        <v>729</v>
      </c>
      <c r="Z38" s="6348"/>
      <c r="AA38" s="6348"/>
      <c r="AB38" s="6349"/>
      <c r="AD38" s="6347" t="s">
        <v>729</v>
      </c>
      <c r="AE38" s="6348"/>
      <c r="AF38" s="6348"/>
      <c r="AG38" s="6349"/>
      <c r="AH38" s="6350"/>
      <c r="AI38" s="6247"/>
    </row>
    <row r="39" ht="25.5" customHeight="1">
      <c r="A39" s="6210"/>
      <c r="B39" s="6325"/>
      <c r="C39" s="6351"/>
      <c r="D39" s="6327"/>
      <c r="E39" s="6352"/>
      <c r="F39" s="6353" t="str">
        <f t="array" ref="F39">IFERROR(VLOOKUP(E37,Dex!$B$3:$H298,5,FALSE),"")</f>
        <v/>
      </c>
      <c r="G39" s="6354"/>
      <c r="H39" s="6355"/>
      <c r="J39" s="6352"/>
      <c r="K39" s="6356" t="str">
        <f t="array" ref="K39">IFERROR(VLOOKUP(J37,Dex!$B$3:$H298,5,FALSE),"")</f>
        <v/>
      </c>
      <c r="L39" s="6357" t="str">
        <f t="array" ref="L39">IFERROR(VLOOKUP(J37,Dex!$B$3:$H298,7,FALSE),"")</f>
        <v/>
      </c>
      <c r="M39" s="6355"/>
      <c r="O39" s="6352"/>
      <c r="P39" s="6356" t="str">
        <f t="array" ref="P39">IFERROR(VLOOKUP(O37,Dex!$B$3:$H298,5,FALSE),"")</f>
        <v/>
      </c>
      <c r="Q39" s="6357" t="str">
        <f t="array" ref="Q39">IFERROR(VLOOKUP(O37,Dex!$B$3:$H298,7,FALSE),"")</f>
        <v/>
      </c>
      <c r="R39" s="6355"/>
      <c r="T39" s="6352"/>
      <c r="U39" s="6356" t="str">
        <f t="array" ref="U39">IFERROR(VLOOKUP(T37,Dex!$B$3:$H298,5,FALSE),"")</f>
        <v/>
      </c>
      <c r="V39" s="6357" t="str">
        <f t="array" ref="V39">IFERROR(VLOOKUP(T37,Dex!$B$3:$H298,7,FALSE),"")</f>
        <v/>
      </c>
      <c r="W39" s="6355"/>
      <c r="Y39" s="6352"/>
      <c r="Z39" s="6356" t="str">
        <f t="array" ref="Z39">IFERROR(VLOOKUP(Y37,Dex!$B$3:$H298,5,FALSE),"")</f>
        <v/>
      </c>
      <c r="AA39" s="6357" t="str">
        <f t="array" ref="AA39">IFERROR(VLOOKUP(Y37,Dex!$B$3:$H298,7,FALSE),"")</f>
        <v/>
      </c>
      <c r="AB39" s="6355"/>
      <c r="AD39" s="6352"/>
      <c r="AE39" s="6356" t="str">
        <f t="array" ref="AE39">IFERROR(VLOOKUP(AD37,Dex!$B$3:$H298,5,FALSE),"")</f>
        <v/>
      </c>
      <c r="AF39" s="6357" t="str">
        <f t="array" ref="AF39">IFERROR(VLOOKUP(AD37,Dex!$B$3:$H298,7,FALSE),"")</f>
        <v/>
      </c>
      <c r="AG39" s="6355"/>
      <c r="AH39" s="6328"/>
      <c r="AI39" s="6215"/>
    </row>
    <row r="40" ht="2.25" customHeight="1">
      <c r="A40" s="6210"/>
      <c r="B40" s="6325"/>
      <c r="C40" s="6358"/>
      <c r="D40" s="6327"/>
      <c r="E40" s="6359"/>
      <c r="F40" s="6360"/>
      <c r="G40" s="6360"/>
      <c r="H40" s="6361"/>
      <c r="J40" s="6359"/>
      <c r="K40" s="6360"/>
      <c r="L40" s="6360"/>
      <c r="M40" s="6361"/>
      <c r="O40" s="6359"/>
      <c r="P40" s="6360"/>
      <c r="Q40" s="6360"/>
      <c r="R40" s="6361"/>
      <c r="T40" s="6359"/>
      <c r="U40" s="6360"/>
      <c r="V40" s="6360"/>
      <c r="W40" s="6361"/>
      <c r="Y40" s="6359"/>
      <c r="Z40" s="6360"/>
      <c r="AA40" s="6360"/>
      <c r="AB40" s="6361"/>
      <c r="AD40" s="6359"/>
      <c r="AE40" s="6360"/>
      <c r="AF40" s="6360"/>
      <c r="AG40" s="6361"/>
      <c r="AH40" s="6328"/>
      <c r="AI40" s="6215"/>
    </row>
    <row r="41" ht="20.25" customHeight="1">
      <c r="A41" s="6210"/>
      <c r="B41" s="6325"/>
      <c r="C41" s="6358"/>
      <c r="D41" s="6362"/>
      <c r="E41" s="6363" t="s">
        <v>531</v>
      </c>
      <c r="F41" s="6364"/>
      <c r="G41" s="6364"/>
      <c r="H41" s="6365"/>
      <c r="J41" s="6363" t="s">
        <v>532</v>
      </c>
      <c r="K41" s="6364"/>
      <c r="L41" s="6364"/>
      <c r="M41" s="6365"/>
      <c r="O41" s="6363" t="s">
        <v>532</v>
      </c>
      <c r="P41" s="6364"/>
      <c r="Q41" s="6364"/>
      <c r="R41" s="6365"/>
      <c r="T41" s="6363" t="s">
        <v>531</v>
      </c>
      <c r="U41" s="6364"/>
      <c r="V41" s="6364"/>
      <c r="W41" s="6365"/>
      <c r="Y41" s="6363" t="s">
        <v>564</v>
      </c>
      <c r="Z41" s="6364"/>
      <c r="AA41" s="6364"/>
      <c r="AB41" s="6365"/>
      <c r="AD41" s="6363" t="s">
        <v>565</v>
      </c>
      <c r="AE41" s="6364"/>
      <c r="AF41" s="6364"/>
      <c r="AG41" s="6365"/>
      <c r="AH41" s="6337"/>
      <c r="AI41" s="6215"/>
    </row>
    <row r="42">
      <c r="A42" s="6210"/>
      <c r="B42" s="6325"/>
      <c r="C42" s="6358"/>
      <c r="D42" s="6362"/>
      <c r="E42" s="6366" t="s">
        <v>107</v>
      </c>
      <c r="F42" s="6367"/>
      <c r="G42" s="6367"/>
      <c r="H42" s="6368"/>
      <c r="J42" s="6366" t="s">
        <v>60</v>
      </c>
      <c r="K42" s="6367"/>
      <c r="L42" s="6367"/>
      <c r="M42" s="6368"/>
      <c r="O42" s="6366" t="s">
        <v>1863</v>
      </c>
      <c r="P42" s="6367"/>
      <c r="Q42" s="6367"/>
      <c r="R42" s="6368"/>
      <c r="T42" s="6366" t="s">
        <v>100</v>
      </c>
      <c r="U42" s="6367"/>
      <c r="V42" s="6367"/>
      <c r="W42" s="6368"/>
      <c r="Y42" s="6366" t="s">
        <v>1864</v>
      </c>
      <c r="Z42" s="6367"/>
      <c r="AA42" s="6367"/>
      <c r="AB42" s="6368"/>
      <c r="AD42" s="6366" t="s">
        <v>1865</v>
      </c>
      <c r="AE42" s="6367"/>
      <c r="AF42" s="6367"/>
      <c r="AG42" s="6368"/>
      <c r="AH42" s="6337"/>
      <c r="AI42" s="6215"/>
    </row>
    <row r="43" ht="20.25" customHeight="1">
      <c r="A43" s="6210"/>
      <c r="B43" s="6325"/>
      <c r="C43" s="6369"/>
      <c r="D43" s="6362"/>
      <c r="E43" s="6370" t="s">
        <v>1230</v>
      </c>
      <c r="F43" s="6331"/>
      <c r="G43" s="6332"/>
      <c r="H43" s="6371" t="str">
        <f>IMAGE("https://raw.githubusercontent.com/msikma/pokesprite/master/items/hold-item/choice-specs.png",3)</f>
        <v/>
      </c>
      <c r="J43" s="6370" t="s">
        <v>713</v>
      </c>
      <c r="K43" s="6331"/>
      <c r="L43" s="6332"/>
      <c r="M43" s="6371" t="str">
        <f>IMAGE("https://raw.githubusercontent.com/msikma/pokesprite/master/items/hold-item/assault-vest.png",3)</f>
        <v/>
      </c>
      <c r="O43" s="6370" t="s">
        <v>573</v>
      </c>
      <c r="P43" s="6331"/>
      <c r="Q43" s="6332"/>
      <c r="R43" s="6371" t="str">
        <f>IMAGE("https://raw.githubusercontent.com/msikma/pokesprite/master/items/hold-item/focus-sash.png",3)</f>
        <v/>
      </c>
      <c r="T43" s="6370" t="s">
        <v>733</v>
      </c>
      <c r="U43" s="6331"/>
      <c r="V43" s="6332"/>
      <c r="W43" s="6371" t="str">
        <f>IMAGE("https://raw.githubusercontent.com/msikma/pokesprite/master/items/hold-item/leftovers.png",3)</f>
        <v/>
      </c>
      <c r="Y43" s="6370" t="s">
        <v>1545</v>
      </c>
      <c r="Z43" s="6331"/>
      <c r="AA43" s="6332"/>
      <c r="AB43" s="6371" t="str">
        <f>IMAGE("https://raw.githubusercontent.com/msikma/pokesprite/master/items/z-crystals/dragonium-z--held.png",3)</f>
        <v/>
      </c>
      <c r="AD43" s="6370" t="s">
        <v>1866</v>
      </c>
      <c r="AE43" s="6331"/>
      <c r="AF43" s="6332"/>
      <c r="AG43" s="6371" t="str">
        <f>IMAGE("https://raw.githubusercontent.com/msikma/pokesprite/master/items/mega-stone/abomasite.png",3)</f>
        <v/>
      </c>
      <c r="AH43" s="6328"/>
      <c r="AI43" s="6215"/>
    </row>
    <row r="44" ht="20.25" customHeight="1">
      <c r="A44" s="6210"/>
      <c r="B44" s="6325"/>
      <c r="C44" s="6326"/>
      <c r="D44" s="6362"/>
      <c r="E44" s="6363" t="s">
        <v>582</v>
      </c>
      <c r="F44" s="6364"/>
      <c r="G44" s="6372"/>
      <c r="H44" s="6373" t="str">
        <f>IMAGE("https://raw.githubusercontent.com/msikma/pokesprite/master/misc/types/gen8/ice.png",4,20,20)</f>
        <v/>
      </c>
      <c r="J44" s="6363" t="s">
        <v>622</v>
      </c>
      <c r="K44" s="6364"/>
      <c r="L44" s="6372"/>
      <c r="M44" s="6373" t="str">
        <f>IMAGE("https://raw.githubusercontent.com/msikma/pokesprite/master/misc/types/gen8/ground.png",4,20,20)</f>
        <v/>
      </c>
      <c r="O44" s="6363" t="s">
        <v>925</v>
      </c>
      <c r="P44" s="6364"/>
      <c r="Q44" s="6372"/>
      <c r="R44" s="6373" t="str">
        <f>IMAGE("https://raw.githubusercontent.com/msikma/pokesprite/master/misc/types/gen8/ice.png",4,20,20)</f>
        <v/>
      </c>
      <c r="T44" s="6363" t="s">
        <v>170</v>
      </c>
      <c r="U44" s="6364"/>
      <c r="V44" s="6372"/>
      <c r="W44" s="6373" t="str">
        <f>IMAGE("https://raw.githubusercontent.com/msikma/pokesprite/master/misc/types/gen8/psychic.png",4,20,20)</f>
        <v/>
      </c>
      <c r="Y44" s="6363" t="s">
        <v>582</v>
      </c>
      <c r="Z44" s="6364"/>
      <c r="AA44" s="6372"/>
      <c r="AB44" s="6373" t="str">
        <f>IMAGE("https://raw.githubusercontent.com/msikma/pokesprite/master/misc/types/gen8/ice.png",4,20,20)</f>
        <v/>
      </c>
      <c r="AD44" s="6363" t="s">
        <v>543</v>
      </c>
      <c r="AE44" s="6364"/>
      <c r="AF44" s="6372"/>
      <c r="AG44" s="6373" t="str">
        <f>IMAGE("https://raw.githubusercontent.com/msikma/pokesprite/master/misc/types/gen8/grass.png",4,20,20)</f>
        <v/>
      </c>
      <c r="AH44" s="6328"/>
      <c r="AI44" s="6215"/>
    </row>
    <row r="45" ht="20.25" customHeight="1">
      <c r="A45" s="6210"/>
      <c r="B45" s="6325"/>
      <c r="C45" s="6326"/>
      <c r="D45" s="6362"/>
      <c r="E45" s="6366" t="s">
        <v>644</v>
      </c>
      <c r="F45" s="6367"/>
      <c r="G45" s="6374"/>
      <c r="H45" s="6375" t="str">
        <f>IMAGE("https://raw.githubusercontent.com/msikma/pokesprite/master/misc/types/gen8/ground.png",4,20,20)</f>
        <v/>
      </c>
      <c r="J45" s="6366" t="s">
        <v>621</v>
      </c>
      <c r="K45" s="6367"/>
      <c r="L45" s="6374"/>
      <c r="M45" s="6375" t="str">
        <f>IMAGE("https://raw.githubusercontent.com/msikma/pokesprite/master/misc/types/gen8/rock.png",4,20,20)</f>
        <v/>
      </c>
      <c r="O45" s="6366" t="s">
        <v>579</v>
      </c>
      <c r="P45" s="6367"/>
      <c r="Q45" s="6374"/>
      <c r="R45" s="6375" t="str">
        <f>IMAGE("https://raw.githubusercontent.com/msikma/pokesprite/master/misc/types/gen8/dark.png",4,20,20)</f>
        <v/>
      </c>
      <c r="T45" s="6366" t="s">
        <v>643</v>
      </c>
      <c r="U45" s="6367"/>
      <c r="V45" s="6374"/>
      <c r="W45" s="6375" t="str">
        <f>IMAGE("https://raw.githubusercontent.com/msikma/pokesprite/master/misc/types/gen8/water.png",4,20,20)</f>
        <v/>
      </c>
      <c r="Y45" s="6366" t="s">
        <v>1867</v>
      </c>
      <c r="Z45" s="6367"/>
      <c r="AA45" s="6374"/>
      <c r="AB45" s="6375" t="str">
        <f>IMAGE("https://raw.githubusercontent.com/msikma/pokesprite/master/misc/types/gen8/fire.png",4,20,20)</f>
        <v/>
      </c>
      <c r="AD45" s="6366" t="s">
        <v>582</v>
      </c>
      <c r="AE45" s="6367"/>
      <c r="AF45" s="6374"/>
      <c r="AG45" s="6375" t="str">
        <f>IMAGE("https://raw.githubusercontent.com/msikma/pokesprite/master/misc/types/gen8/ice.png",4,20,20)</f>
        <v/>
      </c>
      <c r="AH45" s="6328"/>
      <c r="AI45" s="6215"/>
    </row>
    <row r="46" ht="20.25" customHeight="1">
      <c r="A46" s="6210"/>
      <c r="B46" s="6325"/>
      <c r="C46" s="6326"/>
      <c r="D46" s="6362"/>
      <c r="E46" s="6366" t="s">
        <v>586</v>
      </c>
      <c r="F46" s="6367"/>
      <c r="G46" s="6374"/>
      <c r="H46" s="6375" t="str">
        <f>IMAGE("https://raw.githubusercontent.com/msikma/pokesprite/master/misc/types/gen8/ice.png",4,20,20)</f>
        <v/>
      </c>
      <c r="J46" s="6366" t="s">
        <v>612</v>
      </c>
      <c r="K46" s="6367"/>
      <c r="L46" s="6374"/>
      <c r="M46" s="6375" t="str">
        <f>IMAGE("https://raw.githubusercontent.com/msikma/pokesprite/master/misc/types/gen8/bug.png",4,20,20)</f>
        <v/>
      </c>
      <c r="O46" s="6366" t="s">
        <v>624</v>
      </c>
      <c r="P46" s="6367"/>
      <c r="Q46" s="6374"/>
      <c r="R46" s="6375" t="str">
        <f>IMAGE("https://raw.githubusercontent.com/msikma/pokesprite/master/misc/types/gen8/fighting.png",4,20,20)</f>
        <v/>
      </c>
      <c r="T46" s="6366" t="s">
        <v>641</v>
      </c>
      <c r="U46" s="6367"/>
      <c r="V46" s="6374"/>
      <c r="W46" s="6375" t="str">
        <f>IMAGE("https://raw.githubusercontent.com/msikma/pokesprite/master/misc/types/gen8/fairy.png",4,20,20)</f>
        <v/>
      </c>
      <c r="Y46" s="6366" t="s">
        <v>617</v>
      </c>
      <c r="Z46" s="6367"/>
      <c r="AA46" s="6374"/>
      <c r="AB46" s="6375" t="str">
        <f>IMAGE("https://raw.githubusercontent.com/msikma/pokesprite/master/misc/types/gen8/dragon.png",4,20,20)</f>
        <v/>
      </c>
      <c r="AD46" s="6366" t="s">
        <v>549</v>
      </c>
      <c r="AE46" s="6367"/>
      <c r="AF46" s="6374"/>
      <c r="AG46" s="6375" t="str">
        <f>IMAGE("https://raw.githubusercontent.com/msikma/pokesprite/master/misc/types/gen8/ground.png",4,20,20)</f>
        <v/>
      </c>
      <c r="AH46" s="6328"/>
      <c r="AI46" s="6215"/>
    </row>
    <row r="47" ht="21.0" customHeight="1">
      <c r="A47" s="6210"/>
      <c r="B47" s="6325"/>
      <c r="C47" s="6326"/>
      <c r="D47" s="6362"/>
      <c r="E47" s="6376" t="s">
        <v>671</v>
      </c>
      <c r="F47" s="6377"/>
      <c r="G47" s="6378"/>
      <c r="H47" s="6379" t="str">
        <f>IMAGE("https://raw.githubusercontent.com/msikma/pokesprite/master/misc/types/gen8/fire.png",4,20,20)</f>
        <v/>
      </c>
      <c r="I47" s="6380"/>
      <c r="J47" s="6376" t="s">
        <v>579</v>
      </c>
      <c r="K47" s="6377"/>
      <c r="L47" s="6378"/>
      <c r="M47" s="6379" t="str">
        <f>IMAGE("https://raw.githubusercontent.com/msikma/pokesprite/master/misc/types/gen8/dark.png",4,20,20)</f>
        <v/>
      </c>
      <c r="N47" s="6380"/>
      <c r="O47" s="6376" t="s">
        <v>1282</v>
      </c>
      <c r="P47" s="6377"/>
      <c r="Q47" s="6378"/>
      <c r="R47" s="6379" t="str">
        <f>IMAGE("https://raw.githubusercontent.com/msikma/pokesprite/master/misc/types/gen8/ice.png",4,20,20)</f>
        <v/>
      </c>
      <c r="S47" s="6380"/>
      <c r="T47" s="6376" t="s">
        <v>582</v>
      </c>
      <c r="U47" s="6377"/>
      <c r="V47" s="6378"/>
      <c r="W47" s="6379" t="str">
        <f>IMAGE("https://raw.githubusercontent.com/msikma/pokesprite/master/misc/types/gen8/ice.png",4,20,20)</f>
        <v/>
      </c>
      <c r="X47" s="6380"/>
      <c r="Y47" s="6376" t="s">
        <v>586</v>
      </c>
      <c r="Z47" s="6377"/>
      <c r="AA47" s="6378"/>
      <c r="AB47" s="6379" t="str">
        <f>IMAGE("https://raw.githubusercontent.com/msikma/pokesprite/master/misc/types/gen8/ice.png",4,20,20)</f>
        <v/>
      </c>
      <c r="AC47" s="6380"/>
      <c r="AD47" s="6376" t="s">
        <v>671</v>
      </c>
      <c r="AE47" s="6377"/>
      <c r="AF47" s="6378"/>
      <c r="AG47" s="6379" t="str">
        <f>IMAGE("https://raw.githubusercontent.com/msikma/pokesprite/master/misc/types/gen8/fire.png",4,20,20)</f>
        <v/>
      </c>
      <c r="AH47" s="6328"/>
      <c r="AI47" s="6215"/>
    </row>
    <row r="48" ht="3.0" customHeight="1">
      <c r="A48" s="6278"/>
      <c r="B48" s="6381"/>
      <c r="C48" s="6382"/>
      <c r="D48" s="6383"/>
      <c r="E48" s="6384"/>
      <c r="F48" s="6384"/>
      <c r="G48" s="6384"/>
      <c r="H48" s="6385"/>
      <c r="I48" s="6327"/>
      <c r="J48" s="6386"/>
      <c r="K48" s="6386"/>
      <c r="L48" s="6386"/>
      <c r="M48" s="6385"/>
      <c r="N48" s="6327"/>
      <c r="O48" s="6386"/>
      <c r="P48" s="6386"/>
      <c r="Q48" s="6386"/>
      <c r="R48" s="6385"/>
      <c r="S48" s="6327"/>
      <c r="T48" s="6386"/>
      <c r="U48" s="6386"/>
      <c r="V48" s="6386"/>
      <c r="W48" s="6385"/>
      <c r="X48" s="6327"/>
      <c r="Y48" s="6387"/>
      <c r="Z48" s="6387"/>
      <c r="AA48" s="6387"/>
      <c r="AB48" s="6388"/>
      <c r="AC48" s="6388"/>
      <c r="AD48" s="6387"/>
      <c r="AE48" s="6387"/>
      <c r="AF48" s="6387"/>
      <c r="AG48" s="6388"/>
      <c r="AH48" s="6389"/>
      <c r="AI48" s="6288"/>
    </row>
    <row r="49" ht="16.5" customHeight="1">
      <c r="A49" s="6289"/>
      <c r="B49" s="6390"/>
      <c r="C49" s="6391"/>
      <c r="D49" s="6392"/>
      <c r="E49" s="6393" t="s">
        <v>512</v>
      </c>
      <c r="F49" s="606"/>
      <c r="G49" s="606"/>
      <c r="H49" s="607"/>
      <c r="I49" s="6394"/>
      <c r="J49" s="6393" t="s">
        <v>512</v>
      </c>
      <c r="K49" s="606"/>
      <c r="L49" s="606"/>
      <c r="M49" s="607"/>
      <c r="N49" s="6394"/>
      <c r="O49" s="6393" t="s">
        <v>512</v>
      </c>
      <c r="P49" s="606"/>
      <c r="Q49" s="606"/>
      <c r="R49" s="607"/>
      <c r="S49" s="6394"/>
      <c r="T49" s="6393" t="s">
        <v>512</v>
      </c>
      <c r="U49" s="606"/>
      <c r="V49" s="606"/>
      <c r="W49" s="607"/>
      <c r="X49" s="6394"/>
      <c r="Y49" s="6393" t="s">
        <v>512</v>
      </c>
      <c r="Z49" s="606"/>
      <c r="AA49" s="606"/>
      <c r="AB49" s="607"/>
      <c r="AC49" s="6395"/>
      <c r="AD49" s="6393" t="s">
        <v>512</v>
      </c>
      <c r="AE49" s="606"/>
      <c r="AF49" s="606"/>
      <c r="AG49" s="607"/>
      <c r="AH49" s="6396"/>
      <c r="AI49" s="6297"/>
    </row>
    <row r="50" ht="16.5" customHeight="1">
      <c r="A50" s="6289"/>
      <c r="B50" s="6390"/>
      <c r="C50" s="6391"/>
      <c r="D50" s="6392"/>
      <c r="E50" s="6397" t="s">
        <v>513</v>
      </c>
      <c r="F50" s="6398">
        <f t="array" ref="F50">IFERROR(VLOOKUP(E37,Dex!$B$3:$N298,8,FALSE),"")</f>
        <v>80</v>
      </c>
      <c r="G50" s="6399" t="str">
        <f t="array" ref="G50">IFERROR(VLOOKUP(F50,Dex!$P$22:$Q$276,2,FALSE),"")</f>
        <v/>
      </c>
      <c r="H50" s="6400"/>
      <c r="I50" s="6392"/>
      <c r="J50" s="6397" t="s">
        <v>513</v>
      </c>
      <c r="K50" s="6398">
        <f t="array" ref="K50">IFERROR(VLOOKUP(J37,Dex!$B$3:$N298,8,FALSE),"")</f>
        <v>89</v>
      </c>
      <c r="L50" s="6399" t="str">
        <f t="array" ref="L50">IFERROR(VLOOKUP(K50,Dex!$P$22:$Q$276,2,FALSE),"")</f>
        <v/>
      </c>
      <c r="M50" s="6400"/>
      <c r="N50" s="6392"/>
      <c r="O50" s="6397" t="s">
        <v>513</v>
      </c>
      <c r="P50" s="6398">
        <f t="array" ref="P50">IFERROR(VLOOKUP(O37,Dex!$B$3:$N298,8,FALSE),"")</f>
        <v>80</v>
      </c>
      <c r="Q50" s="6399" t="str">
        <f t="array" ref="Q50">IFERROR(VLOOKUP(P50,Dex!$P$22:$Q$276,2,FALSE),"")</f>
        <v/>
      </c>
      <c r="R50" s="6400"/>
      <c r="S50" s="6392"/>
      <c r="T50" s="6397" t="s">
        <v>513</v>
      </c>
      <c r="U50" s="6398">
        <f t="array" ref="U50">IFERROR(VLOOKUP(T37,Dex!$B$3:$N298,8,FALSE),"")</f>
        <v>70</v>
      </c>
      <c r="V50" s="6399" t="str">
        <f t="array" ref="V50">IFERROR(VLOOKUP(U50,Dex!$P$22:$Q$276,2,FALSE),"")</f>
        <v/>
      </c>
      <c r="W50" s="6400"/>
      <c r="X50" s="6392"/>
      <c r="Y50" s="6397" t="s">
        <v>513</v>
      </c>
      <c r="Z50" s="6398">
        <f t="array" ref="Z50">IFERROR(VLOOKUP(Y37,Dex!$B$3:$N298,8,FALSE),"")</f>
        <v>125</v>
      </c>
      <c r="AA50" s="6399" t="str">
        <f t="array" ref="AA50">IFERROR(VLOOKUP(Z50,Dex!$P$22:$Q$276,2,FALSE),"")</f>
        <v/>
      </c>
      <c r="AB50" s="6400"/>
      <c r="AC50" s="6401"/>
      <c r="AD50" s="6397" t="s">
        <v>513</v>
      </c>
      <c r="AE50" s="6398">
        <f t="array" ref="AE50">IFERROR(VLOOKUP(AD37,Dex!$B$3:$N298,8,FALSE),"")</f>
        <v>90</v>
      </c>
      <c r="AF50" s="6399" t="str">
        <f t="array" ref="AF50">IFERROR(VLOOKUP(AE50,Dex!$P$22:$Q$276,2,FALSE),"")</f>
        <v/>
      </c>
      <c r="AG50" s="6400"/>
      <c r="AH50" s="6396"/>
      <c r="AI50" s="6297"/>
    </row>
    <row r="51" ht="16.5" customHeight="1">
      <c r="A51" s="6289"/>
      <c r="B51" s="6390"/>
      <c r="C51" s="6391"/>
      <c r="D51" s="6392"/>
      <c r="E51" s="6402" t="s">
        <v>514</v>
      </c>
      <c r="F51" s="6403">
        <f t="array" ref="F51">IFERROR(VLOOKUP(E37,Dex!$B$3:$N298,9,FALSE),"")</f>
        <v>45</v>
      </c>
      <c r="G51" s="6404" t="str">
        <f t="array" ref="G51">IFERROR(VLOOKUP(F51,Dex!$P$22:$Q$276,2,FALSE),"")</f>
        <v/>
      </c>
      <c r="H51" s="6405"/>
      <c r="I51" s="6392"/>
      <c r="J51" s="6402" t="s">
        <v>514</v>
      </c>
      <c r="K51" s="6403">
        <f t="array" ref="K51">IFERROR(VLOOKUP(J37,Dex!$B$3:$N298,9,FALSE),"")</f>
        <v>145</v>
      </c>
      <c r="L51" s="6404" t="str">
        <f t="array" ref="L51">IFERROR(VLOOKUP(K51,Dex!$P$22:$Q$276,2,FALSE),"")</f>
        <v/>
      </c>
      <c r="M51" s="6405"/>
      <c r="N51" s="6392"/>
      <c r="O51" s="6402" t="s">
        <v>514</v>
      </c>
      <c r="P51" s="6403">
        <f t="array" ref="P51">IFERROR(VLOOKUP(O37,Dex!$B$3:$N298,9,FALSE),"")</f>
        <v>120</v>
      </c>
      <c r="Q51" s="6404" t="str">
        <f t="array" ref="Q51">IFERROR(VLOOKUP(P51,Dex!$P$22:$Q$276,2,FALSE),"")</f>
        <v/>
      </c>
      <c r="R51" s="6405"/>
      <c r="S51" s="6392"/>
      <c r="T51" s="6402" t="s">
        <v>514</v>
      </c>
      <c r="U51" s="6403">
        <f t="array" ref="U51">IFERROR(VLOOKUP(T37,Dex!$B$3:$N298,9,FALSE),"")</f>
        <v>75</v>
      </c>
      <c r="V51" s="6404" t="str">
        <f t="array" ref="V51">IFERROR(VLOOKUP(U51,Dex!$P$22:$Q$276,2,FALSE),"")</f>
        <v/>
      </c>
      <c r="W51" s="6405"/>
      <c r="X51" s="6392"/>
      <c r="Y51" s="6402" t="s">
        <v>514</v>
      </c>
      <c r="Z51" s="6403">
        <f t="array" ref="Z51">IFERROR(VLOOKUP(Y37,Dex!$B$3:$N298,9,FALSE),"")</f>
        <v>120</v>
      </c>
      <c r="AA51" s="6404" t="str">
        <f t="array" ref="AA51">IFERROR(VLOOKUP(Z51,Dex!$P$22:$Q$276,2,FALSE),"")</f>
        <v/>
      </c>
      <c r="AB51" s="6405"/>
      <c r="AC51" s="6401"/>
      <c r="AD51" s="6402" t="s">
        <v>514</v>
      </c>
      <c r="AE51" s="6403">
        <f t="array" ref="AE51">IFERROR(VLOOKUP(AD37,Dex!$B$3:$N298,9,FALSE),"")</f>
        <v>132</v>
      </c>
      <c r="AF51" s="6404" t="str">
        <f t="array" ref="AF51">IFERROR(VLOOKUP(AE51,Dex!$P$22:$Q$276,2,FALSE),"")</f>
        <v/>
      </c>
      <c r="AG51" s="6405"/>
      <c r="AH51" s="6396"/>
      <c r="AI51" s="6297"/>
    </row>
    <row r="52" ht="16.5" customHeight="1">
      <c r="A52" s="6289"/>
      <c r="B52" s="6390"/>
      <c r="C52" s="6391"/>
      <c r="D52" s="6392"/>
      <c r="E52" s="6402" t="s">
        <v>515</v>
      </c>
      <c r="F52" s="6403">
        <f t="array" ref="F52">IFERROR(VLOOKUP(E37,Dex!$B$3:$N298,10,FALSE),"")</f>
        <v>100</v>
      </c>
      <c r="G52" s="6404" t="str">
        <f t="array" ref="G52">IFERROR(VLOOKUP(F52,Dex!$P$22:$Q$276,2,FALSE),"")</f>
        <v/>
      </c>
      <c r="H52" s="6405"/>
      <c r="I52" s="6392"/>
      <c r="J52" s="6402" t="s">
        <v>515</v>
      </c>
      <c r="K52" s="6403">
        <f t="array" ref="K52">IFERROR(VLOOKUP(J37,Dex!$B$3:$N298,10,FALSE),"")</f>
        <v>90</v>
      </c>
      <c r="L52" s="6404" t="str">
        <f t="array" ref="L52">IFERROR(VLOOKUP(K52,Dex!$P$22:$Q$276,2,FALSE),"")</f>
        <v/>
      </c>
      <c r="M52" s="6405"/>
      <c r="N52" s="6392"/>
      <c r="O52" s="6402" t="s">
        <v>515</v>
      </c>
      <c r="P52" s="6403">
        <f t="array" ref="P52">IFERROR(VLOOKUP(O37,Dex!$B$3:$N298,10,FALSE),"")</f>
        <v>80</v>
      </c>
      <c r="Q52" s="6404" t="str">
        <f t="array" ref="Q52">IFERROR(VLOOKUP(P52,Dex!$P$22:$Q$276,2,FALSE),"")</f>
        <v/>
      </c>
      <c r="R52" s="6405"/>
      <c r="S52" s="6392"/>
      <c r="T52" s="6402" t="s">
        <v>515</v>
      </c>
      <c r="U52" s="6403">
        <f t="array" ref="U52">IFERROR(VLOOKUP(T37,Dex!$B$3:$N298,10,FALSE),"")</f>
        <v>115</v>
      </c>
      <c r="V52" s="6404" t="str">
        <f t="array" ref="V52">IFERROR(VLOOKUP(U52,Dex!$P$22:$Q$276,2,FALSE),"")</f>
        <v/>
      </c>
      <c r="W52" s="6405"/>
      <c r="X52" s="6392"/>
      <c r="Y52" s="6402" t="s">
        <v>515</v>
      </c>
      <c r="Z52" s="6403">
        <f t="array" ref="Z52">IFERROR(VLOOKUP(Y37,Dex!$B$3:$N298,10,FALSE),"")</f>
        <v>90</v>
      </c>
      <c r="AA52" s="6404" t="str">
        <f t="array" ref="AA52">IFERROR(VLOOKUP(Z52,Dex!$P$22:$Q$276,2,FALSE),"")</f>
        <v/>
      </c>
      <c r="AB52" s="6405"/>
      <c r="AC52" s="6401"/>
      <c r="AD52" s="6402" t="s">
        <v>515</v>
      </c>
      <c r="AE52" s="6403">
        <f t="array" ref="AE52">IFERROR(VLOOKUP(AD37,Dex!$B$3:$N298,10,FALSE),"")</f>
        <v>105</v>
      </c>
      <c r="AF52" s="6404" t="str">
        <f t="array" ref="AF52">IFERROR(VLOOKUP(AE52,Dex!$P$22:$Q$276,2,FALSE),"")</f>
        <v/>
      </c>
      <c r="AG52" s="6405"/>
      <c r="AH52" s="6396"/>
      <c r="AI52" s="6297"/>
    </row>
    <row r="53" ht="16.5" customHeight="1">
      <c r="A53" s="6289"/>
      <c r="B53" s="6390"/>
      <c r="C53" s="6391"/>
      <c r="D53" s="6392"/>
      <c r="E53" s="6402" t="s">
        <v>516</v>
      </c>
      <c r="F53" s="6403">
        <f t="array" ref="F53">IFERROR(VLOOKUP(E37,Dex!$B$3:$N298,11,FALSE),"")</f>
        <v>130</v>
      </c>
      <c r="G53" s="6404" t="str">
        <f t="array" ref="G53">IFERROR(VLOOKUP(F53,Dex!$P$22:$Q$276,2,FALSE),"")</f>
        <v/>
      </c>
      <c r="H53" s="6405"/>
      <c r="I53" s="6392"/>
      <c r="J53" s="6402" t="s">
        <v>516</v>
      </c>
      <c r="K53" s="6403">
        <f t="array" ref="K53">IFERROR(VLOOKUP(J37,Dex!$B$3:$N298,11,FALSE),"")</f>
        <v>105</v>
      </c>
      <c r="L53" s="6404" t="str">
        <f t="array" ref="L53">IFERROR(VLOOKUP(K53,Dex!$P$22:$Q$276,2,FALSE),"")</f>
        <v/>
      </c>
      <c r="M53" s="6405"/>
      <c r="N53" s="6392"/>
      <c r="O53" s="6402" t="s">
        <v>516</v>
      </c>
      <c r="P53" s="6403">
        <f t="array" ref="P53">IFERROR(VLOOKUP(O37,Dex!$B$3:$N298,11,FALSE),"")</f>
        <v>90</v>
      </c>
      <c r="Q53" s="6404" t="str">
        <f t="array" ref="Q53">IFERROR(VLOOKUP(P53,Dex!$P$22:$Q$276,2,FALSE),"")</f>
        <v/>
      </c>
      <c r="R53" s="6405"/>
      <c r="S53" s="6392"/>
      <c r="T53" s="6402" t="s">
        <v>516</v>
      </c>
      <c r="U53" s="6403">
        <f t="array" ref="U53">IFERROR(VLOOKUP(T37,Dex!$B$3:$N298,11,FALSE),"")</f>
        <v>95</v>
      </c>
      <c r="V53" s="6404" t="str">
        <f t="array" ref="V53">IFERROR(VLOOKUP(U53,Dex!$P$22:$Q$276,2,FALSE),"")</f>
        <v/>
      </c>
      <c r="W53" s="6405"/>
      <c r="X53" s="6392"/>
      <c r="Y53" s="6402" t="s">
        <v>516</v>
      </c>
      <c r="Z53" s="6403">
        <f t="array" ref="Z53">IFERROR(VLOOKUP(Y37,Dex!$B$3:$N298,11,FALSE),"")</f>
        <v>170</v>
      </c>
      <c r="AA53" s="6404" t="str">
        <f t="array" ref="AA53">IFERROR(VLOOKUP(Z53,Dex!$P$22:$Q$276,2,FALSE),"")</f>
        <v/>
      </c>
      <c r="AB53" s="6405"/>
      <c r="AC53" s="6401"/>
      <c r="AD53" s="6402" t="s">
        <v>516</v>
      </c>
      <c r="AE53" s="6403">
        <f t="array" ref="AE53">IFERROR(VLOOKUP(AD37,Dex!$B$3:$N298,11,FALSE),"")</f>
        <v>132</v>
      </c>
      <c r="AF53" s="6404" t="str">
        <f t="array" ref="AF53">IFERROR(VLOOKUP(AE53,Dex!$P$22:$Q$276,2,FALSE),"")</f>
        <v/>
      </c>
      <c r="AG53" s="6405"/>
      <c r="AH53" s="6396"/>
      <c r="AI53" s="6297"/>
    </row>
    <row r="54" ht="16.5" customHeight="1">
      <c r="A54" s="6289"/>
      <c r="B54" s="6390"/>
      <c r="C54" s="6391"/>
      <c r="D54" s="6392"/>
      <c r="E54" s="6402" t="s">
        <v>517</v>
      </c>
      <c r="F54" s="6403">
        <f t="array" ref="F54">IFERROR(VLOOKUP(E37,Dex!$B$3:$N298,12,FALSE),"")</f>
        <v>95</v>
      </c>
      <c r="G54" s="6404" t="str">
        <f t="array" ref="G54">IFERROR(VLOOKUP(F54,Dex!$P$22:$Q$276,2,FALSE),"")</f>
        <v/>
      </c>
      <c r="H54" s="6405"/>
      <c r="I54" s="6392"/>
      <c r="J54" s="6402" t="s">
        <v>517</v>
      </c>
      <c r="K54" s="6403">
        <f t="array" ref="K54">IFERROR(VLOOKUP(J37,Dex!$B$3:$N298,12,FALSE),"")</f>
        <v>80</v>
      </c>
      <c r="L54" s="6404" t="str">
        <f t="array" ref="L54">IFERROR(VLOOKUP(K54,Dex!$P$22:$Q$276,2,FALSE),"")</f>
        <v/>
      </c>
      <c r="M54" s="6405"/>
      <c r="N54" s="6392"/>
      <c r="O54" s="6402" t="s">
        <v>517</v>
      </c>
      <c r="P54" s="6403">
        <f t="array" ref="P54">IFERROR(VLOOKUP(O37,Dex!$B$3:$N298,12,FALSE),"")</f>
        <v>65</v>
      </c>
      <c r="Q54" s="6404" t="str">
        <f t="array" ref="Q54">IFERROR(VLOOKUP(P54,Dex!$P$22:$Q$276,2,FALSE),"")</f>
        <v/>
      </c>
      <c r="R54" s="6405"/>
      <c r="S54" s="6392"/>
      <c r="T54" s="6402" t="s">
        <v>517</v>
      </c>
      <c r="U54" s="6403">
        <f t="array" ref="U54">IFERROR(VLOOKUP(T37,Dex!$B$3:$N298,12,FALSE),"")</f>
        <v>130</v>
      </c>
      <c r="V54" s="6404" t="str">
        <f t="array" ref="V54">IFERROR(VLOOKUP(U54,Dex!$P$22:$Q$276,2,FALSE),"")</f>
        <v/>
      </c>
      <c r="W54" s="6405"/>
      <c r="X54" s="6392"/>
      <c r="Y54" s="6402" t="s">
        <v>517</v>
      </c>
      <c r="Z54" s="6403">
        <f t="array" ref="Z54">IFERROR(VLOOKUP(Y37,Dex!$B$3:$N298,12,FALSE),"")</f>
        <v>100</v>
      </c>
      <c r="AA54" s="6404" t="str">
        <f t="array" ref="AA54">IFERROR(VLOOKUP(Z54,Dex!$P$22:$Q$276,2,FALSE),"")</f>
        <v/>
      </c>
      <c r="AB54" s="6405"/>
      <c r="AC54" s="6401"/>
      <c r="AD54" s="6402" t="s">
        <v>517</v>
      </c>
      <c r="AE54" s="6403">
        <f t="array" ref="AE54">IFERROR(VLOOKUP(AD37,Dex!$B$3:$N298,12,FALSE),"")</f>
        <v>105</v>
      </c>
      <c r="AF54" s="6404" t="str">
        <f t="array" ref="AF54">IFERROR(VLOOKUP(AE54,Dex!$P$22:$Q$276,2,FALSE),"")</f>
        <v/>
      </c>
      <c r="AG54" s="6405"/>
      <c r="AH54" s="6396"/>
      <c r="AI54" s="6297"/>
    </row>
    <row r="55" ht="16.5" customHeight="1">
      <c r="A55" s="6289"/>
      <c r="B55" s="6390"/>
      <c r="C55" s="6391"/>
      <c r="D55" s="6392"/>
      <c r="E55" s="6406" t="s">
        <v>518</v>
      </c>
      <c r="F55" s="6407">
        <f t="array" ref="F55">IFERROR(VLOOKUP(E37,Dex!$B$3:$N298,13,FALSE),"")</f>
        <v>75</v>
      </c>
      <c r="G55" s="6408" t="str">
        <f t="array" ref="G55">IFERROR(VLOOKUP(F55,Dex!$P$22:$Q$276,2,FALSE),"")</f>
        <v/>
      </c>
      <c r="H55" s="6409"/>
      <c r="I55" s="6392"/>
      <c r="J55" s="6406" t="s">
        <v>518</v>
      </c>
      <c r="K55" s="6407">
        <f t="array" ref="K55">IFERROR(VLOOKUP(J37,Dex!$B$3:$N298,13,FALSE),"")</f>
        <v>91</v>
      </c>
      <c r="L55" s="6410" t="str">
        <f t="array" ref="L55">IFERROR(VLOOKUP(K55,Dex!$P$22:$Q$276,2,FALSE),"")</f>
        <v/>
      </c>
      <c r="M55" s="6411"/>
      <c r="N55" s="6392"/>
      <c r="O55" s="6406" t="s">
        <v>518</v>
      </c>
      <c r="P55" s="6407">
        <f t="array" ref="P55">IFERROR(VLOOKUP(O37,Dex!$B$3:$N298,13,FALSE),"")</f>
        <v>135</v>
      </c>
      <c r="Q55" s="6410" t="str">
        <f t="array" ref="Q55">IFERROR(VLOOKUP(P55,Dex!$P$22:$Q$276,2,FALSE),"")</f>
        <v/>
      </c>
      <c r="R55" s="6411"/>
      <c r="S55" s="6392"/>
      <c r="T55" s="6406" t="s">
        <v>518</v>
      </c>
      <c r="U55" s="6407">
        <f t="array" ref="U55">IFERROR(VLOOKUP(T37,Dex!$B$3:$N298,13,FALSE),"")</f>
        <v>85</v>
      </c>
      <c r="V55" s="6410" t="str">
        <f t="array" ref="V55">IFERROR(VLOOKUP(U55,Dex!$P$22:$Q$276,2,FALSE),"")</f>
        <v/>
      </c>
      <c r="W55" s="6411"/>
      <c r="X55" s="6392"/>
      <c r="Y55" s="6406" t="s">
        <v>518</v>
      </c>
      <c r="Z55" s="6407">
        <f t="array" ref="Z55">IFERROR(VLOOKUP(Y37,Dex!$B$3:$N298,13,FALSE),"")</f>
        <v>95</v>
      </c>
      <c r="AA55" s="6410" t="str">
        <f t="array" ref="AA55">IFERROR(VLOOKUP(Z55,Dex!$P$22:$Q$276,2,FALSE),"")</f>
        <v/>
      </c>
      <c r="AB55" s="6411"/>
      <c r="AC55" s="6401"/>
      <c r="AD55" s="6406" t="s">
        <v>518</v>
      </c>
      <c r="AE55" s="6407">
        <f t="array" ref="AE55">IFERROR(VLOOKUP(AD37,Dex!$B$3:$N298,13,FALSE),"")</f>
        <v>60</v>
      </c>
      <c r="AF55" s="6410" t="str">
        <f t="array" ref="AF55">IFERROR(VLOOKUP(AE55,Dex!$P$22:$Q$276,2,FALSE),"")</f>
        <v/>
      </c>
      <c r="AG55" s="6411"/>
      <c r="AH55" s="6396"/>
      <c r="AI55" s="6297"/>
    </row>
    <row r="56" ht="16.5" customHeight="1">
      <c r="A56" s="6289"/>
      <c r="B56" s="6390"/>
      <c r="C56" s="6391"/>
      <c r="D56" s="6412"/>
      <c r="E56" s="6413" t="s">
        <v>519</v>
      </c>
      <c r="F56" s="635"/>
      <c r="G56" s="636"/>
      <c r="H56" s="632">
        <f>ROUNDDOWN((ROUNDDOWN(((((2*F55+30)*85)/100+5)),0))*1,0)</f>
        <v>158</v>
      </c>
      <c r="I56" s="6412"/>
      <c r="J56" s="6414" t="s">
        <v>519</v>
      </c>
      <c r="K56" s="630"/>
      <c r="L56" s="631"/>
      <c r="M56" s="632">
        <f>ROUNDDOWN((ROUNDDOWN(((((2*K55+31)*85)/100+5)),0))*1.1,0)</f>
        <v>204</v>
      </c>
      <c r="N56" s="6412"/>
      <c r="O56" s="6414" t="s">
        <v>519</v>
      </c>
      <c r="P56" s="630"/>
      <c r="Q56" s="631"/>
      <c r="R56" s="632">
        <f>ROUNDDOWN((ROUNDDOWN(((((2*P55+31)*85)/100+5)),0))*1.1,0)</f>
        <v>286</v>
      </c>
      <c r="S56" s="6412"/>
      <c r="T56" s="6414" t="s">
        <v>519</v>
      </c>
      <c r="U56" s="630"/>
      <c r="V56" s="631"/>
      <c r="W56" s="632">
        <f>ROUNDDOWN((ROUNDDOWN(((((2*U55+31)*85)/100+5)),0))*1,0)</f>
        <v>175</v>
      </c>
      <c r="X56" s="6412"/>
      <c r="Y56" s="6414" t="s">
        <v>519</v>
      </c>
      <c r="Z56" s="630"/>
      <c r="AA56" s="631"/>
      <c r="AB56" s="632">
        <f>ROUNDDOWN((ROUNDDOWN(((((2*Z55+31)*85)/100+5)),0))*1.1,0)</f>
        <v>211</v>
      </c>
      <c r="AC56" s="6395"/>
      <c r="AD56" s="6413" t="s">
        <v>519</v>
      </c>
      <c r="AE56" s="635"/>
      <c r="AF56" s="636"/>
      <c r="AG56" s="632">
        <f>ROUNDDOWN((ROUNDDOWN(((((2*AE55+30)*85)/100+5)),0))*1.1,0)</f>
        <v>145</v>
      </c>
      <c r="AH56" s="6396"/>
      <c r="AI56" s="6297"/>
    </row>
    <row r="57" ht="16.5" customHeight="1">
      <c r="A57" s="6210"/>
      <c r="B57" s="6325"/>
      <c r="C57" s="6326"/>
      <c r="D57" s="6327"/>
      <c r="E57" s="6415" t="s">
        <v>930</v>
      </c>
      <c r="F57" s="643"/>
      <c r="G57" s="644"/>
      <c r="H57" s="6317">
        <f>H56*2</f>
        <v>316</v>
      </c>
      <c r="I57" s="6362"/>
      <c r="J57" s="6416"/>
      <c r="K57" s="6416"/>
      <c r="L57" s="6416"/>
      <c r="M57" s="6416"/>
      <c r="N57" s="6327"/>
      <c r="O57" s="6416"/>
      <c r="P57" s="6416"/>
      <c r="Q57" s="6416"/>
      <c r="R57" s="6416"/>
      <c r="S57" s="6327"/>
      <c r="T57" s="6416"/>
      <c r="U57" s="6416"/>
      <c r="V57" s="6416"/>
      <c r="W57" s="6416"/>
      <c r="X57" s="6362"/>
      <c r="Y57" s="6416"/>
      <c r="Z57" s="6416"/>
      <c r="AA57" s="6416"/>
      <c r="AB57" s="6416"/>
      <c r="AC57" s="6327"/>
      <c r="AD57" s="6415" t="s">
        <v>930</v>
      </c>
      <c r="AE57" s="643"/>
      <c r="AF57" s="644"/>
      <c r="AG57" s="6317">
        <f>AG56*2</f>
        <v>290</v>
      </c>
      <c r="AH57" s="6328"/>
      <c r="AI57" s="6215"/>
    </row>
    <row r="58" ht="15.0" customHeight="1">
      <c r="A58" s="6210"/>
      <c r="B58" s="6417"/>
      <c r="C58" s="6418"/>
      <c r="D58" s="6419"/>
      <c r="E58" s="6420"/>
      <c r="F58" s="6420"/>
      <c r="G58" s="6420"/>
      <c r="H58" s="6420"/>
      <c r="I58" s="6419"/>
      <c r="J58" s="6421"/>
      <c r="K58" s="6421"/>
      <c r="L58" s="6421"/>
      <c r="M58" s="6420"/>
      <c r="N58" s="6419"/>
      <c r="O58" s="6420"/>
      <c r="P58" s="6420"/>
      <c r="Q58" s="6420"/>
      <c r="R58" s="6420"/>
      <c r="S58" s="6419"/>
      <c r="T58" s="6420"/>
      <c r="U58" s="6420"/>
      <c r="V58" s="6420"/>
      <c r="W58" s="6420"/>
      <c r="X58" s="6419"/>
      <c r="Y58" s="6421"/>
      <c r="Z58" s="6421"/>
      <c r="AA58" s="6421"/>
      <c r="AB58" s="6420"/>
      <c r="AC58" s="6419"/>
      <c r="AD58" s="6420"/>
      <c r="AE58" s="6420"/>
      <c r="AF58" s="6420"/>
      <c r="AG58" s="6420"/>
      <c r="AH58" s="6422"/>
      <c r="AI58" s="6215"/>
    </row>
    <row r="59" ht="15.0" customHeight="1">
      <c r="A59" s="6210"/>
      <c r="B59" s="6423"/>
      <c r="C59" s="6424"/>
      <c r="D59" s="6425"/>
      <c r="E59" s="6426"/>
      <c r="F59" s="6426"/>
      <c r="G59" s="6426"/>
      <c r="H59" s="6426"/>
      <c r="I59" s="6425"/>
      <c r="J59" s="6426"/>
      <c r="K59" s="6426"/>
      <c r="L59" s="6426"/>
      <c r="M59" s="6426"/>
      <c r="N59" s="6425"/>
      <c r="O59" s="6426"/>
      <c r="P59" s="6426"/>
      <c r="Q59" s="6426"/>
      <c r="R59" s="6426"/>
      <c r="S59" s="6425"/>
      <c r="T59" s="6426"/>
      <c r="U59" s="6426"/>
      <c r="V59" s="6426"/>
      <c r="W59" s="6426"/>
      <c r="X59" s="6425"/>
      <c r="Y59" s="6426"/>
      <c r="Z59" s="6426"/>
      <c r="AA59" s="6426"/>
      <c r="AB59" s="6426"/>
      <c r="AC59" s="6425"/>
      <c r="AD59" s="6426"/>
      <c r="AE59" s="6426"/>
      <c r="AF59" s="6426"/>
      <c r="AG59" s="6426"/>
      <c r="AH59" s="6427"/>
      <c r="AI59" s="6215"/>
    </row>
    <row r="60" ht="11.25" customHeight="1">
      <c r="A60" s="6210"/>
      <c r="B60" s="6428"/>
      <c r="C60" s="6429"/>
      <c r="D60" s="6429"/>
      <c r="E60" s="3250" t="s">
        <v>1868</v>
      </c>
      <c r="F60" s="3251"/>
      <c r="G60" s="3251"/>
      <c r="H60" s="3251"/>
      <c r="I60" s="3251"/>
      <c r="J60" s="3251"/>
      <c r="K60" s="3251"/>
      <c r="L60" s="3251"/>
      <c r="M60" s="3251"/>
      <c r="N60" s="3251"/>
      <c r="O60" s="3251"/>
      <c r="P60" s="3251"/>
      <c r="Q60" s="3251"/>
      <c r="R60" s="3251"/>
      <c r="S60" s="3251"/>
      <c r="T60" s="3251"/>
      <c r="U60" s="3251"/>
      <c r="V60" s="3251"/>
      <c r="W60" s="3251"/>
      <c r="X60" s="3251"/>
      <c r="Y60" s="3251"/>
      <c r="Z60" s="3251"/>
      <c r="AA60" s="3251"/>
      <c r="AB60" s="3251"/>
      <c r="AC60" s="3251"/>
      <c r="AD60" s="3251"/>
      <c r="AE60" s="3251"/>
      <c r="AF60" s="3251"/>
      <c r="AG60" s="3252"/>
      <c r="AH60" s="6430"/>
      <c r="AI60" s="6215"/>
    </row>
    <row r="61" ht="11.25" customHeight="1">
      <c r="A61" s="6210"/>
      <c r="B61" s="6428"/>
      <c r="C61" s="6431"/>
      <c r="D61" s="6432"/>
      <c r="E61" s="314"/>
      <c r="F61" s="3255"/>
      <c r="G61" s="3255"/>
      <c r="H61" s="3255"/>
      <c r="I61" s="3255"/>
      <c r="J61" s="3255"/>
      <c r="K61" s="3255"/>
      <c r="L61" s="3255"/>
      <c r="M61" s="3255"/>
      <c r="N61" s="3255"/>
      <c r="O61" s="3255"/>
      <c r="P61" s="3255"/>
      <c r="Q61" s="3255"/>
      <c r="R61" s="3255"/>
      <c r="S61" s="3255"/>
      <c r="T61" s="3255"/>
      <c r="U61" s="3255"/>
      <c r="V61" s="3255"/>
      <c r="W61" s="3255"/>
      <c r="X61" s="3255"/>
      <c r="Y61" s="3255"/>
      <c r="Z61" s="3255"/>
      <c r="AA61" s="3255"/>
      <c r="AB61" s="3255"/>
      <c r="AC61" s="3255"/>
      <c r="AD61" s="3255"/>
      <c r="AE61" s="3255"/>
      <c r="AF61" s="3255"/>
      <c r="AG61" s="3256"/>
      <c r="AH61" s="6430"/>
      <c r="AI61" s="6215"/>
    </row>
    <row r="62" ht="3.75" customHeight="1">
      <c r="A62" s="6210"/>
      <c r="B62" s="6428"/>
      <c r="C62" s="6431"/>
      <c r="D62" s="6432"/>
      <c r="E62" s="6433"/>
      <c r="F62" s="6433"/>
      <c r="G62" s="6433"/>
      <c r="H62" s="6433"/>
      <c r="I62" s="6433"/>
      <c r="J62" s="6433"/>
      <c r="K62" s="6433"/>
      <c r="L62" s="6433"/>
      <c r="M62" s="6433"/>
      <c r="N62" s="6433"/>
      <c r="O62" s="6433"/>
      <c r="P62" s="6433"/>
      <c r="Q62" s="6433"/>
      <c r="R62" s="6433"/>
      <c r="S62" s="6433"/>
      <c r="T62" s="6433"/>
      <c r="U62" s="6433"/>
      <c r="V62" s="6433"/>
      <c r="W62" s="6433"/>
      <c r="X62" s="6433"/>
      <c r="Y62" s="6433"/>
      <c r="Z62" s="6433"/>
      <c r="AA62" s="6433"/>
      <c r="AB62" s="6433"/>
      <c r="AC62" s="6433"/>
      <c r="AD62" s="6433"/>
      <c r="AE62" s="6433"/>
      <c r="AF62" s="6433"/>
      <c r="AG62" s="6433"/>
      <c r="AH62" s="6430"/>
      <c r="AI62" s="6215"/>
    </row>
    <row r="63">
      <c r="A63" s="6210"/>
      <c r="B63" s="6434"/>
      <c r="C63" s="6435"/>
      <c r="D63" s="6435"/>
      <c r="E63" s="6436" t="s">
        <v>1869</v>
      </c>
      <c r="F63" s="6437"/>
      <c r="G63" s="6437"/>
      <c r="H63" s="6437"/>
      <c r="I63" s="6437"/>
      <c r="J63" s="6437"/>
      <c r="K63" s="6437"/>
      <c r="L63" s="6437"/>
      <c r="M63" s="6437"/>
      <c r="N63" s="6437"/>
      <c r="O63" s="6437"/>
      <c r="P63" s="6437"/>
      <c r="Q63" s="6437"/>
      <c r="R63" s="6437"/>
      <c r="S63" s="6437"/>
      <c r="T63" s="6437"/>
      <c r="U63" s="6437"/>
      <c r="V63" s="6437"/>
      <c r="W63" s="6437"/>
      <c r="X63" s="6437"/>
      <c r="Y63" s="6437"/>
      <c r="Z63" s="6437"/>
      <c r="AA63" s="6437"/>
      <c r="AB63" s="6437"/>
      <c r="AC63" s="6437"/>
      <c r="AD63" s="6437"/>
      <c r="AE63" s="6437"/>
      <c r="AF63" s="6437"/>
      <c r="AG63" s="6438"/>
      <c r="AH63" s="6430"/>
      <c r="AI63" s="6215"/>
    </row>
    <row r="64" ht="96.75" customHeight="1">
      <c r="A64" s="6210"/>
      <c r="B64" s="6428"/>
      <c r="C64" s="6439" t="str">
        <f>IMAGE("https://i.ibb.co/Q9fb5Tk/Bruno.png")</f>
        <v/>
      </c>
      <c r="D64" s="6440"/>
      <c r="E64" s="6441" t="str">
        <f t="array" ref="E64">IFERROR(VLOOKUP(E65,Dex!$B$3:$G298,3,FALSE),"")</f>
        <v/>
      </c>
      <c r="F64" s="1945"/>
      <c r="G64" s="1945"/>
      <c r="H64" s="1946"/>
      <c r="I64" s="6442"/>
      <c r="J64" s="6441" t="str">
        <f t="array" ref="J64">IFERROR(VLOOKUP(J65,Dex!$B$3:$G298,3,FALSE),"")</f>
        <v/>
      </c>
      <c r="K64" s="1945"/>
      <c r="L64" s="1945"/>
      <c r="M64" s="1946"/>
      <c r="N64" s="6442"/>
      <c r="O64" s="6441" t="str">
        <f t="array" ref="O64">IFERROR(VLOOKUP(O65,Dex!$B$3:$G298,3,FALSE),"")</f>
        <v/>
      </c>
      <c r="P64" s="1945"/>
      <c r="Q64" s="1945"/>
      <c r="R64" s="1946"/>
      <c r="S64" s="6442"/>
      <c r="T64" s="6441" t="str">
        <f t="array" ref="T64">IFERROR(VLOOKUP(T65,Dex!$B$3:$G298,3,FALSE),"")</f>
        <v/>
      </c>
      <c r="U64" s="1945"/>
      <c r="V64" s="1945"/>
      <c r="W64" s="1946"/>
      <c r="X64" s="6442"/>
      <c r="Y64" s="6441" t="str">
        <f t="array" ref="Y64">IFERROR(VLOOKUP(Y65,Dex!$B$3:$G298,3,FALSE),"")</f>
        <v/>
      </c>
      <c r="Z64" s="1945"/>
      <c r="AA64" s="1945"/>
      <c r="AB64" s="1946"/>
      <c r="AC64" s="6442"/>
      <c r="AD64" s="6441" t="str">
        <f t="array" ref="AD64">IFERROR(VLOOKUP(AD65,Dex!$B$3:$G298,3,FALSE),"")</f>
        <v/>
      </c>
      <c r="AE64" s="1945"/>
      <c r="AF64" s="1945"/>
      <c r="AG64" s="1946"/>
      <c r="AH64" s="6443"/>
      <c r="AI64" s="6215"/>
    </row>
    <row r="65" ht="18.75" customHeight="1">
      <c r="A65" s="6231"/>
      <c r="B65" s="6444"/>
      <c r="C65" s="6445" t="s">
        <v>1870</v>
      </c>
      <c r="D65" s="6446"/>
      <c r="E65" s="6447" t="s">
        <v>1213</v>
      </c>
      <c r="F65" s="6448"/>
      <c r="G65" s="6448"/>
      <c r="H65" s="6449"/>
      <c r="J65" s="6447" t="s">
        <v>1871</v>
      </c>
      <c r="K65" s="6448"/>
      <c r="L65" s="6448"/>
      <c r="M65" s="6449"/>
      <c r="O65" s="6447" t="s">
        <v>1872</v>
      </c>
      <c r="P65" s="6448"/>
      <c r="Q65" s="6448"/>
      <c r="R65" s="6449"/>
      <c r="T65" s="6447" t="s">
        <v>948</v>
      </c>
      <c r="U65" s="6448"/>
      <c r="V65" s="6448"/>
      <c r="W65" s="6449"/>
      <c r="Y65" s="6447" t="s">
        <v>1873</v>
      </c>
      <c r="Z65" s="6448"/>
      <c r="AA65" s="6448"/>
      <c r="AB65" s="6449"/>
      <c r="AD65" s="6447" t="s">
        <v>1874</v>
      </c>
      <c r="AE65" s="6448"/>
      <c r="AF65" s="6448"/>
      <c r="AG65" s="6449"/>
      <c r="AH65" s="6450"/>
      <c r="AI65" s="6239"/>
    </row>
    <row r="66">
      <c r="A66" s="6240"/>
      <c r="B66" s="6451"/>
      <c r="C66" s="556"/>
      <c r="D66" s="6452"/>
      <c r="E66" s="6453" t="s">
        <v>729</v>
      </c>
      <c r="F66" s="6454"/>
      <c r="G66" s="6454"/>
      <c r="H66" s="6455"/>
      <c r="J66" s="6453" t="s">
        <v>729</v>
      </c>
      <c r="K66" s="6454"/>
      <c r="L66" s="6454"/>
      <c r="M66" s="6455"/>
      <c r="O66" s="6453" t="s">
        <v>729</v>
      </c>
      <c r="P66" s="6454"/>
      <c r="Q66" s="6454"/>
      <c r="R66" s="6455"/>
      <c r="T66" s="6453" t="s">
        <v>729</v>
      </c>
      <c r="U66" s="6454"/>
      <c r="V66" s="6454"/>
      <c r="W66" s="6455"/>
      <c r="Y66" s="6453" t="s">
        <v>729</v>
      </c>
      <c r="Z66" s="6454"/>
      <c r="AA66" s="6454"/>
      <c r="AB66" s="6455"/>
      <c r="AD66" s="6453" t="s">
        <v>729</v>
      </c>
      <c r="AE66" s="6454"/>
      <c r="AF66" s="6454"/>
      <c r="AG66" s="6455"/>
      <c r="AH66" s="6456"/>
      <c r="AI66" s="6247"/>
    </row>
    <row r="67" ht="25.5" customHeight="1">
      <c r="A67" s="6210"/>
      <c r="B67" s="6428"/>
      <c r="C67" s="6457"/>
      <c r="D67" s="6432"/>
      <c r="E67" s="6458"/>
      <c r="F67" s="6459" t="str">
        <f t="array" ref="F67">IFERROR(VLOOKUP(E65,Dex!$B$3:$H298,5,FALSE),"")</f>
        <v/>
      </c>
      <c r="G67" s="6460" t="str">
        <f t="array" ref="G67">IFERROR(VLOOKUP(E65,Dex!$B$3:$H298,7,FALSE),"")</f>
        <v/>
      </c>
      <c r="H67" s="6461"/>
      <c r="J67" s="6458"/>
      <c r="K67" s="6462" t="str">
        <f t="array" ref="K67">IFERROR(VLOOKUP(J65,Dex!$B$3:$H298,5,FALSE),"")</f>
        <v/>
      </c>
      <c r="L67" s="6463"/>
      <c r="M67" s="6461"/>
      <c r="O67" s="6458"/>
      <c r="P67" s="6459" t="str">
        <f t="array" ref="P67">IFERROR(VLOOKUP(O65,Dex!$B$3:$H298,5,FALSE),"")</f>
        <v/>
      </c>
      <c r="Q67" s="6460" t="str">
        <f t="array" ref="Q67">IFERROR(VLOOKUP(O65,Dex!$B$3:$H298,7,FALSE),"")</f>
        <v/>
      </c>
      <c r="R67" s="6461"/>
      <c r="T67" s="6458"/>
      <c r="U67" s="6459" t="str">
        <f t="array" ref="U67">IFERROR(VLOOKUP(T65,Dex!$B$3:$H298,5,FALSE),"")</f>
        <v/>
      </c>
      <c r="V67" s="6460" t="str">
        <f t="array" ref="V67">IFERROR(VLOOKUP(T65,Dex!$B$3:$H298,7,FALSE),"")</f>
        <v/>
      </c>
      <c r="W67" s="6461"/>
      <c r="Y67" s="6458"/>
      <c r="Z67" s="6459" t="str">
        <f t="array" ref="Z67">IFERROR(VLOOKUP(Y65,Dex!$B$3:$H298,5,FALSE),"")</f>
        <v/>
      </c>
      <c r="AA67" s="6460" t="str">
        <f t="array" ref="AA67">IFERROR(VLOOKUP(Y65,Dex!$B$3:$H298,7,FALSE),"")</f>
        <v/>
      </c>
      <c r="AB67" s="6461"/>
      <c r="AD67" s="6458"/>
      <c r="AE67" s="6459" t="str">
        <f t="array" ref="AE67">IFERROR(VLOOKUP(AD65,Dex!$B$3:$H298,5,FALSE),"")</f>
        <v/>
      </c>
      <c r="AF67" s="6460" t="str">
        <f t="array" ref="AF67">IFERROR(VLOOKUP(AD65,Dex!$B$3:$H298,7,FALSE),"")</f>
        <v/>
      </c>
      <c r="AG67" s="6461"/>
      <c r="AH67" s="6430"/>
      <c r="AI67" s="6215"/>
    </row>
    <row r="68" ht="2.25" customHeight="1">
      <c r="A68" s="6210"/>
      <c r="B68" s="6428"/>
      <c r="C68" s="6464"/>
      <c r="D68" s="6432"/>
      <c r="E68" s="6465"/>
      <c r="F68" s="6466"/>
      <c r="G68" s="6466"/>
      <c r="H68" s="6467"/>
      <c r="J68" s="6465"/>
      <c r="K68" s="6466"/>
      <c r="L68" s="6466"/>
      <c r="M68" s="6467"/>
      <c r="O68" s="6465"/>
      <c r="P68" s="6466"/>
      <c r="Q68" s="6466"/>
      <c r="R68" s="6467"/>
      <c r="T68" s="6465"/>
      <c r="U68" s="6466"/>
      <c r="V68" s="6466"/>
      <c r="W68" s="6467"/>
      <c r="Y68" s="6465"/>
      <c r="Z68" s="6466"/>
      <c r="AA68" s="6466"/>
      <c r="AB68" s="6467"/>
      <c r="AD68" s="6465"/>
      <c r="AE68" s="6466"/>
      <c r="AF68" s="6466"/>
      <c r="AG68" s="6467"/>
      <c r="AH68" s="6430"/>
      <c r="AI68" s="6215"/>
    </row>
    <row r="69" ht="20.25" customHeight="1">
      <c r="A69" s="6210"/>
      <c r="B69" s="6428"/>
      <c r="C69" s="6464"/>
      <c r="D69" s="6468"/>
      <c r="E69" s="6469" t="s">
        <v>532</v>
      </c>
      <c r="F69" s="6470"/>
      <c r="G69" s="6470"/>
      <c r="H69" s="6471"/>
      <c r="J69" s="6469" t="s">
        <v>532</v>
      </c>
      <c r="K69" s="6470"/>
      <c r="L69" s="6470"/>
      <c r="M69" s="6471"/>
      <c r="O69" s="6469" t="s">
        <v>564</v>
      </c>
      <c r="P69" s="6470"/>
      <c r="Q69" s="6470"/>
      <c r="R69" s="6471"/>
      <c r="T69" s="6469" t="s">
        <v>566</v>
      </c>
      <c r="U69" s="6470"/>
      <c r="V69" s="6470"/>
      <c r="W69" s="6471"/>
      <c r="Y69" s="6469" t="s">
        <v>532</v>
      </c>
      <c r="Z69" s="6470"/>
      <c r="AA69" s="6470"/>
      <c r="AB69" s="6471"/>
      <c r="AD69" s="6469" t="s">
        <v>532</v>
      </c>
      <c r="AE69" s="6470"/>
      <c r="AF69" s="6470"/>
      <c r="AG69" s="6471"/>
      <c r="AH69" s="6443"/>
      <c r="AI69" s="6215"/>
    </row>
    <row r="70">
      <c r="A70" s="6210"/>
      <c r="B70" s="6428"/>
      <c r="C70" s="6464"/>
      <c r="D70" s="6468"/>
      <c r="E70" s="6472" t="s">
        <v>1018</v>
      </c>
      <c r="F70" s="6473"/>
      <c r="G70" s="6473"/>
      <c r="H70" s="6474"/>
      <c r="J70" s="6472" t="s">
        <v>756</v>
      </c>
      <c r="K70" s="6473"/>
      <c r="L70" s="6473"/>
      <c r="M70" s="6474"/>
      <c r="O70" s="6472" t="s">
        <v>63</v>
      </c>
      <c r="P70" s="6473"/>
      <c r="Q70" s="6473"/>
      <c r="R70" s="6474"/>
      <c r="T70" s="6472" t="s">
        <v>953</v>
      </c>
      <c r="U70" s="6473"/>
      <c r="V70" s="6473"/>
      <c r="W70" s="6474"/>
      <c r="Y70" s="6472" t="s">
        <v>1875</v>
      </c>
      <c r="Z70" s="6473"/>
      <c r="AA70" s="6473"/>
      <c r="AB70" s="6474"/>
      <c r="AD70" s="6472" t="s">
        <v>1876</v>
      </c>
      <c r="AE70" s="6473"/>
      <c r="AF70" s="6473"/>
      <c r="AG70" s="6474"/>
      <c r="AH70" s="6443"/>
      <c r="AI70" s="6215"/>
    </row>
    <row r="71" ht="20.25" customHeight="1">
      <c r="A71" s="6210"/>
      <c r="B71" s="6428"/>
      <c r="C71" s="6475"/>
      <c r="D71" s="6468"/>
      <c r="E71" s="6476" t="s">
        <v>573</v>
      </c>
      <c r="F71" s="6437"/>
      <c r="G71" s="6438"/>
      <c r="H71" s="6477" t="str">
        <f>IMAGE("https://raw.githubusercontent.com/msikma/pokesprite/master/items/hold-item/focus-sash.png",3)</f>
        <v/>
      </c>
      <c r="J71" s="6476" t="s">
        <v>1877</v>
      </c>
      <c r="K71" s="6437"/>
      <c r="L71" s="6438"/>
      <c r="M71" s="6477" t="str">
        <f>IMAGE("https://raw.githubusercontent.com/msikma/pokesprite/master/items/hold-item/misty-seed.png",3)</f>
        <v/>
      </c>
      <c r="O71" s="6476" t="s">
        <v>639</v>
      </c>
      <c r="P71" s="6437"/>
      <c r="Q71" s="6438"/>
      <c r="R71" s="6477" t="str">
        <f>IMAGE("https://i.ibb.co/SK50ng3/booster.png",4,22,22)</f>
        <v/>
      </c>
      <c r="T71" s="6476" t="s">
        <v>710</v>
      </c>
      <c r="U71" s="6437"/>
      <c r="V71" s="6438"/>
      <c r="W71" s="6477" t="str">
        <f>IMAGE("https://raw.githubusercontent.com/msikma/pokesprite/master/items/hold-item/weakness-policy.png",3)</f>
        <v/>
      </c>
      <c r="Y71" s="6476" t="s">
        <v>1878</v>
      </c>
      <c r="Z71" s="6437"/>
      <c r="AA71" s="6438"/>
      <c r="AB71" s="6477" t="str">
        <f>IMAGE("https://raw.githubusercontent.com/msikma/pokesprite/master/items/hold-item/rusted-sword.png",3)</f>
        <v/>
      </c>
      <c r="AD71" s="6476" t="s">
        <v>1879</v>
      </c>
      <c r="AE71" s="6437"/>
      <c r="AF71" s="6438"/>
      <c r="AG71" s="6477" t="str">
        <f>IMAGE("https://raw.githubusercontent.com/msikma/pokesprite/master/items/mega-stone/lucarionite.png",3)</f>
        <v/>
      </c>
      <c r="AH71" s="6430"/>
      <c r="AI71" s="6215"/>
    </row>
    <row r="72" ht="20.25" customHeight="1">
      <c r="A72" s="6210"/>
      <c r="B72" s="6428"/>
      <c r="C72" s="6431"/>
      <c r="D72" s="6468"/>
      <c r="E72" s="6469" t="s">
        <v>191</v>
      </c>
      <c r="F72" s="6470"/>
      <c r="G72" s="6478"/>
      <c r="H72" s="6479" t="str">
        <f>IMAGE("https://raw.githubusercontent.com/msikma/pokesprite/master/misc/types/gen8/rock.png",4,20,20)</f>
        <v/>
      </c>
      <c r="J72" s="6469" t="s">
        <v>168</v>
      </c>
      <c r="K72" s="6470"/>
      <c r="L72" s="6478"/>
      <c r="M72" s="6479" t="str">
        <f t="shared" ref="M72:M73" si="2">IMAGE("https://raw.githubusercontent.com/msikma/pokesprite/master/misc/types/gen8/fighting.png",4,20,20)</f>
        <v/>
      </c>
      <c r="O72" s="6469" t="s">
        <v>170</v>
      </c>
      <c r="P72" s="6470"/>
      <c r="Q72" s="6478"/>
      <c r="R72" s="6479" t="str">
        <f>IMAGE("https://raw.githubusercontent.com/msikma/pokesprite/master/misc/types/gen8/psychic.png",4,20,20)</f>
        <v/>
      </c>
      <c r="T72" s="6469" t="s">
        <v>219</v>
      </c>
      <c r="U72" s="6470"/>
      <c r="V72" s="6478"/>
      <c r="W72" s="6479" t="str">
        <f>IMAGE("https://raw.githubusercontent.com/msikma/pokesprite/master/misc/types/gen8/dragon.png",4,20,20)</f>
        <v/>
      </c>
      <c r="Y72" s="6469" t="s">
        <v>287</v>
      </c>
      <c r="Z72" s="6470"/>
      <c r="AA72" s="6478"/>
      <c r="AB72" s="6479" t="str">
        <f>IMAGE("https://raw.githubusercontent.com/msikma/pokesprite/master/misc/types/gen8/normal.png",4,20,20)</f>
        <v/>
      </c>
      <c r="AD72" s="6469" t="s">
        <v>287</v>
      </c>
      <c r="AE72" s="6470"/>
      <c r="AF72" s="6478"/>
      <c r="AG72" s="6479" t="str">
        <f>IMAGE("https://raw.githubusercontent.com/msikma/pokesprite/master/misc/types/gen8/normal.png",4,20,20)</f>
        <v/>
      </c>
      <c r="AH72" s="6430"/>
      <c r="AI72" s="6215"/>
    </row>
    <row r="73" ht="20.25" customHeight="1">
      <c r="A73" s="6210"/>
      <c r="B73" s="6428"/>
      <c r="C73" s="6431"/>
      <c r="D73" s="6468"/>
      <c r="E73" s="6472" t="s">
        <v>1221</v>
      </c>
      <c r="F73" s="6473"/>
      <c r="G73" s="6480"/>
      <c r="H73" s="6481" t="str">
        <f>IMAGE("https://raw.githubusercontent.com/msikma/pokesprite/master/misc/types/gen8/fire.png",4,20,20)</f>
        <v/>
      </c>
      <c r="J73" s="6472" t="s">
        <v>548</v>
      </c>
      <c r="K73" s="6473"/>
      <c r="L73" s="6480"/>
      <c r="M73" s="6481" t="str">
        <f t="shared" si="2"/>
        <v/>
      </c>
      <c r="O73" s="6472" t="s">
        <v>641</v>
      </c>
      <c r="P73" s="6473"/>
      <c r="Q73" s="6480"/>
      <c r="R73" s="6481" t="str">
        <f>IMAGE("https://raw.githubusercontent.com/msikma/pokesprite/master/misc/types/gen8/fairy.png",4,20,20)</f>
        <v/>
      </c>
      <c r="T73" s="6472" t="s">
        <v>960</v>
      </c>
      <c r="U73" s="6473"/>
      <c r="V73" s="6480"/>
      <c r="W73" s="6481" t="str">
        <f>IMAGE("https://raw.githubusercontent.com/msikma/pokesprite/master/misc/types/gen8/steel.png",4,20,20)</f>
        <v/>
      </c>
      <c r="Y73" s="6472" t="s">
        <v>1880</v>
      </c>
      <c r="Z73" s="6473"/>
      <c r="AA73" s="6480"/>
      <c r="AB73" s="6481" t="str">
        <f>IMAGE("https://raw.githubusercontent.com/msikma/pokesprite/master/misc/types/gen8/steel.png",4,20,20)</f>
        <v/>
      </c>
      <c r="AD73" s="6472" t="s">
        <v>583</v>
      </c>
      <c r="AE73" s="6473"/>
      <c r="AF73" s="6480"/>
      <c r="AG73" s="6481" t="str">
        <f>IMAGE("https://raw.githubusercontent.com/msikma/pokesprite/master/misc/types/gen8/fighting.png",4,20,20)</f>
        <v/>
      </c>
      <c r="AH73" s="6430"/>
      <c r="AI73" s="6215"/>
    </row>
    <row r="74" ht="20.25" customHeight="1">
      <c r="A74" s="6210"/>
      <c r="B74" s="6428"/>
      <c r="C74" s="6431"/>
      <c r="D74" s="6468"/>
      <c r="E74" s="6472" t="s">
        <v>583</v>
      </c>
      <c r="F74" s="6473"/>
      <c r="G74" s="6480"/>
      <c r="H74" s="6481" t="str">
        <f>IMAGE("https://raw.githubusercontent.com/msikma/pokesprite/master/misc/types/gen8/fighting.png",4,20,20)</f>
        <v/>
      </c>
      <c r="J74" s="6472" t="s">
        <v>580</v>
      </c>
      <c r="K74" s="6473"/>
      <c r="L74" s="6480"/>
      <c r="M74" s="6481" t="str">
        <f>IMAGE("https://raw.githubusercontent.com/msikma/pokesprite/master/misc/types/gen8/electric.png",4,20,20)</f>
        <v/>
      </c>
      <c r="O74" s="6472" t="s">
        <v>552</v>
      </c>
      <c r="P74" s="6473"/>
      <c r="Q74" s="6480"/>
      <c r="R74" s="6481" t="str">
        <f>IMAGE("https://raw.githubusercontent.com/msikma/pokesprite/master/misc/types/gen8/psychic.png",4,20,20)</f>
        <v/>
      </c>
      <c r="T74" s="6472" t="s">
        <v>549</v>
      </c>
      <c r="U74" s="6473"/>
      <c r="V74" s="6480"/>
      <c r="W74" s="6481" t="str">
        <f>IMAGE("https://raw.githubusercontent.com/msikma/pokesprite/master/misc/types/gen8/ground.png",4,20,20)</f>
        <v/>
      </c>
      <c r="Y74" s="6472" t="s">
        <v>583</v>
      </c>
      <c r="Z74" s="6473"/>
      <c r="AA74" s="6480"/>
      <c r="AB74" s="6481" t="str">
        <f>IMAGE("https://raw.githubusercontent.com/msikma/pokesprite/master/misc/types/gen8/fighting.png",4,20,20)</f>
        <v/>
      </c>
      <c r="AD74" s="6472" t="s">
        <v>831</v>
      </c>
      <c r="AE74" s="6473"/>
      <c r="AF74" s="6480"/>
      <c r="AG74" s="6481" t="str">
        <f t="shared" ref="AG74:AG75" si="3">IMAGE("https://raw.githubusercontent.com/msikma/pokesprite/master/misc/types/gen8/steel.png",4,20,20)</f>
        <v/>
      </c>
      <c r="AH74" s="6430"/>
      <c r="AI74" s="6215"/>
    </row>
    <row r="75" ht="21.0" customHeight="1">
      <c r="A75" s="6210"/>
      <c r="B75" s="6428"/>
      <c r="C75" s="6431"/>
      <c r="D75" s="6468"/>
      <c r="E75" s="6482" t="s">
        <v>504</v>
      </c>
      <c r="F75" s="6483"/>
      <c r="G75" s="6484"/>
      <c r="H75" s="6485" t="str">
        <f>IMAGE("https://raw.githubusercontent.com/msikma/pokesprite/master/misc/types/gen8/electric.png",4,20,20)</f>
        <v/>
      </c>
      <c r="I75" s="6486"/>
      <c r="J75" s="6482" t="s">
        <v>579</v>
      </c>
      <c r="K75" s="6483"/>
      <c r="L75" s="6484"/>
      <c r="M75" s="6485" t="str">
        <f>IMAGE("https://raw.githubusercontent.com/msikma/pokesprite/master/misc/types/gen8/dark.png",4,20,20)</f>
        <v/>
      </c>
      <c r="N75" s="6486"/>
      <c r="O75" s="6482" t="s">
        <v>647</v>
      </c>
      <c r="P75" s="6483"/>
      <c r="Q75" s="6484"/>
      <c r="R75" s="6485" t="str">
        <f>IMAGE("https://raw.githubusercontent.com/msikma/pokesprite/master/misc/types/gen8/ghost.png",4,20,20)</f>
        <v/>
      </c>
      <c r="S75" s="6486"/>
      <c r="T75" s="6482" t="s">
        <v>621</v>
      </c>
      <c r="U75" s="6483"/>
      <c r="V75" s="6484"/>
      <c r="W75" s="6485" t="str">
        <f>IMAGE("https://raw.githubusercontent.com/msikma/pokesprite/master/misc/types/gen8/rock.png",4,20,20)</f>
        <v/>
      </c>
      <c r="X75" s="6486"/>
      <c r="Y75" s="6482" t="s">
        <v>905</v>
      </c>
      <c r="Z75" s="6483"/>
      <c r="AA75" s="6484"/>
      <c r="AB75" s="6485" t="str">
        <f>IMAGE("https://raw.githubusercontent.com/msikma/pokesprite/master/misc/types/gen8/electric.png",4,20,20)</f>
        <v/>
      </c>
      <c r="AC75" s="6486"/>
      <c r="AD75" s="6482" t="s">
        <v>1611</v>
      </c>
      <c r="AE75" s="6483"/>
      <c r="AF75" s="6484"/>
      <c r="AG75" s="6485" t="str">
        <f t="shared" si="3"/>
        <v/>
      </c>
      <c r="AH75" s="6430"/>
      <c r="AI75" s="6215"/>
    </row>
    <row r="76" ht="3.0" customHeight="1">
      <c r="A76" s="6278"/>
      <c r="B76" s="6487"/>
      <c r="C76" s="6488"/>
      <c r="D76" s="6489"/>
      <c r="E76" s="6490"/>
      <c r="F76" s="6490"/>
      <c r="G76" s="6490"/>
      <c r="H76" s="6491"/>
      <c r="I76" s="6432"/>
      <c r="J76" s="6492"/>
      <c r="K76" s="6492"/>
      <c r="L76" s="6492"/>
      <c r="M76" s="6491"/>
      <c r="N76" s="6432"/>
      <c r="O76" s="6492"/>
      <c r="P76" s="6492"/>
      <c r="Q76" s="6492"/>
      <c r="R76" s="6491"/>
      <c r="S76" s="6432"/>
      <c r="T76" s="6492"/>
      <c r="U76" s="6492"/>
      <c r="V76" s="6492"/>
      <c r="W76" s="6491"/>
      <c r="X76" s="6432"/>
      <c r="Y76" s="6493"/>
      <c r="Z76" s="6493"/>
      <c r="AA76" s="6493"/>
      <c r="AB76" s="6494"/>
      <c r="AC76" s="6494"/>
      <c r="AD76" s="6493"/>
      <c r="AE76" s="6493"/>
      <c r="AF76" s="6493"/>
      <c r="AG76" s="6494"/>
      <c r="AH76" s="6495"/>
      <c r="AI76" s="6288"/>
    </row>
    <row r="77" ht="16.5" customHeight="1">
      <c r="A77" s="6289"/>
      <c r="B77" s="6434"/>
      <c r="C77" s="6435"/>
      <c r="D77" s="6496"/>
      <c r="E77" s="6497" t="s">
        <v>512</v>
      </c>
      <c r="F77" s="606"/>
      <c r="G77" s="606"/>
      <c r="H77" s="607"/>
      <c r="I77" s="6498"/>
      <c r="J77" s="6497" t="s">
        <v>512</v>
      </c>
      <c r="K77" s="606"/>
      <c r="L77" s="606"/>
      <c r="M77" s="607"/>
      <c r="N77" s="6498"/>
      <c r="O77" s="6497" t="s">
        <v>512</v>
      </c>
      <c r="P77" s="606"/>
      <c r="Q77" s="606"/>
      <c r="R77" s="607"/>
      <c r="S77" s="6498"/>
      <c r="T77" s="6497" t="s">
        <v>512</v>
      </c>
      <c r="U77" s="606"/>
      <c r="V77" s="606"/>
      <c r="W77" s="607"/>
      <c r="X77" s="6498"/>
      <c r="Y77" s="6497" t="s">
        <v>512</v>
      </c>
      <c r="Z77" s="606"/>
      <c r="AA77" s="606"/>
      <c r="AB77" s="607"/>
      <c r="AC77" s="6499"/>
      <c r="AD77" s="6497" t="s">
        <v>512</v>
      </c>
      <c r="AE77" s="606"/>
      <c r="AF77" s="606"/>
      <c r="AG77" s="607"/>
      <c r="AH77" s="6500"/>
      <c r="AI77" s="6297"/>
    </row>
    <row r="78" ht="16.5" customHeight="1">
      <c r="A78" s="6289"/>
      <c r="B78" s="6434"/>
      <c r="C78" s="6435"/>
      <c r="D78" s="6496"/>
      <c r="E78" s="6501" t="s">
        <v>513</v>
      </c>
      <c r="F78" s="6502">
        <f t="array" ref="F78">IFERROR(VLOOKUP(E65,Dex!$B$3:$N298,8,FALSE),"")</f>
        <v>76</v>
      </c>
      <c r="G78" s="6503" t="str">
        <f t="array" ref="G78">IFERROR(VLOOKUP(F78,Dex!$P$22:$Q$276,2,FALSE),"")</f>
        <v/>
      </c>
      <c r="H78" s="6504"/>
      <c r="I78" s="6496"/>
      <c r="J78" s="6501" t="s">
        <v>513</v>
      </c>
      <c r="K78" s="6502">
        <f t="array" ref="K78">IFERROR(VLOOKUP(J65,Dex!$B$3:$N298,8,FALSE),"")</f>
        <v>88</v>
      </c>
      <c r="L78" s="6503" t="str">
        <f t="array" ref="L78">IFERROR(VLOOKUP(K78,Dex!$P$22:$Q$276,2,FALSE),"")</f>
        <v/>
      </c>
      <c r="M78" s="6504"/>
      <c r="N78" s="6496"/>
      <c r="O78" s="6501" t="s">
        <v>513</v>
      </c>
      <c r="P78" s="6502">
        <f t="array" ref="P78">IFERROR(VLOOKUP(O65,Dex!$B$3:$N298,8,FALSE),"")</f>
        <v>74</v>
      </c>
      <c r="Q78" s="6503" t="str">
        <f t="array" ref="Q78">IFERROR(VLOOKUP(P78,Dex!$P$22:$Q$276,2,FALSE),"")</f>
        <v/>
      </c>
      <c r="R78" s="6504"/>
      <c r="S78" s="6496"/>
      <c r="T78" s="6501" t="s">
        <v>513</v>
      </c>
      <c r="U78" s="6502">
        <f t="array" ref="U78">IFERROR(VLOOKUP(T65,Dex!$B$3:$N298,8,FALSE),"")</f>
        <v>97</v>
      </c>
      <c r="V78" s="6503" t="str">
        <f t="array" ref="V78">IFERROR(VLOOKUP(U78,Dex!$P$22:$Q$276,2,FALSE),"")</f>
        <v/>
      </c>
      <c r="W78" s="6504"/>
      <c r="X78" s="6496"/>
      <c r="Y78" s="6501" t="s">
        <v>513</v>
      </c>
      <c r="Z78" s="6502">
        <f t="array" ref="Z78">IFERROR(VLOOKUP(Y65,Dex!$B$3:$N298,8,FALSE),"")</f>
        <v>92</v>
      </c>
      <c r="AA78" s="6503" t="str">
        <f t="array" ref="AA78">IFERROR(VLOOKUP(Z78,Dex!$P$22:$Q$276,2,FALSE),"")</f>
        <v/>
      </c>
      <c r="AB78" s="6504"/>
      <c r="AC78" s="6505"/>
      <c r="AD78" s="6501" t="s">
        <v>513</v>
      </c>
      <c r="AE78" s="6502">
        <f t="array" ref="AE78">IFERROR(VLOOKUP(AD65,Dex!$B$3:$N298,8,FALSE),"")</f>
        <v>70</v>
      </c>
      <c r="AF78" s="6503" t="str">
        <f t="array" ref="AF78">IFERROR(VLOOKUP(AE78,Dex!$P$22:$Q$276,2,FALSE),"")</f>
        <v/>
      </c>
      <c r="AG78" s="6504"/>
      <c r="AH78" s="6500"/>
      <c r="AI78" s="6297"/>
    </row>
    <row r="79" ht="16.5" customHeight="1">
      <c r="A79" s="6289"/>
      <c r="B79" s="6434"/>
      <c r="C79" s="6435"/>
      <c r="D79" s="6496"/>
      <c r="E79" s="6506" t="s">
        <v>514</v>
      </c>
      <c r="F79" s="6507">
        <f t="array" ref="F79">IFERROR(VLOOKUP(E65,Dex!$B$3:$N298,9,FALSE),"")</f>
        <v>110</v>
      </c>
      <c r="G79" s="6508" t="str">
        <f t="array" ref="G79">IFERROR(VLOOKUP(F79,Dex!$P$22:$Q$276,2,FALSE),"")</f>
        <v/>
      </c>
      <c r="H79" s="6509"/>
      <c r="I79" s="6496"/>
      <c r="J79" s="6506" t="s">
        <v>514</v>
      </c>
      <c r="K79" s="6507">
        <f t="array" ref="K79">IFERROR(VLOOKUP(J65,Dex!$B$3:$N298,9,FALSE),"")</f>
        <v>112</v>
      </c>
      <c r="L79" s="6508" t="str">
        <f t="array" ref="L79">IFERROR(VLOOKUP(K79,Dex!$P$22:$Q$276,2,FALSE),"")</f>
        <v/>
      </c>
      <c r="M79" s="6509"/>
      <c r="N79" s="6496"/>
      <c r="O79" s="6506" t="s">
        <v>514</v>
      </c>
      <c r="P79" s="6507">
        <f t="array" ref="P79">IFERROR(VLOOKUP(O65,Dex!$B$3:$N298,9,FALSE),"")</f>
        <v>130</v>
      </c>
      <c r="Q79" s="6508" t="str">
        <f t="array" ref="Q79">IFERROR(VLOOKUP(P79,Dex!$P$22:$Q$276,2,FALSE),"")</f>
        <v/>
      </c>
      <c r="R79" s="6509"/>
      <c r="S79" s="6496"/>
      <c r="T79" s="6506" t="s">
        <v>514</v>
      </c>
      <c r="U79" s="6507">
        <f t="array" ref="U79">IFERROR(VLOOKUP(T65,Dex!$B$3:$N298,9,FALSE),"")</f>
        <v>157</v>
      </c>
      <c r="V79" s="6508" t="str">
        <f t="array" ref="V79">IFERROR(VLOOKUP(U79,Dex!$P$22:$Q$276,2,FALSE),"")</f>
        <v/>
      </c>
      <c r="W79" s="6509"/>
      <c r="X79" s="6496"/>
      <c r="Y79" s="6506" t="s">
        <v>514</v>
      </c>
      <c r="Z79" s="6507">
        <f t="array" ref="Z79">IFERROR(VLOOKUP(Y65,Dex!$B$3:$N298,9,FALSE),"")</f>
        <v>150</v>
      </c>
      <c r="AA79" s="6508" t="str">
        <f t="array" ref="AA79">IFERROR(VLOOKUP(Z79,Dex!$P$22:$Q$276,2,FALSE),"")</f>
        <v/>
      </c>
      <c r="AB79" s="6509"/>
      <c r="AC79" s="6505"/>
      <c r="AD79" s="6506" t="s">
        <v>514</v>
      </c>
      <c r="AE79" s="6507">
        <f t="array" ref="AE79">IFERROR(VLOOKUP(AD65,Dex!$B$3:$N298,9,FALSE),"")</f>
        <v>145</v>
      </c>
      <c r="AF79" s="6508" t="str">
        <f t="array" ref="AF79">IFERROR(VLOOKUP(AE79,Dex!$P$22:$Q$276,2,FALSE),"")</f>
        <v/>
      </c>
      <c r="AG79" s="6509"/>
      <c r="AH79" s="6500"/>
      <c r="AI79" s="6297"/>
    </row>
    <row r="80" ht="16.5" customHeight="1">
      <c r="A80" s="6289"/>
      <c r="B80" s="6434"/>
      <c r="C80" s="6435"/>
      <c r="D80" s="6496"/>
      <c r="E80" s="6506" t="s">
        <v>515</v>
      </c>
      <c r="F80" s="6507">
        <f t="array" ref="F80">IFERROR(VLOOKUP(E65,Dex!$B$3:$N298,10,FALSE),"")</f>
        <v>71</v>
      </c>
      <c r="G80" s="6508" t="str">
        <f t="array" ref="G80">IFERROR(VLOOKUP(F80,Dex!$P$22:$Q$276,2,FALSE),"")</f>
        <v/>
      </c>
      <c r="H80" s="6509"/>
      <c r="I80" s="6496"/>
      <c r="J80" s="6506" t="s">
        <v>515</v>
      </c>
      <c r="K80" s="6507">
        <f t="array" ref="K80">IFERROR(VLOOKUP(J65,Dex!$B$3:$N298,10,FALSE),"")</f>
        <v>75</v>
      </c>
      <c r="L80" s="6508" t="str">
        <f t="array" ref="L80">IFERROR(VLOOKUP(K80,Dex!$P$22:$Q$276,2,FALSE),"")</f>
        <v/>
      </c>
      <c r="M80" s="6509"/>
      <c r="N80" s="6496"/>
      <c r="O80" s="6506" t="s">
        <v>515</v>
      </c>
      <c r="P80" s="6507">
        <f t="array" ref="P80">IFERROR(VLOOKUP(O65,Dex!$B$3:$N298,10,FALSE),"")</f>
        <v>90</v>
      </c>
      <c r="Q80" s="6508" t="str">
        <f t="array" ref="Q80">IFERROR(VLOOKUP(P80,Dex!$P$22:$Q$276,2,FALSE),"")</f>
        <v/>
      </c>
      <c r="R80" s="6509"/>
      <c r="S80" s="6496"/>
      <c r="T80" s="6506" t="s">
        <v>515</v>
      </c>
      <c r="U80" s="6507">
        <f t="array" ref="U80">IFERROR(VLOOKUP(T65,Dex!$B$3:$N298,10,FALSE),"")</f>
        <v>127</v>
      </c>
      <c r="V80" s="6508" t="str">
        <f t="array" ref="V80">IFERROR(VLOOKUP(U80,Dex!$P$22:$Q$276,2,FALSE),"")</f>
        <v/>
      </c>
      <c r="W80" s="6509"/>
      <c r="X80" s="6496"/>
      <c r="Y80" s="6506" t="s">
        <v>515</v>
      </c>
      <c r="Z80" s="6507">
        <f t="array" ref="Z80">IFERROR(VLOOKUP(Y65,Dex!$B$3:$N298,10,FALSE),"")</f>
        <v>115</v>
      </c>
      <c r="AA80" s="6508" t="str">
        <f t="array" ref="AA80">IFERROR(VLOOKUP(Z80,Dex!$P$22:$Q$276,2,FALSE),"")</f>
        <v/>
      </c>
      <c r="AB80" s="6509"/>
      <c r="AC80" s="6505"/>
      <c r="AD80" s="6506" t="s">
        <v>515</v>
      </c>
      <c r="AE80" s="6507">
        <f t="array" ref="AE80">IFERROR(VLOOKUP(AD65,Dex!$B$3:$N298,10,FALSE),"")</f>
        <v>88</v>
      </c>
      <c r="AF80" s="6508" t="str">
        <f t="array" ref="AF80">IFERROR(VLOOKUP(AE80,Dex!$P$22:$Q$276,2,FALSE),"")</f>
        <v/>
      </c>
      <c r="AG80" s="6509"/>
      <c r="AH80" s="6500"/>
      <c r="AI80" s="6297"/>
    </row>
    <row r="81" ht="16.5" customHeight="1">
      <c r="A81" s="6289"/>
      <c r="B81" s="6434"/>
      <c r="C81" s="6435"/>
      <c r="D81" s="6496"/>
      <c r="E81" s="6506" t="s">
        <v>516</v>
      </c>
      <c r="F81" s="6507">
        <f t="array" ref="F81">IFERROR(VLOOKUP(E65,Dex!$B$3:$N298,11,FALSE),"")</f>
        <v>110</v>
      </c>
      <c r="G81" s="6508" t="str">
        <f t="array" ref="G81">IFERROR(VLOOKUP(F81,Dex!$P$22:$Q$276,2,FALSE),"")</f>
        <v/>
      </c>
      <c r="H81" s="6509"/>
      <c r="I81" s="6496"/>
      <c r="J81" s="6506" t="s">
        <v>516</v>
      </c>
      <c r="K81" s="6507">
        <f t="array" ref="K81">IFERROR(VLOOKUP(J65,Dex!$B$3:$N298,11,FALSE),"")</f>
        <v>102</v>
      </c>
      <c r="L81" s="6508" t="str">
        <f t="array" ref="L81">IFERROR(VLOOKUP(K81,Dex!$P$22:$Q$276,2,FALSE),"")</f>
        <v/>
      </c>
      <c r="M81" s="6509"/>
      <c r="N81" s="6496"/>
      <c r="O81" s="6506" t="s">
        <v>516</v>
      </c>
      <c r="P81" s="6507">
        <f t="array" ref="P81">IFERROR(VLOOKUP(O65,Dex!$B$3:$N298,11,FALSE),"")</f>
        <v>120</v>
      </c>
      <c r="Q81" s="6508" t="str">
        <f t="array" ref="Q81">IFERROR(VLOOKUP(P81,Dex!$P$22:$Q$276,2,FALSE),"")</f>
        <v/>
      </c>
      <c r="R81" s="6509"/>
      <c r="S81" s="6496"/>
      <c r="T81" s="6506" t="s">
        <v>516</v>
      </c>
      <c r="U81" s="6507">
        <f t="array" ref="U81">IFERROR(VLOOKUP(T65,Dex!$B$3:$N298,11,FALSE),"")</f>
        <v>113</v>
      </c>
      <c r="V81" s="6508" t="str">
        <f t="array" ref="V81">IFERROR(VLOOKUP(U81,Dex!$P$22:$Q$276,2,FALSE),"")</f>
        <v/>
      </c>
      <c r="W81" s="6509"/>
      <c r="X81" s="6496"/>
      <c r="Y81" s="6506" t="s">
        <v>516</v>
      </c>
      <c r="Z81" s="6507">
        <f t="array" ref="Z81">IFERROR(VLOOKUP(Y65,Dex!$B$3:$N298,11,FALSE),"")</f>
        <v>80</v>
      </c>
      <c r="AA81" s="6508" t="str">
        <f t="array" ref="AA81">IFERROR(VLOOKUP(Z81,Dex!$P$22:$Q$276,2,FALSE),"")</f>
        <v/>
      </c>
      <c r="AB81" s="6509"/>
      <c r="AC81" s="6505"/>
      <c r="AD81" s="6506" t="s">
        <v>516</v>
      </c>
      <c r="AE81" s="6507">
        <f t="array" ref="AE81">IFERROR(VLOOKUP(AD65,Dex!$B$3:$N298,11,FALSE),"")</f>
        <v>140</v>
      </c>
      <c r="AF81" s="6508" t="str">
        <f t="array" ref="AF81">IFERROR(VLOOKUP(AE81,Dex!$P$22:$Q$276,2,FALSE),"")</f>
        <v/>
      </c>
      <c r="AG81" s="6509"/>
      <c r="AH81" s="6500"/>
      <c r="AI81" s="6297"/>
    </row>
    <row r="82" ht="16.5" customHeight="1">
      <c r="A82" s="6289"/>
      <c r="B82" s="6434"/>
      <c r="C82" s="6435"/>
      <c r="D82" s="6496"/>
      <c r="E82" s="6506" t="s">
        <v>517</v>
      </c>
      <c r="F82" s="6507">
        <f t="array" ref="F82">IFERROR(VLOOKUP(E65,Dex!$B$3:$N298,12,FALSE),"")</f>
        <v>71</v>
      </c>
      <c r="G82" s="6508" t="str">
        <f t="array" ref="G82">IFERROR(VLOOKUP(F82,Dex!$P$22:$Q$276,2,FALSE),"")</f>
        <v/>
      </c>
      <c r="H82" s="6509"/>
      <c r="I82" s="6496"/>
      <c r="J82" s="6506" t="s">
        <v>517</v>
      </c>
      <c r="K82" s="6507">
        <f t="array" ref="K82">IFERROR(VLOOKUP(J65,Dex!$B$3:$N298,12,FALSE),"")</f>
        <v>80</v>
      </c>
      <c r="L82" s="6508" t="str">
        <f t="array" ref="L82">IFERROR(VLOOKUP(K82,Dex!$P$22:$Q$276,2,FALSE),"")</f>
        <v/>
      </c>
      <c r="M82" s="6509"/>
      <c r="N82" s="6496"/>
      <c r="O82" s="6506" t="s">
        <v>517</v>
      </c>
      <c r="P82" s="6507">
        <f t="array" ref="P82">IFERROR(VLOOKUP(O65,Dex!$B$3:$N298,12,FALSE),"")</f>
        <v>60</v>
      </c>
      <c r="Q82" s="6508" t="str">
        <f t="array" ref="Q82">IFERROR(VLOOKUP(P82,Dex!$P$22:$Q$276,2,FALSE),"")</f>
        <v/>
      </c>
      <c r="R82" s="6509"/>
      <c r="S82" s="6496"/>
      <c r="T82" s="6506" t="s">
        <v>517</v>
      </c>
      <c r="U82" s="6507">
        <f t="array" ref="U82">IFERROR(VLOOKUP(T65,Dex!$B$3:$N298,12,FALSE),"")</f>
        <v>109</v>
      </c>
      <c r="V82" s="6508" t="str">
        <f t="array" ref="V82">IFERROR(VLOOKUP(U82,Dex!$P$22:$Q$276,2,FALSE),"")</f>
        <v/>
      </c>
      <c r="W82" s="6509"/>
      <c r="X82" s="6496"/>
      <c r="Y82" s="6506" t="s">
        <v>517</v>
      </c>
      <c r="Z82" s="6507">
        <f t="array" ref="Z82">IFERROR(VLOOKUP(Y65,Dex!$B$3:$N298,12,FALSE),"")</f>
        <v>115</v>
      </c>
      <c r="AA82" s="6508" t="str">
        <f t="array" ref="AA82">IFERROR(VLOOKUP(Z82,Dex!$P$22:$Q$276,2,FALSE),"")</f>
        <v/>
      </c>
      <c r="AB82" s="6509"/>
      <c r="AC82" s="6505"/>
      <c r="AD82" s="6506" t="s">
        <v>517</v>
      </c>
      <c r="AE82" s="6507">
        <f t="array" ref="AE82">IFERROR(VLOOKUP(AD65,Dex!$B$3:$N298,12,FALSE),"")</f>
        <v>70</v>
      </c>
      <c r="AF82" s="6508" t="str">
        <f t="array" ref="AF82">IFERROR(VLOOKUP(AE82,Dex!$P$22:$Q$276,2,FALSE),"")</f>
        <v/>
      </c>
      <c r="AG82" s="6509"/>
      <c r="AH82" s="6500"/>
      <c r="AI82" s="6297"/>
    </row>
    <row r="83" ht="16.5" customHeight="1">
      <c r="A83" s="6289"/>
      <c r="B83" s="6434"/>
      <c r="C83" s="6435"/>
      <c r="D83" s="6496"/>
      <c r="E83" s="6510" t="s">
        <v>518</v>
      </c>
      <c r="F83" s="6511">
        <f t="array" ref="F83">IFERROR(VLOOKUP(E65,Dex!$B$3:$N298,13,FALSE),"")</f>
        <v>113</v>
      </c>
      <c r="G83" s="6508" t="str">
        <f t="array" ref="G83">IFERROR(VLOOKUP(F83,Dex!$P$22:$Q$276,2,FALSE),"")</f>
        <v/>
      </c>
      <c r="H83" s="6509"/>
      <c r="I83" s="6496"/>
      <c r="J83" s="6510" t="s">
        <v>518</v>
      </c>
      <c r="K83" s="6511">
        <f t="array" ref="K83">IFERROR(VLOOKUP(J65,Dex!$B$3:$N298,13,FALSE),"")</f>
        <v>143</v>
      </c>
      <c r="L83" s="6508" t="str">
        <f t="array" ref="L83">IFERROR(VLOOKUP(K83,Dex!$P$22:$Q$276,2,FALSE),"")</f>
        <v/>
      </c>
      <c r="M83" s="6509"/>
      <c r="N83" s="6496"/>
      <c r="O83" s="6510" t="s">
        <v>518</v>
      </c>
      <c r="P83" s="6511">
        <f t="array" ref="P83">IFERROR(VLOOKUP(O65,Dex!$B$3:$N298,13,FALSE),"")</f>
        <v>116</v>
      </c>
      <c r="Q83" s="6512" t="str">
        <f t="array" ref="Q83">IFERROR(VLOOKUP(P83,Dex!$P$22:$Q$276,2,FALSE),"")</f>
        <v/>
      </c>
      <c r="R83" s="6513"/>
      <c r="S83" s="6496"/>
      <c r="T83" s="6510" t="s">
        <v>518</v>
      </c>
      <c r="U83" s="6511">
        <f t="array" ref="U83">IFERROR(VLOOKUP(T65,Dex!$B$3:$N298,13,FALSE),"")</f>
        <v>77</v>
      </c>
      <c r="V83" s="6512" t="str">
        <f t="array" ref="V83">IFERROR(VLOOKUP(U83,Dex!$P$22:$Q$276,2,FALSE),"")</f>
        <v/>
      </c>
      <c r="W83" s="6513"/>
      <c r="X83" s="6496"/>
      <c r="Y83" s="6510" t="s">
        <v>518</v>
      </c>
      <c r="Z83" s="6511">
        <f t="array" ref="Z83">IFERROR(VLOOKUP(Y65,Dex!$B$3:$N298,13,FALSE),"")</f>
        <v>148</v>
      </c>
      <c r="AA83" s="6508" t="str">
        <f t="array" ref="AA83">IFERROR(VLOOKUP(Z83,Dex!$P$22:$Q$276,2,FALSE),"")</f>
        <v/>
      </c>
      <c r="AB83" s="6509"/>
      <c r="AC83" s="6505"/>
      <c r="AD83" s="6510" t="s">
        <v>518</v>
      </c>
      <c r="AE83" s="6511">
        <f t="array" ref="AE83">IFERROR(VLOOKUP(AD65,Dex!$B$3:$N298,13,FALSE),"")</f>
        <v>112</v>
      </c>
      <c r="AF83" s="6508" t="str">
        <f t="array" ref="AF83">IFERROR(VLOOKUP(AE83,Dex!$P$22:$Q$276,2,FALSE),"")</f>
        <v/>
      </c>
      <c r="AG83" s="6509"/>
      <c r="AH83" s="6500"/>
      <c r="AI83" s="6297"/>
    </row>
    <row r="84" ht="16.5" customHeight="1">
      <c r="A84" s="6289"/>
      <c r="B84" s="6434"/>
      <c r="C84" s="6435"/>
      <c r="D84" s="6496"/>
      <c r="E84" s="6514" t="s">
        <v>519</v>
      </c>
      <c r="F84" s="630"/>
      <c r="G84" s="631"/>
      <c r="H84" s="632">
        <f>ROUNDDOWN((ROUNDDOWN(((((2*F83+31)*85)/100+5)),0))*1.1,0)</f>
        <v>245</v>
      </c>
      <c r="I84" s="6515"/>
      <c r="J84" s="6514" t="s">
        <v>519</v>
      </c>
      <c r="K84" s="630"/>
      <c r="L84" s="631"/>
      <c r="M84" s="632">
        <f>ROUNDDOWN((ROUNDDOWN(((((2*K83+31)*85)/100+5)),0))*1.1,0)</f>
        <v>301</v>
      </c>
      <c r="N84" s="6515"/>
      <c r="O84" s="6516" t="s">
        <v>519</v>
      </c>
      <c r="P84" s="635"/>
      <c r="Q84" s="636"/>
      <c r="R84" s="632">
        <f>ROUNDDOWN((ROUNDDOWN(((((2*P83+31)*85)/100+5)),0))*1.1,0)</f>
        <v>250</v>
      </c>
      <c r="S84" s="6515"/>
      <c r="T84" s="6514" t="s">
        <v>519</v>
      </c>
      <c r="U84" s="630"/>
      <c r="V84" s="631"/>
      <c r="W84" s="632">
        <f>ROUNDDOWN((ROUNDDOWN(((((2*U83+31)*85)/100+5)),0))*1,0)</f>
        <v>162</v>
      </c>
      <c r="X84" s="6515"/>
      <c r="Y84" s="6514" t="s">
        <v>519</v>
      </c>
      <c r="Z84" s="630"/>
      <c r="AA84" s="631"/>
      <c r="AB84" s="632">
        <f>ROUNDDOWN((ROUNDDOWN(((((2*Z83+31)*85)/100+5)),0))*1.1,0)</f>
        <v>310</v>
      </c>
      <c r="AC84" s="6499"/>
      <c r="AD84" s="6514" t="s">
        <v>519</v>
      </c>
      <c r="AE84" s="630"/>
      <c r="AF84" s="631"/>
      <c r="AG84" s="632">
        <f>ROUNDDOWN((ROUNDDOWN(((((2*AE83+31)*85)/100+5)),0))*1.1,0)</f>
        <v>243</v>
      </c>
      <c r="AH84" s="6500"/>
      <c r="AI84" s="6297"/>
    </row>
    <row r="85" ht="16.5" customHeight="1">
      <c r="A85" s="6210"/>
      <c r="B85" s="6428"/>
      <c r="C85" s="6431"/>
      <c r="D85" s="6432"/>
      <c r="E85" s="6517"/>
      <c r="F85" s="6517"/>
      <c r="G85" s="6517"/>
      <c r="H85" s="6517"/>
      <c r="I85" s="6432"/>
      <c r="J85" s="6426"/>
      <c r="K85" s="6426"/>
      <c r="L85" s="6426"/>
      <c r="M85" s="6517"/>
      <c r="N85" s="6468"/>
      <c r="O85" s="6518" t="s">
        <v>1855</v>
      </c>
      <c r="P85" s="643"/>
      <c r="Q85" s="644"/>
      <c r="R85" s="645">
        <f>ROUNDDOWN(R84*1.5,0)</f>
        <v>375</v>
      </c>
      <c r="S85" s="6468"/>
      <c r="T85" s="6517"/>
      <c r="U85" s="6517"/>
      <c r="V85" s="6517"/>
      <c r="W85" s="6517"/>
      <c r="X85" s="6432"/>
      <c r="Y85" s="6426"/>
      <c r="Z85" s="6426"/>
      <c r="AA85" s="6426"/>
      <c r="AB85" s="6517"/>
      <c r="AC85" s="6432"/>
      <c r="AD85" s="6426"/>
      <c r="AE85" s="6426"/>
      <c r="AF85" s="6426"/>
      <c r="AG85" s="6517"/>
      <c r="AH85" s="6430"/>
      <c r="AI85" s="6215"/>
    </row>
    <row r="86" ht="11.25" customHeight="1">
      <c r="A86" s="6210"/>
      <c r="B86" s="6428"/>
      <c r="C86" s="6429"/>
      <c r="D86" s="6429"/>
      <c r="E86" s="6429"/>
      <c r="F86" s="6429"/>
      <c r="G86" s="6429"/>
      <c r="H86" s="6429"/>
      <c r="I86" s="6429"/>
      <c r="J86" s="6429"/>
      <c r="K86" s="6429"/>
      <c r="L86" s="6429"/>
      <c r="M86" s="6429"/>
      <c r="N86" s="6429"/>
      <c r="O86" s="6519"/>
      <c r="P86" s="6519"/>
      <c r="Q86" s="6519"/>
      <c r="R86" s="6519"/>
      <c r="S86" s="6429"/>
      <c r="T86" s="6519"/>
      <c r="U86" s="6519"/>
      <c r="V86" s="6519"/>
      <c r="W86" s="6429"/>
      <c r="X86" s="6429"/>
      <c r="Y86" s="6429"/>
      <c r="Z86" s="6429"/>
      <c r="AA86" s="6429"/>
      <c r="AB86" s="6429"/>
      <c r="AC86" s="6429"/>
      <c r="AD86" s="6429"/>
      <c r="AE86" s="6429"/>
      <c r="AF86" s="6429"/>
      <c r="AG86" s="6429"/>
      <c r="AH86" s="6430"/>
      <c r="AI86" s="6215"/>
    </row>
    <row r="87" ht="11.25" customHeight="1">
      <c r="A87" s="6210"/>
      <c r="B87" s="6428"/>
      <c r="C87" s="6429"/>
      <c r="D87" s="6429"/>
      <c r="E87" s="3250" t="s">
        <v>1881</v>
      </c>
      <c r="F87" s="3251"/>
      <c r="G87" s="3251"/>
      <c r="H87" s="3251"/>
      <c r="I87" s="3251"/>
      <c r="J87" s="3251"/>
      <c r="K87" s="3251"/>
      <c r="L87" s="3251"/>
      <c r="M87" s="3251"/>
      <c r="N87" s="3251"/>
      <c r="O87" s="3251"/>
      <c r="P87" s="3251"/>
      <c r="Q87" s="3251"/>
      <c r="R87" s="3251"/>
      <c r="S87" s="3251"/>
      <c r="T87" s="3251"/>
      <c r="U87" s="3251"/>
      <c r="V87" s="3251"/>
      <c r="W87" s="3251"/>
      <c r="X87" s="3251"/>
      <c r="Y87" s="3251"/>
      <c r="Z87" s="3251"/>
      <c r="AA87" s="3251"/>
      <c r="AB87" s="3251"/>
      <c r="AC87" s="3251"/>
      <c r="AD87" s="3251"/>
      <c r="AE87" s="3251"/>
      <c r="AF87" s="3251"/>
      <c r="AG87" s="3252"/>
      <c r="AH87" s="6430"/>
      <c r="AI87" s="6215"/>
    </row>
    <row r="88" ht="11.25" customHeight="1">
      <c r="A88" s="6210"/>
      <c r="B88" s="6428"/>
      <c r="C88" s="6431"/>
      <c r="D88" s="6432"/>
      <c r="E88" s="314"/>
      <c r="F88" s="3255"/>
      <c r="G88" s="3255"/>
      <c r="H88" s="3255"/>
      <c r="I88" s="3255"/>
      <c r="J88" s="3255"/>
      <c r="K88" s="3255"/>
      <c r="L88" s="3255"/>
      <c r="M88" s="3255"/>
      <c r="N88" s="3255"/>
      <c r="O88" s="3255"/>
      <c r="P88" s="3255"/>
      <c r="Q88" s="3255"/>
      <c r="R88" s="3255"/>
      <c r="S88" s="3255"/>
      <c r="T88" s="3255"/>
      <c r="U88" s="3255"/>
      <c r="V88" s="3255"/>
      <c r="W88" s="3255"/>
      <c r="X88" s="3255"/>
      <c r="Y88" s="3255"/>
      <c r="Z88" s="3255"/>
      <c r="AA88" s="3255"/>
      <c r="AB88" s="3255"/>
      <c r="AC88" s="3255"/>
      <c r="AD88" s="3255"/>
      <c r="AE88" s="3255"/>
      <c r="AF88" s="3255"/>
      <c r="AG88" s="3256"/>
      <c r="AH88" s="6430"/>
      <c r="AI88" s="6215"/>
    </row>
    <row r="89" ht="3.75" customHeight="1">
      <c r="A89" s="6210"/>
      <c r="B89" s="6428"/>
      <c r="C89" s="6431"/>
      <c r="D89" s="6432"/>
      <c r="E89" s="6520"/>
      <c r="F89" s="6520"/>
      <c r="G89" s="6520"/>
      <c r="H89" s="6520"/>
      <c r="I89" s="6433"/>
      <c r="J89" s="6520"/>
      <c r="K89" s="6520"/>
      <c r="L89" s="6520"/>
      <c r="M89" s="6520"/>
      <c r="N89" s="6433"/>
      <c r="O89" s="6520"/>
      <c r="P89" s="6520"/>
      <c r="Q89" s="6520"/>
      <c r="R89" s="6520"/>
      <c r="S89" s="6433"/>
      <c r="T89" s="6520"/>
      <c r="U89" s="6520"/>
      <c r="V89" s="6520"/>
      <c r="W89" s="6520"/>
      <c r="X89" s="6433"/>
      <c r="Y89" s="6520"/>
      <c r="Z89" s="6520"/>
      <c r="AA89" s="6520"/>
      <c r="AB89" s="6520"/>
      <c r="AC89" s="6433"/>
      <c r="AD89" s="6520"/>
      <c r="AE89" s="6520"/>
      <c r="AF89" s="6520"/>
      <c r="AG89" s="6520"/>
      <c r="AH89" s="6430"/>
      <c r="AI89" s="6215"/>
    </row>
    <row r="90">
      <c r="A90" s="6210"/>
      <c r="B90" s="6434"/>
      <c r="C90" s="6435"/>
      <c r="D90" s="6435"/>
      <c r="E90" s="6436" t="s">
        <v>1882</v>
      </c>
      <c r="F90" s="6437"/>
      <c r="G90" s="6437"/>
      <c r="H90" s="6437"/>
      <c r="I90" s="6437"/>
      <c r="J90" s="6437"/>
      <c r="K90" s="6437"/>
      <c r="L90" s="6437"/>
      <c r="M90" s="6437"/>
      <c r="N90" s="6437"/>
      <c r="O90" s="6437"/>
      <c r="P90" s="6437"/>
      <c r="Q90" s="6437"/>
      <c r="R90" s="6437"/>
      <c r="S90" s="6437"/>
      <c r="T90" s="6437"/>
      <c r="U90" s="6437"/>
      <c r="V90" s="6437"/>
      <c r="W90" s="6437"/>
      <c r="X90" s="6437"/>
      <c r="Y90" s="6437"/>
      <c r="Z90" s="6437"/>
      <c r="AA90" s="6437"/>
      <c r="AB90" s="6437"/>
      <c r="AC90" s="6437"/>
      <c r="AD90" s="6437"/>
      <c r="AE90" s="6437"/>
      <c r="AF90" s="6437"/>
      <c r="AG90" s="6438"/>
      <c r="AH90" s="6430"/>
      <c r="AI90" s="6215"/>
    </row>
    <row r="91" ht="96.75" customHeight="1">
      <c r="A91" s="6210"/>
      <c r="B91" s="6428"/>
      <c r="C91" s="6439" t="str">
        <f>IMAGE("https://i.ibb.co/Q9fb5Tk/Bruno.png")</f>
        <v/>
      </c>
      <c r="D91" s="6440"/>
      <c r="E91" s="6441" t="str">
        <f t="array" ref="E91">IFERROR(VLOOKUP(E92,Dex!$B$3:$G298,3,FALSE),"")</f>
        <v/>
      </c>
      <c r="F91" s="1945"/>
      <c r="G91" s="1945"/>
      <c r="H91" s="1946"/>
      <c r="I91" s="6442"/>
      <c r="J91" s="6441" t="str">
        <f t="array" ref="J91">IFERROR(VLOOKUP(J92,Dex!$B$3:$G298,3,FALSE),"")</f>
        <v/>
      </c>
      <c r="K91" s="1945"/>
      <c r="L91" s="1945"/>
      <c r="M91" s="1946"/>
      <c r="N91" s="6442"/>
      <c r="O91" s="6441" t="str">
        <f t="array" ref="O91">IFERROR(VLOOKUP(O92,Dex!$B$3:$G298,3,FALSE),"")</f>
        <v/>
      </c>
      <c r="P91" s="1945"/>
      <c r="Q91" s="1945"/>
      <c r="R91" s="1946"/>
      <c r="S91" s="6442"/>
      <c r="T91" s="6441" t="str">
        <f t="array" ref="T91">IFERROR(VLOOKUP(T92,Dex!$B$3:$G298,3,FALSE),"")</f>
        <v/>
      </c>
      <c r="U91" s="1945"/>
      <c r="V91" s="1945"/>
      <c r="W91" s="1946"/>
      <c r="X91" s="6442"/>
      <c r="Y91" s="6441" t="str">
        <f t="array" ref="Y91">IFERROR(VLOOKUP(Y92,Dex!$B$3:$G298,3,FALSE),"")</f>
        <v/>
      </c>
      <c r="Z91" s="1945"/>
      <c r="AA91" s="1945"/>
      <c r="AB91" s="1946"/>
      <c r="AC91" s="6442"/>
      <c r="AD91" s="6441" t="str">
        <f t="array" ref="AD91">IFERROR(VLOOKUP(AD92,Dex!$B$3:$G298,3,FALSE),"")</f>
        <v/>
      </c>
      <c r="AE91" s="1945"/>
      <c r="AF91" s="1945"/>
      <c r="AG91" s="1946"/>
      <c r="AH91" s="6443"/>
      <c r="AI91" s="6215"/>
    </row>
    <row r="92" ht="18.75" customHeight="1">
      <c r="A92" s="6231"/>
      <c r="B92" s="6444"/>
      <c r="C92" s="6445" t="s">
        <v>1883</v>
      </c>
      <c r="D92" s="6446"/>
      <c r="E92" s="6447" t="s">
        <v>1825</v>
      </c>
      <c r="F92" s="6448"/>
      <c r="G92" s="6448"/>
      <c r="H92" s="6449"/>
      <c r="J92" s="6447" t="s">
        <v>598</v>
      </c>
      <c r="K92" s="6448"/>
      <c r="L92" s="6448"/>
      <c r="M92" s="6449"/>
      <c r="O92" s="6447" t="s">
        <v>1872</v>
      </c>
      <c r="P92" s="6448"/>
      <c r="Q92" s="6448"/>
      <c r="R92" s="6449"/>
      <c r="T92" s="6447" t="s">
        <v>948</v>
      </c>
      <c r="U92" s="6448"/>
      <c r="V92" s="6448"/>
      <c r="W92" s="6449"/>
      <c r="Y92" s="6447" t="s">
        <v>1873</v>
      </c>
      <c r="Z92" s="6448"/>
      <c r="AA92" s="6448"/>
      <c r="AB92" s="6449"/>
      <c r="AD92" s="6447" t="s">
        <v>1884</v>
      </c>
      <c r="AE92" s="6448"/>
      <c r="AF92" s="6448"/>
      <c r="AG92" s="6449"/>
      <c r="AH92" s="6450"/>
      <c r="AI92" s="6239"/>
    </row>
    <row r="93">
      <c r="A93" s="6240"/>
      <c r="B93" s="6451"/>
      <c r="C93" s="556"/>
      <c r="D93" s="6452"/>
      <c r="E93" s="6453" t="s">
        <v>729</v>
      </c>
      <c r="F93" s="6454"/>
      <c r="G93" s="6454"/>
      <c r="H93" s="6455"/>
      <c r="J93" s="6453" t="s">
        <v>729</v>
      </c>
      <c r="K93" s="6454"/>
      <c r="L93" s="6454"/>
      <c r="M93" s="6455"/>
      <c r="O93" s="6453" t="s">
        <v>729</v>
      </c>
      <c r="P93" s="6454"/>
      <c r="Q93" s="6454"/>
      <c r="R93" s="6455"/>
      <c r="T93" s="6453" t="s">
        <v>729</v>
      </c>
      <c r="U93" s="6454"/>
      <c r="V93" s="6454"/>
      <c r="W93" s="6455"/>
      <c r="Y93" s="6453" t="s">
        <v>729</v>
      </c>
      <c r="Z93" s="6454"/>
      <c r="AA93" s="6454"/>
      <c r="AB93" s="6455"/>
      <c r="AD93" s="6453" t="s">
        <v>729</v>
      </c>
      <c r="AE93" s="6454"/>
      <c r="AF93" s="6454"/>
      <c r="AG93" s="6455"/>
      <c r="AH93" s="6456"/>
      <c r="AI93" s="6247"/>
    </row>
    <row r="94" ht="25.5" customHeight="1">
      <c r="A94" s="6210"/>
      <c r="B94" s="6428"/>
      <c r="C94" s="6457"/>
      <c r="D94" s="6432"/>
      <c r="E94" s="6458"/>
      <c r="F94" s="6459" t="str">
        <f t="array" ref="F94">IFERROR(VLOOKUP(E92,Dex!$B$3:$H298,5,FALSE),"")</f>
        <v/>
      </c>
      <c r="G94" s="6460" t="str">
        <f t="array" ref="G94">IFERROR(VLOOKUP(E92,Dex!$B$3:$H298,7,FALSE),"")</f>
        <v/>
      </c>
      <c r="H94" s="6461"/>
      <c r="J94" s="6458"/>
      <c r="K94" s="6459" t="str">
        <f t="array" ref="K94">IFERROR(VLOOKUP(J92,Dex!$B$3:$H298,5,FALSE),"")</f>
        <v/>
      </c>
      <c r="L94" s="6460" t="str">
        <f t="array" ref="L94">IFERROR(VLOOKUP(J92,Dex!$B$3:$H298,7,FALSE),"")</f>
        <v/>
      </c>
      <c r="M94" s="6461"/>
      <c r="O94" s="6458"/>
      <c r="P94" s="6459" t="str">
        <f t="array" ref="P94">IFERROR(VLOOKUP(O92,Dex!$B$3:$H298,5,FALSE),"")</f>
        <v/>
      </c>
      <c r="Q94" s="6460" t="str">
        <f t="array" ref="Q94">IFERROR(VLOOKUP(O92,Dex!$B$3:$H298,7,FALSE),"")</f>
        <v/>
      </c>
      <c r="R94" s="6461"/>
      <c r="T94" s="6458"/>
      <c r="U94" s="6459" t="str">
        <f t="array" ref="U94">IFERROR(VLOOKUP(T92,Dex!$B$3:$H298,5,FALSE),"")</f>
        <v/>
      </c>
      <c r="V94" s="6460" t="str">
        <f t="array" ref="V94">IFERROR(VLOOKUP(T92,Dex!$B$3:$H298,7,FALSE),"")</f>
        <v/>
      </c>
      <c r="W94" s="6461"/>
      <c r="Y94" s="6458"/>
      <c r="Z94" s="6459" t="str">
        <f t="array" ref="Z94">IFERROR(VLOOKUP(Y92,Dex!$B$3:$H298,5,FALSE),"")</f>
        <v/>
      </c>
      <c r="AA94" s="6460" t="str">
        <f t="array" ref="AA94">IFERROR(VLOOKUP(Y92,Dex!$B$3:$H298,7,FALSE),"")</f>
        <v/>
      </c>
      <c r="AB94" s="6461"/>
      <c r="AD94" s="6458"/>
      <c r="AE94" s="6459" t="str">
        <f t="array" ref="AE94">IFERROR(VLOOKUP(AD92,Dex!$B$3:$H298,5,FALSE),"")</f>
        <v/>
      </c>
      <c r="AF94" s="6460" t="str">
        <f t="array" ref="AF94">IFERROR(VLOOKUP(AD92,Dex!$B$3:$H298,7,FALSE),"")</f>
        <v/>
      </c>
      <c r="AG94" s="6461"/>
      <c r="AH94" s="6430"/>
      <c r="AI94" s="6215"/>
    </row>
    <row r="95" ht="2.25" customHeight="1">
      <c r="A95" s="6210"/>
      <c r="B95" s="6428"/>
      <c r="C95" s="6464"/>
      <c r="D95" s="6432"/>
      <c r="E95" s="6465"/>
      <c r="F95" s="6466"/>
      <c r="G95" s="6466"/>
      <c r="H95" s="6467"/>
      <c r="J95" s="6465"/>
      <c r="K95" s="6466"/>
      <c r="L95" s="6466"/>
      <c r="M95" s="6467"/>
      <c r="O95" s="6465"/>
      <c r="P95" s="6466"/>
      <c r="Q95" s="6466"/>
      <c r="R95" s="6467"/>
      <c r="T95" s="6465"/>
      <c r="U95" s="6466"/>
      <c r="V95" s="6466"/>
      <c r="W95" s="6467"/>
      <c r="Y95" s="6465"/>
      <c r="Z95" s="6466"/>
      <c r="AA95" s="6466"/>
      <c r="AB95" s="6467"/>
      <c r="AD95" s="6465"/>
      <c r="AE95" s="6466"/>
      <c r="AF95" s="6466"/>
      <c r="AG95" s="6467"/>
      <c r="AH95" s="6430"/>
      <c r="AI95" s="6215"/>
    </row>
    <row r="96" ht="20.25" customHeight="1">
      <c r="A96" s="6210"/>
      <c r="B96" s="6428"/>
      <c r="C96" s="6464"/>
      <c r="D96" s="6468"/>
      <c r="E96" s="6469" t="s">
        <v>532</v>
      </c>
      <c r="F96" s="6470"/>
      <c r="G96" s="6470"/>
      <c r="H96" s="6471"/>
      <c r="J96" s="6469" t="s">
        <v>566</v>
      </c>
      <c r="K96" s="6470"/>
      <c r="L96" s="6470"/>
      <c r="M96" s="6471"/>
      <c r="O96" s="6469" t="s">
        <v>564</v>
      </c>
      <c r="P96" s="6470"/>
      <c r="Q96" s="6470"/>
      <c r="R96" s="6471"/>
      <c r="T96" s="6469" t="s">
        <v>566</v>
      </c>
      <c r="U96" s="6470"/>
      <c r="V96" s="6470"/>
      <c r="W96" s="6471"/>
      <c r="Y96" s="6469" t="s">
        <v>532</v>
      </c>
      <c r="Z96" s="6470"/>
      <c r="AA96" s="6470"/>
      <c r="AB96" s="6471"/>
      <c r="AD96" s="6469" t="s">
        <v>532</v>
      </c>
      <c r="AE96" s="6470"/>
      <c r="AF96" s="6470"/>
      <c r="AG96" s="6471"/>
      <c r="AH96" s="6443"/>
      <c r="AI96" s="6215"/>
    </row>
    <row r="97" ht="20.25" customHeight="1">
      <c r="A97" s="6210"/>
      <c r="B97" s="6428"/>
      <c r="C97" s="6464"/>
      <c r="D97" s="6468"/>
      <c r="E97" s="6472" t="s">
        <v>1070</v>
      </c>
      <c r="F97" s="6473"/>
      <c r="G97" s="6473"/>
      <c r="H97" s="6474"/>
      <c r="J97" s="6472" t="s">
        <v>569</v>
      </c>
      <c r="K97" s="6473"/>
      <c r="L97" s="6473"/>
      <c r="M97" s="6474"/>
      <c r="O97" s="6472" t="s">
        <v>63</v>
      </c>
      <c r="P97" s="6473"/>
      <c r="Q97" s="6473"/>
      <c r="R97" s="6474"/>
      <c r="T97" s="6472" t="s">
        <v>953</v>
      </c>
      <c r="U97" s="6473"/>
      <c r="V97" s="6473"/>
      <c r="W97" s="6474"/>
      <c r="Y97" s="6472" t="s">
        <v>1875</v>
      </c>
      <c r="Z97" s="6473"/>
      <c r="AA97" s="6473"/>
      <c r="AB97" s="6474"/>
      <c r="AD97" s="6521" t="s">
        <v>1885</v>
      </c>
      <c r="AE97" s="6473"/>
      <c r="AF97" s="6473"/>
      <c r="AG97" s="6474"/>
      <c r="AH97" s="6443"/>
      <c r="AI97" s="6215"/>
    </row>
    <row r="98" ht="20.25" customHeight="1">
      <c r="A98" s="6210"/>
      <c r="B98" s="6428"/>
      <c r="C98" s="6475"/>
      <c r="D98" s="6468"/>
      <c r="E98" s="6476" t="s">
        <v>573</v>
      </c>
      <c r="F98" s="6437"/>
      <c r="G98" s="6438"/>
      <c r="H98" s="6477" t="str">
        <f>IMAGE("https://raw.githubusercontent.com/msikma/pokesprite/master/items/hold-item/focus-sash.png",3)</f>
        <v/>
      </c>
      <c r="J98" s="6476" t="s">
        <v>1877</v>
      </c>
      <c r="K98" s="6437"/>
      <c r="L98" s="6438"/>
      <c r="M98" s="6477" t="str">
        <f>IMAGE("https://raw.githubusercontent.com/msikma/pokesprite/master/items/hold-item/misty-seed.png",3)</f>
        <v/>
      </c>
      <c r="O98" s="6476" t="s">
        <v>639</v>
      </c>
      <c r="P98" s="6437"/>
      <c r="Q98" s="6438"/>
      <c r="R98" s="6477" t="str">
        <f>IMAGE("https://i.ibb.co/SK50ng3/booster.png",4,22,22)</f>
        <v/>
      </c>
      <c r="T98" s="6476" t="s">
        <v>710</v>
      </c>
      <c r="U98" s="6437"/>
      <c r="V98" s="6438"/>
      <c r="W98" s="6477" t="str">
        <f>IMAGE("https://raw.githubusercontent.com/msikma/pokesprite/master/items/hold-item/weakness-policy.png",3)</f>
        <v/>
      </c>
      <c r="Y98" s="6476" t="s">
        <v>1878</v>
      </c>
      <c r="Z98" s="6437"/>
      <c r="AA98" s="6438"/>
      <c r="AB98" s="6477" t="str">
        <f>IMAGE("https://raw.githubusercontent.com/msikma/pokesprite/master/items/hold-item/rusted-sword.png",3)</f>
        <v/>
      </c>
      <c r="AD98" s="6476" t="s">
        <v>1886</v>
      </c>
      <c r="AE98" s="6437"/>
      <c r="AF98" s="6438"/>
      <c r="AG98" s="6477" t="str">
        <f>IMAGE("https://raw.githubusercontent.com/msikma/pokesprite/master/items/mega-stone/medichamite.png",3)</f>
        <v/>
      </c>
      <c r="AH98" s="6430"/>
      <c r="AI98" s="6215"/>
    </row>
    <row r="99" ht="20.25" customHeight="1">
      <c r="A99" s="6210"/>
      <c r="B99" s="6428"/>
      <c r="C99" s="6431"/>
      <c r="D99" s="6468"/>
      <c r="E99" s="6469" t="s">
        <v>667</v>
      </c>
      <c r="F99" s="6470"/>
      <c r="G99" s="6478"/>
      <c r="H99" s="6479" t="str">
        <f>IMAGE("https://raw.githubusercontent.com/msikma/pokesprite/master/misc/types/gen8/dark.png",4,20,20)</f>
        <v/>
      </c>
      <c r="J99" s="6469" t="s">
        <v>287</v>
      </c>
      <c r="K99" s="6470"/>
      <c r="L99" s="6478"/>
      <c r="M99" s="6479" t="str">
        <f>IMAGE("https://raw.githubusercontent.com/msikma/pokesprite/master/misc/types/gen8/normal.png",4,20,20)</f>
        <v/>
      </c>
      <c r="O99" s="6469" t="s">
        <v>170</v>
      </c>
      <c r="P99" s="6470"/>
      <c r="Q99" s="6478"/>
      <c r="R99" s="6479" t="str">
        <f>IMAGE("https://raw.githubusercontent.com/msikma/pokesprite/master/misc/types/gen8/psychic.png",4,20,20)</f>
        <v/>
      </c>
      <c r="T99" s="6469" t="s">
        <v>219</v>
      </c>
      <c r="U99" s="6470"/>
      <c r="V99" s="6478"/>
      <c r="W99" s="6479" t="str">
        <f>IMAGE("https://raw.githubusercontent.com/msikma/pokesprite/master/misc/types/gen8/dragon.png",4,20,20)</f>
        <v/>
      </c>
      <c r="Y99" s="6469" t="s">
        <v>287</v>
      </c>
      <c r="Z99" s="6470"/>
      <c r="AA99" s="6478"/>
      <c r="AB99" s="6479" t="str">
        <f>IMAGE("https://raw.githubusercontent.com/msikma/pokesprite/master/misc/types/gen8/normal.png",4,20,20)</f>
        <v/>
      </c>
      <c r="AD99" s="6469" t="s">
        <v>777</v>
      </c>
      <c r="AE99" s="6470"/>
      <c r="AF99" s="6478"/>
      <c r="AG99" s="6479" t="str">
        <f>IMAGE("https://raw.githubusercontent.com/msikma/pokesprite/master/misc/types/gen8/normal.png",4,20,20)</f>
        <v/>
      </c>
      <c r="AH99" s="6430"/>
      <c r="AI99" s="6215"/>
    </row>
    <row r="100" ht="20.25" customHeight="1">
      <c r="A100" s="6210"/>
      <c r="B100" s="6428"/>
      <c r="C100" s="6431"/>
      <c r="D100" s="6468"/>
      <c r="E100" s="6472" t="s">
        <v>583</v>
      </c>
      <c r="F100" s="6473"/>
      <c r="G100" s="6480"/>
      <c r="H100" s="6481" t="str">
        <f>IMAGE("https://raw.githubusercontent.com/msikma/pokesprite/master/misc/types/gen8/fighting.png",4,20,20)</f>
        <v/>
      </c>
      <c r="J100" s="6472" t="s">
        <v>613</v>
      </c>
      <c r="K100" s="6473"/>
      <c r="L100" s="6480"/>
      <c r="M100" s="6481" t="str">
        <f>IMAGE("https://raw.githubusercontent.com/msikma/pokesprite/master/misc/types/gen8/flying.png",4,20,20)</f>
        <v/>
      </c>
      <c r="O100" s="6472" t="s">
        <v>641</v>
      </c>
      <c r="P100" s="6473"/>
      <c r="Q100" s="6480"/>
      <c r="R100" s="6481" t="str">
        <f>IMAGE("https://raw.githubusercontent.com/msikma/pokesprite/master/misc/types/gen8/fairy.png",4,20,20)</f>
        <v/>
      </c>
      <c r="T100" s="6472" t="s">
        <v>960</v>
      </c>
      <c r="U100" s="6473"/>
      <c r="V100" s="6480"/>
      <c r="W100" s="6481" t="str">
        <f>IMAGE("https://raw.githubusercontent.com/msikma/pokesprite/master/misc/types/gen8/steel.png",4,20,20)</f>
        <v/>
      </c>
      <c r="Y100" s="6472" t="s">
        <v>1880</v>
      </c>
      <c r="Z100" s="6473"/>
      <c r="AA100" s="6480"/>
      <c r="AB100" s="6481" t="str">
        <f>IMAGE("https://raw.githubusercontent.com/msikma/pokesprite/master/misc/types/gen8/steel.png",4,20,20)</f>
        <v/>
      </c>
      <c r="AD100" s="6472" t="s">
        <v>583</v>
      </c>
      <c r="AE100" s="6473"/>
      <c r="AF100" s="6480"/>
      <c r="AG100" s="6481" t="str">
        <f>IMAGE("https://raw.githubusercontent.com/msikma/pokesprite/master/misc/types/gen8/fighting.png",4,20,20)</f>
        <v/>
      </c>
      <c r="AH100" s="6430"/>
      <c r="AI100" s="6215"/>
    </row>
    <row r="101" ht="20.25" customHeight="1">
      <c r="A101" s="6210"/>
      <c r="B101" s="6428"/>
      <c r="C101" s="6431"/>
      <c r="D101" s="6468"/>
      <c r="E101" s="6472" t="s">
        <v>612</v>
      </c>
      <c r="F101" s="6473"/>
      <c r="G101" s="6480"/>
      <c r="H101" s="6481" t="str">
        <f>IMAGE("https://raw.githubusercontent.com/msikma/pokesprite/master/misc/types/gen8/bug.png",4,20,20)</f>
        <v/>
      </c>
      <c r="J101" s="6472" t="s">
        <v>583</v>
      </c>
      <c r="K101" s="6473"/>
      <c r="L101" s="6480"/>
      <c r="M101" s="6481" t="str">
        <f>IMAGE("https://raw.githubusercontent.com/msikma/pokesprite/master/misc/types/gen8/fighting.png",4,20,20)</f>
        <v/>
      </c>
      <c r="O101" s="6472" t="s">
        <v>647</v>
      </c>
      <c r="P101" s="6473"/>
      <c r="Q101" s="6480"/>
      <c r="R101" s="6481" t="str">
        <f>IMAGE("https://raw.githubusercontent.com/msikma/pokesprite/master/misc/types/gen8/ghost.png",4,20,20)</f>
        <v/>
      </c>
      <c r="T101" s="6472" t="s">
        <v>549</v>
      </c>
      <c r="U101" s="6473"/>
      <c r="V101" s="6480"/>
      <c r="W101" s="6481" t="str">
        <f>IMAGE("https://raw.githubusercontent.com/msikma/pokesprite/master/misc/types/gen8/ground.png",4,20,20)</f>
        <v/>
      </c>
      <c r="Y101" s="6472" t="s">
        <v>583</v>
      </c>
      <c r="Z101" s="6473"/>
      <c r="AA101" s="6480"/>
      <c r="AB101" s="6481" t="str">
        <f>IMAGE("https://raw.githubusercontent.com/msikma/pokesprite/master/misc/types/gen8/fighting.png",4,20,20)</f>
        <v/>
      </c>
      <c r="AD101" s="6472" t="s">
        <v>741</v>
      </c>
      <c r="AE101" s="6473"/>
      <c r="AF101" s="6480"/>
      <c r="AG101" s="6481" t="str">
        <f>IMAGE("https://raw.githubusercontent.com/msikma/pokesprite/master/misc/types/gen8/psychic.png",4,20,20)</f>
        <v/>
      </c>
      <c r="AH101" s="6430"/>
      <c r="AI101" s="6215"/>
    </row>
    <row r="102" ht="21.0" customHeight="1">
      <c r="A102" s="6210"/>
      <c r="B102" s="6428"/>
      <c r="C102" s="6431"/>
      <c r="D102" s="6468"/>
      <c r="E102" s="6482" t="s">
        <v>545</v>
      </c>
      <c r="F102" s="6483"/>
      <c r="G102" s="6484"/>
      <c r="H102" s="6485" t="str">
        <f>IMAGE("https://raw.githubusercontent.com/msikma/pokesprite/master/misc/types/gen8/poison.png",4,20,20)</f>
        <v/>
      </c>
      <c r="I102" s="6486"/>
      <c r="J102" s="6482" t="s">
        <v>551</v>
      </c>
      <c r="K102" s="6483"/>
      <c r="L102" s="6484"/>
      <c r="M102" s="6485" t="str">
        <f>IMAGE("https://raw.githubusercontent.com/msikma/pokesprite/master/misc/types/gen8/flying.png",4,20,20)</f>
        <v/>
      </c>
      <c r="N102" s="6486"/>
      <c r="O102" s="6482" t="s">
        <v>552</v>
      </c>
      <c r="P102" s="6483"/>
      <c r="Q102" s="6484"/>
      <c r="R102" s="6485" t="str">
        <f>IMAGE("https://raw.githubusercontent.com/msikma/pokesprite/master/misc/types/gen8/psychic.png",4,20,20)</f>
        <v/>
      </c>
      <c r="S102" s="6486"/>
      <c r="T102" s="6482" t="s">
        <v>621</v>
      </c>
      <c r="U102" s="6483"/>
      <c r="V102" s="6484"/>
      <c r="W102" s="6485" t="str">
        <f>IMAGE("https://raw.githubusercontent.com/msikma/pokesprite/master/misc/types/gen8/rock.png",4,20,20)</f>
        <v/>
      </c>
      <c r="X102" s="6486"/>
      <c r="Y102" s="6482" t="s">
        <v>905</v>
      </c>
      <c r="Z102" s="6483"/>
      <c r="AA102" s="6484"/>
      <c r="AB102" s="6485" t="str">
        <f>IMAGE("https://raw.githubusercontent.com/msikma/pokesprite/master/misc/types/gen8/electric.png",4,20,20)</f>
        <v/>
      </c>
      <c r="AC102" s="6486"/>
      <c r="AD102" s="6482" t="s">
        <v>504</v>
      </c>
      <c r="AE102" s="6483"/>
      <c r="AF102" s="6484"/>
      <c r="AG102" s="6485" t="str">
        <f>IMAGE("https://raw.githubusercontent.com/msikma/pokesprite/master/misc/types/gen8/electric.png",4,20,20)</f>
        <v/>
      </c>
      <c r="AH102" s="6430"/>
      <c r="AI102" s="6215"/>
    </row>
    <row r="103" ht="3.0" customHeight="1">
      <c r="A103" s="6278"/>
      <c r="B103" s="6487"/>
      <c r="C103" s="6488"/>
      <c r="D103" s="6489"/>
      <c r="E103" s="6492"/>
      <c r="F103" s="6492"/>
      <c r="G103" s="6492"/>
      <c r="H103" s="6491"/>
      <c r="I103" s="6432"/>
      <c r="J103" s="6492"/>
      <c r="K103" s="6492"/>
      <c r="L103" s="6492"/>
      <c r="M103" s="6491"/>
      <c r="N103" s="6432"/>
      <c r="O103" s="6492"/>
      <c r="P103" s="6492"/>
      <c r="Q103" s="6492"/>
      <c r="R103" s="6491"/>
      <c r="S103" s="6432"/>
      <c r="T103" s="6492"/>
      <c r="U103" s="6492"/>
      <c r="V103" s="6492"/>
      <c r="W103" s="6491"/>
      <c r="X103" s="6432"/>
      <c r="Y103" s="6493"/>
      <c r="Z103" s="6493"/>
      <c r="AA103" s="6493"/>
      <c r="AB103" s="6494"/>
      <c r="AC103" s="6494"/>
      <c r="AD103" s="6493"/>
      <c r="AE103" s="6493"/>
      <c r="AF103" s="6493"/>
      <c r="AG103" s="6494"/>
      <c r="AH103" s="6495"/>
      <c r="AI103" s="6288"/>
    </row>
    <row r="104" ht="16.5" customHeight="1">
      <c r="A104" s="6289"/>
      <c r="B104" s="6434"/>
      <c r="C104" s="6435"/>
      <c r="D104" s="6515"/>
      <c r="E104" s="6497" t="s">
        <v>512</v>
      </c>
      <c r="F104" s="606"/>
      <c r="G104" s="606"/>
      <c r="H104" s="607"/>
      <c r="I104" s="6498"/>
      <c r="J104" s="6497" t="s">
        <v>512</v>
      </c>
      <c r="K104" s="606"/>
      <c r="L104" s="606"/>
      <c r="M104" s="607"/>
      <c r="N104" s="6498"/>
      <c r="O104" s="6497" t="s">
        <v>512</v>
      </c>
      <c r="P104" s="606"/>
      <c r="Q104" s="606"/>
      <c r="R104" s="607"/>
      <c r="S104" s="6498"/>
      <c r="T104" s="6497" t="s">
        <v>512</v>
      </c>
      <c r="U104" s="606"/>
      <c r="V104" s="606"/>
      <c r="W104" s="607"/>
      <c r="X104" s="6498"/>
      <c r="Y104" s="6497" t="s">
        <v>512</v>
      </c>
      <c r="Z104" s="606"/>
      <c r="AA104" s="606"/>
      <c r="AB104" s="607"/>
      <c r="AC104" s="6499"/>
      <c r="AD104" s="6497" t="s">
        <v>512</v>
      </c>
      <c r="AE104" s="606"/>
      <c r="AF104" s="606"/>
      <c r="AG104" s="607"/>
      <c r="AH104" s="6500"/>
      <c r="AI104" s="6297"/>
    </row>
    <row r="105" ht="16.5" customHeight="1">
      <c r="A105" s="6289"/>
      <c r="B105" s="6434"/>
      <c r="C105" s="6435"/>
      <c r="D105" s="6496"/>
      <c r="E105" s="6501" t="s">
        <v>513</v>
      </c>
      <c r="F105" s="6502">
        <f t="array" ref="F105">IFERROR(VLOOKUP(E92,Dex!$B$3:$N298,8,FALSE),"")</f>
        <v>100</v>
      </c>
      <c r="G105" s="6503" t="str">
        <f t="array" ref="G105">IFERROR(VLOOKUP(F105,Dex!$P$22:$Q$276,2,FALSE),"")</f>
        <v/>
      </c>
      <c r="H105" s="6504"/>
      <c r="I105" s="6496"/>
      <c r="J105" s="6501" t="s">
        <v>513</v>
      </c>
      <c r="K105" s="6502">
        <f t="array" ref="K105">IFERROR(VLOOKUP(J92,Dex!$B$3:$N298,8,FALSE),"")</f>
        <v>78</v>
      </c>
      <c r="L105" s="6503" t="str">
        <f t="array" ref="L105">IFERROR(VLOOKUP(K105,Dex!$P$22:$Q$276,2,FALSE),"")</f>
        <v/>
      </c>
      <c r="M105" s="6504"/>
      <c r="N105" s="6496"/>
      <c r="O105" s="6501" t="s">
        <v>513</v>
      </c>
      <c r="P105" s="6502">
        <f t="array" ref="P105">IFERROR(VLOOKUP(O92,Dex!$B$3:$N298,8,FALSE),"")</f>
        <v>74</v>
      </c>
      <c r="Q105" s="6503" t="str">
        <f t="array" ref="Q105">IFERROR(VLOOKUP(P105,Dex!$P$22:$Q$276,2,FALSE),"")</f>
        <v/>
      </c>
      <c r="R105" s="6504"/>
      <c r="S105" s="6496"/>
      <c r="T105" s="6501" t="s">
        <v>513</v>
      </c>
      <c r="U105" s="6502">
        <f t="array" ref="U105">IFERROR(VLOOKUP(T92,Dex!$B$3:$N298,8,FALSE),"")</f>
        <v>97</v>
      </c>
      <c r="V105" s="6503" t="str">
        <f t="array" ref="V105">IFERROR(VLOOKUP(U105,Dex!$P$22:$Q$276,2,FALSE),"")</f>
        <v/>
      </c>
      <c r="W105" s="6504"/>
      <c r="X105" s="6496"/>
      <c r="Y105" s="6501" t="s">
        <v>513</v>
      </c>
      <c r="Z105" s="6502">
        <f t="array" ref="Z105">IFERROR(VLOOKUP(Y92,Dex!$B$3:$N298,8,FALSE),"")</f>
        <v>92</v>
      </c>
      <c r="AA105" s="6503" t="str">
        <f t="array" ref="AA105">IFERROR(VLOOKUP(Z105,Dex!$P$22:$Q$276,2,FALSE),"")</f>
        <v/>
      </c>
      <c r="AB105" s="6504"/>
      <c r="AC105" s="6505"/>
      <c r="AD105" s="6501" t="s">
        <v>513</v>
      </c>
      <c r="AE105" s="6502">
        <f t="array" ref="AE105">IFERROR(VLOOKUP(AD92,Dex!$B$3:$N298,8,FALSE),"")</f>
        <v>60</v>
      </c>
      <c r="AF105" s="6503" t="str">
        <f t="array" ref="AF105">IFERROR(VLOOKUP(AE105,Dex!$P$22:$Q$276,2,FALSE),"")</f>
        <v/>
      </c>
      <c r="AG105" s="6504"/>
      <c r="AH105" s="6500"/>
      <c r="AI105" s="6297"/>
    </row>
    <row r="106" ht="16.5" customHeight="1">
      <c r="A106" s="6289"/>
      <c r="B106" s="6434"/>
      <c r="C106" s="6435"/>
      <c r="D106" s="6496"/>
      <c r="E106" s="6506" t="s">
        <v>514</v>
      </c>
      <c r="F106" s="6507">
        <f t="array" ref="F106">IFERROR(VLOOKUP(E92,Dex!$B$3:$N298,9,FALSE),"")</f>
        <v>130</v>
      </c>
      <c r="G106" s="6508" t="str">
        <f t="array" ref="G106">IFERROR(VLOOKUP(F106,Dex!$P$22:$Q$276,2,FALSE),"")</f>
        <v/>
      </c>
      <c r="H106" s="6509"/>
      <c r="I106" s="6496"/>
      <c r="J106" s="6506" t="s">
        <v>514</v>
      </c>
      <c r="K106" s="6507">
        <f t="array" ref="K106">IFERROR(VLOOKUP(J92,Dex!$B$3:$N298,9,FALSE),"")</f>
        <v>92</v>
      </c>
      <c r="L106" s="6508" t="str">
        <f t="array" ref="L106">IFERROR(VLOOKUP(K106,Dex!$P$22:$Q$276,2,FALSE),"")</f>
        <v/>
      </c>
      <c r="M106" s="6509"/>
      <c r="N106" s="6496"/>
      <c r="O106" s="6506" t="s">
        <v>514</v>
      </c>
      <c r="P106" s="6507">
        <f t="array" ref="P106">IFERROR(VLOOKUP(O92,Dex!$B$3:$N298,9,FALSE),"")</f>
        <v>130</v>
      </c>
      <c r="Q106" s="6508" t="str">
        <f t="array" ref="Q106">IFERROR(VLOOKUP(P106,Dex!$P$22:$Q$276,2,FALSE),"")</f>
        <v/>
      </c>
      <c r="R106" s="6509"/>
      <c r="S106" s="6496"/>
      <c r="T106" s="6506" t="s">
        <v>514</v>
      </c>
      <c r="U106" s="6507">
        <f t="array" ref="U106">IFERROR(VLOOKUP(T92,Dex!$B$3:$N298,9,FALSE),"")</f>
        <v>157</v>
      </c>
      <c r="V106" s="6508" t="str">
        <f t="array" ref="V106">IFERROR(VLOOKUP(U106,Dex!$P$22:$Q$276,2,FALSE),"")</f>
        <v/>
      </c>
      <c r="W106" s="6509"/>
      <c r="X106" s="6496"/>
      <c r="Y106" s="6506" t="s">
        <v>514</v>
      </c>
      <c r="Z106" s="6507">
        <f t="array" ref="Z106">IFERROR(VLOOKUP(Y92,Dex!$B$3:$N298,9,FALSE),"")</f>
        <v>150</v>
      </c>
      <c r="AA106" s="6508" t="str">
        <f t="array" ref="AA106">IFERROR(VLOOKUP(Z106,Dex!$P$22:$Q$276,2,FALSE),"")</f>
        <v/>
      </c>
      <c r="AB106" s="6509"/>
      <c r="AC106" s="6505"/>
      <c r="AD106" s="6506" t="s">
        <v>514</v>
      </c>
      <c r="AE106" s="6507">
        <f t="array" ref="AE106">IFERROR(VLOOKUP(AD92,Dex!$B$3:$N298,9,FALSE),"")</f>
        <v>100</v>
      </c>
      <c r="AF106" s="6508" t="str">
        <f t="array" ref="AF106">IFERROR(VLOOKUP(AE106,Dex!$P$22:$Q$276,2,FALSE),"")</f>
        <v/>
      </c>
      <c r="AG106" s="6509"/>
      <c r="AH106" s="6500"/>
      <c r="AI106" s="6297"/>
    </row>
    <row r="107" ht="16.5" customHeight="1">
      <c r="A107" s="6289"/>
      <c r="B107" s="6434"/>
      <c r="C107" s="6435"/>
      <c r="D107" s="6496"/>
      <c r="E107" s="6506" t="s">
        <v>515</v>
      </c>
      <c r="F107" s="6507">
        <f t="array" ref="F107">IFERROR(VLOOKUP(E92,Dex!$B$3:$N298,10,FALSE),"")</f>
        <v>100</v>
      </c>
      <c r="G107" s="6508" t="str">
        <f t="array" ref="G107">IFERROR(VLOOKUP(F107,Dex!$P$22:$Q$276,2,FALSE),"")</f>
        <v/>
      </c>
      <c r="H107" s="6509"/>
      <c r="I107" s="6496"/>
      <c r="J107" s="6506" t="s">
        <v>515</v>
      </c>
      <c r="K107" s="6507">
        <f t="array" ref="K107">IFERROR(VLOOKUP(J92,Dex!$B$3:$N298,10,FALSE),"")</f>
        <v>75</v>
      </c>
      <c r="L107" s="6508" t="str">
        <f t="array" ref="L107">IFERROR(VLOOKUP(K107,Dex!$P$22:$Q$276,2,FALSE),"")</f>
        <v/>
      </c>
      <c r="M107" s="6509"/>
      <c r="N107" s="6496"/>
      <c r="O107" s="6506" t="s">
        <v>515</v>
      </c>
      <c r="P107" s="6507">
        <f t="array" ref="P107">IFERROR(VLOOKUP(O92,Dex!$B$3:$N298,10,FALSE),"")</f>
        <v>90</v>
      </c>
      <c r="Q107" s="6508" t="str">
        <f t="array" ref="Q107">IFERROR(VLOOKUP(P107,Dex!$P$22:$Q$276,2,FALSE),"")</f>
        <v/>
      </c>
      <c r="R107" s="6509"/>
      <c r="S107" s="6496"/>
      <c r="T107" s="6506" t="s">
        <v>515</v>
      </c>
      <c r="U107" s="6507">
        <f t="array" ref="U107">IFERROR(VLOOKUP(T92,Dex!$B$3:$N298,10,FALSE),"")</f>
        <v>127</v>
      </c>
      <c r="V107" s="6508" t="str">
        <f t="array" ref="V107">IFERROR(VLOOKUP(U107,Dex!$P$22:$Q$276,2,FALSE),"")</f>
        <v/>
      </c>
      <c r="W107" s="6509"/>
      <c r="X107" s="6496"/>
      <c r="Y107" s="6506" t="s">
        <v>515</v>
      </c>
      <c r="Z107" s="6507">
        <f t="array" ref="Z107">IFERROR(VLOOKUP(Y92,Dex!$B$3:$N298,10,FALSE),"")</f>
        <v>115</v>
      </c>
      <c r="AA107" s="6508" t="str">
        <f t="array" ref="AA107">IFERROR(VLOOKUP(Z107,Dex!$P$22:$Q$276,2,FALSE),"")</f>
        <v/>
      </c>
      <c r="AB107" s="6509"/>
      <c r="AC107" s="6505"/>
      <c r="AD107" s="6506" t="s">
        <v>515</v>
      </c>
      <c r="AE107" s="6507">
        <f t="array" ref="AE107">IFERROR(VLOOKUP(AD92,Dex!$B$3:$N298,10,FALSE),"")</f>
        <v>85</v>
      </c>
      <c r="AF107" s="6508" t="str">
        <f t="array" ref="AF107">IFERROR(VLOOKUP(AE107,Dex!$P$22:$Q$276,2,FALSE),"")</f>
        <v/>
      </c>
      <c r="AG107" s="6509"/>
      <c r="AH107" s="6500"/>
      <c r="AI107" s="6297"/>
    </row>
    <row r="108" ht="16.5" customHeight="1">
      <c r="A108" s="6289"/>
      <c r="B108" s="6434"/>
      <c r="C108" s="6435"/>
      <c r="D108" s="6496"/>
      <c r="E108" s="6506" t="s">
        <v>516</v>
      </c>
      <c r="F108" s="6507">
        <f t="array" ref="F108">IFERROR(VLOOKUP(E92,Dex!$B$3:$N298,11,FALSE),"")</f>
        <v>63</v>
      </c>
      <c r="G108" s="6508" t="str">
        <f t="array" ref="G108">IFERROR(VLOOKUP(F108,Dex!$P$22:$Q$276,2,FALSE),"")</f>
        <v/>
      </c>
      <c r="H108" s="6509"/>
      <c r="I108" s="6496"/>
      <c r="J108" s="6506" t="s">
        <v>516</v>
      </c>
      <c r="K108" s="6507">
        <f t="array" ref="K108">IFERROR(VLOOKUP(J92,Dex!$B$3:$N298,11,FALSE),"")</f>
        <v>74</v>
      </c>
      <c r="L108" s="6508" t="str">
        <f t="array" ref="L108">IFERROR(VLOOKUP(K108,Dex!$P$22:$Q$276,2,FALSE),"")</f>
        <v/>
      </c>
      <c r="M108" s="6509"/>
      <c r="N108" s="6496"/>
      <c r="O108" s="6506" t="s">
        <v>516</v>
      </c>
      <c r="P108" s="6507">
        <f t="array" ref="P108">IFERROR(VLOOKUP(O92,Dex!$B$3:$N298,11,FALSE),"")</f>
        <v>120</v>
      </c>
      <c r="Q108" s="6508" t="str">
        <f t="array" ref="Q108">IFERROR(VLOOKUP(P108,Dex!$P$22:$Q$276,2,FALSE),"")</f>
        <v/>
      </c>
      <c r="R108" s="6509"/>
      <c r="S108" s="6496"/>
      <c r="T108" s="6506" t="s">
        <v>516</v>
      </c>
      <c r="U108" s="6507">
        <f t="array" ref="U108">IFERROR(VLOOKUP(T92,Dex!$B$3:$N298,11,FALSE),"")</f>
        <v>113</v>
      </c>
      <c r="V108" s="6508" t="str">
        <f t="array" ref="V108">IFERROR(VLOOKUP(U108,Dex!$P$22:$Q$276,2,FALSE),"")</f>
        <v/>
      </c>
      <c r="W108" s="6509"/>
      <c r="X108" s="6496"/>
      <c r="Y108" s="6506" t="s">
        <v>516</v>
      </c>
      <c r="Z108" s="6507">
        <f t="array" ref="Z108">IFERROR(VLOOKUP(Y92,Dex!$B$3:$N298,11,FALSE),"")</f>
        <v>80</v>
      </c>
      <c r="AA108" s="6508" t="str">
        <f t="array" ref="AA108">IFERROR(VLOOKUP(Z108,Dex!$P$22:$Q$276,2,FALSE),"")</f>
        <v/>
      </c>
      <c r="AB108" s="6509"/>
      <c r="AC108" s="6505"/>
      <c r="AD108" s="6506" t="s">
        <v>516</v>
      </c>
      <c r="AE108" s="6507">
        <f t="array" ref="AE108">IFERROR(VLOOKUP(AD92,Dex!$B$3:$N298,11,FALSE),"")</f>
        <v>80</v>
      </c>
      <c r="AF108" s="6508" t="str">
        <f t="array" ref="AF108">IFERROR(VLOOKUP(AE108,Dex!$P$22:$Q$276,2,FALSE),"")</f>
        <v/>
      </c>
      <c r="AG108" s="6509"/>
      <c r="AH108" s="6500"/>
      <c r="AI108" s="6297"/>
    </row>
    <row r="109" ht="16.5" customHeight="1">
      <c r="A109" s="6289"/>
      <c r="B109" s="6434"/>
      <c r="C109" s="6435"/>
      <c r="D109" s="6496"/>
      <c r="E109" s="6506" t="s">
        <v>517</v>
      </c>
      <c r="F109" s="6507">
        <f t="array" ref="F109">IFERROR(VLOOKUP(E92,Dex!$B$3:$N298,12,FALSE),"")</f>
        <v>60</v>
      </c>
      <c r="G109" s="6508" t="str">
        <f t="array" ref="G109">IFERROR(VLOOKUP(F109,Dex!$P$22:$Q$276,2,FALSE),"")</f>
        <v/>
      </c>
      <c r="H109" s="6509"/>
      <c r="I109" s="6496"/>
      <c r="J109" s="6506" t="s">
        <v>517</v>
      </c>
      <c r="K109" s="6507">
        <f t="array" ref="K109">IFERROR(VLOOKUP(J92,Dex!$B$3:$N298,12,FALSE),"")</f>
        <v>63</v>
      </c>
      <c r="L109" s="6508" t="str">
        <f t="array" ref="L109">IFERROR(VLOOKUP(K109,Dex!$P$22:$Q$276,2,FALSE),"")</f>
        <v/>
      </c>
      <c r="M109" s="6509"/>
      <c r="N109" s="6496"/>
      <c r="O109" s="6506" t="s">
        <v>517</v>
      </c>
      <c r="P109" s="6507">
        <f t="array" ref="P109">IFERROR(VLOOKUP(O92,Dex!$B$3:$N298,12,FALSE),"")</f>
        <v>60</v>
      </c>
      <c r="Q109" s="6508" t="str">
        <f t="array" ref="Q109">IFERROR(VLOOKUP(P109,Dex!$P$22:$Q$276,2,FALSE),"")</f>
        <v/>
      </c>
      <c r="R109" s="6509"/>
      <c r="S109" s="6496"/>
      <c r="T109" s="6506" t="s">
        <v>517</v>
      </c>
      <c r="U109" s="6507">
        <f t="array" ref="U109">IFERROR(VLOOKUP(T92,Dex!$B$3:$N298,12,FALSE),"")</f>
        <v>109</v>
      </c>
      <c r="V109" s="6508" t="str">
        <f t="array" ref="V109">IFERROR(VLOOKUP(U109,Dex!$P$22:$Q$276,2,FALSE),"")</f>
        <v/>
      </c>
      <c r="W109" s="6509"/>
      <c r="X109" s="6496"/>
      <c r="Y109" s="6506" t="s">
        <v>517</v>
      </c>
      <c r="Z109" s="6507">
        <f t="array" ref="Z109">IFERROR(VLOOKUP(Y92,Dex!$B$3:$N298,12,FALSE),"")</f>
        <v>115</v>
      </c>
      <c r="AA109" s="6508" t="str">
        <f t="array" ref="AA109">IFERROR(VLOOKUP(Z109,Dex!$P$22:$Q$276,2,FALSE),"")</f>
        <v/>
      </c>
      <c r="AB109" s="6509"/>
      <c r="AC109" s="6505"/>
      <c r="AD109" s="6506" t="s">
        <v>517</v>
      </c>
      <c r="AE109" s="6507">
        <f t="array" ref="AE109">IFERROR(VLOOKUP(AD92,Dex!$B$3:$N298,12,FALSE),"")</f>
        <v>85</v>
      </c>
      <c r="AF109" s="6508" t="str">
        <f t="array" ref="AF109">IFERROR(VLOOKUP(AE109,Dex!$P$22:$Q$276,2,FALSE),"")</f>
        <v/>
      </c>
      <c r="AG109" s="6509"/>
      <c r="AH109" s="6500"/>
      <c r="AI109" s="6297"/>
    </row>
    <row r="110" ht="16.5" customHeight="1">
      <c r="A110" s="6289"/>
      <c r="B110" s="6434"/>
      <c r="C110" s="6435"/>
      <c r="D110" s="6496"/>
      <c r="E110" s="6510" t="s">
        <v>518</v>
      </c>
      <c r="F110" s="6511">
        <f t="array" ref="F110">IFERROR(VLOOKUP(E92,Dex!$B$3:$N298,13,FALSE),"")</f>
        <v>97</v>
      </c>
      <c r="G110" s="6508" t="str">
        <f t="array" ref="G110">IFERROR(VLOOKUP(F110,Dex!$P$22:$Q$276,2,FALSE),"")</f>
        <v/>
      </c>
      <c r="H110" s="6509"/>
      <c r="I110" s="6496"/>
      <c r="J110" s="6510" t="s">
        <v>518</v>
      </c>
      <c r="K110" s="6511">
        <f t="array" ref="K110">IFERROR(VLOOKUP(J92,Dex!$B$3:$N298,13,FALSE),"")</f>
        <v>118</v>
      </c>
      <c r="L110" s="6512" t="str">
        <f t="array" ref="L110">IFERROR(VLOOKUP(K110,Dex!$P$22:$Q$276,2,FALSE),"")</f>
        <v/>
      </c>
      <c r="M110" s="6513"/>
      <c r="N110" s="6496"/>
      <c r="O110" s="6510" t="s">
        <v>518</v>
      </c>
      <c r="P110" s="6511">
        <f t="array" ref="P110">IFERROR(VLOOKUP(O92,Dex!$B$3:$N298,13,FALSE),"")</f>
        <v>116</v>
      </c>
      <c r="Q110" s="6512" t="str">
        <f t="array" ref="Q110">IFERROR(VLOOKUP(P110,Dex!$P$22:$Q$276,2,FALSE),"")</f>
        <v/>
      </c>
      <c r="R110" s="6513"/>
      <c r="S110" s="6496"/>
      <c r="T110" s="6510" t="s">
        <v>518</v>
      </c>
      <c r="U110" s="6511">
        <f t="array" ref="U110">IFERROR(VLOOKUP(T92,Dex!$B$3:$N298,13,FALSE),"")</f>
        <v>77</v>
      </c>
      <c r="V110" s="6508" t="str">
        <f t="array" ref="V110">IFERROR(VLOOKUP(U110,Dex!$P$22:$Q$276,2,FALSE),"")</f>
        <v/>
      </c>
      <c r="W110" s="6509"/>
      <c r="X110" s="6496"/>
      <c r="Y110" s="6510" t="s">
        <v>518</v>
      </c>
      <c r="Z110" s="6511">
        <f t="array" ref="Z110">IFERROR(VLOOKUP(Y92,Dex!$B$3:$N298,13,FALSE),"")</f>
        <v>148</v>
      </c>
      <c r="AA110" s="6508" t="str">
        <f t="array" ref="AA110">IFERROR(VLOOKUP(Z110,Dex!$P$22:$Q$276,2,FALSE),"")</f>
        <v/>
      </c>
      <c r="AB110" s="6509"/>
      <c r="AC110" s="6505"/>
      <c r="AD110" s="6510" t="s">
        <v>518</v>
      </c>
      <c r="AE110" s="6511">
        <f t="array" ref="AE110">IFERROR(VLOOKUP(AD92,Dex!$B$3:$N298,13,FALSE),"")</f>
        <v>100</v>
      </c>
      <c r="AF110" s="6508" t="str">
        <f t="array" ref="AF110">IFERROR(VLOOKUP(AE110,Dex!$P$22:$Q$276,2,FALSE),"")</f>
        <v/>
      </c>
      <c r="AG110" s="6509"/>
      <c r="AH110" s="6500"/>
      <c r="AI110" s="6297"/>
    </row>
    <row r="111" ht="16.5" customHeight="1">
      <c r="A111" s="6289"/>
      <c r="B111" s="6434"/>
      <c r="C111" s="6435"/>
      <c r="D111" s="6515"/>
      <c r="E111" s="6514" t="s">
        <v>519</v>
      </c>
      <c r="F111" s="630"/>
      <c r="G111" s="631"/>
      <c r="H111" s="632">
        <f>ROUNDDOWN((ROUNDDOWN(((((2*F110+31)*85)/100+5)),0))*1.1,0)</f>
        <v>215</v>
      </c>
      <c r="I111" s="6515"/>
      <c r="J111" s="6516" t="s">
        <v>519</v>
      </c>
      <c r="K111" s="635"/>
      <c r="L111" s="636"/>
      <c r="M111" s="632">
        <f>ROUNDDOWN((ROUNDDOWN(((((2*K110+31)*85)/100+5)),0))*1,0)</f>
        <v>231</v>
      </c>
      <c r="N111" s="6515"/>
      <c r="O111" s="6516" t="s">
        <v>519</v>
      </c>
      <c r="P111" s="635"/>
      <c r="Q111" s="636"/>
      <c r="R111" s="632">
        <f>ROUNDDOWN((ROUNDDOWN(((((2*P110+31)*85)/100+5)),0))*1.1,0)</f>
        <v>250</v>
      </c>
      <c r="S111" s="6515"/>
      <c r="T111" s="6514" t="s">
        <v>519</v>
      </c>
      <c r="U111" s="630"/>
      <c r="V111" s="631"/>
      <c r="W111" s="632">
        <f>ROUNDDOWN((ROUNDDOWN(((((2*U110+31)*85)/100+5)),0))*1,0)</f>
        <v>162</v>
      </c>
      <c r="X111" s="6515"/>
      <c r="Y111" s="6514" t="s">
        <v>519</v>
      </c>
      <c r="Z111" s="630"/>
      <c r="AA111" s="631"/>
      <c r="AB111" s="632">
        <f>ROUNDDOWN((ROUNDDOWN(((((2*Z110+31)*85)/100+5)),0))*1.1,0)</f>
        <v>310</v>
      </c>
      <c r="AC111" s="6499"/>
      <c r="AD111" s="6514" t="s">
        <v>519</v>
      </c>
      <c r="AE111" s="630"/>
      <c r="AF111" s="631"/>
      <c r="AG111" s="632">
        <f>ROUNDDOWN((ROUNDDOWN(((((2*AE110+31)*85)/100+5)),0))*1.1,0)</f>
        <v>221</v>
      </c>
      <c r="AH111" s="6500"/>
      <c r="AI111" s="6297"/>
    </row>
    <row r="112" ht="16.5" customHeight="1">
      <c r="A112" s="6210"/>
      <c r="B112" s="6428"/>
      <c r="C112" s="6431"/>
      <c r="D112" s="6432"/>
      <c r="E112" s="6517"/>
      <c r="F112" s="6517"/>
      <c r="G112" s="6517"/>
      <c r="H112" s="6517"/>
      <c r="I112" s="6432"/>
      <c r="J112" s="6518" t="s">
        <v>594</v>
      </c>
      <c r="K112" s="643"/>
      <c r="L112" s="644"/>
      <c r="M112" s="6317">
        <f>M111*2</f>
        <v>462</v>
      </c>
      <c r="N112" s="6468"/>
      <c r="O112" s="6518" t="s">
        <v>1855</v>
      </c>
      <c r="P112" s="643"/>
      <c r="Q112" s="644"/>
      <c r="R112" s="645">
        <f>ROUNDDOWN(R111*1.5,0)</f>
        <v>375</v>
      </c>
      <c r="S112" s="6468"/>
      <c r="T112" s="6517"/>
      <c r="U112" s="6517"/>
      <c r="V112" s="6517"/>
      <c r="W112" s="6517"/>
      <c r="X112" s="6432"/>
      <c r="Y112" s="6517"/>
      <c r="Z112" s="6517"/>
      <c r="AA112" s="6517"/>
      <c r="AB112" s="6517"/>
      <c r="AC112" s="6432"/>
      <c r="AD112" s="6517"/>
      <c r="AE112" s="6517"/>
      <c r="AF112" s="6517"/>
      <c r="AG112" s="6517"/>
      <c r="AH112" s="6430"/>
      <c r="AI112" s="6215"/>
    </row>
    <row r="113" ht="15.0" customHeight="1">
      <c r="A113" s="6210"/>
      <c r="B113" s="6522"/>
      <c r="C113" s="6523"/>
      <c r="D113" s="6524"/>
      <c r="E113" s="6525"/>
      <c r="F113" s="6525"/>
      <c r="G113" s="6525"/>
      <c r="H113" s="6525"/>
      <c r="I113" s="6524"/>
      <c r="J113" s="6525"/>
      <c r="K113" s="6525"/>
      <c r="L113" s="6525"/>
      <c r="M113" s="6525"/>
      <c r="N113" s="6524"/>
      <c r="O113" s="6525"/>
      <c r="P113" s="6525"/>
      <c r="Q113" s="6525"/>
      <c r="R113" s="6525"/>
      <c r="S113" s="6524"/>
      <c r="T113" s="6525"/>
      <c r="U113" s="6525"/>
      <c r="V113" s="6525"/>
      <c r="W113" s="6525"/>
      <c r="X113" s="6524"/>
      <c r="Y113" s="6525"/>
      <c r="Z113" s="6525"/>
      <c r="AA113" s="6525"/>
      <c r="AB113" s="6525"/>
      <c r="AC113" s="6524"/>
      <c r="AD113" s="6525"/>
      <c r="AE113" s="6525"/>
      <c r="AF113" s="6525"/>
      <c r="AG113" s="6525"/>
      <c r="AH113" s="6526"/>
      <c r="AI113" s="6215"/>
    </row>
    <row r="114" ht="15.0" customHeight="1">
      <c r="A114" s="6210"/>
      <c r="B114" s="6527"/>
      <c r="C114" s="6528"/>
      <c r="D114" s="6529"/>
      <c r="E114" s="6529"/>
      <c r="F114" s="6529"/>
      <c r="G114" s="6529"/>
      <c r="H114" s="6529"/>
      <c r="I114" s="6529"/>
      <c r="J114" s="6529"/>
      <c r="K114" s="6529"/>
      <c r="L114" s="6529"/>
      <c r="M114" s="6529"/>
      <c r="N114" s="6529"/>
      <c r="O114" s="6529"/>
      <c r="P114" s="6529"/>
      <c r="Q114" s="6529"/>
      <c r="R114" s="6529"/>
      <c r="S114" s="6529"/>
      <c r="T114" s="6529"/>
      <c r="U114" s="6529"/>
      <c r="V114" s="6529"/>
      <c r="W114" s="6529"/>
      <c r="X114" s="6529"/>
      <c r="Y114" s="6529"/>
      <c r="Z114" s="6529"/>
      <c r="AA114" s="6529"/>
      <c r="AB114" s="6529"/>
      <c r="AC114" s="6529"/>
      <c r="AD114" s="6529"/>
      <c r="AE114" s="6529"/>
      <c r="AF114" s="6529"/>
      <c r="AG114" s="6530"/>
      <c r="AH114" s="6531"/>
      <c r="AI114" s="6215"/>
    </row>
    <row r="115" ht="11.25" customHeight="1">
      <c r="A115" s="6210"/>
      <c r="B115" s="6532"/>
      <c r="C115" s="6533"/>
      <c r="D115" s="6534"/>
      <c r="E115" s="3250" t="s">
        <v>1868</v>
      </c>
      <c r="F115" s="3251"/>
      <c r="G115" s="3251"/>
      <c r="H115" s="3251"/>
      <c r="I115" s="3251"/>
      <c r="J115" s="3251"/>
      <c r="K115" s="3251"/>
      <c r="L115" s="3251"/>
      <c r="M115" s="3251"/>
      <c r="N115" s="3251"/>
      <c r="O115" s="3251"/>
      <c r="P115" s="3251"/>
      <c r="Q115" s="3251"/>
      <c r="R115" s="3251"/>
      <c r="S115" s="3251"/>
      <c r="T115" s="3251"/>
      <c r="U115" s="3251"/>
      <c r="V115" s="3251"/>
      <c r="W115" s="3251"/>
      <c r="X115" s="3251"/>
      <c r="Y115" s="3251"/>
      <c r="Z115" s="3251"/>
      <c r="AA115" s="3251"/>
      <c r="AB115" s="3251"/>
      <c r="AC115" s="3251"/>
      <c r="AD115" s="3251"/>
      <c r="AE115" s="3251"/>
      <c r="AF115" s="3251"/>
      <c r="AG115" s="3252"/>
      <c r="AH115" s="6535"/>
      <c r="AI115" s="6215"/>
    </row>
    <row r="116" ht="11.25" customHeight="1">
      <c r="A116" s="6210"/>
      <c r="B116" s="6532"/>
      <c r="C116" s="6533"/>
      <c r="D116" s="6534"/>
      <c r="E116" s="314"/>
      <c r="F116" s="3255"/>
      <c r="G116" s="3255"/>
      <c r="H116" s="3255"/>
      <c r="I116" s="3255"/>
      <c r="J116" s="3255"/>
      <c r="K116" s="3255"/>
      <c r="L116" s="3255"/>
      <c r="M116" s="3255"/>
      <c r="N116" s="3255"/>
      <c r="O116" s="3255"/>
      <c r="P116" s="3255"/>
      <c r="Q116" s="3255"/>
      <c r="R116" s="3255"/>
      <c r="S116" s="3255"/>
      <c r="T116" s="3255"/>
      <c r="U116" s="3255"/>
      <c r="V116" s="3255"/>
      <c r="W116" s="3255"/>
      <c r="X116" s="3255"/>
      <c r="Y116" s="3255"/>
      <c r="Z116" s="3255"/>
      <c r="AA116" s="3255"/>
      <c r="AB116" s="3255"/>
      <c r="AC116" s="3255"/>
      <c r="AD116" s="3255"/>
      <c r="AE116" s="3255"/>
      <c r="AF116" s="3255"/>
      <c r="AG116" s="3256"/>
      <c r="AH116" s="6535"/>
      <c r="AI116" s="6215"/>
    </row>
    <row r="117" ht="3.75" customHeight="1">
      <c r="A117" s="6210"/>
      <c r="B117" s="6532"/>
      <c r="C117" s="6533"/>
      <c r="D117" s="6534"/>
      <c r="E117" s="6536"/>
      <c r="F117" s="6536"/>
      <c r="G117" s="6536"/>
      <c r="H117" s="6536"/>
      <c r="I117" s="6536"/>
      <c r="J117" s="6536"/>
      <c r="K117" s="6536"/>
      <c r="L117" s="6536"/>
      <c r="M117" s="6536"/>
      <c r="N117" s="6536"/>
      <c r="O117" s="6536"/>
      <c r="P117" s="6536"/>
      <c r="Q117" s="6536"/>
      <c r="R117" s="6536"/>
      <c r="S117" s="6536"/>
      <c r="T117" s="6536"/>
      <c r="U117" s="6536"/>
      <c r="V117" s="6536"/>
      <c r="W117" s="6536"/>
      <c r="X117" s="6536"/>
      <c r="Y117" s="6536"/>
      <c r="Z117" s="6536"/>
      <c r="AA117" s="6536"/>
      <c r="AB117" s="6536"/>
      <c r="AC117" s="6536"/>
      <c r="AD117" s="6536"/>
      <c r="AE117" s="6536"/>
      <c r="AF117" s="6536"/>
      <c r="AG117" s="6536"/>
      <c r="AH117" s="6535"/>
      <c r="AI117" s="6215"/>
    </row>
    <row r="118">
      <c r="A118" s="6210"/>
      <c r="B118" s="6537"/>
      <c r="C118" s="6538"/>
      <c r="D118" s="6538"/>
      <c r="E118" s="6539" t="s">
        <v>1887</v>
      </c>
      <c r="F118" s="6540"/>
      <c r="G118" s="6540"/>
      <c r="H118" s="6540"/>
      <c r="I118" s="6540"/>
      <c r="J118" s="6540"/>
      <c r="K118" s="6540"/>
      <c r="L118" s="6540"/>
      <c r="M118" s="6540"/>
      <c r="N118" s="6540"/>
      <c r="O118" s="6540"/>
      <c r="P118" s="6540"/>
      <c r="Q118" s="6540"/>
      <c r="R118" s="6540"/>
      <c r="S118" s="6540"/>
      <c r="T118" s="6540"/>
      <c r="U118" s="6540"/>
      <c r="V118" s="6540"/>
      <c r="W118" s="6540"/>
      <c r="X118" s="6540"/>
      <c r="Y118" s="6540"/>
      <c r="Z118" s="6540"/>
      <c r="AA118" s="6540"/>
      <c r="AB118" s="6540"/>
      <c r="AC118" s="6540"/>
      <c r="AD118" s="6540"/>
      <c r="AE118" s="6540"/>
      <c r="AF118" s="6540"/>
      <c r="AG118" s="6541"/>
      <c r="AH118" s="6535"/>
      <c r="AI118" s="6215"/>
    </row>
    <row r="119" ht="96.75" customHeight="1">
      <c r="A119" s="6210"/>
      <c r="B119" s="6532"/>
      <c r="C119" s="6542" t="str">
        <f>IMAGE("https://i.ibb.co/rcFfMw3/Agatha.png")</f>
        <v/>
      </c>
      <c r="D119" s="6543"/>
      <c r="E119" s="6544" t="str">
        <f t="array" ref="E119">IFERROR(VLOOKUP(E120,Dex!$B$3:$G298,3,FALSE),"")</f>
        <v/>
      </c>
      <c r="F119" s="1945"/>
      <c r="G119" s="1945"/>
      <c r="H119" s="1946"/>
      <c r="I119" s="6545"/>
      <c r="J119" s="6544" t="str">
        <f t="array" ref="J119">IFERROR(VLOOKUP(J120,Dex!$B$3:$G298,3,FALSE),"")</f>
        <v/>
      </c>
      <c r="K119" s="1945"/>
      <c r="L119" s="1945"/>
      <c r="M119" s="1946"/>
      <c r="N119" s="6545"/>
      <c r="O119" s="6544" t="str">
        <f t="array" ref="O119">IFERROR(VLOOKUP(O120,Dex!$B$3:$G298,3,FALSE),"")</f>
        <v/>
      </c>
      <c r="P119" s="1945"/>
      <c r="Q119" s="1945"/>
      <c r="R119" s="1946"/>
      <c r="S119" s="6545"/>
      <c r="T119" s="6544" t="str">
        <f t="array" ref="T119">IFERROR(VLOOKUP(T120,Dex!$B$3:$G298,3,FALSE),"")</f>
        <v/>
      </c>
      <c r="U119" s="1945"/>
      <c r="V119" s="1945"/>
      <c r="W119" s="1946"/>
      <c r="X119" s="6545"/>
      <c r="Y119" s="6544" t="str">
        <f t="array" ref="Y119">IFERROR(VLOOKUP(Y120,Dex!$B$3:$G298,3,FALSE),"")</f>
        <v/>
      </c>
      <c r="Z119" s="1945"/>
      <c r="AA119" s="1945"/>
      <c r="AB119" s="1946"/>
      <c r="AC119" s="6545"/>
      <c r="AD119" s="6544" t="str">
        <f t="array" ref="AD119">IFERROR(VLOOKUP(AD120,Dex!$B$3:$G298,3,FALSE),"")</f>
        <v/>
      </c>
      <c r="AE119" s="1945"/>
      <c r="AF119" s="1945"/>
      <c r="AG119" s="1946"/>
      <c r="AH119" s="6546"/>
      <c r="AI119" s="6215"/>
    </row>
    <row r="120" ht="18.75" customHeight="1">
      <c r="A120" s="6231"/>
      <c r="B120" s="6547"/>
      <c r="C120" s="6548" t="s">
        <v>1888</v>
      </c>
      <c r="D120" s="6549"/>
      <c r="E120" s="6550" t="s">
        <v>654</v>
      </c>
      <c r="F120" s="6551"/>
      <c r="G120" s="6551"/>
      <c r="H120" s="6552"/>
      <c r="J120" s="6550" t="s">
        <v>1889</v>
      </c>
      <c r="K120" s="6551"/>
      <c r="L120" s="6551"/>
      <c r="M120" s="6552"/>
      <c r="O120" s="6550" t="s">
        <v>1890</v>
      </c>
      <c r="P120" s="6551"/>
      <c r="Q120" s="6551"/>
      <c r="R120" s="6552"/>
      <c r="T120" s="6550" t="s">
        <v>1891</v>
      </c>
      <c r="U120" s="6551"/>
      <c r="V120" s="6551"/>
      <c r="W120" s="6552"/>
      <c r="Y120" s="6550" t="s">
        <v>1892</v>
      </c>
      <c r="Z120" s="6551"/>
      <c r="AA120" s="6551"/>
      <c r="AB120" s="6552"/>
      <c r="AD120" s="6550" t="s">
        <v>1893</v>
      </c>
      <c r="AE120" s="6551"/>
      <c r="AF120" s="6551"/>
      <c r="AG120" s="6552"/>
      <c r="AH120" s="6553"/>
      <c r="AI120" s="6239"/>
    </row>
    <row r="121">
      <c r="A121" s="6240"/>
      <c r="B121" s="6554"/>
      <c r="C121" s="556"/>
      <c r="D121" s="6555"/>
      <c r="E121" s="6556" t="s">
        <v>729</v>
      </c>
      <c r="F121" s="6557"/>
      <c r="G121" s="6557"/>
      <c r="H121" s="6558"/>
      <c r="J121" s="6556" t="s">
        <v>729</v>
      </c>
      <c r="K121" s="6557"/>
      <c r="L121" s="6557"/>
      <c r="M121" s="6558"/>
      <c r="O121" s="6556" t="s">
        <v>729</v>
      </c>
      <c r="P121" s="6557"/>
      <c r="Q121" s="6557"/>
      <c r="R121" s="6558"/>
      <c r="T121" s="6556" t="s">
        <v>729</v>
      </c>
      <c r="U121" s="6557"/>
      <c r="V121" s="6557"/>
      <c r="W121" s="6558"/>
      <c r="Y121" s="6556" t="s">
        <v>729</v>
      </c>
      <c r="Z121" s="6557"/>
      <c r="AA121" s="6557"/>
      <c r="AB121" s="6558"/>
      <c r="AD121" s="6556" t="s">
        <v>729</v>
      </c>
      <c r="AE121" s="6557"/>
      <c r="AF121" s="6557"/>
      <c r="AG121" s="6558"/>
      <c r="AH121" s="6559"/>
      <c r="AI121" s="6247"/>
    </row>
    <row r="122" ht="25.5" customHeight="1">
      <c r="A122" s="6210"/>
      <c r="B122" s="6532"/>
      <c r="C122" s="6560"/>
      <c r="D122" s="6534"/>
      <c r="E122" s="6561"/>
      <c r="F122" s="6562" t="str">
        <f t="array" ref="F122">IFERROR(VLOOKUP(E120,Dex!$B$3:$H298,5,FALSE),"")</f>
        <v/>
      </c>
      <c r="G122" s="6563" t="str">
        <f t="array" ref="G122">IFERROR(VLOOKUP(E120,Dex!$B$3:$H298,7,FALSE),"")</f>
        <v/>
      </c>
      <c r="H122" s="6564"/>
      <c r="J122" s="6561"/>
      <c r="K122" s="6562" t="str">
        <f t="array" ref="K122">IFERROR(VLOOKUP(J120,Dex!$B$3:$H298,5,FALSE),"")</f>
        <v/>
      </c>
      <c r="L122" s="6563" t="str">
        <f t="array" ref="L122">IFERROR(VLOOKUP(J120,Dex!$B$3:$H298,7,FALSE),"")</f>
        <v/>
      </c>
      <c r="M122" s="6564"/>
      <c r="O122" s="6561"/>
      <c r="P122" s="6562" t="str">
        <f t="array" ref="P122">IFERROR(VLOOKUP(O120,Dex!$B$3:$H298,5,FALSE),"")</f>
        <v/>
      </c>
      <c r="Q122" s="6563" t="str">
        <f t="array" ref="Q122">IFERROR(VLOOKUP(O120,Dex!$B$3:$H298,7,FALSE),"")</f>
        <v/>
      </c>
      <c r="R122" s="6564"/>
      <c r="T122" s="6561"/>
      <c r="U122" s="6562" t="str">
        <f t="array" ref="U122">IFERROR(VLOOKUP(T120,Dex!$B$3:$H298,5,FALSE),"")</f>
        <v/>
      </c>
      <c r="V122" s="6563" t="str">
        <f t="array" ref="V122">IFERROR(VLOOKUP(T120,Dex!$B$3:$H298,7,FALSE),"")</f>
        <v/>
      </c>
      <c r="W122" s="6564"/>
      <c r="Y122" s="6561"/>
      <c r="Z122" s="6562" t="str">
        <f t="array" ref="Z122">IFERROR(VLOOKUP(Y120,Dex!$B$3:$H298,5,FALSE),"")</f>
        <v/>
      </c>
      <c r="AA122" s="6563" t="str">
        <f t="array" ref="AA122">IFERROR(VLOOKUP(Y120,Dex!$B$3:$H298,7,FALSE),"")</f>
        <v/>
      </c>
      <c r="AB122" s="6564"/>
      <c r="AD122" s="6561"/>
      <c r="AE122" s="6562" t="str">
        <f t="array" ref="AE122">IFERROR(VLOOKUP(AD120,Dex!$B$3:$H298,5,FALSE),"")</f>
        <v/>
      </c>
      <c r="AF122" s="6563" t="str">
        <f t="array" ref="AF122">IFERROR(VLOOKUP(AD120,Dex!$B$3:$H298,7,FALSE),"")</f>
        <v/>
      </c>
      <c r="AG122" s="6564"/>
      <c r="AH122" s="6535"/>
      <c r="AI122" s="6215"/>
    </row>
    <row r="123" ht="2.25" customHeight="1">
      <c r="A123" s="6210"/>
      <c r="B123" s="6532"/>
      <c r="C123" s="6565"/>
      <c r="D123" s="6534"/>
      <c r="E123" s="6566"/>
      <c r="F123" s="6567"/>
      <c r="G123" s="6567"/>
      <c r="H123" s="6568"/>
      <c r="J123" s="6566"/>
      <c r="K123" s="6567"/>
      <c r="L123" s="6567"/>
      <c r="M123" s="6568"/>
      <c r="O123" s="6566"/>
      <c r="P123" s="6567"/>
      <c r="Q123" s="6567"/>
      <c r="R123" s="6568"/>
      <c r="T123" s="6566"/>
      <c r="U123" s="6567"/>
      <c r="V123" s="6567"/>
      <c r="W123" s="6568"/>
      <c r="Y123" s="6566"/>
      <c r="Z123" s="6567"/>
      <c r="AA123" s="6567"/>
      <c r="AB123" s="6568"/>
      <c r="AD123" s="6566"/>
      <c r="AE123" s="6567"/>
      <c r="AF123" s="6567"/>
      <c r="AG123" s="6568"/>
      <c r="AH123" s="6535"/>
      <c r="AI123" s="6215"/>
    </row>
    <row r="124" ht="20.25" customHeight="1">
      <c r="A124" s="6210"/>
      <c r="B124" s="6532"/>
      <c r="C124" s="6565"/>
      <c r="D124" s="6569"/>
      <c r="E124" s="6570" t="s">
        <v>532</v>
      </c>
      <c r="F124" s="6571"/>
      <c r="G124" s="6571"/>
      <c r="H124" s="6572"/>
      <c r="J124" s="6570" t="s">
        <v>565</v>
      </c>
      <c r="K124" s="6571"/>
      <c r="L124" s="6571"/>
      <c r="M124" s="6572"/>
      <c r="O124" s="6570" t="s">
        <v>564</v>
      </c>
      <c r="P124" s="6571"/>
      <c r="Q124" s="6571"/>
      <c r="R124" s="6572"/>
      <c r="T124" s="6570" t="s">
        <v>564</v>
      </c>
      <c r="U124" s="6571"/>
      <c r="V124" s="6571"/>
      <c r="W124" s="6572"/>
      <c r="Y124" s="6570" t="s">
        <v>1332</v>
      </c>
      <c r="Z124" s="6571"/>
      <c r="AA124" s="6571"/>
      <c r="AB124" s="6572"/>
      <c r="AD124" s="6570" t="s">
        <v>564</v>
      </c>
      <c r="AE124" s="6571"/>
      <c r="AF124" s="6571"/>
      <c r="AG124" s="6572"/>
      <c r="AH124" s="6546"/>
      <c r="AI124" s="6215"/>
    </row>
    <row r="125">
      <c r="A125" s="6210"/>
      <c r="B125" s="6532"/>
      <c r="C125" s="6565"/>
      <c r="D125" s="6569"/>
      <c r="E125" s="6573" t="s">
        <v>60</v>
      </c>
      <c r="F125" s="6574"/>
      <c r="G125" s="6574"/>
      <c r="H125" s="6575"/>
      <c r="J125" s="6573" t="s">
        <v>1894</v>
      </c>
      <c r="K125" s="6574"/>
      <c r="L125" s="6574"/>
      <c r="M125" s="6575"/>
      <c r="O125" s="6573" t="s">
        <v>1895</v>
      </c>
      <c r="P125" s="6574"/>
      <c r="Q125" s="6574"/>
      <c r="R125" s="6575"/>
      <c r="T125" s="6573" t="s">
        <v>58</v>
      </c>
      <c r="U125" s="6574"/>
      <c r="V125" s="6574"/>
      <c r="W125" s="6575"/>
      <c r="Y125" s="6573" t="s">
        <v>1896</v>
      </c>
      <c r="Z125" s="6574"/>
      <c r="AA125" s="6574"/>
      <c r="AB125" s="6575"/>
      <c r="AD125" s="6573" t="s">
        <v>1897</v>
      </c>
      <c r="AE125" s="6574"/>
      <c r="AF125" s="6574"/>
      <c r="AG125" s="6575"/>
      <c r="AH125" s="6546"/>
      <c r="AI125" s="6215"/>
    </row>
    <row r="126" ht="20.25" customHeight="1">
      <c r="A126" s="6210"/>
      <c r="B126" s="6532"/>
      <c r="C126" s="6576"/>
      <c r="D126" s="6569"/>
      <c r="E126" s="6577" t="s">
        <v>573</v>
      </c>
      <c r="F126" s="6540"/>
      <c r="G126" s="6541"/>
      <c r="H126" s="6578" t="str">
        <f>IMAGE("https://raw.githubusercontent.com/msikma/pokesprite/master/items/hold-item/focus-sash.png",3)</f>
        <v/>
      </c>
      <c r="J126" s="6577" t="s">
        <v>1898</v>
      </c>
      <c r="K126" s="6540"/>
      <c r="L126" s="6541"/>
      <c r="M126" s="6578" t="str">
        <f>IMAGE("https://raw.githubusercontent.com/msikma/pokesprite/master/items/mega-stone/mewtwonite-x.png",3)</f>
        <v/>
      </c>
      <c r="O126" s="6577" t="s">
        <v>713</v>
      </c>
      <c r="P126" s="6540"/>
      <c r="Q126" s="6541"/>
      <c r="R126" s="6578" t="str">
        <f>IMAGE("https://raw.githubusercontent.com/msikma/pokesprite/master/items/hold-item/assault-vest.png",3)</f>
        <v/>
      </c>
      <c r="T126" s="6577" t="s">
        <v>639</v>
      </c>
      <c r="U126" s="6540"/>
      <c r="V126" s="6541"/>
      <c r="W126" s="6578" t="str">
        <f>IMAGE("https://i.ibb.co/SK50ng3/booster.png",4,22,22)</f>
        <v/>
      </c>
      <c r="Y126" s="6577" t="s">
        <v>1899</v>
      </c>
      <c r="Z126" s="6540"/>
      <c r="AA126" s="6541"/>
      <c r="AB126" s="6578" t="str">
        <f>IMAGE("https://raw.githubusercontent.com/msikma/pokesprite/master/items/z-crystals/normalium-z--held.png",3)</f>
        <v/>
      </c>
      <c r="AD126" s="6577" t="s">
        <v>1186</v>
      </c>
      <c r="AE126" s="6540"/>
      <c r="AF126" s="6541"/>
      <c r="AG126" s="6578" t="str">
        <f>IMAGE("https://raw.githubusercontent.com/msikma/pokesprite/master/items/berry/colbur.png",3)</f>
        <v/>
      </c>
      <c r="AH126" s="6535"/>
      <c r="AI126" s="6215"/>
    </row>
    <row r="127" ht="20.25" customHeight="1">
      <c r="A127" s="6210"/>
      <c r="B127" s="6532"/>
      <c r="C127" s="6533"/>
      <c r="D127" s="6569"/>
      <c r="E127" s="6570" t="s">
        <v>191</v>
      </c>
      <c r="F127" s="6571"/>
      <c r="G127" s="6579"/>
      <c r="H127" s="6580" t="str">
        <f>IMAGE("https://raw.githubusercontent.com/msikma/pokesprite/master/misc/types/gen8/rock.png",4,20,20)</f>
        <v/>
      </c>
      <c r="J127" s="6570" t="s">
        <v>548</v>
      </c>
      <c r="K127" s="6571"/>
      <c r="L127" s="6579"/>
      <c r="M127" s="6580" t="str">
        <f>IMAGE("https://raw.githubusercontent.com/msikma/pokesprite/master/misc/types/gen8/fighting.png",4,20,20)</f>
        <v/>
      </c>
      <c r="O127" s="6570" t="s">
        <v>1900</v>
      </c>
      <c r="P127" s="6571"/>
      <c r="Q127" s="6579"/>
      <c r="R127" s="6580" t="str">
        <f>IMAGE("https://raw.githubusercontent.com/msikma/pokesprite/master/misc/types/gen8/flying.png",4,20,20)</f>
        <v/>
      </c>
      <c r="T127" s="6570" t="s">
        <v>647</v>
      </c>
      <c r="U127" s="6571"/>
      <c r="V127" s="6579"/>
      <c r="W127" s="6580" t="str">
        <f>IMAGE("https://raw.githubusercontent.com/msikma/pokesprite/master/misc/types/gen8/ghost.png",4,20,20)</f>
        <v/>
      </c>
      <c r="Y127" s="6570" t="s">
        <v>1901</v>
      </c>
      <c r="Z127" s="6571"/>
      <c r="AA127" s="6579"/>
      <c r="AB127" s="6580" t="str">
        <f>IMAGE("https://raw.githubusercontent.com/msikma/pokesprite/master/misc/types/gen8/normal.png",4,20,20)</f>
        <v/>
      </c>
      <c r="AD127" s="6570" t="s">
        <v>786</v>
      </c>
      <c r="AE127" s="6571"/>
      <c r="AF127" s="6579"/>
      <c r="AG127" s="6580" t="str">
        <f>IMAGE("https://raw.githubusercontent.com/msikma/pokesprite/master/misc/types/gen8/fairy.png",4,20,20)</f>
        <v/>
      </c>
      <c r="AH127" s="6535"/>
      <c r="AI127" s="6215"/>
    </row>
    <row r="128" ht="20.25" customHeight="1">
      <c r="A128" s="6210"/>
      <c r="B128" s="6532"/>
      <c r="C128" s="6533"/>
      <c r="D128" s="6569"/>
      <c r="E128" s="6573" t="s">
        <v>549</v>
      </c>
      <c r="F128" s="6574"/>
      <c r="G128" s="6581"/>
      <c r="H128" s="6582" t="str">
        <f>IMAGE("https://raw.githubusercontent.com/msikma/pokesprite/master/misc/types/gen8/ground.png",4,20,20)</f>
        <v/>
      </c>
      <c r="J128" s="6573" t="s">
        <v>668</v>
      </c>
      <c r="K128" s="6574"/>
      <c r="L128" s="6581"/>
      <c r="M128" s="6582" t="str">
        <f>IMAGE("https://raw.githubusercontent.com/msikma/pokesprite/master/misc/types/gen8/psychic.png",4,20,20)</f>
        <v/>
      </c>
      <c r="O128" s="6573" t="s">
        <v>1313</v>
      </c>
      <c r="P128" s="6574"/>
      <c r="Q128" s="6581"/>
      <c r="R128" s="6582" t="str">
        <f>IMAGE("https://raw.githubusercontent.com/msikma/pokesprite/master/misc/types/gen8/dark.png",4,20,20)</f>
        <v/>
      </c>
      <c r="T128" s="6573" t="s">
        <v>641</v>
      </c>
      <c r="U128" s="6574"/>
      <c r="V128" s="6581"/>
      <c r="W128" s="6582" t="str">
        <f>IMAGE("https://raw.githubusercontent.com/msikma/pokesprite/master/misc/types/gen8/fairy.png",4,20,20)</f>
        <v/>
      </c>
      <c r="Y128" s="6573" t="s">
        <v>668</v>
      </c>
      <c r="Z128" s="6574"/>
      <c r="AA128" s="6581"/>
      <c r="AB128" s="6582" t="str">
        <f>IMAGE("https://raw.githubusercontent.com/msikma/pokesprite/master/misc/types/gen8/psychic.png",4,20,20)</f>
        <v/>
      </c>
      <c r="AD128" s="6573" t="s">
        <v>668</v>
      </c>
      <c r="AE128" s="6574"/>
      <c r="AF128" s="6581"/>
      <c r="AG128" s="6582" t="str">
        <f>IMAGE("https://raw.githubusercontent.com/msikma/pokesprite/master/misc/types/gen8/psychic.png",4,20,20)</f>
        <v/>
      </c>
      <c r="AH128" s="6535"/>
      <c r="AI128" s="6215"/>
    </row>
    <row r="129" ht="20.25" customHeight="1">
      <c r="A129" s="6210"/>
      <c r="B129" s="6532"/>
      <c r="C129" s="6533"/>
      <c r="D129" s="6569"/>
      <c r="E129" s="6573" t="s">
        <v>579</v>
      </c>
      <c r="F129" s="6574"/>
      <c r="G129" s="6581"/>
      <c r="H129" s="6582" t="str">
        <f>IMAGE("https://raw.githubusercontent.com/msikma/pokesprite/master/misc/types/gen8/dark.png",4,20,20)</f>
        <v/>
      </c>
      <c r="J129" s="6573" t="s">
        <v>621</v>
      </c>
      <c r="K129" s="6574"/>
      <c r="L129" s="6581"/>
      <c r="M129" s="6582" t="str">
        <f>IMAGE("https://raw.githubusercontent.com/msikma/pokesprite/master/misc/types/gen8/rock.png",4,20,20)</f>
        <v/>
      </c>
      <c r="O129" s="6573" t="s">
        <v>1243</v>
      </c>
      <c r="P129" s="6574"/>
      <c r="Q129" s="6581"/>
      <c r="R129" s="6582" t="str">
        <f>IMAGE("https://raw.githubusercontent.com/msikma/pokesprite/master/misc/types/gen8/fire.png",4,20,20)</f>
        <v/>
      </c>
      <c r="T129" s="6573" t="s">
        <v>862</v>
      </c>
      <c r="U129" s="6574"/>
      <c r="V129" s="6581"/>
      <c r="W129" s="6582" t="str">
        <f>IMAGE("https://raw.githubusercontent.com/msikma/pokesprite/master/misc/types/gen8/fire.png",4,20,20)</f>
        <v/>
      </c>
      <c r="Y129" s="6573" t="s">
        <v>1221</v>
      </c>
      <c r="Z129" s="6574"/>
      <c r="AA129" s="6581"/>
      <c r="AB129" s="6582" t="str">
        <f>IMAGE("https://raw.githubusercontent.com/msikma/pokesprite/master/misc/types/gen8/fire.png",4,20,20)</f>
        <v/>
      </c>
      <c r="AD129" s="6573" t="s">
        <v>1902</v>
      </c>
      <c r="AE129" s="6574"/>
      <c r="AF129" s="6581"/>
      <c r="AG129" s="6582" t="str">
        <f>IMAGE("https://raw.githubusercontent.com/msikma/pokesprite/master/misc/types/gen8/ghost.png",4,20,20)</f>
        <v/>
      </c>
      <c r="AH129" s="6535"/>
      <c r="AI129" s="6215"/>
    </row>
    <row r="130" ht="21.0" customHeight="1">
      <c r="A130" s="6210"/>
      <c r="B130" s="6532"/>
      <c r="C130" s="6533"/>
      <c r="D130" s="6569"/>
      <c r="E130" s="6583" t="s">
        <v>621</v>
      </c>
      <c r="F130" s="6584"/>
      <c r="G130" s="6585"/>
      <c r="H130" s="6586" t="str">
        <f>IMAGE("https://raw.githubusercontent.com/msikma/pokesprite/master/misc/types/gen8/rock.png",4,20,20)</f>
        <v/>
      </c>
      <c r="I130" s="6529"/>
      <c r="J130" s="6583" t="s">
        <v>168</v>
      </c>
      <c r="K130" s="6584"/>
      <c r="L130" s="6585"/>
      <c r="M130" s="6586" t="str">
        <f>IMAGE("https://raw.githubusercontent.com/msikma/pokesprite/master/misc/types/gen8/fighting.png",4,20,20)</f>
        <v/>
      </c>
      <c r="N130" s="6529"/>
      <c r="O130" s="6583" t="s">
        <v>612</v>
      </c>
      <c r="P130" s="6584"/>
      <c r="Q130" s="6585"/>
      <c r="R130" s="6586" t="str">
        <f>IMAGE("https://raw.githubusercontent.com/msikma/pokesprite/master/misc/types/gen8/bug.png",4,20,20)</f>
        <v/>
      </c>
      <c r="S130" s="6529"/>
      <c r="T130" s="6583" t="s">
        <v>552</v>
      </c>
      <c r="U130" s="6584"/>
      <c r="V130" s="6585"/>
      <c r="W130" s="6586" t="str">
        <f>IMAGE("https://raw.githubusercontent.com/msikma/pokesprite/master/misc/types/gen8/psychic.png",4,20,20)</f>
        <v/>
      </c>
      <c r="X130" s="6529"/>
      <c r="Y130" s="6583" t="s">
        <v>590</v>
      </c>
      <c r="Z130" s="6584"/>
      <c r="AA130" s="6585"/>
      <c r="AB130" s="6586" t="str">
        <f>IMAGE("https://raw.githubusercontent.com/msikma/pokesprite/master/misc/types/gen8/fighting.png",4,20,20)</f>
        <v/>
      </c>
      <c r="AC130" s="6529"/>
      <c r="AD130" s="6583" t="s">
        <v>259</v>
      </c>
      <c r="AE130" s="6584"/>
      <c r="AF130" s="6585"/>
      <c r="AG130" s="6586" t="str">
        <f>IMAGE("https://raw.githubusercontent.com/msikma/pokesprite/master/misc/types/gen8/dark.png",4,20,20)</f>
        <v/>
      </c>
      <c r="AH130" s="6535"/>
      <c r="AI130" s="6215"/>
    </row>
    <row r="131" ht="3.0" customHeight="1">
      <c r="A131" s="6278"/>
      <c r="B131" s="6587"/>
      <c r="C131" s="6588"/>
      <c r="D131" s="6589"/>
      <c r="E131" s="6590"/>
      <c r="F131" s="6590"/>
      <c r="G131" s="6590"/>
      <c r="H131" s="6591"/>
      <c r="I131" s="6534"/>
      <c r="J131" s="6592"/>
      <c r="K131" s="6592"/>
      <c r="L131" s="6592"/>
      <c r="M131" s="6591"/>
      <c r="N131" s="6534"/>
      <c r="O131" s="6592"/>
      <c r="P131" s="6592"/>
      <c r="Q131" s="6592"/>
      <c r="R131" s="6591"/>
      <c r="S131" s="6534"/>
      <c r="T131" s="6592"/>
      <c r="U131" s="6592"/>
      <c r="V131" s="6592"/>
      <c r="W131" s="6591"/>
      <c r="X131" s="6534"/>
      <c r="Y131" s="6593"/>
      <c r="Z131" s="6593"/>
      <c r="AA131" s="6593"/>
      <c r="AB131" s="6594"/>
      <c r="AC131" s="6594"/>
      <c r="AD131" s="6593"/>
      <c r="AE131" s="6593"/>
      <c r="AF131" s="6593"/>
      <c r="AG131" s="6594"/>
      <c r="AH131" s="6595"/>
      <c r="AI131" s="6288"/>
    </row>
    <row r="132" ht="16.5" customHeight="1">
      <c r="A132" s="6289"/>
      <c r="B132" s="6537"/>
      <c r="C132" s="6538"/>
      <c r="D132" s="6596"/>
      <c r="E132" s="6597" t="s">
        <v>512</v>
      </c>
      <c r="F132" s="606"/>
      <c r="G132" s="606"/>
      <c r="H132" s="607"/>
      <c r="I132" s="6598"/>
      <c r="J132" s="6597" t="s">
        <v>512</v>
      </c>
      <c r="K132" s="606"/>
      <c r="L132" s="606"/>
      <c r="M132" s="607"/>
      <c r="N132" s="6598"/>
      <c r="O132" s="6597" t="s">
        <v>512</v>
      </c>
      <c r="P132" s="606"/>
      <c r="Q132" s="606"/>
      <c r="R132" s="607"/>
      <c r="S132" s="6598"/>
      <c r="T132" s="6597" t="s">
        <v>512</v>
      </c>
      <c r="U132" s="606"/>
      <c r="V132" s="606"/>
      <c r="W132" s="607"/>
      <c r="X132" s="6598"/>
      <c r="Y132" s="6597" t="s">
        <v>512</v>
      </c>
      <c r="Z132" s="606"/>
      <c r="AA132" s="606"/>
      <c r="AB132" s="607"/>
      <c r="AC132" s="6599"/>
      <c r="AD132" s="6597" t="s">
        <v>512</v>
      </c>
      <c r="AE132" s="606"/>
      <c r="AF132" s="606"/>
      <c r="AG132" s="607"/>
      <c r="AH132" s="6600"/>
      <c r="AI132" s="6297"/>
    </row>
    <row r="133" ht="16.5" customHeight="1">
      <c r="A133" s="6289"/>
      <c r="B133" s="6537"/>
      <c r="C133" s="6538"/>
      <c r="D133" s="6596"/>
      <c r="E133" s="6601" t="s">
        <v>513</v>
      </c>
      <c r="F133" s="6602">
        <f t="array" ref="F133">IFERROR(VLOOKUP(E120,Dex!$B$3:$N298,8,FALSE),"")</f>
        <v>95</v>
      </c>
      <c r="G133" s="6603" t="str">
        <f t="array" ref="G133">IFERROR(VLOOKUP(F133,Dex!$P$22:$Q$276,2,FALSE),"")</f>
        <v/>
      </c>
      <c r="H133" s="6604"/>
      <c r="I133" s="6596"/>
      <c r="J133" s="6601" t="s">
        <v>513</v>
      </c>
      <c r="K133" s="6602">
        <f t="array" ref="K133">IFERROR(VLOOKUP(J120,Dex!$B$3:$N298,8,FALSE),"")</f>
        <v>106</v>
      </c>
      <c r="L133" s="6603" t="str">
        <f t="array" ref="L133">IFERROR(VLOOKUP(K133,Dex!$P$22:$Q$276,2,FALSE),"")</f>
        <v/>
      </c>
      <c r="M133" s="6604"/>
      <c r="N133" s="6596"/>
      <c r="O133" s="6601" t="s">
        <v>513</v>
      </c>
      <c r="P133" s="6602">
        <f t="array" ref="P133">IFERROR(VLOOKUP(O120,Dex!$B$3:$N298,8,FALSE),"")</f>
        <v>126</v>
      </c>
      <c r="Q133" s="6603" t="str">
        <f t="array" ref="Q133">IFERROR(VLOOKUP(P133,Dex!$P$22:$Q$276,2,FALSE),"")</f>
        <v/>
      </c>
      <c r="R133" s="6604"/>
      <c r="S133" s="6596"/>
      <c r="T133" s="6601" t="s">
        <v>513</v>
      </c>
      <c r="U133" s="6602">
        <f t="array" ref="U133">IFERROR(VLOOKUP(T120,Dex!$B$3:$N298,8,FALSE),"")</f>
        <v>55</v>
      </c>
      <c r="V133" s="6603" t="str">
        <f t="array" ref="V133">IFERROR(VLOOKUP(U133,Dex!$P$22:$Q$276,2,FALSE),"")</f>
        <v/>
      </c>
      <c r="W133" s="6604"/>
      <c r="X133" s="6596"/>
      <c r="Y133" s="6601" t="s">
        <v>513</v>
      </c>
      <c r="Z133" s="6602">
        <f t="array" ref="Z133">IFERROR(VLOOKUP(Y120,Dex!$B$3:$N298,8,FALSE),"")</f>
        <v>100</v>
      </c>
      <c r="AA133" s="6603" t="str">
        <f t="array" ref="AA133">IFERROR(VLOOKUP(Z133,Dex!$P$22:$Q$276,2,FALSE),"")</f>
        <v/>
      </c>
      <c r="AB133" s="6604"/>
      <c r="AC133" s="6605"/>
      <c r="AD133" s="6601" t="s">
        <v>513</v>
      </c>
      <c r="AE133" s="6602">
        <f t="array" ref="AE133">IFERROR(VLOOKUP(AD120,Dex!$B$3:$N298,8,FALSE),"")</f>
        <v>100</v>
      </c>
      <c r="AF133" s="6603" t="str">
        <f t="array" ref="AF133">IFERROR(VLOOKUP(AE133,Dex!$P$22:$Q$276,2,FALSE),"")</f>
        <v/>
      </c>
      <c r="AG133" s="6604"/>
      <c r="AH133" s="6600"/>
      <c r="AI133" s="6297"/>
    </row>
    <row r="134" ht="16.5" customHeight="1">
      <c r="A134" s="6289"/>
      <c r="B134" s="6537"/>
      <c r="C134" s="6538"/>
      <c r="D134" s="6596"/>
      <c r="E134" s="6606" t="s">
        <v>514</v>
      </c>
      <c r="F134" s="6607">
        <f t="array" ref="F134">IFERROR(VLOOKUP(E120,Dex!$B$3:$N298,9,FALSE),"")</f>
        <v>117</v>
      </c>
      <c r="G134" s="6608" t="str">
        <f t="array" ref="G134">IFERROR(VLOOKUP(F134,Dex!$P$22:$Q$276,2,FALSE),"")</f>
        <v/>
      </c>
      <c r="H134" s="6609"/>
      <c r="I134" s="6596"/>
      <c r="J134" s="6606" t="s">
        <v>514</v>
      </c>
      <c r="K134" s="6607">
        <f t="array" ref="K134">IFERROR(VLOOKUP(J120,Dex!$B$3:$N298,9,FALSE),"")</f>
        <v>190</v>
      </c>
      <c r="L134" s="6608" t="str">
        <f t="array" ref="L134">IFERROR(VLOOKUP(K134,Dex!$P$22:$Q$276,2,FALSE),"")</f>
        <v/>
      </c>
      <c r="M134" s="6609"/>
      <c r="N134" s="6596"/>
      <c r="O134" s="6606" t="s">
        <v>514</v>
      </c>
      <c r="P134" s="6607">
        <f t="array" ref="P134">IFERROR(VLOOKUP(O120,Dex!$B$3:$N298,9,FALSE),"")</f>
        <v>131</v>
      </c>
      <c r="Q134" s="6608" t="str">
        <f t="array" ref="Q134">IFERROR(VLOOKUP(P134,Dex!$P$22:$Q$276,2,FALSE),"")</f>
        <v/>
      </c>
      <c r="R134" s="6609"/>
      <c r="S134" s="6596"/>
      <c r="T134" s="6606" t="s">
        <v>514</v>
      </c>
      <c r="U134" s="6607">
        <f t="array" ref="U134">IFERROR(VLOOKUP(T120,Dex!$B$3:$N298,9,FALSE),"")</f>
        <v>55</v>
      </c>
      <c r="V134" s="6608" t="str">
        <f t="array" ref="V134">IFERROR(VLOOKUP(U134,Dex!$P$22:$Q$276,2,FALSE),"")</f>
        <v/>
      </c>
      <c r="W134" s="6609"/>
      <c r="X134" s="6596"/>
      <c r="Y134" s="6606" t="s">
        <v>514</v>
      </c>
      <c r="Z134" s="6607">
        <f t="array" ref="Z134">IFERROR(VLOOKUP(Y120,Dex!$B$3:$N298,9,FALSE),"")</f>
        <v>100</v>
      </c>
      <c r="AA134" s="6608" t="str">
        <f t="array" ref="AA134">IFERROR(VLOOKUP(Z134,Dex!$P$22:$Q$276,2,FALSE),"")</f>
        <v/>
      </c>
      <c r="AB134" s="6609"/>
      <c r="AC134" s="6605"/>
      <c r="AD134" s="6606" t="s">
        <v>514</v>
      </c>
      <c r="AE134" s="6607">
        <f t="array" ref="AE134">IFERROR(VLOOKUP(AD120,Dex!$B$3:$N298,9,FALSE),"")</f>
        <v>85</v>
      </c>
      <c r="AF134" s="6608" t="str">
        <f t="array" ref="AF134">IFERROR(VLOOKUP(AE134,Dex!$P$22:$Q$276,2,FALSE),"")</f>
        <v/>
      </c>
      <c r="AG134" s="6609"/>
      <c r="AH134" s="6600"/>
      <c r="AI134" s="6297"/>
    </row>
    <row r="135" ht="16.5" customHeight="1">
      <c r="A135" s="6289"/>
      <c r="B135" s="6537"/>
      <c r="C135" s="6538"/>
      <c r="D135" s="6596"/>
      <c r="E135" s="6606" t="s">
        <v>515</v>
      </c>
      <c r="F135" s="6607">
        <f t="array" ref="F135">IFERROR(VLOOKUP(E120,Dex!$B$3:$N298,10,FALSE),"")</f>
        <v>80</v>
      </c>
      <c r="G135" s="6608" t="str">
        <f t="array" ref="G135">IFERROR(VLOOKUP(F135,Dex!$P$22:$Q$276,2,FALSE),"")</f>
        <v/>
      </c>
      <c r="H135" s="6609"/>
      <c r="I135" s="6596"/>
      <c r="J135" s="6606" t="s">
        <v>515</v>
      </c>
      <c r="K135" s="6607">
        <f t="array" ref="K135">IFERROR(VLOOKUP(J120,Dex!$B$3:$N298,10,FALSE),"")</f>
        <v>100</v>
      </c>
      <c r="L135" s="6608" t="str">
        <f t="array" ref="L135">IFERROR(VLOOKUP(K135,Dex!$P$22:$Q$276,2,FALSE),"")</f>
        <v/>
      </c>
      <c r="M135" s="6609"/>
      <c r="N135" s="6596"/>
      <c r="O135" s="6606" t="s">
        <v>515</v>
      </c>
      <c r="P135" s="6607">
        <f t="array" ref="P135">IFERROR(VLOOKUP(O120,Dex!$B$3:$N298,10,FALSE),"")</f>
        <v>95</v>
      </c>
      <c r="Q135" s="6608" t="str">
        <f t="array" ref="Q135">IFERROR(VLOOKUP(P135,Dex!$P$22:$Q$276,2,FALSE),"")</f>
        <v/>
      </c>
      <c r="R135" s="6609"/>
      <c r="S135" s="6596"/>
      <c r="T135" s="6606" t="s">
        <v>515</v>
      </c>
      <c r="U135" s="6607">
        <f t="array" ref="U135">IFERROR(VLOOKUP(T120,Dex!$B$3:$N298,10,FALSE),"")</f>
        <v>55</v>
      </c>
      <c r="V135" s="6608" t="str">
        <f t="array" ref="V135">IFERROR(VLOOKUP(U135,Dex!$P$22:$Q$276,2,FALSE),"")</f>
        <v/>
      </c>
      <c r="W135" s="6609"/>
      <c r="X135" s="6596"/>
      <c r="Y135" s="6606" t="s">
        <v>515</v>
      </c>
      <c r="Z135" s="6607">
        <f t="array" ref="Z135">IFERROR(VLOOKUP(Y120,Dex!$B$3:$N298,10,FALSE),"")</f>
        <v>100</v>
      </c>
      <c r="AA135" s="6608" t="str">
        <f t="array" ref="AA135">IFERROR(VLOOKUP(Z135,Dex!$P$22:$Q$276,2,FALSE),"")</f>
        <v/>
      </c>
      <c r="AB135" s="6609"/>
      <c r="AC135" s="6605"/>
      <c r="AD135" s="6606" t="s">
        <v>515</v>
      </c>
      <c r="AE135" s="6607">
        <f t="array" ref="AE135">IFERROR(VLOOKUP(AD120,Dex!$B$3:$N298,10,FALSE),"")</f>
        <v>80</v>
      </c>
      <c r="AF135" s="6608" t="str">
        <f t="array" ref="AF135">IFERROR(VLOOKUP(AE135,Dex!$P$22:$Q$276,2,FALSE),"")</f>
        <v/>
      </c>
      <c r="AG135" s="6609"/>
      <c r="AH135" s="6600"/>
      <c r="AI135" s="6297"/>
    </row>
    <row r="136" ht="16.5" customHeight="1">
      <c r="A136" s="6289"/>
      <c r="B136" s="6537"/>
      <c r="C136" s="6538"/>
      <c r="D136" s="6596"/>
      <c r="E136" s="6606" t="s">
        <v>516</v>
      </c>
      <c r="F136" s="6607">
        <f t="array" ref="F136">IFERROR(VLOOKUP(E120,Dex!$B$3:$N298,11,FALSE),"")</f>
        <v>65</v>
      </c>
      <c r="G136" s="6608" t="str">
        <f t="array" ref="G136">IFERROR(VLOOKUP(F136,Dex!$P$22:$Q$276,2,FALSE),"")</f>
        <v/>
      </c>
      <c r="H136" s="6609"/>
      <c r="I136" s="6596"/>
      <c r="J136" s="6606" t="s">
        <v>516</v>
      </c>
      <c r="K136" s="6607">
        <f t="array" ref="K136">IFERROR(VLOOKUP(J120,Dex!$B$3:$N298,11,FALSE),"")</f>
        <v>154</v>
      </c>
      <c r="L136" s="6608" t="str">
        <f t="array" ref="L136">IFERROR(VLOOKUP(K136,Dex!$P$22:$Q$276,2,FALSE),"")</f>
        <v/>
      </c>
      <c r="M136" s="6609"/>
      <c r="N136" s="6596"/>
      <c r="O136" s="6606" t="s">
        <v>516</v>
      </c>
      <c r="P136" s="6607">
        <f t="array" ref="P136">IFERROR(VLOOKUP(O120,Dex!$B$3:$N298,11,FALSE),"")</f>
        <v>131</v>
      </c>
      <c r="Q136" s="6608" t="str">
        <f t="array" ref="Q136">IFERROR(VLOOKUP(P136,Dex!$P$22:$Q$276,2,FALSE),"")</f>
        <v/>
      </c>
      <c r="R136" s="6609"/>
      <c r="S136" s="6596"/>
      <c r="T136" s="6606" t="s">
        <v>516</v>
      </c>
      <c r="U136" s="6607">
        <f t="array" ref="U136">IFERROR(VLOOKUP(T120,Dex!$B$3:$N298,11,FALSE),"")</f>
        <v>135</v>
      </c>
      <c r="V136" s="6608" t="str">
        <f t="array" ref="V136">IFERROR(VLOOKUP(U136,Dex!$P$22:$Q$276,2,FALSE),"")</f>
        <v/>
      </c>
      <c r="W136" s="6609"/>
      <c r="X136" s="6596"/>
      <c r="Y136" s="6606" t="s">
        <v>516</v>
      </c>
      <c r="Z136" s="6607">
        <f t="array" ref="Z136">IFERROR(VLOOKUP(Y120,Dex!$B$3:$N298,11,FALSE),"")</f>
        <v>100</v>
      </c>
      <c r="AA136" s="6608" t="str">
        <f t="array" ref="AA136">IFERROR(VLOOKUP(Z136,Dex!$P$22:$Q$276,2,FALSE),"")</f>
        <v/>
      </c>
      <c r="AB136" s="6609"/>
      <c r="AC136" s="6605"/>
      <c r="AD136" s="6606" t="s">
        <v>516</v>
      </c>
      <c r="AE136" s="6607">
        <f t="array" ref="AE136">IFERROR(VLOOKUP(AD120,Dex!$B$3:$N298,11,FALSE),"")</f>
        <v>165</v>
      </c>
      <c r="AF136" s="6608" t="str">
        <f t="array" ref="AF136">IFERROR(VLOOKUP(AE136,Dex!$P$22:$Q$276,2,FALSE),"")</f>
        <v/>
      </c>
      <c r="AG136" s="6609"/>
      <c r="AH136" s="6600"/>
      <c r="AI136" s="6297"/>
    </row>
    <row r="137" ht="16.5" customHeight="1">
      <c r="A137" s="6289"/>
      <c r="B137" s="6537"/>
      <c r="C137" s="6538"/>
      <c r="D137" s="6596"/>
      <c r="E137" s="6606" t="s">
        <v>517</v>
      </c>
      <c r="F137" s="6607">
        <f t="array" ref="F137">IFERROR(VLOOKUP(E120,Dex!$B$3:$N298,12,FALSE),"")</f>
        <v>70</v>
      </c>
      <c r="G137" s="6608" t="str">
        <f t="array" ref="G137">IFERROR(VLOOKUP(F137,Dex!$P$22:$Q$276,2,FALSE),"")</f>
        <v/>
      </c>
      <c r="H137" s="6609"/>
      <c r="I137" s="6596"/>
      <c r="J137" s="6606" t="s">
        <v>517</v>
      </c>
      <c r="K137" s="6607">
        <f t="array" ref="K137">IFERROR(VLOOKUP(J120,Dex!$B$3:$N298,12,FALSE),"")</f>
        <v>100</v>
      </c>
      <c r="L137" s="6608" t="str">
        <f t="array" ref="L137">IFERROR(VLOOKUP(K137,Dex!$P$22:$Q$276,2,FALSE),"")</f>
        <v/>
      </c>
      <c r="M137" s="6609"/>
      <c r="N137" s="6596"/>
      <c r="O137" s="6606" t="s">
        <v>517</v>
      </c>
      <c r="P137" s="6607">
        <f t="array" ref="P137">IFERROR(VLOOKUP(O120,Dex!$B$3:$N298,12,FALSE),"")</f>
        <v>98</v>
      </c>
      <c r="Q137" s="6608" t="str">
        <f t="array" ref="Q137">IFERROR(VLOOKUP(P137,Dex!$P$22:$Q$276,2,FALSE),"")</f>
        <v/>
      </c>
      <c r="R137" s="6609"/>
      <c r="S137" s="6596"/>
      <c r="T137" s="6606" t="s">
        <v>517</v>
      </c>
      <c r="U137" s="6607">
        <f t="array" ref="U137">IFERROR(VLOOKUP(T120,Dex!$B$3:$N298,12,FALSE),"")</f>
        <v>135</v>
      </c>
      <c r="V137" s="6608" t="str">
        <f t="array" ref="V137">IFERROR(VLOOKUP(U137,Dex!$P$22:$Q$276,2,FALSE),"")</f>
        <v/>
      </c>
      <c r="W137" s="6609"/>
      <c r="X137" s="6596"/>
      <c r="Y137" s="6606" t="s">
        <v>517</v>
      </c>
      <c r="Z137" s="6607">
        <f t="array" ref="Z137">IFERROR(VLOOKUP(Y120,Dex!$B$3:$N298,12,FALSE),"")</f>
        <v>100</v>
      </c>
      <c r="AA137" s="6608" t="str">
        <f t="array" ref="AA137">IFERROR(VLOOKUP(Z137,Dex!$P$22:$Q$276,2,FALSE),"")</f>
        <v/>
      </c>
      <c r="AB137" s="6609"/>
      <c r="AC137" s="6605"/>
      <c r="AD137" s="6606" t="s">
        <v>517</v>
      </c>
      <c r="AE137" s="6607">
        <f t="array" ref="AE137">IFERROR(VLOOKUP(AD120,Dex!$B$3:$N298,12,FALSE),"")</f>
        <v>100</v>
      </c>
      <c r="AF137" s="6608" t="str">
        <f t="array" ref="AF137">IFERROR(VLOOKUP(AE137,Dex!$P$22:$Q$276,2,FALSE),"")</f>
        <v/>
      </c>
      <c r="AG137" s="6609"/>
      <c r="AH137" s="6600"/>
      <c r="AI137" s="6297"/>
    </row>
    <row r="138" ht="16.5" customHeight="1">
      <c r="A138" s="6289"/>
      <c r="B138" s="6537"/>
      <c r="C138" s="6538"/>
      <c r="D138" s="6596"/>
      <c r="E138" s="6610" t="s">
        <v>518</v>
      </c>
      <c r="F138" s="6611">
        <f t="array" ref="F138">IFERROR(VLOOKUP(E120,Dex!$B$3:$N298,13,FALSE),"")</f>
        <v>92</v>
      </c>
      <c r="G138" s="6608" t="str">
        <f t="array" ref="G138">IFERROR(VLOOKUP(F138,Dex!$P$22:$Q$276,2,FALSE),"")</f>
        <v/>
      </c>
      <c r="H138" s="6609"/>
      <c r="I138" s="6596"/>
      <c r="J138" s="6610" t="s">
        <v>518</v>
      </c>
      <c r="K138" s="6611">
        <f t="array" ref="K138">IFERROR(VLOOKUP(J120,Dex!$B$3:$N298,13,FALSE),"")</f>
        <v>130</v>
      </c>
      <c r="L138" s="6608" t="str">
        <f t="array" ref="L138">IFERROR(VLOOKUP(K138,Dex!$P$22:$Q$276,2,FALSE),"")</f>
        <v/>
      </c>
      <c r="M138" s="6609"/>
      <c r="N138" s="6596"/>
      <c r="O138" s="6610" t="s">
        <v>518</v>
      </c>
      <c r="P138" s="6611">
        <f t="array" ref="P138">IFERROR(VLOOKUP(O120,Dex!$B$3:$N298,13,FALSE),"")</f>
        <v>99</v>
      </c>
      <c r="Q138" s="6608" t="str">
        <f t="array" ref="Q138">IFERROR(VLOOKUP(P138,Dex!$P$22:$Q$276,2,FALSE),"")</f>
        <v/>
      </c>
      <c r="R138" s="6609"/>
      <c r="S138" s="6596"/>
      <c r="T138" s="6610" t="s">
        <v>518</v>
      </c>
      <c r="U138" s="6611">
        <f t="array" ref="U138">IFERROR(VLOOKUP(T120,Dex!$B$3:$N298,13,FALSE),"")</f>
        <v>135</v>
      </c>
      <c r="V138" s="6608" t="str">
        <f t="array" ref="V138">IFERROR(VLOOKUP(U138,Dex!$P$22:$Q$276,2,FALSE),"")</f>
        <v/>
      </c>
      <c r="W138" s="6609"/>
      <c r="X138" s="6596"/>
      <c r="Y138" s="6610" t="s">
        <v>518</v>
      </c>
      <c r="Z138" s="6611">
        <f t="array" ref="Z138">IFERROR(VLOOKUP(Y120,Dex!$B$3:$N298,13,FALSE),"")</f>
        <v>100</v>
      </c>
      <c r="AA138" s="6612" t="str">
        <f t="array" ref="AA138">IFERROR(VLOOKUP(Z138,Dex!$P$22:$Q$276,2,FALSE),"")</f>
        <v/>
      </c>
      <c r="AB138" s="6613"/>
      <c r="AC138" s="6605"/>
      <c r="AD138" s="6610" t="s">
        <v>518</v>
      </c>
      <c r="AE138" s="6611">
        <f t="array" ref="AE138">IFERROR(VLOOKUP(AD120,Dex!$B$3:$N298,13,FALSE),"")</f>
        <v>150</v>
      </c>
      <c r="AF138" s="6608" t="str">
        <f t="array" ref="AF138">IFERROR(VLOOKUP(AE138,Dex!$P$22:$Q$276,2,FALSE),"")</f>
        <v/>
      </c>
      <c r="AG138" s="6609"/>
      <c r="AH138" s="6600"/>
      <c r="AI138" s="6297"/>
    </row>
    <row r="139" ht="16.5" customHeight="1">
      <c r="A139" s="6289"/>
      <c r="B139" s="6537"/>
      <c r="C139" s="6538"/>
      <c r="D139" s="6596"/>
      <c r="E139" s="6614" t="s">
        <v>519</v>
      </c>
      <c r="F139" s="630"/>
      <c r="G139" s="631"/>
      <c r="H139" s="632">
        <f>ROUNDDOWN((ROUNDDOWN(((((2*F138+31)*85)/100+5)),0))*1.1,0)</f>
        <v>205</v>
      </c>
      <c r="I139" s="6615"/>
      <c r="J139" s="6614" t="s">
        <v>519</v>
      </c>
      <c r="K139" s="630"/>
      <c r="L139" s="631"/>
      <c r="M139" s="632">
        <f>ROUNDDOWN((ROUNDDOWN(((((2*K138+31)*85)/100+5)),0))*1.1,0)</f>
        <v>277</v>
      </c>
      <c r="N139" s="6615"/>
      <c r="O139" s="6614" t="s">
        <v>519</v>
      </c>
      <c r="P139" s="630"/>
      <c r="Q139" s="631"/>
      <c r="R139" s="632">
        <f>ROUNDDOWN((ROUNDDOWN(((((2*P138+31)*85)/100+5)),0))*1.1,0)</f>
        <v>218</v>
      </c>
      <c r="S139" s="6615"/>
      <c r="T139" s="6616" t="s">
        <v>519</v>
      </c>
      <c r="U139" s="635"/>
      <c r="V139" s="636"/>
      <c r="W139" s="632">
        <f>ROUNDDOWN((ROUNDDOWN(((((2*U138+31)*85)/100+5)),0))*1.1,0)</f>
        <v>286</v>
      </c>
      <c r="X139" s="6615"/>
      <c r="Y139" s="6616" t="s">
        <v>519</v>
      </c>
      <c r="Z139" s="635"/>
      <c r="AA139" s="636"/>
      <c r="AB139" s="632">
        <f>ROUNDDOWN((ROUNDDOWN(((((2*Z138+31)*85)/100+5)),0))*1.1,0)</f>
        <v>221</v>
      </c>
      <c r="AC139" s="6599"/>
      <c r="AD139" s="6614" t="s">
        <v>519</v>
      </c>
      <c r="AE139" s="630"/>
      <c r="AF139" s="631"/>
      <c r="AG139" s="632">
        <f>ROUNDDOWN((ROUNDDOWN(((((2*AE138+31)*85)/100+5)),0))*1.1,0)</f>
        <v>314</v>
      </c>
      <c r="AH139" s="6600"/>
      <c r="AI139" s="6297"/>
    </row>
    <row r="140" ht="16.5" customHeight="1">
      <c r="A140" s="6289"/>
      <c r="B140" s="6617"/>
      <c r="C140" s="6618"/>
      <c r="D140" s="6619"/>
      <c r="E140" s="6538"/>
      <c r="F140" s="6538"/>
      <c r="G140" s="6538"/>
      <c r="H140" s="6538"/>
      <c r="I140" s="6620"/>
      <c r="J140" s="6538"/>
      <c r="K140" s="6538"/>
      <c r="L140" s="6538"/>
      <c r="M140" s="6538"/>
      <c r="N140" s="6620"/>
      <c r="O140" s="6538"/>
      <c r="P140" s="6538"/>
      <c r="Q140" s="6538"/>
      <c r="R140" s="6538"/>
      <c r="S140" s="6620"/>
      <c r="T140" s="6621" t="s">
        <v>1903</v>
      </c>
      <c r="U140" s="643"/>
      <c r="V140" s="644"/>
      <c r="W140" s="645">
        <f>ROUNDDOWN(W139*1.5,0)</f>
        <v>429</v>
      </c>
      <c r="X140" s="6620"/>
      <c r="Y140" s="6621" t="s">
        <v>1904</v>
      </c>
      <c r="Z140" s="643"/>
      <c r="AA140" s="644"/>
      <c r="AB140" s="645">
        <f>ROUNDDOWN(AB139*1.5,0)</f>
        <v>331</v>
      </c>
      <c r="AC140" s="6622"/>
      <c r="AD140" s="6538"/>
      <c r="AE140" s="6538"/>
      <c r="AF140" s="6538"/>
      <c r="AG140" s="6538"/>
      <c r="AH140" s="6623"/>
      <c r="AI140" s="6297"/>
    </row>
    <row r="141" ht="11.25" customHeight="1">
      <c r="A141" s="6210"/>
      <c r="B141" s="6624"/>
      <c r="C141" s="6625"/>
      <c r="D141" s="6626"/>
      <c r="E141" s="6627"/>
      <c r="F141" s="6627"/>
      <c r="G141" s="6627"/>
      <c r="H141" s="6627"/>
      <c r="I141" s="6626"/>
      <c r="J141" s="6628"/>
      <c r="K141" s="6628"/>
      <c r="L141" s="6628"/>
      <c r="M141" s="6627"/>
      <c r="N141" s="6626"/>
      <c r="O141" s="6628"/>
      <c r="P141" s="6628"/>
      <c r="Q141" s="6628"/>
      <c r="R141" s="6627"/>
      <c r="S141" s="6626"/>
      <c r="T141" s="6628"/>
      <c r="U141" s="6628"/>
      <c r="V141" s="6628"/>
      <c r="W141" s="6627"/>
      <c r="X141" s="6626"/>
      <c r="Y141" s="6628"/>
      <c r="Z141" s="6628"/>
      <c r="AA141" s="6628"/>
      <c r="AB141" s="6627"/>
      <c r="AC141" s="6626"/>
      <c r="AD141" s="6628"/>
      <c r="AE141" s="6628"/>
      <c r="AF141" s="6628"/>
      <c r="AG141" s="6627"/>
      <c r="AH141" s="6629"/>
      <c r="AI141" s="6215"/>
    </row>
    <row r="142" ht="11.25" customHeight="1">
      <c r="A142" s="6210"/>
      <c r="B142" s="6532"/>
      <c r="C142" s="6533"/>
      <c r="D142" s="6534"/>
      <c r="E142" s="3250" t="s">
        <v>1881</v>
      </c>
      <c r="F142" s="3251"/>
      <c r="G142" s="3251"/>
      <c r="H142" s="3251"/>
      <c r="I142" s="3251"/>
      <c r="J142" s="3251"/>
      <c r="K142" s="3251"/>
      <c r="L142" s="3251"/>
      <c r="M142" s="3251"/>
      <c r="N142" s="3251"/>
      <c r="O142" s="3251"/>
      <c r="P142" s="3251"/>
      <c r="Q142" s="3251"/>
      <c r="R142" s="3251"/>
      <c r="S142" s="3251"/>
      <c r="T142" s="3251"/>
      <c r="U142" s="3251"/>
      <c r="V142" s="3251"/>
      <c r="W142" s="3251"/>
      <c r="X142" s="3251"/>
      <c r="Y142" s="3251"/>
      <c r="Z142" s="3251"/>
      <c r="AA142" s="3251"/>
      <c r="AB142" s="3251"/>
      <c r="AC142" s="3251"/>
      <c r="AD142" s="3251"/>
      <c r="AE142" s="3251"/>
      <c r="AF142" s="3251"/>
      <c r="AG142" s="3252"/>
      <c r="AH142" s="6535"/>
      <c r="AI142" s="6215"/>
    </row>
    <row r="143" ht="11.25" customHeight="1">
      <c r="A143" s="6210"/>
      <c r="B143" s="6532"/>
      <c r="C143" s="6533"/>
      <c r="D143" s="6534"/>
      <c r="E143" s="314"/>
      <c r="F143" s="3255"/>
      <c r="G143" s="3255"/>
      <c r="H143" s="3255"/>
      <c r="I143" s="3255"/>
      <c r="J143" s="3255"/>
      <c r="K143" s="3255"/>
      <c r="L143" s="3255"/>
      <c r="M143" s="3255"/>
      <c r="N143" s="3255"/>
      <c r="O143" s="3255"/>
      <c r="P143" s="3255"/>
      <c r="Q143" s="3255"/>
      <c r="R143" s="3255"/>
      <c r="S143" s="3255"/>
      <c r="T143" s="3255"/>
      <c r="U143" s="3255"/>
      <c r="V143" s="3255"/>
      <c r="W143" s="3255"/>
      <c r="X143" s="3255"/>
      <c r="Y143" s="3255"/>
      <c r="Z143" s="3255"/>
      <c r="AA143" s="3255"/>
      <c r="AB143" s="3255"/>
      <c r="AC143" s="3255"/>
      <c r="AD143" s="3255"/>
      <c r="AE143" s="3255"/>
      <c r="AF143" s="3255"/>
      <c r="AG143" s="3256"/>
      <c r="AH143" s="6535"/>
      <c r="AI143" s="6215"/>
    </row>
    <row r="144" ht="3.75" customHeight="1">
      <c r="A144" s="6210"/>
      <c r="B144" s="6532"/>
      <c r="C144" s="6533"/>
      <c r="D144" s="6534"/>
      <c r="E144" s="6630"/>
      <c r="F144" s="6630"/>
      <c r="G144" s="6630"/>
      <c r="H144" s="6630"/>
      <c r="I144" s="6536"/>
      <c r="J144" s="6630"/>
      <c r="K144" s="6630"/>
      <c r="L144" s="6630"/>
      <c r="M144" s="6630"/>
      <c r="N144" s="6536"/>
      <c r="O144" s="6630"/>
      <c r="P144" s="6630"/>
      <c r="Q144" s="6630"/>
      <c r="R144" s="6630"/>
      <c r="S144" s="6536"/>
      <c r="T144" s="6630"/>
      <c r="U144" s="6630"/>
      <c r="V144" s="6630"/>
      <c r="W144" s="6630"/>
      <c r="X144" s="6536"/>
      <c r="Y144" s="6630"/>
      <c r="Z144" s="6630"/>
      <c r="AA144" s="6630"/>
      <c r="AB144" s="6630"/>
      <c r="AC144" s="6536"/>
      <c r="AD144" s="6630"/>
      <c r="AE144" s="6630"/>
      <c r="AF144" s="6630"/>
      <c r="AG144" s="6630"/>
      <c r="AH144" s="6535"/>
      <c r="AI144" s="6215"/>
    </row>
    <row r="145">
      <c r="A145" s="6210"/>
      <c r="B145" s="6537"/>
      <c r="C145" s="6538"/>
      <c r="D145" s="6538"/>
      <c r="E145" s="6539" t="s">
        <v>1905</v>
      </c>
      <c r="F145" s="6540"/>
      <c r="G145" s="6540"/>
      <c r="H145" s="6540"/>
      <c r="I145" s="6540"/>
      <c r="J145" s="6540"/>
      <c r="K145" s="6540"/>
      <c r="L145" s="6540"/>
      <c r="M145" s="6540"/>
      <c r="N145" s="6540"/>
      <c r="O145" s="6540"/>
      <c r="P145" s="6540"/>
      <c r="Q145" s="6540"/>
      <c r="R145" s="6540"/>
      <c r="S145" s="6540"/>
      <c r="T145" s="6540"/>
      <c r="U145" s="6540"/>
      <c r="V145" s="6540"/>
      <c r="W145" s="6540"/>
      <c r="X145" s="6540"/>
      <c r="Y145" s="6540"/>
      <c r="Z145" s="6540"/>
      <c r="AA145" s="6540"/>
      <c r="AB145" s="6540"/>
      <c r="AC145" s="6540"/>
      <c r="AD145" s="6540"/>
      <c r="AE145" s="6540"/>
      <c r="AF145" s="6540"/>
      <c r="AG145" s="6541"/>
      <c r="AH145" s="6535"/>
      <c r="AI145" s="6215"/>
    </row>
    <row r="146" ht="96.75" customHeight="1">
      <c r="A146" s="6210"/>
      <c r="B146" s="6532"/>
      <c r="C146" s="6542" t="str">
        <f>IMAGE("https://i.ibb.co/rcFfMw3/Agatha.png")</f>
        <v/>
      </c>
      <c r="D146" s="6543"/>
      <c r="E146" s="6544" t="str">
        <f t="array" ref="E146">IFERROR(VLOOKUP(E147,Dex!$B$3:$G298,3,FALSE),"")</f>
        <v/>
      </c>
      <c r="F146" s="1945"/>
      <c r="G146" s="1945"/>
      <c r="H146" s="1946"/>
      <c r="I146" s="6545"/>
      <c r="J146" s="6544" t="str">
        <f t="array" ref="J146">IFERROR(VLOOKUP(J147,Dex!$B$3:$G298,3,FALSE),"")</f>
        <v/>
      </c>
      <c r="K146" s="1945"/>
      <c r="L146" s="1945"/>
      <c r="M146" s="1946"/>
      <c r="N146" s="6545"/>
      <c r="O146" s="6544" t="str">
        <f t="array" ref="O146">IFERROR(VLOOKUP(O147,Dex!$B$3:$G298,3,FALSE),"")</f>
        <v/>
      </c>
      <c r="P146" s="1945"/>
      <c r="Q146" s="1945"/>
      <c r="R146" s="1946"/>
      <c r="S146" s="6545"/>
      <c r="T146" s="6544" t="str">
        <f t="array" ref="T146">IFERROR(VLOOKUP(T147,Dex!$B$3:$G298,3,FALSE),"")</f>
        <v/>
      </c>
      <c r="U146" s="1945"/>
      <c r="V146" s="1945"/>
      <c r="W146" s="1946"/>
      <c r="X146" s="6545"/>
      <c r="Y146" s="6544" t="str">
        <f t="array" ref="Y146">IFERROR(VLOOKUP(Y147,Dex!$B$3:$G298,3,FALSE),"")</f>
        <v/>
      </c>
      <c r="Z146" s="1945"/>
      <c r="AA146" s="1945"/>
      <c r="AB146" s="1946"/>
      <c r="AC146" s="6545"/>
      <c r="AD146" s="6544" t="str">
        <f t="array" ref="AD146">IFERROR(VLOOKUP(AD147,Dex!$B$3:$G298,3,FALSE),"")</f>
        <v/>
      </c>
      <c r="AE146" s="1945"/>
      <c r="AF146" s="1945"/>
      <c r="AG146" s="1946"/>
      <c r="AH146" s="6546"/>
      <c r="AI146" s="6215"/>
    </row>
    <row r="147" ht="18.75" customHeight="1">
      <c r="A147" s="6231"/>
      <c r="B147" s="6547"/>
      <c r="C147" s="6548" t="s">
        <v>1906</v>
      </c>
      <c r="D147" s="6549"/>
      <c r="E147" s="6550" t="s">
        <v>654</v>
      </c>
      <c r="F147" s="6551"/>
      <c r="G147" s="6551"/>
      <c r="H147" s="6552"/>
      <c r="J147" s="6550" t="s">
        <v>1891</v>
      </c>
      <c r="K147" s="6551"/>
      <c r="L147" s="6551"/>
      <c r="M147" s="6552"/>
      <c r="O147" s="6550" t="s">
        <v>1889</v>
      </c>
      <c r="P147" s="6551"/>
      <c r="Q147" s="6551"/>
      <c r="R147" s="6552"/>
      <c r="T147" s="6550" t="s">
        <v>1890</v>
      </c>
      <c r="U147" s="6551"/>
      <c r="V147" s="6551"/>
      <c r="W147" s="6552"/>
      <c r="Y147" s="6550" t="s">
        <v>1892</v>
      </c>
      <c r="Z147" s="6551"/>
      <c r="AA147" s="6551"/>
      <c r="AB147" s="6552"/>
      <c r="AD147" s="6550" t="s">
        <v>1893</v>
      </c>
      <c r="AE147" s="6551"/>
      <c r="AF147" s="6551"/>
      <c r="AG147" s="6552"/>
      <c r="AH147" s="6553"/>
      <c r="AI147" s="6239"/>
    </row>
    <row r="148">
      <c r="A148" s="6240"/>
      <c r="B148" s="6554"/>
      <c r="C148" s="556"/>
      <c r="D148" s="6555"/>
      <c r="E148" s="6556" t="s">
        <v>729</v>
      </c>
      <c r="F148" s="6557"/>
      <c r="G148" s="6557"/>
      <c r="H148" s="6558"/>
      <c r="J148" s="6556" t="s">
        <v>729</v>
      </c>
      <c r="K148" s="6557"/>
      <c r="L148" s="6557"/>
      <c r="M148" s="6558"/>
      <c r="O148" s="6556" t="s">
        <v>729</v>
      </c>
      <c r="P148" s="6557"/>
      <c r="Q148" s="6557"/>
      <c r="R148" s="6558"/>
      <c r="T148" s="6556" t="s">
        <v>729</v>
      </c>
      <c r="U148" s="6557"/>
      <c r="V148" s="6557"/>
      <c r="W148" s="6558"/>
      <c r="Y148" s="6556" t="s">
        <v>729</v>
      </c>
      <c r="Z148" s="6557"/>
      <c r="AA148" s="6557"/>
      <c r="AB148" s="6558"/>
      <c r="AD148" s="6556" t="s">
        <v>729</v>
      </c>
      <c r="AE148" s="6557"/>
      <c r="AF148" s="6557"/>
      <c r="AG148" s="6558"/>
      <c r="AH148" s="6559"/>
      <c r="AI148" s="6247"/>
    </row>
    <row r="149" ht="25.5" customHeight="1">
      <c r="A149" s="6210"/>
      <c r="B149" s="6532"/>
      <c r="C149" s="6560"/>
      <c r="D149" s="6534"/>
      <c r="E149" s="6561"/>
      <c r="F149" s="6562" t="str">
        <f t="array" ref="F149">IFERROR(VLOOKUP(E147,Dex!$B$3:$H298,5,FALSE),"")</f>
        <v/>
      </c>
      <c r="G149" s="6563" t="str">
        <f t="array" ref="G149">IFERROR(VLOOKUP(E147,Dex!$B$3:$H298,7,FALSE),"")</f>
        <v/>
      </c>
      <c r="H149" s="6564"/>
      <c r="J149" s="6561"/>
      <c r="K149" s="6562" t="str">
        <f t="array" ref="K149">IFERROR(VLOOKUP(J147,Dex!$B$3:$H298,5,FALSE),"")</f>
        <v/>
      </c>
      <c r="L149" s="6563" t="str">
        <f t="array" ref="L149">IFERROR(VLOOKUP(J147,Dex!$B$3:$H298,7,FALSE),"")</f>
        <v/>
      </c>
      <c r="M149" s="6564"/>
      <c r="O149" s="6561"/>
      <c r="P149" s="6562" t="str">
        <f t="array" ref="P149">IFERROR(VLOOKUP(O147,Dex!$B$3:$H298,5,FALSE),"")</f>
        <v/>
      </c>
      <c r="Q149" s="6563" t="str">
        <f t="array" ref="Q149">IFERROR(VLOOKUP(O147,Dex!$B$3:$H298,7,FALSE),"")</f>
        <v/>
      </c>
      <c r="R149" s="6564"/>
      <c r="T149" s="6561"/>
      <c r="U149" s="6562" t="str">
        <f t="array" ref="U149">IFERROR(VLOOKUP(T147,Dex!$B$3:$H298,5,FALSE),"")</f>
        <v/>
      </c>
      <c r="V149" s="6563" t="str">
        <f t="array" ref="V149">IFERROR(VLOOKUP(T147,Dex!$B$3:$H298,7,FALSE),"")</f>
        <v/>
      </c>
      <c r="W149" s="6564"/>
      <c r="Y149" s="6561"/>
      <c r="Z149" s="6562" t="str">
        <f t="array" ref="Z149">IFERROR(VLOOKUP(Y147,Dex!$B$3:$H298,5,FALSE),"")</f>
        <v/>
      </c>
      <c r="AA149" s="6563" t="str">
        <f t="array" ref="AA149">IFERROR(VLOOKUP(Y147,Dex!$B$3:$H298,7,FALSE),"")</f>
        <v/>
      </c>
      <c r="AB149" s="6564"/>
      <c r="AD149" s="6561"/>
      <c r="AE149" s="6562" t="str">
        <f t="array" ref="AE149">IFERROR(VLOOKUP(AD147,Dex!$B$3:$H298,5,FALSE),"")</f>
        <v/>
      </c>
      <c r="AF149" s="6563" t="str">
        <f t="array" ref="AF149">IFERROR(VLOOKUP(AD147,Dex!$B$3:$H298,7,FALSE),"")</f>
        <v/>
      </c>
      <c r="AG149" s="6564"/>
      <c r="AH149" s="6535"/>
      <c r="AI149" s="6215"/>
    </row>
    <row r="150" ht="2.25" customHeight="1">
      <c r="A150" s="6210"/>
      <c r="B150" s="6532"/>
      <c r="C150" s="6565"/>
      <c r="D150" s="6534"/>
      <c r="E150" s="6566"/>
      <c r="F150" s="6567"/>
      <c r="G150" s="6567"/>
      <c r="H150" s="6568"/>
      <c r="J150" s="6566"/>
      <c r="K150" s="6567"/>
      <c r="L150" s="6567"/>
      <c r="M150" s="6568"/>
      <c r="O150" s="6566"/>
      <c r="P150" s="6567"/>
      <c r="Q150" s="6567"/>
      <c r="R150" s="6568"/>
      <c r="T150" s="6566"/>
      <c r="U150" s="6567"/>
      <c r="V150" s="6567"/>
      <c r="W150" s="6568"/>
      <c r="Y150" s="6566"/>
      <c r="Z150" s="6567"/>
      <c r="AA150" s="6567"/>
      <c r="AB150" s="6568"/>
      <c r="AD150" s="6566"/>
      <c r="AE150" s="6567"/>
      <c r="AF150" s="6567"/>
      <c r="AG150" s="6568"/>
      <c r="AH150" s="6535"/>
      <c r="AI150" s="6215"/>
    </row>
    <row r="151" ht="20.25" customHeight="1">
      <c r="A151" s="6210"/>
      <c r="B151" s="6532"/>
      <c r="C151" s="6565"/>
      <c r="D151" s="6569"/>
      <c r="E151" s="6570" t="s">
        <v>532</v>
      </c>
      <c r="F151" s="6571"/>
      <c r="G151" s="6571"/>
      <c r="H151" s="6572"/>
      <c r="J151" s="6570" t="s">
        <v>564</v>
      </c>
      <c r="K151" s="6571"/>
      <c r="L151" s="6571"/>
      <c r="M151" s="6572"/>
      <c r="O151" s="6570" t="s">
        <v>565</v>
      </c>
      <c r="P151" s="6571"/>
      <c r="Q151" s="6571"/>
      <c r="R151" s="6572"/>
      <c r="T151" s="6570" t="s">
        <v>564</v>
      </c>
      <c r="U151" s="6571"/>
      <c r="V151" s="6571"/>
      <c r="W151" s="6572"/>
      <c r="Y151" s="6570" t="s">
        <v>1332</v>
      </c>
      <c r="Z151" s="6571"/>
      <c r="AA151" s="6571"/>
      <c r="AB151" s="6572"/>
      <c r="AD151" s="6570" t="s">
        <v>564</v>
      </c>
      <c r="AE151" s="6571"/>
      <c r="AF151" s="6571"/>
      <c r="AG151" s="6572"/>
      <c r="AH151" s="6546"/>
      <c r="AI151" s="6215"/>
    </row>
    <row r="152">
      <c r="A152" s="6210"/>
      <c r="B152" s="6532"/>
      <c r="C152" s="6565"/>
      <c r="D152" s="6569"/>
      <c r="E152" s="6573" t="s">
        <v>60</v>
      </c>
      <c r="F152" s="6574"/>
      <c r="G152" s="6574"/>
      <c r="H152" s="6575"/>
      <c r="J152" s="6573" t="s">
        <v>58</v>
      </c>
      <c r="K152" s="6574"/>
      <c r="L152" s="6574"/>
      <c r="M152" s="6575"/>
      <c r="O152" s="6573" t="s">
        <v>1907</v>
      </c>
      <c r="P152" s="6574"/>
      <c r="Q152" s="6574"/>
      <c r="R152" s="6575"/>
      <c r="T152" s="6573" t="s">
        <v>1895</v>
      </c>
      <c r="U152" s="6574"/>
      <c r="V152" s="6574"/>
      <c r="W152" s="6575"/>
      <c r="Y152" s="6573" t="s">
        <v>1896</v>
      </c>
      <c r="Z152" s="6574"/>
      <c r="AA152" s="6574"/>
      <c r="AB152" s="6575"/>
      <c r="AD152" s="6573" t="s">
        <v>1897</v>
      </c>
      <c r="AE152" s="6574"/>
      <c r="AF152" s="6574"/>
      <c r="AG152" s="6575"/>
      <c r="AH152" s="6546"/>
      <c r="AI152" s="6215"/>
    </row>
    <row r="153" ht="20.25" customHeight="1">
      <c r="A153" s="6210"/>
      <c r="B153" s="6532"/>
      <c r="C153" s="6576"/>
      <c r="D153" s="6569"/>
      <c r="E153" s="6577" t="s">
        <v>573</v>
      </c>
      <c r="F153" s="6540"/>
      <c r="G153" s="6541"/>
      <c r="H153" s="6578" t="str">
        <f>IMAGE("https://raw.githubusercontent.com/msikma/pokesprite/master/items/hold-item/focus-sash.png",3)</f>
        <v/>
      </c>
      <c r="J153" s="6577" t="s">
        <v>639</v>
      </c>
      <c r="K153" s="6540"/>
      <c r="L153" s="6541"/>
      <c r="M153" s="6578" t="str">
        <f>IMAGE("https://i.ibb.co/SK50ng3/booster.png",4,22,22)</f>
        <v/>
      </c>
      <c r="O153" s="6577" t="s">
        <v>1898</v>
      </c>
      <c r="P153" s="6540"/>
      <c r="Q153" s="6541"/>
      <c r="R153" s="6578" t="str">
        <f>IMAGE("https://raw.githubusercontent.com/msikma/pokesprite/master/items/mega-stone/mewtwonite-x.png",3)</f>
        <v/>
      </c>
      <c r="T153" s="6577" t="s">
        <v>713</v>
      </c>
      <c r="U153" s="6540"/>
      <c r="V153" s="6541"/>
      <c r="W153" s="6578" t="str">
        <f>IMAGE("https://raw.githubusercontent.com/msikma/pokesprite/master/items/hold-item/assault-vest.png",3)</f>
        <v/>
      </c>
      <c r="Y153" s="6577" t="s">
        <v>1899</v>
      </c>
      <c r="Z153" s="6540"/>
      <c r="AA153" s="6541"/>
      <c r="AB153" s="6578" t="str">
        <f>IMAGE("https://raw.githubusercontent.com/msikma/pokesprite/master/items/z-crystals/normalium-z--held.png",3)</f>
        <v/>
      </c>
      <c r="AD153" s="6577" t="s">
        <v>1186</v>
      </c>
      <c r="AE153" s="6540"/>
      <c r="AF153" s="6541"/>
      <c r="AG153" s="6578" t="str">
        <f>IMAGE("https://raw.githubusercontent.com/msikma/pokesprite/master/items/berry/colbur.png",3)</f>
        <v/>
      </c>
      <c r="AH153" s="6535"/>
      <c r="AI153" s="6215"/>
    </row>
    <row r="154" ht="20.25" customHeight="1">
      <c r="A154" s="6210"/>
      <c r="B154" s="6532"/>
      <c r="C154" s="6533"/>
      <c r="D154" s="6569"/>
      <c r="E154" s="6570" t="s">
        <v>191</v>
      </c>
      <c r="F154" s="6571"/>
      <c r="G154" s="6579"/>
      <c r="H154" s="6580" t="str">
        <f>IMAGE("https://raw.githubusercontent.com/msikma/pokesprite/master/misc/types/gen8/rock.png",4,20,20)</f>
        <v/>
      </c>
      <c r="J154" s="6570" t="s">
        <v>647</v>
      </c>
      <c r="K154" s="6571"/>
      <c r="L154" s="6579"/>
      <c r="M154" s="6580" t="str">
        <f>IMAGE("https://raw.githubusercontent.com/msikma/pokesprite/master/misc/types/gen8/ghost.png",4,20,20)</f>
        <v/>
      </c>
      <c r="O154" s="6570" t="s">
        <v>548</v>
      </c>
      <c r="P154" s="6571"/>
      <c r="Q154" s="6579"/>
      <c r="R154" s="6580" t="str">
        <f>IMAGE("https://raw.githubusercontent.com/msikma/pokesprite/master/misc/types/gen8/fighting.png",4,20,20)</f>
        <v/>
      </c>
      <c r="T154" s="6570" t="s">
        <v>1900</v>
      </c>
      <c r="U154" s="6571"/>
      <c r="V154" s="6579"/>
      <c r="W154" s="6580" t="str">
        <f>IMAGE("https://raw.githubusercontent.com/msikma/pokesprite/master/misc/types/gen8/flying.png",4,20,20)</f>
        <v/>
      </c>
      <c r="Y154" s="6570" t="s">
        <v>1901</v>
      </c>
      <c r="Z154" s="6571"/>
      <c r="AA154" s="6579"/>
      <c r="AB154" s="6580" t="str">
        <f>IMAGE("https://raw.githubusercontent.com/msikma/pokesprite/master/misc/types/gen8/normal.png",4,20,20)</f>
        <v/>
      </c>
      <c r="AD154" s="6570" t="s">
        <v>786</v>
      </c>
      <c r="AE154" s="6571"/>
      <c r="AF154" s="6579"/>
      <c r="AG154" s="6580" t="str">
        <f>IMAGE("https://raw.githubusercontent.com/msikma/pokesprite/master/misc/types/gen8/fairy.png",4,20,20)</f>
        <v/>
      </c>
      <c r="AH154" s="6535"/>
      <c r="AI154" s="6215"/>
    </row>
    <row r="155" ht="20.25" customHeight="1">
      <c r="A155" s="6210"/>
      <c r="B155" s="6532"/>
      <c r="C155" s="6533"/>
      <c r="D155" s="6569"/>
      <c r="E155" s="6573" t="s">
        <v>549</v>
      </c>
      <c r="F155" s="6574"/>
      <c r="G155" s="6581"/>
      <c r="H155" s="6582" t="str">
        <f>IMAGE("https://raw.githubusercontent.com/msikma/pokesprite/master/misc/types/gen8/ground.png",4,20,20)</f>
        <v/>
      </c>
      <c r="J155" s="6573" t="s">
        <v>641</v>
      </c>
      <c r="K155" s="6574"/>
      <c r="L155" s="6581"/>
      <c r="M155" s="6582" t="str">
        <f>IMAGE("https://raw.githubusercontent.com/msikma/pokesprite/master/misc/types/gen8/fairy.png",4,20,20)</f>
        <v/>
      </c>
      <c r="O155" s="6573" t="s">
        <v>668</v>
      </c>
      <c r="P155" s="6574"/>
      <c r="Q155" s="6581"/>
      <c r="R155" s="6582" t="str">
        <f>IMAGE("https://raw.githubusercontent.com/msikma/pokesprite/master/misc/types/gen8/psychic.png",4,20,20)</f>
        <v/>
      </c>
      <c r="T155" s="6573" t="s">
        <v>1313</v>
      </c>
      <c r="U155" s="6574"/>
      <c r="V155" s="6581"/>
      <c r="W155" s="6582" t="str">
        <f>IMAGE("https://raw.githubusercontent.com/msikma/pokesprite/master/misc/types/gen8/dark.png",4,20,20)</f>
        <v/>
      </c>
      <c r="Y155" s="6573" t="s">
        <v>668</v>
      </c>
      <c r="Z155" s="6574"/>
      <c r="AA155" s="6581"/>
      <c r="AB155" s="6582" t="str">
        <f>IMAGE("https://raw.githubusercontent.com/msikma/pokesprite/master/misc/types/gen8/psychic.png",4,20,20)</f>
        <v/>
      </c>
      <c r="AD155" s="6573" t="s">
        <v>668</v>
      </c>
      <c r="AE155" s="6574"/>
      <c r="AF155" s="6581"/>
      <c r="AG155" s="6582" t="str">
        <f>IMAGE("https://raw.githubusercontent.com/msikma/pokesprite/master/misc/types/gen8/psychic.png",4,20,20)</f>
        <v/>
      </c>
      <c r="AH155" s="6535"/>
      <c r="AI155" s="6215"/>
    </row>
    <row r="156" ht="20.25" customHeight="1">
      <c r="A156" s="6210"/>
      <c r="B156" s="6532"/>
      <c r="C156" s="6533"/>
      <c r="D156" s="6569"/>
      <c r="E156" s="6573" t="s">
        <v>579</v>
      </c>
      <c r="F156" s="6574"/>
      <c r="G156" s="6581"/>
      <c r="H156" s="6582" t="str">
        <f>IMAGE("https://raw.githubusercontent.com/msikma/pokesprite/master/misc/types/gen8/dark.png",4,20,20)</f>
        <v/>
      </c>
      <c r="J156" s="6573" t="s">
        <v>552</v>
      </c>
      <c r="K156" s="6574"/>
      <c r="L156" s="6581"/>
      <c r="M156" s="6582" t="str">
        <f>IMAGE("https://raw.githubusercontent.com/msikma/pokesprite/master/misc/types/gen8/psychic.png",4,20,20)</f>
        <v/>
      </c>
      <c r="O156" s="6573" t="s">
        <v>621</v>
      </c>
      <c r="P156" s="6574"/>
      <c r="Q156" s="6581"/>
      <c r="R156" s="6582" t="str">
        <f>IMAGE("https://raw.githubusercontent.com/msikma/pokesprite/master/misc/types/gen8/rock.png",4,20,20)</f>
        <v/>
      </c>
      <c r="T156" s="6573" t="s">
        <v>1243</v>
      </c>
      <c r="U156" s="6574"/>
      <c r="V156" s="6581"/>
      <c r="W156" s="6582" t="str">
        <f>IMAGE("https://raw.githubusercontent.com/msikma/pokesprite/master/misc/types/gen8/fire.png",4,20,20)</f>
        <v/>
      </c>
      <c r="Y156" s="6573" t="s">
        <v>1221</v>
      </c>
      <c r="Z156" s="6574"/>
      <c r="AA156" s="6581"/>
      <c r="AB156" s="6582" t="str">
        <f>IMAGE("https://raw.githubusercontent.com/msikma/pokesprite/master/misc/types/gen8/fire.png",4,20,20)</f>
        <v/>
      </c>
      <c r="AD156" s="6573" t="s">
        <v>1902</v>
      </c>
      <c r="AE156" s="6574"/>
      <c r="AF156" s="6581"/>
      <c r="AG156" s="6582" t="str">
        <f>IMAGE("https://raw.githubusercontent.com/msikma/pokesprite/master/misc/types/gen8/ghost.png",4,20,20)</f>
        <v/>
      </c>
      <c r="AH156" s="6535"/>
      <c r="AI156" s="6215"/>
    </row>
    <row r="157" ht="21.0" customHeight="1">
      <c r="A157" s="6210"/>
      <c r="B157" s="6532"/>
      <c r="C157" s="6533"/>
      <c r="D157" s="6569"/>
      <c r="E157" s="6583" t="s">
        <v>621</v>
      </c>
      <c r="F157" s="6584"/>
      <c r="G157" s="6585"/>
      <c r="H157" s="6586" t="str">
        <f>IMAGE("https://raw.githubusercontent.com/msikma/pokesprite/master/misc/types/gen8/rock.png",4,20,20)</f>
        <v/>
      </c>
      <c r="I157" s="6529"/>
      <c r="J157" s="6583" t="s">
        <v>862</v>
      </c>
      <c r="K157" s="6584"/>
      <c r="L157" s="6585"/>
      <c r="M157" s="6586" t="str">
        <f>IMAGE("https://raw.githubusercontent.com/msikma/pokesprite/master/misc/types/gen8/fire.png",4,20,20)</f>
        <v/>
      </c>
      <c r="N157" s="6529"/>
      <c r="O157" s="6583" t="s">
        <v>168</v>
      </c>
      <c r="P157" s="6584"/>
      <c r="Q157" s="6585"/>
      <c r="R157" s="6586" t="str">
        <f>IMAGE("https://raw.githubusercontent.com/msikma/pokesprite/master/misc/types/gen8/fighting.png",4,20,20)</f>
        <v/>
      </c>
      <c r="S157" s="6529"/>
      <c r="T157" s="6583" t="s">
        <v>612</v>
      </c>
      <c r="U157" s="6584"/>
      <c r="V157" s="6585"/>
      <c r="W157" s="6586" t="str">
        <f>IMAGE("https://raw.githubusercontent.com/msikma/pokesprite/master/misc/types/gen8/bug.png",4,20,20)</f>
        <v/>
      </c>
      <c r="X157" s="6529"/>
      <c r="Y157" s="6583" t="s">
        <v>590</v>
      </c>
      <c r="Z157" s="6584"/>
      <c r="AA157" s="6585"/>
      <c r="AB157" s="6586" t="str">
        <f>IMAGE("https://raw.githubusercontent.com/msikma/pokesprite/master/misc/types/gen8/fighting.png",4,20,20)</f>
        <v/>
      </c>
      <c r="AC157" s="6529"/>
      <c r="AD157" s="6583" t="s">
        <v>259</v>
      </c>
      <c r="AE157" s="6584"/>
      <c r="AF157" s="6585"/>
      <c r="AG157" s="6586" t="str">
        <f>IMAGE("https://raw.githubusercontent.com/msikma/pokesprite/master/misc/types/gen8/dark.png",4,20,20)</f>
        <v/>
      </c>
      <c r="AH157" s="6535"/>
      <c r="AI157" s="6215"/>
    </row>
    <row r="158" ht="3.0" customHeight="1">
      <c r="A158" s="6278"/>
      <c r="B158" s="6587"/>
      <c r="C158" s="6588"/>
      <c r="D158" s="6589"/>
      <c r="E158" s="6592"/>
      <c r="F158" s="6592"/>
      <c r="G158" s="6592"/>
      <c r="H158" s="6591"/>
      <c r="I158" s="6534"/>
      <c r="J158" s="6592"/>
      <c r="K158" s="6592"/>
      <c r="L158" s="6592"/>
      <c r="M158" s="6591"/>
      <c r="N158" s="6534"/>
      <c r="O158" s="6592"/>
      <c r="P158" s="6592"/>
      <c r="Q158" s="6592"/>
      <c r="R158" s="6591"/>
      <c r="S158" s="6534"/>
      <c r="T158" s="6592"/>
      <c r="U158" s="6592"/>
      <c r="V158" s="6592"/>
      <c r="W158" s="6591"/>
      <c r="X158" s="6534"/>
      <c r="Y158" s="6593"/>
      <c r="Z158" s="6593"/>
      <c r="AA158" s="6593"/>
      <c r="AB158" s="6594"/>
      <c r="AC158" s="6594"/>
      <c r="AD158" s="6593"/>
      <c r="AE158" s="6593"/>
      <c r="AF158" s="6593"/>
      <c r="AG158" s="6594"/>
      <c r="AH158" s="6595"/>
      <c r="AI158" s="6288"/>
    </row>
    <row r="159" ht="16.5" customHeight="1">
      <c r="A159" s="6289"/>
      <c r="B159" s="6537"/>
      <c r="C159" s="6538"/>
      <c r="D159" s="6615"/>
      <c r="E159" s="6597" t="s">
        <v>512</v>
      </c>
      <c r="F159" s="606"/>
      <c r="G159" s="606"/>
      <c r="H159" s="607"/>
      <c r="I159" s="6598"/>
      <c r="J159" s="6597" t="s">
        <v>512</v>
      </c>
      <c r="K159" s="606"/>
      <c r="L159" s="606"/>
      <c r="M159" s="607"/>
      <c r="N159" s="6598"/>
      <c r="O159" s="6597" t="s">
        <v>512</v>
      </c>
      <c r="P159" s="606"/>
      <c r="Q159" s="606"/>
      <c r="R159" s="607"/>
      <c r="S159" s="6598"/>
      <c r="T159" s="6597" t="s">
        <v>512</v>
      </c>
      <c r="U159" s="606"/>
      <c r="V159" s="606"/>
      <c r="W159" s="607"/>
      <c r="X159" s="6598"/>
      <c r="Y159" s="6597" t="s">
        <v>512</v>
      </c>
      <c r="Z159" s="606"/>
      <c r="AA159" s="606"/>
      <c r="AB159" s="607"/>
      <c r="AC159" s="6599"/>
      <c r="AD159" s="6597" t="s">
        <v>512</v>
      </c>
      <c r="AE159" s="606"/>
      <c r="AF159" s="606"/>
      <c r="AG159" s="607"/>
      <c r="AH159" s="6600"/>
      <c r="AI159" s="6297"/>
    </row>
    <row r="160" ht="16.5" customHeight="1">
      <c r="A160" s="6289"/>
      <c r="B160" s="6537"/>
      <c r="C160" s="6538"/>
      <c r="D160" s="6596"/>
      <c r="E160" s="6601" t="s">
        <v>513</v>
      </c>
      <c r="F160" s="6602">
        <f t="array" ref="F160">IFERROR(VLOOKUP(E147,Dex!$B$3:$N298,8,FALSE),"")</f>
        <v>95</v>
      </c>
      <c r="G160" s="6603" t="str">
        <f t="array" ref="G160">IFERROR(VLOOKUP(F160,Dex!$P$22:$Q$276,2,FALSE),"")</f>
        <v/>
      </c>
      <c r="H160" s="6604"/>
      <c r="I160" s="6596"/>
      <c r="J160" s="6601" t="s">
        <v>513</v>
      </c>
      <c r="K160" s="6602">
        <f t="array" ref="K160">IFERROR(VLOOKUP(J147,Dex!$B$3:$N298,8,FALSE),"")</f>
        <v>55</v>
      </c>
      <c r="L160" s="6603" t="str">
        <f t="array" ref="L160">IFERROR(VLOOKUP(K160,Dex!$P$22:$Q$276,2,FALSE),"")</f>
        <v/>
      </c>
      <c r="M160" s="6604"/>
      <c r="N160" s="6596"/>
      <c r="O160" s="6601" t="s">
        <v>513</v>
      </c>
      <c r="P160" s="6602">
        <f t="array" ref="P160">IFERROR(VLOOKUP(O147,Dex!$B$3:$N298,8,FALSE),"")</f>
        <v>106</v>
      </c>
      <c r="Q160" s="6603" t="str">
        <f t="array" ref="Q160">IFERROR(VLOOKUP(P160,Dex!$P$22:$Q$276,2,FALSE),"")</f>
        <v/>
      </c>
      <c r="R160" s="6604"/>
      <c r="S160" s="6596"/>
      <c r="T160" s="6601" t="s">
        <v>513</v>
      </c>
      <c r="U160" s="6602">
        <f t="array" ref="U160">IFERROR(VLOOKUP(T147,Dex!$B$3:$N298,8,FALSE),"")</f>
        <v>126</v>
      </c>
      <c r="V160" s="6603" t="str">
        <f t="array" ref="V160">IFERROR(VLOOKUP(U160,Dex!$P$22:$Q$276,2,FALSE),"")</f>
        <v/>
      </c>
      <c r="W160" s="6604"/>
      <c r="X160" s="6596"/>
      <c r="Y160" s="6601" t="s">
        <v>513</v>
      </c>
      <c r="Z160" s="6602">
        <f t="array" ref="Z160">IFERROR(VLOOKUP(Y147,Dex!$B$3:$N298,8,FALSE),"")</f>
        <v>100</v>
      </c>
      <c r="AA160" s="6603" t="str">
        <f t="array" ref="AA160">IFERROR(VLOOKUP(Z160,Dex!$P$22:$Q$276,2,FALSE),"")</f>
        <v/>
      </c>
      <c r="AB160" s="6604"/>
      <c r="AC160" s="6605"/>
      <c r="AD160" s="6601" t="s">
        <v>513</v>
      </c>
      <c r="AE160" s="6602">
        <f t="array" ref="AE160">IFERROR(VLOOKUP(AD147,Dex!$B$3:$N298,8,FALSE),"")</f>
        <v>100</v>
      </c>
      <c r="AF160" s="6603" t="str">
        <f t="array" ref="AF160">IFERROR(VLOOKUP(AE160,Dex!$P$22:$Q$276,2,FALSE),"")</f>
        <v/>
      </c>
      <c r="AG160" s="6604"/>
      <c r="AH160" s="6600"/>
      <c r="AI160" s="6297"/>
    </row>
    <row r="161" ht="16.5" customHeight="1">
      <c r="A161" s="6289"/>
      <c r="B161" s="6537"/>
      <c r="C161" s="6538"/>
      <c r="D161" s="6596"/>
      <c r="E161" s="6606" t="s">
        <v>514</v>
      </c>
      <c r="F161" s="6607">
        <f t="array" ref="F161">IFERROR(VLOOKUP(E147,Dex!$B$3:$N298,9,FALSE),"")</f>
        <v>117</v>
      </c>
      <c r="G161" s="6608" t="str">
        <f t="array" ref="G161">IFERROR(VLOOKUP(F161,Dex!$P$22:$Q$276,2,FALSE),"")</f>
        <v/>
      </c>
      <c r="H161" s="6609"/>
      <c r="I161" s="6596"/>
      <c r="J161" s="6606" t="s">
        <v>514</v>
      </c>
      <c r="K161" s="6607">
        <f t="array" ref="K161">IFERROR(VLOOKUP(J147,Dex!$B$3:$N298,9,FALSE),"")</f>
        <v>55</v>
      </c>
      <c r="L161" s="6608" t="str">
        <f t="array" ref="L161">IFERROR(VLOOKUP(K161,Dex!$P$22:$Q$276,2,FALSE),"")</f>
        <v/>
      </c>
      <c r="M161" s="6609"/>
      <c r="N161" s="6596"/>
      <c r="O161" s="6606" t="s">
        <v>514</v>
      </c>
      <c r="P161" s="6607">
        <f t="array" ref="P161">IFERROR(VLOOKUP(O147,Dex!$B$3:$N298,9,FALSE),"")</f>
        <v>190</v>
      </c>
      <c r="Q161" s="6608" t="str">
        <f t="array" ref="Q161">IFERROR(VLOOKUP(P161,Dex!$P$22:$Q$276,2,FALSE),"")</f>
        <v/>
      </c>
      <c r="R161" s="6609"/>
      <c r="S161" s="6596"/>
      <c r="T161" s="6606" t="s">
        <v>514</v>
      </c>
      <c r="U161" s="6607">
        <f t="array" ref="U161">IFERROR(VLOOKUP(T147,Dex!$B$3:$N298,9,FALSE),"")</f>
        <v>131</v>
      </c>
      <c r="V161" s="6608" t="str">
        <f t="array" ref="V161">IFERROR(VLOOKUP(U161,Dex!$P$22:$Q$276,2,FALSE),"")</f>
        <v/>
      </c>
      <c r="W161" s="6609"/>
      <c r="X161" s="6596"/>
      <c r="Y161" s="6606" t="s">
        <v>514</v>
      </c>
      <c r="Z161" s="6607">
        <f t="array" ref="Z161">IFERROR(VLOOKUP(Y147,Dex!$B$3:$N298,9,FALSE),"")</f>
        <v>100</v>
      </c>
      <c r="AA161" s="6608" t="str">
        <f t="array" ref="AA161">IFERROR(VLOOKUP(Z161,Dex!$P$22:$Q$276,2,FALSE),"")</f>
        <v/>
      </c>
      <c r="AB161" s="6609"/>
      <c r="AC161" s="6605"/>
      <c r="AD161" s="6606" t="s">
        <v>514</v>
      </c>
      <c r="AE161" s="6607">
        <f t="array" ref="AE161">IFERROR(VLOOKUP(AD147,Dex!$B$3:$N298,9,FALSE),"")</f>
        <v>85</v>
      </c>
      <c r="AF161" s="6608" t="str">
        <f t="array" ref="AF161">IFERROR(VLOOKUP(AE161,Dex!$P$22:$Q$276,2,FALSE),"")</f>
        <v/>
      </c>
      <c r="AG161" s="6609"/>
      <c r="AH161" s="6600"/>
      <c r="AI161" s="6297"/>
    </row>
    <row r="162" ht="16.5" customHeight="1">
      <c r="A162" s="6289"/>
      <c r="B162" s="6537"/>
      <c r="C162" s="6538"/>
      <c r="D162" s="6596"/>
      <c r="E162" s="6606" t="s">
        <v>515</v>
      </c>
      <c r="F162" s="6607">
        <f t="array" ref="F162">IFERROR(VLOOKUP(E147,Dex!$B$3:$N298,10,FALSE),"")</f>
        <v>80</v>
      </c>
      <c r="G162" s="6608" t="str">
        <f t="array" ref="G162">IFERROR(VLOOKUP(F162,Dex!$P$22:$Q$276,2,FALSE),"")</f>
        <v/>
      </c>
      <c r="H162" s="6609"/>
      <c r="I162" s="6596"/>
      <c r="J162" s="6606" t="s">
        <v>515</v>
      </c>
      <c r="K162" s="6607">
        <f t="array" ref="K162">IFERROR(VLOOKUP(J147,Dex!$B$3:$N298,10,FALSE),"")</f>
        <v>55</v>
      </c>
      <c r="L162" s="6608" t="str">
        <f t="array" ref="L162">IFERROR(VLOOKUP(K162,Dex!$P$22:$Q$276,2,FALSE),"")</f>
        <v/>
      </c>
      <c r="M162" s="6609"/>
      <c r="N162" s="6596"/>
      <c r="O162" s="6606" t="s">
        <v>515</v>
      </c>
      <c r="P162" s="6607">
        <f t="array" ref="P162">IFERROR(VLOOKUP(O147,Dex!$B$3:$N298,10,FALSE),"")</f>
        <v>100</v>
      </c>
      <c r="Q162" s="6608" t="str">
        <f t="array" ref="Q162">IFERROR(VLOOKUP(P162,Dex!$P$22:$Q$276,2,FALSE),"")</f>
        <v/>
      </c>
      <c r="R162" s="6609"/>
      <c r="S162" s="6596"/>
      <c r="T162" s="6606" t="s">
        <v>515</v>
      </c>
      <c r="U162" s="6607">
        <f t="array" ref="U162">IFERROR(VLOOKUP(T147,Dex!$B$3:$N298,10,FALSE),"")</f>
        <v>95</v>
      </c>
      <c r="V162" s="6608" t="str">
        <f t="array" ref="V162">IFERROR(VLOOKUP(U162,Dex!$P$22:$Q$276,2,FALSE),"")</f>
        <v/>
      </c>
      <c r="W162" s="6609"/>
      <c r="X162" s="6596"/>
      <c r="Y162" s="6606" t="s">
        <v>515</v>
      </c>
      <c r="Z162" s="6607">
        <f t="array" ref="Z162">IFERROR(VLOOKUP(Y147,Dex!$B$3:$N298,10,FALSE),"")</f>
        <v>100</v>
      </c>
      <c r="AA162" s="6608" t="str">
        <f t="array" ref="AA162">IFERROR(VLOOKUP(Z162,Dex!$P$22:$Q$276,2,FALSE),"")</f>
        <v/>
      </c>
      <c r="AB162" s="6609"/>
      <c r="AC162" s="6605"/>
      <c r="AD162" s="6606" t="s">
        <v>515</v>
      </c>
      <c r="AE162" s="6607">
        <f t="array" ref="AE162">IFERROR(VLOOKUP(AD147,Dex!$B$3:$N298,10,FALSE),"")</f>
        <v>80</v>
      </c>
      <c r="AF162" s="6608" t="str">
        <f t="array" ref="AF162">IFERROR(VLOOKUP(AE162,Dex!$P$22:$Q$276,2,FALSE),"")</f>
        <v/>
      </c>
      <c r="AG162" s="6609"/>
      <c r="AH162" s="6600"/>
      <c r="AI162" s="6297"/>
    </row>
    <row r="163" ht="16.5" customHeight="1">
      <c r="A163" s="6289"/>
      <c r="B163" s="6537"/>
      <c r="C163" s="6538"/>
      <c r="D163" s="6596"/>
      <c r="E163" s="6606" t="s">
        <v>516</v>
      </c>
      <c r="F163" s="6607">
        <f t="array" ref="F163">IFERROR(VLOOKUP(E147,Dex!$B$3:$N298,11,FALSE),"")</f>
        <v>65</v>
      </c>
      <c r="G163" s="6608" t="str">
        <f t="array" ref="G163">IFERROR(VLOOKUP(F163,Dex!$P$22:$Q$276,2,FALSE),"")</f>
        <v/>
      </c>
      <c r="H163" s="6609"/>
      <c r="I163" s="6596"/>
      <c r="J163" s="6606" t="s">
        <v>516</v>
      </c>
      <c r="K163" s="6607">
        <f t="array" ref="K163">IFERROR(VLOOKUP(J147,Dex!$B$3:$N298,11,FALSE),"")</f>
        <v>135</v>
      </c>
      <c r="L163" s="6608" t="str">
        <f t="array" ref="L163">IFERROR(VLOOKUP(K163,Dex!$P$22:$Q$276,2,FALSE),"")</f>
        <v/>
      </c>
      <c r="M163" s="6609"/>
      <c r="N163" s="6596"/>
      <c r="O163" s="6606" t="s">
        <v>516</v>
      </c>
      <c r="P163" s="6607">
        <f t="array" ref="P163">IFERROR(VLOOKUP(O147,Dex!$B$3:$N298,11,FALSE),"")</f>
        <v>154</v>
      </c>
      <c r="Q163" s="6608" t="str">
        <f t="array" ref="Q163">IFERROR(VLOOKUP(P163,Dex!$P$22:$Q$276,2,FALSE),"")</f>
        <v/>
      </c>
      <c r="R163" s="6609"/>
      <c r="S163" s="6596"/>
      <c r="T163" s="6606" t="s">
        <v>516</v>
      </c>
      <c r="U163" s="6607">
        <f t="array" ref="U163">IFERROR(VLOOKUP(T147,Dex!$B$3:$N298,11,FALSE),"")</f>
        <v>131</v>
      </c>
      <c r="V163" s="6608" t="str">
        <f t="array" ref="V163">IFERROR(VLOOKUP(U163,Dex!$P$22:$Q$276,2,FALSE),"")</f>
        <v/>
      </c>
      <c r="W163" s="6609"/>
      <c r="X163" s="6596"/>
      <c r="Y163" s="6606" t="s">
        <v>516</v>
      </c>
      <c r="Z163" s="6607">
        <f t="array" ref="Z163">IFERROR(VLOOKUP(Y147,Dex!$B$3:$N298,11,FALSE),"")</f>
        <v>100</v>
      </c>
      <c r="AA163" s="6608" t="str">
        <f t="array" ref="AA163">IFERROR(VLOOKUP(Z163,Dex!$P$22:$Q$276,2,FALSE),"")</f>
        <v/>
      </c>
      <c r="AB163" s="6609"/>
      <c r="AC163" s="6605"/>
      <c r="AD163" s="6606" t="s">
        <v>516</v>
      </c>
      <c r="AE163" s="6607">
        <f t="array" ref="AE163">IFERROR(VLOOKUP(AD147,Dex!$B$3:$N298,11,FALSE),"")</f>
        <v>165</v>
      </c>
      <c r="AF163" s="6608" t="str">
        <f t="array" ref="AF163">IFERROR(VLOOKUP(AE163,Dex!$P$22:$Q$276,2,FALSE),"")</f>
        <v/>
      </c>
      <c r="AG163" s="6609"/>
      <c r="AH163" s="6600"/>
      <c r="AI163" s="6297"/>
    </row>
    <row r="164" ht="16.5" customHeight="1">
      <c r="A164" s="6289"/>
      <c r="B164" s="6537"/>
      <c r="C164" s="6538"/>
      <c r="D164" s="6596"/>
      <c r="E164" s="6606" t="s">
        <v>517</v>
      </c>
      <c r="F164" s="6607">
        <f t="array" ref="F164">IFERROR(VLOOKUP(E147,Dex!$B$3:$N298,12,FALSE),"")</f>
        <v>70</v>
      </c>
      <c r="G164" s="6608" t="str">
        <f t="array" ref="G164">IFERROR(VLOOKUP(F164,Dex!$P$22:$Q$276,2,FALSE),"")</f>
        <v/>
      </c>
      <c r="H164" s="6609"/>
      <c r="I164" s="6596"/>
      <c r="J164" s="6606" t="s">
        <v>517</v>
      </c>
      <c r="K164" s="6607">
        <f t="array" ref="K164">IFERROR(VLOOKUP(J147,Dex!$B$3:$N298,12,FALSE),"")</f>
        <v>135</v>
      </c>
      <c r="L164" s="6608" t="str">
        <f t="array" ref="L164">IFERROR(VLOOKUP(K164,Dex!$P$22:$Q$276,2,FALSE),"")</f>
        <v/>
      </c>
      <c r="M164" s="6609"/>
      <c r="N164" s="6596"/>
      <c r="O164" s="6606" t="s">
        <v>517</v>
      </c>
      <c r="P164" s="6607">
        <f t="array" ref="P164">IFERROR(VLOOKUP(O147,Dex!$B$3:$N298,12,FALSE),"")</f>
        <v>100</v>
      </c>
      <c r="Q164" s="6608" t="str">
        <f t="array" ref="Q164">IFERROR(VLOOKUP(P164,Dex!$P$22:$Q$276,2,FALSE),"")</f>
        <v/>
      </c>
      <c r="R164" s="6609"/>
      <c r="S164" s="6596"/>
      <c r="T164" s="6606" t="s">
        <v>517</v>
      </c>
      <c r="U164" s="6607">
        <f t="array" ref="U164">IFERROR(VLOOKUP(T147,Dex!$B$3:$N298,12,FALSE),"")</f>
        <v>98</v>
      </c>
      <c r="V164" s="6608" t="str">
        <f t="array" ref="V164">IFERROR(VLOOKUP(U164,Dex!$P$22:$Q$276,2,FALSE),"")</f>
        <v/>
      </c>
      <c r="W164" s="6609"/>
      <c r="X164" s="6596"/>
      <c r="Y164" s="6606" t="s">
        <v>517</v>
      </c>
      <c r="Z164" s="6607">
        <f t="array" ref="Z164">IFERROR(VLOOKUP(Y147,Dex!$B$3:$N298,12,FALSE),"")</f>
        <v>100</v>
      </c>
      <c r="AA164" s="6608" t="str">
        <f t="array" ref="AA164">IFERROR(VLOOKUP(Z164,Dex!$P$22:$Q$276,2,FALSE),"")</f>
        <v/>
      </c>
      <c r="AB164" s="6609"/>
      <c r="AC164" s="6605"/>
      <c r="AD164" s="6606" t="s">
        <v>517</v>
      </c>
      <c r="AE164" s="6607">
        <f t="array" ref="AE164">IFERROR(VLOOKUP(AD147,Dex!$B$3:$N298,12,FALSE),"")</f>
        <v>100</v>
      </c>
      <c r="AF164" s="6608" t="str">
        <f t="array" ref="AF164">IFERROR(VLOOKUP(AE164,Dex!$P$22:$Q$276,2,FALSE),"")</f>
        <v/>
      </c>
      <c r="AG164" s="6609"/>
      <c r="AH164" s="6600"/>
      <c r="AI164" s="6297"/>
    </row>
    <row r="165" ht="16.5" customHeight="1">
      <c r="A165" s="6289"/>
      <c r="B165" s="6537"/>
      <c r="C165" s="6538"/>
      <c r="D165" s="6596"/>
      <c r="E165" s="6610" t="s">
        <v>518</v>
      </c>
      <c r="F165" s="6611">
        <f t="array" ref="F165">IFERROR(VLOOKUP(E147,Dex!$B$3:$N298,13,FALSE),"")</f>
        <v>92</v>
      </c>
      <c r="G165" s="6608" t="str">
        <f t="array" ref="G165">IFERROR(VLOOKUP(F165,Dex!$P$22:$Q$276,2,FALSE),"")</f>
        <v/>
      </c>
      <c r="H165" s="6609"/>
      <c r="I165" s="6596"/>
      <c r="J165" s="6610" t="s">
        <v>518</v>
      </c>
      <c r="K165" s="6611">
        <f t="array" ref="K165">IFERROR(VLOOKUP(J147,Dex!$B$3:$N298,13,FALSE),"")</f>
        <v>135</v>
      </c>
      <c r="L165" s="6612" t="str">
        <f t="array" ref="L165">IFERROR(VLOOKUP(K165,Dex!$P$22:$Q$276,2,FALSE),"")</f>
        <v/>
      </c>
      <c r="M165" s="6613"/>
      <c r="N165" s="6596"/>
      <c r="O165" s="6610" t="s">
        <v>518</v>
      </c>
      <c r="P165" s="6611">
        <f t="array" ref="P165">IFERROR(VLOOKUP(O147,Dex!$B$3:$N298,13,FALSE),"")</f>
        <v>130</v>
      </c>
      <c r="Q165" s="6608" t="str">
        <f t="array" ref="Q165">IFERROR(VLOOKUP(P165,Dex!$P$22:$Q$276,2,FALSE),"")</f>
        <v/>
      </c>
      <c r="R165" s="6609"/>
      <c r="S165" s="6596"/>
      <c r="T165" s="6610" t="s">
        <v>518</v>
      </c>
      <c r="U165" s="6611">
        <f t="array" ref="U165">IFERROR(VLOOKUP(T147,Dex!$B$3:$N298,13,FALSE),"")</f>
        <v>99</v>
      </c>
      <c r="V165" s="6608" t="str">
        <f t="array" ref="V165">IFERROR(VLOOKUP(U165,Dex!$P$22:$Q$276,2,FALSE),"")</f>
        <v/>
      </c>
      <c r="W165" s="6609"/>
      <c r="X165" s="6596"/>
      <c r="Y165" s="6610" t="s">
        <v>518</v>
      </c>
      <c r="Z165" s="6611">
        <f t="array" ref="Z165">IFERROR(VLOOKUP(Y147,Dex!$B$3:$N298,13,FALSE),"")</f>
        <v>100</v>
      </c>
      <c r="AA165" s="6612" t="str">
        <f t="array" ref="AA165">IFERROR(VLOOKUP(Z165,Dex!$P$22:$Q$276,2,FALSE),"")</f>
        <v/>
      </c>
      <c r="AB165" s="6613"/>
      <c r="AC165" s="6605"/>
      <c r="AD165" s="6610" t="s">
        <v>518</v>
      </c>
      <c r="AE165" s="6611">
        <f t="array" ref="AE165">IFERROR(VLOOKUP(AD147,Dex!$B$3:$N298,13,FALSE),"")</f>
        <v>150</v>
      </c>
      <c r="AF165" s="6608" t="str">
        <f t="array" ref="AF165">IFERROR(VLOOKUP(AE165,Dex!$P$22:$Q$276,2,FALSE),"")</f>
        <v/>
      </c>
      <c r="AG165" s="6609"/>
      <c r="AH165" s="6600"/>
      <c r="AI165" s="6297"/>
    </row>
    <row r="166" ht="16.5" customHeight="1">
      <c r="A166" s="6289"/>
      <c r="B166" s="6537"/>
      <c r="C166" s="6538"/>
      <c r="D166" s="6615"/>
      <c r="E166" s="6614" t="s">
        <v>519</v>
      </c>
      <c r="F166" s="630"/>
      <c r="G166" s="631"/>
      <c r="H166" s="632">
        <f>ROUNDDOWN((ROUNDDOWN(((((2*F165+31)*85)/100+5)),0))*1.1,0)</f>
        <v>205</v>
      </c>
      <c r="I166" s="6615"/>
      <c r="J166" s="6616" t="s">
        <v>519</v>
      </c>
      <c r="K166" s="635"/>
      <c r="L166" s="636"/>
      <c r="M166" s="632">
        <f>ROUNDDOWN((ROUNDDOWN(((((2*K165+31)*85)/100+5)),0))*1.1,0)</f>
        <v>286</v>
      </c>
      <c r="N166" s="6615"/>
      <c r="O166" s="6614" t="s">
        <v>519</v>
      </c>
      <c r="P166" s="630"/>
      <c r="Q166" s="631"/>
      <c r="R166" s="632">
        <f>ROUNDDOWN((ROUNDDOWN(((((2*P165+31)*85)/100+5)),0))*1.1,0)</f>
        <v>277</v>
      </c>
      <c r="S166" s="6615"/>
      <c r="T166" s="6614" t="s">
        <v>519</v>
      </c>
      <c r="U166" s="630"/>
      <c r="V166" s="631"/>
      <c r="W166" s="632">
        <f>ROUNDDOWN((ROUNDDOWN(((((2*U165+31)*85)/100+5)),0))*1.1,0)</f>
        <v>218</v>
      </c>
      <c r="X166" s="6615"/>
      <c r="Y166" s="6616" t="s">
        <v>519</v>
      </c>
      <c r="Z166" s="635"/>
      <c r="AA166" s="636"/>
      <c r="AB166" s="632">
        <f>ROUNDDOWN((ROUNDDOWN(((((2*Z165+31)*85)/100+5)),0))*1.1,0)</f>
        <v>221</v>
      </c>
      <c r="AC166" s="6599"/>
      <c r="AD166" s="6614" t="s">
        <v>519</v>
      </c>
      <c r="AE166" s="630"/>
      <c r="AF166" s="631"/>
      <c r="AG166" s="632">
        <f>ROUNDDOWN((ROUNDDOWN(((((2*AE165+31)*85)/100+5)),0))*1.1,0)</f>
        <v>314</v>
      </c>
      <c r="AH166" s="6600"/>
      <c r="AI166" s="6297"/>
    </row>
    <row r="167" ht="16.5" customHeight="1">
      <c r="A167" s="6289"/>
      <c r="B167" s="6617"/>
      <c r="C167" s="6618"/>
      <c r="D167" s="6619"/>
      <c r="E167" s="6631"/>
      <c r="F167" s="6631"/>
      <c r="G167" s="6631"/>
      <c r="H167" s="6618"/>
      <c r="I167" s="6619"/>
      <c r="J167" s="6621" t="s">
        <v>1903</v>
      </c>
      <c r="K167" s="643"/>
      <c r="L167" s="644"/>
      <c r="M167" s="645">
        <f>ROUNDDOWN(M166*1.5,0)</f>
        <v>429</v>
      </c>
      <c r="N167" s="6619"/>
      <c r="O167" s="6631"/>
      <c r="P167" s="6631"/>
      <c r="Q167" s="6631"/>
      <c r="R167" s="6618"/>
      <c r="S167" s="6620"/>
      <c r="T167" s="6631"/>
      <c r="U167" s="6631"/>
      <c r="V167" s="6631"/>
      <c r="W167" s="6618"/>
      <c r="X167" s="6619"/>
      <c r="Y167" s="6621" t="s">
        <v>1904</v>
      </c>
      <c r="Z167" s="643"/>
      <c r="AA167" s="644"/>
      <c r="AB167" s="645">
        <f>ROUNDDOWN(AB166*1.5,0)</f>
        <v>331</v>
      </c>
      <c r="AC167" s="6632"/>
      <c r="AD167" s="6631"/>
      <c r="AE167" s="6631"/>
      <c r="AF167" s="6631"/>
      <c r="AG167" s="6618"/>
      <c r="AH167" s="6623"/>
      <c r="AI167" s="6297"/>
    </row>
    <row r="168" ht="15.0" customHeight="1">
      <c r="A168" s="6289"/>
      <c r="B168" s="6633"/>
      <c r="C168" s="6634"/>
      <c r="D168" s="6635"/>
      <c r="E168" s="6636"/>
      <c r="F168" s="6636"/>
      <c r="G168" s="6636"/>
      <c r="H168" s="6636"/>
      <c r="I168" s="6635"/>
      <c r="J168" s="6636"/>
      <c r="K168" s="6636"/>
      <c r="L168" s="6636"/>
      <c r="M168" s="6636"/>
      <c r="N168" s="6635"/>
      <c r="O168" s="6636"/>
      <c r="P168" s="6636"/>
      <c r="Q168" s="6636"/>
      <c r="R168" s="6636"/>
      <c r="S168" s="6635"/>
      <c r="T168" s="6636"/>
      <c r="U168" s="6636"/>
      <c r="V168" s="6636"/>
      <c r="W168" s="6636"/>
      <c r="X168" s="6635"/>
      <c r="Y168" s="6636"/>
      <c r="Z168" s="6636"/>
      <c r="AA168" s="6636"/>
      <c r="AB168" s="6636"/>
      <c r="AC168" s="6635"/>
      <c r="AD168" s="6636"/>
      <c r="AE168" s="6636"/>
      <c r="AF168" s="6636"/>
      <c r="AG168" s="6636"/>
      <c r="AH168" s="6637"/>
      <c r="AI168" s="6297"/>
    </row>
    <row r="169" ht="15.0" customHeight="1">
      <c r="A169" s="6289"/>
      <c r="B169" s="3317"/>
      <c r="C169" s="6638"/>
      <c r="D169" s="3413"/>
      <c r="E169" s="3413"/>
      <c r="F169" s="3413"/>
      <c r="G169" s="3413"/>
      <c r="H169" s="3413"/>
      <c r="I169" s="3413"/>
      <c r="J169" s="3413"/>
      <c r="K169" s="3413"/>
      <c r="L169" s="3413"/>
      <c r="M169" s="3413"/>
      <c r="N169" s="3413"/>
      <c r="O169" s="3413"/>
      <c r="P169" s="3413"/>
      <c r="Q169" s="3413"/>
      <c r="R169" s="3413"/>
      <c r="S169" s="3413"/>
      <c r="T169" s="3413"/>
      <c r="U169" s="3413"/>
      <c r="V169" s="3413"/>
      <c r="W169" s="3413"/>
      <c r="X169" s="3413"/>
      <c r="Y169" s="3413"/>
      <c r="Z169" s="3413"/>
      <c r="AA169" s="3413"/>
      <c r="AB169" s="3413"/>
      <c r="AC169" s="3413"/>
      <c r="AD169" s="3413"/>
      <c r="AE169" s="3413"/>
      <c r="AF169" s="3413"/>
      <c r="AG169" s="3414"/>
      <c r="AH169" s="3320"/>
      <c r="AI169" s="6297"/>
    </row>
    <row r="170" ht="11.25" customHeight="1">
      <c r="A170" s="6289"/>
      <c r="B170" s="3321"/>
      <c r="C170" s="6639"/>
      <c r="D170" s="3323"/>
      <c r="E170" s="3250" t="s">
        <v>1868</v>
      </c>
      <c r="F170" s="3251"/>
      <c r="G170" s="3251"/>
      <c r="H170" s="3251"/>
      <c r="I170" s="3251"/>
      <c r="J170" s="3251"/>
      <c r="K170" s="3251"/>
      <c r="L170" s="3251"/>
      <c r="M170" s="3251"/>
      <c r="N170" s="3251"/>
      <c r="O170" s="3251"/>
      <c r="P170" s="3251"/>
      <c r="Q170" s="3251"/>
      <c r="R170" s="3251"/>
      <c r="S170" s="3251"/>
      <c r="T170" s="3251"/>
      <c r="U170" s="3251"/>
      <c r="V170" s="3251"/>
      <c r="W170" s="3251"/>
      <c r="X170" s="3251"/>
      <c r="Y170" s="3251"/>
      <c r="Z170" s="3251"/>
      <c r="AA170" s="3251"/>
      <c r="AB170" s="3251"/>
      <c r="AC170" s="3251"/>
      <c r="AD170" s="3251"/>
      <c r="AE170" s="3251"/>
      <c r="AF170" s="3251"/>
      <c r="AG170" s="3252"/>
      <c r="AH170" s="3327"/>
      <c r="AI170" s="6297"/>
    </row>
    <row r="171" ht="11.25" customHeight="1">
      <c r="A171" s="6289"/>
      <c r="B171" s="3321"/>
      <c r="C171" s="6639"/>
      <c r="D171" s="3323"/>
      <c r="E171" s="314"/>
      <c r="F171" s="3255"/>
      <c r="G171" s="3255"/>
      <c r="H171" s="3255"/>
      <c r="I171" s="3255"/>
      <c r="J171" s="3255"/>
      <c r="K171" s="3255"/>
      <c r="L171" s="3255"/>
      <c r="M171" s="3255"/>
      <c r="N171" s="3255"/>
      <c r="O171" s="3255"/>
      <c r="P171" s="3255"/>
      <c r="Q171" s="3255"/>
      <c r="R171" s="3255"/>
      <c r="S171" s="3255"/>
      <c r="T171" s="3255"/>
      <c r="U171" s="3255"/>
      <c r="V171" s="3255"/>
      <c r="W171" s="3255"/>
      <c r="X171" s="3255"/>
      <c r="Y171" s="3255"/>
      <c r="Z171" s="3255"/>
      <c r="AA171" s="3255"/>
      <c r="AB171" s="3255"/>
      <c r="AC171" s="3255"/>
      <c r="AD171" s="3255"/>
      <c r="AE171" s="3255"/>
      <c r="AF171" s="3255"/>
      <c r="AG171" s="3256"/>
      <c r="AH171" s="3327"/>
      <c r="AI171" s="6297"/>
    </row>
    <row r="172" ht="3.75" customHeight="1">
      <c r="A172" s="6289"/>
      <c r="B172" s="6640"/>
      <c r="C172" s="6641"/>
      <c r="D172" s="6642"/>
      <c r="E172" s="6643"/>
      <c r="F172" s="6643"/>
      <c r="G172" s="6643"/>
      <c r="H172" s="6643"/>
      <c r="I172" s="6644"/>
      <c r="J172" s="6644"/>
      <c r="K172" s="6644"/>
      <c r="L172" s="6644"/>
      <c r="M172" s="6644"/>
      <c r="N172" s="6644"/>
      <c r="O172" s="6643"/>
      <c r="P172" s="6643"/>
      <c r="Q172" s="6643"/>
      <c r="R172" s="6643"/>
      <c r="S172" s="6644"/>
      <c r="T172" s="6643"/>
      <c r="U172" s="6643"/>
      <c r="V172" s="6643"/>
      <c r="W172" s="6643"/>
      <c r="X172" s="6644"/>
      <c r="Y172" s="6643"/>
      <c r="Z172" s="6643"/>
      <c r="AA172" s="6643"/>
      <c r="AB172" s="6643"/>
      <c r="AC172" s="6644"/>
      <c r="AD172" s="6644"/>
      <c r="AE172" s="6644"/>
      <c r="AF172" s="6644"/>
      <c r="AG172" s="6644"/>
      <c r="AH172" s="6645"/>
      <c r="AI172" s="6297"/>
    </row>
    <row r="173">
      <c r="A173" s="6289"/>
      <c r="B173" s="3358"/>
      <c r="C173" s="3349"/>
      <c r="D173" s="3349"/>
      <c r="E173" s="6646" t="s">
        <v>1908</v>
      </c>
      <c r="F173" s="3325"/>
      <c r="G173" s="3325"/>
      <c r="H173" s="3325"/>
      <c r="I173" s="3325"/>
      <c r="J173" s="3325"/>
      <c r="K173" s="3325"/>
      <c r="L173" s="3325"/>
      <c r="M173" s="3325"/>
      <c r="N173" s="3325"/>
      <c r="O173" s="3325"/>
      <c r="P173" s="3325"/>
      <c r="Q173" s="3325"/>
      <c r="R173" s="3325"/>
      <c r="S173" s="3325"/>
      <c r="T173" s="3325"/>
      <c r="U173" s="3325"/>
      <c r="V173" s="3325"/>
      <c r="W173" s="3325"/>
      <c r="X173" s="3325"/>
      <c r="Y173" s="3325"/>
      <c r="Z173" s="3325"/>
      <c r="AA173" s="3325"/>
      <c r="AB173" s="3325"/>
      <c r="AC173" s="3325"/>
      <c r="AD173" s="3325"/>
      <c r="AE173" s="3325"/>
      <c r="AF173" s="3325"/>
      <c r="AG173" s="3326"/>
      <c r="AH173" s="6647"/>
      <c r="AI173" s="6297"/>
    </row>
    <row r="174" ht="96.75" customHeight="1">
      <c r="A174" s="6289"/>
      <c r="B174" s="3367"/>
      <c r="C174" s="3368" t="str">
        <f>IMAGE("https://i.ibb.co/q7H43Kp/Lance.png")</f>
        <v/>
      </c>
      <c r="D174" s="3329"/>
      <c r="E174" s="3369" t="str">
        <f t="array" ref="E174">IFERROR(VLOOKUP(E175,Dex!$B$3:$G298,3,FALSE),"")</f>
        <v/>
      </c>
      <c r="F174" s="1945"/>
      <c r="G174" s="1945"/>
      <c r="H174" s="1946"/>
      <c r="I174" s="3370"/>
      <c r="J174" s="3369" t="str">
        <f t="array" ref="J174">IFERROR(VLOOKUP(J175,Dex!$B$3:$G298,3,FALSE),"")</f>
        <v/>
      </c>
      <c r="K174" s="1945"/>
      <c r="L174" s="1945"/>
      <c r="M174" s="1946"/>
      <c r="N174" s="3370"/>
      <c r="O174" s="3369" t="str">
        <f t="array" ref="O174">IFERROR(VLOOKUP(O175,Dex!$B$3:$G298,3,FALSE),"")</f>
        <v/>
      </c>
      <c r="P174" s="1945"/>
      <c r="Q174" s="1945"/>
      <c r="R174" s="1946"/>
      <c r="S174" s="6648"/>
      <c r="T174" s="3369" t="str">
        <f t="array" ref="T174">IFERROR(VLOOKUP(T175,Dex!$B$3:$G298,3,FALSE),"")</f>
        <v/>
      </c>
      <c r="U174" s="1945"/>
      <c r="V174" s="1945"/>
      <c r="W174" s="1946"/>
      <c r="X174" s="6648"/>
      <c r="Y174" s="3369" t="str">
        <f t="array" ref="Y174">IFERROR(VLOOKUP(Y175,Dex!$B$3:$G298,3,FALSE),"")</f>
        <v/>
      </c>
      <c r="Z174" s="1945"/>
      <c r="AA174" s="1945"/>
      <c r="AB174" s="1946"/>
      <c r="AC174" s="6648"/>
      <c r="AD174" s="3369" t="str">
        <f t="array" ref="AD174">IFERROR(VLOOKUP(AD175,Dex!$B$3:$G298,3,FALSE),"")</f>
        <v/>
      </c>
      <c r="AE174" s="1945"/>
      <c r="AF174" s="1945"/>
      <c r="AG174" s="1946"/>
      <c r="AH174" s="3331"/>
      <c r="AI174" s="6297"/>
    </row>
    <row r="175" ht="18.75" customHeight="1">
      <c r="A175" s="6289"/>
      <c r="B175" s="3375"/>
      <c r="C175" s="3376" t="s">
        <v>1909</v>
      </c>
      <c r="D175" s="3333"/>
      <c r="E175" s="3377" t="s">
        <v>1285</v>
      </c>
      <c r="F175" s="3378"/>
      <c r="G175" s="3378"/>
      <c r="H175" s="3379"/>
      <c r="J175" s="3377" t="s">
        <v>1910</v>
      </c>
      <c r="K175" s="3378"/>
      <c r="L175" s="3378"/>
      <c r="M175" s="3379"/>
      <c r="O175" s="3377" t="s">
        <v>1911</v>
      </c>
      <c r="P175" s="3378"/>
      <c r="Q175" s="3378"/>
      <c r="R175" s="3379"/>
      <c r="T175" s="3377" t="s">
        <v>1660</v>
      </c>
      <c r="U175" s="3378"/>
      <c r="V175" s="3378"/>
      <c r="W175" s="3379"/>
      <c r="Y175" s="3377" t="s">
        <v>1912</v>
      </c>
      <c r="Z175" s="3378"/>
      <c r="AA175" s="3378"/>
      <c r="AB175" s="3379"/>
      <c r="AD175" s="3377" t="s">
        <v>1913</v>
      </c>
      <c r="AE175" s="3378"/>
      <c r="AF175" s="3378"/>
      <c r="AG175" s="3379"/>
      <c r="AH175" s="3334"/>
      <c r="AI175" s="6297"/>
    </row>
    <row r="176">
      <c r="A176" s="6289"/>
      <c r="B176" s="3382"/>
      <c r="C176" s="556"/>
      <c r="D176" s="3336"/>
      <c r="E176" s="6649" t="s">
        <v>729</v>
      </c>
      <c r="F176" s="3384"/>
      <c r="G176" s="3384"/>
      <c r="H176" s="3385"/>
      <c r="J176" s="6649" t="s">
        <v>729</v>
      </c>
      <c r="K176" s="3384"/>
      <c r="L176" s="3384"/>
      <c r="M176" s="3385"/>
      <c r="O176" s="6649" t="s">
        <v>729</v>
      </c>
      <c r="P176" s="3384"/>
      <c r="Q176" s="3384"/>
      <c r="R176" s="3385"/>
      <c r="T176" s="6649" t="s">
        <v>729</v>
      </c>
      <c r="U176" s="3384"/>
      <c r="V176" s="3384"/>
      <c r="W176" s="3385"/>
      <c r="Y176" s="6649" t="s">
        <v>729</v>
      </c>
      <c r="Z176" s="3384"/>
      <c r="AA176" s="3384"/>
      <c r="AB176" s="3385"/>
      <c r="AD176" s="6649" t="s">
        <v>729</v>
      </c>
      <c r="AE176" s="3384"/>
      <c r="AF176" s="3384"/>
      <c r="AG176" s="3385"/>
      <c r="AH176" s="3338"/>
      <c r="AI176" s="6297"/>
    </row>
    <row r="177" ht="25.5" customHeight="1">
      <c r="A177" s="6289"/>
      <c r="B177" s="3321"/>
      <c r="C177" s="3339"/>
      <c r="D177" s="3340"/>
      <c r="E177" s="3388"/>
      <c r="F177" s="3389" t="str">
        <f t="array" ref="F177">IFERROR(VLOOKUP(E175,Dex!$B$3:$H298,5,FALSE),"")</f>
        <v/>
      </c>
      <c r="G177" s="3390" t="str">
        <f t="array" ref="G177">IFERROR(VLOOKUP(E175,Dex!$B$3:$H298,7,FALSE),"")</f>
        <v/>
      </c>
      <c r="H177" s="3391"/>
      <c r="J177" s="3388"/>
      <c r="K177" s="6650" t="str">
        <f t="array" ref="K177">IFERROR(VLOOKUP(J175,Dex!$B$3:$H298,5,FALSE),"")</f>
        <v/>
      </c>
      <c r="L177" s="6651"/>
      <c r="M177" s="3391"/>
      <c r="O177" s="3388"/>
      <c r="P177" s="6650" t="str">
        <f t="array" ref="P177">IFERROR(VLOOKUP(O175,Dex!$B$3:$H298,5,FALSE),"")</f>
        <v/>
      </c>
      <c r="Q177" s="6651"/>
      <c r="R177" s="3391"/>
      <c r="T177" s="3388"/>
      <c r="U177" s="3389" t="str">
        <f t="array" ref="U177">IFERROR(VLOOKUP(T175,Dex!$B$3:$H298,5,FALSE),"")</f>
        <v/>
      </c>
      <c r="V177" s="3390" t="str">
        <f t="array" ref="V177">IFERROR(VLOOKUP(T175,Dex!$B$3:$H298,7,FALSE),"")</f>
        <v/>
      </c>
      <c r="W177" s="3391"/>
      <c r="Y177" s="3388"/>
      <c r="Z177" s="3389" t="str">
        <f t="array" ref="Z177">IFERROR(VLOOKUP(Y175,Dex!$B$3:$H298,5,FALSE),"")</f>
        <v/>
      </c>
      <c r="AA177" s="3390" t="str">
        <f t="array" ref="AA177">IFERROR(VLOOKUP(Y175,Dex!$B$3:$H298,7,FALSE),"")</f>
        <v/>
      </c>
      <c r="AB177" s="3391"/>
      <c r="AD177" s="3388"/>
      <c r="AE177" s="3389" t="str">
        <f t="array" ref="AE177">IFERROR(VLOOKUP(AD175,Dex!$B$3:$H298,5,FALSE),"")</f>
        <v/>
      </c>
      <c r="AF177" s="3390" t="str">
        <f t="array" ref="AF177">IFERROR(VLOOKUP(AD175,Dex!$B$3:$H298,7,FALSE),"")</f>
        <v/>
      </c>
      <c r="AG177" s="3391"/>
      <c r="AH177" s="3327"/>
      <c r="AI177" s="6297"/>
    </row>
    <row r="178" ht="2.25" customHeight="1">
      <c r="A178" s="6289"/>
      <c r="B178" s="3321"/>
      <c r="C178" s="3342"/>
      <c r="D178" s="3340"/>
      <c r="E178" s="3392"/>
      <c r="F178" s="3393"/>
      <c r="G178" s="3393"/>
      <c r="H178" s="3394"/>
      <c r="J178" s="3392"/>
      <c r="K178" s="3393"/>
      <c r="L178" s="3393"/>
      <c r="M178" s="3394"/>
      <c r="O178" s="3392"/>
      <c r="P178" s="3393"/>
      <c r="Q178" s="3393"/>
      <c r="R178" s="3394"/>
      <c r="T178" s="3392"/>
      <c r="U178" s="3393"/>
      <c r="V178" s="3393"/>
      <c r="W178" s="3394"/>
      <c r="Y178" s="3392"/>
      <c r="Z178" s="3393"/>
      <c r="AA178" s="3393"/>
      <c r="AB178" s="3394"/>
      <c r="AD178" s="3392"/>
      <c r="AE178" s="3393"/>
      <c r="AF178" s="3393"/>
      <c r="AG178" s="3394"/>
      <c r="AH178" s="3327"/>
      <c r="AI178" s="6297"/>
    </row>
    <row r="179" ht="20.25" customHeight="1">
      <c r="A179" s="6289"/>
      <c r="B179" s="3321"/>
      <c r="C179" s="3343"/>
      <c r="D179" s="3340"/>
      <c r="E179" s="3395" t="s">
        <v>564</v>
      </c>
      <c r="F179" s="3396"/>
      <c r="G179" s="3396"/>
      <c r="H179" s="3397"/>
      <c r="J179" s="3395" t="s">
        <v>480</v>
      </c>
      <c r="K179" s="3396"/>
      <c r="L179" s="3396"/>
      <c r="M179" s="3397"/>
      <c r="O179" s="3395" t="s">
        <v>564</v>
      </c>
      <c r="P179" s="3396"/>
      <c r="Q179" s="3396"/>
      <c r="R179" s="3397"/>
      <c r="T179" s="3395" t="s">
        <v>566</v>
      </c>
      <c r="U179" s="3396"/>
      <c r="V179" s="3396"/>
      <c r="W179" s="3397"/>
      <c r="Y179" s="3395" t="s">
        <v>754</v>
      </c>
      <c r="Z179" s="3396"/>
      <c r="AA179" s="3396"/>
      <c r="AB179" s="3397"/>
      <c r="AD179" s="3395" t="s">
        <v>565</v>
      </c>
      <c r="AE179" s="3396"/>
      <c r="AF179" s="3396"/>
      <c r="AG179" s="3397"/>
      <c r="AH179" s="3331"/>
      <c r="AI179" s="6297"/>
    </row>
    <row r="180">
      <c r="A180" s="6289"/>
      <c r="B180" s="3321"/>
      <c r="C180" s="3345"/>
      <c r="D180" s="3340"/>
      <c r="E180" s="3398" t="s">
        <v>110</v>
      </c>
      <c r="F180" s="3399"/>
      <c r="G180" s="3399"/>
      <c r="H180" s="3400"/>
      <c r="J180" s="3398" t="s">
        <v>570</v>
      </c>
      <c r="K180" s="3399"/>
      <c r="L180" s="3399"/>
      <c r="M180" s="3400"/>
      <c r="O180" s="3398" t="s">
        <v>1914</v>
      </c>
      <c r="P180" s="3399"/>
      <c r="Q180" s="3399"/>
      <c r="R180" s="3400"/>
      <c r="T180" s="3398" t="s">
        <v>1662</v>
      </c>
      <c r="U180" s="3399"/>
      <c r="V180" s="3399"/>
      <c r="W180" s="3400"/>
      <c r="Y180" s="3398" t="s">
        <v>1915</v>
      </c>
      <c r="Z180" s="3399"/>
      <c r="AA180" s="3399"/>
      <c r="AB180" s="3400"/>
      <c r="AD180" s="3398" t="s">
        <v>1916</v>
      </c>
      <c r="AE180" s="3399"/>
      <c r="AF180" s="3399"/>
      <c r="AG180" s="3400"/>
      <c r="AH180" s="3331"/>
      <c r="AI180" s="6297"/>
    </row>
    <row r="181" ht="20.25" customHeight="1">
      <c r="A181" s="6289"/>
      <c r="B181" s="3321"/>
      <c r="C181" s="3342"/>
      <c r="D181" s="3340"/>
      <c r="E181" s="3401" t="s">
        <v>573</v>
      </c>
      <c r="F181" s="3402"/>
      <c r="G181" s="3403"/>
      <c r="H181" s="3404" t="str">
        <f>IMAGE("https://raw.githubusercontent.com/msikma/pokesprite/master/items/hold-item/focus-sash.png",3)</f>
        <v/>
      </c>
      <c r="J181" s="3401" t="s">
        <v>713</v>
      </c>
      <c r="K181" s="3402"/>
      <c r="L181" s="3403"/>
      <c r="M181" s="3404" t="str">
        <f>IMAGE("https://raw.githubusercontent.com/msikma/pokesprite/master/items/hold-item/assault-vest.png",3)</f>
        <v/>
      </c>
      <c r="O181" s="3401" t="s">
        <v>1495</v>
      </c>
      <c r="P181" s="3402"/>
      <c r="Q181" s="3403"/>
      <c r="R181" s="3404" t="str">
        <f>IMAGE("https://raw.githubusercontent.com/msikma/pokesprite/master/items/plate/pixie.png",3)</f>
        <v/>
      </c>
      <c r="T181" s="3401" t="s">
        <v>490</v>
      </c>
      <c r="U181" s="3402"/>
      <c r="V181" s="3403"/>
      <c r="W181" s="3404" t="str">
        <f>IMAGE("https://raw.githubusercontent.com/msikma/pokesprite/master/items/berry/lum.png",3)</f>
        <v/>
      </c>
      <c r="Y181" s="3401" t="s">
        <v>1917</v>
      </c>
      <c r="Z181" s="3402"/>
      <c r="AA181" s="3403"/>
      <c r="AB181" s="3404" t="str">
        <f>IMAGE("https://raw.githubusercontent.com/msikma/pokesprite/master/items/hold-item/adamant-orb.png",3)</f>
        <v/>
      </c>
      <c r="AD181" s="3401" t="s">
        <v>1052</v>
      </c>
      <c r="AE181" s="3402"/>
      <c r="AF181" s="3403"/>
      <c r="AG181" s="3404" t="str">
        <f>IMAGE("https://raw.githubusercontent.com/msikma/pokesprite/master/items/hold-item/sharp-beak.png",3)</f>
        <v/>
      </c>
      <c r="AH181" s="3327"/>
      <c r="AI181" s="6297"/>
    </row>
    <row r="182" ht="20.25" customHeight="1">
      <c r="A182" s="6289"/>
      <c r="B182" s="3321"/>
      <c r="C182" s="3343"/>
      <c r="D182" s="3340"/>
      <c r="E182" s="3395" t="s">
        <v>191</v>
      </c>
      <c r="F182" s="3396"/>
      <c r="G182" s="3405"/>
      <c r="H182" s="3406" t="str">
        <f t="shared" ref="H182:H183" si="4">IMAGE("https://raw.githubusercontent.com/msikma/pokesprite/master/misc/types/gen8/rock.png",4,20,20)</f>
        <v/>
      </c>
      <c r="J182" s="3395" t="s">
        <v>1323</v>
      </c>
      <c r="K182" s="3396"/>
      <c r="L182" s="3405"/>
      <c r="M182" s="3406" t="str">
        <f>IMAGE("https://raw.githubusercontent.com/msikma/pokesprite/master/misc/types/gen8/steel.png",4,20,20)</f>
        <v/>
      </c>
      <c r="O182" s="3395" t="s">
        <v>170</v>
      </c>
      <c r="P182" s="3396"/>
      <c r="Q182" s="3405"/>
      <c r="R182" s="3406" t="str">
        <f>IMAGE("https://raw.githubusercontent.com/msikma/pokesprite/master/misc/types/gen8/psychic.png",4,20,20)</f>
        <v/>
      </c>
      <c r="T182" s="3395" t="s">
        <v>219</v>
      </c>
      <c r="U182" s="3396"/>
      <c r="V182" s="3405"/>
      <c r="W182" s="3406" t="str">
        <f>IMAGE("https://raw.githubusercontent.com/msikma/pokesprite/master/misc/types/gen8/dragon.png",4,20,20)</f>
        <v/>
      </c>
      <c r="Y182" s="3395" t="s">
        <v>1918</v>
      </c>
      <c r="Z182" s="3396"/>
      <c r="AA182" s="3405"/>
      <c r="AB182" s="3406" t="str">
        <f>IMAGE("https://raw.githubusercontent.com/msikma/pokesprite/master/misc/types/gen8/dragon.png",4,20,20)</f>
        <v/>
      </c>
      <c r="AD182" s="3395" t="s">
        <v>958</v>
      </c>
      <c r="AE182" s="3396"/>
      <c r="AF182" s="3405"/>
      <c r="AG182" s="3406" t="str">
        <f>IMAGE("https://raw.githubusercontent.com/msikma/pokesprite/master/misc/types/gen8/normal.png",4,20,20)</f>
        <v/>
      </c>
      <c r="AH182" s="3327"/>
      <c r="AI182" s="6297"/>
    </row>
    <row r="183" ht="20.25" customHeight="1">
      <c r="A183" s="6289"/>
      <c r="B183" s="3321"/>
      <c r="C183" s="3347"/>
      <c r="D183" s="3340"/>
      <c r="E183" s="3398" t="s">
        <v>1021</v>
      </c>
      <c r="F183" s="3399"/>
      <c r="G183" s="3407"/>
      <c r="H183" s="3408" t="str">
        <f t="shared" si="4"/>
        <v/>
      </c>
      <c r="J183" s="3398" t="s">
        <v>589</v>
      </c>
      <c r="K183" s="3399"/>
      <c r="L183" s="3407"/>
      <c r="M183" s="3408" t="str">
        <f>IMAGE("https://raw.githubusercontent.com/msikma/pokesprite/master/misc/types/gen8/ice.png",4,20,20)</f>
        <v/>
      </c>
      <c r="O183" s="3398" t="s">
        <v>1919</v>
      </c>
      <c r="P183" s="3399"/>
      <c r="Q183" s="3407"/>
      <c r="R183" s="3408" t="str">
        <f>IMAGE("https://raw.githubusercontent.com/msikma/pokesprite/master/misc/types/gen8/fairy.png",4,20,20)</f>
        <v/>
      </c>
      <c r="T183" s="3398" t="s">
        <v>744</v>
      </c>
      <c r="U183" s="3399"/>
      <c r="V183" s="3407"/>
      <c r="W183" s="3408" t="str">
        <f>IMAGE("https://raw.githubusercontent.com/msikma/pokesprite/master/misc/types/gen8/flying.png",4,20,20)</f>
        <v/>
      </c>
      <c r="Y183" s="3398" t="s">
        <v>646</v>
      </c>
      <c r="Z183" s="3399"/>
      <c r="AA183" s="3407"/>
      <c r="AB183" s="3408" t="str">
        <f>IMAGE("https://raw.githubusercontent.com/msikma/pokesprite/master/misc/types/gen8/steel.png",4,20,20)</f>
        <v/>
      </c>
      <c r="AD183" s="3398" t="s">
        <v>619</v>
      </c>
      <c r="AE183" s="3399"/>
      <c r="AF183" s="3407"/>
      <c r="AG183" s="3408" t="str">
        <f>IMAGE("https://raw.githubusercontent.com/msikma/pokesprite/master/misc/types/gen8/fire.png",4,20,20)</f>
        <v/>
      </c>
      <c r="AH183" s="3327"/>
      <c r="AI183" s="6297"/>
    </row>
    <row r="184" ht="20.25" customHeight="1">
      <c r="A184" s="6289"/>
      <c r="B184" s="3321"/>
      <c r="C184" s="3347"/>
      <c r="D184" s="3340"/>
      <c r="E184" s="3398" t="s">
        <v>644</v>
      </c>
      <c r="F184" s="3399"/>
      <c r="G184" s="3407"/>
      <c r="H184" s="3408" t="str">
        <f>IMAGE("https://raw.githubusercontent.com/msikma/pokesprite/master/misc/types/gen8/ground.png",4,20,20)</f>
        <v/>
      </c>
      <c r="J184" s="3398" t="s">
        <v>549</v>
      </c>
      <c r="K184" s="3399"/>
      <c r="L184" s="3407"/>
      <c r="M184" s="3408" t="str">
        <f>IMAGE("https://raw.githubusercontent.com/msikma/pokesprite/master/misc/types/gen8/ground.png",4,20,20)</f>
        <v/>
      </c>
      <c r="O184" s="3398" t="s">
        <v>619</v>
      </c>
      <c r="P184" s="3399"/>
      <c r="Q184" s="3407"/>
      <c r="R184" s="3408" t="str">
        <f>IMAGE("https://raw.githubusercontent.com/msikma/pokesprite/master/misc/types/gen8/fire.png",4,20,20)</f>
        <v/>
      </c>
      <c r="T184" s="3398" t="s">
        <v>549</v>
      </c>
      <c r="U184" s="3399"/>
      <c r="V184" s="3407"/>
      <c r="W184" s="3408" t="str">
        <f>IMAGE("https://raw.githubusercontent.com/msikma/pokesprite/master/misc/types/gen8/ground.png",4,20,20)</f>
        <v/>
      </c>
      <c r="Y184" s="3398" t="s">
        <v>738</v>
      </c>
      <c r="Z184" s="3399"/>
      <c r="AA184" s="3407"/>
      <c r="AB184" s="3408" t="str">
        <f>IMAGE("https://raw.githubusercontent.com/msikma/pokesprite/master/misc/types/gen8/psychic.png",4,20,20)</f>
        <v/>
      </c>
      <c r="AD184" s="3398" t="s">
        <v>549</v>
      </c>
      <c r="AE184" s="3399"/>
      <c r="AF184" s="3407"/>
      <c r="AG184" s="3408" t="str">
        <f>IMAGE("https://raw.githubusercontent.com/msikma/pokesprite/master/misc/types/gen8/ground.png",4,20,20)</f>
        <v/>
      </c>
      <c r="AH184" s="3327"/>
      <c r="AI184" s="6297"/>
    </row>
    <row r="185" ht="21.0" customHeight="1">
      <c r="A185" s="6289"/>
      <c r="B185" s="3321"/>
      <c r="C185" s="3347"/>
      <c r="D185" s="3340"/>
      <c r="E185" s="3409" t="s">
        <v>775</v>
      </c>
      <c r="F185" s="3410"/>
      <c r="G185" s="3411"/>
      <c r="H185" s="3412" t="str">
        <f>IMAGE("https://raw.githubusercontent.com/msikma/pokesprite/master/misc/types/gen8/grass.png",4,20,20)</f>
        <v/>
      </c>
      <c r="I185" s="3413"/>
      <c r="J185" s="3409" t="s">
        <v>504</v>
      </c>
      <c r="K185" s="3410"/>
      <c r="L185" s="3411"/>
      <c r="M185" s="3412" t="str">
        <f>IMAGE("https://raw.githubusercontent.com/msikma/pokesprite/master/misc/types/gen8/electric.png",4,20,20)</f>
        <v/>
      </c>
      <c r="N185" s="3413"/>
      <c r="O185" s="3409" t="s">
        <v>501</v>
      </c>
      <c r="P185" s="3410"/>
      <c r="Q185" s="3411"/>
      <c r="R185" s="3412" t="str">
        <f>IMAGE("https://raw.githubusercontent.com/msikma/pokesprite/master/misc/types/gen8/normal.png",4,20,20)</f>
        <v/>
      </c>
      <c r="S185" s="3413"/>
      <c r="T185" s="3409" t="s">
        <v>958</v>
      </c>
      <c r="U185" s="3410"/>
      <c r="V185" s="3411"/>
      <c r="W185" s="3412" t="str">
        <f>IMAGE("https://raw.githubusercontent.com/msikma/pokesprite/master/misc/types/gen8/normal.png",4,20,20)</f>
        <v/>
      </c>
      <c r="X185" s="3413"/>
      <c r="Y185" s="3409" t="s">
        <v>698</v>
      </c>
      <c r="Z185" s="3410"/>
      <c r="AA185" s="3411"/>
      <c r="AB185" s="3412" t="str">
        <f>IMAGE("https://raw.githubusercontent.com/msikma/pokesprite/master/misc/types/gen8/normal.png",4,20,20)</f>
        <v/>
      </c>
      <c r="AC185" s="3413"/>
      <c r="AD185" s="3409" t="s">
        <v>1476</v>
      </c>
      <c r="AE185" s="3410"/>
      <c r="AF185" s="3411"/>
      <c r="AG185" s="3412" t="str">
        <f>IMAGE("https://raw.githubusercontent.com/msikma/pokesprite/master/misc/types/gen8/flying.png",4,20,20)</f>
        <v/>
      </c>
      <c r="AH185" s="3327"/>
      <c r="AI185" s="6297"/>
    </row>
    <row r="186" ht="3.0" customHeight="1">
      <c r="A186" s="6289"/>
      <c r="B186" s="3348"/>
      <c r="C186" s="3349"/>
      <c r="D186" s="3350"/>
      <c r="E186" s="3351"/>
      <c r="F186" s="3351"/>
      <c r="G186" s="3351"/>
      <c r="H186" s="3351"/>
      <c r="I186" s="3350"/>
      <c r="J186" s="3351"/>
      <c r="K186" s="3351"/>
      <c r="L186" s="3351"/>
      <c r="M186" s="3351"/>
      <c r="N186" s="3350"/>
      <c r="O186" s="3351"/>
      <c r="P186" s="3351"/>
      <c r="Q186" s="3351"/>
      <c r="R186" s="3351"/>
      <c r="S186" s="3350"/>
      <c r="T186" s="3351"/>
      <c r="U186" s="3351"/>
      <c r="V186" s="3351"/>
      <c r="W186" s="3351"/>
      <c r="X186" s="3350"/>
      <c r="Y186" s="3351"/>
      <c r="Z186" s="3351"/>
      <c r="AA186" s="3351"/>
      <c r="AB186" s="3351"/>
      <c r="AC186" s="3350"/>
      <c r="AD186" s="3351"/>
      <c r="AE186" s="3351"/>
      <c r="AF186" s="3351"/>
      <c r="AG186" s="3351"/>
      <c r="AH186" s="3357"/>
      <c r="AI186" s="6297"/>
    </row>
    <row r="187" ht="16.5" customHeight="1">
      <c r="A187" s="6289"/>
      <c r="B187" s="3358"/>
      <c r="C187" s="3349"/>
      <c r="D187" s="3359"/>
      <c r="E187" s="3418" t="s">
        <v>512</v>
      </c>
      <c r="F187" s="606"/>
      <c r="G187" s="606"/>
      <c r="H187" s="607"/>
      <c r="I187" s="3419"/>
      <c r="J187" s="3418" t="s">
        <v>512</v>
      </c>
      <c r="K187" s="606"/>
      <c r="L187" s="606"/>
      <c r="M187" s="607"/>
      <c r="N187" s="3419"/>
      <c r="O187" s="3418" t="s">
        <v>512</v>
      </c>
      <c r="P187" s="606"/>
      <c r="Q187" s="606"/>
      <c r="R187" s="607"/>
      <c r="S187" s="6652"/>
      <c r="T187" s="3418" t="s">
        <v>512</v>
      </c>
      <c r="U187" s="606"/>
      <c r="V187" s="606"/>
      <c r="W187" s="607"/>
      <c r="X187" s="3359"/>
      <c r="Y187" s="3418" t="s">
        <v>512</v>
      </c>
      <c r="Z187" s="606"/>
      <c r="AA187" s="606"/>
      <c r="AB187" s="607"/>
      <c r="AC187" s="3359"/>
      <c r="AD187" s="3418" t="s">
        <v>512</v>
      </c>
      <c r="AE187" s="606"/>
      <c r="AF187" s="606"/>
      <c r="AG187" s="607"/>
      <c r="AH187" s="3422"/>
      <c r="AI187" s="6297"/>
    </row>
    <row r="188" ht="16.5" customHeight="1">
      <c r="A188" s="6289"/>
      <c r="B188" s="3358"/>
      <c r="C188" s="3349"/>
      <c r="D188" s="3359"/>
      <c r="E188" s="3423" t="s">
        <v>513</v>
      </c>
      <c r="F188" s="3424">
        <f t="array" ref="F188">IFERROR(VLOOKUP(E175,Dex!$B$3:$N298,8,FALSE),"")</f>
        <v>83</v>
      </c>
      <c r="G188" s="3425" t="str">
        <f t="array" ref="G188">IFERROR(VLOOKUP(F188,Dex!$P$22:$Q$276,2,FALSE),"")</f>
        <v/>
      </c>
      <c r="H188" s="3426"/>
      <c r="I188" s="3419"/>
      <c r="J188" s="3423" t="s">
        <v>513</v>
      </c>
      <c r="K188" s="3424">
        <f t="array" ref="K188">IFERROR(VLOOKUP(J175,Dex!$B$3:$N298,8,FALSE),"")</f>
        <v>135</v>
      </c>
      <c r="L188" s="3425" t="str">
        <f t="array" ref="L188">IFERROR(VLOOKUP(K188,Dex!$P$22:$Q$276,2,FALSE),"")</f>
        <v/>
      </c>
      <c r="M188" s="3426"/>
      <c r="N188" s="3419"/>
      <c r="O188" s="3423" t="s">
        <v>513</v>
      </c>
      <c r="P188" s="3424">
        <f t="array" ref="P188">IFERROR(VLOOKUP(O175,Dex!$B$3:$N298,8,FALSE),"")</f>
        <v>120</v>
      </c>
      <c r="Q188" s="3425" t="str">
        <f t="array" ref="Q188">IFERROR(VLOOKUP(P188,Dex!$P$22:$Q$276,2,FALSE),"")</f>
        <v/>
      </c>
      <c r="R188" s="3426"/>
      <c r="S188" s="3420"/>
      <c r="T188" s="3423" t="s">
        <v>513</v>
      </c>
      <c r="U188" s="3424">
        <f t="array" ref="U188">IFERROR(VLOOKUP(T175,Dex!$B$3:$N298,8,FALSE),"")</f>
        <v>91</v>
      </c>
      <c r="V188" s="3425" t="str">
        <f t="array" ref="V188">IFERROR(VLOOKUP(U188,Dex!$P$22:$Q$276,2,FALSE),"")</f>
        <v/>
      </c>
      <c r="W188" s="3426"/>
      <c r="X188" s="3421"/>
      <c r="Y188" s="3423" t="s">
        <v>513</v>
      </c>
      <c r="Z188" s="3424">
        <f t="array" ref="Z188">IFERROR(VLOOKUP(Y175,Dex!$B$3:$N298,8,FALSE),"")</f>
        <v>100</v>
      </c>
      <c r="AA188" s="3425" t="str">
        <f t="array" ref="AA188">IFERROR(VLOOKUP(Z188,Dex!$P$22:$Q$276,2,FALSE),"")</f>
        <v/>
      </c>
      <c r="AB188" s="3426"/>
      <c r="AC188" s="3421"/>
      <c r="AD188" s="3423" t="s">
        <v>513</v>
      </c>
      <c r="AE188" s="3424">
        <f t="array" ref="AE188">IFERROR(VLOOKUP(AD175,Dex!$B$3:$N298,8,FALSE),"")</f>
        <v>105</v>
      </c>
      <c r="AF188" s="3425" t="str">
        <f t="array" ref="AF188">IFERROR(VLOOKUP(AE188,Dex!$P$22:$Q$276,2,FALSE),"")</f>
        <v/>
      </c>
      <c r="AG188" s="3426"/>
      <c r="AH188" s="3422"/>
      <c r="AI188" s="6297"/>
    </row>
    <row r="189" ht="16.5" customHeight="1">
      <c r="A189" s="6289"/>
      <c r="B189" s="3358"/>
      <c r="C189" s="3349"/>
      <c r="D189" s="3359"/>
      <c r="E189" s="3427" t="s">
        <v>514</v>
      </c>
      <c r="F189" s="3428">
        <f t="array" ref="F189">IFERROR(VLOOKUP(E175,Dex!$B$3:$N298,9,FALSE),"")</f>
        <v>55</v>
      </c>
      <c r="G189" s="3429" t="str">
        <f t="array" ref="G189">IFERROR(VLOOKUP(F189,Dex!$P$22:$Q$276,2,FALSE),"")</f>
        <v/>
      </c>
      <c r="H189" s="3430"/>
      <c r="I189" s="3419"/>
      <c r="J189" s="3427" t="s">
        <v>514</v>
      </c>
      <c r="K189" s="3428">
        <f t="array" ref="K189">IFERROR(VLOOKUP(J175,Dex!$B$3:$N298,9,FALSE),"")</f>
        <v>143</v>
      </c>
      <c r="L189" s="3429" t="str">
        <f t="array" ref="L189">IFERROR(VLOOKUP(K189,Dex!$P$22:$Q$276,2,FALSE),"")</f>
        <v/>
      </c>
      <c r="M189" s="3430"/>
      <c r="N189" s="3419"/>
      <c r="O189" s="3427" t="s">
        <v>514</v>
      </c>
      <c r="P189" s="3428">
        <f t="array" ref="P189">IFERROR(VLOOKUP(O175,Dex!$B$3:$N298,9,FALSE),"")</f>
        <v>120</v>
      </c>
      <c r="Q189" s="3429" t="str">
        <f t="array" ref="Q189">IFERROR(VLOOKUP(P189,Dex!$P$22:$Q$276,2,FALSE),"")</f>
        <v/>
      </c>
      <c r="R189" s="3430"/>
      <c r="S189" s="3420"/>
      <c r="T189" s="3427" t="s">
        <v>514</v>
      </c>
      <c r="U189" s="3428">
        <f t="array" ref="U189">IFERROR(VLOOKUP(T175,Dex!$B$3:$N298,9,FALSE),"")</f>
        <v>134</v>
      </c>
      <c r="V189" s="3429" t="str">
        <f t="array" ref="V189">IFERROR(VLOOKUP(U189,Dex!$P$22:$Q$276,2,FALSE),"")</f>
        <v/>
      </c>
      <c r="W189" s="3430"/>
      <c r="X189" s="3421"/>
      <c r="Y189" s="3427" t="s">
        <v>514</v>
      </c>
      <c r="Z189" s="3428">
        <f t="array" ref="Z189">IFERROR(VLOOKUP(Y175,Dex!$B$3:$N298,9,FALSE),"")</f>
        <v>120</v>
      </c>
      <c r="AA189" s="3429" t="str">
        <f t="array" ref="AA189">IFERROR(VLOOKUP(Z189,Dex!$P$22:$Q$276,2,FALSE),"")</f>
        <v/>
      </c>
      <c r="AB189" s="3430"/>
      <c r="AC189" s="3421"/>
      <c r="AD189" s="3427" t="s">
        <v>514</v>
      </c>
      <c r="AE189" s="3428">
        <f t="array" ref="AE189">IFERROR(VLOOKUP(AD175,Dex!$B$3:$N298,9,FALSE),"")</f>
        <v>180</v>
      </c>
      <c r="AF189" s="3429" t="str">
        <f t="array" ref="AF189">IFERROR(VLOOKUP(AE189,Dex!$P$22:$Q$276,2,FALSE),"")</f>
        <v/>
      </c>
      <c r="AG189" s="3430"/>
      <c r="AH189" s="3422"/>
      <c r="AI189" s="6297"/>
    </row>
    <row r="190" ht="16.5" customHeight="1">
      <c r="A190" s="6289"/>
      <c r="B190" s="3358"/>
      <c r="C190" s="3349"/>
      <c r="D190" s="3359"/>
      <c r="E190" s="3427" t="s">
        <v>515</v>
      </c>
      <c r="F190" s="3428">
        <f t="array" ref="F190">IFERROR(VLOOKUP(E175,Dex!$B$3:$N298,10,FALSE),"")</f>
        <v>90</v>
      </c>
      <c r="G190" s="3429" t="str">
        <f t="array" ref="G190">IFERROR(VLOOKUP(F190,Dex!$P$22:$Q$276,2,FALSE),"")</f>
        <v/>
      </c>
      <c r="H190" s="3430"/>
      <c r="I190" s="3419"/>
      <c r="J190" s="3427" t="s">
        <v>515</v>
      </c>
      <c r="K190" s="3428">
        <f t="array" ref="K190">IFERROR(VLOOKUP(J175,Dex!$B$3:$N298,10,FALSE),"")</f>
        <v>143</v>
      </c>
      <c r="L190" s="3429" t="str">
        <f t="array" ref="L190">IFERROR(VLOOKUP(K190,Dex!$P$22:$Q$276,2,FALSE),"")</f>
        <v/>
      </c>
      <c r="M190" s="3430"/>
      <c r="N190" s="3419"/>
      <c r="O190" s="3427" t="s">
        <v>515</v>
      </c>
      <c r="P190" s="3428">
        <f t="array" ref="P190">IFERROR(VLOOKUP(O175,Dex!$B$3:$N298,10,FALSE),"")</f>
        <v>120</v>
      </c>
      <c r="Q190" s="3429" t="str">
        <f t="array" ref="Q190">IFERROR(VLOOKUP(P190,Dex!$P$22:$Q$276,2,FALSE),"")</f>
        <v/>
      </c>
      <c r="R190" s="3430"/>
      <c r="S190" s="3420"/>
      <c r="T190" s="3427" t="s">
        <v>515</v>
      </c>
      <c r="U190" s="3428">
        <f t="array" ref="U190">IFERROR(VLOOKUP(T175,Dex!$B$3:$N298,10,FALSE),"")</f>
        <v>95</v>
      </c>
      <c r="V190" s="3429" t="str">
        <f t="array" ref="V190">IFERROR(VLOOKUP(U190,Dex!$P$22:$Q$276,2,FALSE),"")</f>
        <v/>
      </c>
      <c r="W190" s="3430"/>
      <c r="X190" s="3421"/>
      <c r="Y190" s="3427" t="s">
        <v>515</v>
      </c>
      <c r="Z190" s="3428">
        <f t="array" ref="Z190">IFERROR(VLOOKUP(Y175,Dex!$B$3:$N298,10,FALSE),"")</f>
        <v>150</v>
      </c>
      <c r="AA190" s="3429" t="str">
        <f t="array" ref="AA190">IFERROR(VLOOKUP(Z190,Dex!$P$22:$Q$276,2,FALSE),"")</f>
        <v/>
      </c>
      <c r="AB190" s="3430"/>
      <c r="AC190" s="3421"/>
      <c r="AD190" s="3427" t="s">
        <v>515</v>
      </c>
      <c r="AE190" s="3428">
        <f t="array" ref="AE190">IFERROR(VLOOKUP(AD175,Dex!$B$3:$N298,10,FALSE),"")</f>
        <v>100</v>
      </c>
      <c r="AF190" s="3429" t="str">
        <f t="array" ref="AF190">IFERROR(VLOOKUP(AE190,Dex!$P$22:$Q$276,2,FALSE),"")</f>
        <v/>
      </c>
      <c r="AG190" s="3430"/>
      <c r="AH190" s="3422"/>
      <c r="AI190" s="6297"/>
    </row>
    <row r="191" ht="16.5" customHeight="1">
      <c r="A191" s="6289"/>
      <c r="B191" s="3358"/>
      <c r="C191" s="3349"/>
      <c r="D191" s="3359"/>
      <c r="E191" s="3427" t="s">
        <v>516</v>
      </c>
      <c r="F191" s="3428">
        <f t="array" ref="F191">IFERROR(VLOOKUP(E175,Dex!$B$3:$N298,11,FALSE),"")</f>
        <v>130</v>
      </c>
      <c r="G191" s="3429" t="str">
        <f t="array" ref="G191">IFERROR(VLOOKUP(F191,Dex!$P$22:$Q$276,2,FALSE),"")</f>
        <v/>
      </c>
      <c r="H191" s="3430"/>
      <c r="I191" s="3419"/>
      <c r="J191" s="3427" t="s">
        <v>516</v>
      </c>
      <c r="K191" s="3428">
        <f t="array" ref="K191">IFERROR(VLOOKUP(J175,Dex!$B$3:$N298,11,FALSE),"")</f>
        <v>80</v>
      </c>
      <c r="L191" s="3429" t="str">
        <f t="array" ref="L191">IFERROR(VLOOKUP(K191,Dex!$P$22:$Q$276,2,FALSE),"")</f>
        <v/>
      </c>
      <c r="M191" s="3430"/>
      <c r="N191" s="3419"/>
      <c r="O191" s="3427" t="s">
        <v>516</v>
      </c>
      <c r="P191" s="3428">
        <f t="array" ref="P191">IFERROR(VLOOKUP(O175,Dex!$B$3:$N298,11,FALSE),"")</f>
        <v>120</v>
      </c>
      <c r="Q191" s="3429" t="str">
        <f t="array" ref="Q191">IFERROR(VLOOKUP(P191,Dex!$P$22:$Q$276,2,FALSE),"")</f>
        <v/>
      </c>
      <c r="R191" s="3430"/>
      <c r="S191" s="3420"/>
      <c r="T191" s="3427" t="s">
        <v>516</v>
      </c>
      <c r="U191" s="3428">
        <f t="array" ref="U191">IFERROR(VLOOKUP(T175,Dex!$B$3:$N298,11,FALSE),"")</f>
        <v>100</v>
      </c>
      <c r="V191" s="3429" t="str">
        <f t="array" ref="V191">IFERROR(VLOOKUP(U191,Dex!$P$22:$Q$276,2,FALSE),"")</f>
        <v/>
      </c>
      <c r="W191" s="3430"/>
      <c r="X191" s="3421"/>
      <c r="Y191" s="3427" t="s">
        <v>516</v>
      </c>
      <c r="Z191" s="3428">
        <f t="array" ref="Z191">IFERROR(VLOOKUP(Y175,Dex!$B$3:$N298,11,FALSE),"")</f>
        <v>185</v>
      </c>
      <c r="AA191" s="3429" t="str">
        <f t="array" ref="AA191">IFERROR(VLOOKUP(Z191,Dex!$P$22:$Q$276,2,FALSE),"")</f>
        <v/>
      </c>
      <c r="AB191" s="3430"/>
      <c r="AC191" s="3421"/>
      <c r="AD191" s="3427" t="s">
        <v>516</v>
      </c>
      <c r="AE191" s="3428">
        <f t="array" ref="AE191">IFERROR(VLOOKUP(AD175,Dex!$B$3:$N298,11,FALSE),"")</f>
        <v>180</v>
      </c>
      <c r="AF191" s="3429" t="str">
        <f t="array" ref="AF191">IFERROR(VLOOKUP(AE191,Dex!$P$22:$Q$276,2,FALSE),"")</f>
        <v/>
      </c>
      <c r="AG191" s="3430"/>
      <c r="AH191" s="3422"/>
      <c r="AI191" s="6297"/>
    </row>
    <row r="192" ht="16.5" customHeight="1">
      <c r="A192" s="6289"/>
      <c r="B192" s="3358"/>
      <c r="C192" s="3349"/>
      <c r="D192" s="3359"/>
      <c r="E192" s="3427" t="s">
        <v>517</v>
      </c>
      <c r="F192" s="3428">
        <f t="array" ref="F192">IFERROR(VLOOKUP(E175,Dex!$B$3:$N298,12,FALSE),"")</f>
        <v>81</v>
      </c>
      <c r="G192" s="3429" t="str">
        <f t="array" ref="G192">IFERROR(VLOOKUP(F192,Dex!$P$22:$Q$276,2,FALSE),"")</f>
        <v/>
      </c>
      <c r="H192" s="3430"/>
      <c r="I192" s="3419"/>
      <c r="J192" s="3427" t="s">
        <v>517</v>
      </c>
      <c r="K192" s="3428">
        <f t="array" ref="K192">IFERROR(VLOOKUP(J175,Dex!$B$3:$N298,12,FALSE),"")</f>
        <v>65</v>
      </c>
      <c r="L192" s="3429" t="str">
        <f t="array" ref="L192">IFERROR(VLOOKUP(K192,Dex!$P$22:$Q$276,2,FALSE),"")</f>
        <v/>
      </c>
      <c r="M192" s="3430"/>
      <c r="N192" s="3419"/>
      <c r="O192" s="3427" t="s">
        <v>517</v>
      </c>
      <c r="P192" s="3428">
        <f t="array" ref="P192">IFERROR(VLOOKUP(O175,Dex!$B$3:$N298,12,FALSE),"")</f>
        <v>120</v>
      </c>
      <c r="Q192" s="3429" t="str">
        <f t="array" ref="Q192">IFERROR(VLOOKUP(P192,Dex!$P$22:$Q$276,2,FALSE),"")</f>
        <v/>
      </c>
      <c r="R192" s="3430"/>
      <c r="S192" s="3420"/>
      <c r="T192" s="3427" t="s">
        <v>517</v>
      </c>
      <c r="U192" s="3428">
        <f t="array" ref="U192">IFERROR(VLOOKUP(T175,Dex!$B$3:$N298,12,FALSE),"")</f>
        <v>100</v>
      </c>
      <c r="V192" s="3429" t="str">
        <f t="array" ref="V192">IFERROR(VLOOKUP(U192,Dex!$P$22:$Q$276,2,FALSE),"")</f>
        <v/>
      </c>
      <c r="W192" s="3430"/>
      <c r="X192" s="3421"/>
      <c r="Y192" s="3427" t="s">
        <v>517</v>
      </c>
      <c r="Z192" s="3428">
        <f t="array" ref="Z192">IFERROR(VLOOKUP(Y175,Dex!$B$3:$N298,12,FALSE),"")</f>
        <v>130</v>
      </c>
      <c r="AA192" s="3429" t="str">
        <f t="array" ref="AA192">IFERROR(VLOOKUP(Z192,Dex!$P$22:$Q$276,2,FALSE),"")</f>
        <v/>
      </c>
      <c r="AB192" s="3430"/>
      <c r="AC192" s="3421"/>
      <c r="AD192" s="3427" t="s">
        <v>517</v>
      </c>
      <c r="AE192" s="3428">
        <f t="array" ref="AE192">IFERROR(VLOOKUP(AD175,Dex!$B$3:$N298,12,FALSE),"")</f>
        <v>100</v>
      </c>
      <c r="AF192" s="3429" t="str">
        <f t="array" ref="AF192">IFERROR(VLOOKUP(AE192,Dex!$P$22:$Q$276,2,FALSE),"")</f>
        <v/>
      </c>
      <c r="AG192" s="3430"/>
      <c r="AH192" s="3422"/>
      <c r="AI192" s="6297"/>
    </row>
    <row r="193" ht="15.75" customHeight="1">
      <c r="A193" s="6289"/>
      <c r="B193" s="3358"/>
      <c r="C193" s="3349"/>
      <c r="D193" s="3359"/>
      <c r="E193" s="3431" t="s">
        <v>518</v>
      </c>
      <c r="F193" s="3432">
        <f t="array" ref="F193">IFERROR(VLOOKUP(E175,Dex!$B$3:$N298,13,FALSE),"")</f>
        <v>86</v>
      </c>
      <c r="G193" s="3433" t="str">
        <f t="array" ref="G193">IFERROR(VLOOKUP(F193,Dex!$P$22:$Q$276,2,FALSE),"")</f>
        <v/>
      </c>
      <c r="H193" s="3434"/>
      <c r="I193" s="3419"/>
      <c r="J193" s="3431" t="s">
        <v>518</v>
      </c>
      <c r="K193" s="3432">
        <f t="array" ref="K193">IFERROR(VLOOKUP(J175,Dex!$B$3:$N298,13,FALSE),"")</f>
        <v>34</v>
      </c>
      <c r="L193" s="3433" t="str">
        <f t="array" ref="L193">IFERROR(VLOOKUP(K193,Dex!$P$22:$Q$276,2,FALSE),"")</f>
        <v/>
      </c>
      <c r="M193" s="3434"/>
      <c r="N193" s="3419"/>
      <c r="O193" s="3431" t="s">
        <v>518</v>
      </c>
      <c r="P193" s="3432">
        <f t="array" ref="P193">IFERROR(VLOOKUP(O175,Dex!$B$3:$N298,13,FALSE),"")</f>
        <v>120</v>
      </c>
      <c r="Q193" s="3433" t="str">
        <f t="array" ref="Q193">IFERROR(VLOOKUP(P193,Dex!$P$22:$Q$276,2,FALSE),"")</f>
        <v/>
      </c>
      <c r="R193" s="3434"/>
      <c r="S193" s="3420"/>
      <c r="T193" s="3431" t="s">
        <v>518</v>
      </c>
      <c r="U193" s="3432">
        <f t="array" ref="U193">IFERROR(VLOOKUP(T175,Dex!$B$3:$N298,13,FALSE),"")</f>
        <v>80</v>
      </c>
      <c r="V193" s="3433" t="str">
        <f t="array" ref="V193">IFERROR(VLOOKUP(U193,Dex!$P$22:$Q$276,2,FALSE),"")</f>
        <v/>
      </c>
      <c r="W193" s="3434"/>
      <c r="X193" s="3421"/>
      <c r="Y193" s="3431" t="s">
        <v>518</v>
      </c>
      <c r="Z193" s="3432">
        <f t="array" ref="Z193">IFERROR(VLOOKUP(Y175,Dex!$B$3:$N298,13,FALSE),"")</f>
        <v>90</v>
      </c>
      <c r="AA193" s="3433" t="str">
        <f t="array" ref="AA193">IFERROR(VLOOKUP(Z193,Dex!$P$22:$Q$276,2,FALSE),"")</f>
        <v/>
      </c>
      <c r="AB193" s="3434"/>
      <c r="AC193" s="3421"/>
      <c r="AD193" s="3431" t="s">
        <v>518</v>
      </c>
      <c r="AE193" s="3432">
        <f t="array" ref="AE193">IFERROR(VLOOKUP(AD175,Dex!$B$3:$N298,13,FALSE),"")</f>
        <v>115</v>
      </c>
      <c r="AF193" s="3433" t="str">
        <f t="array" ref="AF193">IFERROR(VLOOKUP(AE193,Dex!$P$22:$Q$276,2,FALSE),"")</f>
        <v/>
      </c>
      <c r="AG193" s="3434"/>
      <c r="AH193" s="3422"/>
      <c r="AI193" s="6297"/>
    </row>
    <row r="194" ht="16.5" customHeight="1">
      <c r="A194" s="6289"/>
      <c r="B194" s="3358"/>
      <c r="C194" s="3349"/>
      <c r="D194" s="3359"/>
      <c r="E194" s="3435" t="s">
        <v>519</v>
      </c>
      <c r="F194" s="630"/>
      <c r="G194" s="631"/>
      <c r="H194" s="632">
        <f>ROUNDDOWN((ROUNDDOWN(((((2*F193+31)*85)/100+5)),0))*1.1,0)</f>
        <v>194</v>
      </c>
      <c r="I194" s="3419"/>
      <c r="J194" s="3435" t="s">
        <v>519</v>
      </c>
      <c r="K194" s="630"/>
      <c r="L194" s="631"/>
      <c r="M194" s="632">
        <f>ROUNDDOWN((ROUNDDOWN(((((2*K193+31)*85)/100+5)),0))*1,0)</f>
        <v>89</v>
      </c>
      <c r="N194" s="3419"/>
      <c r="O194" s="3435" t="s">
        <v>519</v>
      </c>
      <c r="P194" s="630"/>
      <c r="Q194" s="631"/>
      <c r="R194" s="632">
        <f>ROUNDDOWN((ROUNDDOWN(((((2*P193+31)*85)/100+5)),0))*1.1,0)</f>
        <v>258</v>
      </c>
      <c r="S194" s="6652"/>
      <c r="T194" s="3435" t="s">
        <v>519</v>
      </c>
      <c r="U194" s="630"/>
      <c r="V194" s="631"/>
      <c r="W194" s="632">
        <f>ROUNDDOWN((ROUNDDOWN(((((2*U193+31)*85)/100+5)),0))*1,0)</f>
        <v>167</v>
      </c>
      <c r="X194" s="3359"/>
      <c r="Y194" s="3435" t="s">
        <v>519</v>
      </c>
      <c r="Z194" s="630"/>
      <c r="AA194" s="631"/>
      <c r="AB194" s="632">
        <f>ROUNDDOWN((ROUNDDOWN(((((2*Z193+31)*85)/100+5)),0))*1,0)</f>
        <v>184</v>
      </c>
      <c r="AC194" s="3359"/>
      <c r="AD194" s="3435" t="s">
        <v>519</v>
      </c>
      <c r="AE194" s="630"/>
      <c r="AF194" s="631"/>
      <c r="AG194" s="632">
        <f>ROUNDDOWN((ROUNDDOWN(((((2*AE193+31)*85)/100+5)),0))*1.1,0)</f>
        <v>248</v>
      </c>
      <c r="AH194" s="3422"/>
      <c r="AI194" s="6297"/>
    </row>
    <row r="195" ht="11.25" customHeight="1">
      <c r="A195" s="6289"/>
      <c r="B195" s="3317"/>
      <c r="C195" s="6638"/>
      <c r="D195" s="3413"/>
      <c r="E195" s="3413"/>
      <c r="F195" s="3413"/>
      <c r="G195" s="3413"/>
      <c r="H195" s="3413"/>
      <c r="I195" s="3413"/>
      <c r="J195" s="3413"/>
      <c r="K195" s="3413"/>
      <c r="L195" s="3413"/>
      <c r="M195" s="3413"/>
      <c r="N195" s="3413"/>
      <c r="O195" s="3413"/>
      <c r="P195" s="3413"/>
      <c r="Q195" s="3413"/>
      <c r="R195" s="3413"/>
      <c r="S195" s="3413"/>
      <c r="T195" s="3413"/>
      <c r="U195" s="3413"/>
      <c r="V195" s="3413"/>
      <c r="W195" s="3413"/>
      <c r="X195" s="3413"/>
      <c r="Y195" s="3413"/>
      <c r="Z195" s="3413"/>
      <c r="AA195" s="3413"/>
      <c r="AB195" s="3413"/>
      <c r="AC195" s="3413"/>
      <c r="AD195" s="3413"/>
      <c r="AE195" s="3413"/>
      <c r="AF195" s="3413"/>
      <c r="AG195" s="3414"/>
      <c r="AH195" s="3320"/>
      <c r="AI195" s="6297"/>
    </row>
    <row r="196" ht="11.25" customHeight="1">
      <c r="A196" s="6289"/>
      <c r="B196" s="3321"/>
      <c r="C196" s="6639"/>
      <c r="D196" s="3323"/>
      <c r="E196" s="3250" t="s">
        <v>1881</v>
      </c>
      <c r="F196" s="3251"/>
      <c r="G196" s="3251"/>
      <c r="H196" s="3251"/>
      <c r="I196" s="3251"/>
      <c r="J196" s="3251"/>
      <c r="K196" s="3251"/>
      <c r="L196" s="3251"/>
      <c r="M196" s="3251"/>
      <c r="N196" s="3251"/>
      <c r="O196" s="3251"/>
      <c r="P196" s="3251"/>
      <c r="Q196" s="3251"/>
      <c r="R196" s="3251"/>
      <c r="S196" s="3251"/>
      <c r="T196" s="3251"/>
      <c r="U196" s="3251"/>
      <c r="V196" s="3251"/>
      <c r="W196" s="3251"/>
      <c r="X196" s="3251"/>
      <c r="Y196" s="3251"/>
      <c r="Z196" s="3251"/>
      <c r="AA196" s="3251"/>
      <c r="AB196" s="3251"/>
      <c r="AC196" s="3251"/>
      <c r="AD196" s="3251"/>
      <c r="AE196" s="3251"/>
      <c r="AF196" s="3251"/>
      <c r="AG196" s="3252"/>
      <c r="AH196" s="3327"/>
      <c r="AI196" s="6297"/>
    </row>
    <row r="197" ht="11.25" customHeight="1">
      <c r="A197" s="6289"/>
      <c r="B197" s="3321"/>
      <c r="C197" s="6639"/>
      <c r="D197" s="3323"/>
      <c r="E197" s="314"/>
      <c r="F197" s="3255"/>
      <c r="G197" s="3255"/>
      <c r="H197" s="3255"/>
      <c r="I197" s="3255"/>
      <c r="J197" s="3255"/>
      <c r="K197" s="3255"/>
      <c r="L197" s="3255"/>
      <c r="M197" s="3255"/>
      <c r="N197" s="3255"/>
      <c r="O197" s="3255"/>
      <c r="P197" s="3255"/>
      <c r="Q197" s="3255"/>
      <c r="R197" s="3255"/>
      <c r="S197" s="3255"/>
      <c r="T197" s="3255"/>
      <c r="U197" s="3255"/>
      <c r="V197" s="3255"/>
      <c r="W197" s="3255"/>
      <c r="X197" s="3255"/>
      <c r="Y197" s="3255"/>
      <c r="Z197" s="3255"/>
      <c r="AA197" s="3255"/>
      <c r="AB197" s="3255"/>
      <c r="AC197" s="3255"/>
      <c r="AD197" s="3255"/>
      <c r="AE197" s="3255"/>
      <c r="AF197" s="3255"/>
      <c r="AG197" s="3256"/>
      <c r="AH197" s="3327"/>
      <c r="AI197" s="6297"/>
    </row>
    <row r="198" ht="3.75" customHeight="1">
      <c r="A198" s="6289"/>
      <c r="B198" s="6640"/>
      <c r="C198" s="6641"/>
      <c r="D198" s="6642"/>
      <c r="E198" s="6643"/>
      <c r="F198" s="6643"/>
      <c r="G198" s="6643"/>
      <c r="H198" s="6643"/>
      <c r="I198" s="6644"/>
      <c r="J198" s="6643"/>
      <c r="K198" s="6643"/>
      <c r="L198" s="6643"/>
      <c r="M198" s="6643"/>
      <c r="N198" s="6644"/>
      <c r="O198" s="6643"/>
      <c r="P198" s="6643"/>
      <c r="Q198" s="6643"/>
      <c r="R198" s="6643"/>
      <c r="S198" s="6644"/>
      <c r="T198" s="6643"/>
      <c r="U198" s="6643"/>
      <c r="V198" s="6643"/>
      <c r="W198" s="6643"/>
      <c r="X198" s="6644"/>
      <c r="Y198" s="6643"/>
      <c r="Z198" s="6643"/>
      <c r="AA198" s="6643"/>
      <c r="AB198" s="6643"/>
      <c r="AC198" s="6644"/>
      <c r="AD198" s="6643"/>
      <c r="AE198" s="6643"/>
      <c r="AF198" s="6643"/>
      <c r="AG198" s="6643"/>
      <c r="AH198" s="6645"/>
      <c r="AI198" s="6297"/>
    </row>
    <row r="199">
      <c r="A199" s="6289"/>
      <c r="B199" s="3358"/>
      <c r="C199" s="3349"/>
      <c r="D199" s="3349"/>
      <c r="E199" s="6646" t="s">
        <v>1920</v>
      </c>
      <c r="F199" s="3325"/>
      <c r="G199" s="3325"/>
      <c r="H199" s="3325"/>
      <c r="I199" s="3325"/>
      <c r="J199" s="3325"/>
      <c r="K199" s="3325"/>
      <c r="L199" s="3325"/>
      <c r="M199" s="3325"/>
      <c r="N199" s="3325"/>
      <c r="O199" s="3325"/>
      <c r="P199" s="3325"/>
      <c r="Q199" s="3325"/>
      <c r="R199" s="3325"/>
      <c r="S199" s="3325"/>
      <c r="T199" s="3325"/>
      <c r="U199" s="3325"/>
      <c r="V199" s="3325"/>
      <c r="W199" s="3325"/>
      <c r="X199" s="3325"/>
      <c r="Y199" s="3325"/>
      <c r="Z199" s="3325"/>
      <c r="AA199" s="3325"/>
      <c r="AB199" s="3325"/>
      <c r="AC199" s="3325"/>
      <c r="AD199" s="3325"/>
      <c r="AE199" s="3325"/>
      <c r="AF199" s="3325"/>
      <c r="AG199" s="3326"/>
      <c r="AH199" s="6647"/>
      <c r="AI199" s="6297"/>
    </row>
    <row r="200" ht="96.75" customHeight="1">
      <c r="A200" s="6289"/>
      <c r="B200" s="3367"/>
      <c r="C200" s="3368" t="str">
        <f>IMAGE("https://i.ibb.co/q7H43Kp/Lance.png")</f>
        <v/>
      </c>
      <c r="D200" s="3329"/>
      <c r="E200" s="3369" t="str">
        <f t="array" ref="E200">IFERROR(VLOOKUP(E201,Dex!$B$3:$G298,3,FALSE),"")</f>
        <v/>
      </c>
      <c r="F200" s="1945"/>
      <c r="G200" s="1945"/>
      <c r="H200" s="1946"/>
      <c r="I200" s="3370"/>
      <c r="J200" s="3369" t="str">
        <f t="array" ref="J200">IFERROR(VLOOKUP(J201,Dex!$B$3:$G298,3,FALSE),"")</f>
        <v/>
      </c>
      <c r="K200" s="1945"/>
      <c r="L200" s="1945"/>
      <c r="M200" s="1946"/>
      <c r="N200" s="3370"/>
      <c r="O200" s="3369" t="str">
        <f t="array" ref="O200">IFERROR(VLOOKUP(O201,Dex!$B$3:$G298,3,FALSE),"")</f>
        <v/>
      </c>
      <c r="P200" s="1945"/>
      <c r="Q200" s="1945"/>
      <c r="R200" s="1946"/>
      <c r="S200" s="6648"/>
      <c r="T200" s="3369" t="str">
        <f t="array" ref="T200">IFERROR(VLOOKUP(T201,Dex!$B$3:$G298,3,FALSE),"")</f>
        <v/>
      </c>
      <c r="U200" s="1945"/>
      <c r="V200" s="1945"/>
      <c r="W200" s="1946"/>
      <c r="X200" s="6648"/>
      <c r="Y200" s="3369" t="str">
        <f t="array" ref="Y200">IFERROR(VLOOKUP(Y201,Dex!$B$3:$G298,3,FALSE),"")</f>
        <v/>
      </c>
      <c r="Z200" s="1945"/>
      <c r="AA200" s="1945"/>
      <c r="AB200" s="1946"/>
      <c r="AC200" s="6648"/>
      <c r="AD200" s="3369" t="str">
        <f t="array" ref="AD200">IFERROR(VLOOKUP(AD201,Dex!$B$3:$G298,3,FALSE),"")</f>
        <v/>
      </c>
      <c r="AE200" s="1945"/>
      <c r="AF200" s="1945"/>
      <c r="AG200" s="1946"/>
      <c r="AH200" s="3331"/>
      <c r="AI200" s="6297"/>
    </row>
    <row r="201" ht="18.75" customHeight="1">
      <c r="A201" s="6289"/>
      <c r="B201" s="3375"/>
      <c r="C201" s="3376" t="s">
        <v>1921</v>
      </c>
      <c r="D201" s="3333"/>
      <c r="E201" s="3377" t="s">
        <v>1285</v>
      </c>
      <c r="F201" s="3378"/>
      <c r="G201" s="3378"/>
      <c r="H201" s="3379"/>
      <c r="J201" s="3377" t="s">
        <v>1910</v>
      </c>
      <c r="K201" s="3378"/>
      <c r="L201" s="3378"/>
      <c r="M201" s="3379"/>
      <c r="O201" s="3377" t="s">
        <v>1911</v>
      </c>
      <c r="P201" s="3378"/>
      <c r="Q201" s="3378"/>
      <c r="R201" s="3379"/>
      <c r="T201" s="3377" t="s">
        <v>1660</v>
      </c>
      <c r="U201" s="3378"/>
      <c r="V201" s="3378"/>
      <c r="W201" s="3379"/>
      <c r="Y201" s="3377" t="s">
        <v>1912</v>
      </c>
      <c r="Z201" s="3378"/>
      <c r="AA201" s="3378"/>
      <c r="AB201" s="3379"/>
      <c r="AD201" s="3377" t="s">
        <v>1913</v>
      </c>
      <c r="AE201" s="3378"/>
      <c r="AF201" s="3378"/>
      <c r="AG201" s="3379"/>
      <c r="AH201" s="3334"/>
      <c r="AI201" s="6297"/>
    </row>
    <row r="202">
      <c r="A202" s="6289"/>
      <c r="B202" s="3382"/>
      <c r="C202" s="556"/>
      <c r="D202" s="3336"/>
      <c r="E202" s="6649" t="s">
        <v>729</v>
      </c>
      <c r="F202" s="3384"/>
      <c r="G202" s="3384"/>
      <c r="H202" s="3385"/>
      <c r="J202" s="6649" t="s">
        <v>729</v>
      </c>
      <c r="K202" s="3384"/>
      <c r="L202" s="3384"/>
      <c r="M202" s="3385"/>
      <c r="O202" s="6649" t="s">
        <v>729</v>
      </c>
      <c r="P202" s="3384"/>
      <c r="Q202" s="3384"/>
      <c r="R202" s="3385"/>
      <c r="T202" s="6649" t="s">
        <v>729</v>
      </c>
      <c r="U202" s="3384"/>
      <c r="V202" s="3384"/>
      <c r="W202" s="3385"/>
      <c r="Y202" s="6649" t="s">
        <v>729</v>
      </c>
      <c r="Z202" s="3384"/>
      <c r="AA202" s="3384"/>
      <c r="AB202" s="3385"/>
      <c r="AD202" s="6649" t="s">
        <v>729</v>
      </c>
      <c r="AE202" s="3384"/>
      <c r="AF202" s="3384"/>
      <c r="AG202" s="3385"/>
      <c r="AH202" s="3338"/>
      <c r="AI202" s="6297"/>
    </row>
    <row r="203" ht="25.5" customHeight="1">
      <c r="A203" s="6289"/>
      <c r="B203" s="3321"/>
      <c r="C203" s="3339"/>
      <c r="D203" s="3340"/>
      <c r="E203" s="3388"/>
      <c r="F203" s="3389" t="str">
        <f t="array" ref="F203">IFERROR(VLOOKUP(E201,Dex!$B$3:$H298,5,FALSE),"")</f>
        <v/>
      </c>
      <c r="G203" s="3390" t="str">
        <f t="array" ref="G203">IFERROR(VLOOKUP(E201,Dex!$B$3:$H298,7,FALSE),"")</f>
        <v/>
      </c>
      <c r="H203" s="3391"/>
      <c r="J203" s="3388"/>
      <c r="K203" s="6650" t="str">
        <f t="array" ref="K203">IFERROR(VLOOKUP(J201,Dex!$B$3:$H298,5,FALSE),"")</f>
        <v/>
      </c>
      <c r="L203" s="6651"/>
      <c r="M203" s="3391"/>
      <c r="O203" s="3388"/>
      <c r="P203" s="6650" t="str">
        <f t="array" ref="P203">IFERROR(VLOOKUP(O201,Dex!$B$3:$H298,5,FALSE),"")</f>
        <v/>
      </c>
      <c r="Q203" s="6651"/>
      <c r="R203" s="3391"/>
      <c r="T203" s="3388"/>
      <c r="U203" s="3389" t="str">
        <f t="array" ref="U203">IFERROR(VLOOKUP(T201,Dex!$B$3:$H298,5,FALSE),"")</f>
        <v/>
      </c>
      <c r="V203" s="3390" t="str">
        <f t="array" ref="V203">IFERROR(VLOOKUP(T201,Dex!$B$3:$H298,7,FALSE),"")</f>
        <v/>
      </c>
      <c r="W203" s="3391"/>
      <c r="Y203" s="3388"/>
      <c r="Z203" s="3389" t="str">
        <f t="array" ref="Z203">IFERROR(VLOOKUP(Y201,Dex!$B$3:$H298,5,FALSE),"")</f>
        <v/>
      </c>
      <c r="AA203" s="3390" t="str">
        <f t="array" ref="AA203">IFERROR(VLOOKUP(Y201,Dex!$B$3:$H298,7,FALSE),"")</f>
        <v/>
      </c>
      <c r="AB203" s="3391"/>
      <c r="AD203" s="3388"/>
      <c r="AE203" s="3389" t="str">
        <f t="array" ref="AE203">IFERROR(VLOOKUP(AD201,Dex!$B$3:$H298,5,FALSE),"")</f>
        <v/>
      </c>
      <c r="AF203" s="3390" t="str">
        <f t="array" ref="AF203">IFERROR(VLOOKUP(AD201,Dex!$B$3:$H298,7,FALSE),"")</f>
        <v/>
      </c>
      <c r="AG203" s="3391"/>
      <c r="AH203" s="3327"/>
      <c r="AI203" s="6297"/>
    </row>
    <row r="204" ht="2.25" customHeight="1">
      <c r="A204" s="6289"/>
      <c r="B204" s="3321"/>
      <c r="C204" s="3342"/>
      <c r="D204" s="3340"/>
      <c r="E204" s="3392"/>
      <c r="F204" s="3393"/>
      <c r="G204" s="3393"/>
      <c r="H204" s="3394"/>
      <c r="J204" s="3392"/>
      <c r="K204" s="3393"/>
      <c r="L204" s="3393"/>
      <c r="M204" s="3394"/>
      <c r="O204" s="3392"/>
      <c r="P204" s="3393"/>
      <c r="Q204" s="3393"/>
      <c r="R204" s="3394"/>
      <c r="T204" s="3392"/>
      <c r="U204" s="3393"/>
      <c r="V204" s="3393"/>
      <c r="W204" s="3394"/>
      <c r="Y204" s="3392"/>
      <c r="Z204" s="3393"/>
      <c r="AA204" s="3393"/>
      <c r="AB204" s="3394"/>
      <c r="AD204" s="3392"/>
      <c r="AE204" s="3393"/>
      <c r="AF204" s="3393"/>
      <c r="AG204" s="3394"/>
      <c r="AH204" s="3327"/>
      <c r="AI204" s="6297"/>
    </row>
    <row r="205" ht="20.25" customHeight="1">
      <c r="A205" s="6289"/>
      <c r="B205" s="3321"/>
      <c r="C205" s="3343"/>
      <c r="D205" s="3340"/>
      <c r="E205" s="3395" t="s">
        <v>564</v>
      </c>
      <c r="F205" s="3396"/>
      <c r="G205" s="3396"/>
      <c r="H205" s="3397"/>
      <c r="J205" s="3395" t="s">
        <v>480</v>
      </c>
      <c r="K205" s="3396"/>
      <c r="L205" s="3396"/>
      <c r="M205" s="3397"/>
      <c r="O205" s="3395" t="s">
        <v>564</v>
      </c>
      <c r="P205" s="3396"/>
      <c r="Q205" s="3396"/>
      <c r="R205" s="3397"/>
      <c r="T205" s="3395" t="s">
        <v>566</v>
      </c>
      <c r="U205" s="3396"/>
      <c r="V205" s="3396"/>
      <c r="W205" s="3397"/>
      <c r="Y205" s="3395" t="s">
        <v>482</v>
      </c>
      <c r="Z205" s="3396"/>
      <c r="AA205" s="3396"/>
      <c r="AB205" s="3397"/>
      <c r="AD205" s="3395" t="s">
        <v>565</v>
      </c>
      <c r="AE205" s="3396"/>
      <c r="AF205" s="3396"/>
      <c r="AG205" s="3397"/>
      <c r="AH205" s="3331"/>
      <c r="AI205" s="6297"/>
    </row>
    <row r="206">
      <c r="A206" s="6289"/>
      <c r="B206" s="3321"/>
      <c r="C206" s="3345"/>
      <c r="D206" s="3340"/>
      <c r="E206" s="3398" t="s">
        <v>110</v>
      </c>
      <c r="F206" s="3399"/>
      <c r="G206" s="3399"/>
      <c r="H206" s="3400"/>
      <c r="J206" s="3398" t="s">
        <v>570</v>
      </c>
      <c r="K206" s="3399"/>
      <c r="L206" s="3399"/>
      <c r="M206" s="3400"/>
      <c r="O206" s="3398" t="s">
        <v>1914</v>
      </c>
      <c r="P206" s="3399"/>
      <c r="Q206" s="3399"/>
      <c r="R206" s="3400"/>
      <c r="T206" s="3398" t="s">
        <v>1662</v>
      </c>
      <c r="U206" s="3399"/>
      <c r="V206" s="3399"/>
      <c r="W206" s="3400"/>
      <c r="Y206" s="3398" t="s">
        <v>1915</v>
      </c>
      <c r="Z206" s="3399"/>
      <c r="AA206" s="3399"/>
      <c r="AB206" s="3400"/>
      <c r="AD206" s="3398" t="s">
        <v>1922</v>
      </c>
      <c r="AE206" s="3399"/>
      <c r="AF206" s="3399"/>
      <c r="AG206" s="3400"/>
      <c r="AH206" s="3331"/>
      <c r="AI206" s="6297"/>
    </row>
    <row r="207" ht="20.25" customHeight="1">
      <c r="A207" s="6289"/>
      <c r="B207" s="3321"/>
      <c r="C207" s="3342"/>
      <c r="D207" s="3340"/>
      <c r="E207" s="3401" t="s">
        <v>573</v>
      </c>
      <c r="F207" s="3402"/>
      <c r="G207" s="3403"/>
      <c r="H207" s="3404" t="str">
        <f>IMAGE("https://raw.githubusercontent.com/msikma/pokesprite/master/items/hold-item/focus-sash.png",3)</f>
        <v/>
      </c>
      <c r="J207" s="3401" t="s">
        <v>713</v>
      </c>
      <c r="K207" s="3402"/>
      <c r="L207" s="3403"/>
      <c r="M207" s="3404" t="str">
        <f>IMAGE("https://raw.githubusercontent.com/msikma/pokesprite/master/items/hold-item/assault-vest.png",3)</f>
        <v/>
      </c>
      <c r="O207" s="3401" t="s">
        <v>1495</v>
      </c>
      <c r="P207" s="3402"/>
      <c r="Q207" s="3403"/>
      <c r="R207" s="3404" t="str">
        <f>IMAGE("https://raw.githubusercontent.com/msikma/pokesprite/master/items/plate/pixie.png",3)</f>
        <v/>
      </c>
      <c r="T207" s="3401" t="s">
        <v>687</v>
      </c>
      <c r="U207" s="3402"/>
      <c r="V207" s="3403"/>
      <c r="W207" s="3404" t="str">
        <f>IMAGE("https://raw.githubusercontent.com/msikma/pokesprite/master/items/z-crystals/flyinium-z--held.png",3)</f>
        <v/>
      </c>
      <c r="Y207" s="3401" t="s">
        <v>1917</v>
      </c>
      <c r="Z207" s="3402"/>
      <c r="AA207" s="3403"/>
      <c r="AB207" s="3404" t="str">
        <f>IMAGE("https://raw.githubusercontent.com/msikma/pokesprite/master/items/hold-item/adamant-orb.png",3)</f>
        <v/>
      </c>
      <c r="AD207" s="3401" t="s">
        <v>1052</v>
      </c>
      <c r="AE207" s="3402"/>
      <c r="AF207" s="3403"/>
      <c r="AG207" s="3404" t="str">
        <f>IMAGE("https://raw.githubusercontent.com/msikma/pokesprite/master/items/hold-item/sharp-beak.png",3)</f>
        <v/>
      </c>
      <c r="AH207" s="3327"/>
      <c r="AI207" s="6297"/>
    </row>
    <row r="208" ht="20.25" customHeight="1">
      <c r="A208" s="6289"/>
      <c r="B208" s="3321"/>
      <c r="C208" s="3343"/>
      <c r="D208" s="3340"/>
      <c r="E208" s="3395" t="s">
        <v>191</v>
      </c>
      <c r="F208" s="3396"/>
      <c r="G208" s="3405"/>
      <c r="H208" s="3406" t="str">
        <f t="shared" ref="H208:H209" si="5">IMAGE("https://raw.githubusercontent.com/msikma/pokesprite/master/misc/types/gen8/rock.png",4,20,20)</f>
        <v/>
      </c>
      <c r="J208" s="3395" t="s">
        <v>1323</v>
      </c>
      <c r="K208" s="3396"/>
      <c r="L208" s="3405"/>
      <c r="M208" s="3406" t="str">
        <f>IMAGE("https://raw.githubusercontent.com/msikma/pokesprite/master/misc/types/gen8/steel.png",4,20,20)</f>
        <v/>
      </c>
      <c r="O208" s="3395" t="s">
        <v>170</v>
      </c>
      <c r="P208" s="3396"/>
      <c r="Q208" s="3405"/>
      <c r="R208" s="3406" t="str">
        <f>IMAGE("https://raw.githubusercontent.com/msikma/pokesprite/master/misc/types/gen8/psychic.png",4,20,20)</f>
        <v/>
      </c>
      <c r="T208" s="3395" t="s">
        <v>219</v>
      </c>
      <c r="U208" s="3396"/>
      <c r="V208" s="3405"/>
      <c r="W208" s="3406" t="str">
        <f>IMAGE("https://raw.githubusercontent.com/msikma/pokesprite/master/misc/types/gen8/dragon.png",4,20,20)</f>
        <v/>
      </c>
      <c r="Y208" s="3395" t="s">
        <v>1918</v>
      </c>
      <c r="Z208" s="3396"/>
      <c r="AA208" s="3405"/>
      <c r="AB208" s="3406" t="str">
        <f>IMAGE("https://raw.githubusercontent.com/msikma/pokesprite/master/misc/types/gen8/dragon.png",4,20,20)</f>
        <v/>
      </c>
      <c r="AD208" s="3395" t="s">
        <v>958</v>
      </c>
      <c r="AE208" s="3396"/>
      <c r="AF208" s="3405"/>
      <c r="AG208" s="3406" t="str">
        <f>IMAGE("https://raw.githubusercontent.com/msikma/pokesprite/master/misc/types/gen8/normal.png",4,20,20)</f>
        <v/>
      </c>
      <c r="AH208" s="3327"/>
      <c r="AI208" s="6297"/>
    </row>
    <row r="209" ht="20.25" customHeight="1">
      <c r="A209" s="6289"/>
      <c r="B209" s="3321"/>
      <c r="C209" s="3347"/>
      <c r="D209" s="3340"/>
      <c r="E209" s="3398" t="s">
        <v>1021</v>
      </c>
      <c r="F209" s="3399"/>
      <c r="G209" s="3407"/>
      <c r="H209" s="3408" t="str">
        <f t="shared" si="5"/>
        <v/>
      </c>
      <c r="J209" s="3398" t="s">
        <v>589</v>
      </c>
      <c r="K209" s="3399"/>
      <c r="L209" s="3407"/>
      <c r="M209" s="3408" t="str">
        <f>IMAGE("https://raw.githubusercontent.com/msikma/pokesprite/master/misc/types/gen8/ice.png",4,20,20)</f>
        <v/>
      </c>
      <c r="O209" s="3398" t="s">
        <v>1919</v>
      </c>
      <c r="P209" s="3399"/>
      <c r="Q209" s="3407"/>
      <c r="R209" s="3408" t="str">
        <f>IMAGE("https://raw.githubusercontent.com/msikma/pokesprite/master/misc/types/gen8/fairy.png",4,20,20)</f>
        <v/>
      </c>
      <c r="T209" s="3398" t="s">
        <v>744</v>
      </c>
      <c r="U209" s="3399"/>
      <c r="V209" s="3407"/>
      <c r="W209" s="3408" t="str">
        <f>IMAGE("https://raw.githubusercontent.com/msikma/pokesprite/master/misc/types/gen8/flying.png",4,20,20)</f>
        <v/>
      </c>
      <c r="Y209" s="3398" t="s">
        <v>646</v>
      </c>
      <c r="Z209" s="3399"/>
      <c r="AA209" s="3407"/>
      <c r="AB209" s="3408" t="str">
        <f>IMAGE("https://raw.githubusercontent.com/msikma/pokesprite/master/misc/types/gen8/steel.png",4,20,20)</f>
        <v/>
      </c>
      <c r="AD209" s="3398" t="s">
        <v>619</v>
      </c>
      <c r="AE209" s="3399"/>
      <c r="AF209" s="3407"/>
      <c r="AG209" s="3408" t="str">
        <f>IMAGE("https://raw.githubusercontent.com/msikma/pokesprite/master/misc/types/gen8/fire.png",4,20,20)</f>
        <v/>
      </c>
      <c r="AH209" s="3327"/>
      <c r="AI209" s="6297"/>
    </row>
    <row r="210" ht="20.25" customHeight="1">
      <c r="A210" s="6289"/>
      <c r="B210" s="3321"/>
      <c r="C210" s="3347"/>
      <c r="D210" s="3340"/>
      <c r="E210" s="3398" t="s">
        <v>773</v>
      </c>
      <c r="F210" s="3399"/>
      <c r="G210" s="3407"/>
      <c r="H210" s="3408" t="str">
        <f>IMAGE("https://raw.githubusercontent.com/msikma/pokesprite/master/misc/types/gen8/poison.png",4,20,20)</f>
        <v/>
      </c>
      <c r="J210" s="3398" t="s">
        <v>549</v>
      </c>
      <c r="K210" s="3399"/>
      <c r="L210" s="3407"/>
      <c r="M210" s="3408" t="str">
        <f>IMAGE("https://raw.githubusercontent.com/msikma/pokesprite/master/misc/types/gen8/ground.png",4,20,20)</f>
        <v/>
      </c>
      <c r="O210" s="3398" t="s">
        <v>619</v>
      </c>
      <c r="P210" s="3399"/>
      <c r="Q210" s="3407"/>
      <c r="R210" s="3408" t="str">
        <f>IMAGE("https://raw.githubusercontent.com/msikma/pokesprite/master/misc/types/gen8/fire.png",4,20,20)</f>
        <v/>
      </c>
      <c r="T210" s="3398" t="s">
        <v>549</v>
      </c>
      <c r="U210" s="3399"/>
      <c r="V210" s="3407"/>
      <c r="W210" s="3408" t="str">
        <f>IMAGE("https://raw.githubusercontent.com/msikma/pokesprite/master/misc/types/gen8/ground.png",4,20,20)</f>
        <v/>
      </c>
      <c r="Y210" s="3398" t="s">
        <v>738</v>
      </c>
      <c r="Z210" s="3399"/>
      <c r="AA210" s="3407"/>
      <c r="AB210" s="3408" t="str">
        <f>IMAGE("https://raw.githubusercontent.com/msikma/pokesprite/master/misc/types/gen8/psychic.png",4,20,20)</f>
        <v/>
      </c>
      <c r="AD210" s="3398" t="s">
        <v>549</v>
      </c>
      <c r="AE210" s="3399"/>
      <c r="AF210" s="3407"/>
      <c r="AG210" s="3408" t="str">
        <f>IMAGE("https://raw.githubusercontent.com/msikma/pokesprite/master/misc/types/gen8/ground.png",4,20,20)</f>
        <v/>
      </c>
      <c r="AH210" s="3327"/>
      <c r="AI210" s="6297"/>
    </row>
    <row r="211" ht="21.0" customHeight="1">
      <c r="A211" s="6289"/>
      <c r="B211" s="3321"/>
      <c r="C211" s="3347"/>
      <c r="D211" s="3340"/>
      <c r="E211" s="3409" t="s">
        <v>775</v>
      </c>
      <c r="F211" s="3410"/>
      <c r="G211" s="3411"/>
      <c r="H211" s="3412" t="str">
        <f>IMAGE("https://raw.githubusercontent.com/msikma/pokesprite/master/misc/types/gen8/grass.png",4,20,20)</f>
        <v/>
      </c>
      <c r="I211" s="3413"/>
      <c r="J211" s="3409" t="s">
        <v>504</v>
      </c>
      <c r="K211" s="3410"/>
      <c r="L211" s="3411"/>
      <c r="M211" s="3412" t="str">
        <f>IMAGE("https://raw.githubusercontent.com/msikma/pokesprite/master/misc/types/gen8/electric.png",4,20,20)</f>
        <v/>
      </c>
      <c r="N211" s="3413"/>
      <c r="O211" s="3409" t="s">
        <v>501</v>
      </c>
      <c r="P211" s="3410"/>
      <c r="Q211" s="3411"/>
      <c r="R211" s="3412" t="str">
        <f>IMAGE("https://raw.githubusercontent.com/msikma/pokesprite/master/misc/types/gen8/normal.png",4,20,20)</f>
        <v/>
      </c>
      <c r="S211" s="3413"/>
      <c r="T211" s="3409" t="s">
        <v>958</v>
      </c>
      <c r="U211" s="3410"/>
      <c r="V211" s="3411"/>
      <c r="W211" s="3412" t="str">
        <f>IMAGE("https://raw.githubusercontent.com/msikma/pokesprite/master/misc/types/gen8/normal.png",4,20,20)</f>
        <v/>
      </c>
      <c r="X211" s="3413"/>
      <c r="Y211" s="3409" t="s">
        <v>698</v>
      </c>
      <c r="Z211" s="3410"/>
      <c r="AA211" s="3411"/>
      <c r="AB211" s="3412" t="str">
        <f>IMAGE("https://raw.githubusercontent.com/msikma/pokesprite/master/misc/types/gen8/normal.png",4,20,20)</f>
        <v/>
      </c>
      <c r="AC211" s="3413"/>
      <c r="AD211" s="3409" t="s">
        <v>1476</v>
      </c>
      <c r="AE211" s="3410"/>
      <c r="AF211" s="3411"/>
      <c r="AG211" s="3412" t="str">
        <f>IMAGE("https://raw.githubusercontent.com/msikma/pokesprite/master/misc/types/gen8/flying.png",4,20,20)</f>
        <v/>
      </c>
      <c r="AH211" s="3327"/>
      <c r="AI211" s="6297"/>
    </row>
    <row r="212" ht="3.0" customHeight="1">
      <c r="A212" s="6289"/>
      <c r="B212" s="3348"/>
      <c r="C212" s="3349"/>
      <c r="D212" s="3350"/>
      <c r="E212" s="3351"/>
      <c r="F212" s="3351"/>
      <c r="G212" s="3351"/>
      <c r="H212" s="3351"/>
      <c r="I212" s="3350"/>
      <c r="J212" s="3351"/>
      <c r="K212" s="3351"/>
      <c r="L212" s="3351"/>
      <c r="M212" s="3351"/>
      <c r="N212" s="3350"/>
      <c r="O212" s="3351"/>
      <c r="P212" s="3351"/>
      <c r="Q212" s="3351"/>
      <c r="R212" s="3351"/>
      <c r="S212" s="3350"/>
      <c r="T212" s="3351"/>
      <c r="U212" s="3351"/>
      <c r="V212" s="3351"/>
      <c r="W212" s="3351"/>
      <c r="X212" s="3350"/>
      <c r="Y212" s="3351"/>
      <c r="Z212" s="3351"/>
      <c r="AA212" s="3351"/>
      <c r="AB212" s="3351"/>
      <c r="AC212" s="3350"/>
      <c r="AD212" s="3351"/>
      <c r="AE212" s="3351"/>
      <c r="AF212" s="3351"/>
      <c r="AG212" s="3351"/>
      <c r="AH212" s="3357"/>
      <c r="AI212" s="6297"/>
    </row>
    <row r="213" ht="16.5" customHeight="1">
      <c r="A213" s="6289"/>
      <c r="B213" s="3358"/>
      <c r="C213" s="3349"/>
      <c r="D213" s="3359"/>
      <c r="E213" s="3418" t="s">
        <v>512</v>
      </c>
      <c r="F213" s="606"/>
      <c r="G213" s="606"/>
      <c r="H213" s="607"/>
      <c r="I213" s="3419"/>
      <c r="J213" s="3418" t="s">
        <v>512</v>
      </c>
      <c r="K213" s="606"/>
      <c r="L213" s="606"/>
      <c r="M213" s="607"/>
      <c r="N213" s="3419"/>
      <c r="O213" s="3418" t="s">
        <v>512</v>
      </c>
      <c r="P213" s="606"/>
      <c r="Q213" s="606"/>
      <c r="R213" s="607"/>
      <c r="S213" s="6652"/>
      <c r="T213" s="3418" t="s">
        <v>512</v>
      </c>
      <c r="U213" s="606"/>
      <c r="V213" s="606"/>
      <c r="W213" s="607"/>
      <c r="X213" s="3359"/>
      <c r="Y213" s="3418" t="s">
        <v>512</v>
      </c>
      <c r="Z213" s="606"/>
      <c r="AA213" s="606"/>
      <c r="AB213" s="607"/>
      <c r="AC213" s="3359"/>
      <c r="AD213" s="3418" t="s">
        <v>512</v>
      </c>
      <c r="AE213" s="606"/>
      <c r="AF213" s="606"/>
      <c r="AG213" s="607"/>
      <c r="AH213" s="3422"/>
      <c r="AI213" s="6297"/>
    </row>
    <row r="214" ht="16.5" customHeight="1">
      <c r="A214" s="6289"/>
      <c r="B214" s="3358"/>
      <c r="C214" s="3349"/>
      <c r="D214" s="3359"/>
      <c r="E214" s="3423" t="s">
        <v>513</v>
      </c>
      <c r="F214" s="3424">
        <f t="array" ref="F214">IFERROR(VLOOKUP(E201,Dex!$B$3:$N298,8,FALSE),"")</f>
        <v>83</v>
      </c>
      <c r="G214" s="3425" t="str">
        <f t="array" ref="G214">IFERROR(VLOOKUP(F214,Dex!$P$22:$Q$276,2,FALSE),"")</f>
        <v/>
      </c>
      <c r="H214" s="3426"/>
      <c r="I214" s="3419"/>
      <c r="J214" s="3423" t="s">
        <v>513</v>
      </c>
      <c r="K214" s="3424">
        <f t="array" ref="K214">IFERROR(VLOOKUP(J201,Dex!$B$3:$N298,8,FALSE),"")</f>
        <v>135</v>
      </c>
      <c r="L214" s="3425" t="str">
        <f t="array" ref="L214">IFERROR(VLOOKUP(K214,Dex!$P$22:$Q$276,2,FALSE),"")</f>
        <v/>
      </c>
      <c r="M214" s="3426"/>
      <c r="N214" s="3419"/>
      <c r="O214" s="3423" t="s">
        <v>513</v>
      </c>
      <c r="P214" s="3424">
        <f t="array" ref="P214">IFERROR(VLOOKUP(O201,Dex!$B$3:$N298,8,FALSE),"")</f>
        <v>120</v>
      </c>
      <c r="Q214" s="3425" t="str">
        <f t="array" ref="Q214">IFERROR(VLOOKUP(P214,Dex!$P$22:$Q$276,2,FALSE),"")</f>
        <v/>
      </c>
      <c r="R214" s="3426"/>
      <c r="S214" s="3420"/>
      <c r="T214" s="3423" t="s">
        <v>513</v>
      </c>
      <c r="U214" s="3424">
        <f t="array" ref="U214">IFERROR(VLOOKUP(T201,Dex!$B$3:$N298,8,FALSE),"")</f>
        <v>91</v>
      </c>
      <c r="V214" s="3425" t="str">
        <f t="array" ref="V214">IFERROR(VLOOKUP(U214,Dex!$P$22:$Q$276,2,FALSE),"")</f>
        <v/>
      </c>
      <c r="W214" s="3426"/>
      <c r="X214" s="3421"/>
      <c r="Y214" s="3423" t="s">
        <v>513</v>
      </c>
      <c r="Z214" s="3424">
        <f t="array" ref="Z214">IFERROR(VLOOKUP(Y201,Dex!$B$3:$N298,8,FALSE),"")</f>
        <v>100</v>
      </c>
      <c r="AA214" s="3425" t="str">
        <f t="array" ref="AA214">IFERROR(VLOOKUP(Z214,Dex!$P$22:$Q$276,2,FALSE),"")</f>
        <v/>
      </c>
      <c r="AB214" s="3426"/>
      <c r="AC214" s="3421"/>
      <c r="AD214" s="3423" t="s">
        <v>513</v>
      </c>
      <c r="AE214" s="3424">
        <f t="array" ref="AE214">IFERROR(VLOOKUP(AD201,Dex!$B$3:$N298,8,FALSE),"")</f>
        <v>105</v>
      </c>
      <c r="AF214" s="3425" t="str">
        <f t="array" ref="AF214">IFERROR(VLOOKUP(AE214,Dex!$P$22:$Q$276,2,FALSE),"")</f>
        <v/>
      </c>
      <c r="AG214" s="3426"/>
      <c r="AH214" s="3422"/>
      <c r="AI214" s="6297"/>
    </row>
    <row r="215" ht="16.5" customHeight="1">
      <c r="A215" s="6289"/>
      <c r="B215" s="3358"/>
      <c r="C215" s="3349"/>
      <c r="D215" s="3359"/>
      <c r="E215" s="3427" t="s">
        <v>514</v>
      </c>
      <c r="F215" s="3428">
        <f t="array" ref="F215">IFERROR(VLOOKUP(E201,Dex!$B$3:$N298,9,FALSE),"")</f>
        <v>55</v>
      </c>
      <c r="G215" s="3429" t="str">
        <f t="array" ref="G215">IFERROR(VLOOKUP(F215,Dex!$P$22:$Q$276,2,FALSE),"")</f>
        <v/>
      </c>
      <c r="H215" s="3430"/>
      <c r="I215" s="3419"/>
      <c r="J215" s="3427" t="s">
        <v>514</v>
      </c>
      <c r="K215" s="3428">
        <f t="array" ref="K215">IFERROR(VLOOKUP(J201,Dex!$B$3:$N298,9,FALSE),"")</f>
        <v>143</v>
      </c>
      <c r="L215" s="3429" t="str">
        <f t="array" ref="L215">IFERROR(VLOOKUP(K215,Dex!$P$22:$Q$276,2,FALSE),"")</f>
        <v/>
      </c>
      <c r="M215" s="3430"/>
      <c r="N215" s="3419"/>
      <c r="O215" s="3427" t="s">
        <v>514</v>
      </c>
      <c r="P215" s="3428">
        <f t="array" ref="P215">IFERROR(VLOOKUP(O201,Dex!$B$3:$N298,9,FALSE),"")</f>
        <v>120</v>
      </c>
      <c r="Q215" s="3429" t="str">
        <f t="array" ref="Q215">IFERROR(VLOOKUP(P215,Dex!$P$22:$Q$276,2,FALSE),"")</f>
        <v/>
      </c>
      <c r="R215" s="3430"/>
      <c r="S215" s="3420"/>
      <c r="T215" s="3427" t="s">
        <v>514</v>
      </c>
      <c r="U215" s="3428">
        <f t="array" ref="U215">IFERROR(VLOOKUP(T201,Dex!$B$3:$N298,9,FALSE),"")</f>
        <v>134</v>
      </c>
      <c r="V215" s="3429" t="str">
        <f t="array" ref="V215">IFERROR(VLOOKUP(U215,Dex!$P$22:$Q$276,2,FALSE),"")</f>
        <v/>
      </c>
      <c r="W215" s="3430"/>
      <c r="X215" s="3421"/>
      <c r="Y215" s="3427" t="s">
        <v>514</v>
      </c>
      <c r="Z215" s="3428">
        <f t="array" ref="Z215">IFERROR(VLOOKUP(Y201,Dex!$B$3:$N298,9,FALSE),"")</f>
        <v>120</v>
      </c>
      <c r="AA215" s="3429" t="str">
        <f t="array" ref="AA215">IFERROR(VLOOKUP(Z215,Dex!$P$22:$Q$276,2,FALSE),"")</f>
        <v/>
      </c>
      <c r="AB215" s="3430"/>
      <c r="AC215" s="3421"/>
      <c r="AD215" s="3427" t="s">
        <v>514</v>
      </c>
      <c r="AE215" s="3428">
        <f t="array" ref="AE215">IFERROR(VLOOKUP(AD201,Dex!$B$3:$N298,9,FALSE),"")</f>
        <v>180</v>
      </c>
      <c r="AF215" s="3429" t="str">
        <f t="array" ref="AF215">IFERROR(VLOOKUP(AE215,Dex!$P$22:$Q$276,2,FALSE),"")</f>
        <v/>
      </c>
      <c r="AG215" s="3430"/>
      <c r="AH215" s="3422"/>
      <c r="AI215" s="6297"/>
    </row>
    <row r="216" ht="16.5" customHeight="1">
      <c r="A216" s="6289"/>
      <c r="B216" s="3358"/>
      <c r="C216" s="3349"/>
      <c r="D216" s="3359"/>
      <c r="E216" s="3427" t="s">
        <v>515</v>
      </c>
      <c r="F216" s="3428">
        <f t="array" ref="F216">IFERROR(VLOOKUP(E201,Dex!$B$3:$N298,10,FALSE),"")</f>
        <v>90</v>
      </c>
      <c r="G216" s="3429" t="str">
        <f t="array" ref="G216">IFERROR(VLOOKUP(F216,Dex!$P$22:$Q$276,2,FALSE),"")</f>
        <v/>
      </c>
      <c r="H216" s="3430"/>
      <c r="I216" s="3419"/>
      <c r="J216" s="3427" t="s">
        <v>515</v>
      </c>
      <c r="K216" s="3428">
        <f t="array" ref="K216">IFERROR(VLOOKUP(J201,Dex!$B$3:$N298,10,FALSE),"")</f>
        <v>143</v>
      </c>
      <c r="L216" s="3429" t="str">
        <f t="array" ref="L216">IFERROR(VLOOKUP(K216,Dex!$P$22:$Q$276,2,FALSE),"")</f>
        <v/>
      </c>
      <c r="M216" s="3430"/>
      <c r="N216" s="3419"/>
      <c r="O216" s="3427" t="s">
        <v>515</v>
      </c>
      <c r="P216" s="3428">
        <f t="array" ref="P216">IFERROR(VLOOKUP(O201,Dex!$B$3:$N298,10,FALSE),"")</f>
        <v>120</v>
      </c>
      <c r="Q216" s="3429" t="str">
        <f t="array" ref="Q216">IFERROR(VLOOKUP(P216,Dex!$P$22:$Q$276,2,FALSE),"")</f>
        <v/>
      </c>
      <c r="R216" s="3430"/>
      <c r="S216" s="3420"/>
      <c r="T216" s="3427" t="s">
        <v>515</v>
      </c>
      <c r="U216" s="3428">
        <f t="array" ref="U216">IFERROR(VLOOKUP(T201,Dex!$B$3:$N298,10,FALSE),"")</f>
        <v>95</v>
      </c>
      <c r="V216" s="3429" t="str">
        <f t="array" ref="V216">IFERROR(VLOOKUP(U216,Dex!$P$22:$Q$276,2,FALSE),"")</f>
        <v/>
      </c>
      <c r="W216" s="3430"/>
      <c r="X216" s="3421"/>
      <c r="Y216" s="3427" t="s">
        <v>515</v>
      </c>
      <c r="Z216" s="3428">
        <f t="array" ref="Z216">IFERROR(VLOOKUP(Y201,Dex!$B$3:$N298,10,FALSE),"")</f>
        <v>150</v>
      </c>
      <c r="AA216" s="3429" t="str">
        <f t="array" ref="AA216">IFERROR(VLOOKUP(Z216,Dex!$P$22:$Q$276,2,FALSE),"")</f>
        <v/>
      </c>
      <c r="AB216" s="3430"/>
      <c r="AC216" s="3421"/>
      <c r="AD216" s="3427" t="s">
        <v>515</v>
      </c>
      <c r="AE216" s="3428">
        <f t="array" ref="AE216">IFERROR(VLOOKUP(AD201,Dex!$B$3:$N298,10,FALSE),"")</f>
        <v>100</v>
      </c>
      <c r="AF216" s="3429" t="str">
        <f t="array" ref="AF216">IFERROR(VLOOKUP(AE216,Dex!$P$22:$Q$276,2,FALSE),"")</f>
        <v/>
      </c>
      <c r="AG216" s="3430"/>
      <c r="AH216" s="3422"/>
      <c r="AI216" s="6297"/>
    </row>
    <row r="217" ht="16.5" customHeight="1">
      <c r="A217" s="6289"/>
      <c r="B217" s="3358"/>
      <c r="C217" s="3349"/>
      <c r="D217" s="3359"/>
      <c r="E217" s="3427" t="s">
        <v>516</v>
      </c>
      <c r="F217" s="3428">
        <f t="array" ref="F217">IFERROR(VLOOKUP(E201,Dex!$B$3:$N298,11,FALSE),"")</f>
        <v>130</v>
      </c>
      <c r="G217" s="3429" t="str">
        <f t="array" ref="G217">IFERROR(VLOOKUP(F217,Dex!$P$22:$Q$276,2,FALSE),"")</f>
        <v/>
      </c>
      <c r="H217" s="3430"/>
      <c r="I217" s="3419"/>
      <c r="J217" s="3427" t="s">
        <v>516</v>
      </c>
      <c r="K217" s="3428">
        <f t="array" ref="K217">IFERROR(VLOOKUP(J201,Dex!$B$3:$N298,11,FALSE),"")</f>
        <v>80</v>
      </c>
      <c r="L217" s="3429" t="str">
        <f t="array" ref="L217">IFERROR(VLOOKUP(K217,Dex!$P$22:$Q$276,2,FALSE),"")</f>
        <v/>
      </c>
      <c r="M217" s="3430"/>
      <c r="N217" s="3419"/>
      <c r="O217" s="3427" t="s">
        <v>516</v>
      </c>
      <c r="P217" s="3428">
        <f t="array" ref="P217">IFERROR(VLOOKUP(O201,Dex!$B$3:$N298,11,FALSE),"")</f>
        <v>120</v>
      </c>
      <c r="Q217" s="3429" t="str">
        <f t="array" ref="Q217">IFERROR(VLOOKUP(P217,Dex!$P$22:$Q$276,2,FALSE),"")</f>
        <v/>
      </c>
      <c r="R217" s="3430"/>
      <c r="S217" s="3420"/>
      <c r="T217" s="3427" t="s">
        <v>516</v>
      </c>
      <c r="U217" s="3428">
        <f t="array" ref="U217">IFERROR(VLOOKUP(T201,Dex!$B$3:$N298,11,FALSE),"")</f>
        <v>100</v>
      </c>
      <c r="V217" s="3429" t="str">
        <f t="array" ref="V217">IFERROR(VLOOKUP(U217,Dex!$P$22:$Q$276,2,FALSE),"")</f>
        <v/>
      </c>
      <c r="W217" s="3430"/>
      <c r="X217" s="3421"/>
      <c r="Y217" s="3427" t="s">
        <v>516</v>
      </c>
      <c r="Z217" s="3428">
        <f t="array" ref="Z217">IFERROR(VLOOKUP(Y201,Dex!$B$3:$N298,11,FALSE),"")</f>
        <v>185</v>
      </c>
      <c r="AA217" s="3429" t="str">
        <f t="array" ref="AA217">IFERROR(VLOOKUP(Z217,Dex!$P$22:$Q$276,2,FALSE),"")</f>
        <v/>
      </c>
      <c r="AB217" s="3430"/>
      <c r="AC217" s="3421"/>
      <c r="AD217" s="3427" t="s">
        <v>516</v>
      </c>
      <c r="AE217" s="3428">
        <f t="array" ref="AE217">IFERROR(VLOOKUP(AD201,Dex!$B$3:$N298,11,FALSE),"")</f>
        <v>180</v>
      </c>
      <c r="AF217" s="3429" t="str">
        <f t="array" ref="AF217">IFERROR(VLOOKUP(AE217,Dex!$P$22:$Q$276,2,FALSE),"")</f>
        <v/>
      </c>
      <c r="AG217" s="3430"/>
      <c r="AH217" s="3422"/>
      <c r="AI217" s="6297"/>
    </row>
    <row r="218" ht="16.5" customHeight="1">
      <c r="A218" s="6289"/>
      <c r="B218" s="3358"/>
      <c r="C218" s="3349"/>
      <c r="D218" s="3359"/>
      <c r="E218" s="3427" t="s">
        <v>517</v>
      </c>
      <c r="F218" s="3428">
        <f t="array" ref="F218">IFERROR(VLOOKUP(E201,Dex!$B$3:$N298,12,FALSE),"")</f>
        <v>81</v>
      </c>
      <c r="G218" s="3429" t="str">
        <f t="array" ref="G218">IFERROR(VLOOKUP(F218,Dex!$P$22:$Q$276,2,FALSE),"")</f>
        <v/>
      </c>
      <c r="H218" s="3430"/>
      <c r="I218" s="3419"/>
      <c r="J218" s="3427" t="s">
        <v>517</v>
      </c>
      <c r="K218" s="3428">
        <f t="array" ref="K218">IFERROR(VLOOKUP(J201,Dex!$B$3:$N298,12,FALSE),"")</f>
        <v>65</v>
      </c>
      <c r="L218" s="3429" t="str">
        <f t="array" ref="L218">IFERROR(VLOOKUP(K218,Dex!$P$22:$Q$276,2,FALSE),"")</f>
        <v/>
      </c>
      <c r="M218" s="3430"/>
      <c r="N218" s="3419"/>
      <c r="O218" s="3427" t="s">
        <v>517</v>
      </c>
      <c r="P218" s="3428">
        <f t="array" ref="P218">IFERROR(VLOOKUP(O201,Dex!$B$3:$N298,12,FALSE),"")</f>
        <v>120</v>
      </c>
      <c r="Q218" s="3429" t="str">
        <f t="array" ref="Q218">IFERROR(VLOOKUP(P218,Dex!$P$22:$Q$276,2,FALSE),"")</f>
        <v/>
      </c>
      <c r="R218" s="3430"/>
      <c r="S218" s="3420"/>
      <c r="T218" s="3427" t="s">
        <v>517</v>
      </c>
      <c r="U218" s="3428">
        <f t="array" ref="U218">IFERROR(VLOOKUP(T201,Dex!$B$3:$N298,12,FALSE),"")</f>
        <v>100</v>
      </c>
      <c r="V218" s="3429" t="str">
        <f t="array" ref="V218">IFERROR(VLOOKUP(U218,Dex!$P$22:$Q$276,2,FALSE),"")</f>
        <v/>
      </c>
      <c r="W218" s="3430"/>
      <c r="X218" s="3421"/>
      <c r="Y218" s="3427" t="s">
        <v>517</v>
      </c>
      <c r="Z218" s="3428">
        <f t="array" ref="Z218">IFERROR(VLOOKUP(Y201,Dex!$B$3:$N298,12,FALSE),"")</f>
        <v>130</v>
      </c>
      <c r="AA218" s="3429" t="str">
        <f t="array" ref="AA218">IFERROR(VLOOKUP(Z218,Dex!$P$22:$Q$276,2,FALSE),"")</f>
        <v/>
      </c>
      <c r="AB218" s="3430"/>
      <c r="AC218" s="3421"/>
      <c r="AD218" s="3427" t="s">
        <v>517</v>
      </c>
      <c r="AE218" s="3428">
        <f t="array" ref="AE218">IFERROR(VLOOKUP(AD201,Dex!$B$3:$N298,12,FALSE),"")</f>
        <v>100</v>
      </c>
      <c r="AF218" s="3429" t="str">
        <f t="array" ref="AF218">IFERROR(VLOOKUP(AE218,Dex!$P$22:$Q$276,2,FALSE),"")</f>
        <v/>
      </c>
      <c r="AG218" s="3430"/>
      <c r="AH218" s="3422"/>
      <c r="AI218" s="6297"/>
    </row>
    <row r="219" ht="15.75" customHeight="1">
      <c r="A219" s="6289"/>
      <c r="B219" s="3358"/>
      <c r="C219" s="3349"/>
      <c r="D219" s="3359"/>
      <c r="E219" s="3431" t="s">
        <v>518</v>
      </c>
      <c r="F219" s="3432">
        <f t="array" ref="F219">IFERROR(VLOOKUP(E201,Dex!$B$3:$N298,13,FALSE),"")</f>
        <v>86</v>
      </c>
      <c r="G219" s="3433" t="str">
        <f t="array" ref="G219">IFERROR(VLOOKUP(F219,Dex!$P$22:$Q$276,2,FALSE),"")</f>
        <v/>
      </c>
      <c r="H219" s="3434"/>
      <c r="I219" s="3419"/>
      <c r="J219" s="3431" t="s">
        <v>518</v>
      </c>
      <c r="K219" s="3432">
        <f t="array" ref="K219">IFERROR(VLOOKUP(J201,Dex!$B$3:$N298,13,FALSE),"")</f>
        <v>34</v>
      </c>
      <c r="L219" s="3433" t="str">
        <f t="array" ref="L219">IFERROR(VLOOKUP(K219,Dex!$P$22:$Q$276,2,FALSE),"")</f>
        <v/>
      </c>
      <c r="M219" s="3434"/>
      <c r="N219" s="3419"/>
      <c r="O219" s="3431" t="s">
        <v>518</v>
      </c>
      <c r="P219" s="3432">
        <f t="array" ref="P219">IFERROR(VLOOKUP(O201,Dex!$B$3:$N298,13,FALSE),"")</f>
        <v>120</v>
      </c>
      <c r="Q219" s="3433" t="str">
        <f t="array" ref="Q219">IFERROR(VLOOKUP(P219,Dex!$P$22:$Q$276,2,FALSE),"")</f>
        <v/>
      </c>
      <c r="R219" s="3434"/>
      <c r="S219" s="3420"/>
      <c r="T219" s="3431" t="s">
        <v>518</v>
      </c>
      <c r="U219" s="3432">
        <f t="array" ref="U219">IFERROR(VLOOKUP(T201,Dex!$B$3:$N298,13,FALSE),"")</f>
        <v>80</v>
      </c>
      <c r="V219" s="3433" t="str">
        <f t="array" ref="V219">IFERROR(VLOOKUP(U219,Dex!$P$22:$Q$276,2,FALSE),"")</f>
        <v/>
      </c>
      <c r="W219" s="3434"/>
      <c r="X219" s="3421"/>
      <c r="Y219" s="3431" t="s">
        <v>518</v>
      </c>
      <c r="Z219" s="3432">
        <f t="array" ref="Z219">IFERROR(VLOOKUP(Y201,Dex!$B$3:$N298,13,FALSE),"")</f>
        <v>90</v>
      </c>
      <c r="AA219" s="3433" t="str">
        <f t="array" ref="AA219">IFERROR(VLOOKUP(Z219,Dex!$P$22:$Q$276,2,FALSE),"")</f>
        <v/>
      </c>
      <c r="AB219" s="3434"/>
      <c r="AC219" s="3421"/>
      <c r="AD219" s="3431" t="s">
        <v>518</v>
      </c>
      <c r="AE219" s="3432">
        <f t="array" ref="AE219">IFERROR(VLOOKUP(AD201,Dex!$B$3:$N298,13,FALSE),"")</f>
        <v>115</v>
      </c>
      <c r="AF219" s="3433" t="str">
        <f t="array" ref="AF219">IFERROR(VLOOKUP(AE219,Dex!$P$22:$Q$276,2,FALSE),"")</f>
        <v/>
      </c>
      <c r="AG219" s="3434"/>
      <c r="AH219" s="3422"/>
      <c r="AI219" s="6297"/>
    </row>
    <row r="220" ht="16.5" customHeight="1">
      <c r="A220" s="6289"/>
      <c r="B220" s="3358"/>
      <c r="C220" s="3349"/>
      <c r="D220" s="3359"/>
      <c r="E220" s="3435" t="s">
        <v>519</v>
      </c>
      <c r="F220" s="630"/>
      <c r="G220" s="631"/>
      <c r="H220" s="632">
        <f>ROUNDDOWN((ROUNDDOWN(((((2*F219+31)*85)/100+5)),0))*1.1,0)</f>
        <v>194</v>
      </c>
      <c r="I220" s="3419"/>
      <c r="J220" s="3435" t="s">
        <v>519</v>
      </c>
      <c r="K220" s="630"/>
      <c r="L220" s="631"/>
      <c r="M220" s="632">
        <f>ROUNDDOWN((ROUNDDOWN(((((2*K219+31)*85)/100+5)),0))*1,0)</f>
        <v>89</v>
      </c>
      <c r="N220" s="3419"/>
      <c r="O220" s="3435" t="s">
        <v>519</v>
      </c>
      <c r="P220" s="630"/>
      <c r="Q220" s="631"/>
      <c r="R220" s="632">
        <f>ROUNDDOWN((ROUNDDOWN(((((2*P219+31)*85)/100+5)),0))*1.1,0)</f>
        <v>258</v>
      </c>
      <c r="S220" s="6652"/>
      <c r="T220" s="3435" t="s">
        <v>519</v>
      </c>
      <c r="U220" s="630"/>
      <c r="V220" s="631"/>
      <c r="W220" s="632">
        <f>ROUNDDOWN((ROUNDDOWN(((((2*U219+31)*85)/100+5)),0))*1,0)</f>
        <v>167</v>
      </c>
      <c r="X220" s="3359"/>
      <c r="Y220" s="3435" t="s">
        <v>519</v>
      </c>
      <c r="Z220" s="630"/>
      <c r="AA220" s="631"/>
      <c r="AB220" s="632">
        <f>ROUNDDOWN((ROUNDDOWN(((((2*Z219+31)*85)/100+5)),0))*1,0)</f>
        <v>184</v>
      </c>
      <c r="AC220" s="3359"/>
      <c r="AD220" s="3435" t="s">
        <v>519</v>
      </c>
      <c r="AE220" s="630"/>
      <c r="AF220" s="631"/>
      <c r="AG220" s="632">
        <f>ROUNDDOWN((ROUNDDOWN(((((2*AE219+31)*85)/100+5)),0))*1.1,0)</f>
        <v>248</v>
      </c>
      <c r="AH220" s="3422"/>
      <c r="AI220" s="6297"/>
    </row>
    <row r="221" ht="15.0" customHeight="1">
      <c r="A221" s="6289"/>
      <c r="B221" s="3436"/>
      <c r="C221" s="6653"/>
      <c r="D221" s="6654"/>
      <c r="E221" s="6654"/>
      <c r="F221" s="6654"/>
      <c r="G221" s="6654"/>
      <c r="H221" s="6654"/>
      <c r="I221" s="6655"/>
      <c r="J221" s="6654"/>
      <c r="K221" s="6654"/>
      <c r="L221" s="6654"/>
      <c r="M221" s="6654"/>
      <c r="N221" s="6654"/>
      <c r="O221" s="6656"/>
      <c r="P221" s="6656"/>
      <c r="Q221" s="6656"/>
      <c r="R221" s="6654"/>
      <c r="S221" s="6654"/>
      <c r="T221" s="6654"/>
      <c r="U221" s="6654"/>
      <c r="V221" s="6654"/>
      <c r="W221" s="6654"/>
      <c r="X221" s="6654"/>
      <c r="Y221" s="6654"/>
      <c r="Z221" s="6654"/>
      <c r="AA221" s="6654"/>
      <c r="AB221" s="6654"/>
      <c r="AC221" s="6655"/>
      <c r="AD221" s="6654"/>
      <c r="AE221" s="6654"/>
      <c r="AF221" s="6654"/>
      <c r="AG221" s="6654"/>
      <c r="AH221" s="3441"/>
      <c r="AI221" s="6297"/>
    </row>
    <row r="222" ht="15.0" customHeight="1">
      <c r="A222" s="6289"/>
      <c r="B222" s="2320"/>
      <c r="C222" s="2321"/>
      <c r="D222" s="2322"/>
      <c r="E222" s="2323"/>
      <c r="F222" s="2323"/>
      <c r="G222" s="2323"/>
      <c r="H222" s="2323"/>
      <c r="I222" s="2323"/>
      <c r="J222" s="2323"/>
      <c r="K222" s="2323"/>
      <c r="L222" s="2323"/>
      <c r="M222" s="2323"/>
      <c r="N222" s="2323"/>
      <c r="O222" s="2323"/>
      <c r="P222" s="2323"/>
      <c r="Q222" s="2323"/>
      <c r="R222" s="2323"/>
      <c r="S222" s="2323"/>
      <c r="T222" s="2323"/>
      <c r="U222" s="2323"/>
      <c r="V222" s="2323"/>
      <c r="W222" s="2323"/>
      <c r="X222" s="2323"/>
      <c r="Y222" s="2323"/>
      <c r="Z222" s="2323"/>
      <c r="AA222" s="2323"/>
      <c r="AB222" s="2323"/>
      <c r="AC222" s="2323"/>
      <c r="AD222" s="2323"/>
      <c r="AE222" s="2323"/>
      <c r="AF222" s="2323"/>
      <c r="AG222" s="2323"/>
      <c r="AH222" s="2324"/>
      <c r="AI222" s="6297"/>
    </row>
    <row r="223">
      <c r="A223" s="6289"/>
      <c r="B223" s="2327"/>
      <c r="C223" s="2328"/>
      <c r="D223" s="2329"/>
      <c r="E223" s="2330" t="s">
        <v>1923</v>
      </c>
      <c r="F223" s="1732"/>
      <c r="G223" s="1732"/>
      <c r="H223" s="1732"/>
      <c r="I223" s="1732"/>
      <c r="J223" s="1732"/>
      <c r="K223" s="1732"/>
      <c r="L223" s="1732"/>
      <c r="M223" s="1732"/>
      <c r="N223" s="1732"/>
      <c r="O223" s="1732"/>
      <c r="P223" s="1732"/>
      <c r="Q223" s="1732"/>
      <c r="R223" s="1732"/>
      <c r="S223" s="1732"/>
      <c r="T223" s="1732"/>
      <c r="U223" s="1732"/>
      <c r="V223" s="1732"/>
      <c r="W223" s="1732"/>
      <c r="X223" s="1732"/>
      <c r="Y223" s="1732"/>
      <c r="Z223" s="1732"/>
      <c r="AA223" s="1732"/>
      <c r="AB223" s="1732"/>
      <c r="AC223" s="1732"/>
      <c r="AD223" s="1732"/>
      <c r="AE223" s="1732"/>
      <c r="AF223" s="1732"/>
      <c r="AG223" s="1733"/>
      <c r="AH223" s="2563"/>
      <c r="AI223" s="6297"/>
    </row>
    <row r="224" ht="3.75" customHeight="1">
      <c r="A224" s="6289"/>
      <c r="B224" s="2327"/>
      <c r="C224" s="2335"/>
      <c r="D224" s="2336"/>
      <c r="E224" s="2337"/>
      <c r="F224" s="2337"/>
      <c r="G224" s="2337"/>
      <c r="H224" s="2337"/>
      <c r="I224" s="2338"/>
      <c r="J224" s="2337"/>
      <c r="K224" s="2337"/>
      <c r="L224" s="2337"/>
      <c r="M224" s="2337"/>
      <c r="N224" s="2338"/>
      <c r="O224" s="2337"/>
      <c r="P224" s="2337"/>
      <c r="Q224" s="2337"/>
      <c r="R224" s="2337"/>
      <c r="S224" s="2338"/>
      <c r="T224" s="2337"/>
      <c r="U224" s="2337"/>
      <c r="V224" s="2337"/>
      <c r="W224" s="2337"/>
      <c r="X224" s="2338"/>
      <c r="Y224" s="2337"/>
      <c r="Z224" s="2337"/>
      <c r="AA224" s="2337"/>
      <c r="AB224" s="2337"/>
      <c r="AC224" s="2338"/>
      <c r="AD224" s="2337"/>
      <c r="AE224" s="2337"/>
      <c r="AF224" s="2337"/>
      <c r="AG224" s="2337"/>
      <c r="AH224" s="2334"/>
      <c r="AI224" s="6297"/>
    </row>
    <row r="225" ht="96.75" customHeight="1">
      <c r="A225" s="6289"/>
      <c r="B225" s="2339"/>
      <c r="C225" s="2340" t="str">
        <f>IMAGE("https://i.ibb.co/fXwks6z/Rival.png")</f>
        <v/>
      </c>
      <c r="D225" s="2341"/>
      <c r="E225" s="2342" t="str">
        <f t="array" ref="E225">IFERROR(VLOOKUP(E226,Dex!$B$3:$G298,3,FALSE),"")</f>
        <v/>
      </c>
      <c r="F225" s="1945"/>
      <c r="G225" s="1945"/>
      <c r="H225" s="1946"/>
      <c r="I225" s="2343"/>
      <c r="J225" s="2342" t="str">
        <f t="array" ref="J225">IFERROR(VLOOKUP(J226,Dex!$B$3:$G298,3,FALSE),"")</f>
        <v/>
      </c>
      <c r="K225" s="1945"/>
      <c r="L225" s="1945"/>
      <c r="M225" s="1946"/>
      <c r="N225" s="2344"/>
      <c r="O225" s="2342" t="str">
        <f t="array" ref="O225">IFERROR(VLOOKUP(O226,Dex!$B$3:$G298,3,FALSE),"")</f>
        <v/>
      </c>
      <c r="P225" s="1945"/>
      <c r="Q225" s="1945"/>
      <c r="R225" s="1946"/>
      <c r="S225" s="2344"/>
      <c r="T225" s="2342" t="str">
        <f t="array" ref="T225">IFERROR(VLOOKUP(T226,Dex!$B$3:$G298,3,FALSE),"")</f>
        <v/>
      </c>
      <c r="U225" s="1945"/>
      <c r="V225" s="1945"/>
      <c r="W225" s="1946"/>
      <c r="X225" s="2344"/>
      <c r="Y225" s="2342" t="str">
        <f t="array" ref="Y225">IFERROR(VLOOKUP(Y226,Dex!$B$3:$G298,3,FALSE),"")</f>
        <v/>
      </c>
      <c r="Z225" s="1945"/>
      <c r="AA225" s="1945"/>
      <c r="AB225" s="1946"/>
      <c r="AC225" s="2344"/>
      <c r="AD225" s="2342" t="str">
        <f t="array" ref="AD225">IFERROR(VLOOKUP(AD226,Dex!$B$3:$G298,3,FALSE),"")</f>
        <v/>
      </c>
      <c r="AE225" s="1945"/>
      <c r="AF225" s="1945"/>
      <c r="AG225" s="1946"/>
      <c r="AH225" s="2563"/>
      <c r="AI225" s="6297"/>
    </row>
    <row r="226" ht="18.75" customHeight="1">
      <c r="A226" s="6289"/>
      <c r="B226" s="2348"/>
      <c r="C226" s="2349" t="s">
        <v>1924</v>
      </c>
      <c r="D226" s="2350"/>
      <c r="E226" s="2351" t="s">
        <v>1925</v>
      </c>
      <c r="F226" s="2352"/>
      <c r="G226" s="2352"/>
      <c r="H226" s="2353"/>
      <c r="J226" s="2351" t="s">
        <v>1788</v>
      </c>
      <c r="K226" s="2352"/>
      <c r="L226" s="2352"/>
      <c r="M226" s="2353"/>
      <c r="O226" s="2351" t="s">
        <v>1926</v>
      </c>
      <c r="P226" s="2352"/>
      <c r="Q226" s="2352"/>
      <c r="R226" s="2353"/>
      <c r="T226" s="2351" t="s">
        <v>704</v>
      </c>
      <c r="U226" s="2352"/>
      <c r="V226" s="2352"/>
      <c r="W226" s="2353"/>
      <c r="Y226" s="2351" t="s">
        <v>1927</v>
      </c>
      <c r="Z226" s="2352"/>
      <c r="AA226" s="2352"/>
      <c r="AB226" s="2353"/>
      <c r="AD226" s="2351" t="s">
        <v>677</v>
      </c>
      <c r="AE226" s="2352"/>
      <c r="AF226" s="2352"/>
      <c r="AG226" s="2353"/>
      <c r="AH226" s="2564"/>
      <c r="AI226" s="6297"/>
    </row>
    <row r="227">
      <c r="A227" s="6289"/>
      <c r="B227" s="2358"/>
      <c r="C227" s="556"/>
      <c r="D227" s="2359"/>
      <c r="E227" s="2360" t="s">
        <v>729</v>
      </c>
      <c r="F227" s="2361"/>
      <c r="G227" s="2361"/>
      <c r="H227" s="2362"/>
      <c r="J227" s="2360" t="s">
        <v>729</v>
      </c>
      <c r="K227" s="2361"/>
      <c r="L227" s="2361"/>
      <c r="M227" s="2362"/>
      <c r="O227" s="2360" t="s">
        <v>729</v>
      </c>
      <c r="P227" s="2361"/>
      <c r="Q227" s="2361"/>
      <c r="R227" s="2362"/>
      <c r="T227" s="2360" t="s">
        <v>729</v>
      </c>
      <c r="U227" s="2361"/>
      <c r="V227" s="2361"/>
      <c r="W227" s="2362"/>
      <c r="Y227" s="2360" t="s">
        <v>729</v>
      </c>
      <c r="Z227" s="2361"/>
      <c r="AA227" s="2361"/>
      <c r="AB227" s="2362"/>
      <c r="AD227" s="2360" t="s">
        <v>729</v>
      </c>
      <c r="AE227" s="2361"/>
      <c r="AF227" s="2361"/>
      <c r="AG227" s="2362"/>
      <c r="AH227" s="2563"/>
      <c r="AI227" s="6297"/>
    </row>
    <row r="228" ht="25.5" customHeight="1">
      <c r="A228" s="6289"/>
      <c r="B228" s="2327"/>
      <c r="C228" s="2363"/>
      <c r="D228" s="2364"/>
      <c r="E228" s="2365"/>
      <c r="F228" s="2366" t="str">
        <f t="array" ref="F228">IFERROR(VLOOKUP(E226,Dex!$B$3:$H298,5,FALSE),"")</f>
        <v/>
      </c>
      <c r="G228" s="2367"/>
      <c r="H228" s="2368"/>
      <c r="J228" s="2365"/>
      <c r="K228" s="2369" t="str">
        <f t="array" ref="K228">IFERROR(VLOOKUP(J226,Dex!$B$3:$H298,5,FALSE),"")</f>
        <v/>
      </c>
      <c r="L228" s="2370" t="str">
        <f t="array" ref="L228">IFERROR(VLOOKUP(J226,Dex!$B$3:$H298,7,FALSE),"")</f>
        <v/>
      </c>
      <c r="M228" s="2368"/>
      <c r="O228" s="2365"/>
      <c r="P228" s="2369" t="str">
        <f t="array" ref="P228">IFERROR(VLOOKUP(O226,Dex!$B$3:$H298,5,FALSE),"")</f>
        <v/>
      </c>
      <c r="Q228" s="2370" t="str">
        <f t="array" ref="Q228">IFERROR(VLOOKUP(O226,Dex!$B$3:$H298,7,FALSE),"")</f>
        <v/>
      </c>
      <c r="R228" s="2368"/>
      <c r="T228" s="2365"/>
      <c r="U228" s="2369" t="str">
        <f t="array" ref="U228">IFERROR(VLOOKUP(T226,Dex!$B$3:$H298,5,FALSE),"")</f>
        <v/>
      </c>
      <c r="V228" s="2370" t="str">
        <f t="array" ref="V228">IFERROR(VLOOKUP(T226,Dex!$B$3:$H298,7,FALSE),"")</f>
        <v/>
      </c>
      <c r="W228" s="2368"/>
      <c r="Y228" s="2365"/>
      <c r="Z228" s="2366" t="str">
        <f t="array" ref="Z228">IFERROR(VLOOKUP(Y226,Dex!$B$3:$H298,5,FALSE),"")</f>
        <v/>
      </c>
      <c r="AA228" s="2367"/>
      <c r="AB228" s="2368"/>
      <c r="AD228" s="2365"/>
      <c r="AE228" s="2369" t="str">
        <f t="array" ref="AE228">IFERROR(VLOOKUP(AD226,Dex!$B$3:$H298,5,FALSE),"")</f>
        <v/>
      </c>
      <c r="AF228" s="2370" t="str">
        <f t="array" ref="AF228">IFERROR(VLOOKUP(AD226,Dex!$B$3:$H298,7,FALSE),"")</f>
        <v/>
      </c>
      <c r="AG228" s="2368"/>
      <c r="AH228" s="2334"/>
      <c r="AI228" s="6297"/>
    </row>
    <row r="229" ht="2.25" customHeight="1">
      <c r="A229" s="6289"/>
      <c r="B229" s="2327"/>
      <c r="C229" s="2355"/>
      <c r="D229" s="2364"/>
      <c r="E229" s="2371"/>
      <c r="F229" s="2372"/>
      <c r="G229" s="2372"/>
      <c r="H229" s="2373"/>
      <c r="J229" s="2371"/>
      <c r="K229" s="2372"/>
      <c r="L229" s="2372"/>
      <c r="M229" s="2373"/>
      <c r="O229" s="2371"/>
      <c r="P229" s="2372"/>
      <c r="Q229" s="2372"/>
      <c r="R229" s="2373"/>
      <c r="T229" s="2371"/>
      <c r="U229" s="2372"/>
      <c r="V229" s="2372"/>
      <c r="W229" s="2373"/>
      <c r="Y229" s="2371"/>
      <c r="Z229" s="2372"/>
      <c r="AA229" s="2372"/>
      <c r="AB229" s="2373"/>
      <c r="AD229" s="2371"/>
      <c r="AE229" s="2372"/>
      <c r="AF229" s="2372"/>
      <c r="AG229" s="2373"/>
      <c r="AH229" s="2334"/>
      <c r="AI229" s="6297"/>
    </row>
    <row r="230" ht="20.25" customHeight="1">
      <c r="A230" s="6289"/>
      <c r="B230" s="2327"/>
      <c r="C230" s="2375"/>
      <c r="D230" s="2329"/>
      <c r="E230" s="2376" t="s">
        <v>564</v>
      </c>
      <c r="F230" s="2377"/>
      <c r="G230" s="2377"/>
      <c r="H230" s="2378"/>
      <c r="J230" s="2376" t="s">
        <v>566</v>
      </c>
      <c r="K230" s="2377"/>
      <c r="L230" s="2377"/>
      <c r="M230" s="2378"/>
      <c r="O230" s="2376" t="s">
        <v>564</v>
      </c>
      <c r="P230" s="2377"/>
      <c r="Q230" s="2377"/>
      <c r="R230" s="2378"/>
      <c r="T230" s="2376" t="s">
        <v>532</v>
      </c>
      <c r="U230" s="2377"/>
      <c r="V230" s="2377"/>
      <c r="W230" s="2378"/>
      <c r="Y230" s="2376" t="s">
        <v>532</v>
      </c>
      <c r="Z230" s="2377"/>
      <c r="AA230" s="2377"/>
      <c r="AB230" s="2378"/>
      <c r="AD230" s="2376" t="s">
        <v>564</v>
      </c>
      <c r="AE230" s="2377"/>
      <c r="AF230" s="2377"/>
      <c r="AG230" s="2378"/>
      <c r="AH230" s="2563"/>
      <c r="AI230" s="6297"/>
    </row>
    <row r="231">
      <c r="A231" s="6289"/>
      <c r="B231" s="2327"/>
      <c r="C231" s="2379"/>
      <c r="D231" s="2329"/>
      <c r="E231" s="2380" t="s">
        <v>88</v>
      </c>
      <c r="F231" s="2332"/>
      <c r="G231" s="2332"/>
      <c r="H231" s="2381"/>
      <c r="J231" s="2380" t="s">
        <v>1928</v>
      </c>
      <c r="K231" s="2332"/>
      <c r="L231" s="2332"/>
      <c r="M231" s="2381"/>
      <c r="O231" s="2380" t="s">
        <v>484</v>
      </c>
      <c r="P231" s="2332"/>
      <c r="Q231" s="2332"/>
      <c r="R231" s="2381"/>
      <c r="T231" s="2380" t="s">
        <v>1929</v>
      </c>
      <c r="U231" s="2332"/>
      <c r="V231" s="2332"/>
      <c r="W231" s="2381"/>
      <c r="Y231" s="2380" t="s">
        <v>1914</v>
      </c>
      <c r="Z231" s="2332"/>
      <c r="AA231" s="2332"/>
      <c r="AB231" s="2381"/>
      <c r="AD231" s="2380" t="s">
        <v>58</v>
      </c>
      <c r="AE231" s="2332"/>
      <c r="AF231" s="2332"/>
      <c r="AG231" s="2381"/>
      <c r="AH231" s="2563"/>
      <c r="AI231" s="6297"/>
    </row>
    <row r="232" ht="20.25" customHeight="1">
      <c r="A232" s="6289"/>
      <c r="B232" s="2327"/>
      <c r="C232" s="2355"/>
      <c r="D232" s="2329"/>
      <c r="E232" s="2382" t="s">
        <v>1930</v>
      </c>
      <c r="F232" s="2383"/>
      <c r="G232" s="2384"/>
      <c r="H232" s="2385"/>
      <c r="J232" s="2382" t="s">
        <v>1791</v>
      </c>
      <c r="K232" s="2383"/>
      <c r="L232" s="2384"/>
      <c r="M232" s="2385"/>
      <c r="O232" s="2382" t="s">
        <v>1931</v>
      </c>
      <c r="P232" s="2383"/>
      <c r="Q232" s="2384"/>
      <c r="R232" s="2385"/>
      <c r="T232" s="6657" t="s">
        <v>711</v>
      </c>
      <c r="U232" s="2383"/>
      <c r="V232" s="2384"/>
      <c r="W232" s="2385"/>
      <c r="Y232" s="2382" t="s">
        <v>1899</v>
      </c>
      <c r="Z232" s="2383"/>
      <c r="AA232" s="2384"/>
      <c r="AB232" s="2385"/>
      <c r="AD232" s="2382" t="s">
        <v>639</v>
      </c>
      <c r="AE232" s="2383"/>
      <c r="AF232" s="2384"/>
      <c r="AG232" s="2385"/>
      <c r="AH232" s="2334"/>
      <c r="AI232" s="6297"/>
    </row>
    <row r="233" ht="20.25" customHeight="1">
      <c r="A233" s="6289"/>
      <c r="B233" s="2327"/>
      <c r="C233" s="2375"/>
      <c r="D233" s="2329"/>
      <c r="E233" s="2376" t="s">
        <v>1932</v>
      </c>
      <c r="F233" s="2377"/>
      <c r="G233" s="2386"/>
      <c r="H233" s="2387" t="str">
        <f>IMAGE("https://raw.githubusercontent.com/msikma/pokesprite/master/misc/types/gen8/water.png",4,20,20)</f>
        <v/>
      </c>
      <c r="J233" s="2376" t="s">
        <v>760</v>
      </c>
      <c r="K233" s="2377"/>
      <c r="L233" s="2386"/>
      <c r="M233" s="2387" t="str">
        <f>IMAGE("https://raw.githubusercontent.com/msikma/pokesprite/master/misc/types/gen8/water.png",4,20,20)</f>
        <v/>
      </c>
      <c r="O233" s="2376" t="s">
        <v>617</v>
      </c>
      <c r="P233" s="2377"/>
      <c r="Q233" s="2386"/>
      <c r="R233" s="2387" t="str">
        <f>IMAGE("https://raw.githubusercontent.com/msikma/pokesprite/master/misc/types/gen8/dragon.png",4,20,20)</f>
        <v/>
      </c>
      <c r="T233" s="2376" t="s">
        <v>219</v>
      </c>
      <c r="U233" s="2377"/>
      <c r="V233" s="2386"/>
      <c r="W233" s="2387" t="str">
        <f>IMAGE("https://raw.githubusercontent.com/msikma/pokesprite/master/misc/types/gen8/dragon.png",4,20,20)</f>
        <v/>
      </c>
      <c r="Y233" s="2376" t="s">
        <v>287</v>
      </c>
      <c r="Z233" s="2377"/>
      <c r="AA233" s="2386"/>
      <c r="AB233" s="2387" t="str">
        <f t="shared" ref="AB233:AB234" si="6">IMAGE("https://raw.githubusercontent.com/msikma/pokesprite/master/misc/types/gen8/normal.png",4,20,20)</f>
        <v/>
      </c>
      <c r="AD233" s="2376" t="s">
        <v>649</v>
      </c>
      <c r="AE233" s="2377"/>
      <c r="AF233" s="2386"/>
      <c r="AG233" s="2387" t="str">
        <f>IMAGE("https://raw.githubusercontent.com/msikma/pokesprite/master/misc/types/gen8/water.png",4,20,20)</f>
        <v/>
      </c>
      <c r="AH233" s="2334"/>
      <c r="AI233" s="6297"/>
    </row>
    <row r="234" ht="20.25" customHeight="1">
      <c r="A234" s="6289"/>
      <c r="B234" s="2327"/>
      <c r="C234" s="2328"/>
      <c r="D234" s="2329"/>
      <c r="E234" s="2380" t="s">
        <v>670</v>
      </c>
      <c r="F234" s="2332"/>
      <c r="G234" s="420"/>
      <c r="H234" s="2388" t="str">
        <f>IMAGE("https://raw.githubusercontent.com/msikma/pokesprite/master/misc/types/gen8/ice.png",4,20,20)</f>
        <v/>
      </c>
      <c r="J234" s="2380" t="s">
        <v>1933</v>
      </c>
      <c r="K234" s="2332"/>
      <c r="L234" s="420"/>
      <c r="M234" s="2388" t="str">
        <f>IMAGE("https://raw.githubusercontent.com/msikma/pokesprite/master/misc/types/gen8/ground.png",4,20,20)</f>
        <v/>
      </c>
      <c r="O234" s="2380" t="s">
        <v>773</v>
      </c>
      <c r="P234" s="2332"/>
      <c r="Q234" s="420"/>
      <c r="R234" s="2388" t="str">
        <f>IMAGE("https://raw.githubusercontent.com/msikma/pokesprite/master/misc/types/gen8/poison.png",4,20,20)</f>
        <v/>
      </c>
      <c r="T234" s="2380" t="s">
        <v>716</v>
      </c>
      <c r="U234" s="2332"/>
      <c r="V234" s="420"/>
      <c r="W234" s="2388" t="str">
        <f>IMAGE("https://raw.githubusercontent.com/msikma/pokesprite/master/misc/types/gen8/psychic.png",4,20,20)</f>
        <v/>
      </c>
      <c r="Y234" s="2380" t="s">
        <v>958</v>
      </c>
      <c r="Z234" s="2332"/>
      <c r="AA234" s="420"/>
      <c r="AB234" s="2388" t="str">
        <f t="shared" si="6"/>
        <v/>
      </c>
      <c r="AD234" s="2380" t="s">
        <v>617</v>
      </c>
      <c r="AE234" s="2332"/>
      <c r="AF234" s="420"/>
      <c r="AG234" s="2388" t="str">
        <f>IMAGE("https://raw.githubusercontent.com/msikma/pokesprite/master/misc/types/gen8/dragon.png",4,20,20)</f>
        <v/>
      </c>
      <c r="AH234" s="2334"/>
      <c r="AI234" s="6297"/>
    </row>
    <row r="235" ht="20.25" customHeight="1">
      <c r="A235" s="6289"/>
      <c r="B235" s="2327"/>
      <c r="C235" s="2328"/>
      <c r="D235" s="2329"/>
      <c r="E235" s="2380" t="s">
        <v>844</v>
      </c>
      <c r="F235" s="2332"/>
      <c r="G235" s="420"/>
      <c r="H235" s="2388" t="str">
        <f>IMAGE("https://raw.githubusercontent.com/msikma/pokesprite/master/misc/types/gen8/electric.png",4,20,20)</f>
        <v/>
      </c>
      <c r="J235" s="2380" t="s">
        <v>589</v>
      </c>
      <c r="K235" s="2332"/>
      <c r="L235" s="420"/>
      <c r="M235" s="2388" t="str">
        <f>IMAGE("https://raw.githubusercontent.com/msikma/pokesprite/master/misc/types/gen8/ice.png",4,20,20)</f>
        <v/>
      </c>
      <c r="O235" s="2380" t="s">
        <v>844</v>
      </c>
      <c r="P235" s="2332"/>
      <c r="Q235" s="420"/>
      <c r="R235" s="2388" t="str">
        <f>IMAGE("https://raw.githubusercontent.com/msikma/pokesprite/master/misc/types/gen8/electric.png",4,20,20)</f>
        <v/>
      </c>
      <c r="T235" s="2380" t="s">
        <v>549</v>
      </c>
      <c r="U235" s="2332"/>
      <c r="V235" s="420"/>
      <c r="W235" s="2388" t="str">
        <f>IMAGE("https://raw.githubusercontent.com/msikma/pokesprite/master/misc/types/gen8/ground.png",4,20,20)</f>
        <v/>
      </c>
      <c r="Y235" s="2380" t="s">
        <v>1682</v>
      </c>
      <c r="Z235" s="2332"/>
      <c r="AA235" s="420"/>
      <c r="AB235" s="2388" t="str">
        <f>IMAGE("https://raw.githubusercontent.com/msikma/pokesprite/master/misc/types/gen8/ghost.png",4,20,20)</f>
        <v/>
      </c>
      <c r="AD235" s="2380" t="s">
        <v>619</v>
      </c>
      <c r="AE235" s="2332"/>
      <c r="AF235" s="420"/>
      <c r="AG235" s="2388" t="str">
        <f>IMAGE("https://raw.githubusercontent.com/msikma/pokesprite/master/misc/types/gen8/fire.png",4,20,20)</f>
        <v/>
      </c>
      <c r="AH235" s="2334"/>
      <c r="AI235" s="6297"/>
    </row>
    <row r="236" ht="21.0" customHeight="1">
      <c r="A236" s="6289"/>
      <c r="B236" s="2327"/>
      <c r="C236" s="2328"/>
      <c r="D236" s="2329"/>
      <c r="E236" s="2389" t="s">
        <v>845</v>
      </c>
      <c r="F236" s="2390"/>
      <c r="G236" s="2391"/>
      <c r="H236" s="2392" t="str">
        <f>IMAGE("https://raw.githubusercontent.com/msikma/pokesprite/master/misc/types/gen8/water.png",4,20,20)</f>
        <v/>
      </c>
      <c r="I236" s="2393"/>
      <c r="J236" s="2389" t="s">
        <v>621</v>
      </c>
      <c r="K236" s="2390"/>
      <c r="L236" s="2391"/>
      <c r="M236" s="2392" t="str">
        <f>IMAGE("https://raw.githubusercontent.com/msikma/pokesprite/master/misc/types/gen8/rock.png",4,20,20)</f>
        <v/>
      </c>
      <c r="N236" s="2393"/>
      <c r="O236" s="2389" t="s">
        <v>501</v>
      </c>
      <c r="P236" s="2390"/>
      <c r="Q236" s="2391"/>
      <c r="R236" s="2392" t="str">
        <f>IMAGE("https://raw.githubusercontent.com/msikma/pokesprite/master/misc/types/gen8/normal.png",4,20,20)</f>
        <v/>
      </c>
      <c r="S236" s="2393"/>
      <c r="T236" s="2389" t="s">
        <v>621</v>
      </c>
      <c r="U236" s="2390"/>
      <c r="V236" s="2391"/>
      <c r="W236" s="2392" t="str">
        <f>IMAGE("https://raw.githubusercontent.com/msikma/pokesprite/master/misc/types/gen8/rock.png",4,20,20)</f>
        <v/>
      </c>
      <c r="X236" s="2393"/>
      <c r="Y236" s="2389" t="s">
        <v>501</v>
      </c>
      <c r="Z236" s="2390"/>
      <c r="AA236" s="2391"/>
      <c r="AB236" s="2392" t="str">
        <f>IMAGE("https://raw.githubusercontent.com/msikma/pokesprite/master/misc/types/gen8/normal.png",4,20,20)</f>
        <v/>
      </c>
      <c r="AC236" s="2393"/>
      <c r="AD236" s="2389" t="s">
        <v>546</v>
      </c>
      <c r="AE236" s="2390"/>
      <c r="AF236" s="2391"/>
      <c r="AG236" s="2392" t="str">
        <f>IMAGE("https://raw.githubusercontent.com/msikma/pokesprite/master/misc/types/gen8/flying.png",4,20,20)</f>
        <v/>
      </c>
      <c r="AH236" s="2334"/>
      <c r="AI236" s="6297"/>
    </row>
    <row r="237" ht="3.0" customHeight="1">
      <c r="A237" s="6289"/>
      <c r="B237" s="2395"/>
      <c r="C237" s="2396"/>
      <c r="D237" s="2397"/>
      <c r="E237" s="2398"/>
      <c r="F237" s="2398"/>
      <c r="G237" s="2398"/>
      <c r="H237" s="2398"/>
      <c r="I237" s="2397"/>
      <c r="J237" s="2398"/>
      <c r="K237" s="2398"/>
      <c r="L237" s="2398"/>
      <c r="M237" s="2398"/>
      <c r="N237" s="2397"/>
      <c r="O237" s="2398"/>
      <c r="P237" s="2398"/>
      <c r="Q237" s="2398"/>
      <c r="R237" s="2398"/>
      <c r="S237" s="2397"/>
      <c r="T237" s="2398"/>
      <c r="U237" s="2398"/>
      <c r="V237" s="2398"/>
      <c r="W237" s="2398"/>
      <c r="X237" s="2397"/>
      <c r="Y237" s="2398"/>
      <c r="Z237" s="2398"/>
      <c r="AA237" s="2398"/>
      <c r="AB237" s="2398"/>
      <c r="AC237" s="2400"/>
      <c r="AD237" s="2398"/>
      <c r="AE237" s="2398"/>
      <c r="AF237" s="2398"/>
      <c r="AG237" s="2398"/>
      <c r="AH237" s="2401"/>
      <c r="AI237" s="6297"/>
    </row>
    <row r="238" ht="16.5" customHeight="1">
      <c r="A238" s="6289"/>
      <c r="B238" s="2403"/>
      <c r="C238" s="2396"/>
      <c r="D238" s="2404"/>
      <c r="E238" s="726" t="s">
        <v>512</v>
      </c>
      <c r="F238" s="606"/>
      <c r="G238" s="606"/>
      <c r="H238" s="607"/>
      <c r="I238" s="2405"/>
      <c r="J238" s="726" t="s">
        <v>512</v>
      </c>
      <c r="K238" s="606"/>
      <c r="L238" s="606"/>
      <c r="M238" s="607"/>
      <c r="N238" s="2406"/>
      <c r="O238" s="726" t="s">
        <v>512</v>
      </c>
      <c r="P238" s="606"/>
      <c r="Q238" s="606"/>
      <c r="R238" s="607"/>
      <c r="S238" s="2566"/>
      <c r="T238" s="726" t="s">
        <v>512</v>
      </c>
      <c r="U238" s="606"/>
      <c r="V238" s="606"/>
      <c r="W238" s="607"/>
      <c r="X238" s="2566"/>
      <c r="Y238" s="726" t="s">
        <v>512</v>
      </c>
      <c r="Z238" s="606"/>
      <c r="AA238" s="606"/>
      <c r="AB238" s="607"/>
      <c r="AC238" s="2566"/>
      <c r="AD238" s="726" t="s">
        <v>512</v>
      </c>
      <c r="AE238" s="606"/>
      <c r="AF238" s="606"/>
      <c r="AG238" s="607"/>
      <c r="AH238" s="2410"/>
      <c r="AI238" s="6297"/>
    </row>
    <row r="239" ht="16.5" customHeight="1">
      <c r="A239" s="6289"/>
      <c r="B239" s="2403"/>
      <c r="C239" s="2396"/>
      <c r="D239" s="2404"/>
      <c r="E239" s="731" t="s">
        <v>513</v>
      </c>
      <c r="F239" s="732">
        <f t="array" ref="F239">IFERROR(VLOOKUP(E226,Dex!$B$3:$N298,8,FALSE),"")</f>
        <v>100</v>
      </c>
      <c r="G239" s="733" t="str">
        <f t="array" ref="G239">IFERROR(VLOOKUP(F239,Dex!$P$22:$Q$276,2,FALSE),"")</f>
        <v/>
      </c>
      <c r="H239" s="734"/>
      <c r="I239" s="2405"/>
      <c r="J239" s="731" t="s">
        <v>513</v>
      </c>
      <c r="K239" s="732">
        <f t="array" ref="K239">IFERROR(VLOOKUP(J226,Dex!$B$3:$N298,8,FALSE),"")</f>
        <v>100</v>
      </c>
      <c r="L239" s="733" t="str">
        <f t="array" ref="L239">IFERROR(VLOOKUP(K239,Dex!$P$22:$Q$276,2,FALSE),"")</f>
        <v/>
      </c>
      <c r="M239" s="734"/>
      <c r="N239" s="2412"/>
      <c r="O239" s="731" t="s">
        <v>513</v>
      </c>
      <c r="P239" s="732">
        <f t="array" ref="P239">IFERROR(VLOOKUP(O226,Dex!$B$3:$N298,8,FALSE),"")</f>
        <v>140</v>
      </c>
      <c r="Q239" s="733" t="str">
        <f t="array" ref="Q239">IFERROR(VLOOKUP(P239,Dex!$P$22:$Q$276,2,FALSE),"")</f>
        <v/>
      </c>
      <c r="R239" s="734"/>
      <c r="S239" s="2409"/>
      <c r="T239" s="731" t="s">
        <v>513</v>
      </c>
      <c r="U239" s="732">
        <f t="array" ref="U239">IFERROR(VLOOKUP(T226,Dex!$B$3:$N298,8,FALSE),"")</f>
        <v>97</v>
      </c>
      <c r="V239" s="733" t="str">
        <f t="array" ref="V239">IFERROR(VLOOKUP(U239,Dex!$P$22:$Q$276,2,FALSE),"")</f>
        <v/>
      </c>
      <c r="W239" s="734"/>
      <c r="X239" s="2409"/>
      <c r="Y239" s="731" t="s">
        <v>513</v>
      </c>
      <c r="Z239" s="732">
        <f t="array" ref="Z239">IFERROR(VLOOKUP(Y226,Dex!$B$3:$N298,8,FALSE),"")</f>
        <v>120</v>
      </c>
      <c r="AA239" s="733" t="str">
        <f t="array" ref="AA239">IFERROR(VLOOKUP(Z239,Dex!$P$22:$Q$276,2,FALSE),"")</f>
        <v/>
      </c>
      <c r="AB239" s="734"/>
      <c r="AC239" s="2409"/>
      <c r="AD239" s="731" t="s">
        <v>513</v>
      </c>
      <c r="AE239" s="732">
        <f t="array" ref="AE239">IFERROR(VLOOKUP(AD226,Dex!$B$3:$N298,8,FALSE),"")</f>
        <v>99</v>
      </c>
      <c r="AF239" s="733" t="str">
        <f t="array" ref="AF239">IFERROR(VLOOKUP(AE239,Dex!$P$22:$Q$276,2,FALSE),"")</f>
        <v/>
      </c>
      <c r="AG239" s="734"/>
      <c r="AH239" s="2410"/>
      <c r="AI239" s="6297"/>
    </row>
    <row r="240" ht="16.5" customHeight="1">
      <c r="A240" s="6289"/>
      <c r="B240" s="2403"/>
      <c r="C240" s="2396"/>
      <c r="D240" s="2404"/>
      <c r="E240" s="738" t="s">
        <v>514</v>
      </c>
      <c r="F240" s="739">
        <f t="array" ref="F240">IFERROR(VLOOKUP(E226,Dex!$B$3:$N298,9,FALSE),"")</f>
        <v>150</v>
      </c>
      <c r="G240" s="740" t="str">
        <f t="array" ref="G240">IFERROR(VLOOKUP(F240,Dex!$P$22:$Q$276,2,FALSE),"")</f>
        <v/>
      </c>
      <c r="H240" s="741"/>
      <c r="I240" s="2405"/>
      <c r="J240" s="738" t="s">
        <v>514</v>
      </c>
      <c r="K240" s="739">
        <f t="array" ref="K240">IFERROR(VLOOKUP(J226,Dex!$B$3:$N298,9,FALSE),"")</f>
        <v>150</v>
      </c>
      <c r="L240" s="740" t="str">
        <f t="array" ref="L240">IFERROR(VLOOKUP(K240,Dex!$P$22:$Q$276,2,FALSE),"")</f>
        <v/>
      </c>
      <c r="M240" s="741"/>
      <c r="N240" s="2412"/>
      <c r="O240" s="738" t="s">
        <v>514</v>
      </c>
      <c r="P240" s="739">
        <f t="array" ref="P240">IFERROR(VLOOKUP(O226,Dex!$B$3:$N298,9,FALSE),"")</f>
        <v>105</v>
      </c>
      <c r="Q240" s="740" t="str">
        <f t="array" ref="Q240">IFERROR(VLOOKUP(P240,Dex!$P$22:$Q$276,2,FALSE),"")</f>
        <v/>
      </c>
      <c r="R240" s="741"/>
      <c r="S240" s="2409"/>
      <c r="T240" s="738" t="s">
        <v>514</v>
      </c>
      <c r="U240" s="739">
        <f t="array" ref="U240">IFERROR(VLOOKUP(T226,Dex!$B$3:$N298,9,FALSE),"")</f>
        <v>167</v>
      </c>
      <c r="V240" s="740" t="str">
        <f t="array" ref="V240">IFERROR(VLOOKUP(U240,Dex!$P$22:$Q$276,2,FALSE),"")</f>
        <v/>
      </c>
      <c r="W240" s="741"/>
      <c r="X240" s="2409"/>
      <c r="Y240" s="738" t="s">
        <v>514</v>
      </c>
      <c r="Z240" s="739">
        <f t="array" ref="Z240">IFERROR(VLOOKUP(Y226,Dex!$B$3:$N298,9,FALSE),"")</f>
        <v>120</v>
      </c>
      <c r="AA240" s="740" t="str">
        <f t="array" ref="AA240">IFERROR(VLOOKUP(Z240,Dex!$P$22:$Q$276,2,FALSE),"")</f>
        <v/>
      </c>
      <c r="AB240" s="741"/>
      <c r="AC240" s="2409"/>
      <c r="AD240" s="738" t="s">
        <v>514</v>
      </c>
      <c r="AE240" s="739">
        <f t="array" ref="AE240">IFERROR(VLOOKUP(AD226,Dex!$B$3:$N298,9,FALSE),"")</f>
        <v>83</v>
      </c>
      <c r="AF240" s="740" t="str">
        <f t="array" ref="AF240">IFERROR(VLOOKUP(AE240,Dex!$P$22:$Q$276,2,FALSE),"")</f>
        <v/>
      </c>
      <c r="AG240" s="741"/>
      <c r="AH240" s="2410"/>
      <c r="AI240" s="6297"/>
    </row>
    <row r="241" ht="16.5" customHeight="1">
      <c r="A241" s="6289"/>
      <c r="B241" s="2403"/>
      <c r="C241" s="2396"/>
      <c r="D241" s="2404"/>
      <c r="E241" s="738" t="s">
        <v>515</v>
      </c>
      <c r="F241" s="739">
        <f t="array" ref="F241">IFERROR(VLOOKUP(E226,Dex!$B$3:$N298,10,FALSE),"")</f>
        <v>90</v>
      </c>
      <c r="G241" s="740" t="str">
        <f t="array" ref="G241">IFERROR(VLOOKUP(F241,Dex!$P$22:$Q$276,2,FALSE),"")</f>
        <v/>
      </c>
      <c r="H241" s="741"/>
      <c r="I241" s="2405"/>
      <c r="J241" s="738" t="s">
        <v>515</v>
      </c>
      <c r="K241" s="739">
        <f t="array" ref="K241">IFERROR(VLOOKUP(J226,Dex!$B$3:$N298,10,FALSE),"")</f>
        <v>110</v>
      </c>
      <c r="L241" s="740" t="str">
        <f t="array" ref="L241">IFERROR(VLOOKUP(K241,Dex!$P$22:$Q$276,2,FALSE),"")</f>
        <v/>
      </c>
      <c r="M241" s="741"/>
      <c r="N241" s="2412"/>
      <c r="O241" s="738" t="s">
        <v>515</v>
      </c>
      <c r="P241" s="739">
        <f t="array" ref="P241">IFERROR(VLOOKUP(O226,Dex!$B$3:$N298,10,FALSE),"")</f>
        <v>110</v>
      </c>
      <c r="Q241" s="740" t="str">
        <f t="array" ref="Q241">IFERROR(VLOOKUP(P241,Dex!$P$22:$Q$276,2,FALSE),"")</f>
        <v/>
      </c>
      <c r="R241" s="741"/>
      <c r="S241" s="2409"/>
      <c r="T241" s="738" t="s">
        <v>515</v>
      </c>
      <c r="U241" s="739">
        <f t="array" ref="U241">IFERROR(VLOOKUP(T226,Dex!$B$3:$N298,10,FALSE),"")</f>
        <v>97</v>
      </c>
      <c r="V241" s="740" t="str">
        <f t="array" ref="V241">IFERROR(VLOOKUP(U241,Dex!$P$22:$Q$276,2,FALSE),"")</f>
        <v/>
      </c>
      <c r="W241" s="741"/>
      <c r="X241" s="2409"/>
      <c r="Y241" s="738" t="s">
        <v>515</v>
      </c>
      <c r="Z241" s="739">
        <f t="array" ref="Z241">IFERROR(VLOOKUP(Y226,Dex!$B$3:$N298,10,FALSE),"")</f>
        <v>120</v>
      </c>
      <c r="AA241" s="740" t="str">
        <f t="array" ref="AA241">IFERROR(VLOOKUP(Z241,Dex!$P$22:$Q$276,2,FALSE),"")</f>
        <v/>
      </c>
      <c r="AB241" s="741"/>
      <c r="AC241" s="2409"/>
      <c r="AD241" s="738" t="s">
        <v>515</v>
      </c>
      <c r="AE241" s="739">
        <f t="array" ref="AE241">IFERROR(VLOOKUP(AD226,Dex!$B$3:$N298,10,FALSE),"")</f>
        <v>91</v>
      </c>
      <c r="AF241" s="740" t="str">
        <f t="array" ref="AF241">IFERROR(VLOOKUP(AE241,Dex!$P$22:$Q$276,2,FALSE),"")</f>
        <v/>
      </c>
      <c r="AG241" s="741"/>
      <c r="AH241" s="2410"/>
      <c r="AI241" s="6297"/>
    </row>
    <row r="242" ht="16.5" customHeight="1">
      <c r="A242" s="6289"/>
      <c r="B242" s="2403"/>
      <c r="C242" s="2396"/>
      <c r="D242" s="2404"/>
      <c r="E242" s="738" t="s">
        <v>516</v>
      </c>
      <c r="F242" s="739">
        <f t="array" ref="F242">IFERROR(VLOOKUP(E226,Dex!$B$3:$N298,11,FALSE),"")</f>
        <v>180</v>
      </c>
      <c r="G242" s="740" t="str">
        <f t="array" ref="G242">IFERROR(VLOOKUP(F242,Dex!$P$22:$Q$276,2,FALSE),"")</f>
        <v/>
      </c>
      <c r="H242" s="741"/>
      <c r="I242" s="2405"/>
      <c r="J242" s="738" t="s">
        <v>516</v>
      </c>
      <c r="K242" s="739">
        <f t="array" ref="K242">IFERROR(VLOOKUP(J226,Dex!$B$3:$N298,11,FALSE),"")</f>
        <v>95</v>
      </c>
      <c r="L242" s="740" t="str">
        <f t="array" ref="L242">IFERROR(VLOOKUP(K242,Dex!$P$22:$Q$276,2,FALSE),"")</f>
        <v/>
      </c>
      <c r="M242" s="741"/>
      <c r="N242" s="2412"/>
      <c r="O242" s="738" t="s">
        <v>516</v>
      </c>
      <c r="P242" s="739">
        <f t="array" ref="P242">IFERROR(VLOOKUP(O226,Dex!$B$3:$N298,11,FALSE),"")</f>
        <v>185</v>
      </c>
      <c r="Q242" s="740" t="str">
        <f t="array" ref="Q242">IFERROR(VLOOKUP(P242,Dex!$P$22:$Q$276,2,FALSE),"")</f>
        <v/>
      </c>
      <c r="R242" s="741"/>
      <c r="S242" s="2409"/>
      <c r="T242" s="738" t="s">
        <v>516</v>
      </c>
      <c r="U242" s="739">
        <f t="array" ref="U242">IFERROR(VLOOKUP(T226,Dex!$B$3:$N298,11,FALSE),"")</f>
        <v>167</v>
      </c>
      <c r="V242" s="740" t="str">
        <f t="array" ref="V242">IFERROR(VLOOKUP(U242,Dex!$P$22:$Q$276,2,FALSE),"")</f>
        <v/>
      </c>
      <c r="W242" s="741"/>
      <c r="X242" s="2409"/>
      <c r="Y242" s="738" t="s">
        <v>516</v>
      </c>
      <c r="Z242" s="739">
        <f t="array" ref="Z242">IFERROR(VLOOKUP(Y226,Dex!$B$3:$N298,11,FALSE),"")</f>
        <v>120</v>
      </c>
      <c r="AA242" s="740" t="str">
        <f t="array" ref="AA242">IFERROR(VLOOKUP(Z242,Dex!$P$22:$Q$276,2,FALSE),"")</f>
        <v/>
      </c>
      <c r="AB242" s="741"/>
      <c r="AC242" s="2409"/>
      <c r="AD242" s="738" t="s">
        <v>516</v>
      </c>
      <c r="AE242" s="739">
        <f t="array" ref="AE242">IFERROR(VLOOKUP(AD226,Dex!$B$3:$N298,11,FALSE),"")</f>
        <v>125</v>
      </c>
      <c r="AF242" s="740" t="str">
        <f t="array" ref="AF242">IFERROR(VLOOKUP(AE242,Dex!$P$22:$Q$276,2,FALSE),"")</f>
        <v/>
      </c>
      <c r="AG242" s="741"/>
      <c r="AH242" s="2410"/>
      <c r="AI242" s="6297"/>
    </row>
    <row r="243" ht="16.5" customHeight="1">
      <c r="A243" s="6289"/>
      <c r="B243" s="2403"/>
      <c r="C243" s="2396"/>
      <c r="D243" s="2404"/>
      <c r="E243" s="738" t="s">
        <v>517</v>
      </c>
      <c r="F243" s="739">
        <f t="array" ref="F243">IFERROR(VLOOKUP(E226,Dex!$B$3:$N298,12,FALSE),"")</f>
        <v>160</v>
      </c>
      <c r="G243" s="740" t="str">
        <f t="array" ref="G243">IFERROR(VLOOKUP(F243,Dex!$P$22:$Q$276,2,FALSE),"")</f>
        <v/>
      </c>
      <c r="H243" s="741"/>
      <c r="I243" s="2405"/>
      <c r="J243" s="738" t="s">
        <v>517</v>
      </c>
      <c r="K243" s="739">
        <f t="array" ref="K243">IFERROR(VLOOKUP(J226,Dex!$B$3:$N298,12,FALSE),"")</f>
        <v>110</v>
      </c>
      <c r="L243" s="740" t="str">
        <f t="array" ref="L243">IFERROR(VLOOKUP(K243,Dex!$P$22:$Q$276,2,FALSE),"")</f>
        <v/>
      </c>
      <c r="M243" s="741"/>
      <c r="N243" s="2412"/>
      <c r="O243" s="738" t="s">
        <v>517</v>
      </c>
      <c r="P243" s="739">
        <f t="array" ref="P243">IFERROR(VLOOKUP(O226,Dex!$B$3:$N298,12,FALSE),"")</f>
        <v>110</v>
      </c>
      <c r="Q243" s="740" t="str">
        <f t="array" ref="Q243">IFERROR(VLOOKUP(P243,Dex!$P$22:$Q$276,2,FALSE),"")</f>
        <v/>
      </c>
      <c r="R243" s="741"/>
      <c r="S243" s="2409"/>
      <c r="T243" s="738" t="s">
        <v>517</v>
      </c>
      <c r="U243" s="739">
        <f t="array" ref="U243">IFERROR(VLOOKUP(T226,Dex!$B$3:$N298,12,FALSE),"")</f>
        <v>97</v>
      </c>
      <c r="V243" s="740" t="str">
        <f t="array" ref="V243">IFERROR(VLOOKUP(U243,Dex!$P$22:$Q$276,2,FALSE),"")</f>
        <v/>
      </c>
      <c r="W243" s="741"/>
      <c r="X243" s="2409"/>
      <c r="Y243" s="738" t="s">
        <v>517</v>
      </c>
      <c r="Z243" s="739">
        <f t="array" ref="Z243">IFERROR(VLOOKUP(Y226,Dex!$B$3:$N298,12,FALSE),"")</f>
        <v>120</v>
      </c>
      <c r="AA243" s="740" t="str">
        <f t="array" ref="AA243">IFERROR(VLOOKUP(Z243,Dex!$P$22:$Q$276,2,FALSE),"")</f>
        <v/>
      </c>
      <c r="AB243" s="741"/>
      <c r="AC243" s="2409"/>
      <c r="AD243" s="738" t="s">
        <v>517</v>
      </c>
      <c r="AE243" s="739">
        <f t="array" ref="AE243">IFERROR(VLOOKUP(AD226,Dex!$B$3:$N298,12,FALSE),"")</f>
        <v>83</v>
      </c>
      <c r="AF243" s="740" t="str">
        <f t="array" ref="AF243">IFERROR(VLOOKUP(AE243,Dex!$P$22:$Q$276,2,FALSE),"")</f>
        <v/>
      </c>
      <c r="AG243" s="741"/>
      <c r="AH243" s="2410"/>
      <c r="AI243" s="6297"/>
    </row>
    <row r="244" ht="15.75" customHeight="1">
      <c r="A244" s="6289"/>
      <c r="B244" s="2403"/>
      <c r="C244" s="2396"/>
      <c r="D244" s="2404"/>
      <c r="E244" s="742" t="s">
        <v>518</v>
      </c>
      <c r="F244" s="743">
        <f t="array" ref="F244">IFERROR(VLOOKUP(E226,Dex!$B$3:$N298,13,FALSE),"")</f>
        <v>90</v>
      </c>
      <c r="G244" s="744" t="str">
        <f t="array" ref="G244">IFERROR(VLOOKUP(F244,Dex!$P$22:$Q$276,2,FALSE),"")</f>
        <v/>
      </c>
      <c r="H244" s="745"/>
      <c r="I244" s="2405"/>
      <c r="J244" s="742" t="s">
        <v>518</v>
      </c>
      <c r="K244" s="743">
        <f t="array" ref="K244">IFERROR(VLOOKUP(J226,Dex!$B$3:$N298,13,FALSE),"")</f>
        <v>70</v>
      </c>
      <c r="L244" s="744" t="str">
        <f t="array" ref="L244">IFERROR(VLOOKUP(K244,Dex!$P$22:$Q$276,2,FALSE),"")</f>
        <v/>
      </c>
      <c r="M244" s="745"/>
      <c r="N244" s="2412"/>
      <c r="O244" s="742" t="s">
        <v>518</v>
      </c>
      <c r="P244" s="743">
        <f t="array" ref="P244">IFERROR(VLOOKUP(O226,Dex!$B$3:$N298,13,FALSE),"")</f>
        <v>140</v>
      </c>
      <c r="Q244" s="744" t="str">
        <f t="array" ref="Q244">IFERROR(VLOOKUP(P244,Dex!$P$22:$Q$276,2,FALSE),"")</f>
        <v/>
      </c>
      <c r="R244" s="745"/>
      <c r="S244" s="2409"/>
      <c r="T244" s="742" t="s">
        <v>518</v>
      </c>
      <c r="U244" s="743">
        <f t="array" ref="U244">IFERROR(VLOOKUP(T226,Dex!$B$3:$N298,13,FALSE),"")</f>
        <v>129</v>
      </c>
      <c r="V244" s="744" t="str">
        <f t="array" ref="V244">IFERROR(VLOOKUP(U244,Dex!$P$22:$Q$276,2,FALSE),"")</f>
        <v/>
      </c>
      <c r="W244" s="745"/>
      <c r="X244" s="2409"/>
      <c r="Y244" s="742" t="s">
        <v>518</v>
      </c>
      <c r="Z244" s="743">
        <f t="array" ref="Z244">IFERROR(VLOOKUP(Y226,Dex!$B$3:$N298,13,FALSE),"")</f>
        <v>120</v>
      </c>
      <c r="AA244" s="744" t="str">
        <f t="array" ref="AA244">IFERROR(VLOOKUP(Z244,Dex!$P$22:$Q$276,2,FALSE),"")</f>
        <v/>
      </c>
      <c r="AB244" s="745"/>
      <c r="AC244" s="2409"/>
      <c r="AD244" s="742" t="s">
        <v>518</v>
      </c>
      <c r="AE244" s="743">
        <f t="array" ref="AE244">IFERROR(VLOOKUP(AD226,Dex!$B$3:$N298,13,FALSE),"")</f>
        <v>109</v>
      </c>
      <c r="AF244" s="744" t="str">
        <f t="array" ref="AF244">IFERROR(VLOOKUP(AE244,Dex!$P$22:$Q$276,2,FALSE),"")</f>
        <v/>
      </c>
      <c r="AG244" s="745"/>
      <c r="AH244" s="2410"/>
      <c r="AI244" s="6297"/>
    </row>
    <row r="245" ht="16.5" customHeight="1">
      <c r="A245" s="6289"/>
      <c r="B245" s="2403"/>
      <c r="C245" s="2396"/>
      <c r="D245" s="2404"/>
      <c r="E245" s="746" t="s">
        <v>519</v>
      </c>
      <c r="F245" s="630"/>
      <c r="G245" s="631"/>
      <c r="H245" s="632">
        <f>ROUNDDOWN((ROUNDDOWN(((((2*F244+31)*85)/100+5)),0))*1.1,0)</f>
        <v>202</v>
      </c>
      <c r="I245" s="2405"/>
      <c r="J245" s="748" t="s">
        <v>519</v>
      </c>
      <c r="K245" s="635"/>
      <c r="L245" s="636"/>
      <c r="M245" s="632">
        <f>ROUNDDOWN((ROUNDDOWN(((((2*K244+31)*85)/100+5)),0))*1,0)</f>
        <v>150</v>
      </c>
      <c r="N245" s="2406"/>
      <c r="O245" s="746" t="s">
        <v>519</v>
      </c>
      <c r="P245" s="630"/>
      <c r="Q245" s="631"/>
      <c r="R245" s="632">
        <f>ROUNDDOWN((ROUNDDOWN(((((2*P244+31)*85)/100+5)),0))*1.1,0)</f>
        <v>295</v>
      </c>
      <c r="S245" s="2566"/>
      <c r="T245" s="746" t="s">
        <v>519</v>
      </c>
      <c r="U245" s="630"/>
      <c r="V245" s="631"/>
      <c r="W245" s="632">
        <f>ROUNDDOWN((ROUNDDOWN(((((2*U244+31)*85)/100+5)),0))*1.1,0)</f>
        <v>275</v>
      </c>
      <c r="X245" s="2566"/>
      <c r="Y245" s="746" t="s">
        <v>519</v>
      </c>
      <c r="Z245" s="630"/>
      <c r="AA245" s="631"/>
      <c r="AB245" s="632">
        <f>ROUNDDOWN((ROUNDDOWN(((((2*Z244+31)*85)/100+5)),0))*1.1,0)</f>
        <v>258</v>
      </c>
      <c r="AC245" s="2566"/>
      <c r="AD245" s="746" t="s">
        <v>519</v>
      </c>
      <c r="AE245" s="630"/>
      <c r="AF245" s="631"/>
      <c r="AG245" s="632">
        <f>ROUNDDOWN((ROUNDDOWN(((((2*AE244+31)*85)/100+5)),0))*1.1,0)</f>
        <v>237</v>
      </c>
      <c r="AH245" s="2410"/>
      <c r="AI245" s="6297"/>
    </row>
    <row r="246" ht="16.5" customHeight="1">
      <c r="A246" s="6289"/>
      <c r="B246" s="2403"/>
      <c r="C246" s="2396"/>
      <c r="D246" s="2404"/>
      <c r="E246" s="5328"/>
      <c r="F246" s="5328"/>
      <c r="G246" s="5328"/>
      <c r="H246" s="2396"/>
      <c r="I246" s="6658"/>
      <c r="J246" s="755" t="s">
        <v>555</v>
      </c>
      <c r="K246" s="643"/>
      <c r="L246" s="644"/>
      <c r="M246" s="6317">
        <f>M245*2</f>
        <v>300</v>
      </c>
      <c r="N246" s="6659"/>
      <c r="O246" s="5328"/>
      <c r="P246" s="5328"/>
      <c r="Q246" s="5328"/>
      <c r="R246" s="2396"/>
      <c r="S246" s="6660"/>
      <c r="T246" s="5328"/>
      <c r="U246" s="5328"/>
      <c r="V246" s="5328"/>
      <c r="W246" s="2396"/>
      <c r="X246" s="6660"/>
      <c r="Y246" s="5328"/>
      <c r="Z246" s="5328"/>
      <c r="AA246" s="5328"/>
      <c r="AB246" s="2396"/>
      <c r="AC246" s="2580"/>
      <c r="AD246" s="5328"/>
      <c r="AE246" s="5328"/>
      <c r="AF246" s="5328"/>
      <c r="AG246" s="2396"/>
      <c r="AH246" s="2410"/>
      <c r="AI246" s="6297"/>
    </row>
    <row r="247" ht="11.25" customHeight="1">
      <c r="A247" s="6289"/>
      <c r="B247" s="2327"/>
      <c r="C247" s="2328"/>
      <c r="D247" s="2374"/>
      <c r="E247" s="2413"/>
      <c r="F247" s="2413"/>
      <c r="G247" s="2413"/>
      <c r="H247" s="2413"/>
      <c r="I247" s="2346"/>
      <c r="J247" s="2413"/>
      <c r="K247" s="2413"/>
      <c r="L247" s="2413"/>
      <c r="M247" s="2413"/>
      <c r="N247" s="2346"/>
      <c r="O247" s="2346"/>
      <c r="P247" s="2346"/>
      <c r="Q247" s="2346"/>
      <c r="R247" s="2346"/>
      <c r="S247" s="2346"/>
      <c r="T247" s="2346"/>
      <c r="U247" s="2346"/>
      <c r="V247" s="2346"/>
      <c r="W247" s="2346"/>
      <c r="X247" s="2346"/>
      <c r="Y247" s="2346"/>
      <c r="Z247" s="2346"/>
      <c r="AA247" s="2346"/>
      <c r="AB247" s="2346"/>
      <c r="AC247" s="2346"/>
      <c r="AD247" s="2414"/>
      <c r="AE247" s="2414"/>
      <c r="AF247" s="2414"/>
      <c r="AG247" s="2346"/>
      <c r="AH247" s="2334"/>
      <c r="AI247" s="6297"/>
    </row>
    <row r="248">
      <c r="A248" s="6289"/>
      <c r="B248" s="2327"/>
      <c r="C248" s="2328"/>
      <c r="D248" s="2329"/>
      <c r="E248" s="1731" t="s">
        <v>1934</v>
      </c>
      <c r="F248" s="1732"/>
      <c r="G248" s="1732"/>
      <c r="H248" s="1732"/>
      <c r="I248" s="1732"/>
      <c r="J248" s="1732"/>
      <c r="K248" s="1732"/>
      <c r="L248" s="1732"/>
      <c r="M248" s="1732"/>
      <c r="N248" s="1732"/>
      <c r="O248" s="1732"/>
      <c r="P248" s="1732"/>
      <c r="Q248" s="1732"/>
      <c r="R248" s="1732"/>
      <c r="S248" s="1732"/>
      <c r="T248" s="1732"/>
      <c r="U248" s="1732"/>
      <c r="V248" s="1732"/>
      <c r="W248" s="1732"/>
      <c r="X248" s="1732"/>
      <c r="Y248" s="1732"/>
      <c r="Z248" s="1732"/>
      <c r="AA248" s="1732"/>
      <c r="AB248" s="1732"/>
      <c r="AC248" s="1732"/>
      <c r="AD248" s="1732"/>
      <c r="AE248" s="1732"/>
      <c r="AF248" s="1732"/>
      <c r="AG248" s="1733"/>
      <c r="AH248" s="2563"/>
      <c r="AI248" s="6297"/>
    </row>
    <row r="249" ht="3.75" customHeight="1">
      <c r="A249" s="6289"/>
      <c r="B249" s="2327"/>
      <c r="C249" s="2335"/>
      <c r="D249" s="2336"/>
      <c r="E249" s="2337"/>
      <c r="F249" s="2337"/>
      <c r="G249" s="2337"/>
      <c r="H249" s="2337"/>
      <c r="I249" s="2415"/>
      <c r="J249" s="2337"/>
      <c r="K249" s="2337"/>
      <c r="L249" s="2337"/>
      <c r="M249" s="2337"/>
      <c r="N249" s="2338"/>
      <c r="O249" s="2337"/>
      <c r="P249" s="2337"/>
      <c r="Q249" s="2337"/>
      <c r="R249" s="2337"/>
      <c r="S249" s="2338"/>
      <c r="T249" s="2337"/>
      <c r="U249" s="2337"/>
      <c r="V249" s="2337"/>
      <c r="W249" s="2337"/>
      <c r="X249" s="2338"/>
      <c r="Y249" s="2337"/>
      <c r="Z249" s="2337"/>
      <c r="AA249" s="2337"/>
      <c r="AB249" s="2337"/>
      <c r="AC249" s="2338"/>
      <c r="AD249" s="2337"/>
      <c r="AE249" s="2337"/>
      <c r="AF249" s="2337"/>
      <c r="AG249" s="2337"/>
      <c r="AH249" s="2334"/>
      <c r="AI249" s="6297"/>
    </row>
    <row r="250" ht="96.75" customHeight="1">
      <c r="A250" s="6289"/>
      <c r="B250" s="2339"/>
      <c r="C250" s="2416" t="str">
        <f>IMAGE("https://i.ibb.co/fXwks6z/Rival.png")</f>
        <v/>
      </c>
      <c r="D250" s="2341"/>
      <c r="E250" s="2417" t="str">
        <f t="array" ref="E250">IFERROR(VLOOKUP(E251,Dex!$B$3:$G298,3,FALSE),"")</f>
        <v/>
      </c>
      <c r="F250" s="1945"/>
      <c r="G250" s="1945"/>
      <c r="H250" s="1946"/>
      <c r="I250" s="2418"/>
      <c r="J250" s="2417" t="str">
        <f t="array" ref="J250">IFERROR(VLOOKUP(J251,Dex!$B$3:$G298,3,FALSE),"")</f>
        <v/>
      </c>
      <c r="K250" s="1945"/>
      <c r="L250" s="1945"/>
      <c r="M250" s="1946"/>
      <c r="N250" s="2344"/>
      <c r="O250" s="2417" t="str">
        <f t="array" ref="O250">IFERROR(VLOOKUP(O251,Dex!$B$3:$G298,3,FALSE),"")</f>
        <v/>
      </c>
      <c r="P250" s="1945"/>
      <c r="Q250" s="1945"/>
      <c r="R250" s="1946"/>
      <c r="S250" s="2344"/>
      <c r="T250" s="2417" t="str">
        <f t="array" ref="T250">IFERROR(VLOOKUP(T251,Dex!$B$3:$G298,3,FALSE),"")</f>
        <v/>
      </c>
      <c r="U250" s="1945"/>
      <c r="V250" s="1945"/>
      <c r="W250" s="1946"/>
      <c r="X250" s="2344"/>
      <c r="Y250" s="2417" t="str">
        <f t="array" ref="Y250">IFERROR(VLOOKUP(Y251,Dex!$B$3:$G298,3,FALSE),"")</f>
        <v/>
      </c>
      <c r="Z250" s="1945"/>
      <c r="AA250" s="1945"/>
      <c r="AB250" s="1946"/>
      <c r="AC250" s="2344"/>
      <c r="AD250" s="2417" t="str">
        <f t="array" ref="AD250">IFERROR(VLOOKUP(AD251,Dex!$B$3:$G298,3,FALSE),"")</f>
        <v/>
      </c>
      <c r="AE250" s="1945"/>
      <c r="AF250" s="1945"/>
      <c r="AG250" s="1946"/>
      <c r="AH250" s="2563"/>
      <c r="AI250" s="6297"/>
    </row>
    <row r="251" ht="18.75" customHeight="1">
      <c r="A251" s="6289"/>
      <c r="B251" s="2419"/>
      <c r="C251" s="2349" t="s">
        <v>1935</v>
      </c>
      <c r="D251" s="2420"/>
      <c r="E251" s="2351" t="s">
        <v>1936</v>
      </c>
      <c r="F251" s="2352"/>
      <c r="G251" s="2352"/>
      <c r="H251" s="2353"/>
      <c r="J251" s="2351" t="s">
        <v>1937</v>
      </c>
      <c r="K251" s="2352"/>
      <c r="L251" s="2352"/>
      <c r="M251" s="2353"/>
      <c r="O251" s="2351" t="s">
        <v>1938</v>
      </c>
      <c r="P251" s="2352"/>
      <c r="Q251" s="2352"/>
      <c r="R251" s="2353"/>
      <c r="T251" s="2351" t="s">
        <v>1939</v>
      </c>
      <c r="U251" s="2352"/>
      <c r="V251" s="2352"/>
      <c r="W251" s="2353"/>
      <c r="Y251" s="2351" t="s">
        <v>1940</v>
      </c>
      <c r="Z251" s="2352"/>
      <c r="AA251" s="2352"/>
      <c r="AB251" s="2353"/>
      <c r="AD251" s="2351" t="s">
        <v>1926</v>
      </c>
      <c r="AE251" s="2352"/>
      <c r="AF251" s="2352"/>
      <c r="AG251" s="2353"/>
      <c r="AH251" s="2564"/>
      <c r="AI251" s="6297"/>
    </row>
    <row r="252">
      <c r="A252" s="6289"/>
      <c r="B252" s="2358"/>
      <c r="C252" s="556"/>
      <c r="D252" s="2359"/>
      <c r="E252" s="2360" t="s">
        <v>729</v>
      </c>
      <c r="F252" s="2361"/>
      <c r="G252" s="2361"/>
      <c r="H252" s="2362"/>
      <c r="J252" s="2360" t="s">
        <v>729</v>
      </c>
      <c r="K252" s="2361"/>
      <c r="L252" s="2361"/>
      <c r="M252" s="2362"/>
      <c r="O252" s="2360" t="s">
        <v>729</v>
      </c>
      <c r="P252" s="2361"/>
      <c r="Q252" s="2361"/>
      <c r="R252" s="2362"/>
      <c r="T252" s="2360" t="s">
        <v>729</v>
      </c>
      <c r="U252" s="2361"/>
      <c r="V252" s="2361"/>
      <c r="W252" s="2362"/>
      <c r="Y252" s="2360" t="s">
        <v>729</v>
      </c>
      <c r="Z252" s="2361"/>
      <c r="AA252" s="2361"/>
      <c r="AB252" s="2362"/>
      <c r="AD252" s="2360" t="s">
        <v>729</v>
      </c>
      <c r="AE252" s="2361"/>
      <c r="AF252" s="2361"/>
      <c r="AG252" s="2362"/>
      <c r="AH252" s="2563"/>
      <c r="AI252" s="6297"/>
    </row>
    <row r="253" ht="25.5" customHeight="1">
      <c r="A253" s="6289"/>
      <c r="B253" s="2327"/>
      <c r="C253" s="2363"/>
      <c r="D253" s="2364"/>
      <c r="E253" s="2365"/>
      <c r="F253" s="2369" t="str">
        <f t="array" ref="F253">IFERROR(VLOOKUP(E251,Dex!$B$3:$H298,5,FALSE),"")</f>
        <v/>
      </c>
      <c r="G253" s="2370" t="str">
        <f t="array" ref="G253">IFERROR(VLOOKUP(E251,Dex!$B$3:$H298,7,FALSE),"")</f>
        <v/>
      </c>
      <c r="H253" s="2368"/>
      <c r="J253" s="2365"/>
      <c r="K253" s="2369" t="str">
        <f t="array" ref="K253">IFERROR(VLOOKUP(J251,Dex!$B$3:$H298,5,FALSE),"")</f>
        <v/>
      </c>
      <c r="L253" s="2370" t="str">
        <f t="array" ref="L253">IFERROR(VLOOKUP(J251,Dex!$B$3:$H298,7,FALSE),"")</f>
        <v/>
      </c>
      <c r="M253" s="2368"/>
      <c r="O253" s="2365"/>
      <c r="P253" s="2369" t="str">
        <f t="array" ref="P253">IFERROR(VLOOKUP(O251,Dex!$B$3:$H298,5,FALSE),"")</f>
        <v/>
      </c>
      <c r="Q253" s="2370" t="str">
        <f t="array" ref="Q253">IFERROR(VLOOKUP(O251,Dex!$B$3:$H298,7,FALSE),"")</f>
        <v/>
      </c>
      <c r="R253" s="2368"/>
      <c r="T253" s="2365"/>
      <c r="U253" s="2366" t="str">
        <f t="array" ref="U253">IFERROR(VLOOKUP(T251,Dex!$B$3:$H298,5,FALSE),"")</f>
        <v/>
      </c>
      <c r="V253" s="2367"/>
      <c r="W253" s="2368"/>
      <c r="Y253" s="2365"/>
      <c r="Z253" s="2366" t="str">
        <f t="array" ref="Z253">IFERROR(VLOOKUP(Y251,Dex!$B$3:$H298,5,FALSE),"")</f>
        <v/>
      </c>
      <c r="AA253" s="2367"/>
      <c r="AB253" s="2368"/>
      <c r="AD253" s="2365"/>
      <c r="AE253" s="2369" t="str">
        <f t="array" ref="AE253">IFERROR(VLOOKUP(AD251,Dex!$B$3:$H298,5,FALSE),"")</f>
        <v/>
      </c>
      <c r="AF253" s="2370" t="str">
        <f t="array" ref="AF253">IFERROR(VLOOKUP(AD251,Dex!$B$3:$H298,7,FALSE),"")</f>
        <v/>
      </c>
      <c r="AG253" s="2368"/>
      <c r="AH253" s="2334"/>
      <c r="AI253" s="6297"/>
    </row>
    <row r="254" ht="2.25" customHeight="1">
      <c r="A254" s="6289"/>
      <c r="B254" s="2327"/>
      <c r="C254" s="2355"/>
      <c r="D254" s="2364"/>
      <c r="E254" s="2371"/>
      <c r="F254" s="2372"/>
      <c r="G254" s="2372"/>
      <c r="H254" s="2373"/>
      <c r="J254" s="2371"/>
      <c r="K254" s="2372"/>
      <c r="L254" s="2372"/>
      <c r="M254" s="2373"/>
      <c r="O254" s="2371"/>
      <c r="P254" s="2372"/>
      <c r="Q254" s="2372"/>
      <c r="R254" s="2373"/>
      <c r="T254" s="2371"/>
      <c r="U254" s="2372"/>
      <c r="V254" s="2372"/>
      <c r="W254" s="2373"/>
      <c r="Y254" s="2371"/>
      <c r="Z254" s="2372"/>
      <c r="AA254" s="2372"/>
      <c r="AB254" s="2373"/>
      <c r="AD254" s="2371"/>
      <c r="AE254" s="2372"/>
      <c r="AF254" s="2372"/>
      <c r="AG254" s="2373"/>
      <c r="AH254" s="2334"/>
      <c r="AI254" s="6297"/>
    </row>
    <row r="255" ht="20.25" customHeight="1">
      <c r="A255" s="6289"/>
      <c r="B255" s="2327"/>
      <c r="C255" s="2375"/>
      <c r="D255" s="2329"/>
      <c r="E255" s="2376" t="s">
        <v>532</v>
      </c>
      <c r="F255" s="2377"/>
      <c r="G255" s="2377"/>
      <c r="H255" s="2378"/>
      <c r="J255" s="2376" t="s">
        <v>532</v>
      </c>
      <c r="K255" s="2377"/>
      <c r="L255" s="2377"/>
      <c r="M255" s="2378"/>
      <c r="O255" s="2376" t="s">
        <v>532</v>
      </c>
      <c r="P255" s="2377"/>
      <c r="Q255" s="2377"/>
      <c r="R255" s="2378"/>
      <c r="T255" s="2376" t="s">
        <v>564</v>
      </c>
      <c r="U255" s="2377"/>
      <c r="V255" s="2377"/>
      <c r="W255" s="2378"/>
      <c r="Y255" s="2376" t="s">
        <v>564</v>
      </c>
      <c r="Z255" s="2377"/>
      <c r="AA255" s="2377"/>
      <c r="AB255" s="2378"/>
      <c r="AD255" s="2376" t="s">
        <v>564</v>
      </c>
      <c r="AE255" s="2377"/>
      <c r="AF255" s="2377"/>
      <c r="AG255" s="2378"/>
      <c r="AH255" s="2563"/>
      <c r="AI255" s="6297"/>
    </row>
    <row r="256" ht="20.25" customHeight="1">
      <c r="A256" s="6289"/>
      <c r="B256" s="2327"/>
      <c r="C256" s="2379"/>
      <c r="D256" s="2329"/>
      <c r="E256" s="2380" t="s">
        <v>61</v>
      </c>
      <c r="F256" s="2332"/>
      <c r="G256" s="2332"/>
      <c r="H256" s="2381"/>
      <c r="J256" s="2380" t="s">
        <v>58</v>
      </c>
      <c r="K256" s="2332"/>
      <c r="L256" s="2332"/>
      <c r="M256" s="2381"/>
      <c r="O256" s="2380" t="s">
        <v>57</v>
      </c>
      <c r="P256" s="2332"/>
      <c r="Q256" s="2332"/>
      <c r="R256" s="2381"/>
      <c r="T256" s="2380" t="s">
        <v>1914</v>
      </c>
      <c r="U256" s="2332"/>
      <c r="V256" s="2332"/>
      <c r="W256" s="2381"/>
      <c r="Y256" s="2380" t="s">
        <v>1941</v>
      </c>
      <c r="Z256" s="2332"/>
      <c r="AA256" s="2332"/>
      <c r="AB256" s="2381"/>
      <c r="AD256" s="2380" t="s">
        <v>484</v>
      </c>
      <c r="AE256" s="2332"/>
      <c r="AF256" s="2332"/>
      <c r="AG256" s="2381"/>
      <c r="AH256" s="2563"/>
      <c r="AI256" s="6297"/>
    </row>
    <row r="257" ht="20.25" customHeight="1">
      <c r="A257" s="6289"/>
      <c r="B257" s="2327"/>
      <c r="C257" s="2355"/>
      <c r="D257" s="2329"/>
      <c r="E257" s="2382" t="s">
        <v>1942</v>
      </c>
      <c r="F257" s="2383"/>
      <c r="G257" s="2384"/>
      <c r="H257" s="2385"/>
      <c r="J257" s="2382" t="s">
        <v>733</v>
      </c>
      <c r="K257" s="2383"/>
      <c r="L257" s="2384"/>
      <c r="M257" s="2385" t="str">
        <f>IMAGE("https://raw.githubusercontent.com/msikma/pokesprite/master/items/hold-item/leftovers.png",3)</f>
        <v/>
      </c>
      <c r="O257" s="2382" t="s">
        <v>1943</v>
      </c>
      <c r="P257" s="2383"/>
      <c r="Q257" s="2384"/>
      <c r="R257" s="2385"/>
      <c r="T257" s="2382" t="s">
        <v>1944</v>
      </c>
      <c r="U257" s="2383"/>
      <c r="V257" s="2384"/>
      <c r="W257" s="2385"/>
      <c r="Y257" s="2382" t="s">
        <v>712</v>
      </c>
      <c r="Z257" s="2383"/>
      <c r="AA257" s="2384"/>
      <c r="AB257" s="2385"/>
      <c r="AD257" s="2382" t="s">
        <v>1931</v>
      </c>
      <c r="AE257" s="2383"/>
      <c r="AF257" s="2384"/>
      <c r="AG257" s="2385"/>
      <c r="AH257" s="2334"/>
      <c r="AI257" s="6297"/>
    </row>
    <row r="258" ht="20.25" customHeight="1">
      <c r="A258" s="6289"/>
      <c r="B258" s="2327"/>
      <c r="C258" s="2375"/>
      <c r="D258" s="2329"/>
      <c r="E258" s="2376" t="s">
        <v>191</v>
      </c>
      <c r="F258" s="2377"/>
      <c r="G258" s="2386"/>
      <c r="H258" s="2387" t="str">
        <f>IMAGE("https://raw.githubusercontent.com/msikma/pokesprite/master/misc/types/gen8/rock.png",4,20,20)</f>
        <v/>
      </c>
      <c r="J258" s="2376" t="s">
        <v>219</v>
      </c>
      <c r="K258" s="2377"/>
      <c r="L258" s="2386"/>
      <c r="M258" s="2387" t="str">
        <f>IMAGE("https://raw.githubusercontent.com/msikma/pokesprite/master/misc/types/gen8/dragon.png",4,20,20)</f>
        <v/>
      </c>
      <c r="O258" s="2376" t="s">
        <v>287</v>
      </c>
      <c r="P258" s="2377"/>
      <c r="Q258" s="2386"/>
      <c r="R258" s="2387" t="str">
        <f>IMAGE("https://raw.githubusercontent.com/msikma/pokesprite/master/misc/types/gen8/normal.png",4,20,20)</f>
        <v/>
      </c>
      <c r="T258" s="2376" t="s">
        <v>170</v>
      </c>
      <c r="U258" s="2377"/>
      <c r="V258" s="2386"/>
      <c r="W258" s="2387" t="str">
        <f>IMAGE("https://raw.githubusercontent.com/msikma/pokesprite/master/misc/types/gen8/psychic.png",4,20,20)</f>
        <v/>
      </c>
      <c r="Y258" s="2376" t="s">
        <v>230</v>
      </c>
      <c r="Z258" s="2377"/>
      <c r="AA258" s="2386"/>
      <c r="AB258" s="2387" t="str">
        <f t="shared" ref="AB258:AB259" si="7">IMAGE("https://raw.githubusercontent.com/msikma/pokesprite/master/misc/types/gen8/fairy.png",4,20,20)</f>
        <v/>
      </c>
      <c r="AD258" s="2376" t="s">
        <v>617</v>
      </c>
      <c r="AE258" s="2377"/>
      <c r="AF258" s="2386"/>
      <c r="AG258" s="2387" t="str">
        <f>IMAGE("https://raw.githubusercontent.com/msikma/pokesprite/master/misc/types/gen8/dragon.png",4,20,20)</f>
        <v/>
      </c>
      <c r="AH258" s="2334"/>
      <c r="AI258" s="6297"/>
    </row>
    <row r="259" ht="20.25" customHeight="1">
      <c r="A259" s="6289"/>
      <c r="B259" s="2327"/>
      <c r="C259" s="2328"/>
      <c r="D259" s="2329"/>
      <c r="E259" s="2380" t="s">
        <v>1945</v>
      </c>
      <c r="F259" s="2332"/>
      <c r="G259" s="420"/>
      <c r="H259" s="2388" t="str">
        <f>IMAGE("https://raw.githubusercontent.com/msikma/pokesprite/master/misc/types/gen8/ground.png",4,20,20)</f>
        <v/>
      </c>
      <c r="J259" s="2380" t="s">
        <v>694</v>
      </c>
      <c r="K259" s="2332"/>
      <c r="L259" s="420"/>
      <c r="M259" s="2388" t="str">
        <f>IMAGE("https://raw.githubusercontent.com/msikma/pokesprite/master/misc/types/gen8/fire.png",4,20,20)</f>
        <v/>
      </c>
      <c r="O259" s="2380" t="s">
        <v>694</v>
      </c>
      <c r="P259" s="2332"/>
      <c r="Q259" s="420"/>
      <c r="R259" s="2388" t="str">
        <f>IMAGE("https://raw.githubusercontent.com/msikma/pokesprite/master/misc/types/gen8/fire.png",4,20,20)</f>
        <v/>
      </c>
      <c r="T259" s="2380" t="s">
        <v>644</v>
      </c>
      <c r="U259" s="2332"/>
      <c r="V259" s="420"/>
      <c r="W259" s="2388" t="str">
        <f>IMAGE("https://raw.githubusercontent.com/msikma/pokesprite/master/misc/types/gen8/ground.png",4,20,20)</f>
        <v/>
      </c>
      <c r="Y259" s="2380" t="s">
        <v>641</v>
      </c>
      <c r="Z259" s="2332"/>
      <c r="AA259" s="420"/>
      <c r="AB259" s="2388" t="str">
        <f t="shared" si="7"/>
        <v/>
      </c>
      <c r="AD259" s="2380" t="s">
        <v>773</v>
      </c>
      <c r="AE259" s="2332"/>
      <c r="AF259" s="420"/>
      <c r="AG259" s="2388" t="str">
        <f>IMAGE("https://raw.githubusercontent.com/msikma/pokesprite/master/misc/types/gen8/poison.png",4,20,20)</f>
        <v/>
      </c>
      <c r="AH259" s="2334"/>
      <c r="AI259" s="6297"/>
    </row>
    <row r="260" ht="20.25" customHeight="1">
      <c r="A260" s="6289"/>
      <c r="B260" s="2327"/>
      <c r="C260" s="2328"/>
      <c r="D260" s="2329"/>
      <c r="E260" s="2380" t="s">
        <v>1088</v>
      </c>
      <c r="F260" s="2332"/>
      <c r="G260" s="420"/>
      <c r="H260" s="2388" t="str">
        <f>IMAGE("https://raw.githubusercontent.com/msikma/pokesprite/master/misc/types/gen8/fire.png",4,20,20)</f>
        <v/>
      </c>
      <c r="J260" s="2380" t="s">
        <v>617</v>
      </c>
      <c r="K260" s="2332"/>
      <c r="L260" s="420"/>
      <c r="M260" s="2388" t="str">
        <f>IMAGE("https://raw.githubusercontent.com/msikma/pokesprite/master/misc/types/gen8/dragon.png",4,20,20)</f>
        <v/>
      </c>
      <c r="O260" s="2380" t="s">
        <v>1946</v>
      </c>
      <c r="P260" s="2332"/>
      <c r="Q260" s="420"/>
      <c r="R260" s="2388" t="str">
        <f>IMAGE("https://raw.githubusercontent.com/msikma/pokesprite/master/misc/types/gen8/fighting.png",4,20,20)</f>
        <v/>
      </c>
      <c r="T260" s="2380" t="s">
        <v>670</v>
      </c>
      <c r="U260" s="2332"/>
      <c r="V260" s="420"/>
      <c r="W260" s="2388" t="str">
        <f>IMAGE("https://raw.githubusercontent.com/msikma/pokesprite/master/misc/types/gen8/ice.png",4,20,20)</f>
        <v/>
      </c>
      <c r="Y260" s="2380" t="s">
        <v>547</v>
      </c>
      <c r="Z260" s="2332"/>
      <c r="AA260" s="420"/>
      <c r="AB260" s="2388" t="str">
        <f>IMAGE("https://raw.githubusercontent.com/msikma/pokesprite/master/misc/types/gen8/electric.png",4,20,20)</f>
        <v/>
      </c>
      <c r="AD260" s="2380" t="s">
        <v>619</v>
      </c>
      <c r="AE260" s="2332"/>
      <c r="AF260" s="420"/>
      <c r="AG260" s="2388" t="str">
        <f>IMAGE("https://raw.githubusercontent.com/msikma/pokesprite/master/misc/types/gen8/fire.png",4,20,20)</f>
        <v/>
      </c>
      <c r="AH260" s="2334"/>
      <c r="AI260" s="6297"/>
    </row>
    <row r="261" ht="21.0" customHeight="1">
      <c r="A261" s="6289"/>
      <c r="B261" s="2327"/>
      <c r="C261" s="2328"/>
      <c r="D261" s="2329"/>
      <c r="E261" s="2389" t="s">
        <v>498</v>
      </c>
      <c r="F261" s="2390"/>
      <c r="G261" s="2391"/>
      <c r="H261" s="2392" t="str">
        <f>IMAGE("https://raw.githubusercontent.com/msikma/pokesprite/master/misc/types/gen8/rock.png",4,20,20)</f>
        <v/>
      </c>
      <c r="I261" s="2421"/>
      <c r="J261" s="2389" t="s">
        <v>1702</v>
      </c>
      <c r="K261" s="2390"/>
      <c r="L261" s="2391"/>
      <c r="M261" s="2392" t="str">
        <f>IMAGE("https://raw.githubusercontent.com/msikma/pokesprite/master/misc/types/gen8/normal.png",4,20,20)</f>
        <v/>
      </c>
      <c r="N261" s="2393"/>
      <c r="O261" s="2389" t="s">
        <v>617</v>
      </c>
      <c r="P261" s="2390"/>
      <c r="Q261" s="2391"/>
      <c r="R261" s="2392" t="str">
        <f>IMAGE("https://raw.githubusercontent.com/msikma/pokesprite/master/misc/types/gen8/dragon.png",4,20,20)</f>
        <v/>
      </c>
      <c r="S261" s="2393"/>
      <c r="T261" s="2389" t="s">
        <v>501</v>
      </c>
      <c r="U261" s="2390"/>
      <c r="V261" s="2391"/>
      <c r="W261" s="2392" t="str">
        <f>IMAGE("https://raw.githubusercontent.com/msikma/pokesprite/master/misc/types/gen8/normal.png",4,20,20)</f>
        <v/>
      </c>
      <c r="X261" s="2393"/>
      <c r="Y261" s="2389" t="s">
        <v>590</v>
      </c>
      <c r="Z261" s="2390"/>
      <c r="AA261" s="2391"/>
      <c r="AB261" s="2392" t="str">
        <f>IMAGE("https://raw.githubusercontent.com/msikma/pokesprite/master/misc/types/gen8/fighting.png",4,20,20)</f>
        <v/>
      </c>
      <c r="AC261" s="2393"/>
      <c r="AD261" s="2389" t="s">
        <v>501</v>
      </c>
      <c r="AE261" s="2390"/>
      <c r="AF261" s="2391"/>
      <c r="AG261" s="2392" t="str">
        <f>IMAGE("https://raw.githubusercontent.com/msikma/pokesprite/master/misc/types/gen8/normal.png",4,20,20)</f>
        <v/>
      </c>
      <c r="AH261" s="2334"/>
      <c r="AI261" s="6297"/>
    </row>
    <row r="262" ht="3.0" customHeight="1">
      <c r="A262" s="6289"/>
      <c r="B262" s="2395"/>
      <c r="C262" s="2396"/>
      <c r="D262" s="2397"/>
      <c r="E262" s="2398"/>
      <c r="F262" s="2398"/>
      <c r="G262" s="2398"/>
      <c r="H262" s="2398"/>
      <c r="I262" s="2397"/>
      <c r="J262" s="2398"/>
      <c r="K262" s="2398"/>
      <c r="L262" s="2398"/>
      <c r="M262" s="2398"/>
      <c r="N262" s="2397"/>
      <c r="O262" s="2398"/>
      <c r="P262" s="2398"/>
      <c r="Q262" s="2398"/>
      <c r="R262" s="2398"/>
      <c r="S262" s="2397"/>
      <c r="T262" s="2398"/>
      <c r="U262" s="2398"/>
      <c r="V262" s="2398"/>
      <c r="W262" s="2398"/>
      <c r="X262" s="2397"/>
      <c r="Y262" s="2398"/>
      <c r="Z262" s="2398"/>
      <c r="AA262" s="2398"/>
      <c r="AB262" s="2398"/>
      <c r="AC262" s="2400"/>
      <c r="AD262" s="2398"/>
      <c r="AE262" s="2398"/>
      <c r="AF262" s="2398"/>
      <c r="AG262" s="2398"/>
      <c r="AH262" s="2401"/>
      <c r="AI262" s="6297"/>
    </row>
    <row r="263" ht="16.5" customHeight="1">
      <c r="A263" s="6289"/>
      <c r="B263" s="2403"/>
      <c r="C263" s="2396"/>
      <c r="D263" s="2404"/>
      <c r="E263" s="2422" t="s">
        <v>512</v>
      </c>
      <c r="F263" s="606"/>
      <c r="G263" s="606"/>
      <c r="H263" s="607"/>
      <c r="I263" s="2423"/>
      <c r="J263" s="2422" t="s">
        <v>512</v>
      </c>
      <c r="K263" s="606"/>
      <c r="L263" s="606"/>
      <c r="M263" s="607"/>
      <c r="N263" s="2406"/>
      <c r="O263" s="2422" t="s">
        <v>512</v>
      </c>
      <c r="P263" s="606"/>
      <c r="Q263" s="606"/>
      <c r="R263" s="607"/>
      <c r="S263" s="2566"/>
      <c r="T263" s="2422" t="s">
        <v>512</v>
      </c>
      <c r="U263" s="606"/>
      <c r="V263" s="606"/>
      <c r="W263" s="607"/>
      <c r="X263" s="2566"/>
      <c r="Y263" s="2422" t="s">
        <v>512</v>
      </c>
      <c r="Z263" s="606"/>
      <c r="AA263" s="606"/>
      <c r="AB263" s="607"/>
      <c r="AC263" s="2566"/>
      <c r="AD263" s="2422" t="s">
        <v>512</v>
      </c>
      <c r="AE263" s="606"/>
      <c r="AF263" s="606"/>
      <c r="AG263" s="607"/>
      <c r="AH263" s="2410"/>
      <c r="AI263" s="6297"/>
    </row>
    <row r="264" ht="16.5" customHeight="1">
      <c r="A264" s="6289"/>
      <c r="B264" s="2403"/>
      <c r="C264" s="2396"/>
      <c r="D264" s="2404"/>
      <c r="E264" s="2424" t="s">
        <v>513</v>
      </c>
      <c r="F264" s="2425">
        <f t="array" ref="F264">IFERROR(VLOOKUP(E251,Dex!$B$3:$N298,8,FALSE),"")</f>
        <v>100</v>
      </c>
      <c r="G264" s="2426" t="str">
        <f t="array" ref="G264">IFERROR(VLOOKUP(F264,Dex!$P$22:$Q$276,2,FALSE),"")</f>
        <v/>
      </c>
      <c r="H264" s="1255"/>
      <c r="I264" s="2423"/>
      <c r="J264" s="2424" t="s">
        <v>513</v>
      </c>
      <c r="K264" s="2425">
        <f t="array" ref="K264">IFERROR(VLOOKUP(J251,Dex!$B$3:$N298,8,FALSE),"")</f>
        <v>105</v>
      </c>
      <c r="L264" s="2426" t="str">
        <f t="array" ref="L264">IFERROR(VLOOKUP(K264,Dex!$P$22:$Q$276,2,FALSE),"")</f>
        <v/>
      </c>
      <c r="M264" s="1255"/>
      <c r="N264" s="2412"/>
      <c r="O264" s="2424" t="s">
        <v>513</v>
      </c>
      <c r="P264" s="2425">
        <f t="array" ref="P264">IFERROR(VLOOKUP(O251,Dex!$B$3:$N298,8,FALSE),"")</f>
        <v>100</v>
      </c>
      <c r="Q264" s="2426" t="str">
        <f t="array" ref="Q264">IFERROR(VLOOKUP(P264,Dex!$P$22:$Q$276,2,FALSE),"")</f>
        <v/>
      </c>
      <c r="R264" s="1255"/>
      <c r="S264" s="2409"/>
      <c r="T264" s="2424" t="s">
        <v>513</v>
      </c>
      <c r="U264" s="2425">
        <f t="array" ref="U264">IFERROR(VLOOKUP(T251,Dex!$B$3:$N298,8,FALSE),"")</f>
        <v>120</v>
      </c>
      <c r="V264" s="2426" t="str">
        <f t="array" ref="V264">IFERROR(VLOOKUP(U264,Dex!$P$22:$Q$276,2,FALSE),"")</f>
        <v/>
      </c>
      <c r="W264" s="1255"/>
      <c r="X264" s="2409"/>
      <c r="Y264" s="2424" t="s">
        <v>513</v>
      </c>
      <c r="Z264" s="2425">
        <f t="array" ref="Z264">IFERROR(VLOOKUP(Y251,Dex!$B$3:$N298,8,FALSE),"")</f>
        <v>126</v>
      </c>
      <c r="AA264" s="2426" t="str">
        <f t="array" ref="AA264">IFERROR(VLOOKUP(Z264,Dex!$P$22:$Q$276,2,FALSE),"")</f>
        <v/>
      </c>
      <c r="AB264" s="1255"/>
      <c r="AC264" s="2409"/>
      <c r="AD264" s="2424" t="s">
        <v>513</v>
      </c>
      <c r="AE264" s="2425">
        <f t="array" ref="AE264">IFERROR(VLOOKUP(AD251,Dex!$B$3:$N298,8,FALSE),"")</f>
        <v>140</v>
      </c>
      <c r="AF264" s="2426" t="str">
        <f t="array" ref="AF264">IFERROR(VLOOKUP(AE264,Dex!$P$22:$Q$276,2,FALSE),"")</f>
        <v/>
      </c>
      <c r="AG264" s="1255"/>
      <c r="AH264" s="2410"/>
      <c r="AI264" s="6297"/>
    </row>
    <row r="265" ht="16.5" customHeight="1">
      <c r="A265" s="6289"/>
      <c r="B265" s="2403"/>
      <c r="C265" s="2396"/>
      <c r="D265" s="2404"/>
      <c r="E265" s="2427" t="s">
        <v>514</v>
      </c>
      <c r="F265" s="2428">
        <f t="array" ref="F265">IFERROR(VLOOKUP(E251,Dex!$B$3:$N298,9,FALSE),"")</f>
        <v>180</v>
      </c>
      <c r="G265" s="2429" t="str">
        <f t="array" ref="G265">IFERROR(VLOOKUP(F265,Dex!$P$22:$Q$276,2,FALSE),"")</f>
        <v/>
      </c>
      <c r="H265" s="1261"/>
      <c r="I265" s="2423"/>
      <c r="J265" s="2427" t="s">
        <v>514</v>
      </c>
      <c r="K265" s="2428">
        <f t="array" ref="K265">IFERROR(VLOOKUP(J251,Dex!$B$3:$N298,9,FALSE),"")</f>
        <v>115</v>
      </c>
      <c r="L265" s="2429" t="str">
        <f t="array" ref="L265">IFERROR(VLOOKUP(K265,Dex!$P$22:$Q$276,2,FALSE),"")</f>
        <v/>
      </c>
      <c r="M265" s="1261"/>
      <c r="N265" s="2412"/>
      <c r="O265" s="2427" t="s">
        <v>514</v>
      </c>
      <c r="P265" s="2428">
        <f t="array" ref="P265">IFERROR(VLOOKUP(O251,Dex!$B$3:$N298,9,FALSE),"")</f>
        <v>135</v>
      </c>
      <c r="Q265" s="2429" t="str">
        <f t="array" ref="Q265">IFERROR(VLOOKUP(P265,Dex!$P$22:$Q$276,2,FALSE),"")</f>
        <v/>
      </c>
      <c r="R265" s="1261"/>
      <c r="S265" s="2409"/>
      <c r="T265" s="2427" t="s">
        <v>514</v>
      </c>
      <c r="U265" s="2428">
        <f t="array" ref="U265">IFERROR(VLOOKUP(T251,Dex!$B$3:$N298,9,FALSE),"")</f>
        <v>120</v>
      </c>
      <c r="V265" s="2429" t="str">
        <f t="array" ref="V265">IFERROR(VLOOKUP(U265,Dex!$P$22:$Q$276,2,FALSE),"")</f>
        <v/>
      </c>
      <c r="W265" s="1261"/>
      <c r="X265" s="2409"/>
      <c r="Y265" s="2427" t="s">
        <v>514</v>
      </c>
      <c r="Z265" s="2428">
        <f t="array" ref="Z265">IFERROR(VLOOKUP(Y251,Dex!$B$3:$N298,9,FALSE),"")</f>
        <v>131</v>
      </c>
      <c r="AA265" s="2429" t="str">
        <f t="array" ref="AA265">IFERROR(VLOOKUP(Z265,Dex!$P$22:$Q$276,2,FALSE),"")</f>
        <v/>
      </c>
      <c r="AB265" s="1261"/>
      <c r="AC265" s="2409"/>
      <c r="AD265" s="2427" t="s">
        <v>514</v>
      </c>
      <c r="AE265" s="2428">
        <f t="array" ref="AE265">IFERROR(VLOOKUP(AD251,Dex!$B$3:$N298,9,FALSE),"")</f>
        <v>105</v>
      </c>
      <c r="AF265" s="2429" t="str">
        <f t="array" ref="AF265">IFERROR(VLOOKUP(AE265,Dex!$P$22:$Q$276,2,FALSE),"")</f>
        <v/>
      </c>
      <c r="AG265" s="1261"/>
      <c r="AH265" s="2410"/>
      <c r="AI265" s="6297"/>
    </row>
    <row r="266" ht="16.5" customHeight="1">
      <c r="A266" s="6289"/>
      <c r="B266" s="2403"/>
      <c r="C266" s="2396"/>
      <c r="D266" s="2404"/>
      <c r="E266" s="2427" t="s">
        <v>515</v>
      </c>
      <c r="F266" s="2428">
        <f t="array" ref="F266">IFERROR(VLOOKUP(E251,Dex!$B$3:$N298,10,FALSE),"")</f>
        <v>160</v>
      </c>
      <c r="G266" s="2429" t="str">
        <f t="array" ref="G266">IFERROR(VLOOKUP(F266,Dex!$P$22:$Q$276,2,FALSE),"")</f>
        <v/>
      </c>
      <c r="H266" s="1261"/>
      <c r="I266" s="2423"/>
      <c r="J266" s="2427" t="s">
        <v>515</v>
      </c>
      <c r="K266" s="2428">
        <f t="array" ref="K266">IFERROR(VLOOKUP(J251,Dex!$B$3:$N298,10,FALSE),"")</f>
        <v>121</v>
      </c>
      <c r="L266" s="2429" t="str">
        <f t="array" ref="L266">IFERROR(VLOOKUP(K266,Dex!$P$22:$Q$276,2,FALSE),"")</f>
        <v/>
      </c>
      <c r="M266" s="1261"/>
      <c r="N266" s="2412"/>
      <c r="O266" s="2427" t="s">
        <v>515</v>
      </c>
      <c r="P266" s="2428">
        <f t="array" ref="P266">IFERROR(VLOOKUP(O251,Dex!$B$3:$N298,10,FALSE),"")</f>
        <v>115</v>
      </c>
      <c r="Q266" s="2429" t="str">
        <f t="array" ref="Q266">IFERROR(VLOOKUP(P266,Dex!$P$22:$Q$276,2,FALSE),"")</f>
        <v/>
      </c>
      <c r="R266" s="1261"/>
      <c r="S266" s="2409"/>
      <c r="T266" s="2427" t="s">
        <v>515</v>
      </c>
      <c r="U266" s="2428">
        <f t="array" ref="U266">IFERROR(VLOOKUP(T251,Dex!$B$3:$N298,10,FALSE),"")</f>
        <v>120</v>
      </c>
      <c r="V266" s="2429" t="str">
        <f t="array" ref="V266">IFERROR(VLOOKUP(U266,Dex!$P$22:$Q$276,2,FALSE),"")</f>
        <v/>
      </c>
      <c r="W266" s="1261"/>
      <c r="X266" s="2409"/>
      <c r="Y266" s="2427" t="s">
        <v>515</v>
      </c>
      <c r="Z266" s="2428">
        <f t="array" ref="Z266">IFERROR(VLOOKUP(Y251,Dex!$B$3:$N298,10,FALSE),"")</f>
        <v>95</v>
      </c>
      <c r="AA266" s="2429" t="str">
        <f t="array" ref="AA266">IFERROR(VLOOKUP(Z266,Dex!$P$22:$Q$276,2,FALSE),"")</f>
        <v/>
      </c>
      <c r="AB266" s="1261"/>
      <c r="AC266" s="2409"/>
      <c r="AD266" s="2427" t="s">
        <v>515</v>
      </c>
      <c r="AE266" s="2428">
        <f t="array" ref="AE266">IFERROR(VLOOKUP(AD251,Dex!$B$3:$N298,10,FALSE),"")</f>
        <v>110</v>
      </c>
      <c r="AF266" s="2429" t="str">
        <f t="array" ref="AF266">IFERROR(VLOOKUP(AE266,Dex!$P$22:$Q$276,2,FALSE),"")</f>
        <v/>
      </c>
      <c r="AG266" s="1261"/>
      <c r="AH266" s="2410"/>
      <c r="AI266" s="6297"/>
    </row>
    <row r="267" ht="16.5" customHeight="1">
      <c r="A267" s="6289"/>
      <c r="B267" s="2403"/>
      <c r="C267" s="2396"/>
      <c r="D267" s="2404"/>
      <c r="E267" s="2427" t="s">
        <v>516</v>
      </c>
      <c r="F267" s="2428">
        <f t="array" ref="F267">IFERROR(VLOOKUP(E251,Dex!$B$3:$N298,11,FALSE),"")</f>
        <v>150</v>
      </c>
      <c r="G267" s="2429" t="str">
        <f t="array" ref="G267">IFERROR(VLOOKUP(F267,Dex!$P$22:$Q$276,2,FALSE),"")</f>
        <v/>
      </c>
      <c r="H267" s="1261"/>
      <c r="I267" s="2423"/>
      <c r="J267" s="2427" t="s">
        <v>516</v>
      </c>
      <c r="K267" s="2428">
        <f t="array" ref="K267">IFERROR(VLOOKUP(J251,Dex!$B$3:$N298,11,FALSE),"")</f>
        <v>65</v>
      </c>
      <c r="L267" s="2429" t="str">
        <f t="array" ref="L267">IFERROR(VLOOKUP(K267,Dex!$P$22:$Q$276,2,FALSE),"")</f>
        <v/>
      </c>
      <c r="M267" s="1261"/>
      <c r="N267" s="2412"/>
      <c r="O267" s="2427" t="s">
        <v>516</v>
      </c>
      <c r="P267" s="2428">
        <f t="array" ref="P267">IFERROR(VLOOKUP(O251,Dex!$B$3:$N298,11,FALSE),"")</f>
        <v>85</v>
      </c>
      <c r="Q267" s="2429" t="str">
        <f t="array" ref="Q267">IFERROR(VLOOKUP(P267,Dex!$P$22:$Q$276,2,FALSE),"")</f>
        <v/>
      </c>
      <c r="R267" s="1261"/>
      <c r="S267" s="2409"/>
      <c r="T267" s="2427" t="s">
        <v>516</v>
      </c>
      <c r="U267" s="2428">
        <f t="array" ref="U267">IFERROR(VLOOKUP(T251,Dex!$B$3:$N298,11,FALSE),"")</f>
        <v>120</v>
      </c>
      <c r="V267" s="2429" t="str">
        <f t="array" ref="V267">IFERROR(VLOOKUP(U267,Dex!$P$22:$Q$276,2,FALSE),"")</f>
        <v/>
      </c>
      <c r="W267" s="1261"/>
      <c r="X267" s="2409"/>
      <c r="Y267" s="2427" t="s">
        <v>516</v>
      </c>
      <c r="Z267" s="2428">
        <f t="array" ref="Z267">IFERROR(VLOOKUP(Y251,Dex!$B$3:$N298,11,FALSE),"")</f>
        <v>131</v>
      </c>
      <c r="AA267" s="2429" t="str">
        <f t="array" ref="AA267">IFERROR(VLOOKUP(Z267,Dex!$P$22:$Q$276,2,FALSE),"")</f>
        <v/>
      </c>
      <c r="AB267" s="1261"/>
      <c r="AC267" s="2409"/>
      <c r="AD267" s="2427" t="s">
        <v>516</v>
      </c>
      <c r="AE267" s="2428">
        <f t="array" ref="AE267">IFERROR(VLOOKUP(AD251,Dex!$B$3:$N298,11,FALSE),"")</f>
        <v>185</v>
      </c>
      <c r="AF267" s="2429" t="str">
        <f t="array" ref="AF267">IFERROR(VLOOKUP(AE267,Dex!$P$22:$Q$276,2,FALSE),"")</f>
        <v/>
      </c>
      <c r="AG267" s="1261"/>
      <c r="AH267" s="2410"/>
      <c r="AI267" s="6297"/>
    </row>
    <row r="268" ht="16.5" customHeight="1">
      <c r="A268" s="6289"/>
      <c r="B268" s="2403"/>
      <c r="C268" s="2396"/>
      <c r="D268" s="2404"/>
      <c r="E268" s="2427" t="s">
        <v>517</v>
      </c>
      <c r="F268" s="2428">
        <f t="array" ref="F268">IFERROR(VLOOKUP(E251,Dex!$B$3:$N298,12,FALSE),"")</f>
        <v>90</v>
      </c>
      <c r="G268" s="2429" t="str">
        <f t="array" ref="G268">IFERROR(VLOOKUP(F268,Dex!$P$22:$Q$276,2,FALSE),"")</f>
        <v/>
      </c>
      <c r="H268" s="1261"/>
      <c r="I268" s="2423"/>
      <c r="J268" s="2427" t="s">
        <v>517</v>
      </c>
      <c r="K268" s="2428">
        <f t="array" ref="K268">IFERROR(VLOOKUP(J251,Dex!$B$3:$N298,12,FALSE),"")</f>
        <v>93</v>
      </c>
      <c r="L268" s="2429" t="str">
        <f t="array" ref="L268">IFERROR(VLOOKUP(K268,Dex!$P$22:$Q$276,2,FALSE),"")</f>
        <v/>
      </c>
      <c r="M268" s="1261"/>
      <c r="N268" s="2412"/>
      <c r="O268" s="2427" t="s">
        <v>517</v>
      </c>
      <c r="P268" s="2428">
        <f t="array" ref="P268">IFERROR(VLOOKUP(O251,Dex!$B$3:$N298,12,FALSE),"")</f>
        <v>100</v>
      </c>
      <c r="Q268" s="2429" t="str">
        <f t="array" ref="Q268">IFERROR(VLOOKUP(P268,Dex!$P$22:$Q$276,2,FALSE),"")</f>
        <v/>
      </c>
      <c r="R268" s="1261"/>
      <c r="S268" s="2409"/>
      <c r="T268" s="2427" t="s">
        <v>517</v>
      </c>
      <c r="U268" s="2428">
        <f t="array" ref="U268">IFERROR(VLOOKUP(T251,Dex!$B$3:$N298,12,FALSE),"")</f>
        <v>120</v>
      </c>
      <c r="V268" s="2429" t="str">
        <f t="array" ref="V268">IFERROR(VLOOKUP(U268,Dex!$P$22:$Q$276,2,FALSE),"")</f>
        <v/>
      </c>
      <c r="W268" s="1261"/>
      <c r="X268" s="2409"/>
      <c r="Y268" s="2427" t="s">
        <v>517</v>
      </c>
      <c r="Z268" s="2428">
        <f t="array" ref="Z268">IFERROR(VLOOKUP(Y251,Dex!$B$3:$N298,12,FALSE),"")</f>
        <v>98</v>
      </c>
      <c r="AA268" s="2429" t="str">
        <f t="array" ref="AA268">IFERROR(VLOOKUP(Z268,Dex!$P$22:$Q$276,2,FALSE),"")</f>
        <v/>
      </c>
      <c r="AB268" s="1261"/>
      <c r="AC268" s="2409"/>
      <c r="AD268" s="2427" t="s">
        <v>517</v>
      </c>
      <c r="AE268" s="2428">
        <f t="array" ref="AE268">IFERROR(VLOOKUP(AD251,Dex!$B$3:$N298,12,FALSE),"")</f>
        <v>110</v>
      </c>
      <c r="AF268" s="2429" t="str">
        <f t="array" ref="AF268">IFERROR(VLOOKUP(AE268,Dex!$P$22:$Q$276,2,FALSE),"")</f>
        <v/>
      </c>
      <c r="AG268" s="1261"/>
      <c r="AH268" s="2410"/>
      <c r="AI268" s="6297"/>
    </row>
    <row r="269" ht="15.75" customHeight="1">
      <c r="A269" s="6289"/>
      <c r="B269" s="2403"/>
      <c r="C269" s="2396"/>
      <c r="D269" s="2404"/>
      <c r="E269" s="2430" t="s">
        <v>518</v>
      </c>
      <c r="F269" s="2431">
        <f t="array" ref="F269">IFERROR(VLOOKUP(E251,Dex!$B$3:$N298,13,FALSE),"")</f>
        <v>90</v>
      </c>
      <c r="G269" s="2432" t="str">
        <f t="array" ref="G269">IFERROR(VLOOKUP(F269,Dex!$P$22:$Q$276,2,FALSE),"")</f>
        <v/>
      </c>
      <c r="H269" s="1265"/>
      <c r="I269" s="2423"/>
      <c r="J269" s="2430" t="s">
        <v>518</v>
      </c>
      <c r="K269" s="2431">
        <f t="array" ref="K269">IFERROR(VLOOKUP(J251,Dex!$B$3:$N298,13,FALSE),"")</f>
        <v>91</v>
      </c>
      <c r="L269" s="2432" t="str">
        <f t="array" ref="L269">IFERROR(VLOOKUP(K269,Dex!$P$22:$Q$276,2,FALSE),"")</f>
        <v/>
      </c>
      <c r="M269" s="1265"/>
      <c r="N269" s="2412"/>
      <c r="O269" s="2430" t="s">
        <v>518</v>
      </c>
      <c r="P269" s="2431">
        <f t="array" ref="P269">IFERROR(VLOOKUP(O251,Dex!$B$3:$N298,13,FALSE),"")</f>
        <v>135</v>
      </c>
      <c r="Q269" s="2432" t="str">
        <f t="array" ref="Q269">IFERROR(VLOOKUP(P269,Dex!$P$22:$Q$276,2,FALSE),"")</f>
        <v/>
      </c>
      <c r="R269" s="1265"/>
      <c r="S269" s="2409"/>
      <c r="T269" s="2430" t="s">
        <v>518</v>
      </c>
      <c r="U269" s="2431">
        <f t="array" ref="U269">IFERROR(VLOOKUP(T251,Dex!$B$3:$N298,13,FALSE),"")</f>
        <v>120</v>
      </c>
      <c r="V269" s="2432" t="str">
        <f t="array" ref="V269">IFERROR(VLOOKUP(U269,Dex!$P$22:$Q$276,2,FALSE),"")</f>
        <v/>
      </c>
      <c r="W269" s="1265"/>
      <c r="X269" s="2409"/>
      <c r="Y269" s="2430" t="s">
        <v>518</v>
      </c>
      <c r="Z269" s="2431">
        <f t="array" ref="Z269">IFERROR(VLOOKUP(Y251,Dex!$B$3:$N298,13,FALSE),"")</f>
        <v>99</v>
      </c>
      <c r="AA269" s="2432" t="str">
        <f t="array" ref="AA269">IFERROR(VLOOKUP(Z269,Dex!$P$22:$Q$276,2,FALSE),"")</f>
        <v/>
      </c>
      <c r="AB269" s="1265"/>
      <c r="AC269" s="2409"/>
      <c r="AD269" s="2430" t="s">
        <v>518</v>
      </c>
      <c r="AE269" s="2431">
        <f t="array" ref="AE269">IFERROR(VLOOKUP(AD251,Dex!$B$3:$N298,13,FALSE),"")</f>
        <v>140</v>
      </c>
      <c r="AF269" s="2432" t="str">
        <f t="array" ref="AF269">IFERROR(VLOOKUP(AE269,Dex!$P$22:$Q$276,2,FALSE),"")</f>
        <v/>
      </c>
      <c r="AG269" s="1265"/>
      <c r="AH269" s="2410"/>
      <c r="AI269" s="6297"/>
    </row>
    <row r="270" ht="16.5" customHeight="1">
      <c r="A270" s="6289"/>
      <c r="B270" s="2403"/>
      <c r="C270" s="2396"/>
      <c r="D270" s="2404"/>
      <c r="E270" s="2433" t="s">
        <v>519</v>
      </c>
      <c r="F270" s="630"/>
      <c r="G270" s="631"/>
      <c r="H270" s="632">
        <f>ROUNDDOWN((ROUNDDOWN(((((2*F269+31)*85)/100+5)),0))*1.1,0)</f>
        <v>202</v>
      </c>
      <c r="I270" s="2423"/>
      <c r="J270" s="2433" t="s">
        <v>519</v>
      </c>
      <c r="K270" s="630"/>
      <c r="L270" s="631"/>
      <c r="M270" s="632">
        <f>ROUNDDOWN((ROUNDDOWN(((((2*K269+31)*85)/100+5)),0))*1.1,0)</f>
        <v>204</v>
      </c>
      <c r="N270" s="2406"/>
      <c r="O270" s="2433" t="s">
        <v>519</v>
      </c>
      <c r="P270" s="630"/>
      <c r="Q270" s="631"/>
      <c r="R270" s="632">
        <f>ROUNDDOWN((ROUNDDOWN(((((2*P269+31)*85)/100+5)),0))*1.1,0)</f>
        <v>286</v>
      </c>
      <c r="S270" s="2566"/>
      <c r="T270" s="2433" t="s">
        <v>519</v>
      </c>
      <c r="U270" s="630"/>
      <c r="V270" s="631"/>
      <c r="W270" s="632">
        <f>ROUNDDOWN((ROUNDDOWN(((((2*U269+31)*85)/100+5)),0))*1.1,0)</f>
        <v>258</v>
      </c>
      <c r="X270" s="2566"/>
      <c r="Y270" s="6661" t="s">
        <v>519</v>
      </c>
      <c r="Z270" s="3298"/>
      <c r="AA270" s="3299"/>
      <c r="AB270" s="632">
        <f>ROUNDDOWN((ROUNDDOWN(((((2*Z269+31)*85)/100+5)),0))*1.1,0)</f>
        <v>218</v>
      </c>
      <c r="AC270" s="2566"/>
      <c r="AD270" s="2433" t="s">
        <v>519</v>
      </c>
      <c r="AE270" s="630"/>
      <c r="AF270" s="631"/>
      <c r="AG270" s="632">
        <f>ROUNDDOWN((ROUNDDOWN(((((2*AE269+31)*85)/100+5)),0))*1.1,0)</f>
        <v>295</v>
      </c>
      <c r="AH270" s="2410"/>
      <c r="AI270" s="6297"/>
    </row>
    <row r="271" ht="16.5" customHeight="1">
      <c r="A271" s="6289"/>
      <c r="B271" s="2403"/>
      <c r="C271" s="2396"/>
      <c r="D271" s="2404"/>
      <c r="E271" s="2396"/>
      <c r="F271" s="2396"/>
      <c r="G271" s="2396"/>
      <c r="H271" s="2396"/>
      <c r="I271" s="6660"/>
      <c r="J271" s="2396"/>
      <c r="K271" s="2396"/>
      <c r="L271" s="2396"/>
      <c r="M271" s="2396"/>
      <c r="N271" s="6662"/>
      <c r="O271" s="2396"/>
      <c r="P271" s="2396"/>
      <c r="Q271" s="2396"/>
      <c r="R271" s="2396"/>
      <c r="S271" s="6660"/>
      <c r="T271" s="2396"/>
      <c r="U271" s="2396"/>
      <c r="V271" s="2396"/>
      <c r="W271" s="2396"/>
      <c r="X271" s="2580"/>
      <c r="Y271" s="6663" t="s">
        <v>1947</v>
      </c>
      <c r="Z271" s="3255"/>
      <c r="AA271" s="6664"/>
      <c r="AB271" s="6665">
        <f>AB270*2</f>
        <v>436</v>
      </c>
      <c r="AC271" s="2580"/>
      <c r="AD271" s="2396"/>
      <c r="AE271" s="2396"/>
      <c r="AF271" s="2396"/>
      <c r="AG271" s="2396"/>
      <c r="AH271" s="2410"/>
      <c r="AI271" s="6297"/>
    </row>
    <row r="272" ht="11.25" customHeight="1">
      <c r="A272" s="6289"/>
      <c r="B272" s="2327"/>
      <c r="C272" s="2328"/>
      <c r="D272" s="2374"/>
      <c r="E272" s="2413"/>
      <c r="F272" s="2413"/>
      <c r="G272" s="2413"/>
      <c r="H272" s="2413"/>
      <c r="I272" s="2434"/>
      <c r="J272" s="2413"/>
      <c r="K272" s="2413"/>
      <c r="L272" s="2413"/>
      <c r="M272" s="2413"/>
      <c r="N272" s="2346"/>
      <c r="O272" s="2346"/>
      <c r="P272" s="2346"/>
      <c r="Q272" s="2346"/>
      <c r="R272" s="2346"/>
      <c r="S272" s="2346"/>
      <c r="T272" s="2346"/>
      <c r="U272" s="2346"/>
      <c r="V272" s="2346"/>
      <c r="W272" s="2346"/>
      <c r="X272" s="2346"/>
      <c r="Y272" s="2346"/>
      <c r="Z272" s="2346"/>
      <c r="AA272" s="2346"/>
      <c r="AB272" s="2346"/>
      <c r="AC272" s="2346"/>
      <c r="AD272" s="2414"/>
      <c r="AE272" s="2414"/>
      <c r="AF272" s="2414"/>
      <c r="AG272" s="2346"/>
      <c r="AH272" s="2334"/>
      <c r="AI272" s="6297"/>
    </row>
    <row r="273">
      <c r="A273" s="6289"/>
      <c r="B273" s="2327"/>
      <c r="C273" s="2328"/>
      <c r="D273" s="2329"/>
      <c r="E273" s="2435" t="s">
        <v>1948</v>
      </c>
      <c r="F273" s="1732"/>
      <c r="G273" s="1732"/>
      <c r="H273" s="1732"/>
      <c r="I273" s="1732"/>
      <c r="J273" s="1732"/>
      <c r="K273" s="1732"/>
      <c r="L273" s="1732"/>
      <c r="M273" s="1732"/>
      <c r="N273" s="1732"/>
      <c r="O273" s="1732"/>
      <c r="P273" s="1732"/>
      <c r="Q273" s="1732"/>
      <c r="R273" s="1732"/>
      <c r="S273" s="1732"/>
      <c r="T273" s="1732"/>
      <c r="U273" s="1732"/>
      <c r="V273" s="1732"/>
      <c r="W273" s="1732"/>
      <c r="X273" s="1732"/>
      <c r="Y273" s="1732"/>
      <c r="Z273" s="1732"/>
      <c r="AA273" s="1732"/>
      <c r="AB273" s="1732"/>
      <c r="AC273" s="1732"/>
      <c r="AD273" s="1732"/>
      <c r="AE273" s="1732"/>
      <c r="AF273" s="1732"/>
      <c r="AG273" s="1733"/>
      <c r="AH273" s="2563"/>
      <c r="AI273" s="6297"/>
    </row>
    <row r="274" ht="3.75" customHeight="1">
      <c r="A274" s="6289"/>
      <c r="B274" s="2327"/>
      <c r="C274" s="2335"/>
      <c r="D274" s="2336"/>
      <c r="E274" s="2337"/>
      <c r="F274" s="2337"/>
      <c r="G274" s="2337"/>
      <c r="H274" s="2337"/>
      <c r="I274" s="2338"/>
      <c r="J274" s="2337"/>
      <c r="K274" s="2337"/>
      <c r="L274" s="2337"/>
      <c r="M274" s="2337"/>
      <c r="N274" s="2338"/>
      <c r="O274" s="2337"/>
      <c r="P274" s="2337"/>
      <c r="Q274" s="2337"/>
      <c r="R274" s="2337"/>
      <c r="S274" s="2338"/>
      <c r="T274" s="2337"/>
      <c r="U274" s="2337"/>
      <c r="V274" s="2337"/>
      <c r="W274" s="2337"/>
      <c r="X274" s="2338"/>
      <c r="Y274" s="2337"/>
      <c r="Z274" s="2337"/>
      <c r="AA274" s="2337"/>
      <c r="AB274" s="2337"/>
      <c r="AC274" s="2338"/>
      <c r="AD274" s="2337"/>
      <c r="AE274" s="2337"/>
      <c r="AF274" s="2337"/>
      <c r="AG274" s="2337"/>
      <c r="AH274" s="2334"/>
      <c r="AI274" s="6297"/>
    </row>
    <row r="275" ht="96.75" customHeight="1">
      <c r="A275" s="6289"/>
      <c r="B275" s="2339"/>
      <c r="C275" s="2436" t="str">
        <f>IMAGE("https://i.ibb.co/fXwks6z/Rival.png")</f>
        <v/>
      </c>
      <c r="D275" s="2341"/>
      <c r="E275" s="2437" t="str">
        <f t="array" ref="E275">IFERROR(VLOOKUP(E276,Dex!$B$3:$G298,3,FALSE),"")</f>
        <v/>
      </c>
      <c r="F275" s="1945"/>
      <c r="G275" s="1945"/>
      <c r="H275" s="1946"/>
      <c r="I275" s="2343"/>
      <c r="J275" s="2437" t="str">
        <f t="array" ref="J275">IFERROR(VLOOKUP(J276,Dex!$B$3:$G298,3,FALSE),"")</f>
        <v/>
      </c>
      <c r="K275" s="1945"/>
      <c r="L275" s="1945"/>
      <c r="M275" s="1946"/>
      <c r="N275" s="2344"/>
      <c r="O275" s="2437" t="str">
        <f t="array" ref="O275">IFERROR(VLOOKUP(O276,Dex!$B$3:$G298,3,FALSE),"")</f>
        <v/>
      </c>
      <c r="P275" s="1945"/>
      <c r="Q275" s="1945"/>
      <c r="R275" s="1946"/>
      <c r="S275" s="2344"/>
      <c r="T275" s="2437" t="str">
        <f t="array" ref="T275">IFERROR(VLOOKUP(T276,Dex!$B$3:$G298,3,FALSE),"")</f>
        <v/>
      </c>
      <c r="U275" s="1945"/>
      <c r="V275" s="1945"/>
      <c r="W275" s="1946"/>
      <c r="X275" s="2344"/>
      <c r="Y275" s="2437" t="str">
        <f t="array" ref="Y275">IFERROR(VLOOKUP(Y276,Dex!$B$3:$G298,3,FALSE),"")</f>
        <v/>
      </c>
      <c r="Z275" s="1945"/>
      <c r="AA275" s="1945"/>
      <c r="AB275" s="1946"/>
      <c r="AC275" s="2344"/>
      <c r="AD275" s="2437" t="str">
        <f t="array" ref="AD275">IFERROR(VLOOKUP(AD276,Dex!$B$3:$G298,3,FALSE),"")</f>
        <v/>
      </c>
      <c r="AE275" s="1945"/>
      <c r="AF275" s="1945"/>
      <c r="AG275" s="1946"/>
      <c r="AH275" s="2563"/>
      <c r="AI275" s="6297"/>
    </row>
    <row r="276" ht="18.75" customHeight="1">
      <c r="A276" s="6289"/>
      <c r="B276" s="2419"/>
      <c r="C276" s="2349" t="s">
        <v>1949</v>
      </c>
      <c r="D276" s="2420"/>
      <c r="E276" s="2351" t="s">
        <v>1925</v>
      </c>
      <c r="F276" s="2352"/>
      <c r="G276" s="2352"/>
      <c r="H276" s="2353"/>
      <c r="J276" s="2351" t="s">
        <v>1788</v>
      </c>
      <c r="K276" s="2352"/>
      <c r="L276" s="2352"/>
      <c r="M276" s="2353"/>
      <c r="O276" s="2351" t="s">
        <v>677</v>
      </c>
      <c r="P276" s="2352"/>
      <c r="Q276" s="2352"/>
      <c r="R276" s="2353"/>
      <c r="T276" s="2351" t="s">
        <v>1926</v>
      </c>
      <c r="U276" s="2352"/>
      <c r="V276" s="2352"/>
      <c r="W276" s="2353"/>
      <c r="Y276" s="2351" t="s">
        <v>1940</v>
      </c>
      <c r="Z276" s="2352"/>
      <c r="AA276" s="2352"/>
      <c r="AB276" s="2353"/>
      <c r="AD276" s="2351" t="s">
        <v>1950</v>
      </c>
      <c r="AE276" s="2352"/>
      <c r="AF276" s="2352"/>
      <c r="AG276" s="2353"/>
      <c r="AH276" s="2564"/>
      <c r="AI276" s="6297"/>
    </row>
    <row r="277">
      <c r="A277" s="6289"/>
      <c r="B277" s="2358"/>
      <c r="C277" s="556"/>
      <c r="D277" s="2359"/>
      <c r="E277" s="5364" t="s">
        <v>729</v>
      </c>
      <c r="F277" s="2361"/>
      <c r="G277" s="2361"/>
      <c r="H277" s="2362"/>
      <c r="J277" s="5364" t="s">
        <v>729</v>
      </c>
      <c r="K277" s="2361"/>
      <c r="L277" s="2361"/>
      <c r="M277" s="2362"/>
      <c r="O277" s="5364" t="s">
        <v>729</v>
      </c>
      <c r="P277" s="2361"/>
      <c r="Q277" s="2361"/>
      <c r="R277" s="2362"/>
      <c r="T277" s="5364" t="s">
        <v>729</v>
      </c>
      <c r="U277" s="2361"/>
      <c r="V277" s="2361"/>
      <c r="W277" s="2362"/>
      <c r="Y277" s="5364" t="s">
        <v>729</v>
      </c>
      <c r="Z277" s="2361"/>
      <c r="AA277" s="2361"/>
      <c r="AB277" s="2362"/>
      <c r="AD277" s="5364" t="s">
        <v>729</v>
      </c>
      <c r="AE277" s="2361"/>
      <c r="AF277" s="2361"/>
      <c r="AG277" s="2362"/>
      <c r="AH277" s="2563"/>
      <c r="AI277" s="6297"/>
    </row>
    <row r="278" ht="25.5" customHeight="1">
      <c r="A278" s="6289"/>
      <c r="B278" s="2327"/>
      <c r="C278" s="2363"/>
      <c r="D278" s="2364"/>
      <c r="E278" s="2365"/>
      <c r="F278" s="2366" t="str">
        <f t="array" ref="F278">IFERROR(VLOOKUP(E276,Dex!$B$3:$H298,5,FALSE),"")</f>
        <v/>
      </c>
      <c r="G278" s="2367"/>
      <c r="H278" s="2368"/>
      <c r="J278" s="2365"/>
      <c r="K278" s="2369" t="str">
        <f t="array" ref="K278">IFERROR(VLOOKUP(J276,Dex!$B$3:$H298,5,FALSE),"")</f>
        <v/>
      </c>
      <c r="L278" s="2370" t="str">
        <f t="array" ref="L278">IFERROR(VLOOKUP(J276,Dex!$B$3:$H298,7,FALSE),"")</f>
        <v/>
      </c>
      <c r="M278" s="2368"/>
      <c r="O278" s="2365"/>
      <c r="P278" s="2369" t="str">
        <f t="array" ref="P278">IFERROR(VLOOKUP(O276,Dex!$B$3:$H298,5,FALSE),"")</f>
        <v/>
      </c>
      <c r="Q278" s="2370" t="str">
        <f t="array" ref="Q278">IFERROR(VLOOKUP(O276,Dex!$B$3:$H298,7,FALSE),"")</f>
        <v/>
      </c>
      <c r="R278" s="2368"/>
      <c r="T278" s="2365"/>
      <c r="U278" s="2369" t="str">
        <f t="array" ref="U278">IFERROR(VLOOKUP(T276,Dex!$B$3:$H298,5,FALSE),"")</f>
        <v/>
      </c>
      <c r="V278" s="2370" t="str">
        <f t="array" ref="V278">IFERROR(VLOOKUP(T276,Dex!$B$3:$H298,7,FALSE),"")</f>
        <v/>
      </c>
      <c r="W278" s="2368"/>
      <c r="Y278" s="2365"/>
      <c r="Z278" s="2366" t="str">
        <f t="array" ref="Z278">IFERROR(VLOOKUP(Y276,Dex!$B$3:$H298,5,FALSE),"")</f>
        <v/>
      </c>
      <c r="AA278" s="2367"/>
      <c r="AB278" s="2368"/>
      <c r="AD278" s="2365"/>
      <c r="AE278" s="2366" t="str">
        <f t="array" ref="AE278">IFERROR(VLOOKUP(AD276,Dex!$B$3:$H298,5,FALSE),"")</f>
        <v/>
      </c>
      <c r="AF278" s="2367"/>
      <c r="AG278" s="2368"/>
      <c r="AH278" s="2334"/>
      <c r="AI278" s="6297"/>
    </row>
    <row r="279" ht="2.25" customHeight="1">
      <c r="A279" s="6289"/>
      <c r="B279" s="2327"/>
      <c r="C279" s="2355"/>
      <c r="D279" s="2364"/>
      <c r="E279" s="2371"/>
      <c r="F279" s="2372"/>
      <c r="G279" s="2372"/>
      <c r="H279" s="2373"/>
      <c r="J279" s="2371"/>
      <c r="K279" s="2372"/>
      <c r="L279" s="2372"/>
      <c r="M279" s="2373"/>
      <c r="O279" s="2371"/>
      <c r="P279" s="2372"/>
      <c r="Q279" s="2372"/>
      <c r="R279" s="2373"/>
      <c r="T279" s="2371"/>
      <c r="U279" s="2372"/>
      <c r="V279" s="2372"/>
      <c r="W279" s="2373"/>
      <c r="Y279" s="2371"/>
      <c r="Z279" s="2372"/>
      <c r="AA279" s="2372"/>
      <c r="AB279" s="2373"/>
      <c r="AD279" s="2371"/>
      <c r="AE279" s="2372"/>
      <c r="AF279" s="2372"/>
      <c r="AG279" s="2373"/>
      <c r="AH279" s="2334"/>
      <c r="AI279" s="6297"/>
    </row>
    <row r="280" ht="20.25" customHeight="1">
      <c r="A280" s="6289"/>
      <c r="B280" s="2327"/>
      <c r="C280" s="2375"/>
      <c r="D280" s="2329"/>
      <c r="E280" s="2376" t="s">
        <v>564</v>
      </c>
      <c r="F280" s="2377"/>
      <c r="G280" s="2377"/>
      <c r="H280" s="2378"/>
      <c r="J280" s="2376" t="s">
        <v>566</v>
      </c>
      <c r="K280" s="2377"/>
      <c r="L280" s="2377"/>
      <c r="M280" s="2378"/>
      <c r="O280" s="2376" t="s">
        <v>564</v>
      </c>
      <c r="P280" s="2377"/>
      <c r="Q280" s="2377"/>
      <c r="R280" s="2378"/>
      <c r="T280" s="2376" t="s">
        <v>564</v>
      </c>
      <c r="U280" s="2377"/>
      <c r="V280" s="2377"/>
      <c r="W280" s="2378"/>
      <c r="Y280" s="2376" t="s">
        <v>564</v>
      </c>
      <c r="Z280" s="2377"/>
      <c r="AA280" s="2377"/>
      <c r="AB280" s="2378"/>
      <c r="AD280" s="2376" t="s">
        <v>532</v>
      </c>
      <c r="AE280" s="2377"/>
      <c r="AF280" s="2377"/>
      <c r="AG280" s="2378"/>
      <c r="AH280" s="2563"/>
      <c r="AI280" s="6297"/>
    </row>
    <row r="281">
      <c r="A281" s="6289"/>
      <c r="B281" s="2327"/>
      <c r="C281" s="2379"/>
      <c r="D281" s="2329"/>
      <c r="E281" s="2380" t="s">
        <v>88</v>
      </c>
      <c r="F281" s="2332"/>
      <c r="G281" s="2332"/>
      <c r="H281" s="2381"/>
      <c r="J281" s="2380" t="s">
        <v>1951</v>
      </c>
      <c r="K281" s="2332"/>
      <c r="L281" s="2332"/>
      <c r="M281" s="2381"/>
      <c r="O281" s="2380" t="s">
        <v>58</v>
      </c>
      <c r="P281" s="2332"/>
      <c r="Q281" s="2332"/>
      <c r="R281" s="2381"/>
      <c r="T281" s="2380" t="s">
        <v>484</v>
      </c>
      <c r="U281" s="2332"/>
      <c r="V281" s="2332"/>
      <c r="W281" s="2381"/>
      <c r="Y281" s="2380" t="s">
        <v>1941</v>
      </c>
      <c r="Z281" s="2332"/>
      <c r="AA281" s="2332"/>
      <c r="AB281" s="2381"/>
      <c r="AD281" s="2380" t="s">
        <v>1914</v>
      </c>
      <c r="AE281" s="2332"/>
      <c r="AF281" s="2332"/>
      <c r="AG281" s="2381"/>
      <c r="AH281" s="2563"/>
      <c r="AI281" s="6297"/>
    </row>
    <row r="282" ht="20.25" customHeight="1">
      <c r="A282" s="6289"/>
      <c r="B282" s="2327"/>
      <c r="C282" s="2355"/>
      <c r="D282" s="2329"/>
      <c r="E282" s="2382" t="s">
        <v>1930</v>
      </c>
      <c r="F282" s="2383"/>
      <c r="G282" s="2384"/>
      <c r="H282" s="2385"/>
      <c r="J282" s="2382" t="s">
        <v>1791</v>
      </c>
      <c r="K282" s="2383"/>
      <c r="L282" s="2384"/>
      <c r="M282" s="2385"/>
      <c r="O282" s="2382" t="s">
        <v>639</v>
      </c>
      <c r="P282" s="2383"/>
      <c r="Q282" s="2384"/>
      <c r="R282" s="2385"/>
      <c r="T282" s="2382" t="s">
        <v>1931</v>
      </c>
      <c r="U282" s="2383"/>
      <c r="V282" s="2384"/>
      <c r="W282" s="2385"/>
      <c r="Y282" s="2382" t="s">
        <v>712</v>
      </c>
      <c r="Z282" s="2383"/>
      <c r="AA282" s="2384"/>
      <c r="AB282" s="2385"/>
      <c r="AD282" s="2382" t="s">
        <v>1952</v>
      </c>
      <c r="AE282" s="2383"/>
      <c r="AF282" s="2384"/>
      <c r="AG282" s="2385"/>
      <c r="AH282" s="2334"/>
      <c r="AI282" s="6297"/>
    </row>
    <row r="283" ht="20.25" customHeight="1">
      <c r="A283" s="6289"/>
      <c r="B283" s="2327"/>
      <c r="C283" s="2375"/>
      <c r="D283" s="2329"/>
      <c r="E283" s="2376" t="s">
        <v>1932</v>
      </c>
      <c r="F283" s="2377"/>
      <c r="G283" s="2386"/>
      <c r="H283" s="2387" t="str">
        <f>IMAGE("https://raw.githubusercontent.com/msikma/pokesprite/master/misc/types/gen8/water.png",4,20,20)</f>
        <v/>
      </c>
      <c r="J283" s="2376" t="s">
        <v>760</v>
      </c>
      <c r="K283" s="2377"/>
      <c r="L283" s="2386"/>
      <c r="M283" s="2387" t="str">
        <f>IMAGE("https://raw.githubusercontent.com/msikma/pokesprite/master/misc/types/gen8/water.png",4,20,20)</f>
        <v/>
      </c>
      <c r="O283" s="2376" t="s">
        <v>649</v>
      </c>
      <c r="P283" s="2377"/>
      <c r="Q283" s="2386"/>
      <c r="R283" s="2387" t="str">
        <f>IMAGE("https://raw.githubusercontent.com/msikma/pokesprite/master/misc/types/gen8/water.png",4,20,20)</f>
        <v/>
      </c>
      <c r="T283" s="2376" t="s">
        <v>617</v>
      </c>
      <c r="U283" s="2377"/>
      <c r="V283" s="2386"/>
      <c r="W283" s="2387" t="str">
        <f>IMAGE("https://raw.githubusercontent.com/msikma/pokesprite/master/misc/types/gen8/dragon.png",4,20,20)</f>
        <v/>
      </c>
      <c r="Y283" s="2376" t="s">
        <v>230</v>
      </c>
      <c r="Z283" s="2377"/>
      <c r="AA283" s="2386"/>
      <c r="AB283" s="2387" t="str">
        <f t="shared" ref="AB283:AB284" si="8">IMAGE("https://raw.githubusercontent.com/msikma/pokesprite/master/misc/types/gen8/fairy.png",4,20,20)</f>
        <v/>
      </c>
      <c r="AD283" s="2376" t="s">
        <v>287</v>
      </c>
      <c r="AE283" s="2377"/>
      <c r="AF283" s="2386"/>
      <c r="AG283" s="2387" t="str">
        <f>IMAGE("https://raw.githubusercontent.com/msikma/pokesprite/master/misc/types/gen8/normal.png",4,20,20)</f>
        <v/>
      </c>
      <c r="AH283" s="2334"/>
      <c r="AI283" s="6297"/>
    </row>
    <row r="284" ht="20.25" customHeight="1">
      <c r="A284" s="6289"/>
      <c r="B284" s="2327"/>
      <c r="C284" s="2328"/>
      <c r="D284" s="2329"/>
      <c r="E284" s="2380" t="s">
        <v>670</v>
      </c>
      <c r="F284" s="2332"/>
      <c r="G284" s="420"/>
      <c r="H284" s="2388" t="str">
        <f>IMAGE("https://raw.githubusercontent.com/msikma/pokesprite/master/misc/types/gen8/ice.png",4,20,20)</f>
        <v/>
      </c>
      <c r="J284" s="2380" t="s">
        <v>1933</v>
      </c>
      <c r="K284" s="2332"/>
      <c r="L284" s="420"/>
      <c r="M284" s="2388" t="str">
        <f>IMAGE("https://raw.githubusercontent.com/msikma/pokesprite/master/misc/types/gen8/ground.png",4,20,20)</f>
        <v/>
      </c>
      <c r="O284" s="2380" t="s">
        <v>617</v>
      </c>
      <c r="P284" s="2332"/>
      <c r="Q284" s="420"/>
      <c r="R284" s="2388" t="str">
        <f>IMAGE("https://raw.githubusercontent.com/msikma/pokesprite/master/misc/types/gen8/dragon.png",4,20,20)</f>
        <v/>
      </c>
      <c r="T284" s="2380" t="s">
        <v>773</v>
      </c>
      <c r="U284" s="2332"/>
      <c r="V284" s="420"/>
      <c r="W284" s="2388" t="str">
        <f>IMAGE("https://raw.githubusercontent.com/msikma/pokesprite/master/misc/types/gen8/poison.png",4,20,20)</f>
        <v/>
      </c>
      <c r="Y284" s="2380" t="s">
        <v>641</v>
      </c>
      <c r="Z284" s="2332"/>
      <c r="AA284" s="420"/>
      <c r="AB284" s="2388" t="str">
        <f t="shared" si="8"/>
        <v/>
      </c>
      <c r="AD284" s="2380" t="s">
        <v>739</v>
      </c>
      <c r="AE284" s="2332"/>
      <c r="AF284" s="420"/>
      <c r="AG284" s="2388" t="str">
        <f>IMAGE("https://raw.githubusercontent.com/msikma/pokesprite/master/misc/types/gen8/steel.png",4,20,20)</f>
        <v/>
      </c>
      <c r="AH284" s="2563"/>
      <c r="AI284" s="6297"/>
    </row>
    <row r="285" ht="20.25" customHeight="1">
      <c r="A285" s="6289"/>
      <c r="B285" s="2327"/>
      <c r="C285" s="2328"/>
      <c r="D285" s="2329"/>
      <c r="E285" s="2380" t="s">
        <v>844</v>
      </c>
      <c r="F285" s="2332"/>
      <c r="G285" s="420"/>
      <c r="H285" s="2388" t="str">
        <f>IMAGE("https://raw.githubusercontent.com/msikma/pokesprite/master/misc/types/gen8/electric.png",4,20,20)</f>
        <v/>
      </c>
      <c r="J285" s="2380" t="s">
        <v>589</v>
      </c>
      <c r="K285" s="2332"/>
      <c r="L285" s="420"/>
      <c r="M285" s="2388" t="str">
        <f>IMAGE("https://raw.githubusercontent.com/msikma/pokesprite/master/misc/types/gen8/ice.png",4,20,20)</f>
        <v/>
      </c>
      <c r="O285" s="2380" t="s">
        <v>544</v>
      </c>
      <c r="P285" s="2332"/>
      <c r="Q285" s="420"/>
      <c r="R285" s="2388" t="str">
        <f>IMAGE("https://raw.githubusercontent.com/msikma/pokesprite/master/misc/types/gen8/water.png",4,20,20)</f>
        <v/>
      </c>
      <c r="T285" s="2380" t="s">
        <v>844</v>
      </c>
      <c r="U285" s="2332"/>
      <c r="V285" s="420"/>
      <c r="W285" s="2388" t="str">
        <f>IMAGE("https://raw.githubusercontent.com/msikma/pokesprite/master/misc/types/gen8/electric.png",4,20,20)</f>
        <v/>
      </c>
      <c r="Y285" s="2380" t="s">
        <v>547</v>
      </c>
      <c r="Z285" s="2332"/>
      <c r="AA285" s="420"/>
      <c r="AB285" s="2388" t="str">
        <f>IMAGE("https://raw.githubusercontent.com/msikma/pokesprite/master/misc/types/gen8/electric.png",4,20,20)</f>
        <v/>
      </c>
      <c r="AD285" s="2380" t="s">
        <v>549</v>
      </c>
      <c r="AE285" s="2332"/>
      <c r="AF285" s="420"/>
      <c r="AG285" s="2388" t="str">
        <f>IMAGE("https://raw.githubusercontent.com/msikma/pokesprite/master/misc/types/gen8/ground.png",4,20,20)</f>
        <v/>
      </c>
      <c r="AH285" s="2563"/>
      <c r="AI285" s="6297"/>
    </row>
    <row r="286" ht="21.0" customHeight="1">
      <c r="A286" s="6289"/>
      <c r="B286" s="2327"/>
      <c r="C286" s="2328"/>
      <c r="D286" s="2329"/>
      <c r="E286" s="2389" t="s">
        <v>845</v>
      </c>
      <c r="F286" s="2390"/>
      <c r="G286" s="2391"/>
      <c r="H286" s="2392" t="str">
        <f>IMAGE("https://raw.githubusercontent.com/msikma/pokesprite/master/misc/types/gen8/water.png",4,20,20)</f>
        <v/>
      </c>
      <c r="I286" s="2393"/>
      <c r="J286" s="2389" t="s">
        <v>621</v>
      </c>
      <c r="K286" s="2390"/>
      <c r="L286" s="2391"/>
      <c r="M286" s="2392" t="str">
        <f>IMAGE("https://raw.githubusercontent.com/msikma/pokesprite/master/misc/types/gen8/rock.png",4,20,20)</f>
        <v/>
      </c>
      <c r="N286" s="2393"/>
      <c r="O286" s="2389" t="s">
        <v>546</v>
      </c>
      <c r="P286" s="2390"/>
      <c r="Q286" s="2391"/>
      <c r="R286" s="2392" t="str">
        <f>IMAGE("https://raw.githubusercontent.com/msikma/pokesprite/master/misc/types/gen8/flying.png",4,20,20)</f>
        <v/>
      </c>
      <c r="S286" s="2393"/>
      <c r="T286" s="2389" t="s">
        <v>501</v>
      </c>
      <c r="U286" s="2390"/>
      <c r="V286" s="2391"/>
      <c r="W286" s="2392" t="str">
        <f>IMAGE("https://raw.githubusercontent.com/msikma/pokesprite/master/misc/types/gen8/normal.png",4,20,20)</f>
        <v/>
      </c>
      <c r="X286" s="2393"/>
      <c r="Y286" s="2389" t="s">
        <v>590</v>
      </c>
      <c r="Z286" s="2390"/>
      <c r="AA286" s="2391"/>
      <c r="AB286" s="2392" t="str">
        <f>IMAGE("https://raw.githubusercontent.com/msikma/pokesprite/master/misc/types/gen8/fighting.png",4,20,20)</f>
        <v/>
      </c>
      <c r="AC286" s="2393"/>
      <c r="AD286" s="2389" t="s">
        <v>621</v>
      </c>
      <c r="AE286" s="2390"/>
      <c r="AF286" s="2391"/>
      <c r="AG286" s="2392" t="str">
        <f>IMAGE("https://raw.githubusercontent.com/msikma/pokesprite/master/misc/types/gen8/rock.png",4,20,20)</f>
        <v/>
      </c>
      <c r="AH286" s="2563"/>
      <c r="AI286" s="6297"/>
    </row>
    <row r="287" ht="3.0" customHeight="1">
      <c r="A287" s="6289"/>
      <c r="B287" s="2395"/>
      <c r="C287" s="2396"/>
      <c r="D287" s="2397"/>
      <c r="E287" s="2398"/>
      <c r="F287" s="2398"/>
      <c r="G287" s="2398"/>
      <c r="H287" s="2398"/>
      <c r="I287" s="2397"/>
      <c r="J287" s="2398"/>
      <c r="K287" s="2398"/>
      <c r="L287" s="2398"/>
      <c r="M287" s="2398"/>
      <c r="N287" s="2397"/>
      <c r="O287" s="2398"/>
      <c r="P287" s="2398"/>
      <c r="Q287" s="2398"/>
      <c r="R287" s="2398"/>
      <c r="S287" s="2397"/>
      <c r="T287" s="2398"/>
      <c r="U287" s="2398"/>
      <c r="V287" s="2398"/>
      <c r="W287" s="2398"/>
      <c r="X287" s="2397"/>
      <c r="Y287" s="2398"/>
      <c r="Z287" s="2398"/>
      <c r="AA287" s="2398"/>
      <c r="AB287" s="2398"/>
      <c r="AC287" s="2400"/>
      <c r="AD287" s="2398"/>
      <c r="AE287" s="2398"/>
      <c r="AF287" s="2398"/>
      <c r="AG287" s="2398"/>
      <c r="AH287" s="2401"/>
      <c r="AI287" s="6297"/>
    </row>
    <row r="288" ht="16.5" customHeight="1">
      <c r="A288" s="6289"/>
      <c r="B288" s="2403"/>
      <c r="C288" s="2396"/>
      <c r="D288" s="2404"/>
      <c r="E288" s="951" t="s">
        <v>512</v>
      </c>
      <c r="F288" s="606"/>
      <c r="G288" s="606"/>
      <c r="H288" s="607"/>
      <c r="I288" s="2405"/>
      <c r="J288" s="951" t="s">
        <v>512</v>
      </c>
      <c r="K288" s="606"/>
      <c r="L288" s="606"/>
      <c r="M288" s="607"/>
      <c r="N288" s="2406"/>
      <c r="O288" s="951" t="s">
        <v>512</v>
      </c>
      <c r="P288" s="606"/>
      <c r="Q288" s="606"/>
      <c r="R288" s="607"/>
      <c r="S288" s="2566"/>
      <c r="T288" s="951" t="s">
        <v>512</v>
      </c>
      <c r="U288" s="606"/>
      <c r="V288" s="606"/>
      <c r="W288" s="607"/>
      <c r="X288" s="2566"/>
      <c r="Y288" s="951" t="s">
        <v>512</v>
      </c>
      <c r="Z288" s="606"/>
      <c r="AA288" s="606"/>
      <c r="AB288" s="607"/>
      <c r="AC288" s="2566"/>
      <c r="AD288" s="951" t="s">
        <v>512</v>
      </c>
      <c r="AE288" s="606"/>
      <c r="AF288" s="606"/>
      <c r="AG288" s="607"/>
      <c r="AH288" s="2410"/>
      <c r="AI288" s="6297"/>
    </row>
    <row r="289" ht="16.5" customHeight="1">
      <c r="A289" s="6289"/>
      <c r="B289" s="2403"/>
      <c r="C289" s="2396"/>
      <c r="D289" s="2404"/>
      <c r="E289" s="955" t="s">
        <v>513</v>
      </c>
      <c r="F289" s="956">
        <f t="array" ref="F289">IFERROR(VLOOKUP(E276,Dex!$B$3:$N298,8,FALSE),"")</f>
        <v>100</v>
      </c>
      <c r="G289" s="957" t="str">
        <f t="array" ref="G289">IFERROR(VLOOKUP(F289,Dex!$P$22:$Q$276,2,FALSE),"")</f>
        <v/>
      </c>
      <c r="H289" s="958"/>
      <c r="I289" s="2405"/>
      <c r="J289" s="955" t="s">
        <v>513</v>
      </c>
      <c r="K289" s="956">
        <f t="array" ref="K289">IFERROR(VLOOKUP(J276,Dex!$B$3:$N298,8,FALSE),"")</f>
        <v>100</v>
      </c>
      <c r="L289" s="957" t="str">
        <f t="array" ref="L289">IFERROR(VLOOKUP(K289,Dex!$P$22:$Q$276,2,FALSE),"")</f>
        <v/>
      </c>
      <c r="M289" s="958"/>
      <c r="N289" s="2412"/>
      <c r="O289" s="955" t="s">
        <v>513</v>
      </c>
      <c r="P289" s="956">
        <f t="array" ref="P289">IFERROR(VLOOKUP(O276,Dex!$B$3:$N298,8,FALSE),"")</f>
        <v>99</v>
      </c>
      <c r="Q289" s="957" t="str">
        <f t="array" ref="Q289">IFERROR(VLOOKUP(P289,Dex!$P$22:$Q$276,2,FALSE),"")</f>
        <v/>
      </c>
      <c r="R289" s="958"/>
      <c r="S289" s="2409"/>
      <c r="T289" s="955" t="s">
        <v>513</v>
      </c>
      <c r="U289" s="956">
        <f t="array" ref="U289">IFERROR(VLOOKUP(T276,Dex!$B$3:$N298,8,FALSE),"")</f>
        <v>140</v>
      </c>
      <c r="V289" s="957" t="str">
        <f t="array" ref="V289">IFERROR(VLOOKUP(U289,Dex!$P$22:$Q$276,2,FALSE),"")</f>
        <v/>
      </c>
      <c r="W289" s="958"/>
      <c r="X289" s="2409"/>
      <c r="Y289" s="955" t="s">
        <v>513</v>
      </c>
      <c r="Z289" s="956">
        <f t="array" ref="Z289">IFERROR(VLOOKUP(Y276,Dex!$B$3:$N298,8,FALSE),"")</f>
        <v>126</v>
      </c>
      <c r="AA289" s="957" t="str">
        <f t="array" ref="AA289">IFERROR(VLOOKUP(Z289,Dex!$P$22:$Q$276,2,FALSE),"")</f>
        <v/>
      </c>
      <c r="AB289" s="958"/>
      <c r="AC289" s="2409"/>
      <c r="AD289" s="955" t="s">
        <v>513</v>
      </c>
      <c r="AE289" s="956">
        <f t="array" ref="AE289">IFERROR(VLOOKUP(AD276,Dex!$B$3:$N298,8,FALSE),"")</f>
        <v>120</v>
      </c>
      <c r="AF289" s="957" t="str">
        <f t="array" ref="AF289">IFERROR(VLOOKUP(AE289,Dex!$P$22:$Q$276,2,FALSE),"")</f>
        <v/>
      </c>
      <c r="AG289" s="958"/>
      <c r="AH289" s="2410"/>
      <c r="AI289" s="6297"/>
    </row>
    <row r="290" ht="16.5" customHeight="1">
      <c r="A290" s="6289"/>
      <c r="B290" s="2403"/>
      <c r="C290" s="2396"/>
      <c r="D290" s="2404"/>
      <c r="E290" s="961" t="s">
        <v>514</v>
      </c>
      <c r="F290" s="962">
        <f t="array" ref="F290">IFERROR(VLOOKUP(E276,Dex!$B$3:$N298,9,FALSE),"")</f>
        <v>150</v>
      </c>
      <c r="G290" s="963" t="str">
        <f t="array" ref="G290">IFERROR(VLOOKUP(F290,Dex!$P$22:$Q$276,2,FALSE),"")</f>
        <v/>
      </c>
      <c r="H290" s="964"/>
      <c r="I290" s="2405"/>
      <c r="J290" s="961" t="s">
        <v>514</v>
      </c>
      <c r="K290" s="962">
        <f t="array" ref="K290">IFERROR(VLOOKUP(J276,Dex!$B$3:$N298,9,FALSE),"")</f>
        <v>150</v>
      </c>
      <c r="L290" s="963" t="str">
        <f t="array" ref="L290">IFERROR(VLOOKUP(K290,Dex!$P$22:$Q$276,2,FALSE),"")</f>
        <v/>
      </c>
      <c r="M290" s="964"/>
      <c r="N290" s="2412"/>
      <c r="O290" s="961" t="s">
        <v>514</v>
      </c>
      <c r="P290" s="962">
        <f t="array" ref="P290">IFERROR(VLOOKUP(O276,Dex!$B$3:$N298,9,FALSE),"")</f>
        <v>83</v>
      </c>
      <c r="Q290" s="963" t="str">
        <f t="array" ref="Q290">IFERROR(VLOOKUP(P290,Dex!$P$22:$Q$276,2,FALSE),"")</f>
        <v/>
      </c>
      <c r="R290" s="964"/>
      <c r="S290" s="2409"/>
      <c r="T290" s="961" t="s">
        <v>514</v>
      </c>
      <c r="U290" s="962">
        <f t="array" ref="U290">IFERROR(VLOOKUP(T276,Dex!$B$3:$N298,9,FALSE),"")</f>
        <v>105</v>
      </c>
      <c r="V290" s="963" t="str">
        <f t="array" ref="V290">IFERROR(VLOOKUP(U290,Dex!$P$22:$Q$276,2,FALSE),"")</f>
        <v/>
      </c>
      <c r="W290" s="964"/>
      <c r="X290" s="2409"/>
      <c r="Y290" s="961" t="s">
        <v>514</v>
      </c>
      <c r="Z290" s="962">
        <f t="array" ref="Z290">IFERROR(VLOOKUP(Y276,Dex!$B$3:$N298,9,FALSE),"")</f>
        <v>131</v>
      </c>
      <c r="AA290" s="963" t="str">
        <f t="array" ref="AA290">IFERROR(VLOOKUP(Z290,Dex!$P$22:$Q$276,2,FALSE),"")</f>
        <v/>
      </c>
      <c r="AB290" s="964"/>
      <c r="AC290" s="2409"/>
      <c r="AD290" s="961" t="s">
        <v>514</v>
      </c>
      <c r="AE290" s="962">
        <f t="array" ref="AE290">IFERROR(VLOOKUP(AD276,Dex!$B$3:$N298,9,FALSE),"")</f>
        <v>120</v>
      </c>
      <c r="AF290" s="963" t="str">
        <f t="array" ref="AF290">IFERROR(VLOOKUP(AE290,Dex!$P$22:$Q$276,2,FALSE),"")</f>
        <v/>
      </c>
      <c r="AG290" s="964"/>
      <c r="AH290" s="2410"/>
      <c r="AI290" s="6297"/>
    </row>
    <row r="291" ht="16.5" customHeight="1">
      <c r="A291" s="6289"/>
      <c r="B291" s="2403"/>
      <c r="C291" s="2396"/>
      <c r="D291" s="2404"/>
      <c r="E291" s="961" t="s">
        <v>515</v>
      </c>
      <c r="F291" s="962">
        <f t="array" ref="F291">IFERROR(VLOOKUP(E276,Dex!$B$3:$N298,10,FALSE),"")</f>
        <v>90</v>
      </c>
      <c r="G291" s="963" t="str">
        <f t="array" ref="G291">IFERROR(VLOOKUP(F291,Dex!$P$22:$Q$276,2,FALSE),"")</f>
        <v/>
      </c>
      <c r="H291" s="964"/>
      <c r="I291" s="2405"/>
      <c r="J291" s="961" t="s">
        <v>515</v>
      </c>
      <c r="K291" s="962">
        <f t="array" ref="K291">IFERROR(VLOOKUP(J276,Dex!$B$3:$N298,10,FALSE),"")</f>
        <v>110</v>
      </c>
      <c r="L291" s="963" t="str">
        <f t="array" ref="L291">IFERROR(VLOOKUP(K291,Dex!$P$22:$Q$276,2,FALSE),"")</f>
        <v/>
      </c>
      <c r="M291" s="964"/>
      <c r="N291" s="2412"/>
      <c r="O291" s="961" t="s">
        <v>515</v>
      </c>
      <c r="P291" s="962">
        <f t="array" ref="P291">IFERROR(VLOOKUP(O276,Dex!$B$3:$N298,10,FALSE),"")</f>
        <v>91</v>
      </c>
      <c r="Q291" s="963" t="str">
        <f t="array" ref="Q291">IFERROR(VLOOKUP(P291,Dex!$P$22:$Q$276,2,FALSE),"")</f>
        <v/>
      </c>
      <c r="R291" s="964"/>
      <c r="S291" s="2409"/>
      <c r="T291" s="961" t="s">
        <v>515</v>
      </c>
      <c r="U291" s="962">
        <f t="array" ref="U291">IFERROR(VLOOKUP(T276,Dex!$B$3:$N298,10,FALSE),"")</f>
        <v>110</v>
      </c>
      <c r="V291" s="963" t="str">
        <f t="array" ref="V291">IFERROR(VLOOKUP(U291,Dex!$P$22:$Q$276,2,FALSE),"")</f>
        <v/>
      </c>
      <c r="W291" s="964"/>
      <c r="X291" s="2409"/>
      <c r="Y291" s="961" t="s">
        <v>515</v>
      </c>
      <c r="Z291" s="962">
        <f t="array" ref="Z291">IFERROR(VLOOKUP(Y276,Dex!$B$3:$N298,10,FALSE),"")</f>
        <v>95</v>
      </c>
      <c r="AA291" s="963" t="str">
        <f t="array" ref="AA291">IFERROR(VLOOKUP(Z291,Dex!$P$22:$Q$276,2,FALSE),"")</f>
        <v/>
      </c>
      <c r="AB291" s="964"/>
      <c r="AC291" s="2409"/>
      <c r="AD291" s="961" t="s">
        <v>515</v>
      </c>
      <c r="AE291" s="962">
        <f t="array" ref="AE291">IFERROR(VLOOKUP(AD276,Dex!$B$3:$N298,10,FALSE),"")</f>
        <v>120</v>
      </c>
      <c r="AF291" s="963" t="str">
        <f t="array" ref="AF291">IFERROR(VLOOKUP(AE291,Dex!$P$22:$Q$276,2,FALSE),"")</f>
        <v/>
      </c>
      <c r="AG291" s="964"/>
      <c r="AH291" s="2410"/>
      <c r="AI291" s="6297"/>
    </row>
    <row r="292" ht="16.5" customHeight="1">
      <c r="A292" s="6289"/>
      <c r="B292" s="2403"/>
      <c r="C292" s="2396"/>
      <c r="D292" s="2404"/>
      <c r="E292" s="961" t="s">
        <v>516</v>
      </c>
      <c r="F292" s="962">
        <f t="array" ref="F292">IFERROR(VLOOKUP(E276,Dex!$B$3:$N298,11,FALSE),"")</f>
        <v>180</v>
      </c>
      <c r="G292" s="963" t="str">
        <f t="array" ref="G292">IFERROR(VLOOKUP(F292,Dex!$P$22:$Q$276,2,FALSE),"")</f>
        <v/>
      </c>
      <c r="H292" s="964"/>
      <c r="I292" s="2405"/>
      <c r="J292" s="961" t="s">
        <v>516</v>
      </c>
      <c r="K292" s="962">
        <f t="array" ref="K292">IFERROR(VLOOKUP(J276,Dex!$B$3:$N298,11,FALSE),"")</f>
        <v>95</v>
      </c>
      <c r="L292" s="963" t="str">
        <f t="array" ref="L292">IFERROR(VLOOKUP(K292,Dex!$P$22:$Q$276,2,FALSE),"")</f>
        <v/>
      </c>
      <c r="M292" s="964"/>
      <c r="N292" s="2412"/>
      <c r="O292" s="961" t="s">
        <v>516</v>
      </c>
      <c r="P292" s="962">
        <f t="array" ref="P292">IFERROR(VLOOKUP(O276,Dex!$B$3:$N298,11,FALSE),"")</f>
        <v>125</v>
      </c>
      <c r="Q292" s="963" t="str">
        <f t="array" ref="Q292">IFERROR(VLOOKUP(P292,Dex!$P$22:$Q$276,2,FALSE),"")</f>
        <v/>
      </c>
      <c r="R292" s="964"/>
      <c r="S292" s="2409"/>
      <c r="T292" s="961" t="s">
        <v>516</v>
      </c>
      <c r="U292" s="962">
        <f t="array" ref="U292">IFERROR(VLOOKUP(T276,Dex!$B$3:$N298,11,FALSE),"")</f>
        <v>185</v>
      </c>
      <c r="V292" s="963" t="str">
        <f t="array" ref="V292">IFERROR(VLOOKUP(U292,Dex!$P$22:$Q$276,2,FALSE),"")</f>
        <v/>
      </c>
      <c r="W292" s="964"/>
      <c r="X292" s="2409"/>
      <c r="Y292" s="961" t="s">
        <v>516</v>
      </c>
      <c r="Z292" s="962">
        <f t="array" ref="Z292">IFERROR(VLOOKUP(Y276,Dex!$B$3:$N298,11,FALSE),"")</f>
        <v>131</v>
      </c>
      <c r="AA292" s="963" t="str">
        <f t="array" ref="AA292">IFERROR(VLOOKUP(Z292,Dex!$P$22:$Q$276,2,FALSE),"")</f>
        <v/>
      </c>
      <c r="AB292" s="964"/>
      <c r="AC292" s="2409"/>
      <c r="AD292" s="961" t="s">
        <v>516</v>
      </c>
      <c r="AE292" s="962">
        <f t="array" ref="AE292">IFERROR(VLOOKUP(AD276,Dex!$B$3:$N298,11,FALSE),"")</f>
        <v>120</v>
      </c>
      <c r="AF292" s="963" t="str">
        <f t="array" ref="AF292">IFERROR(VLOOKUP(AE292,Dex!$P$22:$Q$276,2,FALSE),"")</f>
        <v/>
      </c>
      <c r="AG292" s="964"/>
      <c r="AH292" s="2410"/>
      <c r="AI292" s="6297"/>
    </row>
    <row r="293" ht="16.5" customHeight="1">
      <c r="A293" s="6289"/>
      <c r="B293" s="2403"/>
      <c r="C293" s="2396"/>
      <c r="D293" s="2404"/>
      <c r="E293" s="961" t="s">
        <v>517</v>
      </c>
      <c r="F293" s="962">
        <f t="array" ref="F293">IFERROR(VLOOKUP(E276,Dex!$B$3:$N298,12,FALSE),"")</f>
        <v>160</v>
      </c>
      <c r="G293" s="963" t="str">
        <f t="array" ref="G293">IFERROR(VLOOKUP(F293,Dex!$P$22:$Q$276,2,FALSE),"")</f>
        <v/>
      </c>
      <c r="H293" s="964"/>
      <c r="I293" s="2405"/>
      <c r="J293" s="961" t="s">
        <v>517</v>
      </c>
      <c r="K293" s="962">
        <f t="array" ref="K293">IFERROR(VLOOKUP(J276,Dex!$B$3:$N298,12,FALSE),"")</f>
        <v>110</v>
      </c>
      <c r="L293" s="963" t="str">
        <f t="array" ref="L293">IFERROR(VLOOKUP(K293,Dex!$P$22:$Q$276,2,FALSE),"")</f>
        <v/>
      </c>
      <c r="M293" s="964"/>
      <c r="N293" s="2412"/>
      <c r="O293" s="961" t="s">
        <v>517</v>
      </c>
      <c r="P293" s="962">
        <f t="array" ref="P293">IFERROR(VLOOKUP(O276,Dex!$B$3:$N298,12,FALSE),"")</f>
        <v>83</v>
      </c>
      <c r="Q293" s="963" t="str">
        <f t="array" ref="Q293">IFERROR(VLOOKUP(P293,Dex!$P$22:$Q$276,2,FALSE),"")</f>
        <v/>
      </c>
      <c r="R293" s="964"/>
      <c r="S293" s="2409"/>
      <c r="T293" s="961" t="s">
        <v>517</v>
      </c>
      <c r="U293" s="962">
        <f t="array" ref="U293">IFERROR(VLOOKUP(T276,Dex!$B$3:$N298,12,FALSE),"")</f>
        <v>110</v>
      </c>
      <c r="V293" s="963" t="str">
        <f t="array" ref="V293">IFERROR(VLOOKUP(U293,Dex!$P$22:$Q$276,2,FALSE),"")</f>
        <v/>
      </c>
      <c r="W293" s="964"/>
      <c r="X293" s="2409"/>
      <c r="Y293" s="961" t="s">
        <v>517</v>
      </c>
      <c r="Z293" s="962">
        <f t="array" ref="Z293">IFERROR(VLOOKUP(Y276,Dex!$B$3:$N298,12,FALSE),"")</f>
        <v>98</v>
      </c>
      <c r="AA293" s="963" t="str">
        <f t="array" ref="AA293">IFERROR(VLOOKUP(Z293,Dex!$P$22:$Q$276,2,FALSE),"")</f>
        <v/>
      </c>
      <c r="AB293" s="964"/>
      <c r="AC293" s="2409"/>
      <c r="AD293" s="961" t="s">
        <v>517</v>
      </c>
      <c r="AE293" s="962">
        <f t="array" ref="AE293">IFERROR(VLOOKUP(AD276,Dex!$B$3:$N298,12,FALSE),"")</f>
        <v>120</v>
      </c>
      <c r="AF293" s="963" t="str">
        <f t="array" ref="AF293">IFERROR(VLOOKUP(AE293,Dex!$P$22:$Q$276,2,FALSE),"")</f>
        <v/>
      </c>
      <c r="AG293" s="964"/>
      <c r="AH293" s="2410"/>
      <c r="AI293" s="6297"/>
    </row>
    <row r="294" ht="15.75" customHeight="1">
      <c r="A294" s="6289"/>
      <c r="B294" s="2403"/>
      <c r="C294" s="2396"/>
      <c r="D294" s="2404"/>
      <c r="E294" s="965" t="s">
        <v>518</v>
      </c>
      <c r="F294" s="966">
        <f t="array" ref="F294">IFERROR(VLOOKUP(E276,Dex!$B$3:$N298,13,FALSE),"")</f>
        <v>90</v>
      </c>
      <c r="G294" s="967" t="str">
        <f t="array" ref="G294">IFERROR(VLOOKUP(F294,Dex!$P$22:$Q$276,2,FALSE),"")</f>
        <v/>
      </c>
      <c r="H294" s="968"/>
      <c r="I294" s="2405"/>
      <c r="J294" s="965" t="s">
        <v>518</v>
      </c>
      <c r="K294" s="966">
        <f t="array" ref="K294">IFERROR(VLOOKUP(J276,Dex!$B$3:$N298,13,FALSE),"")</f>
        <v>70</v>
      </c>
      <c r="L294" s="967" t="str">
        <f t="array" ref="L294">IFERROR(VLOOKUP(K294,Dex!$P$22:$Q$276,2,FALSE),"")</f>
        <v/>
      </c>
      <c r="M294" s="968"/>
      <c r="N294" s="2412"/>
      <c r="O294" s="965" t="s">
        <v>518</v>
      </c>
      <c r="P294" s="966">
        <f t="array" ref="P294">IFERROR(VLOOKUP(O276,Dex!$B$3:$N298,13,FALSE),"")</f>
        <v>109</v>
      </c>
      <c r="Q294" s="967" t="str">
        <f t="array" ref="Q294">IFERROR(VLOOKUP(P294,Dex!$P$22:$Q$276,2,FALSE),"")</f>
        <v/>
      </c>
      <c r="R294" s="968"/>
      <c r="S294" s="2409"/>
      <c r="T294" s="965" t="s">
        <v>518</v>
      </c>
      <c r="U294" s="966">
        <f t="array" ref="U294">IFERROR(VLOOKUP(T276,Dex!$B$3:$N298,13,FALSE),"")</f>
        <v>140</v>
      </c>
      <c r="V294" s="967" t="str">
        <f t="array" ref="V294">IFERROR(VLOOKUP(U294,Dex!$P$22:$Q$276,2,FALSE),"")</f>
        <v/>
      </c>
      <c r="W294" s="968"/>
      <c r="X294" s="2409"/>
      <c r="Y294" s="965" t="s">
        <v>518</v>
      </c>
      <c r="Z294" s="966">
        <f t="array" ref="Z294">IFERROR(VLOOKUP(Y276,Dex!$B$3:$N298,13,FALSE),"")</f>
        <v>99</v>
      </c>
      <c r="AA294" s="967" t="str">
        <f t="array" ref="AA294">IFERROR(VLOOKUP(Z294,Dex!$P$22:$Q$276,2,FALSE),"")</f>
        <v/>
      </c>
      <c r="AB294" s="968"/>
      <c r="AC294" s="2409"/>
      <c r="AD294" s="965" t="s">
        <v>518</v>
      </c>
      <c r="AE294" s="966">
        <f t="array" ref="AE294">IFERROR(VLOOKUP(AD276,Dex!$B$3:$N298,13,FALSE),"")</f>
        <v>120</v>
      </c>
      <c r="AF294" s="967" t="str">
        <f t="array" ref="AF294">IFERROR(VLOOKUP(AE294,Dex!$P$22:$Q$276,2,FALSE),"")</f>
        <v/>
      </c>
      <c r="AG294" s="968"/>
      <c r="AH294" s="2410"/>
      <c r="AI294" s="6297"/>
    </row>
    <row r="295" ht="16.5" customHeight="1">
      <c r="A295" s="6289"/>
      <c r="B295" s="2403"/>
      <c r="C295" s="2396"/>
      <c r="D295" s="2404"/>
      <c r="E295" s="969" t="s">
        <v>519</v>
      </c>
      <c r="F295" s="630"/>
      <c r="G295" s="631"/>
      <c r="H295" s="632">
        <f>ROUNDDOWN((ROUNDDOWN(((((2*F294+31)*85)/100+5)),0))*1.1,0)</f>
        <v>202</v>
      </c>
      <c r="I295" s="2438"/>
      <c r="J295" s="971" t="s">
        <v>519</v>
      </c>
      <c r="K295" s="635"/>
      <c r="L295" s="636"/>
      <c r="M295" s="632">
        <f>ROUNDDOWN((ROUNDDOWN(((((2*K294+31)*85)/100+5)),0))*1,0)</f>
        <v>150</v>
      </c>
      <c r="N295" s="2439"/>
      <c r="O295" s="969" t="s">
        <v>519</v>
      </c>
      <c r="P295" s="630"/>
      <c r="Q295" s="631"/>
      <c r="R295" s="632">
        <f>ROUNDDOWN((ROUNDDOWN(((((2*P294+31)*85)/100+5)),0))*1.1,0)</f>
        <v>237</v>
      </c>
      <c r="S295" s="2566"/>
      <c r="T295" s="969" t="s">
        <v>519</v>
      </c>
      <c r="U295" s="630"/>
      <c r="V295" s="631"/>
      <c r="W295" s="632">
        <f>ROUNDDOWN((ROUNDDOWN(((((2*U294+31)*85)/100+5)),0))*1.1,0)</f>
        <v>295</v>
      </c>
      <c r="X295" s="2566"/>
      <c r="Y295" s="971" t="s">
        <v>519</v>
      </c>
      <c r="Z295" s="635"/>
      <c r="AA295" s="636"/>
      <c r="AB295" s="632">
        <f>ROUNDDOWN((ROUNDDOWN(((((2*Z294+31)*85)/100+5)),0))*1.1,0)</f>
        <v>218</v>
      </c>
      <c r="AC295" s="2566"/>
      <c r="AD295" s="969" t="s">
        <v>519</v>
      </c>
      <c r="AE295" s="630"/>
      <c r="AF295" s="631"/>
      <c r="AG295" s="632">
        <f>ROUNDDOWN((ROUNDDOWN(((((2*AE294+31)*85)/100+5)),0))*1.1,0)</f>
        <v>258</v>
      </c>
      <c r="AH295" s="2410"/>
      <c r="AI295" s="6297"/>
    </row>
    <row r="296" ht="16.5" customHeight="1">
      <c r="A296" s="6289"/>
      <c r="B296" s="6666"/>
      <c r="C296" s="6667"/>
      <c r="D296" s="6668"/>
      <c r="E296" s="2396"/>
      <c r="F296" s="2396"/>
      <c r="G296" s="2396"/>
      <c r="H296" s="2396"/>
      <c r="I296" s="6658"/>
      <c r="J296" s="978" t="s">
        <v>555</v>
      </c>
      <c r="K296" s="643"/>
      <c r="L296" s="644"/>
      <c r="M296" s="6317">
        <f>M295*2</f>
        <v>300</v>
      </c>
      <c r="N296" s="6659"/>
      <c r="O296" s="2396"/>
      <c r="P296" s="2396"/>
      <c r="Q296" s="2396"/>
      <c r="R296" s="2396"/>
      <c r="S296" s="6660"/>
      <c r="T296" s="2396"/>
      <c r="U296" s="2396"/>
      <c r="V296" s="2396"/>
      <c r="W296" s="2396"/>
      <c r="X296" s="6660"/>
      <c r="Y296" s="6669" t="s">
        <v>1947</v>
      </c>
      <c r="Z296" s="3255"/>
      <c r="AA296" s="6664"/>
      <c r="AB296" s="6317">
        <f>AB295*2</f>
        <v>436</v>
      </c>
      <c r="AC296" s="2580"/>
      <c r="AD296" s="2396"/>
      <c r="AE296" s="2396"/>
      <c r="AF296" s="2396"/>
      <c r="AG296" s="2396"/>
      <c r="AH296" s="2584"/>
      <c r="AI296" s="6297"/>
    </row>
    <row r="297" ht="7.5" customHeight="1">
      <c r="A297" s="6289"/>
      <c r="B297" s="2440"/>
      <c r="C297" s="2441"/>
      <c r="D297" s="2442"/>
      <c r="E297" s="2443"/>
      <c r="F297" s="2443"/>
      <c r="G297" s="2443"/>
      <c r="H297" s="2443"/>
      <c r="I297" s="2442"/>
      <c r="J297" s="2443"/>
      <c r="K297" s="2443"/>
      <c r="L297" s="2443"/>
      <c r="M297" s="2443"/>
      <c r="N297" s="2442"/>
      <c r="O297" s="2442"/>
      <c r="P297" s="2442"/>
      <c r="Q297" s="2442"/>
      <c r="R297" s="2442"/>
      <c r="S297" s="2442"/>
      <c r="T297" s="2442"/>
      <c r="U297" s="2442"/>
      <c r="V297" s="2442"/>
      <c r="W297" s="2442"/>
      <c r="X297" s="2442"/>
      <c r="Y297" s="2442"/>
      <c r="Z297" s="2442"/>
      <c r="AA297" s="2442"/>
      <c r="AB297" s="2442"/>
      <c r="AC297" s="2442"/>
      <c r="AD297" s="2444"/>
      <c r="AE297" s="2444"/>
      <c r="AF297" s="2444"/>
      <c r="AG297" s="2442"/>
      <c r="AH297" s="2445"/>
      <c r="AI297" s="6297"/>
    </row>
    <row r="298" ht="3.75" customHeight="1">
      <c r="A298" s="6209"/>
      <c r="B298" s="6670"/>
      <c r="C298" s="6671"/>
      <c r="D298" s="6670"/>
      <c r="E298" s="6670"/>
      <c r="F298" s="6670"/>
      <c r="G298" s="6670"/>
      <c r="H298" s="6670"/>
      <c r="I298" s="6670"/>
      <c r="J298" s="6670"/>
      <c r="K298" s="6670"/>
      <c r="L298" s="6670"/>
      <c r="M298" s="6670"/>
      <c r="N298" s="6670"/>
      <c r="O298" s="6670"/>
      <c r="P298" s="6670"/>
      <c r="Q298" s="6670"/>
      <c r="R298" s="6670"/>
      <c r="S298" s="6670"/>
      <c r="T298" s="6670"/>
      <c r="U298" s="6670"/>
      <c r="V298" s="6670"/>
      <c r="W298" s="6670"/>
      <c r="X298" s="6670"/>
      <c r="Y298" s="6670"/>
      <c r="Z298" s="6670"/>
      <c r="AA298" s="6670"/>
      <c r="AB298" s="6670"/>
      <c r="AC298" s="6670"/>
      <c r="AD298" s="6670"/>
      <c r="AE298" s="6670"/>
      <c r="AF298" s="6670"/>
      <c r="AG298" s="6670"/>
      <c r="AH298" s="6670"/>
      <c r="AI298" s="6209"/>
    </row>
  </sheetData>
  <mergeCells count="1322">
    <mergeCell ref="O148:R148"/>
    <mergeCell ref="O151:R151"/>
    <mergeCell ref="T151:W151"/>
    <mergeCell ref="Y151:AB151"/>
    <mergeCell ref="O152:R152"/>
    <mergeCell ref="T152:W152"/>
    <mergeCell ref="O154:Q154"/>
    <mergeCell ref="T154:V154"/>
    <mergeCell ref="Y154:AA154"/>
    <mergeCell ref="O155:Q155"/>
    <mergeCell ref="T155:V155"/>
    <mergeCell ref="Y155:AA155"/>
    <mergeCell ref="O156:Q156"/>
    <mergeCell ref="T156:V156"/>
    <mergeCell ref="Y156:AA156"/>
    <mergeCell ref="O157:Q157"/>
    <mergeCell ref="Y157:AA157"/>
    <mergeCell ref="AD156:AF156"/>
    <mergeCell ref="T157:V157"/>
    <mergeCell ref="AD157:AF157"/>
    <mergeCell ref="E151:H151"/>
    <mergeCell ref="J151:M151"/>
    <mergeCell ref="AD151:AG151"/>
    <mergeCell ref="AD152:AG152"/>
    <mergeCell ref="AD153:AF153"/>
    <mergeCell ref="AD154:AF154"/>
    <mergeCell ref="AD155:AF155"/>
    <mergeCell ref="G108:H108"/>
    <mergeCell ref="G109:H109"/>
    <mergeCell ref="G110:H110"/>
    <mergeCell ref="E111:G111"/>
    <mergeCell ref="C120:C121"/>
    <mergeCell ref="E120:H120"/>
    <mergeCell ref="C122:C126"/>
    <mergeCell ref="J139:L139"/>
    <mergeCell ref="O139:Q139"/>
    <mergeCell ref="T139:V139"/>
    <mergeCell ref="Y139:AA139"/>
    <mergeCell ref="AD139:AF139"/>
    <mergeCell ref="T140:V140"/>
    <mergeCell ref="Y140:AA140"/>
    <mergeCell ref="E121:H121"/>
    <mergeCell ref="E124:H124"/>
    <mergeCell ref="E132:H132"/>
    <mergeCell ref="G133:H133"/>
    <mergeCell ref="G134:H134"/>
    <mergeCell ref="G135:H135"/>
    <mergeCell ref="G136:H136"/>
    <mergeCell ref="E142:AG143"/>
    <mergeCell ref="E145:AG145"/>
    <mergeCell ref="J146:M146"/>
    <mergeCell ref="O146:R146"/>
    <mergeCell ref="T146:W146"/>
    <mergeCell ref="Y146:AB146"/>
    <mergeCell ref="AD146:AG146"/>
    <mergeCell ref="AD147:AG147"/>
    <mergeCell ref="T147:W147"/>
    <mergeCell ref="T148:W148"/>
    <mergeCell ref="AD148:AG148"/>
    <mergeCell ref="J152:M152"/>
    <mergeCell ref="J153:L153"/>
    <mergeCell ref="J154:L154"/>
    <mergeCell ref="J155:L155"/>
    <mergeCell ref="J156:L156"/>
    <mergeCell ref="J157:L157"/>
    <mergeCell ref="E146:H146"/>
    <mergeCell ref="C147:C148"/>
    <mergeCell ref="E147:H147"/>
    <mergeCell ref="J147:M147"/>
    <mergeCell ref="E148:H148"/>
    <mergeCell ref="J148:M148"/>
    <mergeCell ref="C149:C153"/>
    <mergeCell ref="N36:N47"/>
    <mergeCell ref="J41:M41"/>
    <mergeCell ref="J42:M42"/>
    <mergeCell ref="J43:L43"/>
    <mergeCell ref="J44:L44"/>
    <mergeCell ref="J47:L47"/>
    <mergeCell ref="T46:V46"/>
    <mergeCell ref="O47:Q47"/>
    <mergeCell ref="T47:V47"/>
    <mergeCell ref="O22:R22"/>
    <mergeCell ref="Q23:R23"/>
    <mergeCell ref="I36:I47"/>
    <mergeCell ref="O36:R36"/>
    <mergeCell ref="S36:S47"/>
    <mergeCell ref="X36:X47"/>
    <mergeCell ref="T38:W38"/>
    <mergeCell ref="J16:L16"/>
    <mergeCell ref="O16:Q16"/>
    <mergeCell ref="J17:L17"/>
    <mergeCell ref="O17:Q17"/>
    <mergeCell ref="T17:V17"/>
    <mergeCell ref="AD17:AF17"/>
    <mergeCell ref="AD15:AG15"/>
    <mergeCell ref="AD16:AF16"/>
    <mergeCell ref="AD22:AG22"/>
    <mergeCell ref="AF23:AG23"/>
    <mergeCell ref="AF24:AG24"/>
    <mergeCell ref="AF25:AG25"/>
    <mergeCell ref="AF26:AG26"/>
    <mergeCell ref="AA28:AB28"/>
    <mergeCell ref="Y29:AA29"/>
    <mergeCell ref="AD29:AF29"/>
    <mergeCell ref="AD30:AF30"/>
    <mergeCell ref="E32:AG33"/>
    <mergeCell ref="E35:AG35"/>
    <mergeCell ref="E36:H36"/>
    <mergeCell ref="AF27:AG27"/>
    <mergeCell ref="AF28:AG28"/>
    <mergeCell ref="AC36:AC47"/>
    <mergeCell ref="AD36:AG36"/>
    <mergeCell ref="AD37:AG37"/>
    <mergeCell ref="AD38:AG38"/>
    <mergeCell ref="AD41:AG41"/>
    <mergeCell ref="AD47:AF47"/>
    <mergeCell ref="AD42:AG42"/>
    <mergeCell ref="AD43:AF43"/>
    <mergeCell ref="Y44:AA44"/>
    <mergeCell ref="AD44:AF44"/>
    <mergeCell ref="T45:V45"/>
    <mergeCell ref="Y45:AA45"/>
    <mergeCell ref="Y46:AA46"/>
    <mergeCell ref="AF54:AG54"/>
    <mergeCell ref="AF55:AG55"/>
    <mergeCell ref="Q53:R53"/>
    <mergeCell ref="Q54:R54"/>
    <mergeCell ref="V54:W54"/>
    <mergeCell ref="AA54:AB54"/>
    <mergeCell ref="Q55:R55"/>
    <mergeCell ref="V55:W55"/>
    <mergeCell ref="AA55:AB55"/>
    <mergeCell ref="J65:M65"/>
    <mergeCell ref="J72:L72"/>
    <mergeCell ref="J73:L73"/>
    <mergeCell ref="J74:L74"/>
    <mergeCell ref="L51:M51"/>
    <mergeCell ref="L52:M52"/>
    <mergeCell ref="L53:M53"/>
    <mergeCell ref="L54:M54"/>
    <mergeCell ref="L55:M55"/>
    <mergeCell ref="J56:L56"/>
    <mergeCell ref="N64:N75"/>
    <mergeCell ref="J75:L75"/>
    <mergeCell ref="J77:M77"/>
    <mergeCell ref="L78:M78"/>
    <mergeCell ref="L79:M79"/>
    <mergeCell ref="L80:M80"/>
    <mergeCell ref="L81:M81"/>
    <mergeCell ref="L82:M82"/>
    <mergeCell ref="J93:M93"/>
    <mergeCell ref="J96:M96"/>
    <mergeCell ref="J98:L98"/>
    <mergeCell ref="O98:Q98"/>
    <mergeCell ref="J99:L99"/>
    <mergeCell ref="O99:Q99"/>
    <mergeCell ref="J102:L102"/>
    <mergeCell ref="O102:Q102"/>
    <mergeCell ref="J104:M104"/>
    <mergeCell ref="O104:R104"/>
    <mergeCell ref="L105:M105"/>
    <mergeCell ref="Q105:R105"/>
    <mergeCell ref="Q106:R106"/>
    <mergeCell ref="L106:M106"/>
    <mergeCell ref="L107:M107"/>
    <mergeCell ref="L108:M108"/>
    <mergeCell ref="L109:M109"/>
    <mergeCell ref="L110:M110"/>
    <mergeCell ref="J111:L111"/>
    <mergeCell ref="J112:L112"/>
    <mergeCell ref="G137:H137"/>
    <mergeCell ref="G138:H138"/>
    <mergeCell ref="E139:G139"/>
    <mergeCell ref="E152:H152"/>
    <mergeCell ref="E153:G153"/>
    <mergeCell ref="E154:G154"/>
    <mergeCell ref="E155:G155"/>
    <mergeCell ref="AA165:AB165"/>
    <mergeCell ref="AF165:AG165"/>
    <mergeCell ref="E156:G156"/>
    <mergeCell ref="E157:G157"/>
    <mergeCell ref="E159:H159"/>
    <mergeCell ref="G160:H160"/>
    <mergeCell ref="G161:H161"/>
    <mergeCell ref="G162:H162"/>
    <mergeCell ref="G163:H163"/>
    <mergeCell ref="E74:G74"/>
    <mergeCell ref="E75:G75"/>
    <mergeCell ref="G52:H52"/>
    <mergeCell ref="G53:H53"/>
    <mergeCell ref="G54:H54"/>
    <mergeCell ref="G55:H55"/>
    <mergeCell ref="E56:G56"/>
    <mergeCell ref="E57:G57"/>
    <mergeCell ref="I64:I75"/>
    <mergeCell ref="G83:H83"/>
    <mergeCell ref="I91:I102"/>
    <mergeCell ref="I119:I130"/>
    <mergeCell ref="I146:I157"/>
    <mergeCell ref="E77:H77"/>
    <mergeCell ref="G78:H78"/>
    <mergeCell ref="G79:H79"/>
    <mergeCell ref="G80:H80"/>
    <mergeCell ref="G81:H81"/>
    <mergeCell ref="G82:H82"/>
    <mergeCell ref="E84:G84"/>
    <mergeCell ref="E92:H92"/>
    <mergeCell ref="E93:H93"/>
    <mergeCell ref="C94:C98"/>
    <mergeCell ref="E96:H96"/>
    <mergeCell ref="E97:H97"/>
    <mergeCell ref="E98:G98"/>
    <mergeCell ref="E99:G99"/>
    <mergeCell ref="E100:G100"/>
    <mergeCell ref="E101:G101"/>
    <mergeCell ref="E102:G102"/>
    <mergeCell ref="E104:H104"/>
    <mergeCell ref="G105:H105"/>
    <mergeCell ref="G106:H106"/>
    <mergeCell ref="G107:H107"/>
    <mergeCell ref="G164:H164"/>
    <mergeCell ref="G165:H165"/>
    <mergeCell ref="P177:Q177"/>
    <mergeCell ref="J179:M179"/>
    <mergeCell ref="J180:M180"/>
    <mergeCell ref="O180:R180"/>
    <mergeCell ref="J181:L181"/>
    <mergeCell ref="O181:Q181"/>
    <mergeCell ref="O182:Q182"/>
    <mergeCell ref="O183:Q183"/>
    <mergeCell ref="J182:L182"/>
    <mergeCell ref="J183:L183"/>
    <mergeCell ref="J187:M187"/>
    <mergeCell ref="O187:R187"/>
    <mergeCell ref="Q188:R188"/>
    <mergeCell ref="Q189:R189"/>
    <mergeCell ref="Q190:R190"/>
    <mergeCell ref="O201:R201"/>
    <mergeCell ref="O202:R202"/>
    <mergeCell ref="K203:L203"/>
    <mergeCell ref="P203:Q203"/>
    <mergeCell ref="J205:M205"/>
    <mergeCell ref="O205:R205"/>
    <mergeCell ref="J207:L207"/>
    <mergeCell ref="O207:Q207"/>
    <mergeCell ref="J208:L208"/>
    <mergeCell ref="O208:Q208"/>
    <mergeCell ref="I200:I211"/>
    <mergeCell ref="J200:M200"/>
    <mergeCell ref="N200:N211"/>
    <mergeCell ref="O200:R200"/>
    <mergeCell ref="S200:S211"/>
    <mergeCell ref="J201:M201"/>
    <mergeCell ref="J202:M202"/>
    <mergeCell ref="J231:M231"/>
    <mergeCell ref="O231:R231"/>
    <mergeCell ref="J232:L232"/>
    <mergeCell ref="O232:Q232"/>
    <mergeCell ref="J233:L233"/>
    <mergeCell ref="O233:Q233"/>
    <mergeCell ref="J234:L234"/>
    <mergeCell ref="O234:Q234"/>
    <mergeCell ref="J235:L235"/>
    <mergeCell ref="O235:Q235"/>
    <mergeCell ref="J236:L236"/>
    <mergeCell ref="O236:Q236"/>
    <mergeCell ref="J211:L211"/>
    <mergeCell ref="O211:Q211"/>
    <mergeCell ref="I225:I236"/>
    <mergeCell ref="J225:M225"/>
    <mergeCell ref="N225:N236"/>
    <mergeCell ref="S225:S236"/>
    <mergeCell ref="J226:M226"/>
    <mergeCell ref="Y234:AA234"/>
    <mergeCell ref="Y235:AA235"/>
    <mergeCell ref="X225:X236"/>
    <mergeCell ref="AC225:AC236"/>
    <mergeCell ref="Y226:AB226"/>
    <mergeCell ref="Y227:AB227"/>
    <mergeCell ref="Z228:AA228"/>
    <mergeCell ref="Y230:AB230"/>
    <mergeCell ref="Y231:AB231"/>
    <mergeCell ref="Y236:AA236"/>
    <mergeCell ref="J206:M206"/>
    <mergeCell ref="O206:R206"/>
    <mergeCell ref="J209:L209"/>
    <mergeCell ref="O209:Q209"/>
    <mergeCell ref="J210:L210"/>
    <mergeCell ref="O210:Q210"/>
    <mergeCell ref="O225:R225"/>
    <mergeCell ref="O226:R226"/>
    <mergeCell ref="T226:W226"/>
    <mergeCell ref="J227:M227"/>
    <mergeCell ref="O227:R227"/>
    <mergeCell ref="T227:W227"/>
    <mergeCell ref="Y232:AA232"/>
    <mergeCell ref="Y233:AA233"/>
    <mergeCell ref="T235:V235"/>
    <mergeCell ref="T236:V236"/>
    <mergeCell ref="J230:M230"/>
    <mergeCell ref="O230:R230"/>
    <mergeCell ref="T230:W230"/>
    <mergeCell ref="T231:W231"/>
    <mergeCell ref="T232:V232"/>
    <mergeCell ref="T233:V233"/>
    <mergeCell ref="T234:V234"/>
    <mergeCell ref="Y152:AB152"/>
    <mergeCell ref="O153:Q153"/>
    <mergeCell ref="T153:V153"/>
    <mergeCell ref="Y153:AA153"/>
    <mergeCell ref="N146:N157"/>
    <mergeCell ref="S146:S157"/>
    <mergeCell ref="X146:X157"/>
    <mergeCell ref="AC146:AC157"/>
    <mergeCell ref="O147:R147"/>
    <mergeCell ref="Y147:AB147"/>
    <mergeCell ref="Y148:AB148"/>
    <mergeCell ref="J159:M159"/>
    <mergeCell ref="O159:R159"/>
    <mergeCell ref="T159:W159"/>
    <mergeCell ref="AD159:AG159"/>
    <mergeCell ref="Q160:R160"/>
    <mergeCell ref="V160:W160"/>
    <mergeCell ref="AF160:AG160"/>
    <mergeCell ref="L163:M163"/>
    <mergeCell ref="L164:M164"/>
    <mergeCell ref="L165:M165"/>
    <mergeCell ref="AA163:AB163"/>
    <mergeCell ref="AA164:AB164"/>
    <mergeCell ref="Y166:AA166"/>
    <mergeCell ref="AD166:AF166"/>
    <mergeCell ref="Y167:AA167"/>
    <mergeCell ref="Y159:AB159"/>
    <mergeCell ref="AA160:AB160"/>
    <mergeCell ref="AA161:AB161"/>
    <mergeCell ref="AF161:AG161"/>
    <mergeCell ref="AA162:AB162"/>
    <mergeCell ref="AF162:AG162"/>
    <mergeCell ref="AF163:AG163"/>
    <mergeCell ref="AF164:AG164"/>
    <mergeCell ref="V164:W164"/>
    <mergeCell ref="V165:W165"/>
    <mergeCell ref="L160:M160"/>
    <mergeCell ref="L161:M161"/>
    <mergeCell ref="Q161:R161"/>
    <mergeCell ref="V161:W161"/>
    <mergeCell ref="L162:M162"/>
    <mergeCell ref="V162:W162"/>
    <mergeCell ref="V163:W163"/>
    <mergeCell ref="Q162:R162"/>
    <mergeCell ref="Q163:R163"/>
    <mergeCell ref="Q164:R164"/>
    <mergeCell ref="Q165:R165"/>
    <mergeCell ref="E166:G166"/>
    <mergeCell ref="O166:Q166"/>
    <mergeCell ref="T166:V166"/>
    <mergeCell ref="J174:M174"/>
    <mergeCell ref="N174:N185"/>
    <mergeCell ref="J175:M175"/>
    <mergeCell ref="J176:M176"/>
    <mergeCell ref="J184:L184"/>
    <mergeCell ref="J185:L185"/>
    <mergeCell ref="O174:R174"/>
    <mergeCell ref="S174:S185"/>
    <mergeCell ref="O175:R175"/>
    <mergeCell ref="O176:R176"/>
    <mergeCell ref="O184:Q184"/>
    <mergeCell ref="O185:Q185"/>
    <mergeCell ref="T174:W174"/>
    <mergeCell ref="X174:X185"/>
    <mergeCell ref="T175:W175"/>
    <mergeCell ref="T176:W176"/>
    <mergeCell ref="T184:V184"/>
    <mergeCell ref="Y184:AA184"/>
    <mergeCell ref="T185:V185"/>
    <mergeCell ref="Y185:AA185"/>
    <mergeCell ref="E174:H174"/>
    <mergeCell ref="C175:C176"/>
    <mergeCell ref="E175:H175"/>
    <mergeCell ref="E176:H176"/>
    <mergeCell ref="E184:G184"/>
    <mergeCell ref="E185:G185"/>
    <mergeCell ref="AD175:AG175"/>
    <mergeCell ref="AD176:AG176"/>
    <mergeCell ref="AD183:AF183"/>
    <mergeCell ref="AD184:AF184"/>
    <mergeCell ref="AD185:AF185"/>
    <mergeCell ref="Y174:AB174"/>
    <mergeCell ref="AC174:AC185"/>
    <mergeCell ref="Y175:AB175"/>
    <mergeCell ref="Y176:AB176"/>
    <mergeCell ref="Y179:AB179"/>
    <mergeCell ref="Y180:AB180"/>
    <mergeCell ref="Y181:AA181"/>
    <mergeCell ref="Y205:AB205"/>
    <mergeCell ref="Y206:AB206"/>
    <mergeCell ref="Y207:AA207"/>
    <mergeCell ref="Y208:AA208"/>
    <mergeCell ref="Y209:AA209"/>
    <mergeCell ref="Y210:AA210"/>
    <mergeCell ref="Y211:AA211"/>
    <mergeCell ref="AA214:AB214"/>
    <mergeCell ref="AA215:AB215"/>
    <mergeCell ref="AA216:AB216"/>
    <mergeCell ref="AA217:AB217"/>
    <mergeCell ref="AA218:AB218"/>
    <mergeCell ref="AA219:AB219"/>
    <mergeCell ref="Y220:AA220"/>
    <mergeCell ref="Y182:AA182"/>
    <mergeCell ref="Y183:AA183"/>
    <mergeCell ref="X200:X211"/>
    <mergeCell ref="Y200:AB200"/>
    <mergeCell ref="AC200:AC211"/>
    <mergeCell ref="Y201:AB201"/>
    <mergeCell ref="Y202:AB202"/>
    <mergeCell ref="V188:W188"/>
    <mergeCell ref="V189:W189"/>
    <mergeCell ref="AA189:AB189"/>
    <mergeCell ref="AF189:AG189"/>
    <mergeCell ref="T182:V182"/>
    <mergeCell ref="T183:V183"/>
    <mergeCell ref="T187:W187"/>
    <mergeCell ref="Y187:AB187"/>
    <mergeCell ref="AD187:AG187"/>
    <mergeCell ref="AA188:AB188"/>
    <mergeCell ref="AF188:AG188"/>
    <mergeCell ref="L189:M189"/>
    <mergeCell ref="L190:M190"/>
    <mergeCell ref="V190:W190"/>
    <mergeCell ref="AA190:AB190"/>
    <mergeCell ref="AF190:AG190"/>
    <mergeCell ref="L188:M188"/>
    <mergeCell ref="L191:M191"/>
    <mergeCell ref="Q191:R191"/>
    <mergeCell ref="AA191:AB191"/>
    <mergeCell ref="L192:M192"/>
    <mergeCell ref="Q192:R192"/>
    <mergeCell ref="AA192:AB192"/>
    <mergeCell ref="C177:C179"/>
    <mergeCell ref="K177:L177"/>
    <mergeCell ref="E179:H179"/>
    <mergeCell ref="J166:L166"/>
    <mergeCell ref="J167:L167"/>
    <mergeCell ref="C169:AG169"/>
    <mergeCell ref="E170:AG171"/>
    <mergeCell ref="E173:AG173"/>
    <mergeCell ref="AD174:AG174"/>
    <mergeCell ref="AD179:AG179"/>
    <mergeCell ref="O179:R179"/>
    <mergeCell ref="T179:W179"/>
    <mergeCell ref="T180:W180"/>
    <mergeCell ref="AD180:AG180"/>
    <mergeCell ref="T181:V181"/>
    <mergeCell ref="AD181:AF181"/>
    <mergeCell ref="AD182:AF182"/>
    <mergeCell ref="I174:I185"/>
    <mergeCell ref="C180:C182"/>
    <mergeCell ref="E180:H180"/>
    <mergeCell ref="E181:G181"/>
    <mergeCell ref="E182:G182"/>
    <mergeCell ref="E183:G183"/>
    <mergeCell ref="E187:H187"/>
    <mergeCell ref="V191:W191"/>
    <mergeCell ref="V192:W192"/>
    <mergeCell ref="Q193:R193"/>
    <mergeCell ref="V193:W193"/>
    <mergeCell ref="AA193:AB193"/>
    <mergeCell ref="AF191:AG191"/>
    <mergeCell ref="AF192:AG192"/>
    <mergeCell ref="AF193:AG193"/>
    <mergeCell ref="G188:H188"/>
    <mergeCell ref="G189:H189"/>
    <mergeCell ref="G190:H190"/>
    <mergeCell ref="G191:H191"/>
    <mergeCell ref="G192:H192"/>
    <mergeCell ref="G193:H193"/>
    <mergeCell ref="L193:M193"/>
    <mergeCell ref="E230:H230"/>
    <mergeCell ref="E231:H231"/>
    <mergeCell ref="E232:G232"/>
    <mergeCell ref="E233:G233"/>
    <mergeCell ref="E234:G234"/>
    <mergeCell ref="E235:G235"/>
    <mergeCell ref="E236:G236"/>
    <mergeCell ref="E238:H238"/>
    <mergeCell ref="G239:H239"/>
    <mergeCell ref="O238:R238"/>
    <mergeCell ref="T238:W238"/>
    <mergeCell ref="Y238:AB238"/>
    <mergeCell ref="AD238:AG238"/>
    <mergeCell ref="AF239:AG239"/>
    <mergeCell ref="AF240:AG240"/>
    <mergeCell ref="J238:M238"/>
    <mergeCell ref="L239:M239"/>
    <mergeCell ref="Q239:R239"/>
    <mergeCell ref="AA239:AB239"/>
    <mergeCell ref="L240:M240"/>
    <mergeCell ref="Q240:R240"/>
    <mergeCell ref="AA240:AB240"/>
    <mergeCell ref="AF218:AG218"/>
    <mergeCell ref="AF219:AG219"/>
    <mergeCell ref="AD220:AF220"/>
    <mergeCell ref="E223:AG223"/>
    <mergeCell ref="T225:W225"/>
    <mergeCell ref="Y225:AB225"/>
    <mergeCell ref="AD225:AG225"/>
    <mergeCell ref="E225:H225"/>
    <mergeCell ref="C226:C227"/>
    <mergeCell ref="E226:H226"/>
    <mergeCell ref="E227:H227"/>
    <mergeCell ref="C228:C230"/>
    <mergeCell ref="F228:G228"/>
    <mergeCell ref="C231:C233"/>
    <mergeCell ref="AD235:AF235"/>
    <mergeCell ref="AD236:AF236"/>
    <mergeCell ref="AD226:AG226"/>
    <mergeCell ref="AD227:AG227"/>
    <mergeCell ref="AD230:AG230"/>
    <mergeCell ref="AD231:AG231"/>
    <mergeCell ref="AD232:AF232"/>
    <mergeCell ref="AD233:AF233"/>
    <mergeCell ref="AD234:AF234"/>
    <mergeCell ref="V239:W239"/>
    <mergeCell ref="V240:W240"/>
    <mergeCell ref="V241:W241"/>
    <mergeCell ref="AA241:AB241"/>
    <mergeCell ref="AF241:AG241"/>
    <mergeCell ref="V242:W242"/>
    <mergeCell ref="AA242:AB242"/>
    <mergeCell ref="AF242:AG242"/>
    <mergeCell ref="G242:H242"/>
    <mergeCell ref="G243:H243"/>
    <mergeCell ref="L243:M243"/>
    <mergeCell ref="Q243:R243"/>
    <mergeCell ref="V243:W243"/>
    <mergeCell ref="AA243:AB243"/>
    <mergeCell ref="AF243:AG243"/>
    <mergeCell ref="Q242:R242"/>
    <mergeCell ref="Q244:R244"/>
    <mergeCell ref="V244:W244"/>
    <mergeCell ref="AA244:AB244"/>
    <mergeCell ref="AF244:AG244"/>
    <mergeCell ref="T252:W252"/>
    <mergeCell ref="Y252:AB252"/>
    <mergeCell ref="E250:H250"/>
    <mergeCell ref="J250:M250"/>
    <mergeCell ref="O250:R250"/>
    <mergeCell ref="T250:W250"/>
    <mergeCell ref="AD250:AG250"/>
    <mergeCell ref="C251:C252"/>
    <mergeCell ref="AD251:AG251"/>
    <mergeCell ref="AD252:AG252"/>
    <mergeCell ref="G240:H240"/>
    <mergeCell ref="G241:H241"/>
    <mergeCell ref="L241:M241"/>
    <mergeCell ref="Q241:R241"/>
    <mergeCell ref="L242:M242"/>
    <mergeCell ref="L244:M244"/>
    <mergeCell ref="J246:L246"/>
    <mergeCell ref="E245:G245"/>
    <mergeCell ref="J245:L245"/>
    <mergeCell ref="O245:Q245"/>
    <mergeCell ref="T245:V245"/>
    <mergeCell ref="Y245:AA245"/>
    <mergeCell ref="AD245:AF245"/>
    <mergeCell ref="E248:AG248"/>
    <mergeCell ref="O251:R251"/>
    <mergeCell ref="T251:W251"/>
    <mergeCell ref="Y250:AB250"/>
    <mergeCell ref="Y251:AB251"/>
    <mergeCell ref="E251:H251"/>
    <mergeCell ref="E252:H252"/>
    <mergeCell ref="C253:C255"/>
    <mergeCell ref="E255:H255"/>
    <mergeCell ref="J252:M252"/>
    <mergeCell ref="O252:R252"/>
    <mergeCell ref="U253:V253"/>
    <mergeCell ref="Z253:AA253"/>
    <mergeCell ref="AD255:AG255"/>
    <mergeCell ref="AD256:AG256"/>
    <mergeCell ref="AD257:AF257"/>
    <mergeCell ref="AD258:AF258"/>
    <mergeCell ref="AD259:AF259"/>
    <mergeCell ref="O256:R256"/>
    <mergeCell ref="O257:Q257"/>
    <mergeCell ref="J255:M255"/>
    <mergeCell ref="O255:R255"/>
    <mergeCell ref="C256:C258"/>
    <mergeCell ref="E256:H256"/>
    <mergeCell ref="J256:M256"/>
    <mergeCell ref="E257:G257"/>
    <mergeCell ref="E258:G258"/>
    <mergeCell ref="J263:M263"/>
    <mergeCell ref="L264:M264"/>
    <mergeCell ref="L265:M265"/>
    <mergeCell ref="L266:M266"/>
    <mergeCell ref="G265:H265"/>
    <mergeCell ref="G266:H266"/>
    <mergeCell ref="E259:G259"/>
    <mergeCell ref="J259:L259"/>
    <mergeCell ref="E260:G260"/>
    <mergeCell ref="J260:L260"/>
    <mergeCell ref="E261:G261"/>
    <mergeCell ref="E263:H263"/>
    <mergeCell ref="G264:H264"/>
    <mergeCell ref="O263:R263"/>
    <mergeCell ref="T263:W263"/>
    <mergeCell ref="Y263:AB263"/>
    <mergeCell ref="AD263:AG263"/>
    <mergeCell ref="V264:W264"/>
    <mergeCell ref="AA264:AB264"/>
    <mergeCell ref="AF264:AG264"/>
    <mergeCell ref="Q264:R264"/>
    <mergeCell ref="Q265:R265"/>
    <mergeCell ref="V265:W265"/>
    <mergeCell ref="AA265:AB265"/>
    <mergeCell ref="Q266:R266"/>
    <mergeCell ref="V266:W266"/>
    <mergeCell ref="AA266:AB266"/>
    <mergeCell ref="Y275:AB275"/>
    <mergeCell ref="AC275:AC286"/>
    <mergeCell ref="AD275:AG275"/>
    <mergeCell ref="Y276:AB276"/>
    <mergeCell ref="AD276:AG276"/>
    <mergeCell ref="Y277:AB277"/>
    <mergeCell ref="Z278:AA278"/>
    <mergeCell ref="Y286:AA286"/>
    <mergeCell ref="AD286:AF286"/>
    <mergeCell ref="Y288:AB288"/>
    <mergeCell ref="AD288:AG288"/>
    <mergeCell ref="AA289:AB289"/>
    <mergeCell ref="AF289:AG289"/>
    <mergeCell ref="AF290:AG290"/>
    <mergeCell ref="Y280:AB280"/>
    <mergeCell ref="AD280:AG280"/>
    <mergeCell ref="Y281:AB281"/>
    <mergeCell ref="AD281:AG281"/>
    <mergeCell ref="Y282:AA282"/>
    <mergeCell ref="AD282:AF282"/>
    <mergeCell ref="Y283:AA283"/>
    <mergeCell ref="AD283:AF283"/>
    <mergeCell ref="Y284:AA284"/>
    <mergeCell ref="AD284:AF284"/>
    <mergeCell ref="Y285:AA285"/>
    <mergeCell ref="AD285:AF285"/>
    <mergeCell ref="AA290:AB290"/>
    <mergeCell ref="AA291:AB291"/>
    <mergeCell ref="AF291:AG291"/>
    <mergeCell ref="T280:W280"/>
    <mergeCell ref="J281:M281"/>
    <mergeCell ref="O281:R281"/>
    <mergeCell ref="T281:W281"/>
    <mergeCell ref="J282:L282"/>
    <mergeCell ref="O282:Q282"/>
    <mergeCell ref="T282:V282"/>
    <mergeCell ref="J283:L283"/>
    <mergeCell ref="O283:Q283"/>
    <mergeCell ref="T283:V283"/>
    <mergeCell ref="J284:L284"/>
    <mergeCell ref="O284:Q284"/>
    <mergeCell ref="T284:V284"/>
    <mergeCell ref="J285:L285"/>
    <mergeCell ref="O285:Q285"/>
    <mergeCell ref="T285:V285"/>
    <mergeCell ref="J286:L286"/>
    <mergeCell ref="O286:Q286"/>
    <mergeCell ref="J270:L270"/>
    <mergeCell ref="J275:M275"/>
    <mergeCell ref="N275:N286"/>
    <mergeCell ref="S275:S286"/>
    <mergeCell ref="T275:W275"/>
    <mergeCell ref="X275:X286"/>
    <mergeCell ref="O277:R277"/>
    <mergeCell ref="T286:V286"/>
    <mergeCell ref="O275:R275"/>
    <mergeCell ref="O276:R276"/>
    <mergeCell ref="J276:M276"/>
    <mergeCell ref="J277:M277"/>
    <mergeCell ref="T276:W276"/>
    <mergeCell ref="T277:W277"/>
    <mergeCell ref="F278:G278"/>
    <mergeCell ref="E280:H280"/>
    <mergeCell ref="J280:M280"/>
    <mergeCell ref="O280:R280"/>
    <mergeCell ref="E286:G286"/>
    <mergeCell ref="E288:H288"/>
    <mergeCell ref="J288:M288"/>
    <mergeCell ref="O288:R288"/>
    <mergeCell ref="T288:W288"/>
    <mergeCell ref="Q289:R289"/>
    <mergeCell ref="V289:W289"/>
    <mergeCell ref="L293:M293"/>
    <mergeCell ref="Q293:R293"/>
    <mergeCell ref="V293:W293"/>
    <mergeCell ref="L294:M294"/>
    <mergeCell ref="Q294:R294"/>
    <mergeCell ref="V294:W294"/>
    <mergeCell ref="Y258:AA258"/>
    <mergeCell ref="O259:Q259"/>
    <mergeCell ref="T259:V259"/>
    <mergeCell ref="Y259:AA259"/>
    <mergeCell ref="Y260:AA260"/>
    <mergeCell ref="J261:L261"/>
    <mergeCell ref="O261:Q261"/>
    <mergeCell ref="T261:V261"/>
    <mergeCell ref="Y261:AA261"/>
    <mergeCell ref="G244:H244"/>
    <mergeCell ref="I250:I261"/>
    <mergeCell ref="N250:N261"/>
    <mergeCell ref="S250:S261"/>
    <mergeCell ref="X250:X261"/>
    <mergeCell ref="AC250:AC261"/>
    <mergeCell ref="J251:M251"/>
    <mergeCell ref="AA267:AB267"/>
    <mergeCell ref="AA268:AB268"/>
    <mergeCell ref="AF265:AG265"/>
    <mergeCell ref="AF266:AG266"/>
    <mergeCell ref="Q267:R267"/>
    <mergeCell ref="V267:W267"/>
    <mergeCell ref="AF267:AG267"/>
    <mergeCell ref="V268:W268"/>
    <mergeCell ref="AF268:AG268"/>
    <mergeCell ref="Q268:R268"/>
    <mergeCell ref="Q269:R269"/>
    <mergeCell ref="V269:W269"/>
    <mergeCell ref="AA269:AB269"/>
    <mergeCell ref="AF269:AG269"/>
    <mergeCell ref="G269:H269"/>
    <mergeCell ref="O270:Q270"/>
    <mergeCell ref="T270:V270"/>
    <mergeCell ref="Y270:AA270"/>
    <mergeCell ref="AD270:AF270"/>
    <mergeCell ref="Y271:AA271"/>
    <mergeCell ref="E273:AG273"/>
    <mergeCell ref="T255:W255"/>
    <mergeCell ref="Y255:AB255"/>
    <mergeCell ref="T256:W256"/>
    <mergeCell ref="Y256:AB256"/>
    <mergeCell ref="T257:V257"/>
    <mergeCell ref="Y257:AA257"/>
    <mergeCell ref="O258:Q258"/>
    <mergeCell ref="T258:V258"/>
    <mergeCell ref="O260:Q260"/>
    <mergeCell ref="T260:V260"/>
    <mergeCell ref="AD260:AF260"/>
    <mergeCell ref="AD261:AF261"/>
    <mergeCell ref="J257:L257"/>
    <mergeCell ref="J258:L258"/>
    <mergeCell ref="G267:H267"/>
    <mergeCell ref="L267:M267"/>
    <mergeCell ref="G268:H268"/>
    <mergeCell ref="L268:M268"/>
    <mergeCell ref="L269:M269"/>
    <mergeCell ref="AD277:AG277"/>
    <mergeCell ref="AE278:AF278"/>
    <mergeCell ref="C281:C283"/>
    <mergeCell ref="E281:H281"/>
    <mergeCell ref="E282:G282"/>
    <mergeCell ref="E283:G283"/>
    <mergeCell ref="E270:G270"/>
    <mergeCell ref="E275:H275"/>
    <mergeCell ref="I275:I286"/>
    <mergeCell ref="C276:C277"/>
    <mergeCell ref="E276:H276"/>
    <mergeCell ref="E277:H277"/>
    <mergeCell ref="C278:C280"/>
    <mergeCell ref="Q291:R291"/>
    <mergeCell ref="Q292:R292"/>
    <mergeCell ref="J295:L295"/>
    <mergeCell ref="O295:Q295"/>
    <mergeCell ref="J296:L296"/>
    <mergeCell ref="L289:M289"/>
    <mergeCell ref="L290:M290"/>
    <mergeCell ref="Q290:R290"/>
    <mergeCell ref="V290:W290"/>
    <mergeCell ref="L291:M291"/>
    <mergeCell ref="V291:W291"/>
    <mergeCell ref="L292:M292"/>
    <mergeCell ref="T295:V295"/>
    <mergeCell ref="Y295:AA295"/>
    <mergeCell ref="AD295:AF295"/>
    <mergeCell ref="Y296:AA296"/>
    <mergeCell ref="V292:W292"/>
    <mergeCell ref="AA292:AB292"/>
    <mergeCell ref="AF292:AG292"/>
    <mergeCell ref="AA293:AB293"/>
    <mergeCell ref="AF293:AG293"/>
    <mergeCell ref="AA294:AB294"/>
    <mergeCell ref="AF294:AG294"/>
    <mergeCell ref="G294:H294"/>
    <mergeCell ref="E295:G295"/>
    <mergeCell ref="E284:G284"/>
    <mergeCell ref="E285:G285"/>
    <mergeCell ref="G289:H289"/>
    <mergeCell ref="G290:H290"/>
    <mergeCell ref="G291:H291"/>
    <mergeCell ref="G292:H292"/>
    <mergeCell ref="G293:H293"/>
    <mergeCell ref="O9:R9"/>
    <mergeCell ref="S9:S20"/>
    <mergeCell ref="O10:R10"/>
    <mergeCell ref="O11:R11"/>
    <mergeCell ref="O14:R14"/>
    <mergeCell ref="O18:Q18"/>
    <mergeCell ref="O19:Q19"/>
    <mergeCell ref="O20:Q20"/>
    <mergeCell ref="E9:H9"/>
    <mergeCell ref="C10:C11"/>
    <mergeCell ref="E10:H10"/>
    <mergeCell ref="E11:H11"/>
    <mergeCell ref="AD9:AG9"/>
    <mergeCell ref="AD10:AG10"/>
    <mergeCell ref="AD18:AF18"/>
    <mergeCell ref="AD19:AF19"/>
    <mergeCell ref="AD20:AF20"/>
    <mergeCell ref="J11:M11"/>
    <mergeCell ref="AD11:AG11"/>
    <mergeCell ref="C12:C14"/>
    <mergeCell ref="E14:H14"/>
    <mergeCell ref="E18:G18"/>
    <mergeCell ref="J18:L18"/>
    <mergeCell ref="E19:G19"/>
    <mergeCell ref="J19:L19"/>
    <mergeCell ref="E20:G20"/>
    <mergeCell ref="J20:L20"/>
    <mergeCell ref="J14:M14"/>
    <mergeCell ref="AD14:AG14"/>
    <mergeCell ref="Y18:AA18"/>
    <mergeCell ref="Y19:AA19"/>
    <mergeCell ref="Y20:AA20"/>
    <mergeCell ref="T9:W9"/>
    <mergeCell ref="X9:X20"/>
    <mergeCell ref="T10:W10"/>
    <mergeCell ref="T11:W11"/>
    <mergeCell ref="T14:W14"/>
    <mergeCell ref="T18:V18"/>
    <mergeCell ref="T19:V19"/>
    <mergeCell ref="T20:V20"/>
    <mergeCell ref="I9:I20"/>
    <mergeCell ref="E16:G16"/>
    <mergeCell ref="E17:G17"/>
    <mergeCell ref="C3:AG3"/>
    <mergeCell ref="E5:AG6"/>
    <mergeCell ref="E8:AG8"/>
    <mergeCell ref="J9:M9"/>
    <mergeCell ref="N9:N20"/>
    <mergeCell ref="J10:M10"/>
    <mergeCell ref="T16:V16"/>
    <mergeCell ref="O15:R15"/>
    <mergeCell ref="T15:W15"/>
    <mergeCell ref="E15:H15"/>
    <mergeCell ref="J15:M15"/>
    <mergeCell ref="E22:H22"/>
    <mergeCell ref="J22:M22"/>
    <mergeCell ref="T22:W22"/>
    <mergeCell ref="L23:M23"/>
    <mergeCell ref="V23:W23"/>
    <mergeCell ref="V24:W24"/>
    <mergeCell ref="V25:W25"/>
    <mergeCell ref="V26:W26"/>
    <mergeCell ref="V27:W27"/>
    <mergeCell ref="V28:W28"/>
    <mergeCell ref="L25:M25"/>
    <mergeCell ref="L26:M26"/>
    <mergeCell ref="L27:M27"/>
    <mergeCell ref="L28:M28"/>
    <mergeCell ref="J29:L29"/>
    <mergeCell ref="J30:L30"/>
    <mergeCell ref="G26:H26"/>
    <mergeCell ref="G27:H27"/>
    <mergeCell ref="G28:H28"/>
    <mergeCell ref="E29:G29"/>
    <mergeCell ref="E30:G30"/>
    <mergeCell ref="Q27:R27"/>
    <mergeCell ref="Q28:R28"/>
    <mergeCell ref="O29:Q29"/>
    <mergeCell ref="T29:V29"/>
    <mergeCell ref="G23:H23"/>
    <mergeCell ref="G24:H24"/>
    <mergeCell ref="L24:M24"/>
    <mergeCell ref="Q24:R24"/>
    <mergeCell ref="G25:H25"/>
    <mergeCell ref="Q25:R25"/>
    <mergeCell ref="Q26:R26"/>
    <mergeCell ref="Y9:AB9"/>
    <mergeCell ref="AC9:AC20"/>
    <mergeCell ref="Y10:AB10"/>
    <mergeCell ref="Y11:AB11"/>
    <mergeCell ref="Y14:AB14"/>
    <mergeCell ref="Y15:AB15"/>
    <mergeCell ref="Y16:AA16"/>
    <mergeCell ref="Y17:AA17"/>
    <mergeCell ref="Y22:AB22"/>
    <mergeCell ref="AA23:AB23"/>
    <mergeCell ref="AA24:AB24"/>
    <mergeCell ref="AA25:AB25"/>
    <mergeCell ref="AA26:AB26"/>
    <mergeCell ref="AA27:AB27"/>
    <mergeCell ref="Y38:AB38"/>
    <mergeCell ref="Y41:AB41"/>
    <mergeCell ref="E42:H42"/>
    <mergeCell ref="Y42:AB42"/>
    <mergeCell ref="E43:G43"/>
    <mergeCell ref="Y43:AA43"/>
    <mergeCell ref="T36:W36"/>
    <mergeCell ref="Y36:AB36"/>
    <mergeCell ref="C37:C38"/>
    <mergeCell ref="E37:H37"/>
    <mergeCell ref="Y37:AB37"/>
    <mergeCell ref="C39:C43"/>
    <mergeCell ref="E41:H41"/>
    <mergeCell ref="J36:M36"/>
    <mergeCell ref="J37:M37"/>
    <mergeCell ref="O37:R37"/>
    <mergeCell ref="T37:W37"/>
    <mergeCell ref="J38:M38"/>
    <mergeCell ref="O38:R38"/>
    <mergeCell ref="O41:R41"/>
    <mergeCell ref="T41:W41"/>
    <mergeCell ref="O42:R42"/>
    <mergeCell ref="T42:W42"/>
    <mergeCell ref="O43:Q43"/>
    <mergeCell ref="T43:V43"/>
    <mergeCell ref="O44:Q44"/>
    <mergeCell ref="T44:V44"/>
    <mergeCell ref="O45:Q45"/>
    <mergeCell ref="O46:Q46"/>
    <mergeCell ref="E38:H38"/>
    <mergeCell ref="F39:G39"/>
    <mergeCell ref="E44:G44"/>
    <mergeCell ref="E45:G45"/>
    <mergeCell ref="J45:L45"/>
    <mergeCell ref="E46:G46"/>
    <mergeCell ref="J46:L46"/>
    <mergeCell ref="T64:W64"/>
    <mergeCell ref="Y64:AB64"/>
    <mergeCell ref="AD64:AG64"/>
    <mergeCell ref="O56:Q56"/>
    <mergeCell ref="T56:V56"/>
    <mergeCell ref="Y56:AA56"/>
    <mergeCell ref="AD56:AF56"/>
    <mergeCell ref="AD57:AF57"/>
    <mergeCell ref="E60:AG61"/>
    <mergeCell ref="E63:AG63"/>
    <mergeCell ref="AD45:AF45"/>
    <mergeCell ref="AD46:AF46"/>
    <mergeCell ref="E47:G47"/>
    <mergeCell ref="Y47:AA47"/>
    <mergeCell ref="J49:M49"/>
    <mergeCell ref="O49:R49"/>
    <mergeCell ref="AD49:AG49"/>
    <mergeCell ref="V51:W51"/>
    <mergeCell ref="V52:W52"/>
    <mergeCell ref="AA52:AB52"/>
    <mergeCell ref="AF52:AG52"/>
    <mergeCell ref="V53:W53"/>
    <mergeCell ref="AA53:AB53"/>
    <mergeCell ref="AF53:AG53"/>
    <mergeCell ref="T49:W49"/>
    <mergeCell ref="Y49:AB49"/>
    <mergeCell ref="V50:W50"/>
    <mergeCell ref="AA50:AB50"/>
    <mergeCell ref="AF50:AG50"/>
    <mergeCell ref="AA51:AB51"/>
    <mergeCell ref="AF51:AG51"/>
    <mergeCell ref="E49:H49"/>
    <mergeCell ref="G50:H50"/>
    <mergeCell ref="L50:M50"/>
    <mergeCell ref="Q50:R50"/>
    <mergeCell ref="G51:H51"/>
    <mergeCell ref="Q51:R51"/>
    <mergeCell ref="Q52:R52"/>
    <mergeCell ref="E71:G71"/>
    <mergeCell ref="O71:Q71"/>
    <mergeCell ref="T71:V71"/>
    <mergeCell ref="Y71:AA71"/>
    <mergeCell ref="AD71:AF71"/>
    <mergeCell ref="AD72:AF72"/>
    <mergeCell ref="AD73:AF73"/>
    <mergeCell ref="AD74:AF74"/>
    <mergeCell ref="E64:H64"/>
    <mergeCell ref="C65:C66"/>
    <mergeCell ref="E65:H65"/>
    <mergeCell ref="E66:H66"/>
    <mergeCell ref="C67:C71"/>
    <mergeCell ref="E69:H69"/>
    <mergeCell ref="E70:H70"/>
    <mergeCell ref="E72:G72"/>
    <mergeCell ref="E73:G73"/>
    <mergeCell ref="Y65:AB65"/>
    <mergeCell ref="AD65:AG65"/>
    <mergeCell ref="T66:W66"/>
    <mergeCell ref="Y66:AB66"/>
    <mergeCell ref="AD66:AG66"/>
    <mergeCell ref="K67:L67"/>
    <mergeCell ref="J69:M69"/>
    <mergeCell ref="O69:R69"/>
    <mergeCell ref="T69:W69"/>
    <mergeCell ref="AD69:AG69"/>
    <mergeCell ref="J66:M66"/>
    <mergeCell ref="J70:M70"/>
    <mergeCell ref="O70:R70"/>
    <mergeCell ref="T70:W70"/>
    <mergeCell ref="AD70:AG70"/>
    <mergeCell ref="J64:M64"/>
    <mergeCell ref="J71:L71"/>
    <mergeCell ref="O65:R65"/>
    <mergeCell ref="O66:R66"/>
    <mergeCell ref="O72:Q72"/>
    <mergeCell ref="T72:V72"/>
    <mergeCell ref="Y72:AA72"/>
    <mergeCell ref="O73:Q73"/>
    <mergeCell ref="T73:V73"/>
    <mergeCell ref="Y73:AA73"/>
    <mergeCell ref="Y74:AA74"/>
    <mergeCell ref="O75:Q75"/>
    <mergeCell ref="T75:V75"/>
    <mergeCell ref="Y75:AA75"/>
    <mergeCell ref="AD75:AF75"/>
    <mergeCell ref="O64:R64"/>
    <mergeCell ref="S64:S75"/>
    <mergeCell ref="X64:X75"/>
    <mergeCell ref="AC64:AC75"/>
    <mergeCell ref="T65:W65"/>
    <mergeCell ref="Y69:AB69"/>
    <mergeCell ref="Y70:AB70"/>
    <mergeCell ref="O74:Q74"/>
    <mergeCell ref="T74:V74"/>
    <mergeCell ref="O77:R77"/>
    <mergeCell ref="T77:W77"/>
    <mergeCell ref="AD77:AG77"/>
    <mergeCell ref="V78:W78"/>
    <mergeCell ref="AF78:AG78"/>
    <mergeCell ref="AF82:AG82"/>
    <mergeCell ref="AF83:AG83"/>
    <mergeCell ref="AA81:AB81"/>
    <mergeCell ref="AA82:AB82"/>
    <mergeCell ref="AA83:AB83"/>
    <mergeCell ref="Y84:AA84"/>
    <mergeCell ref="AD84:AF84"/>
    <mergeCell ref="X91:X102"/>
    <mergeCell ref="AC91:AC102"/>
    <mergeCell ref="AD102:AF102"/>
    <mergeCell ref="Y77:AB77"/>
    <mergeCell ref="AA78:AB78"/>
    <mergeCell ref="AA79:AB79"/>
    <mergeCell ref="AF79:AG79"/>
    <mergeCell ref="AA80:AB80"/>
    <mergeCell ref="AF80:AG80"/>
    <mergeCell ref="AF81:AG81"/>
    <mergeCell ref="V81:W81"/>
    <mergeCell ref="V82:W82"/>
    <mergeCell ref="Q78:R78"/>
    <mergeCell ref="Q79:R79"/>
    <mergeCell ref="V79:W79"/>
    <mergeCell ref="Q80:R80"/>
    <mergeCell ref="V80:W80"/>
    <mergeCell ref="Q81:R81"/>
    <mergeCell ref="Q82:R82"/>
    <mergeCell ref="Q83:R83"/>
    <mergeCell ref="V83:W83"/>
    <mergeCell ref="O84:Q84"/>
    <mergeCell ref="T84:V84"/>
    <mergeCell ref="O85:Q85"/>
    <mergeCell ref="E87:AG88"/>
    <mergeCell ref="E90:AG90"/>
    <mergeCell ref="AD92:AG92"/>
    <mergeCell ref="AD93:AG93"/>
    <mergeCell ref="AD96:AG96"/>
    <mergeCell ref="AD97:AG97"/>
    <mergeCell ref="AD98:AF98"/>
    <mergeCell ref="AD99:AF99"/>
    <mergeCell ref="AD100:AF100"/>
    <mergeCell ref="AD101:AF101"/>
    <mergeCell ref="E91:H91"/>
    <mergeCell ref="J91:M91"/>
    <mergeCell ref="O91:R91"/>
    <mergeCell ref="T91:W91"/>
    <mergeCell ref="AD91:AG91"/>
    <mergeCell ref="C92:C93"/>
    <mergeCell ref="Y93:AB93"/>
    <mergeCell ref="T101:V101"/>
    <mergeCell ref="T102:V102"/>
    <mergeCell ref="T92:W92"/>
    <mergeCell ref="T93:W93"/>
    <mergeCell ref="T96:W96"/>
    <mergeCell ref="T97:W97"/>
    <mergeCell ref="T98:V98"/>
    <mergeCell ref="T99:V99"/>
    <mergeCell ref="T100:V100"/>
    <mergeCell ref="O125:R125"/>
    <mergeCell ref="O126:Q126"/>
    <mergeCell ref="T129:V129"/>
    <mergeCell ref="O130:Q130"/>
    <mergeCell ref="T130:V130"/>
    <mergeCell ref="E127:G127"/>
    <mergeCell ref="E128:G128"/>
    <mergeCell ref="E129:G129"/>
    <mergeCell ref="E130:G130"/>
    <mergeCell ref="J130:L130"/>
    <mergeCell ref="J119:M119"/>
    <mergeCell ref="T119:W119"/>
    <mergeCell ref="E125:H125"/>
    <mergeCell ref="J125:M125"/>
    <mergeCell ref="T125:W125"/>
    <mergeCell ref="E126:G126"/>
    <mergeCell ref="J126:L126"/>
    <mergeCell ref="O124:R124"/>
    <mergeCell ref="O127:Q127"/>
    <mergeCell ref="Q107:R107"/>
    <mergeCell ref="Q108:R108"/>
    <mergeCell ref="Q109:R109"/>
    <mergeCell ref="Q110:R110"/>
    <mergeCell ref="O111:Q111"/>
    <mergeCell ref="O112:Q112"/>
    <mergeCell ref="N119:N130"/>
    <mergeCell ref="O96:R96"/>
    <mergeCell ref="J97:M97"/>
    <mergeCell ref="O97:R97"/>
    <mergeCell ref="J100:L100"/>
    <mergeCell ref="O100:Q100"/>
    <mergeCell ref="J101:L101"/>
    <mergeCell ref="O101:Q101"/>
    <mergeCell ref="L83:M83"/>
    <mergeCell ref="J84:L84"/>
    <mergeCell ref="N91:N102"/>
    <mergeCell ref="S91:S102"/>
    <mergeCell ref="J92:M92"/>
    <mergeCell ref="O92:R92"/>
    <mergeCell ref="O93:R93"/>
    <mergeCell ref="J120:M120"/>
    <mergeCell ref="J121:M121"/>
    <mergeCell ref="J124:M124"/>
    <mergeCell ref="J127:L127"/>
    <mergeCell ref="J128:L128"/>
    <mergeCell ref="J129:L129"/>
    <mergeCell ref="T120:W120"/>
    <mergeCell ref="T121:W121"/>
    <mergeCell ref="T126:V126"/>
    <mergeCell ref="T127:V127"/>
    <mergeCell ref="T128:V128"/>
    <mergeCell ref="O128:Q128"/>
    <mergeCell ref="O129:Q129"/>
    <mergeCell ref="AD128:AF128"/>
    <mergeCell ref="AD129:AF129"/>
    <mergeCell ref="Y130:AA130"/>
    <mergeCell ref="AD130:AF130"/>
    <mergeCell ref="Y125:AB125"/>
    <mergeCell ref="Y126:AA126"/>
    <mergeCell ref="AD126:AF126"/>
    <mergeCell ref="Y127:AA127"/>
    <mergeCell ref="AD127:AF127"/>
    <mergeCell ref="Y128:AA128"/>
    <mergeCell ref="Y129:AA129"/>
    <mergeCell ref="Y91:AB91"/>
    <mergeCell ref="Y92:AB92"/>
    <mergeCell ref="Y96:AB96"/>
    <mergeCell ref="Y97:AB97"/>
    <mergeCell ref="Y98:AA98"/>
    <mergeCell ref="Y99:AA99"/>
    <mergeCell ref="Y100:AA100"/>
    <mergeCell ref="Y101:AA101"/>
    <mergeCell ref="Y102:AA102"/>
    <mergeCell ref="T104:W104"/>
    <mergeCell ref="Y104:AB104"/>
    <mergeCell ref="AD104:AG104"/>
    <mergeCell ref="AA105:AB105"/>
    <mergeCell ref="AF105:AG105"/>
    <mergeCell ref="AA107:AB107"/>
    <mergeCell ref="AA108:AB108"/>
    <mergeCell ref="AA109:AB109"/>
    <mergeCell ref="AA110:AB110"/>
    <mergeCell ref="Y111:AA111"/>
    <mergeCell ref="V108:W108"/>
    <mergeCell ref="V109:W109"/>
    <mergeCell ref="V110:W110"/>
    <mergeCell ref="T111:V111"/>
    <mergeCell ref="V105:W105"/>
    <mergeCell ref="V106:W106"/>
    <mergeCell ref="AA106:AB106"/>
    <mergeCell ref="AF106:AG106"/>
    <mergeCell ref="V107:W107"/>
    <mergeCell ref="AF107:AG107"/>
    <mergeCell ref="AF108:AG108"/>
    <mergeCell ref="AF109:AG109"/>
    <mergeCell ref="AF110:AG110"/>
    <mergeCell ref="AD111:AF111"/>
    <mergeCell ref="C114:AG114"/>
    <mergeCell ref="E115:AG116"/>
    <mergeCell ref="E118:AG118"/>
    <mergeCell ref="E119:H119"/>
    <mergeCell ref="Y119:AB119"/>
    <mergeCell ref="AD119:AG119"/>
    <mergeCell ref="AD120:AG120"/>
    <mergeCell ref="AD121:AG121"/>
    <mergeCell ref="Y124:AB124"/>
    <mergeCell ref="AD124:AG124"/>
    <mergeCell ref="AD125:AG125"/>
    <mergeCell ref="Q135:R135"/>
    <mergeCell ref="Q136:R136"/>
    <mergeCell ref="Q137:R137"/>
    <mergeCell ref="Q138:R138"/>
    <mergeCell ref="L133:M133"/>
    <mergeCell ref="L134:M134"/>
    <mergeCell ref="Q134:R134"/>
    <mergeCell ref="V134:W134"/>
    <mergeCell ref="L135:M135"/>
    <mergeCell ref="V135:W135"/>
    <mergeCell ref="V136:W136"/>
    <mergeCell ref="Y121:AB121"/>
    <mergeCell ref="T124:W124"/>
    <mergeCell ref="O119:R119"/>
    <mergeCell ref="S119:S130"/>
    <mergeCell ref="X119:X130"/>
    <mergeCell ref="AC119:AC130"/>
    <mergeCell ref="O120:R120"/>
    <mergeCell ref="Y120:AB120"/>
    <mergeCell ref="O121:R121"/>
    <mergeCell ref="J132:M132"/>
    <mergeCell ref="O132:R132"/>
    <mergeCell ref="T132:W132"/>
    <mergeCell ref="AD132:AG132"/>
    <mergeCell ref="Q133:R133"/>
    <mergeCell ref="V133:W133"/>
    <mergeCell ref="AF133:AG133"/>
    <mergeCell ref="L136:M136"/>
    <mergeCell ref="L137:M137"/>
    <mergeCell ref="L138:M138"/>
    <mergeCell ref="AA136:AB136"/>
    <mergeCell ref="AA137:AB137"/>
    <mergeCell ref="AA138:AB138"/>
    <mergeCell ref="V137:W137"/>
    <mergeCell ref="V138:W138"/>
    <mergeCell ref="AF137:AG137"/>
    <mergeCell ref="AF138:AG138"/>
    <mergeCell ref="Y132:AB132"/>
    <mergeCell ref="AA133:AB133"/>
    <mergeCell ref="AA134:AB134"/>
    <mergeCell ref="AF134:AG134"/>
    <mergeCell ref="AA135:AB135"/>
    <mergeCell ref="AF135:AG135"/>
    <mergeCell ref="AF136:AG136"/>
    <mergeCell ref="O213:R213"/>
    <mergeCell ref="Q214:R214"/>
    <mergeCell ref="V214:W214"/>
    <mergeCell ref="Q215:R215"/>
    <mergeCell ref="V215:W215"/>
    <mergeCell ref="L214:M214"/>
    <mergeCell ref="L215:M215"/>
    <mergeCell ref="L218:M218"/>
    <mergeCell ref="L219:M219"/>
    <mergeCell ref="E209:G209"/>
    <mergeCell ref="E210:G210"/>
    <mergeCell ref="E211:G211"/>
    <mergeCell ref="E213:H213"/>
    <mergeCell ref="J213:M213"/>
    <mergeCell ref="G214:H214"/>
    <mergeCell ref="G215:H215"/>
    <mergeCell ref="G217:H217"/>
    <mergeCell ref="G218:H218"/>
    <mergeCell ref="G219:H219"/>
    <mergeCell ref="E220:G220"/>
    <mergeCell ref="J220:L220"/>
    <mergeCell ref="V217:W217"/>
    <mergeCell ref="V218:W218"/>
    <mergeCell ref="Q219:R219"/>
    <mergeCell ref="V219:W219"/>
    <mergeCell ref="O220:Q220"/>
    <mergeCell ref="T220:V220"/>
    <mergeCell ref="G216:H216"/>
    <mergeCell ref="L216:M216"/>
    <mergeCell ref="Q216:R216"/>
    <mergeCell ref="V216:W216"/>
    <mergeCell ref="L217:M217"/>
    <mergeCell ref="Q217:R217"/>
    <mergeCell ref="Q218:R218"/>
    <mergeCell ref="E194:G194"/>
    <mergeCell ref="J194:L194"/>
    <mergeCell ref="O194:Q194"/>
    <mergeCell ref="T194:V194"/>
    <mergeCell ref="Y194:AA194"/>
    <mergeCell ref="AD194:AF194"/>
    <mergeCell ref="C195:AG195"/>
    <mergeCell ref="E196:AG197"/>
    <mergeCell ref="E199:AG199"/>
    <mergeCell ref="E200:H200"/>
    <mergeCell ref="T200:W200"/>
    <mergeCell ref="E201:H201"/>
    <mergeCell ref="E202:H202"/>
    <mergeCell ref="AD202:AG202"/>
    <mergeCell ref="C201:C202"/>
    <mergeCell ref="C203:C205"/>
    <mergeCell ref="E205:H205"/>
    <mergeCell ref="C206:C208"/>
    <mergeCell ref="E206:H206"/>
    <mergeCell ref="E207:G207"/>
    <mergeCell ref="E208:G208"/>
    <mergeCell ref="T210:V210"/>
    <mergeCell ref="T211:V211"/>
    <mergeCell ref="T213:W213"/>
    <mergeCell ref="Y213:AB213"/>
    <mergeCell ref="T201:W201"/>
    <mergeCell ref="T202:W202"/>
    <mergeCell ref="T205:W205"/>
    <mergeCell ref="T206:W206"/>
    <mergeCell ref="T207:V207"/>
    <mergeCell ref="T208:V208"/>
    <mergeCell ref="T209:V209"/>
    <mergeCell ref="AD200:AG200"/>
    <mergeCell ref="AD201:AG201"/>
    <mergeCell ref="AD205:AG205"/>
    <mergeCell ref="AD206:AG206"/>
    <mergeCell ref="AD207:AF207"/>
    <mergeCell ref="AD208:AF208"/>
    <mergeCell ref="AD209:AF209"/>
    <mergeCell ref="AD210:AF210"/>
    <mergeCell ref="AD211:AF211"/>
    <mergeCell ref="AD213:AG213"/>
    <mergeCell ref="AF214:AG214"/>
    <mergeCell ref="AF215:AG215"/>
    <mergeCell ref="AF216:AG216"/>
    <mergeCell ref="AF217:AG217"/>
  </mergeCells>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0" priority="1" operator="between">
      <formula>1</formula>
      <formula>95</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1" priority="2" operator="between">
      <formula>96</formula>
      <formula>195</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2" priority="3" operator="between">
      <formula>196</formula>
      <formula>260</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3" priority="4" operator="between">
      <formula>261</formula>
      <formula>299</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4" priority="5" operator="between">
      <formula>300</formula>
      <formula>350</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5" priority="6" operator="between">
      <formula>351</formula>
      <formula>450</formula>
    </cfRule>
  </conditionalFormatting>
  <conditionalFormatting sqref="H29:H30 M29:M30 R29:R30 W29 AB29 AG29:AG30 H56:H57 M56:M57 R56 W56 AB56:AB57 AG56:AG57 H84 M84:M85 R84:R85 W84:W85 AB84:AB85 AG84 H111 M111:M113 R111:R112 W111:W112 AB111:AB113 AG111 H139 M139 R139 W139:W141 AB139:AB141 AG139 M141 R141 H166 M166:M168 R166 W166:W168 AB166:AB168 AG166 R168 H194 M194 R194 W194 AB194 AG194 R198 R212 H220 M220 R220 W220 AB220 AG220 H245:H246 M245:M246 R245 W245 AB245 AG245:AG246 H270 M270 R270 W270 AB270:AB271 AG270 H295:H296 M295:M296 R295 W295 AB295:AB296 AG295:AG296">
    <cfRule type="cellIs" dxfId="6" priority="7" operator="between">
      <formula>451</formula>
      <formula>1000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6672" t="s">
        <v>1953</v>
      </c>
      <c r="B1" s="6673"/>
      <c r="C1" s="6674"/>
      <c r="D1" s="6673"/>
      <c r="E1" s="6673"/>
      <c r="F1" s="6673"/>
      <c r="G1" s="6673"/>
      <c r="H1" s="6673"/>
      <c r="I1" s="6673"/>
      <c r="J1" s="6673"/>
      <c r="K1" s="6673"/>
      <c r="L1" s="6673"/>
      <c r="M1" s="6673"/>
      <c r="N1" s="6673"/>
      <c r="O1" s="6673"/>
      <c r="P1" s="6673"/>
      <c r="Q1" s="6673"/>
      <c r="R1" s="6673"/>
      <c r="S1" s="6673"/>
      <c r="T1" s="6673"/>
      <c r="U1" s="6673"/>
      <c r="V1" s="6673"/>
      <c r="W1" s="6673"/>
      <c r="X1" s="6673"/>
      <c r="Y1" s="6673"/>
      <c r="Z1" s="6673"/>
      <c r="AA1" s="6673"/>
      <c r="AB1" s="6673"/>
      <c r="AC1" s="6673"/>
      <c r="AD1" s="6673"/>
      <c r="AE1" s="6673"/>
      <c r="AF1" s="6673"/>
      <c r="AG1" s="6673"/>
      <c r="AH1" s="6673"/>
      <c r="AI1" s="6675"/>
    </row>
    <row r="2" ht="7.5" customHeight="1">
      <c r="A2" s="6676"/>
      <c r="B2" s="6677"/>
      <c r="C2" s="6678"/>
      <c r="D2" s="6678"/>
      <c r="E2" s="6678"/>
      <c r="F2" s="6678"/>
      <c r="G2" s="6678"/>
      <c r="H2" s="6678"/>
      <c r="I2" s="6678"/>
      <c r="J2" s="6678"/>
      <c r="K2" s="6678"/>
      <c r="L2" s="6678"/>
      <c r="M2" s="6678"/>
      <c r="N2" s="6678"/>
      <c r="O2" s="6678"/>
      <c r="P2" s="6678"/>
      <c r="Q2" s="6678"/>
      <c r="R2" s="6678"/>
      <c r="S2" s="6678"/>
      <c r="T2" s="6678"/>
      <c r="U2" s="6678"/>
      <c r="V2" s="6678"/>
      <c r="W2" s="6678"/>
      <c r="X2" s="6678"/>
      <c r="Y2" s="6678"/>
      <c r="Z2" s="6678"/>
      <c r="AA2" s="6678"/>
      <c r="AB2" s="6678"/>
      <c r="AC2" s="6678"/>
      <c r="AD2" s="6678"/>
      <c r="AE2" s="6678"/>
      <c r="AF2" s="6678"/>
      <c r="AG2" s="6678"/>
      <c r="AH2" s="6679"/>
      <c r="AI2" s="6680"/>
    </row>
    <row r="3">
      <c r="A3" s="6676"/>
      <c r="B3" s="6681"/>
      <c r="C3" s="6217" t="s">
        <v>1954</v>
      </c>
      <c r="D3" s="1732"/>
      <c r="E3" s="1732"/>
      <c r="F3" s="1732"/>
      <c r="G3" s="1732"/>
      <c r="H3" s="1732"/>
      <c r="I3" s="1732"/>
      <c r="J3" s="1732"/>
      <c r="K3" s="1732"/>
      <c r="L3" s="1732"/>
      <c r="M3" s="1732"/>
      <c r="N3" s="1732"/>
      <c r="O3" s="1732"/>
      <c r="P3" s="1732"/>
      <c r="Q3" s="1732"/>
      <c r="R3" s="1732"/>
      <c r="S3" s="1732"/>
      <c r="T3" s="1732"/>
      <c r="U3" s="1732"/>
      <c r="V3" s="1732"/>
      <c r="W3" s="1732"/>
      <c r="X3" s="1732"/>
      <c r="Y3" s="1732"/>
      <c r="Z3" s="1732"/>
      <c r="AA3" s="1732"/>
      <c r="AB3" s="1732"/>
      <c r="AC3" s="1732"/>
      <c r="AD3" s="1732"/>
      <c r="AE3" s="1732"/>
      <c r="AF3" s="1732"/>
      <c r="AG3" s="1733"/>
      <c r="AH3" s="6682"/>
      <c r="AI3" s="6680"/>
    </row>
    <row r="4" ht="7.5" customHeight="1">
      <c r="A4" s="6676"/>
      <c r="B4" s="6683"/>
      <c r="C4" s="6684"/>
      <c r="D4" s="6684"/>
      <c r="E4" s="6685"/>
      <c r="F4" s="6685"/>
      <c r="G4" s="6685"/>
      <c r="H4" s="6685"/>
      <c r="I4" s="6684"/>
      <c r="J4" s="6685"/>
      <c r="K4" s="6685"/>
      <c r="L4" s="6685"/>
      <c r="M4" s="6685"/>
      <c r="N4" s="6684"/>
      <c r="O4" s="6685"/>
      <c r="P4" s="6685"/>
      <c r="Q4" s="6685"/>
      <c r="R4" s="6685"/>
      <c r="S4" s="6684"/>
      <c r="T4" s="6685"/>
      <c r="U4" s="6685"/>
      <c r="V4" s="6685"/>
      <c r="W4" s="6685"/>
      <c r="X4" s="6684"/>
      <c r="Y4" s="6685"/>
      <c r="Z4" s="6685"/>
      <c r="AA4" s="6685"/>
      <c r="AB4" s="6685"/>
      <c r="AC4" s="6684"/>
      <c r="AD4" s="6685"/>
      <c r="AE4" s="6685"/>
      <c r="AF4" s="6685"/>
      <c r="AG4" s="6685"/>
      <c r="AH4" s="6686"/>
      <c r="AI4" s="6680"/>
    </row>
    <row r="5" ht="96.75" customHeight="1">
      <c r="A5" s="6676"/>
      <c r="B5" s="6683"/>
      <c r="C5" s="6687" t="str">
        <f>IMAGE("https://i.ibb.co/88pHxt3/Oak.png")</f>
        <v/>
      </c>
      <c r="D5" s="6688"/>
      <c r="E5" s="6689" t="str">
        <f t="array" ref="E5">IFERROR(VLOOKUP(E6,Dex!$B$3:$G1219,3,FALSE),"")</f>
        <v/>
      </c>
      <c r="F5" s="1945"/>
      <c r="G5" s="1945"/>
      <c r="H5" s="1946"/>
      <c r="I5" s="6690"/>
      <c r="J5" s="6689" t="str">
        <f t="array" ref="J5">IFERROR(VLOOKUP(J6,Dex!$B$3:$G1219,3,FALSE),"")</f>
        <v/>
      </c>
      <c r="K5" s="1945"/>
      <c r="L5" s="1945"/>
      <c r="M5" s="1946"/>
      <c r="N5" s="6690"/>
      <c r="O5" s="6689" t="str">
        <f t="array" ref="O5">IFERROR(VLOOKUP(O6,Dex!$B$3:$G1219,3,FALSE),"")</f>
        <v/>
      </c>
      <c r="P5" s="1945"/>
      <c r="Q5" s="1945"/>
      <c r="R5" s="1946"/>
      <c r="S5" s="6690"/>
      <c r="T5" s="6689" t="str">
        <f t="array" ref="T5">IFERROR(VLOOKUP(T6,Dex!$B$3:$G1219,3,FALSE),"")</f>
        <v/>
      </c>
      <c r="U5" s="1945"/>
      <c r="V5" s="1945"/>
      <c r="W5" s="1946"/>
      <c r="X5" s="6690"/>
      <c r="Y5" s="6689" t="str">
        <f t="array" ref="Y5">IFERROR(VLOOKUP(Y6,Dex!$B$3:$G1219,3,FALSE),"")</f>
        <v/>
      </c>
      <c r="Z5" s="1945"/>
      <c r="AA5" s="1945"/>
      <c r="AB5" s="1946"/>
      <c r="AC5" s="6690"/>
      <c r="AD5" s="6689" t="str">
        <f t="array" ref="AD5">IFERROR(VLOOKUP(AD6,Dex!$B$3:$G1219,3,FALSE),"")</f>
        <v/>
      </c>
      <c r="AE5" s="1945"/>
      <c r="AF5" s="1945"/>
      <c r="AG5" s="1946"/>
      <c r="AH5" s="6682"/>
      <c r="AI5" s="6680"/>
    </row>
    <row r="6" ht="18.75" customHeight="1">
      <c r="A6" s="6691"/>
      <c r="B6" s="6692"/>
      <c r="C6" s="6693" t="s">
        <v>1955</v>
      </c>
      <c r="D6" s="6694"/>
      <c r="E6" s="6695" t="s">
        <v>1747</v>
      </c>
      <c r="F6" s="6696"/>
      <c r="G6" s="6696"/>
      <c r="H6" s="6697"/>
      <c r="J6" s="6695" t="s">
        <v>1310</v>
      </c>
      <c r="K6" s="6696"/>
      <c r="L6" s="6696"/>
      <c r="M6" s="6697"/>
      <c r="O6" s="6695" t="s">
        <v>680</v>
      </c>
      <c r="P6" s="6696"/>
      <c r="Q6" s="6696"/>
      <c r="R6" s="6697"/>
      <c r="T6" s="6695" t="s">
        <v>1216</v>
      </c>
      <c r="U6" s="6696"/>
      <c r="V6" s="6696"/>
      <c r="W6" s="6697"/>
      <c r="Y6" s="6695" t="s">
        <v>1767</v>
      </c>
      <c r="Z6" s="6696"/>
      <c r="AA6" s="6696"/>
      <c r="AB6" s="6697"/>
      <c r="AD6" s="6695" t="s">
        <v>1595</v>
      </c>
      <c r="AE6" s="6696"/>
      <c r="AF6" s="6696"/>
      <c r="AG6" s="6697"/>
      <c r="AH6" s="6698"/>
      <c r="AI6" s="6699"/>
    </row>
    <row r="7">
      <c r="A7" s="6676"/>
      <c r="B7" s="6683"/>
      <c r="C7" s="1638"/>
      <c r="D7" s="6700"/>
      <c r="E7" s="6701" t="s">
        <v>729</v>
      </c>
      <c r="F7" s="6702"/>
      <c r="G7" s="6702"/>
      <c r="H7" s="6703"/>
      <c r="J7" s="6701" t="s">
        <v>729</v>
      </c>
      <c r="K7" s="6702"/>
      <c r="L7" s="6702"/>
      <c r="M7" s="6703"/>
      <c r="O7" s="6701" t="s">
        <v>729</v>
      </c>
      <c r="P7" s="6702"/>
      <c r="Q7" s="6702"/>
      <c r="R7" s="6703"/>
      <c r="T7" s="6701" t="s">
        <v>729</v>
      </c>
      <c r="U7" s="6702"/>
      <c r="V7" s="6702"/>
      <c r="W7" s="6703"/>
      <c r="Y7" s="6701" t="s">
        <v>729</v>
      </c>
      <c r="Z7" s="6702"/>
      <c r="AA7" s="6702"/>
      <c r="AB7" s="6703"/>
      <c r="AD7" s="6701" t="s">
        <v>729</v>
      </c>
      <c r="AE7" s="6702"/>
      <c r="AF7" s="6702"/>
      <c r="AG7" s="6703"/>
      <c r="AH7" s="6682"/>
      <c r="AI7" s="6680"/>
    </row>
    <row r="8" ht="25.5" customHeight="1">
      <c r="A8" s="6676"/>
      <c r="B8" s="6683"/>
      <c r="C8" s="1646"/>
      <c r="D8" s="6704"/>
      <c r="E8" s="6705"/>
      <c r="F8" s="6706" t="str">
        <f t="array" ref="F8">IFERROR(VLOOKUP(E6,Dex!$B$3:$H1219,5,FALSE),"")</f>
        <v/>
      </c>
      <c r="G8" s="6707"/>
      <c r="H8" s="6708"/>
      <c r="J8" s="6705"/>
      <c r="K8" s="6709" t="str">
        <f t="array" ref="K8">IFERROR(VLOOKUP(J6,Dex!$B$3:$H1219,5,FALSE),"")</f>
        <v/>
      </c>
      <c r="L8" s="6710" t="str">
        <f t="array" ref="L8">IFERROR(VLOOKUP(J6,Dex!$B$3:$H1219,7,FALSE),"")</f>
        <v/>
      </c>
      <c r="M8" s="6708"/>
      <c r="O8" s="6705"/>
      <c r="P8" s="6709" t="str">
        <f t="array" ref="P8">IFERROR(VLOOKUP(O6,Dex!$B$3:$H1219,5,FALSE),"")</f>
        <v/>
      </c>
      <c r="Q8" s="6710" t="str">
        <f t="array" ref="Q8">IFERROR(VLOOKUP(O6,Dex!$B$3:$H1219,7,FALSE),"")</f>
        <v/>
      </c>
      <c r="R8" s="6708"/>
      <c r="T8" s="6705"/>
      <c r="U8" s="6709" t="str">
        <f t="array" ref="U8">IFERROR(VLOOKUP(T6,Dex!$B$3:$H1219,5,FALSE),"")</f>
        <v/>
      </c>
      <c r="V8" s="6710" t="str">
        <f t="array" ref="V8">IFERROR(VLOOKUP(T6,Dex!$B$3:$H1219,7,FALSE),"")</f>
        <v/>
      </c>
      <c r="W8" s="6708"/>
      <c r="Y8" s="6705"/>
      <c r="Z8" s="6706" t="str">
        <f t="array" ref="Z8">IFERROR(VLOOKUP(Y6,Dex!$B$3:$H1219,5,FALSE),"")</f>
        <v/>
      </c>
      <c r="AA8" s="6707"/>
      <c r="AB8" s="6708"/>
      <c r="AD8" s="6705"/>
      <c r="AE8" s="6706" t="str">
        <f t="array" ref="AE8">IFERROR(VLOOKUP(AD6,Dex!$B$3:$H1219,5,FALSE),"")</f>
        <v/>
      </c>
      <c r="AF8" s="6707"/>
      <c r="AG8" s="6708"/>
      <c r="AH8" s="6686"/>
      <c r="AI8" s="6680"/>
    </row>
    <row r="9" ht="2.25" customHeight="1">
      <c r="A9" s="6676"/>
      <c r="B9" s="6683"/>
      <c r="C9" s="6711"/>
      <c r="D9" s="6704"/>
      <c r="E9" s="6712"/>
      <c r="F9" s="6713"/>
      <c r="G9" s="6713"/>
      <c r="H9" s="6714"/>
      <c r="J9" s="6712"/>
      <c r="K9" s="6713"/>
      <c r="L9" s="6713"/>
      <c r="M9" s="6714"/>
      <c r="O9" s="6712"/>
      <c r="P9" s="6713"/>
      <c r="Q9" s="6713"/>
      <c r="R9" s="6714"/>
      <c r="T9" s="6712"/>
      <c r="U9" s="6713"/>
      <c r="V9" s="6713"/>
      <c r="W9" s="6714"/>
      <c r="Y9" s="6712"/>
      <c r="Z9" s="6713"/>
      <c r="AA9" s="6713"/>
      <c r="AB9" s="6714"/>
      <c r="AD9" s="6712"/>
      <c r="AE9" s="6713"/>
      <c r="AF9" s="6713"/>
      <c r="AG9" s="6714"/>
      <c r="AH9" s="6686"/>
      <c r="AI9" s="6680"/>
    </row>
    <row r="10" ht="20.25" customHeight="1">
      <c r="A10" s="6676"/>
      <c r="B10" s="6683"/>
      <c r="C10" s="6715"/>
      <c r="D10" s="6716"/>
      <c r="E10" s="6717" t="s">
        <v>532</v>
      </c>
      <c r="F10" s="6718"/>
      <c r="G10" s="6718"/>
      <c r="H10" s="6719"/>
      <c r="J10" s="6717" t="s">
        <v>531</v>
      </c>
      <c r="K10" s="6718"/>
      <c r="L10" s="6718"/>
      <c r="M10" s="6719"/>
      <c r="O10" s="6717" t="s">
        <v>532</v>
      </c>
      <c r="P10" s="6718"/>
      <c r="Q10" s="6718"/>
      <c r="R10" s="6719"/>
      <c r="T10" s="6717" t="s">
        <v>532</v>
      </c>
      <c r="U10" s="6718"/>
      <c r="V10" s="6718"/>
      <c r="W10" s="6719"/>
      <c r="Y10" s="6717" t="s">
        <v>564</v>
      </c>
      <c r="Z10" s="6718"/>
      <c r="AA10" s="6718"/>
      <c r="AB10" s="6719"/>
      <c r="AD10" s="6717" t="s">
        <v>564</v>
      </c>
      <c r="AE10" s="6718"/>
      <c r="AF10" s="6718"/>
      <c r="AG10" s="6719"/>
      <c r="AH10" s="6682"/>
      <c r="AI10" s="6680"/>
    </row>
    <row r="11">
      <c r="A11" s="6676"/>
      <c r="B11" s="6683"/>
      <c r="C11" s="6715"/>
      <c r="D11" s="6716"/>
      <c r="E11" s="6720" t="s">
        <v>56</v>
      </c>
      <c r="F11" s="6721"/>
      <c r="G11" s="6721"/>
      <c r="H11" s="6722"/>
      <c r="J11" s="6720" t="s">
        <v>1956</v>
      </c>
      <c r="K11" s="6721"/>
      <c r="L11" s="6721"/>
      <c r="M11" s="6722"/>
      <c r="O11" s="6720" t="s">
        <v>1957</v>
      </c>
      <c r="P11" s="6721"/>
      <c r="Q11" s="6721"/>
      <c r="R11" s="6722"/>
      <c r="T11" s="6720" t="s">
        <v>108</v>
      </c>
      <c r="U11" s="6721"/>
      <c r="V11" s="6721"/>
      <c r="W11" s="6722"/>
      <c r="Y11" s="6720" t="s">
        <v>90</v>
      </c>
      <c r="Z11" s="6721"/>
      <c r="AA11" s="6721"/>
      <c r="AB11" s="6722"/>
      <c r="AD11" s="6720" t="s">
        <v>756</v>
      </c>
      <c r="AE11" s="6721"/>
      <c r="AF11" s="6721"/>
      <c r="AG11" s="6722"/>
      <c r="AH11" s="6682"/>
      <c r="AI11" s="6680"/>
    </row>
    <row r="12" ht="20.25" customHeight="1">
      <c r="A12" s="6676"/>
      <c r="B12" s="6683"/>
      <c r="C12" s="6715"/>
      <c r="D12" s="6716"/>
      <c r="E12" s="6723" t="s">
        <v>541</v>
      </c>
      <c r="F12" s="6724"/>
      <c r="G12" s="6725"/>
      <c r="H12" s="6726" t="str">
        <f>IMAGE("https://raw.githubusercontent.com/msikma/pokesprite/master/items/hold-item/life-orb.png",3)</f>
        <v/>
      </c>
      <c r="J12" s="6723" t="s">
        <v>537</v>
      </c>
      <c r="K12" s="6724"/>
      <c r="L12" s="6725"/>
      <c r="M12" s="6726" t="str">
        <f>IMAGE("https://raw.githubusercontent.com/msikma/pokesprite/master/items/berry/sitrus.png",3)</f>
        <v/>
      </c>
      <c r="O12" s="6723" t="s">
        <v>688</v>
      </c>
      <c r="P12" s="6724"/>
      <c r="Q12" s="6725"/>
      <c r="R12" s="6726" t="str">
        <f>IMAGE("https://raw.githubusercontent.com/msikma/pokesprite/master/items/mega-stone/charizardite-x.png",3)</f>
        <v/>
      </c>
      <c r="T12" s="6723" t="s">
        <v>686</v>
      </c>
      <c r="U12" s="6724"/>
      <c r="V12" s="6725"/>
      <c r="W12" s="6726" t="str">
        <f>IMAGE("https://raw.githubusercontent.com/msikma/pokesprite/master/items/gem/water.png",3)</f>
        <v/>
      </c>
      <c r="Y12" s="6723" t="s">
        <v>685</v>
      </c>
      <c r="Z12" s="6724"/>
      <c r="AA12" s="6725"/>
      <c r="AB12" s="6726" t="str">
        <f>IMAGE("https://raw.githubusercontent.com/msikma/pokesprite/master/items/gem/fighting.png",3)</f>
        <v/>
      </c>
      <c r="AD12" s="6723" t="s">
        <v>1004</v>
      </c>
      <c r="AE12" s="6724"/>
      <c r="AF12" s="6725"/>
      <c r="AG12" s="6726" t="str">
        <f>IMAGE("https://raw.githubusercontent.com/msikma/pokesprite/master/items/z-crystals/eevium-z--held.png",3)</f>
        <v/>
      </c>
      <c r="AH12" s="6686"/>
      <c r="AI12" s="6680"/>
    </row>
    <row r="13" ht="20.25" customHeight="1">
      <c r="A13" s="6676"/>
      <c r="B13" s="6683"/>
      <c r="C13" s="6727"/>
      <c r="D13" s="6716"/>
      <c r="E13" s="6717" t="s">
        <v>1487</v>
      </c>
      <c r="F13" s="6718"/>
      <c r="G13" s="6728"/>
      <c r="H13" s="6729" t="str">
        <f>IMAGE("https://raw.githubusercontent.com/msikma/pokesprite/master/misc/types/gen8/normal.png",4,20,20)</f>
        <v/>
      </c>
      <c r="J13" s="6717" t="s">
        <v>577</v>
      </c>
      <c r="K13" s="6718"/>
      <c r="L13" s="6728"/>
      <c r="M13" s="6729" t="str">
        <f t="shared" ref="M13:M14" si="1">IMAGE("https://raw.githubusercontent.com/msikma/pokesprite/master/misc/types/gen8/grass.png",4,20,20)</f>
        <v/>
      </c>
      <c r="O13" s="6717" t="s">
        <v>219</v>
      </c>
      <c r="P13" s="6718"/>
      <c r="Q13" s="6728"/>
      <c r="R13" s="6729" t="str">
        <f>IMAGE("https://raw.githubusercontent.com/msikma/pokesprite/master/misc/types/gen8/dragon.png",4,20,20)</f>
        <v/>
      </c>
      <c r="T13" s="6717" t="s">
        <v>219</v>
      </c>
      <c r="U13" s="6718"/>
      <c r="V13" s="6728"/>
      <c r="W13" s="6729" t="str">
        <f>IMAGE("https://raw.githubusercontent.com/msikma/pokesprite/master/misc/types/gen8/dragon.png",4,20,20)</f>
        <v/>
      </c>
      <c r="Y13" s="6717" t="s">
        <v>259</v>
      </c>
      <c r="Z13" s="6718"/>
      <c r="AA13" s="6728"/>
      <c r="AB13" s="6729" t="str">
        <f>IMAGE("https://raw.githubusercontent.com/msikma/pokesprite/master/misc/types/gen8/dark.png",4,20,20)</f>
        <v/>
      </c>
      <c r="AD13" s="6717" t="s">
        <v>1007</v>
      </c>
      <c r="AE13" s="6718"/>
      <c r="AF13" s="6728"/>
      <c r="AG13" s="6729" t="str">
        <f>IMAGE("https://raw.githubusercontent.com/msikma/pokesprite/master/misc/types/gen8/normal.png",4,20,20)</f>
        <v/>
      </c>
      <c r="AH13" s="6686"/>
      <c r="AI13" s="6680"/>
    </row>
    <row r="14" ht="20.25" customHeight="1">
      <c r="A14" s="6676"/>
      <c r="B14" s="6683"/>
      <c r="C14" s="6730"/>
      <c r="D14" s="6716"/>
      <c r="E14" s="6720" t="s">
        <v>583</v>
      </c>
      <c r="F14" s="6721"/>
      <c r="G14" s="6731"/>
      <c r="H14" s="6732" t="str">
        <f>IMAGE("https://raw.githubusercontent.com/msikma/pokesprite/master/misc/types/gen8/fighting.png",4,20,20)</f>
        <v/>
      </c>
      <c r="J14" s="6720" t="s">
        <v>987</v>
      </c>
      <c r="K14" s="6721"/>
      <c r="L14" s="6731"/>
      <c r="M14" s="6732" t="str">
        <f t="shared" si="1"/>
        <v/>
      </c>
      <c r="O14" s="6720" t="s">
        <v>694</v>
      </c>
      <c r="P14" s="6721"/>
      <c r="Q14" s="6731"/>
      <c r="R14" s="6732" t="str">
        <f>IMAGE("https://raw.githubusercontent.com/msikma/pokesprite/master/misc/types/gen8/fire.png",4,20,20)</f>
        <v/>
      </c>
      <c r="T14" s="6720" t="s">
        <v>760</v>
      </c>
      <c r="U14" s="6721"/>
      <c r="V14" s="6731"/>
      <c r="W14" s="6732" t="str">
        <f>IMAGE("https://raw.githubusercontent.com/msikma/pokesprite/master/misc/types/gen8/water.png",4,20,20)</f>
        <v/>
      </c>
      <c r="Y14" s="6720" t="s">
        <v>552</v>
      </c>
      <c r="Z14" s="6721"/>
      <c r="AA14" s="6731"/>
      <c r="AB14" s="6732" t="str">
        <f>IMAGE("https://raw.githubusercontent.com/msikma/pokesprite/master/misc/types/gen8/psychic.png",4,20,20)</f>
        <v/>
      </c>
      <c r="AD14" s="6720" t="s">
        <v>547</v>
      </c>
      <c r="AE14" s="6721"/>
      <c r="AF14" s="6731"/>
      <c r="AG14" s="6732" t="str">
        <f>IMAGE("https://raw.githubusercontent.com/msikma/pokesprite/master/misc/types/gen8/electric.png",4,20,20)</f>
        <v/>
      </c>
      <c r="AH14" s="6686"/>
      <c r="AI14" s="6680"/>
    </row>
    <row r="15" ht="20.25" customHeight="1">
      <c r="A15" s="6676"/>
      <c r="B15" s="6683"/>
      <c r="C15" s="6730"/>
      <c r="D15" s="6716"/>
      <c r="E15" s="6720" t="s">
        <v>1232</v>
      </c>
      <c r="F15" s="6721"/>
      <c r="G15" s="6731"/>
      <c r="H15" s="6732" t="str">
        <f>IMAGE("https://raw.githubusercontent.com/msikma/pokesprite/master/misc/types/gen8/dark.png",4,20,20)</f>
        <v/>
      </c>
      <c r="J15" s="6720" t="s">
        <v>552</v>
      </c>
      <c r="K15" s="6721"/>
      <c r="L15" s="6731"/>
      <c r="M15" s="6732" t="str">
        <f>IMAGE("https://raw.githubusercontent.com/msikma/pokesprite/master/misc/types/gen8/psychic.png",4,20,20)</f>
        <v/>
      </c>
      <c r="O15" s="6720" t="s">
        <v>696</v>
      </c>
      <c r="P15" s="6721"/>
      <c r="Q15" s="6731"/>
      <c r="R15" s="6732" t="str">
        <f>IMAGE("https://raw.githubusercontent.com/msikma/pokesprite/master/misc/types/gen8/dragon.png",4,20,20)</f>
        <v/>
      </c>
      <c r="T15" s="6720" t="s">
        <v>549</v>
      </c>
      <c r="U15" s="6721"/>
      <c r="V15" s="6731"/>
      <c r="W15" s="6732" t="str">
        <f>IMAGE("https://raw.githubusercontent.com/msikma/pokesprite/master/misc/types/gen8/ground.png",4,20,20)</f>
        <v/>
      </c>
      <c r="Y15" s="6720" t="s">
        <v>718</v>
      </c>
      <c r="Z15" s="6721"/>
      <c r="AA15" s="6731"/>
      <c r="AB15" s="6732" t="str">
        <f>IMAGE("https://raw.githubusercontent.com/msikma/pokesprite/master/misc/types/gen8/fighting.png",4,20,20)</f>
        <v/>
      </c>
      <c r="AD15" s="6720" t="s">
        <v>647</v>
      </c>
      <c r="AE15" s="6721"/>
      <c r="AF15" s="6731"/>
      <c r="AG15" s="6732" t="str">
        <f>IMAGE("https://raw.githubusercontent.com/msikma/pokesprite/master/misc/types/gen8/ghost.png",4,20,20)</f>
        <v/>
      </c>
      <c r="AH15" s="6686"/>
      <c r="AI15" s="6680"/>
    </row>
    <row r="16" ht="21.0" customHeight="1">
      <c r="A16" s="6676"/>
      <c r="B16" s="6683"/>
      <c r="C16" s="6730"/>
      <c r="D16" s="6716"/>
      <c r="E16" s="6733" t="s">
        <v>739</v>
      </c>
      <c r="F16" s="6734"/>
      <c r="G16" s="6735"/>
      <c r="H16" s="6736" t="str">
        <f>IMAGE("https://raw.githubusercontent.com/msikma/pokesprite/master/misc/types/gen8/steel.png",4,20,20)</f>
        <v/>
      </c>
      <c r="I16" s="6737"/>
      <c r="J16" s="6733" t="s">
        <v>644</v>
      </c>
      <c r="K16" s="6734"/>
      <c r="L16" s="6735"/>
      <c r="M16" s="6736" t="str">
        <f>IMAGE("https://raw.githubusercontent.com/msikma/pokesprite/master/misc/types/gen8/ground.png",4,20,20)</f>
        <v/>
      </c>
      <c r="N16" s="6737"/>
      <c r="O16" s="6733" t="s">
        <v>549</v>
      </c>
      <c r="P16" s="6734"/>
      <c r="Q16" s="6735"/>
      <c r="R16" s="6736" t="str">
        <f>IMAGE("https://raw.githubusercontent.com/msikma/pokesprite/master/misc/types/gen8/ground.png",4,20,20)</f>
        <v/>
      </c>
      <c r="S16" s="6737"/>
      <c r="T16" s="6733" t="s">
        <v>616</v>
      </c>
      <c r="U16" s="6734"/>
      <c r="V16" s="6735"/>
      <c r="W16" s="6736" t="str">
        <f>IMAGE("https://raw.githubusercontent.com/msikma/pokesprite/master/misc/types/gen8/grass.png",4,20,20)</f>
        <v/>
      </c>
      <c r="X16" s="6737"/>
      <c r="Y16" s="6733" t="s">
        <v>1313</v>
      </c>
      <c r="Z16" s="6734"/>
      <c r="AA16" s="6735"/>
      <c r="AB16" s="6736" t="str">
        <f>IMAGE("https://raw.githubusercontent.com/msikma/pokesprite/master/misc/types/gen8/dark.png",4,20,20)</f>
        <v/>
      </c>
      <c r="AC16" s="6737"/>
      <c r="AD16" s="6733" t="s">
        <v>587</v>
      </c>
      <c r="AE16" s="6734"/>
      <c r="AF16" s="6735"/>
      <c r="AG16" s="6736" t="str">
        <f>IMAGE("https://raw.githubusercontent.com/msikma/pokesprite/master/misc/types/gen8/ice.png",4,20,20)</f>
        <v/>
      </c>
      <c r="AH16" s="6686"/>
      <c r="AI16" s="6680"/>
    </row>
    <row r="17" ht="3.0" customHeight="1">
      <c r="A17" s="6738"/>
      <c r="B17" s="6739"/>
      <c r="C17" s="6740"/>
      <c r="D17" s="6741"/>
      <c r="E17" s="6742"/>
      <c r="F17" s="6742"/>
      <c r="G17" s="6742"/>
      <c r="H17" s="6741"/>
      <c r="I17" s="6741"/>
      <c r="J17" s="6743"/>
      <c r="K17" s="6743"/>
      <c r="L17" s="6743"/>
      <c r="M17" s="6744"/>
      <c r="N17" s="6741"/>
      <c r="O17" s="6743"/>
      <c r="P17" s="6743"/>
      <c r="Q17" s="6743"/>
      <c r="R17" s="6744"/>
      <c r="S17" s="6741"/>
      <c r="T17" s="6743"/>
      <c r="U17" s="6743"/>
      <c r="V17" s="6743"/>
      <c r="W17" s="6744"/>
      <c r="X17" s="6741"/>
      <c r="Y17" s="6743"/>
      <c r="Z17" s="6743"/>
      <c r="AA17" s="6743"/>
      <c r="AB17" s="6744"/>
      <c r="AC17" s="6745"/>
      <c r="AD17" s="6743"/>
      <c r="AE17" s="6743"/>
      <c r="AF17" s="6743"/>
      <c r="AG17" s="6744"/>
      <c r="AH17" s="6746"/>
      <c r="AI17" s="6747"/>
    </row>
    <row r="18" ht="16.5" customHeight="1">
      <c r="A18" s="6738"/>
      <c r="B18" s="6748"/>
      <c r="C18" s="6749"/>
      <c r="D18" s="6750"/>
      <c r="E18" s="6751" t="s">
        <v>512</v>
      </c>
      <c r="F18" s="606"/>
      <c r="G18" s="606"/>
      <c r="H18" s="607"/>
      <c r="I18" s="6752"/>
      <c r="J18" s="6751" t="s">
        <v>512</v>
      </c>
      <c r="K18" s="606"/>
      <c r="L18" s="606"/>
      <c r="M18" s="607"/>
      <c r="N18" s="6753"/>
      <c r="O18" s="6751" t="s">
        <v>512</v>
      </c>
      <c r="P18" s="606"/>
      <c r="Q18" s="606"/>
      <c r="R18" s="607"/>
      <c r="S18" s="6754"/>
      <c r="T18" s="6751" t="s">
        <v>512</v>
      </c>
      <c r="U18" s="606"/>
      <c r="V18" s="606"/>
      <c r="W18" s="607"/>
      <c r="X18" s="6754"/>
      <c r="Y18" s="6751" t="s">
        <v>512</v>
      </c>
      <c r="Z18" s="606"/>
      <c r="AA18" s="606"/>
      <c r="AB18" s="607"/>
      <c r="AC18" s="6754"/>
      <c r="AD18" s="6751" t="s">
        <v>512</v>
      </c>
      <c r="AE18" s="606"/>
      <c r="AF18" s="606"/>
      <c r="AG18" s="607"/>
      <c r="AH18" s="6755"/>
      <c r="AI18" s="6747"/>
    </row>
    <row r="19" ht="16.5" customHeight="1">
      <c r="A19" s="6738"/>
      <c r="B19" s="6748"/>
      <c r="C19" s="6756"/>
      <c r="D19" s="6750"/>
      <c r="E19" s="6757" t="s">
        <v>513</v>
      </c>
      <c r="F19" s="6758">
        <f t="array" ref="F19">IFERROR(VLOOKUP(E6,Dex!$B$3:$N1219,8,FALSE),"")</f>
        <v>75</v>
      </c>
      <c r="G19" s="6759" t="str">
        <f t="array" ref="G19">IFERROR(VLOOKUP(F19,Dex!$P$22:$Q$276,2,FALSE),"")</f>
        <v/>
      </c>
      <c r="H19" s="6760"/>
      <c r="I19" s="6761"/>
      <c r="J19" s="6757" t="s">
        <v>513</v>
      </c>
      <c r="K19" s="6758">
        <f t="array" ref="K19">IFERROR(VLOOKUP(J6,Dex!$B$3:$N1219,8,FALSE),"")</f>
        <v>95</v>
      </c>
      <c r="L19" s="6759" t="str">
        <f t="array" ref="L19">IFERROR(VLOOKUP(K19,Dex!$P$22:$Q$276,2,FALSE),"")</f>
        <v/>
      </c>
      <c r="M19" s="6760"/>
      <c r="N19" s="6762"/>
      <c r="O19" s="6757" t="s">
        <v>513</v>
      </c>
      <c r="P19" s="6758">
        <f t="array" ref="P19">IFERROR(VLOOKUP(O6,Dex!$B$3:$N1219,8,FALSE),"")</f>
        <v>78</v>
      </c>
      <c r="Q19" s="6759" t="str">
        <f t="array" ref="Q19">IFERROR(VLOOKUP(P19,Dex!$P$22:$Q$276,2,FALSE),"")</f>
        <v/>
      </c>
      <c r="R19" s="6760"/>
      <c r="S19" s="6763"/>
      <c r="T19" s="6757" t="s">
        <v>513</v>
      </c>
      <c r="U19" s="6758">
        <f t="array" ref="U19">IFERROR(VLOOKUP(T6,Dex!$B$3:$N1219,8,FALSE),"")</f>
        <v>95</v>
      </c>
      <c r="V19" s="6759" t="str">
        <f t="array" ref="V19">IFERROR(VLOOKUP(U19,Dex!$P$22:$Q$276,2,FALSE),"")</f>
        <v/>
      </c>
      <c r="W19" s="6760"/>
      <c r="X19" s="6763"/>
      <c r="Y19" s="6757" t="s">
        <v>513</v>
      </c>
      <c r="Z19" s="6758">
        <f t="array" ref="Z19">IFERROR(VLOOKUP(Y6,Dex!$B$3:$N1219,8,FALSE),"")</f>
        <v>100</v>
      </c>
      <c r="AA19" s="6759" t="str">
        <f t="array" ref="AA19">IFERROR(VLOOKUP(Z19,Dex!$P$22:$Q$276,2,FALSE),"")</f>
        <v/>
      </c>
      <c r="AB19" s="6760"/>
      <c r="AC19" s="6763"/>
      <c r="AD19" s="6757" t="s">
        <v>513</v>
      </c>
      <c r="AE19" s="6758">
        <f t="array" ref="AE19">IFERROR(VLOOKUP(AD6,Dex!$B$3:$N1219,8,FALSE),"")</f>
        <v>65</v>
      </c>
      <c r="AF19" s="6759" t="str">
        <f t="array" ref="AF19">IFERROR(VLOOKUP(AE19,Dex!$P$22:$Q$276,2,FALSE),"")</f>
        <v/>
      </c>
      <c r="AG19" s="6760"/>
      <c r="AH19" s="6755"/>
      <c r="AI19" s="6747"/>
    </row>
    <row r="20" ht="16.5" customHeight="1">
      <c r="A20" s="6738"/>
      <c r="B20" s="6748"/>
      <c r="C20" s="6764"/>
      <c r="D20" s="6750"/>
      <c r="E20" s="6765" t="s">
        <v>514</v>
      </c>
      <c r="F20" s="6766">
        <f t="array" ref="F20">IFERROR(VLOOKUP(E6,Dex!$B$3:$N1219,9,FALSE),"")</f>
        <v>100</v>
      </c>
      <c r="G20" s="6767" t="str">
        <f t="array" ref="G20">IFERROR(VLOOKUP(F20,Dex!$P$22:$Q$276,2,FALSE),"")</f>
        <v/>
      </c>
      <c r="H20" s="6768"/>
      <c r="I20" s="6761"/>
      <c r="J20" s="6765" t="s">
        <v>514</v>
      </c>
      <c r="K20" s="6766">
        <f t="array" ref="K20">IFERROR(VLOOKUP(J6,Dex!$B$3:$N1219,9,FALSE),"")</f>
        <v>95</v>
      </c>
      <c r="L20" s="6767" t="str">
        <f t="array" ref="L20">IFERROR(VLOOKUP(K20,Dex!$P$22:$Q$276,2,FALSE),"")</f>
        <v/>
      </c>
      <c r="M20" s="6768"/>
      <c r="N20" s="6762"/>
      <c r="O20" s="6765" t="s">
        <v>514</v>
      </c>
      <c r="P20" s="6766">
        <f t="array" ref="P20">IFERROR(VLOOKUP(O6,Dex!$B$3:$N1219,9,FALSE),"")</f>
        <v>130</v>
      </c>
      <c r="Q20" s="6767" t="str">
        <f t="array" ref="Q20">IFERROR(VLOOKUP(P20,Dex!$P$22:$Q$276,2,FALSE),"")</f>
        <v/>
      </c>
      <c r="R20" s="6768"/>
      <c r="S20" s="6763"/>
      <c r="T20" s="6765" t="s">
        <v>514</v>
      </c>
      <c r="U20" s="6766">
        <f t="array" ref="U20">IFERROR(VLOOKUP(T6,Dex!$B$3:$N1219,9,FALSE),"")</f>
        <v>125</v>
      </c>
      <c r="V20" s="6767" t="str">
        <f t="array" ref="V20">IFERROR(VLOOKUP(U20,Dex!$P$22:$Q$276,2,FALSE),"")</f>
        <v/>
      </c>
      <c r="W20" s="6768"/>
      <c r="X20" s="6763"/>
      <c r="Y20" s="6765" t="s">
        <v>514</v>
      </c>
      <c r="Z20" s="6766">
        <f t="array" ref="Z20">IFERROR(VLOOKUP(Y6,Dex!$B$3:$N1219,9,FALSE),"")</f>
        <v>100</v>
      </c>
      <c r="AA20" s="6767" t="str">
        <f t="array" ref="AA20">IFERROR(VLOOKUP(Z20,Dex!$P$22:$Q$276,2,FALSE),"")</f>
        <v/>
      </c>
      <c r="AB20" s="6768"/>
      <c r="AC20" s="6763"/>
      <c r="AD20" s="6765" t="s">
        <v>514</v>
      </c>
      <c r="AE20" s="6766">
        <f t="array" ref="AE20">IFERROR(VLOOKUP(AD6,Dex!$B$3:$N1219,9,FALSE),"")</f>
        <v>65</v>
      </c>
      <c r="AF20" s="6767" t="str">
        <f t="array" ref="AF20">IFERROR(VLOOKUP(AE20,Dex!$P$22:$Q$276,2,FALSE),"")</f>
        <v/>
      </c>
      <c r="AG20" s="6768"/>
      <c r="AH20" s="6755"/>
      <c r="AI20" s="6747"/>
    </row>
    <row r="21" ht="16.5" customHeight="1">
      <c r="A21" s="6738"/>
      <c r="B21" s="6748"/>
      <c r="C21" s="6740"/>
      <c r="D21" s="6750"/>
      <c r="E21" s="6765" t="s">
        <v>515</v>
      </c>
      <c r="F21" s="6766">
        <f t="array" ref="F21">IFERROR(VLOOKUP(E6,Dex!$B$3:$N1219,10,FALSE),"")</f>
        <v>95</v>
      </c>
      <c r="G21" s="6767" t="str">
        <f t="array" ref="G21">IFERROR(VLOOKUP(F21,Dex!$P$22:$Q$276,2,FALSE),"")</f>
        <v/>
      </c>
      <c r="H21" s="6768"/>
      <c r="I21" s="6761"/>
      <c r="J21" s="6765" t="s">
        <v>515</v>
      </c>
      <c r="K21" s="6766">
        <f t="array" ref="K21">IFERROR(VLOOKUP(J6,Dex!$B$3:$N1219,10,FALSE),"")</f>
        <v>85</v>
      </c>
      <c r="L21" s="6767" t="str">
        <f t="array" ref="L21">IFERROR(VLOOKUP(K21,Dex!$P$22:$Q$276,2,FALSE),"")</f>
        <v/>
      </c>
      <c r="M21" s="6768"/>
      <c r="N21" s="6762"/>
      <c r="O21" s="6765" t="s">
        <v>515</v>
      </c>
      <c r="P21" s="6766">
        <f t="array" ref="P21">IFERROR(VLOOKUP(O6,Dex!$B$3:$N1219,10,FALSE),"")</f>
        <v>111</v>
      </c>
      <c r="Q21" s="6767" t="str">
        <f t="array" ref="Q21">IFERROR(VLOOKUP(P21,Dex!$P$22:$Q$276,2,FALSE),"")</f>
        <v/>
      </c>
      <c r="R21" s="6768"/>
      <c r="S21" s="6763"/>
      <c r="T21" s="6765" t="s">
        <v>515</v>
      </c>
      <c r="U21" s="6766">
        <f t="array" ref="U21">IFERROR(VLOOKUP(T6,Dex!$B$3:$N1219,10,FALSE),"")</f>
        <v>79</v>
      </c>
      <c r="V21" s="6767" t="str">
        <f t="array" ref="V21">IFERROR(VLOOKUP(U21,Dex!$P$22:$Q$276,2,FALSE),"")</f>
        <v/>
      </c>
      <c r="W21" s="6768"/>
      <c r="X21" s="6763"/>
      <c r="Y21" s="6765" t="s">
        <v>515</v>
      </c>
      <c r="Z21" s="6766">
        <f t="array" ref="Z21">IFERROR(VLOOKUP(Y6,Dex!$B$3:$N1219,10,FALSE),"")</f>
        <v>100</v>
      </c>
      <c r="AA21" s="6767" t="str">
        <f t="array" ref="AA21">IFERROR(VLOOKUP(Z21,Dex!$P$22:$Q$276,2,FALSE),"")</f>
        <v/>
      </c>
      <c r="AB21" s="6768"/>
      <c r="AC21" s="6763"/>
      <c r="AD21" s="6765" t="s">
        <v>515</v>
      </c>
      <c r="AE21" s="6766">
        <f t="array" ref="AE21">IFERROR(VLOOKUP(AD6,Dex!$B$3:$N1219,10,FALSE),"")</f>
        <v>60</v>
      </c>
      <c r="AF21" s="6767" t="str">
        <f t="array" ref="AF21">IFERROR(VLOOKUP(AE21,Dex!$P$22:$Q$276,2,FALSE),"")</f>
        <v/>
      </c>
      <c r="AG21" s="6768"/>
      <c r="AH21" s="6755"/>
      <c r="AI21" s="6747"/>
    </row>
    <row r="22" ht="16.5" customHeight="1">
      <c r="A22" s="6738"/>
      <c r="B22" s="6748"/>
      <c r="C22" s="6740"/>
      <c r="D22" s="6750"/>
      <c r="E22" s="6765" t="s">
        <v>516</v>
      </c>
      <c r="F22" s="6766">
        <f t="array" ref="F22">IFERROR(VLOOKUP(E6,Dex!$B$3:$N1219,11,FALSE),"")</f>
        <v>70</v>
      </c>
      <c r="G22" s="6767" t="str">
        <f t="array" ref="G22">IFERROR(VLOOKUP(F22,Dex!$P$22:$Q$276,2,FALSE),"")</f>
        <v/>
      </c>
      <c r="H22" s="6768"/>
      <c r="I22" s="6761"/>
      <c r="J22" s="6765" t="s">
        <v>516</v>
      </c>
      <c r="K22" s="6766">
        <f t="array" ref="K22">IFERROR(VLOOKUP(J6,Dex!$B$3:$N1219,11,FALSE),"")</f>
        <v>125</v>
      </c>
      <c r="L22" s="6767" t="str">
        <f t="array" ref="L22">IFERROR(VLOOKUP(K22,Dex!$P$22:$Q$276,2,FALSE),"")</f>
        <v/>
      </c>
      <c r="M22" s="6768"/>
      <c r="N22" s="6762"/>
      <c r="O22" s="6765" t="s">
        <v>516</v>
      </c>
      <c r="P22" s="6766">
        <f t="array" ref="P22">IFERROR(VLOOKUP(O6,Dex!$B$3:$N1219,11,FALSE),"")</f>
        <v>130</v>
      </c>
      <c r="Q22" s="6767" t="str">
        <f t="array" ref="Q22">IFERROR(VLOOKUP(P22,Dex!$P$22:$Q$276,2,FALSE),"")</f>
        <v/>
      </c>
      <c r="R22" s="6768"/>
      <c r="S22" s="6763"/>
      <c r="T22" s="6765" t="s">
        <v>516</v>
      </c>
      <c r="U22" s="6766">
        <f t="array" ref="U22">IFERROR(VLOOKUP(T6,Dex!$B$3:$N1219,11,FALSE),"")</f>
        <v>60</v>
      </c>
      <c r="V22" s="6767" t="str">
        <f t="array" ref="V22">IFERROR(VLOOKUP(U22,Dex!$P$22:$Q$276,2,FALSE),"")</f>
        <v/>
      </c>
      <c r="W22" s="6768"/>
      <c r="X22" s="6763"/>
      <c r="Y22" s="6765" t="s">
        <v>516</v>
      </c>
      <c r="Z22" s="6766">
        <f t="array" ref="Z22">IFERROR(VLOOKUP(Y6,Dex!$B$3:$N1219,11,FALSE),"")</f>
        <v>100</v>
      </c>
      <c r="AA22" s="6767" t="str">
        <f t="array" ref="AA22">IFERROR(VLOOKUP(Z22,Dex!$P$22:$Q$276,2,FALSE),"")</f>
        <v/>
      </c>
      <c r="AB22" s="6768"/>
      <c r="AC22" s="6763"/>
      <c r="AD22" s="6765" t="s">
        <v>516</v>
      </c>
      <c r="AE22" s="6766">
        <f t="array" ref="AE22">IFERROR(VLOOKUP(AD6,Dex!$B$3:$N1219,11,FALSE),"")</f>
        <v>110</v>
      </c>
      <c r="AF22" s="6767" t="str">
        <f t="array" ref="AF22">IFERROR(VLOOKUP(AE22,Dex!$P$22:$Q$276,2,FALSE),"")</f>
        <v/>
      </c>
      <c r="AG22" s="6768"/>
      <c r="AH22" s="6755"/>
      <c r="AI22" s="6747"/>
    </row>
    <row r="23" ht="16.5" customHeight="1">
      <c r="A23" s="6738"/>
      <c r="B23" s="6748"/>
      <c r="C23" s="6740"/>
      <c r="D23" s="6750"/>
      <c r="E23" s="6765" t="s">
        <v>517</v>
      </c>
      <c r="F23" s="6766">
        <f t="array" ref="F23">IFERROR(VLOOKUP(E6,Dex!$B$3:$N1219,12,FALSE),"")</f>
        <v>70</v>
      </c>
      <c r="G23" s="6767" t="str">
        <f t="array" ref="G23">IFERROR(VLOOKUP(F23,Dex!$P$22:$Q$276,2,FALSE),"")</f>
        <v/>
      </c>
      <c r="H23" s="6768"/>
      <c r="I23" s="6761"/>
      <c r="J23" s="6765" t="s">
        <v>517</v>
      </c>
      <c r="K23" s="6766">
        <f t="array" ref="K23">IFERROR(VLOOKUP(J6,Dex!$B$3:$N1219,12,FALSE),"")</f>
        <v>75</v>
      </c>
      <c r="L23" s="6767" t="str">
        <f t="array" ref="L23">IFERROR(VLOOKUP(K23,Dex!$P$22:$Q$276,2,FALSE),"")</f>
        <v/>
      </c>
      <c r="M23" s="6768"/>
      <c r="N23" s="6762"/>
      <c r="O23" s="6765" t="s">
        <v>517</v>
      </c>
      <c r="P23" s="6766">
        <f t="array" ref="P23">IFERROR(VLOOKUP(O6,Dex!$B$3:$N1219,12,FALSE),"")</f>
        <v>85</v>
      </c>
      <c r="Q23" s="6767" t="str">
        <f t="array" ref="Q23">IFERROR(VLOOKUP(P23,Dex!$P$22:$Q$276,2,FALSE),"")</f>
        <v/>
      </c>
      <c r="R23" s="6768"/>
      <c r="S23" s="6763"/>
      <c r="T23" s="6765" t="s">
        <v>517</v>
      </c>
      <c r="U23" s="6766">
        <f t="array" ref="U23">IFERROR(VLOOKUP(T6,Dex!$B$3:$N1219,12,FALSE),"")</f>
        <v>100</v>
      </c>
      <c r="V23" s="6767" t="str">
        <f t="array" ref="V23">IFERROR(VLOOKUP(U23,Dex!$P$22:$Q$276,2,FALSE),"")</f>
        <v/>
      </c>
      <c r="W23" s="6768"/>
      <c r="X23" s="6763"/>
      <c r="Y23" s="6765" t="s">
        <v>517</v>
      </c>
      <c r="Z23" s="6766">
        <f t="array" ref="Z23">IFERROR(VLOOKUP(Y6,Dex!$B$3:$N1219,12,FALSE),"")</f>
        <v>100</v>
      </c>
      <c r="AA23" s="6767" t="str">
        <f t="array" ref="AA23">IFERROR(VLOOKUP(Z23,Dex!$P$22:$Q$276,2,FALSE),"")</f>
        <v/>
      </c>
      <c r="AB23" s="6768"/>
      <c r="AC23" s="6763"/>
      <c r="AD23" s="6765" t="s">
        <v>517</v>
      </c>
      <c r="AE23" s="6766">
        <f t="array" ref="AE23">IFERROR(VLOOKUP(AD6,Dex!$B$3:$N1219,12,FALSE),"")</f>
        <v>95</v>
      </c>
      <c r="AF23" s="6767" t="str">
        <f t="array" ref="AF23">IFERROR(VLOOKUP(AE23,Dex!$P$22:$Q$276,2,FALSE),"")</f>
        <v/>
      </c>
      <c r="AG23" s="6768"/>
      <c r="AH23" s="6755"/>
      <c r="AI23" s="6747"/>
    </row>
    <row r="24" ht="16.5" customHeight="1">
      <c r="A24" s="6738"/>
      <c r="B24" s="6748"/>
      <c r="C24" s="6740"/>
      <c r="D24" s="6750"/>
      <c r="E24" s="6769" t="s">
        <v>518</v>
      </c>
      <c r="F24" s="6770">
        <f t="array" ref="F24">IFERROR(VLOOKUP(E6,Dex!$B$3:$N1219,13,FALSE),"")</f>
        <v>110</v>
      </c>
      <c r="G24" s="6771" t="str">
        <f t="array" ref="G24">IFERROR(VLOOKUP(F24,Dex!$P$22:$Q$276,2,FALSE),"")</f>
        <v/>
      </c>
      <c r="H24" s="6772"/>
      <c r="I24" s="6761"/>
      <c r="J24" s="6769" t="s">
        <v>518</v>
      </c>
      <c r="K24" s="6770">
        <f t="array" ref="K24">IFERROR(VLOOKUP(J6,Dex!$B$3:$N1219,13,FALSE),"")</f>
        <v>55</v>
      </c>
      <c r="L24" s="6771" t="str">
        <f t="array" ref="L24">IFERROR(VLOOKUP(K24,Dex!$P$22:$Q$276,2,FALSE),"")</f>
        <v/>
      </c>
      <c r="M24" s="6772"/>
      <c r="N24" s="6762"/>
      <c r="O24" s="6769" t="s">
        <v>518</v>
      </c>
      <c r="P24" s="6770">
        <f t="array" ref="P24">IFERROR(VLOOKUP(O6,Dex!$B$3:$N1219,13,FALSE),"")</f>
        <v>100</v>
      </c>
      <c r="Q24" s="6771" t="str">
        <f t="array" ref="Q24">IFERROR(VLOOKUP(P24,Dex!$P$22:$Q$276,2,FALSE),"")</f>
        <v/>
      </c>
      <c r="R24" s="6772"/>
      <c r="S24" s="6763"/>
      <c r="T24" s="6769" t="s">
        <v>518</v>
      </c>
      <c r="U24" s="6770">
        <f t="array" ref="U24">IFERROR(VLOOKUP(T6,Dex!$B$3:$N1219,13,FALSE),"")</f>
        <v>81</v>
      </c>
      <c r="V24" s="6771" t="str">
        <f t="array" ref="V24">IFERROR(VLOOKUP(U24,Dex!$P$22:$Q$276,2,FALSE),"")</f>
        <v/>
      </c>
      <c r="W24" s="6772"/>
      <c r="X24" s="6763"/>
      <c r="Y24" s="6769" t="s">
        <v>518</v>
      </c>
      <c r="Z24" s="6770">
        <f t="array" ref="Z24">IFERROR(VLOOKUP(Y6,Dex!$B$3:$N1219,13,FALSE),"")</f>
        <v>100</v>
      </c>
      <c r="AA24" s="6771" t="str">
        <f t="array" ref="AA24">IFERROR(VLOOKUP(Z24,Dex!$P$22:$Q$276,2,FALSE),"")</f>
        <v/>
      </c>
      <c r="AB24" s="6772"/>
      <c r="AC24" s="6763"/>
      <c r="AD24" s="6769" t="s">
        <v>518</v>
      </c>
      <c r="AE24" s="6770">
        <f t="array" ref="AE24">IFERROR(VLOOKUP(AD6,Dex!$B$3:$N1219,13,FALSE),"")</f>
        <v>130</v>
      </c>
      <c r="AF24" s="6771" t="str">
        <f t="array" ref="AF24">IFERROR(VLOOKUP(AE24,Dex!$P$22:$Q$276,2,FALSE),"")</f>
        <v/>
      </c>
      <c r="AG24" s="6772"/>
      <c r="AH24" s="6755"/>
      <c r="AI24" s="6747"/>
    </row>
    <row r="25" ht="16.5" customHeight="1">
      <c r="A25" s="6738"/>
      <c r="B25" s="6748"/>
      <c r="C25" s="6740"/>
      <c r="D25" s="6750"/>
      <c r="E25" s="6773" t="s">
        <v>519</v>
      </c>
      <c r="F25" s="630"/>
      <c r="G25" s="631"/>
      <c r="H25" s="632">
        <f>ROUNDDOWN((ROUNDDOWN(((((2*F24+31)*100)/100+5)),0))*1.1,0)</f>
        <v>281</v>
      </c>
      <c r="I25" s="6752"/>
      <c r="J25" s="6773" t="s">
        <v>519</v>
      </c>
      <c r="K25" s="630"/>
      <c r="L25" s="631"/>
      <c r="M25" s="632">
        <f>ROUNDDOWN((ROUNDDOWN(((((2*K24+31)*100)/100+5)),0))*1,0)</f>
        <v>146</v>
      </c>
      <c r="N25" s="6774"/>
      <c r="O25" s="6773" t="s">
        <v>519</v>
      </c>
      <c r="P25" s="630"/>
      <c r="Q25" s="631"/>
      <c r="R25" s="632">
        <f>ROUNDDOWN((ROUNDDOWN(((((2*P24+31)*100)/100+5)),0))*1.1,0)</f>
        <v>259</v>
      </c>
      <c r="S25" s="6775"/>
      <c r="T25" s="6773" t="s">
        <v>519</v>
      </c>
      <c r="U25" s="630"/>
      <c r="V25" s="631"/>
      <c r="W25" s="632">
        <f>ROUNDDOWN((ROUNDDOWN(((((2*U24+31)*100)/100+5)),0))*1.1,0)</f>
        <v>217</v>
      </c>
      <c r="X25" s="6775"/>
      <c r="Y25" s="6773" t="s">
        <v>519</v>
      </c>
      <c r="Z25" s="630"/>
      <c r="AA25" s="631"/>
      <c r="AB25" s="632">
        <f>ROUNDDOWN((ROUNDDOWN(((((2*Z24+31)*100)/100+5)),0))*1.1,0)</f>
        <v>259</v>
      </c>
      <c r="AC25" s="6776"/>
      <c r="AD25" s="6777" t="s">
        <v>519</v>
      </c>
      <c r="AE25" s="635"/>
      <c r="AF25" s="636"/>
      <c r="AG25" s="632">
        <f>ROUNDDOWN((ROUNDDOWN(((((2*AE24+31)*100)/100+5)),0))*1.1,0)</f>
        <v>325</v>
      </c>
      <c r="AH25" s="6778"/>
      <c r="AI25" s="6747"/>
    </row>
    <row r="26" ht="16.5" customHeight="1">
      <c r="A26" s="6738"/>
      <c r="B26" s="6779"/>
      <c r="C26" s="6780"/>
      <c r="D26" s="6781"/>
      <c r="E26" s="6740"/>
      <c r="F26" s="6740"/>
      <c r="G26" s="6740"/>
      <c r="H26" s="6740"/>
      <c r="I26" s="6782"/>
      <c r="J26" s="6783"/>
      <c r="K26" s="6783"/>
      <c r="L26" s="6783"/>
      <c r="M26" s="6740"/>
      <c r="N26" s="6784"/>
      <c r="O26" s="6783"/>
      <c r="P26" s="6783"/>
      <c r="Q26" s="6783"/>
      <c r="R26" s="6740"/>
      <c r="S26" s="6785"/>
      <c r="T26" s="6783"/>
      <c r="U26" s="6783"/>
      <c r="V26" s="6783"/>
      <c r="W26" s="6740"/>
      <c r="X26" s="6785"/>
      <c r="Y26" s="6783"/>
      <c r="Z26" s="6783"/>
      <c r="AA26" s="6783"/>
      <c r="AB26" s="6740"/>
      <c r="AC26" s="6785"/>
      <c r="AD26" s="6786" t="s">
        <v>1013</v>
      </c>
      <c r="AE26" s="643"/>
      <c r="AF26" s="644"/>
      <c r="AG26" s="6787">
        <f>AG25*2</f>
        <v>650</v>
      </c>
      <c r="AH26" s="6788"/>
      <c r="AI26" s="6747"/>
    </row>
    <row r="27" ht="11.25" customHeight="1">
      <c r="A27" s="6738"/>
      <c r="B27" s="6779"/>
      <c r="C27" s="6780"/>
      <c r="D27" s="6781"/>
      <c r="E27" s="6780"/>
      <c r="F27" s="6780"/>
      <c r="G27" s="6780"/>
      <c r="H27" s="6780"/>
      <c r="I27" s="6782"/>
      <c r="J27" s="6780"/>
      <c r="K27" s="6780"/>
      <c r="L27" s="6780"/>
      <c r="M27" s="6780"/>
      <c r="N27" s="6784"/>
      <c r="O27" s="6780"/>
      <c r="P27" s="6780"/>
      <c r="Q27" s="6780"/>
      <c r="R27" s="6780"/>
      <c r="S27" s="6785"/>
      <c r="T27" s="6780"/>
      <c r="U27" s="6780"/>
      <c r="V27" s="6780"/>
      <c r="W27" s="6780"/>
      <c r="X27" s="6785"/>
      <c r="Y27" s="6780"/>
      <c r="Z27" s="6780"/>
      <c r="AA27" s="6780"/>
      <c r="AB27" s="6780"/>
      <c r="AC27" s="6785"/>
      <c r="AD27" s="6780"/>
      <c r="AE27" s="6780"/>
      <c r="AF27" s="6780"/>
      <c r="AG27" s="6780"/>
      <c r="AH27" s="6788"/>
      <c r="AI27" s="6747"/>
    </row>
    <row r="28" ht="11.25" customHeight="1">
      <c r="A28" s="6738"/>
      <c r="B28" s="6779"/>
      <c r="C28" s="6780"/>
      <c r="D28" s="6781"/>
      <c r="E28" s="3250" t="s">
        <v>1315</v>
      </c>
      <c r="F28" s="3251"/>
      <c r="G28" s="3251"/>
      <c r="H28" s="3251"/>
      <c r="I28" s="3251"/>
      <c r="J28" s="3251"/>
      <c r="K28" s="3251"/>
      <c r="L28" s="3251"/>
      <c r="M28" s="3251"/>
      <c r="N28" s="3251"/>
      <c r="O28" s="3251"/>
      <c r="P28" s="3251"/>
      <c r="Q28" s="3251"/>
      <c r="R28" s="3251"/>
      <c r="S28" s="3251"/>
      <c r="T28" s="3251"/>
      <c r="U28" s="3251"/>
      <c r="V28" s="3251"/>
      <c r="W28" s="3251"/>
      <c r="X28" s="3251"/>
      <c r="Y28" s="3251"/>
      <c r="Z28" s="3251"/>
      <c r="AA28" s="3251"/>
      <c r="AB28" s="3251"/>
      <c r="AC28" s="3251"/>
      <c r="AD28" s="3251"/>
      <c r="AE28" s="3251"/>
      <c r="AF28" s="3251"/>
      <c r="AG28" s="3252"/>
      <c r="AH28" s="6788"/>
      <c r="AI28" s="6747"/>
    </row>
    <row r="29" ht="11.25" customHeight="1">
      <c r="A29" s="6738"/>
      <c r="B29" s="6779"/>
      <c r="C29" s="6780"/>
      <c r="D29" s="6781"/>
      <c r="E29" s="314"/>
      <c r="F29" s="3255"/>
      <c r="G29" s="3255"/>
      <c r="H29" s="3255"/>
      <c r="I29" s="3255"/>
      <c r="J29" s="3255"/>
      <c r="K29" s="3255"/>
      <c r="L29" s="3255"/>
      <c r="M29" s="3255"/>
      <c r="N29" s="3255"/>
      <c r="O29" s="3255"/>
      <c r="P29" s="3255"/>
      <c r="Q29" s="3255"/>
      <c r="R29" s="3255"/>
      <c r="S29" s="3255"/>
      <c r="T29" s="3255"/>
      <c r="U29" s="3255"/>
      <c r="V29" s="3255"/>
      <c r="W29" s="3255"/>
      <c r="X29" s="3255"/>
      <c r="Y29" s="3255"/>
      <c r="Z29" s="3255"/>
      <c r="AA29" s="3255"/>
      <c r="AB29" s="3255"/>
      <c r="AC29" s="3255"/>
      <c r="AD29" s="3255"/>
      <c r="AE29" s="3255"/>
      <c r="AF29" s="3255"/>
      <c r="AG29" s="3256"/>
      <c r="AH29" s="6788"/>
      <c r="AI29" s="6747"/>
    </row>
    <row r="30" ht="3.75" customHeight="1">
      <c r="A30" s="6738"/>
      <c r="B30" s="6779"/>
      <c r="C30" s="6780"/>
      <c r="D30" s="6781"/>
      <c r="E30" s="6789"/>
      <c r="F30" s="6789"/>
      <c r="G30" s="6789"/>
      <c r="H30" s="6789"/>
      <c r="I30" s="6790"/>
      <c r="J30" s="6789"/>
      <c r="K30" s="6789"/>
      <c r="L30" s="6789"/>
      <c r="M30" s="6789"/>
      <c r="N30" s="6791"/>
      <c r="O30" s="6789"/>
      <c r="P30" s="6789"/>
      <c r="Q30" s="6789"/>
      <c r="R30" s="6789"/>
      <c r="S30" s="6792"/>
      <c r="T30" s="6789"/>
      <c r="U30" s="6789"/>
      <c r="V30" s="6789"/>
      <c r="W30" s="6789"/>
      <c r="X30" s="6792"/>
      <c r="Y30" s="6789"/>
      <c r="Z30" s="6789"/>
      <c r="AA30" s="6789"/>
      <c r="AB30" s="6789"/>
      <c r="AC30" s="6792"/>
      <c r="AD30" s="6789"/>
      <c r="AE30" s="6789"/>
      <c r="AF30" s="6789"/>
      <c r="AG30" s="6789"/>
      <c r="AH30" s="6788"/>
      <c r="AI30" s="6747"/>
    </row>
    <row r="31" ht="96.75" customHeight="1">
      <c r="A31" s="6676"/>
      <c r="B31" s="6683"/>
      <c r="C31" s="6687" t="str">
        <f>IMAGE("https://i.ibb.co/88pHxt3/Oak.png")</f>
        <v/>
      </c>
      <c r="D31" s="6688"/>
      <c r="E31" s="6689" t="str">
        <f t="array" ref="E31">IFERROR(VLOOKUP(E32,Dex!$B$3:$G1219,3,FALSE),"")</f>
        <v/>
      </c>
      <c r="F31" s="1945"/>
      <c r="G31" s="1945"/>
      <c r="H31" s="1946"/>
      <c r="I31" s="6690"/>
      <c r="J31" s="6689" t="str">
        <f t="array" ref="J31">IFERROR(VLOOKUP(J32,Dex!$B$3:$G1219,3,FALSE),"")</f>
        <v/>
      </c>
      <c r="K31" s="1945"/>
      <c r="L31" s="1945"/>
      <c r="M31" s="1946"/>
      <c r="N31" s="6690"/>
      <c r="O31" s="6689" t="str">
        <f t="array" ref="O31">IFERROR(VLOOKUP(O32,Dex!$B$3:$G1219,3,FALSE),"")</f>
        <v/>
      </c>
      <c r="P31" s="1945"/>
      <c r="Q31" s="1945"/>
      <c r="R31" s="1946"/>
      <c r="S31" s="6690"/>
      <c r="T31" s="6689" t="str">
        <f t="array" ref="T31">IFERROR(VLOOKUP(T32,Dex!$B$3:$G1219,3,FALSE),"")</f>
        <v/>
      </c>
      <c r="U31" s="1945"/>
      <c r="V31" s="1945"/>
      <c r="W31" s="1946"/>
      <c r="X31" s="6690"/>
      <c r="Y31" s="6689" t="str">
        <f t="array" ref="Y31">IFERROR(VLOOKUP(Y32,Dex!$B$3:$G1219,3,FALSE),"")</f>
        <v/>
      </c>
      <c r="Z31" s="1945"/>
      <c r="AA31" s="1945"/>
      <c r="AB31" s="1946"/>
      <c r="AC31" s="6690"/>
      <c r="AD31" s="6689" t="str">
        <f t="array" ref="AD31">IFERROR(VLOOKUP(AD32,Dex!$B$3:$G1219,3,FALSE),"")</f>
        <v/>
      </c>
      <c r="AE31" s="1945"/>
      <c r="AF31" s="1945"/>
      <c r="AG31" s="1946"/>
      <c r="AH31" s="6682"/>
      <c r="AI31" s="6680"/>
    </row>
    <row r="32" ht="18.75" customHeight="1">
      <c r="A32" s="6691"/>
      <c r="B32" s="6692"/>
      <c r="C32" s="6693" t="s">
        <v>1958</v>
      </c>
      <c r="D32" s="6694"/>
      <c r="E32" s="6695" t="s">
        <v>1685</v>
      </c>
      <c r="F32" s="6696"/>
      <c r="G32" s="6696"/>
      <c r="H32" s="6697"/>
      <c r="J32" s="6695" t="s">
        <v>1048</v>
      </c>
      <c r="K32" s="6696"/>
      <c r="L32" s="6696"/>
      <c r="M32" s="6697"/>
      <c r="O32" s="6695" t="s">
        <v>1467</v>
      </c>
      <c r="P32" s="6696"/>
      <c r="Q32" s="6696"/>
      <c r="R32" s="6697"/>
      <c r="T32" s="6695" t="s">
        <v>1093</v>
      </c>
      <c r="U32" s="6696"/>
      <c r="V32" s="6696"/>
      <c r="W32" s="6697"/>
      <c r="Y32" s="6695" t="s">
        <v>1959</v>
      </c>
      <c r="Z32" s="6696"/>
      <c r="AA32" s="6696"/>
      <c r="AB32" s="6697"/>
      <c r="AD32" s="6695" t="s">
        <v>656</v>
      </c>
      <c r="AE32" s="6696"/>
      <c r="AF32" s="6696"/>
      <c r="AG32" s="6697"/>
      <c r="AH32" s="6698"/>
      <c r="AI32" s="6699"/>
    </row>
    <row r="33">
      <c r="A33" s="6676"/>
      <c r="B33" s="6683"/>
      <c r="C33" s="1638"/>
      <c r="D33" s="6700"/>
      <c r="E33" s="6701" t="s">
        <v>729</v>
      </c>
      <c r="F33" s="6702"/>
      <c r="G33" s="6702"/>
      <c r="H33" s="6703"/>
      <c r="J33" s="6701" t="s">
        <v>729</v>
      </c>
      <c r="K33" s="6702"/>
      <c r="L33" s="6702"/>
      <c r="M33" s="6703"/>
      <c r="O33" s="6701" t="s">
        <v>729</v>
      </c>
      <c r="P33" s="6702"/>
      <c r="Q33" s="6702"/>
      <c r="R33" s="6703"/>
      <c r="T33" s="6701" t="s">
        <v>729</v>
      </c>
      <c r="U33" s="6702"/>
      <c r="V33" s="6702"/>
      <c r="W33" s="6703"/>
      <c r="Y33" s="6701" t="s">
        <v>729</v>
      </c>
      <c r="Z33" s="6702"/>
      <c r="AA33" s="6702"/>
      <c r="AB33" s="6703"/>
      <c r="AD33" s="6701" t="s">
        <v>729</v>
      </c>
      <c r="AE33" s="6702"/>
      <c r="AF33" s="6702"/>
      <c r="AG33" s="6703"/>
      <c r="AH33" s="6682"/>
      <c r="AI33" s="6680"/>
    </row>
    <row r="34" ht="25.5" customHeight="1">
      <c r="A34" s="6676"/>
      <c r="B34" s="6683"/>
      <c r="C34" s="1646"/>
      <c r="D34" s="6704"/>
      <c r="E34" s="6705"/>
      <c r="F34" s="6709" t="str">
        <f t="array" ref="F34">IFERROR(VLOOKUP(E32,Dex!$B$3:$H1219,5,FALSE),"")</f>
        <v/>
      </c>
      <c r="G34" s="6710" t="str">
        <f t="array" ref="G34">IFERROR(VLOOKUP(E32,Dex!$B$3:$H1219,7,FALSE),"")</f>
        <v/>
      </c>
      <c r="H34" s="6708"/>
      <c r="J34" s="6705"/>
      <c r="K34" s="6706" t="str">
        <f t="array" ref="K34">IFERROR(VLOOKUP(J32,Dex!$B$3:$H1219,5,FALSE),"")</f>
        <v/>
      </c>
      <c r="L34" s="6707"/>
      <c r="M34" s="6708"/>
      <c r="O34" s="6705"/>
      <c r="P34" s="6706" t="str">
        <f t="array" ref="P34">IFERROR(VLOOKUP(O32,Dex!$B$3:$H1219,5,FALSE),"")</f>
        <v/>
      </c>
      <c r="Q34" s="6707"/>
      <c r="R34" s="6708"/>
      <c r="T34" s="6705"/>
      <c r="U34" s="6709" t="str">
        <f t="array" ref="U34">IFERROR(VLOOKUP(T32,Dex!$B$3:$H1219,5,FALSE),"")</f>
        <v/>
      </c>
      <c r="V34" s="6710" t="str">
        <f t="array" ref="V34">IFERROR(VLOOKUP(T32,Dex!$B$3:$H1219,7,FALSE),"")</f>
        <v/>
      </c>
      <c r="W34" s="6708"/>
      <c r="Y34" s="6705"/>
      <c r="Z34" s="6706" t="str">
        <f t="array" ref="Z34">IFERROR(VLOOKUP(Y32,Dex!$B$3:$H1219,5,FALSE),"")</f>
        <v/>
      </c>
      <c r="AA34" s="6707"/>
      <c r="AB34" s="6708"/>
      <c r="AD34" s="6705"/>
      <c r="AE34" s="6709" t="str">
        <f t="array" ref="AE34">IFERROR(VLOOKUP(AD32,Dex!$B$3:$H1219,5,FALSE),"")</f>
        <v/>
      </c>
      <c r="AF34" s="6710" t="str">
        <f t="array" ref="AF34">IFERROR(VLOOKUP(AD32,Dex!$B$3:$H1219,7,FALSE),"")</f>
        <v/>
      </c>
      <c r="AG34" s="6708"/>
      <c r="AH34" s="6686"/>
      <c r="AI34" s="6680"/>
    </row>
    <row r="35" ht="2.25" customHeight="1">
      <c r="A35" s="6676"/>
      <c r="B35" s="6683"/>
      <c r="C35" s="6711"/>
      <c r="D35" s="6704"/>
      <c r="E35" s="6712"/>
      <c r="F35" s="6713"/>
      <c r="G35" s="6713"/>
      <c r="H35" s="6714"/>
      <c r="J35" s="6712"/>
      <c r="K35" s="6713"/>
      <c r="L35" s="6713"/>
      <c r="M35" s="6714"/>
      <c r="O35" s="6712"/>
      <c r="P35" s="6713"/>
      <c r="Q35" s="6713"/>
      <c r="R35" s="6714"/>
      <c r="T35" s="6712"/>
      <c r="U35" s="6713"/>
      <c r="V35" s="6713"/>
      <c r="W35" s="6714"/>
      <c r="Y35" s="6712"/>
      <c r="Z35" s="6713"/>
      <c r="AA35" s="6713"/>
      <c r="AB35" s="6714"/>
      <c r="AD35" s="6712"/>
      <c r="AE35" s="6713"/>
      <c r="AF35" s="6713"/>
      <c r="AG35" s="6714"/>
      <c r="AH35" s="6686"/>
      <c r="AI35" s="6680"/>
    </row>
    <row r="36" ht="20.25" customHeight="1">
      <c r="A36" s="6676"/>
      <c r="B36" s="6683"/>
      <c r="C36" s="6715"/>
      <c r="D36" s="6716"/>
      <c r="E36" s="6717" t="s">
        <v>564</v>
      </c>
      <c r="F36" s="6718"/>
      <c r="G36" s="6718"/>
      <c r="H36" s="6719"/>
      <c r="J36" s="6717" t="s">
        <v>564</v>
      </c>
      <c r="K36" s="6718"/>
      <c r="L36" s="6718"/>
      <c r="M36" s="6719"/>
      <c r="O36" s="6717" t="s">
        <v>532</v>
      </c>
      <c r="P36" s="6718"/>
      <c r="Q36" s="6718"/>
      <c r="R36" s="6719"/>
      <c r="T36" s="6717" t="s">
        <v>1332</v>
      </c>
      <c r="U36" s="6718"/>
      <c r="V36" s="6718"/>
      <c r="W36" s="6719"/>
      <c r="Y36" s="6717" t="s">
        <v>566</v>
      </c>
      <c r="Z36" s="6718"/>
      <c r="AA36" s="6718"/>
      <c r="AB36" s="6719"/>
      <c r="AD36" s="6717" t="s">
        <v>564</v>
      </c>
      <c r="AE36" s="6718"/>
      <c r="AF36" s="6718"/>
      <c r="AG36" s="6719"/>
      <c r="AH36" s="6682"/>
      <c r="AI36" s="6680"/>
    </row>
    <row r="37">
      <c r="A37" s="6676"/>
      <c r="B37" s="6683"/>
      <c r="C37" s="6715"/>
      <c r="D37" s="6716"/>
      <c r="E37" s="6720" t="s">
        <v>1960</v>
      </c>
      <c r="F37" s="6721"/>
      <c r="G37" s="6721"/>
      <c r="H37" s="6722"/>
      <c r="J37" s="6720" t="s">
        <v>1961</v>
      </c>
      <c r="K37" s="6721"/>
      <c r="L37" s="6721"/>
      <c r="M37" s="6722"/>
      <c r="O37" s="6720" t="s">
        <v>1468</v>
      </c>
      <c r="P37" s="6721"/>
      <c r="Q37" s="6721"/>
      <c r="R37" s="6722"/>
      <c r="T37" s="6720" t="s">
        <v>709</v>
      </c>
      <c r="U37" s="6721"/>
      <c r="V37" s="6721"/>
      <c r="W37" s="6722"/>
      <c r="Y37" s="6720" t="s">
        <v>1461</v>
      </c>
      <c r="Z37" s="6721"/>
      <c r="AA37" s="6721"/>
      <c r="AB37" s="6722"/>
      <c r="AD37" s="6720" t="s">
        <v>56</v>
      </c>
      <c r="AE37" s="6721"/>
      <c r="AF37" s="6721"/>
      <c r="AG37" s="6722"/>
      <c r="AH37" s="6682"/>
      <c r="AI37" s="6680"/>
    </row>
    <row r="38" ht="20.25" customHeight="1">
      <c r="A38" s="6676"/>
      <c r="B38" s="6683"/>
      <c r="C38" s="6715"/>
      <c r="D38" s="6716"/>
      <c r="E38" s="6723" t="s">
        <v>1690</v>
      </c>
      <c r="F38" s="6724"/>
      <c r="G38" s="6725"/>
      <c r="H38" s="6726" t="str">
        <f>IMAGE("https://raw.githubusercontent.com/msikma/pokesprite/master/items/mega-stone/pidgeotite.png",3)</f>
        <v/>
      </c>
      <c r="J38" s="6723" t="s">
        <v>1053</v>
      </c>
      <c r="K38" s="6724"/>
      <c r="L38" s="6725"/>
      <c r="M38" s="6726" t="str">
        <f>IMAGE("https://raw.githubusercontent.com/msikma/pokesprite/master/items/mega-stone/blastoisinite.png",3)</f>
        <v/>
      </c>
      <c r="O38" s="6723" t="s">
        <v>1004</v>
      </c>
      <c r="P38" s="6724"/>
      <c r="Q38" s="6725"/>
      <c r="R38" s="6726" t="str">
        <f>IMAGE("https://raw.githubusercontent.com/msikma/pokesprite/master/items/z-crystals/eevium-z--held.png",3)</f>
        <v/>
      </c>
      <c r="T38" s="6723" t="s">
        <v>1084</v>
      </c>
      <c r="U38" s="6724"/>
      <c r="V38" s="6725"/>
      <c r="W38" s="6726" t="str">
        <f>IMAGE("https://raw.githubusercontent.com/msikma/pokesprite/master/items/gem/flying.png",3)</f>
        <v/>
      </c>
      <c r="Y38" s="6723" t="s">
        <v>713</v>
      </c>
      <c r="Z38" s="6724"/>
      <c r="AA38" s="6725"/>
      <c r="AB38" s="6726" t="str">
        <f>IMAGE("https://raw.githubusercontent.com/msikma/pokesprite/master/items/hold-item/assault-vest.png",3)</f>
        <v/>
      </c>
      <c r="AD38" s="6723" t="s">
        <v>541</v>
      </c>
      <c r="AE38" s="6724"/>
      <c r="AF38" s="6725"/>
      <c r="AG38" s="6726" t="str">
        <f>IMAGE("https://raw.githubusercontent.com/msikma/pokesprite/master/items/hold-item/life-orb.png",3)</f>
        <v/>
      </c>
      <c r="AH38" s="6686"/>
      <c r="AI38" s="6680"/>
    </row>
    <row r="39" ht="20.25" customHeight="1">
      <c r="A39" s="6676"/>
      <c r="B39" s="6683"/>
      <c r="C39" s="6727"/>
      <c r="D39" s="6716"/>
      <c r="E39" s="6717" t="s">
        <v>546</v>
      </c>
      <c r="F39" s="6718"/>
      <c r="G39" s="6728"/>
      <c r="H39" s="6729" t="str">
        <f>IMAGE("https://raw.githubusercontent.com/msikma/pokesprite/master/misc/types/gen8/flying.png",4,20,20)</f>
        <v/>
      </c>
      <c r="J39" s="6717" t="s">
        <v>273</v>
      </c>
      <c r="K39" s="6718"/>
      <c r="L39" s="6728"/>
      <c r="M39" s="6729" t="str">
        <f>IMAGE("https://raw.githubusercontent.com/msikma/pokesprite/master/misc/types/gen8/normal.png",4,20,20)</f>
        <v/>
      </c>
      <c r="O39" s="6717" t="s">
        <v>690</v>
      </c>
      <c r="P39" s="6718"/>
      <c r="Q39" s="6728"/>
      <c r="R39" s="6729" t="str">
        <f>IMAGE("https://raw.githubusercontent.com/msikma/pokesprite/master/misc/types/gen8/fire.png",4,20,20)</f>
        <v/>
      </c>
      <c r="T39" s="6717" t="s">
        <v>922</v>
      </c>
      <c r="U39" s="6718"/>
      <c r="V39" s="6728"/>
      <c r="W39" s="6729" t="str">
        <f>IMAGE("https://raw.githubusercontent.com/msikma/pokesprite/master/misc/types/gen8/electric.png",4,20,20)</f>
        <v/>
      </c>
      <c r="Y39" s="6717" t="s">
        <v>876</v>
      </c>
      <c r="Z39" s="6718"/>
      <c r="AA39" s="6728"/>
      <c r="AB39" s="6729" t="str">
        <f t="shared" ref="AB39:AB40" si="2">IMAGE("https://raw.githubusercontent.com/msikma/pokesprite/master/misc/types/gen8/fighting.png",4,20,20)</f>
        <v/>
      </c>
      <c r="AD39" s="6717" t="s">
        <v>773</v>
      </c>
      <c r="AE39" s="6718"/>
      <c r="AF39" s="6728"/>
      <c r="AG39" s="6729" t="str">
        <f>IMAGE("https://raw.githubusercontent.com/msikma/pokesprite/master/misc/types/gen8/poison.png",4,20,20)</f>
        <v/>
      </c>
      <c r="AH39" s="6686"/>
      <c r="AI39" s="6680"/>
    </row>
    <row r="40" ht="20.25" customHeight="1">
      <c r="A40" s="6676"/>
      <c r="B40" s="6683"/>
      <c r="C40" s="6730"/>
      <c r="D40" s="6716"/>
      <c r="E40" s="6720" t="s">
        <v>1243</v>
      </c>
      <c r="F40" s="6721"/>
      <c r="G40" s="6731"/>
      <c r="H40" s="6732" t="str">
        <f>IMAGE("https://raw.githubusercontent.com/msikma/pokesprite/master/misc/types/gen8/fire.png",4,20,20)</f>
        <v/>
      </c>
      <c r="J40" s="6720" t="s">
        <v>981</v>
      </c>
      <c r="K40" s="6721"/>
      <c r="L40" s="6731"/>
      <c r="M40" s="6732" t="str">
        <f>IMAGE("https://raw.githubusercontent.com/msikma/pokesprite/master/misc/types/gen8/water.png",4,20,20)</f>
        <v/>
      </c>
      <c r="O40" s="6720" t="s">
        <v>1007</v>
      </c>
      <c r="P40" s="6721"/>
      <c r="Q40" s="6731"/>
      <c r="R40" s="6732" t="str">
        <f>IMAGE("https://raw.githubusercontent.com/msikma/pokesprite/master/misc/types/gen8/normal.png",4,20,20)</f>
        <v/>
      </c>
      <c r="T40" s="6720" t="s">
        <v>693</v>
      </c>
      <c r="U40" s="6721"/>
      <c r="V40" s="6731"/>
      <c r="W40" s="6732" t="str">
        <f>IMAGE("https://raw.githubusercontent.com/msikma/pokesprite/master/misc/types/gen8/flying.png",4,20,20)</f>
        <v/>
      </c>
      <c r="Y40" s="6720" t="s">
        <v>584</v>
      </c>
      <c r="Z40" s="6721"/>
      <c r="AA40" s="6731"/>
      <c r="AB40" s="6732" t="str">
        <f t="shared" si="2"/>
        <v/>
      </c>
      <c r="AD40" s="6720" t="s">
        <v>644</v>
      </c>
      <c r="AE40" s="6721"/>
      <c r="AF40" s="6731"/>
      <c r="AG40" s="6732" t="str">
        <f>IMAGE("https://raw.githubusercontent.com/msikma/pokesprite/master/misc/types/gen8/ground.png",4,20,20)</f>
        <v/>
      </c>
      <c r="AH40" s="6686"/>
      <c r="AI40" s="6680"/>
    </row>
    <row r="41" ht="20.25" customHeight="1">
      <c r="A41" s="6676"/>
      <c r="B41" s="6683"/>
      <c r="C41" s="6730"/>
      <c r="D41" s="6716"/>
      <c r="E41" s="6720" t="s">
        <v>590</v>
      </c>
      <c r="F41" s="6721"/>
      <c r="G41" s="6731"/>
      <c r="H41" s="6732" t="str">
        <f>IMAGE("https://raw.githubusercontent.com/msikma/pokesprite/master/misc/types/gen8/fighting.png",4,20,20)</f>
        <v/>
      </c>
      <c r="J41" s="6720" t="s">
        <v>666</v>
      </c>
      <c r="K41" s="6721"/>
      <c r="L41" s="6731"/>
      <c r="M41" s="6732" t="str">
        <f>IMAGE("https://raw.githubusercontent.com/msikma/pokesprite/master/misc/types/gen8/dark.png",4,20,20)</f>
        <v/>
      </c>
      <c r="O41" s="6720" t="s">
        <v>905</v>
      </c>
      <c r="P41" s="6721"/>
      <c r="Q41" s="6731"/>
      <c r="R41" s="6732" t="str">
        <f>IMAGE("https://raw.githubusercontent.com/msikma/pokesprite/master/misc/types/gen8/electric.png",4,20,20)</f>
        <v/>
      </c>
      <c r="T41" s="6720" t="s">
        <v>612</v>
      </c>
      <c r="U41" s="6721"/>
      <c r="V41" s="6731"/>
      <c r="W41" s="6732" t="str">
        <f>IMAGE("https://raw.githubusercontent.com/msikma/pokesprite/master/misc/types/gen8/bug.png",4,20,20)</f>
        <v/>
      </c>
      <c r="Y41" s="6720" t="s">
        <v>621</v>
      </c>
      <c r="Z41" s="6721"/>
      <c r="AA41" s="6731"/>
      <c r="AB41" s="6732" t="str">
        <f>IMAGE("https://raw.githubusercontent.com/msikma/pokesprite/master/misc/types/gen8/rock.png",4,20,20)</f>
        <v/>
      </c>
      <c r="AD41" s="6720" t="s">
        <v>619</v>
      </c>
      <c r="AE41" s="6721"/>
      <c r="AF41" s="6731"/>
      <c r="AG41" s="6732" t="str">
        <f>IMAGE("https://raw.githubusercontent.com/msikma/pokesprite/master/misc/types/gen8/fire.png",4,20,20)</f>
        <v/>
      </c>
      <c r="AH41" s="6686"/>
      <c r="AI41" s="6680"/>
    </row>
    <row r="42" ht="21.0" customHeight="1">
      <c r="A42" s="6676"/>
      <c r="B42" s="6683"/>
      <c r="C42" s="6730"/>
      <c r="D42" s="6716"/>
      <c r="E42" s="6733" t="s">
        <v>612</v>
      </c>
      <c r="F42" s="6734"/>
      <c r="G42" s="6735"/>
      <c r="H42" s="6736" t="str">
        <f>IMAGE("https://raw.githubusercontent.com/msikma/pokesprite/master/misc/types/gen8/bug.png",4,20,20)</f>
        <v/>
      </c>
      <c r="I42" s="6737"/>
      <c r="J42" s="6733" t="s">
        <v>718</v>
      </c>
      <c r="K42" s="6734"/>
      <c r="L42" s="6735"/>
      <c r="M42" s="6736" t="str">
        <f>IMAGE("https://raw.githubusercontent.com/msikma/pokesprite/master/misc/types/gen8/fighting.png",4,20,20)</f>
        <v/>
      </c>
      <c r="N42" s="6737"/>
      <c r="O42" s="6733" t="s">
        <v>1532</v>
      </c>
      <c r="P42" s="6734"/>
      <c r="Q42" s="6735"/>
      <c r="R42" s="6736" t="str">
        <f>IMAGE("https://raw.githubusercontent.com/msikma/pokesprite/master/misc/types/gen8/fighting.png",4,20,20)</f>
        <v/>
      </c>
      <c r="S42" s="6737"/>
      <c r="T42" s="6733" t="s">
        <v>553</v>
      </c>
      <c r="U42" s="6734"/>
      <c r="V42" s="6735"/>
      <c r="W42" s="6736" t="str">
        <f>IMAGE("https://raw.githubusercontent.com/msikma/pokesprite/master/misc/types/gen8/grass.png",4,20,20)</f>
        <v/>
      </c>
      <c r="X42" s="6737"/>
      <c r="Y42" s="6733" t="s">
        <v>579</v>
      </c>
      <c r="Z42" s="6734"/>
      <c r="AA42" s="6735"/>
      <c r="AB42" s="6736" t="str">
        <f>IMAGE("https://raw.githubusercontent.com/msikma/pokesprite/master/misc/types/gen8/dark.png",4,20,20)</f>
        <v/>
      </c>
      <c r="AC42" s="6737"/>
      <c r="AD42" s="6733" t="s">
        <v>670</v>
      </c>
      <c r="AE42" s="6734"/>
      <c r="AF42" s="6735"/>
      <c r="AG42" s="6736" t="str">
        <f>IMAGE("https://raw.githubusercontent.com/msikma/pokesprite/master/misc/types/gen8/ice.png",4,20,20)</f>
        <v/>
      </c>
      <c r="AH42" s="6686"/>
      <c r="AI42" s="6680"/>
    </row>
    <row r="43" ht="3.0" customHeight="1">
      <c r="A43" s="6738"/>
      <c r="B43" s="6739"/>
      <c r="C43" s="6740"/>
      <c r="D43" s="6741"/>
      <c r="E43" s="6743"/>
      <c r="F43" s="6743"/>
      <c r="G43" s="6743"/>
      <c r="H43" s="6741"/>
      <c r="I43" s="6741"/>
      <c r="J43" s="6743"/>
      <c r="K43" s="6743"/>
      <c r="L43" s="6743"/>
      <c r="M43" s="6741"/>
      <c r="N43" s="6741"/>
      <c r="O43" s="6743"/>
      <c r="P43" s="6743"/>
      <c r="Q43" s="6743"/>
      <c r="R43" s="6741"/>
      <c r="S43" s="6741"/>
      <c r="T43" s="6743"/>
      <c r="U43" s="6743"/>
      <c r="V43" s="6743"/>
      <c r="W43" s="6741"/>
      <c r="X43" s="6741"/>
      <c r="Y43" s="6743"/>
      <c r="Z43" s="6743"/>
      <c r="AA43" s="6743"/>
      <c r="AB43" s="6741"/>
      <c r="AC43" s="6745"/>
      <c r="AD43" s="6743"/>
      <c r="AE43" s="6743"/>
      <c r="AF43" s="6743"/>
      <c r="AG43" s="6741"/>
      <c r="AH43" s="6746"/>
      <c r="AI43" s="6747"/>
    </row>
    <row r="44" ht="16.5" customHeight="1">
      <c r="A44" s="6738"/>
      <c r="B44" s="6748"/>
      <c r="C44" s="6749"/>
      <c r="D44" s="6793"/>
      <c r="E44" s="6751" t="s">
        <v>512</v>
      </c>
      <c r="F44" s="606"/>
      <c r="G44" s="606"/>
      <c r="H44" s="607"/>
      <c r="I44" s="6752"/>
      <c r="J44" s="6751" t="s">
        <v>512</v>
      </c>
      <c r="K44" s="606"/>
      <c r="L44" s="606"/>
      <c r="M44" s="607"/>
      <c r="N44" s="6774"/>
      <c r="O44" s="6751" t="s">
        <v>512</v>
      </c>
      <c r="P44" s="606"/>
      <c r="Q44" s="606"/>
      <c r="R44" s="607"/>
      <c r="S44" s="6775"/>
      <c r="T44" s="6751" t="s">
        <v>512</v>
      </c>
      <c r="U44" s="606"/>
      <c r="V44" s="606"/>
      <c r="W44" s="607"/>
      <c r="X44" s="6775"/>
      <c r="Y44" s="6751" t="s">
        <v>512</v>
      </c>
      <c r="Z44" s="606"/>
      <c r="AA44" s="606"/>
      <c r="AB44" s="607"/>
      <c r="AC44" s="6775"/>
      <c r="AD44" s="6751" t="s">
        <v>512</v>
      </c>
      <c r="AE44" s="606"/>
      <c r="AF44" s="606"/>
      <c r="AG44" s="607"/>
      <c r="AH44" s="6778"/>
      <c r="AI44" s="6747"/>
    </row>
    <row r="45" ht="16.5" customHeight="1">
      <c r="A45" s="6738"/>
      <c r="B45" s="6748"/>
      <c r="C45" s="6756"/>
      <c r="D45" s="6750"/>
      <c r="E45" s="6757" t="s">
        <v>513</v>
      </c>
      <c r="F45" s="6758">
        <f t="array" ref="F45">IFERROR(VLOOKUP(E32,Dex!$B$3:$N1219,8,FALSE),"")</f>
        <v>83</v>
      </c>
      <c r="G45" s="6759" t="str">
        <f t="array" ref="G45">IFERROR(VLOOKUP(F45,Dex!$P$22:$Q$276,2,FALSE),"")</f>
        <v/>
      </c>
      <c r="H45" s="6760"/>
      <c r="I45" s="6761"/>
      <c r="J45" s="6757" t="s">
        <v>513</v>
      </c>
      <c r="K45" s="6758">
        <f t="array" ref="K45">IFERROR(VLOOKUP(J32,Dex!$B$3:$N1219,8,FALSE),"")</f>
        <v>79</v>
      </c>
      <c r="L45" s="6759" t="str">
        <f t="array" ref="L45">IFERROR(VLOOKUP(K45,Dex!$P$22:$Q$276,2,FALSE),"")</f>
        <v/>
      </c>
      <c r="M45" s="6760"/>
      <c r="N45" s="6794"/>
      <c r="O45" s="6757" t="s">
        <v>513</v>
      </c>
      <c r="P45" s="6758">
        <f t="array" ref="P45">IFERROR(VLOOKUP(O32,Dex!$B$3:$N1219,8,FALSE),"")</f>
        <v>65</v>
      </c>
      <c r="Q45" s="6759" t="str">
        <f t="array" ref="Q45">IFERROR(VLOOKUP(P45,Dex!$P$22:$Q$276,2,FALSE),"")</f>
        <v/>
      </c>
      <c r="R45" s="6760"/>
      <c r="S45" s="6776"/>
      <c r="T45" s="6757" t="s">
        <v>513</v>
      </c>
      <c r="U45" s="6758">
        <f t="array" ref="U45">IFERROR(VLOOKUP(T32,Dex!$B$3:$N1219,8,FALSE),"")</f>
        <v>90</v>
      </c>
      <c r="V45" s="6759" t="str">
        <f t="array" ref="V45">IFERROR(VLOOKUP(U45,Dex!$P$22:$Q$276,2,FALSE),"")</f>
        <v/>
      </c>
      <c r="W45" s="6760"/>
      <c r="X45" s="6776"/>
      <c r="Y45" s="6757" t="s">
        <v>513</v>
      </c>
      <c r="Z45" s="6758">
        <f t="array" ref="Z45">IFERROR(VLOOKUP(Y32,Dex!$B$3:$N1219,8,FALSE),"")</f>
        <v>90</v>
      </c>
      <c r="AA45" s="6759" t="str">
        <f t="array" ref="AA45">IFERROR(VLOOKUP(Z45,Dex!$P$22:$Q$276,2,FALSE),"")</f>
        <v/>
      </c>
      <c r="AB45" s="6760"/>
      <c r="AC45" s="6776"/>
      <c r="AD45" s="6757" t="s">
        <v>513</v>
      </c>
      <c r="AE45" s="6758">
        <f t="array" ref="AE45">IFERROR(VLOOKUP(AD32,Dex!$B$3:$N1219,8,FALSE),"")</f>
        <v>81</v>
      </c>
      <c r="AF45" s="6759" t="str">
        <f t="array" ref="AF45">IFERROR(VLOOKUP(AE45,Dex!$P$22:$Q$276,2,FALSE),"")</f>
        <v/>
      </c>
      <c r="AG45" s="6760"/>
      <c r="AH45" s="6778"/>
      <c r="AI45" s="6747"/>
    </row>
    <row r="46" ht="16.5" customHeight="1">
      <c r="A46" s="6738"/>
      <c r="B46" s="6748"/>
      <c r="C46" s="6764"/>
      <c r="D46" s="6750"/>
      <c r="E46" s="6765" t="s">
        <v>514</v>
      </c>
      <c r="F46" s="6766">
        <f t="array" ref="F46">IFERROR(VLOOKUP(E32,Dex!$B$3:$N1219,9,FALSE),"")</f>
        <v>80</v>
      </c>
      <c r="G46" s="6767" t="str">
        <f t="array" ref="G46">IFERROR(VLOOKUP(F46,Dex!$P$22:$Q$276,2,FALSE),"")</f>
        <v/>
      </c>
      <c r="H46" s="6768"/>
      <c r="I46" s="6761"/>
      <c r="J46" s="6765" t="s">
        <v>514</v>
      </c>
      <c r="K46" s="6766">
        <f t="array" ref="K46">IFERROR(VLOOKUP(J32,Dex!$B$3:$N1219,9,FALSE),"")</f>
        <v>103</v>
      </c>
      <c r="L46" s="6767" t="str">
        <f t="array" ref="L46">IFERROR(VLOOKUP(K46,Dex!$P$22:$Q$276,2,FALSE),"")</f>
        <v/>
      </c>
      <c r="M46" s="6768"/>
      <c r="N46" s="6794"/>
      <c r="O46" s="6765" t="s">
        <v>514</v>
      </c>
      <c r="P46" s="6766">
        <f t="array" ref="P46">IFERROR(VLOOKUP(O32,Dex!$B$3:$N1219,9,FALSE),"")</f>
        <v>130</v>
      </c>
      <c r="Q46" s="6767" t="str">
        <f t="array" ref="Q46">IFERROR(VLOOKUP(P46,Dex!$P$22:$Q$276,2,FALSE),"")</f>
        <v/>
      </c>
      <c r="R46" s="6768"/>
      <c r="S46" s="6776"/>
      <c r="T46" s="6765" t="s">
        <v>514</v>
      </c>
      <c r="U46" s="6766">
        <f t="array" ref="U46">IFERROR(VLOOKUP(T32,Dex!$B$3:$N1219,9,FALSE),"")</f>
        <v>90</v>
      </c>
      <c r="V46" s="6767" t="str">
        <f t="array" ref="V46">IFERROR(VLOOKUP(U46,Dex!$P$22:$Q$276,2,FALSE),"")</f>
        <v/>
      </c>
      <c r="W46" s="6768"/>
      <c r="X46" s="6776"/>
      <c r="Y46" s="6765" t="s">
        <v>514</v>
      </c>
      <c r="Z46" s="6766">
        <f t="array" ref="Z46">IFERROR(VLOOKUP(Y32,Dex!$B$3:$N1219,9,FALSE),"")</f>
        <v>130</v>
      </c>
      <c r="AA46" s="6767" t="str">
        <f t="array" ref="AA46">IFERROR(VLOOKUP(Z46,Dex!$P$22:$Q$276,2,FALSE),"")</f>
        <v/>
      </c>
      <c r="AB46" s="6768"/>
      <c r="AC46" s="6776"/>
      <c r="AD46" s="6765" t="s">
        <v>514</v>
      </c>
      <c r="AE46" s="6766">
        <f t="array" ref="AE46">IFERROR(VLOOKUP(AD32,Dex!$B$3:$N1219,9,FALSE),"")</f>
        <v>102</v>
      </c>
      <c r="AF46" s="6767" t="str">
        <f t="array" ref="AF46">IFERROR(VLOOKUP(AE46,Dex!$P$22:$Q$276,2,FALSE),"")</f>
        <v/>
      </c>
      <c r="AG46" s="6768"/>
      <c r="AH46" s="6778"/>
      <c r="AI46" s="6747"/>
    </row>
    <row r="47" ht="16.5" customHeight="1">
      <c r="A47" s="6738"/>
      <c r="B47" s="6748"/>
      <c r="C47" s="6740"/>
      <c r="D47" s="6750"/>
      <c r="E47" s="6765" t="s">
        <v>515</v>
      </c>
      <c r="F47" s="6766">
        <f t="array" ref="F47">IFERROR(VLOOKUP(E32,Dex!$B$3:$N1219,10,FALSE),"")</f>
        <v>80</v>
      </c>
      <c r="G47" s="6767" t="str">
        <f t="array" ref="G47">IFERROR(VLOOKUP(F47,Dex!$P$22:$Q$276,2,FALSE),"")</f>
        <v/>
      </c>
      <c r="H47" s="6768"/>
      <c r="I47" s="6761"/>
      <c r="J47" s="6765" t="s">
        <v>515</v>
      </c>
      <c r="K47" s="6766">
        <f t="array" ref="K47">IFERROR(VLOOKUP(J32,Dex!$B$3:$N1219,10,FALSE),"")</f>
        <v>120</v>
      </c>
      <c r="L47" s="6767" t="str">
        <f t="array" ref="L47">IFERROR(VLOOKUP(K47,Dex!$P$22:$Q$276,2,FALSE),"")</f>
        <v/>
      </c>
      <c r="M47" s="6768"/>
      <c r="N47" s="6794"/>
      <c r="O47" s="6765" t="s">
        <v>515</v>
      </c>
      <c r="P47" s="6766">
        <f t="array" ref="P47">IFERROR(VLOOKUP(O32,Dex!$B$3:$N1219,10,FALSE),"")</f>
        <v>70</v>
      </c>
      <c r="Q47" s="6767" t="str">
        <f t="array" ref="Q47">IFERROR(VLOOKUP(P47,Dex!$P$22:$Q$276,2,FALSE),"")</f>
        <v/>
      </c>
      <c r="R47" s="6768"/>
      <c r="S47" s="6776"/>
      <c r="T47" s="6765" t="s">
        <v>515</v>
      </c>
      <c r="U47" s="6766">
        <f t="array" ref="U47">IFERROR(VLOOKUP(T32,Dex!$B$3:$N1219,10,FALSE),"")</f>
        <v>85</v>
      </c>
      <c r="V47" s="6767" t="str">
        <f t="array" ref="V47">IFERROR(VLOOKUP(U47,Dex!$P$22:$Q$276,2,FALSE),"")</f>
        <v/>
      </c>
      <c r="W47" s="6768"/>
      <c r="X47" s="6776"/>
      <c r="Y47" s="6765" t="s">
        <v>515</v>
      </c>
      <c r="Z47" s="6766">
        <f t="array" ref="Z47">IFERROR(VLOOKUP(Y32,Dex!$B$3:$N1219,10,FALSE),"")</f>
        <v>80</v>
      </c>
      <c r="AA47" s="6767" t="str">
        <f t="array" ref="AA47">IFERROR(VLOOKUP(Z47,Dex!$P$22:$Q$276,2,FALSE),"")</f>
        <v/>
      </c>
      <c r="AB47" s="6768"/>
      <c r="AC47" s="6776"/>
      <c r="AD47" s="6765" t="s">
        <v>515</v>
      </c>
      <c r="AE47" s="6766">
        <f t="array" ref="AE47">IFERROR(VLOOKUP(AD32,Dex!$B$3:$N1219,10,FALSE),"")</f>
        <v>77</v>
      </c>
      <c r="AF47" s="6767" t="str">
        <f t="array" ref="AF47">IFERROR(VLOOKUP(AE47,Dex!$P$22:$Q$276,2,FALSE),"")</f>
        <v/>
      </c>
      <c r="AG47" s="6768"/>
      <c r="AH47" s="6778"/>
      <c r="AI47" s="6747"/>
    </row>
    <row r="48" ht="16.5" customHeight="1">
      <c r="A48" s="6738"/>
      <c r="B48" s="6748"/>
      <c r="C48" s="6740"/>
      <c r="D48" s="6750"/>
      <c r="E48" s="6765" t="s">
        <v>516</v>
      </c>
      <c r="F48" s="6766">
        <f t="array" ref="F48">IFERROR(VLOOKUP(E32,Dex!$B$3:$N1219,11,FALSE),"")</f>
        <v>135</v>
      </c>
      <c r="G48" s="6767" t="str">
        <f t="array" ref="G48">IFERROR(VLOOKUP(F48,Dex!$P$22:$Q$276,2,FALSE),"")</f>
        <v/>
      </c>
      <c r="H48" s="6768"/>
      <c r="I48" s="6761"/>
      <c r="J48" s="6765" t="s">
        <v>516</v>
      </c>
      <c r="K48" s="6766">
        <f t="array" ref="K48">IFERROR(VLOOKUP(J32,Dex!$B$3:$N1219,11,FALSE),"")</f>
        <v>135</v>
      </c>
      <c r="L48" s="6767" t="str">
        <f t="array" ref="L48">IFERROR(VLOOKUP(K48,Dex!$P$22:$Q$276,2,FALSE),"")</f>
        <v/>
      </c>
      <c r="M48" s="6768"/>
      <c r="N48" s="6794"/>
      <c r="O48" s="6765" t="s">
        <v>516</v>
      </c>
      <c r="P48" s="6766">
        <f t="array" ref="P48">IFERROR(VLOOKUP(O32,Dex!$B$3:$N1219,11,FALSE),"")</f>
        <v>65</v>
      </c>
      <c r="Q48" s="6767" t="str">
        <f t="array" ref="Q48">IFERROR(VLOOKUP(P48,Dex!$P$22:$Q$276,2,FALSE),"")</f>
        <v/>
      </c>
      <c r="R48" s="6768"/>
      <c r="S48" s="6776"/>
      <c r="T48" s="6765" t="s">
        <v>516</v>
      </c>
      <c r="U48" s="6766">
        <f t="array" ref="U48">IFERROR(VLOOKUP(T32,Dex!$B$3:$N1219,11,FALSE),"")</f>
        <v>125</v>
      </c>
      <c r="V48" s="6767" t="str">
        <f t="array" ref="V48">IFERROR(VLOOKUP(U48,Dex!$P$22:$Q$276,2,FALSE),"")</f>
        <v/>
      </c>
      <c r="W48" s="6768"/>
      <c r="X48" s="6776"/>
      <c r="Y48" s="6765" t="s">
        <v>516</v>
      </c>
      <c r="Z48" s="6766">
        <f t="array" ref="Z48">IFERROR(VLOOKUP(Y32,Dex!$B$3:$N1219,11,FALSE),"")</f>
        <v>65</v>
      </c>
      <c r="AA48" s="6767" t="str">
        <f t="array" ref="AA48">IFERROR(VLOOKUP(Z48,Dex!$P$22:$Q$276,2,FALSE),"")</f>
        <v/>
      </c>
      <c r="AB48" s="6768"/>
      <c r="AC48" s="6776"/>
      <c r="AD48" s="6765" t="s">
        <v>516</v>
      </c>
      <c r="AE48" s="6766">
        <f t="array" ref="AE48">IFERROR(VLOOKUP(AD32,Dex!$B$3:$N1219,11,FALSE),"")</f>
        <v>85</v>
      </c>
      <c r="AF48" s="6767" t="str">
        <f t="array" ref="AF48">IFERROR(VLOOKUP(AE48,Dex!$P$22:$Q$276,2,FALSE),"")</f>
        <v/>
      </c>
      <c r="AG48" s="6768"/>
      <c r="AH48" s="6778"/>
      <c r="AI48" s="6747"/>
    </row>
    <row r="49" ht="16.5" customHeight="1">
      <c r="A49" s="6738"/>
      <c r="B49" s="6748"/>
      <c r="C49" s="6740"/>
      <c r="D49" s="6750"/>
      <c r="E49" s="6765" t="s">
        <v>517</v>
      </c>
      <c r="F49" s="6766">
        <f t="array" ref="F49">IFERROR(VLOOKUP(E32,Dex!$B$3:$N1219,12,FALSE),"")</f>
        <v>80</v>
      </c>
      <c r="G49" s="6767" t="str">
        <f t="array" ref="G49">IFERROR(VLOOKUP(F49,Dex!$P$22:$Q$276,2,FALSE),"")</f>
        <v/>
      </c>
      <c r="H49" s="6768"/>
      <c r="I49" s="6761"/>
      <c r="J49" s="6765" t="s">
        <v>517</v>
      </c>
      <c r="K49" s="6766">
        <f t="array" ref="K49">IFERROR(VLOOKUP(J32,Dex!$B$3:$N1219,12,FALSE),"")</f>
        <v>115</v>
      </c>
      <c r="L49" s="6767" t="str">
        <f t="array" ref="L49">IFERROR(VLOOKUP(K49,Dex!$P$22:$Q$276,2,FALSE),"")</f>
        <v/>
      </c>
      <c r="M49" s="6768"/>
      <c r="N49" s="6794"/>
      <c r="O49" s="6765" t="s">
        <v>517</v>
      </c>
      <c r="P49" s="6766">
        <f t="array" ref="P49">IFERROR(VLOOKUP(O32,Dex!$B$3:$N1219,12,FALSE),"")</f>
        <v>100</v>
      </c>
      <c r="Q49" s="6767" t="str">
        <f t="array" ref="Q49">IFERROR(VLOOKUP(P49,Dex!$P$22:$Q$276,2,FALSE),"")</f>
        <v/>
      </c>
      <c r="R49" s="6768"/>
      <c r="S49" s="6776"/>
      <c r="T49" s="6765" t="s">
        <v>517</v>
      </c>
      <c r="U49" s="6766">
        <f t="array" ref="U49">IFERROR(VLOOKUP(T32,Dex!$B$3:$N1219,12,FALSE),"")</f>
        <v>90</v>
      </c>
      <c r="V49" s="6767" t="str">
        <f t="array" ref="V49">IFERROR(VLOOKUP(U49,Dex!$P$22:$Q$276,2,FALSE),"")</f>
        <v/>
      </c>
      <c r="W49" s="6768"/>
      <c r="X49" s="6776"/>
      <c r="Y49" s="6765" t="s">
        <v>517</v>
      </c>
      <c r="Z49" s="6766">
        <f t="array" ref="Z49">IFERROR(VLOOKUP(Y32,Dex!$B$3:$N1219,12,FALSE),"")</f>
        <v>85</v>
      </c>
      <c r="AA49" s="6767" t="str">
        <f t="array" ref="AA49">IFERROR(VLOOKUP(Z49,Dex!$P$22:$Q$276,2,FALSE),"")</f>
        <v/>
      </c>
      <c r="AB49" s="6768"/>
      <c r="AC49" s="6776"/>
      <c r="AD49" s="6765" t="s">
        <v>517</v>
      </c>
      <c r="AE49" s="6766">
        <f t="array" ref="AE49">IFERROR(VLOOKUP(AD32,Dex!$B$3:$N1219,12,FALSE),"")</f>
        <v>75</v>
      </c>
      <c r="AF49" s="6767" t="str">
        <f t="array" ref="AF49">IFERROR(VLOOKUP(AE49,Dex!$P$22:$Q$276,2,FALSE),"")</f>
        <v/>
      </c>
      <c r="AG49" s="6768"/>
      <c r="AH49" s="6778"/>
      <c r="AI49" s="6747"/>
    </row>
    <row r="50" ht="16.5" customHeight="1">
      <c r="A50" s="6738"/>
      <c r="B50" s="6748"/>
      <c r="C50" s="6740"/>
      <c r="D50" s="6750"/>
      <c r="E50" s="6769" t="s">
        <v>518</v>
      </c>
      <c r="F50" s="6770">
        <f t="array" ref="F50">IFERROR(VLOOKUP(E32,Dex!$B$3:$N1219,13,FALSE),"")</f>
        <v>121</v>
      </c>
      <c r="G50" s="6795" t="str">
        <f t="array" ref="G50">IFERROR(VLOOKUP(F50,Dex!$P$22:$Q$276,2,FALSE),"")</f>
        <v/>
      </c>
      <c r="H50" s="6796"/>
      <c r="I50" s="6761"/>
      <c r="J50" s="6769" t="s">
        <v>518</v>
      </c>
      <c r="K50" s="6770">
        <f t="array" ref="K50">IFERROR(VLOOKUP(J32,Dex!$B$3:$N1219,13,FALSE),"")</f>
        <v>78</v>
      </c>
      <c r="L50" s="6795" t="str">
        <f t="array" ref="L50">IFERROR(VLOOKUP(K50,Dex!$P$22:$Q$276,2,FALSE),"")</f>
        <v/>
      </c>
      <c r="M50" s="6796"/>
      <c r="N50" s="6794"/>
      <c r="O50" s="6769" t="s">
        <v>518</v>
      </c>
      <c r="P50" s="6770">
        <f t="array" ref="P50">IFERROR(VLOOKUP(O32,Dex!$B$3:$N1219,13,FALSE),"")</f>
        <v>95</v>
      </c>
      <c r="Q50" s="6771" t="str">
        <f t="array" ref="Q50">IFERROR(VLOOKUP(P50,Dex!$P$22:$Q$276,2,FALSE),"")</f>
        <v/>
      </c>
      <c r="R50" s="6772"/>
      <c r="S50" s="6763"/>
      <c r="T50" s="6769" t="s">
        <v>518</v>
      </c>
      <c r="U50" s="6770">
        <f t="array" ref="U50">IFERROR(VLOOKUP(T32,Dex!$B$3:$N1219,13,FALSE),"")</f>
        <v>100</v>
      </c>
      <c r="V50" s="6795" t="str">
        <f t="array" ref="V50">IFERROR(VLOOKUP(U50,Dex!$P$22:$Q$276,2,FALSE),"")</f>
        <v/>
      </c>
      <c r="W50" s="6796"/>
      <c r="X50" s="6776"/>
      <c r="Y50" s="6769" t="s">
        <v>518</v>
      </c>
      <c r="Z50" s="6770">
        <f t="array" ref="Z50">IFERROR(VLOOKUP(Y32,Dex!$B$3:$N1219,13,FALSE),"")</f>
        <v>55</v>
      </c>
      <c r="AA50" s="6795" t="str">
        <f t="array" ref="AA50">IFERROR(VLOOKUP(Z50,Dex!$P$22:$Q$276,2,FALSE),"")</f>
        <v/>
      </c>
      <c r="AB50" s="6796"/>
      <c r="AC50" s="6776"/>
      <c r="AD50" s="6769" t="s">
        <v>518</v>
      </c>
      <c r="AE50" s="6770">
        <f t="array" ref="AE50">IFERROR(VLOOKUP(AD32,Dex!$B$3:$N1219,13,FALSE),"")</f>
        <v>85</v>
      </c>
      <c r="AF50" s="6795" t="str">
        <f t="array" ref="AF50">IFERROR(VLOOKUP(AE50,Dex!$P$22:$Q$276,2,FALSE),"")</f>
        <v/>
      </c>
      <c r="AG50" s="6796"/>
      <c r="AH50" s="6778"/>
      <c r="AI50" s="6747"/>
    </row>
    <row r="51" ht="16.5" customHeight="1">
      <c r="A51" s="6738"/>
      <c r="B51" s="6748"/>
      <c r="C51" s="6740"/>
      <c r="D51" s="6793"/>
      <c r="E51" s="6773" t="s">
        <v>519</v>
      </c>
      <c r="F51" s="630"/>
      <c r="G51" s="631"/>
      <c r="H51" s="632">
        <f>ROUNDDOWN((ROUNDDOWN(((((2*F50+31)*100)/100+5)),0))*1.1,0)</f>
        <v>305</v>
      </c>
      <c r="I51" s="6752"/>
      <c r="J51" s="6773" t="s">
        <v>519</v>
      </c>
      <c r="K51" s="630"/>
      <c r="L51" s="631"/>
      <c r="M51" s="632">
        <f>ROUNDDOWN((ROUNDDOWN(((((2*K50+31)*100)/100+5)),0))*1.1,0)</f>
        <v>211</v>
      </c>
      <c r="N51" s="6774"/>
      <c r="O51" s="6777" t="s">
        <v>519</v>
      </c>
      <c r="P51" s="635"/>
      <c r="Q51" s="636"/>
      <c r="R51" s="632">
        <f>ROUNDDOWN((ROUNDDOWN(((((2*P50+31)*100)/100+5)),0))*1.1,0)</f>
        <v>248</v>
      </c>
      <c r="S51" s="6775"/>
      <c r="T51" s="6773" t="s">
        <v>519</v>
      </c>
      <c r="U51" s="630"/>
      <c r="V51" s="631"/>
      <c r="W51" s="632">
        <f>ROUNDDOWN((ROUNDDOWN(((((2*U50+31)*100)/100+5)),0))*1.1,0)</f>
        <v>259</v>
      </c>
      <c r="X51" s="6775"/>
      <c r="Y51" s="6773" t="s">
        <v>519</v>
      </c>
      <c r="Z51" s="630"/>
      <c r="AA51" s="631"/>
      <c r="AB51" s="632">
        <f>ROUNDDOWN((ROUNDDOWN(((((2*Z50+31)*100)/100+5)),0))*1,0)</f>
        <v>146</v>
      </c>
      <c r="AC51" s="6775"/>
      <c r="AD51" s="6773" t="s">
        <v>519</v>
      </c>
      <c r="AE51" s="630"/>
      <c r="AF51" s="631"/>
      <c r="AG51" s="632">
        <f>ROUNDDOWN((ROUNDDOWN(((((2*AE50+31)*100)/100+5)),0))*1.1,0)</f>
        <v>226</v>
      </c>
      <c r="AH51" s="6778"/>
      <c r="AI51" s="6747"/>
    </row>
    <row r="52" ht="16.5" customHeight="1">
      <c r="A52" s="6738"/>
      <c r="B52" s="6748"/>
      <c r="C52" s="6740"/>
      <c r="D52" s="6740"/>
      <c r="E52" s="6783"/>
      <c r="F52" s="6783"/>
      <c r="G52" s="6783"/>
      <c r="H52" s="6740"/>
      <c r="I52" s="6740"/>
      <c r="J52" s="6783"/>
      <c r="K52" s="6783"/>
      <c r="L52" s="6783"/>
      <c r="M52" s="6740"/>
      <c r="N52" s="6797"/>
      <c r="O52" s="6786" t="s">
        <v>1013</v>
      </c>
      <c r="P52" s="643"/>
      <c r="Q52" s="644"/>
      <c r="R52" s="6787">
        <f>R51*2</f>
        <v>496</v>
      </c>
      <c r="S52" s="6785"/>
      <c r="T52" s="6783"/>
      <c r="U52" s="6783"/>
      <c r="V52" s="6783"/>
      <c r="W52" s="6740"/>
      <c r="X52" s="6740"/>
      <c r="Y52" s="6783"/>
      <c r="Z52" s="6783"/>
      <c r="AA52" s="6783"/>
      <c r="AB52" s="6740"/>
      <c r="AC52" s="6740"/>
      <c r="AD52" s="6783"/>
      <c r="AE52" s="6783"/>
      <c r="AF52" s="6783"/>
      <c r="AG52" s="6740"/>
      <c r="AH52" s="6778"/>
      <c r="AI52" s="6747"/>
    </row>
    <row r="53" ht="15.0" customHeight="1">
      <c r="A53" s="6738"/>
      <c r="B53" s="6798"/>
      <c r="C53" s="6799"/>
      <c r="D53" s="6800"/>
      <c r="E53" s="6800"/>
      <c r="F53" s="6800"/>
      <c r="G53" s="6800"/>
      <c r="H53" s="6800"/>
      <c r="I53" s="6800"/>
      <c r="J53" s="6800"/>
      <c r="K53" s="6800"/>
      <c r="L53" s="6800"/>
      <c r="M53" s="6800"/>
      <c r="N53" s="6800"/>
      <c r="O53" s="6801"/>
      <c r="P53" s="6801"/>
      <c r="Q53" s="6801"/>
      <c r="R53" s="6800"/>
      <c r="S53" s="6800"/>
      <c r="T53" s="6800"/>
      <c r="U53" s="6800"/>
      <c r="V53" s="6800"/>
      <c r="W53" s="6800"/>
      <c r="X53" s="6800"/>
      <c r="Y53" s="6800"/>
      <c r="Z53" s="6800"/>
      <c r="AA53" s="6800"/>
      <c r="AB53" s="6800"/>
      <c r="AC53" s="6800"/>
      <c r="AD53" s="6801"/>
      <c r="AE53" s="6801"/>
      <c r="AF53" s="6801"/>
      <c r="AG53" s="6800"/>
      <c r="AH53" s="6802"/>
      <c r="AI53" s="6747"/>
    </row>
    <row r="54" ht="15.0" customHeight="1">
      <c r="A54" s="6738"/>
      <c r="B54" s="1277"/>
      <c r="C54" s="1278"/>
      <c r="D54" s="1279"/>
      <c r="E54" s="1280"/>
      <c r="F54" s="1280"/>
      <c r="G54" s="1280"/>
      <c r="H54" s="1280"/>
      <c r="I54" s="1279"/>
      <c r="J54" s="1280"/>
      <c r="K54" s="1280"/>
      <c r="L54" s="1280"/>
      <c r="M54" s="1280"/>
      <c r="N54" s="1279"/>
      <c r="O54" s="1280"/>
      <c r="P54" s="1280"/>
      <c r="Q54" s="1280"/>
      <c r="R54" s="1280"/>
      <c r="S54" s="1279"/>
      <c r="T54" s="1280"/>
      <c r="U54" s="1280"/>
      <c r="V54" s="1280"/>
      <c r="W54" s="1280"/>
      <c r="X54" s="1279"/>
      <c r="Y54" s="1280"/>
      <c r="Z54" s="1280"/>
      <c r="AA54" s="1280"/>
      <c r="AB54" s="1280"/>
      <c r="AC54" s="1279"/>
      <c r="AD54" s="1280"/>
      <c r="AE54" s="1280"/>
      <c r="AF54" s="1280"/>
      <c r="AG54" s="1280"/>
      <c r="AH54" s="1281"/>
      <c r="AI54" s="6747"/>
    </row>
    <row r="55" ht="18.75" customHeight="1">
      <c r="A55" s="6738"/>
      <c r="B55" s="1282"/>
      <c r="C55" s="1283"/>
      <c r="D55" s="1341"/>
      <c r="E55" s="6803" t="s">
        <v>1962</v>
      </c>
      <c r="F55" s="1325"/>
      <c r="G55" s="1325"/>
      <c r="H55" s="1325"/>
      <c r="I55" s="1325"/>
      <c r="J55" s="1325"/>
      <c r="K55" s="1325"/>
      <c r="L55" s="1325"/>
      <c r="M55" s="1325"/>
      <c r="N55" s="1325"/>
      <c r="O55" s="1325"/>
      <c r="P55" s="1325"/>
      <c r="Q55" s="1325"/>
      <c r="R55" s="1325"/>
      <c r="S55" s="1325"/>
      <c r="T55" s="1325"/>
      <c r="U55" s="1325"/>
      <c r="V55" s="1325"/>
      <c r="W55" s="1325"/>
      <c r="X55" s="1325"/>
      <c r="Y55" s="1325"/>
      <c r="Z55" s="1325"/>
      <c r="AA55" s="1325"/>
      <c r="AB55" s="1325"/>
      <c r="AC55" s="1325"/>
      <c r="AD55" s="1325"/>
      <c r="AE55" s="1325"/>
      <c r="AF55" s="1325"/>
      <c r="AG55" s="1326"/>
      <c r="AH55" s="1344"/>
      <c r="AI55" s="6747"/>
    </row>
    <row r="56" ht="96.75" customHeight="1">
      <c r="A56" s="6738"/>
      <c r="B56" s="1288"/>
      <c r="C56" s="1289" t="str">
        <f>IMAGE("https://i.ibb.co/yFkD5QH/Clair.png")</f>
        <v/>
      </c>
      <c r="D56" s="1290"/>
      <c r="E56" s="1291" t="str">
        <f t="array" ref="E56">IFERROR(VLOOKUP(E57,Dex!$B$3:$G1219,3,FALSE),"")</f>
        <v/>
      </c>
      <c r="F56" s="539"/>
      <c r="G56" s="539"/>
      <c r="H56" s="540"/>
      <c r="I56" s="1292"/>
      <c r="J56" s="1291" t="str">
        <f t="array" ref="J56">IFERROR(VLOOKUP(J57,Dex!$B$3:$G1219,3,FALSE),"")</f>
        <v/>
      </c>
      <c r="K56" s="539"/>
      <c r="L56" s="539"/>
      <c r="M56" s="540"/>
      <c r="N56" s="1292"/>
      <c r="O56" s="1291" t="str">
        <f t="array" ref="O56">IFERROR(VLOOKUP(O57,Dex!$B$3:$G1219,3,FALSE),"")</f>
        <v/>
      </c>
      <c r="P56" s="539"/>
      <c r="Q56" s="539"/>
      <c r="R56" s="540"/>
      <c r="S56" s="1292"/>
      <c r="T56" s="1291" t="str">
        <f t="array" ref="T56">IFERROR(VLOOKUP(T57,Dex!$B$3:$G1219,3,FALSE),"")</f>
        <v/>
      </c>
      <c r="U56" s="539"/>
      <c r="V56" s="539"/>
      <c r="W56" s="540"/>
      <c r="X56" s="1292"/>
      <c r="Y56" s="1291" t="str">
        <f t="array" ref="Y56">IFERROR(VLOOKUP(Y57,Dex!$B$3:$G1219,3,FALSE),"")</f>
        <v/>
      </c>
      <c r="Z56" s="539"/>
      <c r="AA56" s="539"/>
      <c r="AB56" s="540"/>
      <c r="AC56" s="1292"/>
      <c r="AD56" s="1291" t="str">
        <f t="array" ref="AD56">IFERROR(VLOOKUP(AD57,Dex!$B$3:$G1219,3,FALSE),"")</f>
        <v/>
      </c>
      <c r="AE56" s="539"/>
      <c r="AF56" s="539"/>
      <c r="AG56" s="540"/>
      <c r="AH56" s="1293"/>
      <c r="AI56" s="6747"/>
    </row>
    <row r="57" ht="18.75" customHeight="1">
      <c r="A57" s="6738"/>
      <c r="B57" s="1294"/>
      <c r="C57" s="1295" t="s">
        <v>1963</v>
      </c>
      <c r="D57" s="1296"/>
      <c r="E57" s="1297" t="s">
        <v>1342</v>
      </c>
      <c r="F57" s="1298"/>
      <c r="G57" s="1298"/>
      <c r="H57" s="1299"/>
      <c r="J57" s="1297" t="s">
        <v>1912</v>
      </c>
      <c r="K57" s="1298"/>
      <c r="L57" s="1298"/>
      <c r="M57" s="1299"/>
      <c r="O57" s="1297" t="s">
        <v>1660</v>
      </c>
      <c r="P57" s="1298"/>
      <c r="Q57" s="1298"/>
      <c r="R57" s="1299"/>
      <c r="T57" s="1297" t="s">
        <v>1794</v>
      </c>
      <c r="U57" s="1298"/>
      <c r="V57" s="1298"/>
      <c r="W57" s="1299"/>
      <c r="Y57" s="1297" t="s">
        <v>914</v>
      </c>
      <c r="Z57" s="1298"/>
      <c r="AA57" s="1298"/>
      <c r="AB57" s="1299"/>
      <c r="AD57" s="1297" t="s">
        <v>949</v>
      </c>
      <c r="AE57" s="1298"/>
      <c r="AF57" s="1298"/>
      <c r="AG57" s="1299"/>
      <c r="AH57" s="1300"/>
      <c r="AI57" s="6747"/>
    </row>
    <row r="58">
      <c r="A58" s="6738"/>
      <c r="B58" s="1301"/>
      <c r="C58" s="556"/>
      <c r="D58" s="1302"/>
      <c r="E58" s="6804" t="s">
        <v>729</v>
      </c>
      <c r="F58" s="1285"/>
      <c r="G58" s="1285"/>
      <c r="H58" s="1304"/>
      <c r="J58" s="6804" t="s">
        <v>729</v>
      </c>
      <c r="K58" s="1285"/>
      <c r="L58" s="1285"/>
      <c r="M58" s="1304"/>
      <c r="O58" s="6804" t="s">
        <v>729</v>
      </c>
      <c r="P58" s="1285"/>
      <c r="Q58" s="1285"/>
      <c r="R58" s="1304"/>
      <c r="T58" s="6804" t="s">
        <v>729</v>
      </c>
      <c r="U58" s="1285"/>
      <c r="V58" s="1285"/>
      <c r="W58" s="1304"/>
      <c r="Y58" s="6804" t="s">
        <v>729</v>
      </c>
      <c r="Z58" s="1285"/>
      <c r="AA58" s="1285"/>
      <c r="AB58" s="1304"/>
      <c r="AD58" s="6804" t="s">
        <v>729</v>
      </c>
      <c r="AE58" s="1285"/>
      <c r="AF58" s="1285"/>
      <c r="AG58" s="1304"/>
      <c r="AH58" s="1305"/>
      <c r="AI58" s="6747"/>
    </row>
    <row r="59" ht="25.5" customHeight="1">
      <c r="A59" s="6738"/>
      <c r="B59" s="1307"/>
      <c r="C59" s="1308"/>
      <c r="D59" s="1309"/>
      <c r="E59" s="1310"/>
      <c r="F59" s="1311" t="str">
        <f t="array" ref="F59">IFERROR(VLOOKUP(E57,Dex!$B$3:$H1219,5,FALSE),"")</f>
        <v/>
      </c>
      <c r="G59" s="1312" t="str">
        <f t="array" ref="G59">IFERROR(VLOOKUP(E57,Dex!$B$3:$H1219,7,FALSE),"")</f>
        <v/>
      </c>
      <c r="H59" s="1313"/>
      <c r="J59" s="1310"/>
      <c r="K59" s="1311" t="str">
        <f t="array" ref="K59">IFERROR(VLOOKUP(J57,Dex!$B$3:$H1219,5,FALSE),"")</f>
        <v/>
      </c>
      <c r="L59" s="1312" t="str">
        <f t="array" ref="L59">IFERROR(VLOOKUP(J57,Dex!$B$3:$H1219,7,FALSE),"")</f>
        <v/>
      </c>
      <c r="M59" s="1313"/>
      <c r="O59" s="1310"/>
      <c r="P59" s="1311" t="str">
        <f t="array" ref="P59">IFERROR(VLOOKUP(O57,Dex!$B$3:$H1219,5,FALSE),"")</f>
        <v/>
      </c>
      <c r="Q59" s="1312" t="str">
        <f t="array" ref="Q59">IFERROR(VLOOKUP(O57,Dex!$B$3:$H1219,7,FALSE),"")</f>
        <v/>
      </c>
      <c r="R59" s="1313"/>
      <c r="T59" s="1310"/>
      <c r="U59" s="1311" t="str">
        <f t="array" ref="U59">IFERROR(VLOOKUP(T57,Dex!$B$3:$H1219,5,FALSE),"")</f>
        <v/>
      </c>
      <c r="V59" s="1312" t="str">
        <f t="array" ref="V59">IFERROR(VLOOKUP(T57,Dex!$B$3:$H1219,7,FALSE),"")</f>
        <v/>
      </c>
      <c r="W59" s="1313"/>
      <c r="Y59" s="1310"/>
      <c r="Z59" s="1311" t="str">
        <f t="array" ref="Z59">IFERROR(VLOOKUP(Y57,Dex!$B$3:$H1219,5,FALSE),"")</f>
        <v/>
      </c>
      <c r="AA59" s="1312" t="str">
        <f t="array" ref="AA59">IFERROR(VLOOKUP(Y57,Dex!$B$3:$H1219,7,FALSE),"")</f>
        <v/>
      </c>
      <c r="AB59" s="1313"/>
      <c r="AD59" s="1310"/>
      <c r="AE59" s="1311" t="str">
        <f t="array" ref="AE59">IFERROR(VLOOKUP(AD57,Dex!$B$3:$H1219,5,FALSE),"")</f>
        <v/>
      </c>
      <c r="AF59" s="1312" t="str">
        <f t="array" ref="AF59">IFERROR(VLOOKUP(AD57,Dex!$B$3:$H1219,7,FALSE),"")</f>
        <v/>
      </c>
      <c r="AG59" s="1313"/>
      <c r="AH59" s="1293"/>
      <c r="AI59" s="6747"/>
    </row>
    <row r="60" ht="2.25" customHeight="1">
      <c r="A60" s="6738"/>
      <c r="B60" s="1307"/>
      <c r="C60" s="1314"/>
      <c r="D60" s="1309"/>
      <c r="E60" s="1315"/>
      <c r="F60" s="1316"/>
      <c r="G60" s="1316"/>
      <c r="H60" s="1317"/>
      <c r="J60" s="1315"/>
      <c r="K60" s="1316"/>
      <c r="L60" s="1316"/>
      <c r="M60" s="1317"/>
      <c r="O60" s="1315"/>
      <c r="P60" s="1316"/>
      <c r="Q60" s="1316"/>
      <c r="R60" s="1317"/>
      <c r="T60" s="1315"/>
      <c r="U60" s="1316"/>
      <c r="V60" s="1316"/>
      <c r="W60" s="1317"/>
      <c r="Y60" s="1315"/>
      <c r="Z60" s="1316"/>
      <c r="AA60" s="1316"/>
      <c r="AB60" s="1317"/>
      <c r="AD60" s="1315"/>
      <c r="AE60" s="1316"/>
      <c r="AF60" s="1316"/>
      <c r="AG60" s="1317"/>
      <c r="AH60" s="1293"/>
      <c r="AI60" s="6747"/>
    </row>
    <row r="61" ht="20.25" customHeight="1">
      <c r="A61" s="6738"/>
      <c r="B61" s="1307"/>
      <c r="C61" s="1318"/>
      <c r="D61" s="1309"/>
      <c r="E61" s="1319" t="s">
        <v>1332</v>
      </c>
      <c r="F61" s="1320"/>
      <c r="G61" s="1320"/>
      <c r="H61" s="1321"/>
      <c r="J61" s="1319" t="s">
        <v>564</v>
      </c>
      <c r="K61" s="1320"/>
      <c r="L61" s="1320"/>
      <c r="M61" s="1321"/>
      <c r="O61" s="1319" t="s">
        <v>917</v>
      </c>
      <c r="P61" s="1320"/>
      <c r="Q61" s="1320"/>
      <c r="R61" s="1321"/>
      <c r="T61" s="1319" t="s">
        <v>565</v>
      </c>
      <c r="U61" s="1320"/>
      <c r="V61" s="1320"/>
      <c r="W61" s="1321"/>
      <c r="Y61" s="1319" t="s">
        <v>532</v>
      </c>
      <c r="Z61" s="1320"/>
      <c r="AA61" s="1320"/>
      <c r="AB61" s="1321"/>
      <c r="AD61" s="1319" t="s">
        <v>1332</v>
      </c>
      <c r="AE61" s="1320"/>
      <c r="AF61" s="1320"/>
      <c r="AG61" s="1321"/>
      <c r="AH61" s="1293"/>
      <c r="AI61" s="6747"/>
    </row>
    <row r="62">
      <c r="A62" s="6738"/>
      <c r="B62" s="1307"/>
      <c r="C62" s="1322"/>
      <c r="D62" s="1309"/>
      <c r="E62" s="1323" t="s">
        <v>92</v>
      </c>
      <c r="F62" s="1285"/>
      <c r="G62" s="1285"/>
      <c r="H62" s="1304"/>
      <c r="J62" s="1323" t="s">
        <v>1915</v>
      </c>
      <c r="K62" s="1285"/>
      <c r="L62" s="1285"/>
      <c r="M62" s="1304"/>
      <c r="O62" s="1323" t="s">
        <v>1662</v>
      </c>
      <c r="P62" s="1285"/>
      <c r="Q62" s="1285"/>
      <c r="R62" s="1304"/>
      <c r="T62" s="1323" t="s">
        <v>1964</v>
      </c>
      <c r="U62" s="1285"/>
      <c r="V62" s="1285"/>
      <c r="W62" s="1304"/>
      <c r="Y62" s="1323" t="s">
        <v>918</v>
      </c>
      <c r="Z62" s="1285"/>
      <c r="AA62" s="1285"/>
      <c r="AB62" s="1304"/>
      <c r="AD62" s="1323" t="s">
        <v>954</v>
      </c>
      <c r="AE62" s="1285"/>
      <c r="AF62" s="1285"/>
      <c r="AG62" s="1304"/>
      <c r="AH62" s="1293"/>
      <c r="AI62" s="6747"/>
    </row>
    <row r="63" ht="20.25" customHeight="1">
      <c r="A63" s="6738"/>
      <c r="B63" s="1307"/>
      <c r="C63" s="1314"/>
      <c r="D63" s="1309"/>
      <c r="E63" s="1324" t="s">
        <v>573</v>
      </c>
      <c r="F63" s="1325"/>
      <c r="G63" s="1326"/>
      <c r="H63" s="1327" t="str">
        <f>IMAGE("https://raw.githubusercontent.com/msikma/pokesprite/master/items/hold-item/focus-sash.png",3)</f>
        <v/>
      </c>
      <c r="J63" s="1324" t="s">
        <v>1917</v>
      </c>
      <c r="K63" s="1325"/>
      <c r="L63" s="1326"/>
      <c r="M63" s="1327" t="str">
        <f>IMAGE("https://raw.githubusercontent.com/msikma/pokesprite/master/items/hold-item/adamant-orb.png",3)</f>
        <v/>
      </c>
      <c r="O63" s="1324" t="s">
        <v>710</v>
      </c>
      <c r="P63" s="1325"/>
      <c r="Q63" s="1326"/>
      <c r="R63" s="1327" t="str">
        <f>IMAGE("https://raw.githubusercontent.com/msikma/pokesprite/master/items/hold-item/weakness-policy.png",3)</f>
        <v/>
      </c>
      <c r="T63" s="1324" t="s">
        <v>1796</v>
      </c>
      <c r="U63" s="1325"/>
      <c r="V63" s="1326"/>
      <c r="W63" s="1327" t="str">
        <f>IMAGE("https://raw.githubusercontent.com/msikma/pokesprite/master/items/mega-stone/venusaurite.png",3)</f>
        <v/>
      </c>
      <c r="Y63" s="1324" t="s">
        <v>490</v>
      </c>
      <c r="Z63" s="1325"/>
      <c r="AA63" s="1326"/>
      <c r="AB63" s="1327" t="str">
        <f>IMAGE("https://raw.githubusercontent.com/msikma/pokesprite/master/items/berry/lum.png",3)</f>
        <v/>
      </c>
      <c r="AD63" s="1324" t="s">
        <v>541</v>
      </c>
      <c r="AE63" s="1325"/>
      <c r="AF63" s="1326"/>
      <c r="AG63" s="1327" t="str">
        <f>IMAGE("https://raw.githubusercontent.com/msikma/pokesprite/master/items/hold-item/life-orb.png",3)</f>
        <v/>
      </c>
      <c r="AH63" s="1293"/>
      <c r="AI63" s="6747"/>
    </row>
    <row r="64" ht="20.25" customHeight="1">
      <c r="A64" s="6738"/>
      <c r="B64" s="1307"/>
      <c r="C64" s="1318"/>
      <c r="D64" s="1309"/>
      <c r="E64" s="1319" t="s">
        <v>1348</v>
      </c>
      <c r="F64" s="1320"/>
      <c r="G64" s="1320"/>
      <c r="H64" s="1329" t="str">
        <f>IMAGE("https://raw.githubusercontent.com/msikma/pokesprite/master/misc/types/gen8/dragon.png",4,20,20)</f>
        <v/>
      </c>
      <c r="J64" s="1319" t="s">
        <v>1918</v>
      </c>
      <c r="K64" s="1320"/>
      <c r="L64" s="1320"/>
      <c r="M64" s="1329" t="str">
        <f>IMAGE("https://raw.githubusercontent.com/msikma/pokesprite/master/misc/types/gen8/dragon.png",4,20,20)</f>
        <v/>
      </c>
      <c r="O64" s="1319" t="s">
        <v>744</v>
      </c>
      <c r="P64" s="1320"/>
      <c r="Q64" s="1320"/>
      <c r="R64" s="1329" t="str">
        <f>IMAGE("https://raw.githubusercontent.com/msikma/pokesprite/master/misc/types/gen8/flying.png",4,20,20)</f>
        <v/>
      </c>
      <c r="T64" s="1319" t="s">
        <v>1965</v>
      </c>
      <c r="U64" s="1320"/>
      <c r="V64" s="1320"/>
      <c r="W64" s="1329" t="str">
        <f>IMAGE("https://raw.githubusercontent.com/msikma/pokesprite/master/misc/types/gen8/dragon.png",4,20,20)</f>
        <v/>
      </c>
      <c r="Y64" s="1319" t="s">
        <v>219</v>
      </c>
      <c r="Z64" s="1320"/>
      <c r="AA64" s="1320"/>
      <c r="AB64" s="1329" t="str">
        <f t="shared" ref="AB64:AB65" si="3">IMAGE("https://raw.githubusercontent.com/msikma/pokesprite/master/misc/types/gen8/dragon.png",4,20,20)</f>
        <v/>
      </c>
      <c r="AD64" s="1319" t="s">
        <v>612</v>
      </c>
      <c r="AE64" s="1320"/>
      <c r="AF64" s="1320"/>
      <c r="AG64" s="1329" t="str">
        <f>IMAGE("https://raw.githubusercontent.com/msikma/pokesprite/master/misc/types/gen8/bug.png",4,20,20)</f>
        <v/>
      </c>
      <c r="AH64" s="1293"/>
      <c r="AI64" s="6747"/>
    </row>
    <row r="65" ht="20.25" customHeight="1">
      <c r="A65" s="6738"/>
      <c r="B65" s="1307"/>
      <c r="C65" s="1330"/>
      <c r="D65" s="1309"/>
      <c r="E65" s="1323" t="s">
        <v>1347</v>
      </c>
      <c r="F65" s="1285"/>
      <c r="G65" s="1285"/>
      <c r="H65" s="1331" t="str">
        <f>IMAGE("https://raw.githubusercontent.com/msikma/pokesprite/master/misc/types/gen8/ghost.png",4,20,20)</f>
        <v/>
      </c>
      <c r="J65" s="1323" t="s">
        <v>619</v>
      </c>
      <c r="K65" s="1285"/>
      <c r="L65" s="1285"/>
      <c r="M65" s="1331" t="str">
        <f>IMAGE("https://raw.githubusercontent.com/msikma/pokesprite/master/misc/types/gen8/fire.png",4,20,20)</f>
        <v/>
      </c>
      <c r="O65" s="1323" t="s">
        <v>1211</v>
      </c>
      <c r="P65" s="1285"/>
      <c r="Q65" s="1285"/>
      <c r="R65" s="1331" t="str">
        <f>IMAGE("https://raw.githubusercontent.com/msikma/pokesprite/master/misc/types/gen8/fire.png",4,20,20)</f>
        <v/>
      </c>
      <c r="T65" s="1323" t="s">
        <v>775</v>
      </c>
      <c r="U65" s="1285"/>
      <c r="V65" s="1285"/>
      <c r="W65" s="1331" t="str">
        <f>IMAGE("https://raw.githubusercontent.com/msikma/pokesprite/master/misc/types/gen8/grass.png",4,20,20)</f>
        <v/>
      </c>
      <c r="Y65" s="1323" t="s">
        <v>719</v>
      </c>
      <c r="Z65" s="1285"/>
      <c r="AA65" s="1285"/>
      <c r="AB65" s="1331" t="str">
        <f t="shared" si="3"/>
        <v/>
      </c>
      <c r="AD65" s="1323" t="s">
        <v>958</v>
      </c>
      <c r="AE65" s="1285"/>
      <c r="AF65" s="1285"/>
      <c r="AG65" s="1331" t="str">
        <f>IMAGE("https://raw.githubusercontent.com/msikma/pokesprite/master/misc/types/gen8/normal.png",4,20,20)</f>
        <v/>
      </c>
      <c r="AH65" s="1293"/>
      <c r="AI65" s="6747"/>
    </row>
    <row r="66" ht="20.25" customHeight="1">
      <c r="A66" s="6738"/>
      <c r="B66" s="1307"/>
      <c r="C66" s="1330"/>
      <c r="D66" s="1309"/>
      <c r="E66" s="1323" t="s">
        <v>612</v>
      </c>
      <c r="F66" s="1285"/>
      <c r="G66" s="1285"/>
      <c r="H66" s="1331" t="str">
        <f>IMAGE("https://raw.githubusercontent.com/msikma/pokesprite/master/misc/types/gen8/bug.png",4,20,20)</f>
        <v/>
      </c>
      <c r="J66" s="1323" t="s">
        <v>646</v>
      </c>
      <c r="K66" s="1285"/>
      <c r="L66" s="1285"/>
      <c r="M66" s="1331" t="str">
        <f>IMAGE("https://raw.githubusercontent.com/msikma/pokesprite/master/misc/types/gen8/steel.png",4,20,20)</f>
        <v/>
      </c>
      <c r="O66" s="1323" t="s">
        <v>719</v>
      </c>
      <c r="P66" s="1285"/>
      <c r="Q66" s="1285"/>
      <c r="R66" s="1331" t="str">
        <f t="shared" ref="R66:R67" si="4">IMAGE("https://raw.githubusercontent.com/msikma/pokesprite/master/misc/types/gen8/dragon.png",4,20,20)</f>
        <v/>
      </c>
      <c r="T66" s="1323" t="s">
        <v>554</v>
      </c>
      <c r="U66" s="1285"/>
      <c r="V66" s="1285"/>
      <c r="W66" s="1331" t="str">
        <f>IMAGE("https://raw.githubusercontent.com/msikma/pokesprite/master/misc/types/gen8/dark.png",4,20,20)</f>
        <v/>
      </c>
      <c r="Y66" s="1323" t="s">
        <v>772</v>
      </c>
      <c r="Z66" s="1285"/>
      <c r="AA66" s="1285"/>
      <c r="AB66" s="1331" t="str">
        <f>IMAGE("https://raw.githubusercontent.com/msikma/pokesprite/master/misc/types/gen8/electric.png",4,20,20)</f>
        <v/>
      </c>
      <c r="AD66" s="1323" t="s">
        <v>670</v>
      </c>
      <c r="AE66" s="1285"/>
      <c r="AF66" s="1285"/>
      <c r="AG66" s="1331" t="str">
        <f>IMAGE("https://raw.githubusercontent.com/msikma/pokesprite/master/misc/types/gen8/ice.png",4,20,20)</f>
        <v/>
      </c>
      <c r="AH66" s="1293"/>
      <c r="AI66" s="6747"/>
    </row>
    <row r="67" ht="21.0" customHeight="1">
      <c r="A67" s="6738"/>
      <c r="B67" s="1307"/>
      <c r="C67" s="1330"/>
      <c r="D67" s="1309"/>
      <c r="E67" s="1332" t="s">
        <v>715</v>
      </c>
      <c r="F67" s="1333"/>
      <c r="G67" s="1333"/>
      <c r="H67" s="1334" t="str">
        <f>IMAGE("https://raw.githubusercontent.com/msikma/pokesprite/master/misc/types/gen8/dragon.png",4,20,20)</f>
        <v/>
      </c>
      <c r="I67" s="1298"/>
      <c r="J67" s="1332" t="s">
        <v>547</v>
      </c>
      <c r="K67" s="1333"/>
      <c r="L67" s="1333"/>
      <c r="M67" s="1334" t="str">
        <f>IMAGE("https://raw.githubusercontent.com/msikma/pokesprite/master/misc/types/gen8/electric.png",4,20,20)</f>
        <v/>
      </c>
      <c r="N67" s="1298"/>
      <c r="O67" s="1332" t="s">
        <v>219</v>
      </c>
      <c r="P67" s="1333"/>
      <c r="Q67" s="1333"/>
      <c r="R67" s="1334" t="str">
        <f t="shared" si="4"/>
        <v/>
      </c>
      <c r="S67" s="1298"/>
      <c r="T67" s="1332" t="s">
        <v>612</v>
      </c>
      <c r="U67" s="1333"/>
      <c r="V67" s="1333"/>
      <c r="W67" s="1334" t="str">
        <f>IMAGE("https://raw.githubusercontent.com/msikma/pokesprite/master/misc/types/gen8/bug.png",4,20,20)</f>
        <v/>
      </c>
      <c r="X67" s="1298"/>
      <c r="Y67" s="1332" t="s">
        <v>645</v>
      </c>
      <c r="Z67" s="1333"/>
      <c r="AA67" s="1333"/>
      <c r="AB67" s="1334" t="str">
        <f>IMAGE("https://raw.githubusercontent.com/msikma/pokesprite/master/misc/types/gen8/ice.png",4,20,20)</f>
        <v/>
      </c>
      <c r="AC67" s="1298"/>
      <c r="AD67" s="1332" t="s">
        <v>619</v>
      </c>
      <c r="AE67" s="1333"/>
      <c r="AF67" s="1333"/>
      <c r="AG67" s="1334" t="str">
        <f>IMAGE("https://raw.githubusercontent.com/msikma/pokesprite/master/misc/types/gen8/fire.png",4,20,20)</f>
        <v/>
      </c>
      <c r="AH67" s="1293"/>
      <c r="AI67" s="6747"/>
    </row>
    <row r="68" ht="3.0" customHeight="1">
      <c r="A68" s="6738"/>
      <c r="B68" s="1307"/>
      <c r="C68" s="1283"/>
      <c r="D68" s="1335"/>
      <c r="E68" s="1336"/>
      <c r="F68" s="1336"/>
      <c r="G68" s="1336"/>
      <c r="H68" s="1336"/>
      <c r="I68" s="1335"/>
      <c r="J68" s="1336"/>
      <c r="K68" s="1336"/>
      <c r="L68" s="1336"/>
      <c r="M68" s="1336"/>
      <c r="N68" s="1335"/>
      <c r="O68" s="1336"/>
      <c r="P68" s="1336"/>
      <c r="Q68" s="1336"/>
      <c r="R68" s="1336"/>
      <c r="S68" s="1335"/>
      <c r="T68" s="1336"/>
      <c r="U68" s="1336"/>
      <c r="V68" s="1336"/>
      <c r="W68" s="1336"/>
      <c r="X68" s="1335"/>
      <c r="Y68" s="1336"/>
      <c r="Z68" s="1337"/>
      <c r="AA68" s="1337"/>
      <c r="AB68" s="1338"/>
      <c r="AC68" s="1335"/>
      <c r="AD68" s="1339"/>
      <c r="AE68" s="1339"/>
      <c r="AF68" s="1339"/>
      <c r="AG68" s="1338"/>
      <c r="AH68" s="1340"/>
      <c r="AI68" s="6747"/>
    </row>
    <row r="69" ht="16.5" customHeight="1">
      <c r="A69" s="6738"/>
      <c r="B69" s="1282"/>
      <c r="C69" s="1283"/>
      <c r="D69" s="1341"/>
      <c r="E69" s="1342" t="s">
        <v>512</v>
      </c>
      <c r="F69" s="606"/>
      <c r="G69" s="606"/>
      <c r="H69" s="607"/>
      <c r="I69" s="1343"/>
      <c r="J69" s="1342" t="s">
        <v>512</v>
      </c>
      <c r="K69" s="606"/>
      <c r="L69" s="606"/>
      <c r="M69" s="607"/>
      <c r="N69" s="1343"/>
      <c r="O69" s="1342" t="s">
        <v>512</v>
      </c>
      <c r="P69" s="606"/>
      <c r="Q69" s="606"/>
      <c r="R69" s="607"/>
      <c r="S69" s="1343"/>
      <c r="T69" s="1342" t="s">
        <v>512</v>
      </c>
      <c r="U69" s="606"/>
      <c r="V69" s="606"/>
      <c r="W69" s="607"/>
      <c r="X69" s="1343"/>
      <c r="Y69" s="1342" t="s">
        <v>512</v>
      </c>
      <c r="Z69" s="606"/>
      <c r="AA69" s="606"/>
      <c r="AB69" s="607"/>
      <c r="AC69" s="1343"/>
      <c r="AD69" s="1342" t="s">
        <v>512</v>
      </c>
      <c r="AE69" s="606"/>
      <c r="AF69" s="606"/>
      <c r="AG69" s="607"/>
      <c r="AH69" s="1344"/>
      <c r="AI69" s="6747"/>
    </row>
    <row r="70" ht="16.5" customHeight="1">
      <c r="A70" s="6738"/>
      <c r="B70" s="1282"/>
      <c r="C70" s="1283"/>
      <c r="D70" s="1341"/>
      <c r="E70" s="1345" t="s">
        <v>513</v>
      </c>
      <c r="F70" s="1346">
        <f t="array" ref="F70">IFERROR(VLOOKUP(E57,Dex!$B$3:$N1219,8,FALSE),"")</f>
        <v>88</v>
      </c>
      <c r="G70" s="1347" t="str">
        <f t="array" ref="G70">IFERROR(VLOOKUP(F70,Dex!$P$22:$Q$276,2,FALSE),"")</f>
        <v/>
      </c>
      <c r="H70" s="1348"/>
      <c r="I70" s="1349"/>
      <c r="J70" s="1345" t="s">
        <v>513</v>
      </c>
      <c r="K70" s="1346">
        <f t="array" ref="K70">IFERROR(VLOOKUP(J57,Dex!$B$3:$N1219,8,FALSE),"")</f>
        <v>100</v>
      </c>
      <c r="L70" s="1347" t="str">
        <f t="array" ref="L70">IFERROR(VLOOKUP(K70,Dex!$P$22:$Q$276,2,FALSE),"")</f>
        <v/>
      </c>
      <c r="M70" s="1348"/>
      <c r="N70" s="1349"/>
      <c r="O70" s="1345" t="s">
        <v>513</v>
      </c>
      <c r="P70" s="1346">
        <f t="array" ref="P70">IFERROR(VLOOKUP(O57,Dex!$B$3:$N1219,8,FALSE),"")</f>
        <v>91</v>
      </c>
      <c r="Q70" s="1347" t="str">
        <f t="array" ref="Q70">IFERROR(VLOOKUP(P70,Dex!$P$22:$Q$276,2,FALSE),"")</f>
        <v/>
      </c>
      <c r="R70" s="1348"/>
      <c r="S70" s="1349"/>
      <c r="T70" s="1345" t="s">
        <v>513</v>
      </c>
      <c r="U70" s="1346">
        <f t="array" ref="U70">IFERROR(VLOOKUP(T57,Dex!$B$3:$N1219,8,FALSE),"")</f>
        <v>70</v>
      </c>
      <c r="V70" s="1347" t="str">
        <f t="array" ref="V70">IFERROR(VLOOKUP(U70,Dex!$P$22:$Q$276,2,FALSE),"")</f>
        <v/>
      </c>
      <c r="W70" s="1348"/>
      <c r="X70" s="1349"/>
      <c r="Y70" s="1345" t="s">
        <v>513</v>
      </c>
      <c r="Z70" s="1346">
        <f t="array" ref="Z70">IFERROR(VLOOKUP(Y57,Dex!$B$3:$N1219,8,FALSE),"")</f>
        <v>125</v>
      </c>
      <c r="AA70" s="1347" t="str">
        <f t="array" ref="AA70">IFERROR(VLOOKUP(Z70,Dex!$P$22:$Q$276,2,FALSE),"")</f>
        <v/>
      </c>
      <c r="AB70" s="1348"/>
      <c r="AC70" s="1349"/>
      <c r="AD70" s="1345" t="s">
        <v>513</v>
      </c>
      <c r="AE70" s="1346">
        <f t="array" ref="AE70">IFERROR(VLOOKUP(AD57,Dex!$B$3:$N1219,8,FALSE),"")</f>
        <v>71</v>
      </c>
      <c r="AF70" s="1347" t="str">
        <f t="array" ref="AF70">IFERROR(VLOOKUP(AE70,Dex!$P$22:$Q$276,2,FALSE),"")</f>
        <v/>
      </c>
      <c r="AG70" s="1348"/>
      <c r="AH70" s="1350"/>
      <c r="AI70" s="6747"/>
    </row>
    <row r="71" ht="16.5" customHeight="1">
      <c r="A71" s="6738"/>
      <c r="B71" s="1282"/>
      <c r="C71" s="1283"/>
      <c r="D71" s="1341"/>
      <c r="E71" s="1351" t="s">
        <v>514</v>
      </c>
      <c r="F71" s="1352">
        <f t="array" ref="F71">IFERROR(VLOOKUP(E57,Dex!$B$3:$N1219,9,FALSE),"")</f>
        <v>120</v>
      </c>
      <c r="G71" s="1353" t="str">
        <f t="array" ref="G71">IFERROR(VLOOKUP(F71,Dex!$P$22:$Q$276,2,FALSE),"")</f>
        <v/>
      </c>
      <c r="H71" s="1354"/>
      <c r="I71" s="1349"/>
      <c r="J71" s="1351" t="s">
        <v>514</v>
      </c>
      <c r="K71" s="1352">
        <f t="array" ref="K71">IFERROR(VLOOKUP(J57,Dex!$B$3:$N1219,9,FALSE),"")</f>
        <v>120</v>
      </c>
      <c r="L71" s="1353" t="str">
        <f t="array" ref="L71">IFERROR(VLOOKUP(K71,Dex!$P$22:$Q$276,2,FALSE),"")</f>
        <v/>
      </c>
      <c r="M71" s="1354"/>
      <c r="N71" s="1349"/>
      <c r="O71" s="1351" t="s">
        <v>514</v>
      </c>
      <c r="P71" s="1352">
        <f t="array" ref="P71">IFERROR(VLOOKUP(O57,Dex!$B$3:$N1219,9,FALSE),"")</f>
        <v>134</v>
      </c>
      <c r="Q71" s="1353" t="str">
        <f t="array" ref="Q71">IFERROR(VLOOKUP(P71,Dex!$P$22:$Q$276,2,FALSE),"")</f>
        <v/>
      </c>
      <c r="R71" s="1354"/>
      <c r="S71" s="1349"/>
      <c r="T71" s="1351" t="s">
        <v>514</v>
      </c>
      <c r="U71" s="1352">
        <f t="array" ref="U71">IFERROR(VLOOKUP(T57,Dex!$B$3:$N1219,9,FALSE),"")</f>
        <v>145</v>
      </c>
      <c r="V71" s="1353" t="str">
        <f t="array" ref="V71">IFERROR(VLOOKUP(U71,Dex!$P$22:$Q$276,2,FALSE),"")</f>
        <v/>
      </c>
      <c r="W71" s="1354"/>
      <c r="X71" s="1349"/>
      <c r="Y71" s="1351" t="s">
        <v>514</v>
      </c>
      <c r="Z71" s="1352">
        <f t="array" ref="Z71">IFERROR(VLOOKUP(Y57,Dex!$B$3:$N1219,9,FALSE),"")</f>
        <v>170</v>
      </c>
      <c r="AA71" s="1353" t="str">
        <f t="array" ref="AA71">IFERROR(VLOOKUP(Z71,Dex!$P$22:$Q$276,2,FALSE),"")</f>
        <v/>
      </c>
      <c r="AB71" s="1354"/>
      <c r="AC71" s="1349"/>
      <c r="AD71" s="1351" t="s">
        <v>514</v>
      </c>
      <c r="AE71" s="1352">
        <f t="array" ref="AE71">IFERROR(VLOOKUP(AD57,Dex!$B$3:$N1219,9,FALSE),"")</f>
        <v>120</v>
      </c>
      <c r="AF71" s="1353" t="str">
        <f t="array" ref="AF71">IFERROR(VLOOKUP(AE71,Dex!$P$22:$Q$276,2,FALSE),"")</f>
        <v/>
      </c>
      <c r="AG71" s="1354"/>
      <c r="AH71" s="1350"/>
      <c r="AI71" s="6747"/>
    </row>
    <row r="72" ht="16.5" customHeight="1">
      <c r="A72" s="6738"/>
      <c r="B72" s="1282"/>
      <c r="C72" s="1283"/>
      <c r="D72" s="1341"/>
      <c r="E72" s="1351" t="s">
        <v>515</v>
      </c>
      <c r="F72" s="1352">
        <f t="array" ref="F72">IFERROR(VLOOKUP(E57,Dex!$B$3:$N1219,10,FALSE),"")</f>
        <v>75</v>
      </c>
      <c r="G72" s="1353" t="str">
        <f t="array" ref="G72">IFERROR(VLOOKUP(F72,Dex!$P$22:$Q$276,2,FALSE),"")</f>
        <v/>
      </c>
      <c r="H72" s="1354"/>
      <c r="I72" s="1349"/>
      <c r="J72" s="1351" t="s">
        <v>515</v>
      </c>
      <c r="K72" s="1352">
        <f t="array" ref="K72">IFERROR(VLOOKUP(J57,Dex!$B$3:$N1219,10,FALSE),"")</f>
        <v>150</v>
      </c>
      <c r="L72" s="1353" t="str">
        <f t="array" ref="L72">IFERROR(VLOOKUP(K72,Dex!$P$22:$Q$276,2,FALSE),"")</f>
        <v/>
      </c>
      <c r="M72" s="1354"/>
      <c r="N72" s="1349"/>
      <c r="O72" s="1351" t="s">
        <v>515</v>
      </c>
      <c r="P72" s="1352">
        <f t="array" ref="P72">IFERROR(VLOOKUP(O57,Dex!$B$3:$N1219,10,FALSE),"")</f>
        <v>95</v>
      </c>
      <c r="Q72" s="1353" t="str">
        <f t="array" ref="Q72">IFERROR(VLOOKUP(P72,Dex!$P$22:$Q$276,2,FALSE),"")</f>
        <v/>
      </c>
      <c r="R72" s="1354"/>
      <c r="S72" s="1349"/>
      <c r="T72" s="1351" t="s">
        <v>515</v>
      </c>
      <c r="U72" s="1352">
        <f t="array" ref="U72">IFERROR(VLOOKUP(T57,Dex!$B$3:$N1219,10,FALSE),"")</f>
        <v>90</v>
      </c>
      <c r="V72" s="1353" t="str">
        <f t="array" ref="V72">IFERROR(VLOOKUP(U72,Dex!$P$22:$Q$276,2,FALSE),"")</f>
        <v/>
      </c>
      <c r="W72" s="1354"/>
      <c r="X72" s="1349"/>
      <c r="Y72" s="1351" t="s">
        <v>515</v>
      </c>
      <c r="Z72" s="1352">
        <f t="array" ref="Z72">IFERROR(VLOOKUP(Y57,Dex!$B$3:$N1219,10,FALSE),"")</f>
        <v>100</v>
      </c>
      <c r="AA72" s="1353" t="str">
        <f t="array" ref="AA72">IFERROR(VLOOKUP(Z72,Dex!$P$22:$Q$276,2,FALSE),"")</f>
        <v/>
      </c>
      <c r="AB72" s="1354"/>
      <c r="AC72" s="1349"/>
      <c r="AD72" s="1351" t="s">
        <v>515</v>
      </c>
      <c r="AE72" s="1352">
        <f t="array" ref="AE72">IFERROR(VLOOKUP(AD57,Dex!$B$3:$N1219,10,FALSE),"")</f>
        <v>95</v>
      </c>
      <c r="AF72" s="1353" t="str">
        <f t="array" ref="AF72">IFERROR(VLOOKUP(AE72,Dex!$P$22:$Q$276,2,FALSE),"")</f>
        <v/>
      </c>
      <c r="AG72" s="1354"/>
      <c r="AH72" s="1350"/>
      <c r="AI72" s="6747"/>
    </row>
    <row r="73" ht="16.5" customHeight="1">
      <c r="A73" s="6738"/>
      <c r="B73" s="1282"/>
      <c r="C73" s="1283"/>
      <c r="D73" s="1341"/>
      <c r="E73" s="1351" t="s">
        <v>516</v>
      </c>
      <c r="F73" s="1352">
        <f t="array" ref="F73">IFERROR(VLOOKUP(E57,Dex!$B$3:$N1219,11,FALSE),"")</f>
        <v>100</v>
      </c>
      <c r="G73" s="1353" t="str">
        <f t="array" ref="G73">IFERROR(VLOOKUP(F73,Dex!$P$22:$Q$276,2,FALSE),"")</f>
        <v/>
      </c>
      <c r="H73" s="1354"/>
      <c r="I73" s="1349"/>
      <c r="J73" s="1351" t="s">
        <v>516</v>
      </c>
      <c r="K73" s="1352">
        <f t="array" ref="K73">IFERROR(VLOOKUP(J57,Dex!$B$3:$N1219,11,FALSE),"")</f>
        <v>185</v>
      </c>
      <c r="L73" s="1353" t="str">
        <f t="array" ref="L73">IFERROR(VLOOKUP(K73,Dex!$P$22:$Q$276,2,FALSE),"")</f>
        <v/>
      </c>
      <c r="M73" s="1354"/>
      <c r="N73" s="1349"/>
      <c r="O73" s="1351" t="s">
        <v>516</v>
      </c>
      <c r="P73" s="1352">
        <f t="array" ref="P73">IFERROR(VLOOKUP(O57,Dex!$B$3:$N1219,11,FALSE),"")</f>
        <v>100</v>
      </c>
      <c r="Q73" s="1353" t="str">
        <f t="array" ref="Q73">IFERROR(VLOOKUP(P73,Dex!$P$22:$Q$276,2,FALSE),"")</f>
        <v/>
      </c>
      <c r="R73" s="1354"/>
      <c r="S73" s="1349"/>
      <c r="T73" s="1351" t="s">
        <v>516</v>
      </c>
      <c r="U73" s="1352">
        <f t="array" ref="U73">IFERROR(VLOOKUP(T57,Dex!$B$3:$N1219,11,FALSE),"")</f>
        <v>135</v>
      </c>
      <c r="V73" s="1353" t="str">
        <f t="array" ref="V73">IFERROR(VLOOKUP(U73,Dex!$P$22:$Q$276,2,FALSE),"")</f>
        <v/>
      </c>
      <c r="W73" s="1354"/>
      <c r="X73" s="1349"/>
      <c r="Y73" s="1351" t="s">
        <v>516</v>
      </c>
      <c r="Z73" s="1352">
        <f t="array" ref="Z73">IFERROR(VLOOKUP(Y57,Dex!$B$3:$N1219,11,FALSE),"")</f>
        <v>120</v>
      </c>
      <c r="AA73" s="1353" t="str">
        <f t="array" ref="AA73">IFERROR(VLOOKUP(Z73,Dex!$P$22:$Q$276,2,FALSE),"")</f>
        <v/>
      </c>
      <c r="AB73" s="1354"/>
      <c r="AC73" s="1349"/>
      <c r="AD73" s="1351" t="s">
        <v>516</v>
      </c>
      <c r="AE73" s="1352">
        <f t="array" ref="AE73">IFERROR(VLOOKUP(AD57,Dex!$B$3:$N1219,11,FALSE),"")</f>
        <v>120</v>
      </c>
      <c r="AF73" s="1353" t="str">
        <f t="array" ref="AF73">IFERROR(VLOOKUP(AE73,Dex!$P$22:$Q$276,2,FALSE),"")</f>
        <v/>
      </c>
      <c r="AG73" s="1354"/>
      <c r="AH73" s="1350"/>
      <c r="AI73" s="6747"/>
    </row>
    <row r="74" ht="16.5" customHeight="1">
      <c r="A74" s="6738"/>
      <c r="B74" s="1282"/>
      <c r="C74" s="1283"/>
      <c r="D74" s="1341"/>
      <c r="E74" s="1351" t="s">
        <v>517</v>
      </c>
      <c r="F74" s="1352">
        <f t="array" ref="F74">IFERROR(VLOOKUP(E57,Dex!$B$3:$N1219,12,FALSE),"")</f>
        <v>75</v>
      </c>
      <c r="G74" s="1353" t="str">
        <f t="array" ref="G74">IFERROR(VLOOKUP(F74,Dex!$P$22:$Q$276,2,FALSE),"")</f>
        <v/>
      </c>
      <c r="H74" s="1354"/>
      <c r="I74" s="1349"/>
      <c r="J74" s="1351" t="s">
        <v>517</v>
      </c>
      <c r="K74" s="1352">
        <f t="array" ref="K74">IFERROR(VLOOKUP(J57,Dex!$B$3:$N1219,12,FALSE),"")</f>
        <v>130</v>
      </c>
      <c r="L74" s="1353" t="str">
        <f t="array" ref="L74">IFERROR(VLOOKUP(K74,Dex!$P$22:$Q$276,2,FALSE),"")</f>
        <v/>
      </c>
      <c r="M74" s="1354"/>
      <c r="N74" s="1349"/>
      <c r="O74" s="1351" t="s">
        <v>517</v>
      </c>
      <c r="P74" s="1352">
        <f t="array" ref="P74">IFERROR(VLOOKUP(O57,Dex!$B$3:$N1219,12,FALSE),"")</f>
        <v>100</v>
      </c>
      <c r="Q74" s="1353" t="str">
        <f t="array" ref="Q74">IFERROR(VLOOKUP(P74,Dex!$P$22:$Q$276,2,FALSE),"")</f>
        <v/>
      </c>
      <c r="R74" s="1354"/>
      <c r="S74" s="1349"/>
      <c r="T74" s="1351" t="s">
        <v>517</v>
      </c>
      <c r="U74" s="1352">
        <f t="array" ref="U74">IFERROR(VLOOKUP(T57,Dex!$B$3:$N1219,12,FALSE),"")</f>
        <v>70</v>
      </c>
      <c r="V74" s="1353" t="str">
        <f t="array" ref="V74">IFERROR(VLOOKUP(U74,Dex!$P$22:$Q$276,2,FALSE),"")</f>
        <v/>
      </c>
      <c r="W74" s="1354"/>
      <c r="X74" s="1349"/>
      <c r="Y74" s="1351" t="s">
        <v>517</v>
      </c>
      <c r="Z74" s="1352">
        <f t="array" ref="Z74">IFERROR(VLOOKUP(Y57,Dex!$B$3:$N1219,12,FALSE),"")</f>
        <v>90</v>
      </c>
      <c r="AA74" s="1353" t="str">
        <f t="array" ref="AA74">IFERROR(VLOOKUP(Z74,Dex!$P$22:$Q$276,2,FALSE),"")</f>
        <v/>
      </c>
      <c r="AB74" s="1354"/>
      <c r="AC74" s="1349"/>
      <c r="AD74" s="1351" t="s">
        <v>517</v>
      </c>
      <c r="AE74" s="1352">
        <f t="array" ref="AE74">IFERROR(VLOOKUP(AD57,Dex!$B$3:$N1219,12,FALSE),"")</f>
        <v>95</v>
      </c>
      <c r="AF74" s="1353" t="str">
        <f t="array" ref="AF74">IFERROR(VLOOKUP(AE74,Dex!$P$22:$Q$276,2,FALSE),"")</f>
        <v/>
      </c>
      <c r="AG74" s="1354"/>
      <c r="AH74" s="1350"/>
      <c r="AI74" s="6747"/>
    </row>
    <row r="75" ht="15.75" customHeight="1">
      <c r="A75" s="6738"/>
      <c r="B75" s="1282"/>
      <c r="C75" s="1283"/>
      <c r="D75" s="1341"/>
      <c r="E75" s="1355" t="s">
        <v>518</v>
      </c>
      <c r="F75" s="1356">
        <f t="array" ref="F75">IFERROR(VLOOKUP(E57,Dex!$B$3:$N1219,13,FALSE),"")</f>
        <v>142</v>
      </c>
      <c r="G75" s="1357" t="str">
        <f t="array" ref="G75">IFERROR(VLOOKUP(F75,Dex!$P$22:$Q$276,2,FALSE),"")</f>
        <v/>
      </c>
      <c r="H75" s="1358"/>
      <c r="I75" s="1349"/>
      <c r="J75" s="1355" t="s">
        <v>518</v>
      </c>
      <c r="K75" s="1356">
        <f t="array" ref="K75">IFERROR(VLOOKUP(J57,Dex!$B$3:$N1219,13,FALSE),"")</f>
        <v>90</v>
      </c>
      <c r="L75" s="1357" t="str">
        <f t="array" ref="L75">IFERROR(VLOOKUP(K75,Dex!$P$22:$Q$276,2,FALSE),"")</f>
        <v/>
      </c>
      <c r="M75" s="1358"/>
      <c r="N75" s="1349"/>
      <c r="O75" s="1355" t="s">
        <v>518</v>
      </c>
      <c r="P75" s="1356">
        <f t="array" ref="P75">IFERROR(VLOOKUP(O57,Dex!$B$3:$N1219,13,FALSE),"")</f>
        <v>80</v>
      </c>
      <c r="Q75" s="1357" t="str">
        <f t="array" ref="Q75">IFERROR(VLOOKUP(P75,Dex!$P$22:$Q$276,2,FALSE),"")</f>
        <v/>
      </c>
      <c r="R75" s="1358"/>
      <c r="S75" s="1349"/>
      <c r="T75" s="1355" t="s">
        <v>518</v>
      </c>
      <c r="U75" s="1356">
        <f t="array" ref="U75">IFERROR(VLOOKUP(T57,Dex!$B$3:$N1219,13,FALSE),"")</f>
        <v>105</v>
      </c>
      <c r="V75" s="1357" t="str">
        <f t="array" ref="V75">IFERROR(VLOOKUP(U75,Dex!$P$22:$Q$276,2,FALSE),"")</f>
        <v/>
      </c>
      <c r="W75" s="1358"/>
      <c r="X75" s="1349"/>
      <c r="Y75" s="1355" t="s">
        <v>518</v>
      </c>
      <c r="Z75" s="1356">
        <f t="array" ref="Z75">IFERROR(VLOOKUP(Y57,Dex!$B$3:$N1219,13,FALSE),"")</f>
        <v>95</v>
      </c>
      <c r="AA75" s="1357" t="str">
        <f t="array" ref="AA75">IFERROR(VLOOKUP(Z75,Dex!$P$22:$Q$276,2,FALSE),"")</f>
        <v/>
      </c>
      <c r="AB75" s="1358"/>
      <c r="AC75" s="1349"/>
      <c r="AD75" s="1355" t="s">
        <v>518</v>
      </c>
      <c r="AE75" s="1356">
        <f t="array" ref="AE75">IFERROR(VLOOKUP(AD57,Dex!$B$3:$N1219,13,FALSE),"")</f>
        <v>99</v>
      </c>
      <c r="AF75" s="1357" t="str">
        <f t="array" ref="AF75">IFERROR(VLOOKUP(AE75,Dex!$P$22:$Q$276,2,FALSE),"")</f>
        <v/>
      </c>
      <c r="AG75" s="1358"/>
      <c r="AH75" s="1350"/>
      <c r="AI75" s="6747"/>
    </row>
    <row r="76" ht="16.5" customHeight="1">
      <c r="A76" s="6738"/>
      <c r="B76" s="1282"/>
      <c r="C76" s="1283"/>
      <c r="D76" s="1341"/>
      <c r="E76" s="1359" t="s">
        <v>519</v>
      </c>
      <c r="F76" s="630"/>
      <c r="G76" s="631"/>
      <c r="H76" s="632">
        <f>ROUNDDOWN((ROUNDDOWN(((((2*F75+31)*100)/100+5)),0))*1.1,0)</f>
        <v>352</v>
      </c>
      <c r="I76" s="1343"/>
      <c r="J76" s="1359" t="s">
        <v>519</v>
      </c>
      <c r="K76" s="630"/>
      <c r="L76" s="631"/>
      <c r="M76" s="632">
        <f>ROUNDDOWN((ROUNDDOWN(((((2*K75+31)*100)/100+5)),0))*1.1,0)</f>
        <v>237</v>
      </c>
      <c r="N76" s="1343"/>
      <c r="O76" s="1359" t="s">
        <v>519</v>
      </c>
      <c r="P76" s="630"/>
      <c r="Q76" s="631"/>
      <c r="R76" s="632">
        <f>ROUNDDOWN((ROUNDDOWN(((((2*P75+31)*100)/100+5)),0))*1,0)</f>
        <v>196</v>
      </c>
      <c r="S76" s="1343"/>
      <c r="T76" s="1359" t="s">
        <v>519</v>
      </c>
      <c r="U76" s="630"/>
      <c r="V76" s="631"/>
      <c r="W76" s="632">
        <f>ROUNDDOWN((ROUNDDOWN(((((2*U75+31)*100)/100+5)),0))*1.1,0)</f>
        <v>270</v>
      </c>
      <c r="X76" s="1343"/>
      <c r="Y76" s="1359" t="s">
        <v>519</v>
      </c>
      <c r="Z76" s="630"/>
      <c r="AA76" s="631"/>
      <c r="AB76" s="632">
        <f>ROUNDDOWN((ROUNDDOWN(((((2*Z75+31)*100)/100+5)),0))*1.1,0)</f>
        <v>248</v>
      </c>
      <c r="AC76" s="1343"/>
      <c r="AD76" s="1359" t="s">
        <v>519</v>
      </c>
      <c r="AE76" s="630"/>
      <c r="AF76" s="631"/>
      <c r="AG76" s="632">
        <f>ROUNDDOWN((ROUNDDOWN(((((2*AE75+31)*100)/100+5)),0))*1.1,0)</f>
        <v>257</v>
      </c>
      <c r="AH76" s="1344"/>
      <c r="AI76" s="6747"/>
    </row>
    <row r="77" ht="15.0" customHeight="1">
      <c r="A77" s="6738"/>
      <c r="B77" s="1360"/>
      <c r="C77" s="1361"/>
      <c r="D77" s="1362"/>
      <c r="E77" s="1363"/>
      <c r="F77" s="1363"/>
      <c r="G77" s="1363"/>
      <c r="H77" s="1363"/>
      <c r="I77" s="1363"/>
      <c r="J77" s="1363"/>
      <c r="K77" s="1363"/>
      <c r="L77" s="1363"/>
      <c r="M77" s="1363"/>
      <c r="N77" s="1363"/>
      <c r="O77" s="1363"/>
      <c r="P77" s="1363"/>
      <c r="Q77" s="1363"/>
      <c r="R77" s="1363"/>
      <c r="S77" s="1363"/>
      <c r="T77" s="1363"/>
      <c r="U77" s="1363"/>
      <c r="V77" s="1363"/>
      <c r="W77" s="1363"/>
      <c r="X77" s="1363"/>
      <c r="Y77" s="1363"/>
      <c r="Z77" s="1363"/>
      <c r="AA77" s="1363"/>
      <c r="AB77" s="1363"/>
      <c r="AC77" s="1363"/>
      <c r="AD77" s="1363"/>
      <c r="AE77" s="1363"/>
      <c r="AF77" s="1363"/>
      <c r="AG77" s="1363"/>
      <c r="AH77" s="1364"/>
      <c r="AI77" s="6747"/>
    </row>
    <row r="78" ht="15.0" customHeight="1">
      <c r="A78" s="6738"/>
      <c r="B78" s="654"/>
      <c r="C78" s="655"/>
      <c r="D78" s="656"/>
      <c r="E78" s="657"/>
      <c r="F78" s="657"/>
      <c r="G78" s="657"/>
      <c r="H78" s="657"/>
      <c r="I78" s="656"/>
      <c r="J78" s="657"/>
      <c r="K78" s="657"/>
      <c r="L78" s="657"/>
      <c r="M78" s="657"/>
      <c r="N78" s="656"/>
      <c r="O78" s="657"/>
      <c r="P78" s="657"/>
      <c r="Q78" s="657"/>
      <c r="R78" s="657"/>
      <c r="S78" s="656"/>
      <c r="T78" s="657"/>
      <c r="U78" s="657"/>
      <c r="V78" s="657"/>
      <c r="W78" s="657"/>
      <c r="X78" s="656"/>
      <c r="Y78" s="657"/>
      <c r="Z78" s="657"/>
      <c r="AA78" s="657"/>
      <c r="AB78" s="657"/>
      <c r="AC78" s="656"/>
      <c r="AD78" s="657"/>
      <c r="AE78" s="657"/>
      <c r="AF78" s="657"/>
      <c r="AG78" s="657"/>
      <c r="AH78" s="658"/>
      <c r="AI78" s="6747"/>
    </row>
    <row r="79" ht="18.75" customHeight="1">
      <c r="A79" s="6805"/>
      <c r="B79" s="6806"/>
      <c r="C79" s="6807"/>
      <c r="D79" s="6806"/>
      <c r="E79" s="6808" t="s">
        <v>1966</v>
      </c>
      <c r="F79" s="715"/>
      <c r="G79" s="715"/>
      <c r="H79" s="715"/>
      <c r="I79" s="715"/>
      <c r="J79" s="715"/>
      <c r="K79" s="715"/>
      <c r="L79" s="715"/>
      <c r="M79" s="715"/>
      <c r="N79" s="715"/>
      <c r="O79" s="715"/>
      <c r="P79" s="715"/>
      <c r="Q79" s="715"/>
      <c r="R79" s="715"/>
      <c r="S79" s="715"/>
      <c r="T79" s="715"/>
      <c r="U79" s="715"/>
      <c r="V79" s="715"/>
      <c r="W79" s="715"/>
      <c r="X79" s="715"/>
      <c r="Y79" s="715"/>
      <c r="Z79" s="715"/>
      <c r="AA79" s="715"/>
      <c r="AB79" s="715"/>
      <c r="AC79" s="715"/>
      <c r="AD79" s="715"/>
      <c r="AE79" s="715"/>
      <c r="AF79" s="715"/>
      <c r="AG79" s="1475"/>
      <c r="AH79" s="6809"/>
      <c r="AI79" s="6747"/>
    </row>
    <row r="80" ht="96.75" customHeight="1">
      <c r="A80" s="6738"/>
      <c r="B80" s="666"/>
      <c r="C80" s="667" t="str">
        <f>IMAGE("https://i.ibb.co/mh2zYn4/Misty.png")</f>
        <v/>
      </c>
      <c r="D80" s="668"/>
      <c r="E80" s="669" t="str">
        <f t="array" ref="E80">IFERROR(VLOOKUP(E81,Dex!$B$3:$G1219,3,FALSE),"")</f>
        <v/>
      </c>
      <c r="F80" s="539"/>
      <c r="G80" s="539"/>
      <c r="H80" s="540"/>
      <c r="I80" s="670"/>
      <c r="J80" s="669" t="str">
        <f t="array" ref="J80">IFERROR(VLOOKUP(J81,Dex!$B$3:$G1219,3,FALSE),"")</f>
        <v/>
      </c>
      <c r="K80" s="539"/>
      <c r="L80" s="539"/>
      <c r="M80" s="540"/>
      <c r="N80" s="670"/>
      <c r="O80" s="669" t="str">
        <f t="array" ref="O80">IFERROR(VLOOKUP(O81,Dex!$B$3:$G1219,3,FALSE),"")</f>
        <v/>
      </c>
      <c r="P80" s="539"/>
      <c r="Q80" s="539"/>
      <c r="R80" s="540"/>
      <c r="S80" s="670"/>
      <c r="T80" s="669" t="str">
        <f t="array" ref="T80">IFERROR(VLOOKUP(T81,Dex!$B$3:$G1219,3,FALSE),"")</f>
        <v/>
      </c>
      <c r="U80" s="539"/>
      <c r="V80" s="539"/>
      <c r="W80" s="540"/>
      <c r="X80" s="671"/>
      <c r="Y80" s="669" t="str">
        <f t="array" ref="Y80">IFERROR(VLOOKUP(Y81,Dex!$B$3:$G1219,3,FALSE),"")</f>
        <v/>
      </c>
      <c r="Z80" s="539"/>
      <c r="AA80" s="539"/>
      <c r="AB80" s="540"/>
      <c r="AC80" s="671"/>
      <c r="AD80" s="669" t="str">
        <f t="array" ref="AD80">IFERROR(VLOOKUP(AD81,Dex!$B$3:$G1219,3,FALSE),"")</f>
        <v/>
      </c>
      <c r="AE80" s="539"/>
      <c r="AF80" s="539"/>
      <c r="AG80" s="540"/>
      <c r="AH80" s="6810"/>
      <c r="AI80" s="6747"/>
    </row>
    <row r="81" ht="18.75" customHeight="1">
      <c r="A81" s="6738"/>
      <c r="B81" s="674"/>
      <c r="C81" s="675" t="s">
        <v>1967</v>
      </c>
      <c r="D81" s="676"/>
      <c r="E81" s="677" t="s">
        <v>1374</v>
      </c>
      <c r="F81" s="678"/>
      <c r="G81" s="678"/>
      <c r="H81" s="679"/>
      <c r="I81" s="680"/>
      <c r="J81" s="677" t="s">
        <v>1925</v>
      </c>
      <c r="K81" s="678"/>
      <c r="L81" s="678"/>
      <c r="M81" s="679"/>
      <c r="N81" s="680"/>
      <c r="O81" s="677" t="s">
        <v>1968</v>
      </c>
      <c r="P81" s="678"/>
      <c r="Q81" s="678"/>
      <c r="R81" s="679"/>
      <c r="S81" s="680"/>
      <c r="T81" s="677" t="s">
        <v>751</v>
      </c>
      <c r="U81" s="678"/>
      <c r="V81" s="678"/>
      <c r="W81" s="679"/>
      <c r="Y81" s="677" t="s">
        <v>1969</v>
      </c>
      <c r="Z81" s="678"/>
      <c r="AA81" s="678"/>
      <c r="AB81" s="679"/>
      <c r="AD81" s="677" t="s">
        <v>1970</v>
      </c>
      <c r="AE81" s="678"/>
      <c r="AF81" s="678"/>
      <c r="AG81" s="679"/>
      <c r="AH81" s="6811"/>
      <c r="AI81" s="6747"/>
    </row>
    <row r="82">
      <c r="A82" s="6738"/>
      <c r="B82" s="683"/>
      <c r="C82" s="556"/>
      <c r="D82" s="684"/>
      <c r="E82" s="6812" t="s">
        <v>729</v>
      </c>
      <c r="F82" s="686"/>
      <c r="G82" s="686"/>
      <c r="H82" s="687"/>
      <c r="I82" s="680"/>
      <c r="J82" s="6812" t="s">
        <v>729</v>
      </c>
      <c r="K82" s="686"/>
      <c r="L82" s="686"/>
      <c r="M82" s="687"/>
      <c r="N82" s="680"/>
      <c r="O82" s="6812" t="s">
        <v>729</v>
      </c>
      <c r="P82" s="686"/>
      <c r="Q82" s="686"/>
      <c r="R82" s="687"/>
      <c r="S82" s="680"/>
      <c r="T82" s="6812" t="s">
        <v>729</v>
      </c>
      <c r="U82" s="686"/>
      <c r="V82" s="686"/>
      <c r="W82" s="687"/>
      <c r="Y82" s="6812" t="s">
        <v>729</v>
      </c>
      <c r="Z82" s="686"/>
      <c r="AA82" s="686"/>
      <c r="AB82" s="687"/>
      <c r="AD82" s="6812" t="s">
        <v>729</v>
      </c>
      <c r="AE82" s="686"/>
      <c r="AF82" s="686"/>
      <c r="AG82" s="687"/>
      <c r="AH82" s="6813"/>
      <c r="AI82" s="6747"/>
    </row>
    <row r="83" ht="25.5" customHeight="1">
      <c r="A83" s="6738"/>
      <c r="B83" s="666"/>
      <c r="C83" s="689"/>
      <c r="D83" s="690"/>
      <c r="E83" s="6814"/>
      <c r="F83" s="6815" t="str">
        <f t="array" ref="F83">IFERROR(VLOOKUP(E81,Dex!$B$3:$H1219,5,FALSE),"")</f>
        <v/>
      </c>
      <c r="G83" s="6816" t="str">
        <f t="array" ref="G83">IFERROR(VLOOKUP(E81,Dex!$B$3:$H1219,7,FALSE),"")</f>
        <v/>
      </c>
      <c r="H83" s="6817"/>
      <c r="I83" s="692"/>
      <c r="J83" s="6814"/>
      <c r="K83" s="6818" t="str">
        <f t="array" ref="K83">IFERROR(VLOOKUP(J81,Dex!$B$3:$H1219,5,FALSE),"")</f>
        <v/>
      </c>
      <c r="L83" s="693"/>
      <c r="M83" s="6817"/>
      <c r="N83" s="692"/>
      <c r="O83" s="6814"/>
      <c r="P83" s="6815" t="str">
        <f t="array" ref="P83">IFERROR(VLOOKUP(O81,Dex!$B$3:$H1219,5,FALSE),"")</f>
        <v/>
      </c>
      <c r="Q83" s="6816" t="str">
        <f t="array" ref="Q83">IFERROR(VLOOKUP(O81,Dex!$B$3:$H1219,7,FALSE),"")</f>
        <v/>
      </c>
      <c r="R83" s="6817"/>
      <c r="S83" s="692"/>
      <c r="T83" s="6814"/>
      <c r="U83" s="6815" t="str">
        <f t="array" ref="U83">IFERROR(VLOOKUP(T81,Dex!$B$3:$H1219,5,FALSE),"")</f>
        <v/>
      </c>
      <c r="V83" s="6816" t="str">
        <f t="array" ref="V83">IFERROR(VLOOKUP(T81,Dex!$B$3:$H1219,7,FALSE),"")</f>
        <v/>
      </c>
      <c r="W83" s="6817"/>
      <c r="Y83" s="6814"/>
      <c r="Z83" s="6815" t="str">
        <f t="array" ref="Z83">IFERROR(VLOOKUP(Y81,Dex!$B$3:$H1219,5,FALSE),"")</f>
        <v/>
      </c>
      <c r="AA83" s="6816" t="str">
        <f t="array" ref="AA83">IFERROR(VLOOKUP(Y81,Dex!$B$3:$H1219,7,FALSE),"")</f>
        <v/>
      </c>
      <c r="AB83" s="6817"/>
      <c r="AD83" s="6814"/>
      <c r="AE83" s="6818" t="str">
        <f t="array" ref="AE83">IFERROR(VLOOKUP(AD81,Dex!$B$3:$H1219,5,FALSE),"")</f>
        <v/>
      </c>
      <c r="AF83" s="693"/>
      <c r="AG83" s="6817"/>
      <c r="AH83" s="673"/>
      <c r="AI83" s="6747"/>
    </row>
    <row r="84" ht="2.25" customHeight="1">
      <c r="A84" s="6738"/>
      <c r="B84" s="666"/>
      <c r="C84" s="697"/>
      <c r="D84" s="690"/>
      <c r="E84" s="6819"/>
      <c r="F84" s="6820"/>
      <c r="G84" s="6820"/>
      <c r="H84" s="6821"/>
      <c r="I84" s="692"/>
      <c r="J84" s="6819"/>
      <c r="K84" s="6820"/>
      <c r="L84" s="6820"/>
      <c r="M84" s="6821"/>
      <c r="N84" s="692"/>
      <c r="O84" s="6819"/>
      <c r="P84" s="6820"/>
      <c r="Q84" s="6820"/>
      <c r="R84" s="6821"/>
      <c r="S84" s="692"/>
      <c r="T84" s="6819"/>
      <c r="U84" s="6820"/>
      <c r="V84" s="6820"/>
      <c r="W84" s="6821"/>
      <c r="Y84" s="6819"/>
      <c r="Z84" s="6820"/>
      <c r="AA84" s="6820"/>
      <c r="AB84" s="6821"/>
      <c r="AD84" s="6819"/>
      <c r="AE84" s="6820"/>
      <c r="AF84" s="6820"/>
      <c r="AG84" s="6821"/>
      <c r="AH84" s="673"/>
      <c r="AI84" s="6747"/>
    </row>
    <row r="85" ht="20.25" customHeight="1">
      <c r="A85" s="6738"/>
      <c r="B85" s="666"/>
      <c r="C85" s="701"/>
      <c r="D85" s="690"/>
      <c r="E85" s="702" t="s">
        <v>564</v>
      </c>
      <c r="F85" s="703"/>
      <c r="G85" s="703"/>
      <c r="H85" s="704"/>
      <c r="I85" s="705"/>
      <c r="J85" s="702" t="s">
        <v>1332</v>
      </c>
      <c r="K85" s="703"/>
      <c r="L85" s="703"/>
      <c r="M85" s="704"/>
      <c r="N85" s="705"/>
      <c r="O85" s="702" t="s">
        <v>482</v>
      </c>
      <c r="P85" s="703"/>
      <c r="Q85" s="703"/>
      <c r="R85" s="704"/>
      <c r="S85" s="705"/>
      <c r="T85" s="702" t="s">
        <v>564</v>
      </c>
      <c r="U85" s="703"/>
      <c r="V85" s="703"/>
      <c r="W85" s="704"/>
      <c r="Y85" s="702" t="s">
        <v>532</v>
      </c>
      <c r="Z85" s="703"/>
      <c r="AA85" s="703"/>
      <c r="AB85" s="704"/>
      <c r="AD85" s="702" t="s">
        <v>532</v>
      </c>
      <c r="AE85" s="703"/>
      <c r="AF85" s="703"/>
      <c r="AG85" s="704"/>
      <c r="AH85" s="6810"/>
      <c r="AI85" s="6747"/>
    </row>
    <row r="86">
      <c r="A86" s="6738"/>
      <c r="B86" s="666"/>
      <c r="C86" s="706"/>
      <c r="D86" s="690"/>
      <c r="E86" s="707" t="s">
        <v>1378</v>
      </c>
      <c r="F86" s="686"/>
      <c r="G86" s="686"/>
      <c r="H86" s="687"/>
      <c r="I86" s="705"/>
      <c r="J86" s="707" t="s">
        <v>88</v>
      </c>
      <c r="K86" s="686"/>
      <c r="L86" s="686"/>
      <c r="M86" s="687"/>
      <c r="N86" s="705"/>
      <c r="O86" s="707" t="s">
        <v>1971</v>
      </c>
      <c r="P86" s="686"/>
      <c r="Q86" s="686"/>
      <c r="R86" s="687"/>
      <c r="S86" s="705"/>
      <c r="T86" s="707" t="s">
        <v>533</v>
      </c>
      <c r="U86" s="686"/>
      <c r="V86" s="686"/>
      <c r="W86" s="687"/>
      <c r="Y86" s="707" t="s">
        <v>1972</v>
      </c>
      <c r="Z86" s="686"/>
      <c r="AA86" s="686"/>
      <c r="AB86" s="687"/>
      <c r="AD86" s="707" t="s">
        <v>826</v>
      </c>
      <c r="AE86" s="686"/>
      <c r="AF86" s="686"/>
      <c r="AG86" s="687"/>
      <c r="AH86" s="6810"/>
      <c r="AI86" s="6747"/>
    </row>
    <row r="87" ht="20.25" customHeight="1">
      <c r="A87" s="6738"/>
      <c r="B87" s="666"/>
      <c r="C87" s="697"/>
      <c r="D87" s="690"/>
      <c r="E87" s="708" t="s">
        <v>1380</v>
      </c>
      <c r="F87" s="663"/>
      <c r="G87" s="664"/>
      <c r="H87" s="709" t="str">
        <f>IMAGE("https://raw.githubusercontent.com/msikma/pokesprite/master/items/hold-item/light-ball.png",3)</f>
        <v/>
      </c>
      <c r="I87" s="710"/>
      <c r="J87" s="708" t="s">
        <v>1930</v>
      </c>
      <c r="K87" s="663"/>
      <c r="L87" s="664"/>
      <c r="M87" s="709" t="str">
        <f>IMAGE("https://raw.githubusercontent.com/msikma/pokesprite/master/items/hold-item/blue-orb.png",3)</f>
        <v/>
      </c>
      <c r="N87" s="710"/>
      <c r="O87" s="708" t="s">
        <v>713</v>
      </c>
      <c r="P87" s="663"/>
      <c r="Q87" s="664"/>
      <c r="R87" s="709" t="str">
        <f>IMAGE("https://raw.githubusercontent.com/msikma/pokesprite/master/items/hold-item/assault-vest.png",3)</f>
        <v/>
      </c>
      <c r="S87" s="710"/>
      <c r="T87" s="708" t="s">
        <v>1743</v>
      </c>
      <c r="U87" s="663"/>
      <c r="V87" s="664"/>
      <c r="W87" s="709" t="str">
        <f>IMAGE("https://raw.githubusercontent.com/msikma/pokesprite/master/items/z-crystals/waterium-z--held.png",3)</f>
        <v/>
      </c>
      <c r="Y87" s="708" t="s">
        <v>1973</v>
      </c>
      <c r="Z87" s="663"/>
      <c r="AA87" s="664"/>
      <c r="AB87" s="709" t="str">
        <f>IMAGE("https://raw.githubusercontent.com/msikma/pokesprite/master/items/mega-stone/abomasite.png",3)</f>
        <v/>
      </c>
      <c r="AD87" s="708" t="s">
        <v>573</v>
      </c>
      <c r="AE87" s="663"/>
      <c r="AF87" s="664"/>
      <c r="AG87" s="709" t="str">
        <f>IMAGE("https://raw.githubusercontent.com/msikma/pokesprite/master/items/hold-item/focus-sash.png",3)</f>
        <v/>
      </c>
      <c r="AH87" s="673"/>
      <c r="AI87" s="6747"/>
    </row>
    <row r="88" ht="20.25" customHeight="1">
      <c r="A88" s="6738"/>
      <c r="B88" s="666"/>
      <c r="C88" s="701"/>
      <c r="D88" s="690"/>
      <c r="E88" s="702" t="s">
        <v>844</v>
      </c>
      <c r="F88" s="703"/>
      <c r="G88" s="703"/>
      <c r="H88" s="711" t="str">
        <f>IMAGE("https://raw.githubusercontent.com/msikma/pokesprite/master/misc/types/gen8/electric.png",4,20,20)</f>
        <v/>
      </c>
      <c r="I88" s="710"/>
      <c r="J88" s="702" t="s">
        <v>549</v>
      </c>
      <c r="K88" s="703"/>
      <c r="L88" s="703"/>
      <c r="M88" s="711" t="str">
        <f>IMAGE("https://raw.githubusercontent.com/msikma/pokesprite/master/misc/types/gen8/ground.png",4,20,20)</f>
        <v/>
      </c>
      <c r="N88" s="710"/>
      <c r="O88" s="702" t="s">
        <v>617</v>
      </c>
      <c r="P88" s="703"/>
      <c r="Q88" s="703"/>
      <c r="R88" s="711" t="str">
        <f>IMAGE("https://raw.githubusercontent.com/msikma/pokesprite/master/misc/types/gen8/dragon.png",4,20,20)</f>
        <v/>
      </c>
      <c r="S88" s="710"/>
      <c r="T88" s="702" t="s">
        <v>617</v>
      </c>
      <c r="U88" s="703"/>
      <c r="V88" s="703"/>
      <c r="W88" s="711" t="str">
        <f>IMAGE("https://raw.githubusercontent.com/msikma/pokesprite/master/misc/types/gen8/dragon.png",4,20,20)</f>
        <v/>
      </c>
      <c r="Y88" s="702" t="s">
        <v>1974</v>
      </c>
      <c r="Z88" s="703"/>
      <c r="AA88" s="703"/>
      <c r="AB88" s="711" t="str">
        <f>IMAGE("https://raw.githubusercontent.com/msikma/pokesprite/master/misc/types/gen8/fighting.png",4,20,20)</f>
        <v/>
      </c>
      <c r="AD88" s="702" t="s">
        <v>1072</v>
      </c>
      <c r="AE88" s="703"/>
      <c r="AF88" s="703"/>
      <c r="AG88" s="711" t="str">
        <f>IMAGE("https://raw.githubusercontent.com/msikma/pokesprite/master/misc/types/gen8/water.png",4,20,20)</f>
        <v/>
      </c>
      <c r="AH88" s="673"/>
      <c r="AI88" s="6747"/>
    </row>
    <row r="89" ht="20.25" customHeight="1">
      <c r="A89" s="6738"/>
      <c r="B89" s="666"/>
      <c r="C89" s="712"/>
      <c r="D89" s="690"/>
      <c r="E89" s="707" t="s">
        <v>546</v>
      </c>
      <c r="F89" s="686"/>
      <c r="G89" s="686"/>
      <c r="H89" s="713" t="str">
        <f>IMAGE("https://raw.githubusercontent.com/msikma/pokesprite/master/misc/types/gen8/flying.png",4,20,20)</f>
        <v/>
      </c>
      <c r="I89" s="710"/>
      <c r="J89" s="707" t="s">
        <v>642</v>
      </c>
      <c r="K89" s="686"/>
      <c r="L89" s="686"/>
      <c r="M89" s="713" t="str">
        <f t="shared" ref="M89:M90" si="5">IMAGE("https://raw.githubusercontent.com/msikma/pokesprite/master/misc/types/gen8/water.png",4,20,20)</f>
        <v/>
      </c>
      <c r="N89" s="710"/>
      <c r="O89" s="707" t="s">
        <v>646</v>
      </c>
      <c r="P89" s="686"/>
      <c r="Q89" s="686"/>
      <c r="R89" s="713" t="str">
        <f>IMAGE("https://raw.githubusercontent.com/msikma/pokesprite/master/misc/types/gen8/steel.png",4,20,20)</f>
        <v/>
      </c>
      <c r="S89" s="710"/>
      <c r="T89" s="707" t="s">
        <v>649</v>
      </c>
      <c r="U89" s="686"/>
      <c r="V89" s="686"/>
      <c r="W89" s="713" t="str">
        <f t="shared" ref="W89:W90" si="6">IMAGE("https://raw.githubusercontent.com/msikma/pokesprite/master/misc/types/gen8/water.png",4,20,20)</f>
        <v/>
      </c>
      <c r="Y89" s="707" t="s">
        <v>1306</v>
      </c>
      <c r="Z89" s="686"/>
      <c r="AA89" s="686"/>
      <c r="AB89" s="713" t="str">
        <f>IMAGE("https://raw.githubusercontent.com/msikma/pokesprite/master/misc/types/gen8/water.png",4,20,20)</f>
        <v/>
      </c>
      <c r="AD89" s="707" t="s">
        <v>777</v>
      </c>
      <c r="AE89" s="686"/>
      <c r="AF89" s="686"/>
      <c r="AG89" s="713" t="str">
        <f>IMAGE("https://raw.githubusercontent.com/msikma/pokesprite/master/misc/types/gen8/normal.png",4,20,20)</f>
        <v/>
      </c>
      <c r="AH89" s="673"/>
      <c r="AI89" s="6747"/>
    </row>
    <row r="90" ht="20.25" customHeight="1">
      <c r="A90" s="6738"/>
      <c r="B90" s="666"/>
      <c r="C90" s="712"/>
      <c r="D90" s="690"/>
      <c r="E90" s="707" t="s">
        <v>1401</v>
      </c>
      <c r="F90" s="686"/>
      <c r="G90" s="686"/>
      <c r="H90" s="713" t="str">
        <f>IMAGE("https://raw.githubusercontent.com/msikma/pokesprite/master/misc/types/gen8/electric.png",4,20,20)</f>
        <v/>
      </c>
      <c r="I90" s="710"/>
      <c r="J90" s="707" t="s">
        <v>1932</v>
      </c>
      <c r="K90" s="686"/>
      <c r="L90" s="686"/>
      <c r="M90" s="713" t="str">
        <f t="shared" si="5"/>
        <v/>
      </c>
      <c r="N90" s="710"/>
      <c r="O90" s="707" t="s">
        <v>844</v>
      </c>
      <c r="P90" s="686"/>
      <c r="Q90" s="686"/>
      <c r="R90" s="713" t="str">
        <f>IMAGE("https://raw.githubusercontent.com/msikma/pokesprite/master/misc/types/gen8/electric.png",4,20,20)</f>
        <v/>
      </c>
      <c r="S90" s="710"/>
      <c r="T90" s="707" t="s">
        <v>643</v>
      </c>
      <c r="U90" s="686"/>
      <c r="V90" s="686"/>
      <c r="W90" s="713" t="str">
        <f t="shared" si="6"/>
        <v/>
      </c>
      <c r="Y90" s="707" t="s">
        <v>762</v>
      </c>
      <c r="Z90" s="686"/>
      <c r="AA90" s="686"/>
      <c r="AB90" s="713" t="str">
        <f>IMAGE("https://raw.githubusercontent.com/msikma/pokesprite/master/misc/types/gen8/dark.png",4,20,20)</f>
        <v/>
      </c>
      <c r="AD90" s="707" t="s">
        <v>542</v>
      </c>
      <c r="AE90" s="686"/>
      <c r="AF90" s="686"/>
      <c r="AG90" s="713" t="str">
        <f>IMAGE("https://raw.githubusercontent.com/msikma/pokesprite/master/misc/types/gen8/water.png",4,20,20)</f>
        <v/>
      </c>
      <c r="AH90" s="673"/>
      <c r="AI90" s="6747"/>
    </row>
    <row r="91" ht="21.0" customHeight="1">
      <c r="A91" s="6738"/>
      <c r="B91" s="666"/>
      <c r="C91" s="712"/>
      <c r="D91" s="690"/>
      <c r="E91" s="714" t="s">
        <v>777</v>
      </c>
      <c r="F91" s="715"/>
      <c r="G91" s="715"/>
      <c r="H91" s="716" t="str">
        <f>IMAGE("https://raw.githubusercontent.com/msikma/pokesprite/master/misc/types/gen8/normal.png",4,20,20)</f>
        <v/>
      </c>
      <c r="I91" s="710"/>
      <c r="J91" s="714" t="s">
        <v>844</v>
      </c>
      <c r="K91" s="715"/>
      <c r="L91" s="715"/>
      <c r="M91" s="716" t="str">
        <f>IMAGE("https://raw.githubusercontent.com/msikma/pokesprite/master/misc/types/gen8/electric.png",4,20,20)</f>
        <v/>
      </c>
      <c r="N91" s="710"/>
      <c r="O91" s="714" t="s">
        <v>643</v>
      </c>
      <c r="P91" s="715"/>
      <c r="Q91" s="715"/>
      <c r="R91" s="716" t="str">
        <f>IMAGE("https://raw.githubusercontent.com/msikma/pokesprite/master/misc/types/gen8/water.png",4,20,20)</f>
        <v/>
      </c>
      <c r="S91" s="710"/>
      <c r="T91" s="714" t="s">
        <v>546</v>
      </c>
      <c r="U91" s="715"/>
      <c r="V91" s="715"/>
      <c r="W91" s="716" t="str">
        <f>IMAGE("https://raw.githubusercontent.com/msikma/pokesprite/master/misc/types/gen8/flying.png",4,20,20)</f>
        <v/>
      </c>
      <c r="X91" s="678"/>
      <c r="Y91" s="714" t="s">
        <v>273</v>
      </c>
      <c r="Z91" s="715"/>
      <c r="AA91" s="715"/>
      <c r="AB91" s="716" t="str">
        <f>IMAGE("https://raw.githubusercontent.com/msikma/pokesprite/master/misc/types/gen8/normal.png",4,20,20)</f>
        <v/>
      </c>
      <c r="AC91" s="678"/>
      <c r="AD91" s="714" t="s">
        <v>1146</v>
      </c>
      <c r="AE91" s="715"/>
      <c r="AF91" s="715"/>
      <c r="AG91" s="716" t="str">
        <f>IMAGE("https://raw.githubusercontent.com/msikma/pokesprite/master/misc/types/gen8/dark.png",4,20,20)</f>
        <v/>
      </c>
      <c r="AH91" s="673"/>
      <c r="AI91" s="6747"/>
    </row>
    <row r="92" ht="3.0" customHeight="1">
      <c r="A92" s="6738"/>
      <c r="B92" s="666"/>
      <c r="C92" s="718"/>
      <c r="D92" s="719"/>
      <c r="E92" s="720"/>
      <c r="F92" s="720"/>
      <c r="G92" s="720"/>
      <c r="H92" s="720"/>
      <c r="I92" s="719"/>
      <c r="J92" s="720"/>
      <c r="K92" s="720"/>
      <c r="L92" s="720"/>
      <c r="M92" s="720"/>
      <c r="N92" s="719"/>
      <c r="O92" s="720"/>
      <c r="P92" s="720"/>
      <c r="Q92" s="720"/>
      <c r="R92" s="720"/>
      <c r="S92" s="719"/>
      <c r="T92" s="720"/>
      <c r="U92" s="720"/>
      <c r="V92" s="720"/>
      <c r="W92" s="720"/>
      <c r="X92" s="719"/>
      <c r="Y92" s="720"/>
      <c r="Z92" s="720"/>
      <c r="AA92" s="720"/>
      <c r="AB92" s="720"/>
      <c r="AC92" s="723"/>
      <c r="AD92" s="720"/>
      <c r="AE92" s="720"/>
      <c r="AF92" s="720"/>
      <c r="AG92" s="720"/>
      <c r="AH92" s="673"/>
      <c r="AI92" s="6747"/>
    </row>
    <row r="93" ht="16.5" customHeight="1">
      <c r="A93" s="6738"/>
      <c r="B93" s="724"/>
      <c r="C93" s="718"/>
      <c r="D93" s="725"/>
      <c r="E93" s="726" t="s">
        <v>512</v>
      </c>
      <c r="F93" s="606"/>
      <c r="G93" s="606"/>
      <c r="H93" s="607"/>
      <c r="I93" s="727"/>
      <c r="J93" s="726" t="s">
        <v>512</v>
      </c>
      <c r="K93" s="606"/>
      <c r="L93" s="606"/>
      <c r="M93" s="607"/>
      <c r="N93" s="727"/>
      <c r="O93" s="726" t="s">
        <v>512</v>
      </c>
      <c r="P93" s="606"/>
      <c r="Q93" s="606"/>
      <c r="R93" s="607"/>
      <c r="S93" s="727"/>
      <c r="T93" s="726" t="s">
        <v>512</v>
      </c>
      <c r="U93" s="606"/>
      <c r="V93" s="606"/>
      <c r="W93" s="607"/>
      <c r="X93" s="728"/>
      <c r="Y93" s="726" t="s">
        <v>512</v>
      </c>
      <c r="Z93" s="606"/>
      <c r="AA93" s="606"/>
      <c r="AB93" s="607"/>
      <c r="AC93" s="749"/>
      <c r="AD93" s="726" t="s">
        <v>512</v>
      </c>
      <c r="AE93" s="606"/>
      <c r="AF93" s="606"/>
      <c r="AG93" s="607"/>
      <c r="AH93" s="750"/>
      <c r="AI93" s="6747"/>
    </row>
    <row r="94" ht="16.5" customHeight="1">
      <c r="A94" s="6738"/>
      <c r="B94" s="724"/>
      <c r="C94" s="718"/>
      <c r="D94" s="725"/>
      <c r="E94" s="731" t="s">
        <v>513</v>
      </c>
      <c r="F94" s="732">
        <f t="array" ref="F94">IFERROR(VLOOKUP(E81,Dex!$B$3:$N1219,8,FALSE),"")</f>
        <v>35</v>
      </c>
      <c r="G94" s="733" t="str">
        <f t="array" ref="G94">IFERROR(VLOOKUP(F94,Dex!$P$22:$Q$276,2,FALSE),"")</f>
        <v/>
      </c>
      <c r="H94" s="734"/>
      <c r="I94" s="735"/>
      <c r="J94" s="731" t="s">
        <v>513</v>
      </c>
      <c r="K94" s="732">
        <f t="array" ref="K94">IFERROR(VLOOKUP(J81,Dex!$B$3:$N1219,8,FALSE),"")</f>
        <v>100</v>
      </c>
      <c r="L94" s="733" t="str">
        <f t="array" ref="L94">IFERROR(VLOOKUP(K94,Dex!$P$22:$Q$276,2,FALSE),"")</f>
        <v/>
      </c>
      <c r="M94" s="734"/>
      <c r="N94" s="735"/>
      <c r="O94" s="731" t="s">
        <v>513</v>
      </c>
      <c r="P94" s="732">
        <f t="array" ref="P94">IFERROR(VLOOKUP(O81,Dex!$B$3:$N1219,8,FALSE),"")</f>
        <v>80</v>
      </c>
      <c r="Q94" s="733" t="str">
        <f t="array" ref="Q94">IFERROR(VLOOKUP(P94,Dex!$P$22:$Q$276,2,FALSE),"")</f>
        <v/>
      </c>
      <c r="R94" s="734"/>
      <c r="S94" s="735"/>
      <c r="T94" s="731" t="s">
        <v>513</v>
      </c>
      <c r="U94" s="732">
        <f t="array" ref="U94">IFERROR(VLOOKUP(T81,Dex!$B$3:$N1219,8,FALSE),"")</f>
        <v>75</v>
      </c>
      <c r="V94" s="733" t="str">
        <f t="array" ref="V94">IFERROR(VLOOKUP(U94,Dex!$P$22:$Q$276,2,FALSE),"")</f>
        <v/>
      </c>
      <c r="W94" s="734"/>
      <c r="X94" s="736"/>
      <c r="Y94" s="731" t="s">
        <v>513</v>
      </c>
      <c r="Z94" s="732">
        <f t="array" ref="Z94">IFERROR(VLOOKUP(Y81,Dex!$B$3:$N1219,8,FALSE),"")</f>
        <v>90</v>
      </c>
      <c r="AA94" s="733" t="str">
        <f t="array" ref="AA94">IFERROR(VLOOKUP(Z94,Dex!$P$22:$Q$276,2,FALSE),"")</f>
        <v/>
      </c>
      <c r="AB94" s="734"/>
      <c r="AC94" s="6822"/>
      <c r="AD94" s="731" t="s">
        <v>513</v>
      </c>
      <c r="AE94" s="732">
        <f t="array" ref="AE94">IFERROR(VLOOKUP(AD81,Dex!$B$3:$N1219,8,FALSE),"")</f>
        <v>85</v>
      </c>
      <c r="AF94" s="733" t="str">
        <f t="array" ref="AF94">IFERROR(VLOOKUP(AE94,Dex!$P$22:$Q$276,2,FALSE),"")</f>
        <v/>
      </c>
      <c r="AG94" s="734"/>
      <c r="AH94" s="750"/>
      <c r="AI94" s="6747"/>
    </row>
    <row r="95" ht="16.5" customHeight="1">
      <c r="A95" s="6738"/>
      <c r="B95" s="724"/>
      <c r="C95" s="718"/>
      <c r="D95" s="725"/>
      <c r="E95" s="738" t="s">
        <v>514</v>
      </c>
      <c r="F95" s="739">
        <f t="array" ref="F95">IFERROR(VLOOKUP(E81,Dex!$B$3:$N1219,9,FALSE),"")</f>
        <v>55</v>
      </c>
      <c r="G95" s="740" t="str">
        <f t="array" ref="G95">IFERROR(VLOOKUP(F95,Dex!$P$22:$Q$276,2,FALSE),"")</f>
        <v/>
      </c>
      <c r="H95" s="741"/>
      <c r="I95" s="735"/>
      <c r="J95" s="738" t="s">
        <v>514</v>
      </c>
      <c r="K95" s="739">
        <f t="array" ref="K95">IFERROR(VLOOKUP(J81,Dex!$B$3:$N1219,9,FALSE),"")</f>
        <v>150</v>
      </c>
      <c r="L95" s="740" t="str">
        <f t="array" ref="L95">IFERROR(VLOOKUP(K95,Dex!$P$22:$Q$276,2,FALSE),"")</f>
        <v/>
      </c>
      <c r="M95" s="741"/>
      <c r="N95" s="735"/>
      <c r="O95" s="738" t="s">
        <v>514</v>
      </c>
      <c r="P95" s="739">
        <f t="array" ref="P95">IFERROR(VLOOKUP(O81,Dex!$B$3:$N1219,9,FALSE),"")</f>
        <v>100</v>
      </c>
      <c r="Q95" s="740" t="str">
        <f t="array" ref="Q95">IFERROR(VLOOKUP(P95,Dex!$P$22:$Q$276,2,FALSE),"")</f>
        <v/>
      </c>
      <c r="R95" s="741"/>
      <c r="S95" s="735"/>
      <c r="T95" s="738" t="s">
        <v>514</v>
      </c>
      <c r="U95" s="739">
        <f t="array" ref="U95">IFERROR(VLOOKUP(T81,Dex!$B$3:$N1219,9,FALSE),"")</f>
        <v>95</v>
      </c>
      <c r="V95" s="740" t="str">
        <f t="array" ref="V95">IFERROR(VLOOKUP(U95,Dex!$P$22:$Q$276,2,FALSE),"")</f>
        <v/>
      </c>
      <c r="W95" s="741"/>
      <c r="X95" s="736"/>
      <c r="Y95" s="738" t="s">
        <v>514</v>
      </c>
      <c r="Z95" s="739">
        <f t="array" ref="Z95">IFERROR(VLOOKUP(Y81,Dex!$B$3:$N1219,9,FALSE),"")</f>
        <v>155</v>
      </c>
      <c r="AA95" s="740" t="str">
        <f t="array" ref="AA95">IFERROR(VLOOKUP(Z95,Dex!$P$22:$Q$276,2,FALSE),"")</f>
        <v/>
      </c>
      <c r="AB95" s="741"/>
      <c r="AC95" s="6822"/>
      <c r="AD95" s="738" t="s">
        <v>514</v>
      </c>
      <c r="AE95" s="739">
        <f t="array" ref="AE95">IFERROR(VLOOKUP(AD81,Dex!$B$3:$N1219,9,FALSE),"")</f>
        <v>90</v>
      </c>
      <c r="AF95" s="740" t="str">
        <f t="array" ref="AF95">IFERROR(VLOOKUP(AE95,Dex!$P$22:$Q$276,2,FALSE),"")</f>
        <v/>
      </c>
      <c r="AG95" s="741"/>
      <c r="AH95" s="750"/>
      <c r="AI95" s="6747"/>
    </row>
    <row r="96" ht="16.5" customHeight="1">
      <c r="A96" s="6738"/>
      <c r="B96" s="724"/>
      <c r="C96" s="718"/>
      <c r="D96" s="725"/>
      <c r="E96" s="738" t="s">
        <v>515</v>
      </c>
      <c r="F96" s="739">
        <f t="array" ref="F96">IFERROR(VLOOKUP(E81,Dex!$B$3:$N1219,10,FALSE),"")</f>
        <v>40</v>
      </c>
      <c r="G96" s="740" t="str">
        <f t="array" ref="G96">IFERROR(VLOOKUP(F96,Dex!$P$22:$Q$276,2,FALSE),"")</f>
        <v/>
      </c>
      <c r="H96" s="741"/>
      <c r="I96" s="735"/>
      <c r="J96" s="738" t="s">
        <v>515</v>
      </c>
      <c r="K96" s="739">
        <f t="array" ref="K96">IFERROR(VLOOKUP(J81,Dex!$B$3:$N1219,10,FALSE),"")</f>
        <v>90</v>
      </c>
      <c r="L96" s="740" t="str">
        <f t="array" ref="L96">IFERROR(VLOOKUP(K96,Dex!$P$22:$Q$276,2,FALSE),"")</f>
        <v/>
      </c>
      <c r="M96" s="741"/>
      <c r="N96" s="735"/>
      <c r="O96" s="738" t="s">
        <v>515</v>
      </c>
      <c r="P96" s="739">
        <f t="array" ref="P96">IFERROR(VLOOKUP(O81,Dex!$B$3:$N1219,10,FALSE),"")</f>
        <v>100</v>
      </c>
      <c r="Q96" s="740" t="str">
        <f t="array" ref="Q96">IFERROR(VLOOKUP(P96,Dex!$P$22:$Q$276,2,FALSE),"")</f>
        <v/>
      </c>
      <c r="R96" s="741"/>
      <c r="S96" s="735"/>
      <c r="T96" s="738" t="s">
        <v>515</v>
      </c>
      <c r="U96" s="739">
        <f t="array" ref="U96">IFERROR(VLOOKUP(T81,Dex!$B$3:$N1219,10,FALSE),"")</f>
        <v>95</v>
      </c>
      <c r="V96" s="740" t="str">
        <f t="array" ref="V96">IFERROR(VLOOKUP(U96,Dex!$P$22:$Q$276,2,FALSE),"")</f>
        <v/>
      </c>
      <c r="W96" s="741"/>
      <c r="X96" s="736"/>
      <c r="Y96" s="738" t="s">
        <v>515</v>
      </c>
      <c r="Z96" s="739">
        <f t="array" ref="Z96">IFERROR(VLOOKUP(Y81,Dex!$B$3:$N1219,10,FALSE),"")</f>
        <v>125</v>
      </c>
      <c r="AA96" s="740" t="str">
        <f t="array" ref="AA96">IFERROR(VLOOKUP(Z96,Dex!$P$22:$Q$276,2,FALSE),"")</f>
        <v/>
      </c>
      <c r="AB96" s="741"/>
      <c r="AC96" s="6822"/>
      <c r="AD96" s="738" t="s">
        <v>515</v>
      </c>
      <c r="AE96" s="739">
        <f t="array" ref="AE96">IFERROR(VLOOKUP(AD81,Dex!$B$3:$N1219,10,FALSE),"")</f>
        <v>55</v>
      </c>
      <c r="AF96" s="740" t="str">
        <f t="array" ref="AF96">IFERROR(VLOOKUP(AE96,Dex!$P$22:$Q$276,2,FALSE),"")</f>
        <v/>
      </c>
      <c r="AG96" s="741"/>
      <c r="AH96" s="750"/>
      <c r="AI96" s="6747"/>
    </row>
    <row r="97" ht="16.5" customHeight="1">
      <c r="A97" s="6738"/>
      <c r="B97" s="724"/>
      <c r="C97" s="718"/>
      <c r="D97" s="725"/>
      <c r="E97" s="738" t="s">
        <v>516</v>
      </c>
      <c r="F97" s="739">
        <f t="array" ref="F97">IFERROR(VLOOKUP(E81,Dex!$B$3:$N1219,11,FALSE),"")</f>
        <v>50</v>
      </c>
      <c r="G97" s="740" t="str">
        <f t="array" ref="G97">IFERROR(VLOOKUP(F97,Dex!$P$22:$Q$276,2,FALSE),"")</f>
        <v/>
      </c>
      <c r="H97" s="741"/>
      <c r="I97" s="735"/>
      <c r="J97" s="738" t="s">
        <v>516</v>
      </c>
      <c r="K97" s="739">
        <f t="array" ref="K97">IFERROR(VLOOKUP(J81,Dex!$B$3:$N1219,11,FALSE),"")</f>
        <v>180</v>
      </c>
      <c r="L97" s="740" t="str">
        <f t="array" ref="L97">IFERROR(VLOOKUP(K97,Dex!$P$22:$Q$276,2,FALSE),"")</f>
        <v/>
      </c>
      <c r="M97" s="741"/>
      <c r="N97" s="735"/>
      <c r="O97" s="738" t="s">
        <v>516</v>
      </c>
      <c r="P97" s="739">
        <f t="array" ref="P97">IFERROR(VLOOKUP(O81,Dex!$B$3:$N1219,11,FALSE),"")</f>
        <v>110</v>
      </c>
      <c r="Q97" s="740" t="str">
        <f t="array" ref="Q97">IFERROR(VLOOKUP(P97,Dex!$P$22:$Q$276,2,FALSE),"")</f>
        <v/>
      </c>
      <c r="R97" s="741"/>
      <c r="S97" s="735"/>
      <c r="T97" s="738" t="s">
        <v>516</v>
      </c>
      <c r="U97" s="739">
        <f t="array" ref="U97">IFERROR(VLOOKUP(T81,Dex!$B$3:$N1219,11,FALSE),"")</f>
        <v>95</v>
      </c>
      <c r="V97" s="740" t="str">
        <f t="array" ref="V97">IFERROR(VLOOKUP(U97,Dex!$P$22:$Q$276,2,FALSE),"")</f>
        <v/>
      </c>
      <c r="W97" s="741"/>
      <c r="X97" s="736"/>
      <c r="Y97" s="738" t="s">
        <v>516</v>
      </c>
      <c r="Z97" s="739">
        <f t="array" ref="Z97">IFERROR(VLOOKUP(Y81,Dex!$B$3:$N1219,11,FALSE),"")</f>
        <v>48</v>
      </c>
      <c r="AA97" s="740" t="str">
        <f t="array" ref="AA97">IFERROR(VLOOKUP(Z97,Dex!$P$22:$Q$276,2,FALSE),"")</f>
        <v/>
      </c>
      <c r="AB97" s="741"/>
      <c r="AC97" s="6822"/>
      <c r="AD97" s="738" t="s">
        <v>516</v>
      </c>
      <c r="AE97" s="739">
        <f t="array" ref="AE97">IFERROR(VLOOKUP(AD81,Dex!$B$3:$N1219,11,FALSE),"")</f>
        <v>95</v>
      </c>
      <c r="AF97" s="740" t="str">
        <f t="array" ref="AF97">IFERROR(VLOOKUP(AE97,Dex!$P$22:$Q$276,2,FALSE),"")</f>
        <v/>
      </c>
      <c r="AG97" s="741"/>
      <c r="AH97" s="750"/>
      <c r="AI97" s="6747"/>
    </row>
    <row r="98" ht="16.5" customHeight="1">
      <c r="A98" s="6738"/>
      <c r="B98" s="724"/>
      <c r="C98" s="718"/>
      <c r="D98" s="725"/>
      <c r="E98" s="738" t="s">
        <v>517</v>
      </c>
      <c r="F98" s="739">
        <f t="array" ref="F98">IFERROR(VLOOKUP(E81,Dex!$B$3:$N1219,12,FALSE),"")</f>
        <v>50</v>
      </c>
      <c r="G98" s="740" t="str">
        <f t="array" ref="G98">IFERROR(VLOOKUP(F98,Dex!$P$22:$Q$276,2,FALSE),"")</f>
        <v/>
      </c>
      <c r="H98" s="741"/>
      <c r="I98" s="735"/>
      <c r="J98" s="738" t="s">
        <v>517</v>
      </c>
      <c r="K98" s="739">
        <f t="array" ref="K98">IFERROR(VLOOKUP(J81,Dex!$B$3:$N1219,12,FALSE),"")</f>
        <v>160</v>
      </c>
      <c r="L98" s="740" t="str">
        <f t="array" ref="L98">IFERROR(VLOOKUP(K98,Dex!$P$22:$Q$276,2,FALSE),"")</f>
        <v/>
      </c>
      <c r="M98" s="741"/>
      <c r="N98" s="735"/>
      <c r="O98" s="738" t="s">
        <v>517</v>
      </c>
      <c r="P98" s="739">
        <f t="array" ref="P98">IFERROR(VLOOKUP(O81,Dex!$B$3:$N1219,12,FALSE),"")</f>
        <v>150</v>
      </c>
      <c r="Q98" s="740" t="str">
        <f t="array" ref="Q98">IFERROR(VLOOKUP(P98,Dex!$P$22:$Q$276,2,FALSE),"")</f>
        <v/>
      </c>
      <c r="R98" s="741"/>
      <c r="S98" s="735"/>
      <c r="T98" s="738" t="s">
        <v>517</v>
      </c>
      <c r="U98" s="739">
        <f t="array" ref="U98">IFERROR(VLOOKUP(T81,Dex!$B$3:$N1219,12,FALSE),"")</f>
        <v>95</v>
      </c>
      <c r="V98" s="740" t="str">
        <f t="array" ref="V98">IFERROR(VLOOKUP(U98,Dex!$P$22:$Q$276,2,FALSE),"")</f>
        <v/>
      </c>
      <c r="W98" s="741"/>
      <c r="X98" s="736"/>
      <c r="Y98" s="738" t="s">
        <v>517</v>
      </c>
      <c r="Z98" s="739">
        <f t="array" ref="Z98">IFERROR(VLOOKUP(Y81,Dex!$B$3:$N1219,12,FALSE),"")</f>
        <v>98</v>
      </c>
      <c r="AA98" s="740" t="str">
        <f t="array" ref="AA98">IFERROR(VLOOKUP(Z98,Dex!$P$22:$Q$276,2,FALSE),"")</f>
        <v/>
      </c>
      <c r="AB98" s="741"/>
      <c r="AC98" s="6822"/>
      <c r="AD98" s="738" t="s">
        <v>517</v>
      </c>
      <c r="AE98" s="739">
        <f t="array" ref="AE98">IFERROR(VLOOKUP(AD81,Dex!$B$3:$N1219,12,FALSE),"")</f>
        <v>50</v>
      </c>
      <c r="AF98" s="740" t="str">
        <f t="array" ref="AF98">IFERROR(VLOOKUP(AE98,Dex!$P$22:$Q$276,2,FALSE),"")</f>
        <v/>
      </c>
      <c r="AG98" s="741"/>
      <c r="AH98" s="750"/>
      <c r="AI98" s="6747"/>
    </row>
    <row r="99" ht="15.75" customHeight="1">
      <c r="A99" s="6738"/>
      <c r="B99" s="724"/>
      <c r="C99" s="718"/>
      <c r="D99" s="725"/>
      <c r="E99" s="742" t="s">
        <v>518</v>
      </c>
      <c r="F99" s="743">
        <f t="array" ref="F99">IFERROR(VLOOKUP(E81,Dex!$B$3:$N1219,13,FALSE),"")</f>
        <v>90</v>
      </c>
      <c r="G99" s="744" t="str">
        <f t="array" ref="G99">IFERROR(VLOOKUP(F99,Dex!$P$22:$Q$276,2,FALSE),"")</f>
        <v/>
      </c>
      <c r="H99" s="745"/>
      <c r="I99" s="735"/>
      <c r="J99" s="742" t="s">
        <v>518</v>
      </c>
      <c r="K99" s="743">
        <f t="array" ref="K99">IFERROR(VLOOKUP(J81,Dex!$B$3:$N1219,13,FALSE),"")</f>
        <v>90</v>
      </c>
      <c r="L99" s="744" t="str">
        <f t="array" ref="L99">IFERROR(VLOOKUP(K99,Dex!$P$22:$Q$276,2,FALSE),"")</f>
        <v/>
      </c>
      <c r="M99" s="745"/>
      <c r="N99" s="735"/>
      <c r="O99" s="742" t="s">
        <v>518</v>
      </c>
      <c r="P99" s="743">
        <f t="array" ref="P99">IFERROR(VLOOKUP(O81,Dex!$B$3:$N1219,13,FALSE),"")</f>
        <v>60</v>
      </c>
      <c r="Q99" s="744" t="str">
        <f t="array" ref="Q99">IFERROR(VLOOKUP(P99,Dex!$P$22:$Q$276,2,FALSE),"")</f>
        <v/>
      </c>
      <c r="R99" s="745"/>
      <c r="S99" s="735"/>
      <c r="T99" s="742" t="s">
        <v>518</v>
      </c>
      <c r="U99" s="743">
        <f t="array" ref="U99">IFERROR(VLOOKUP(T81,Dex!$B$3:$N1219,13,FALSE),"")</f>
        <v>85</v>
      </c>
      <c r="V99" s="744" t="str">
        <f t="array" ref="V99">IFERROR(VLOOKUP(U99,Dex!$P$22:$Q$276,2,FALSE),"")</f>
        <v/>
      </c>
      <c r="W99" s="745"/>
      <c r="X99" s="736"/>
      <c r="Y99" s="742" t="s">
        <v>518</v>
      </c>
      <c r="Z99" s="743">
        <f t="array" ref="Z99">IFERROR(VLOOKUP(Y81,Dex!$B$3:$N1219,13,FALSE),"")</f>
        <v>85</v>
      </c>
      <c r="AA99" s="744" t="str">
        <f t="array" ref="AA99">IFERROR(VLOOKUP(Z99,Dex!$P$22:$Q$276,2,FALSE),"")</f>
        <v/>
      </c>
      <c r="AB99" s="745"/>
      <c r="AC99" s="6822"/>
      <c r="AD99" s="742" t="s">
        <v>518</v>
      </c>
      <c r="AE99" s="743">
        <f t="array" ref="AE99">IFERROR(VLOOKUP(AD81,Dex!$B$3:$N1219,13,FALSE),"")</f>
        <v>115</v>
      </c>
      <c r="AF99" s="744" t="str">
        <f t="array" ref="AF99">IFERROR(VLOOKUP(AE99,Dex!$P$22:$Q$276,2,FALSE),"")</f>
        <v/>
      </c>
      <c r="AG99" s="745"/>
      <c r="AH99" s="750"/>
      <c r="AI99" s="6747"/>
    </row>
    <row r="100" ht="16.5" customHeight="1">
      <c r="A100" s="6738"/>
      <c r="B100" s="724"/>
      <c r="C100" s="718"/>
      <c r="D100" s="725"/>
      <c r="E100" s="746" t="s">
        <v>519</v>
      </c>
      <c r="F100" s="630"/>
      <c r="G100" s="631"/>
      <c r="H100" s="632">
        <f>ROUNDDOWN((ROUNDDOWN(((((2*F99+31)*100)/100+5)),0))*1.1,0)</f>
        <v>237</v>
      </c>
      <c r="I100" s="747"/>
      <c r="J100" s="746" t="s">
        <v>519</v>
      </c>
      <c r="K100" s="630"/>
      <c r="L100" s="631"/>
      <c r="M100" s="632">
        <f>ROUNDDOWN((ROUNDDOWN(((((2*K99+31)*100)/100+5)),0))*1.1,0)</f>
        <v>237</v>
      </c>
      <c r="N100" s="747"/>
      <c r="O100" s="746" t="s">
        <v>519</v>
      </c>
      <c r="P100" s="630"/>
      <c r="Q100" s="631"/>
      <c r="R100" s="632">
        <f>ROUNDDOWN((ROUNDDOWN(((((2*P99+31)*100)/100+5)),0))*1,0)</f>
        <v>156</v>
      </c>
      <c r="S100" s="747"/>
      <c r="T100" s="748" t="s">
        <v>519</v>
      </c>
      <c r="U100" s="635"/>
      <c r="V100" s="636"/>
      <c r="W100" s="632">
        <f>ROUNDDOWN((ROUNDDOWN(((((2*U99+31)*100)/100+5)),0))*1.1,0)</f>
        <v>226</v>
      </c>
      <c r="X100" s="728"/>
      <c r="Y100" s="746" t="s">
        <v>519</v>
      </c>
      <c r="Z100" s="630"/>
      <c r="AA100" s="631"/>
      <c r="AB100" s="632">
        <f>ROUNDDOWN((ROUNDDOWN(((((2*Z99+31)*100)/100+5)),0))*1.1,0)</f>
        <v>226</v>
      </c>
      <c r="AC100" s="749"/>
      <c r="AD100" s="746" t="s">
        <v>519</v>
      </c>
      <c r="AE100" s="630"/>
      <c r="AF100" s="631"/>
      <c r="AG100" s="632">
        <f>ROUNDDOWN((ROUNDDOWN(((((2*AE99+31)*100)/100+5)),0))*1.1,0)</f>
        <v>292</v>
      </c>
      <c r="AH100" s="750"/>
      <c r="AI100" s="6747"/>
    </row>
    <row r="101" ht="16.5" customHeight="1">
      <c r="A101" s="6738"/>
      <c r="B101" s="1482"/>
      <c r="C101" s="1478"/>
      <c r="D101" s="1483"/>
      <c r="E101" s="1486"/>
      <c r="F101" s="1486"/>
      <c r="G101" s="1486"/>
      <c r="H101" s="1487"/>
      <c r="I101" s="735"/>
      <c r="J101" s="1486"/>
      <c r="K101" s="1486"/>
      <c r="L101" s="1486"/>
      <c r="M101" s="1487"/>
      <c r="N101" s="735"/>
      <c r="O101" s="1486"/>
      <c r="P101" s="1486"/>
      <c r="Q101" s="1486"/>
      <c r="R101" s="1487"/>
      <c r="S101" s="735"/>
      <c r="T101" s="755" t="s">
        <v>555</v>
      </c>
      <c r="U101" s="643"/>
      <c r="V101" s="644"/>
      <c r="W101" s="6787">
        <f>W100*2</f>
        <v>452</v>
      </c>
      <c r="X101" s="735"/>
      <c r="Y101" s="1486"/>
      <c r="Z101" s="1486"/>
      <c r="AA101" s="1486"/>
      <c r="AB101" s="1487"/>
      <c r="AC101" s="735"/>
      <c r="AD101" s="1486"/>
      <c r="AE101" s="1486"/>
      <c r="AF101" s="1486"/>
      <c r="AG101" s="1487"/>
      <c r="AH101" s="730"/>
      <c r="AI101" s="6747"/>
    </row>
    <row r="102" ht="15.0" customHeight="1">
      <c r="A102" s="6738"/>
      <c r="B102" s="760"/>
      <c r="C102" s="761"/>
      <c r="D102" s="762"/>
      <c r="E102" s="763"/>
      <c r="F102" s="763"/>
      <c r="G102" s="763"/>
      <c r="H102" s="763"/>
      <c r="I102" s="762"/>
      <c r="J102" s="763"/>
      <c r="K102" s="763"/>
      <c r="L102" s="763"/>
      <c r="M102" s="763"/>
      <c r="N102" s="762"/>
      <c r="O102" s="763"/>
      <c r="P102" s="763"/>
      <c r="Q102" s="763"/>
      <c r="R102" s="763"/>
      <c r="S102" s="762"/>
      <c r="T102" s="763"/>
      <c r="U102" s="763"/>
      <c r="V102" s="763"/>
      <c r="W102" s="763"/>
      <c r="X102" s="763"/>
      <c r="Y102" s="763"/>
      <c r="Z102" s="763"/>
      <c r="AA102" s="763"/>
      <c r="AB102" s="763"/>
      <c r="AC102" s="763"/>
      <c r="AD102" s="763"/>
      <c r="AE102" s="763"/>
      <c r="AF102" s="763"/>
      <c r="AG102" s="763"/>
      <c r="AH102" s="764"/>
      <c r="AI102" s="6747"/>
    </row>
    <row r="103" ht="15.0" customHeight="1">
      <c r="A103" s="6738"/>
      <c r="B103" s="1609"/>
      <c r="C103" s="1610"/>
      <c r="D103" s="1611"/>
      <c r="E103" s="1612"/>
      <c r="F103" s="1612"/>
      <c r="G103" s="1612"/>
      <c r="H103" s="1612"/>
      <c r="I103" s="1611"/>
      <c r="J103" s="1612"/>
      <c r="K103" s="1612"/>
      <c r="L103" s="1612"/>
      <c r="M103" s="1612"/>
      <c r="N103" s="1611"/>
      <c r="O103" s="1612"/>
      <c r="P103" s="1612"/>
      <c r="Q103" s="1612"/>
      <c r="R103" s="1612"/>
      <c r="S103" s="1611"/>
      <c r="T103" s="1612"/>
      <c r="U103" s="1612"/>
      <c r="V103" s="1612"/>
      <c r="W103" s="1612"/>
      <c r="X103" s="1611"/>
      <c r="Y103" s="1612"/>
      <c r="Z103" s="1612"/>
      <c r="AA103" s="1612"/>
      <c r="AB103" s="1612"/>
      <c r="AC103" s="1611"/>
      <c r="AD103" s="1612"/>
      <c r="AE103" s="1612"/>
      <c r="AF103" s="1612"/>
      <c r="AG103" s="1612"/>
      <c r="AH103" s="1613"/>
      <c r="AI103" s="6747"/>
    </row>
    <row r="104">
      <c r="A104" s="6738"/>
      <c r="B104" s="1645"/>
      <c r="C104" s="1659"/>
      <c r="D104" s="1659"/>
      <c r="E104" s="6823" t="s">
        <v>1975</v>
      </c>
      <c r="F104" s="1668"/>
      <c r="G104" s="1668"/>
      <c r="H104" s="1668"/>
      <c r="I104" s="1668"/>
      <c r="J104" s="1668"/>
      <c r="K104" s="1668"/>
      <c r="L104" s="1668"/>
      <c r="M104" s="1668"/>
      <c r="N104" s="1668"/>
      <c r="O104" s="1668"/>
      <c r="P104" s="1668"/>
      <c r="Q104" s="1668"/>
      <c r="R104" s="1668"/>
      <c r="S104" s="1668"/>
      <c r="T104" s="1668"/>
      <c r="U104" s="1668"/>
      <c r="V104" s="1668"/>
      <c r="W104" s="1668"/>
      <c r="X104" s="1668"/>
      <c r="Y104" s="1668"/>
      <c r="Z104" s="1668"/>
      <c r="AA104" s="1668"/>
      <c r="AB104" s="1668"/>
      <c r="AC104" s="1668"/>
      <c r="AD104" s="1668"/>
      <c r="AE104" s="1668"/>
      <c r="AF104" s="1668"/>
      <c r="AG104" s="1669"/>
      <c r="AH104" s="6824"/>
      <c r="AI104" s="6747"/>
    </row>
    <row r="105" ht="96.75" customHeight="1">
      <c r="A105" s="6738"/>
      <c r="B105" s="1616"/>
      <c r="C105" s="1617" t="str">
        <f>IMAGE("https://i.ibb.co/gMdPsRL/Falkner.png")</f>
        <v/>
      </c>
      <c r="D105" s="1618"/>
      <c r="E105" s="1619" t="str">
        <f t="array" ref="E105">IFERROR(VLOOKUP(E106,Dex!$B$3:$G1219,3,FALSE),"")</f>
        <v/>
      </c>
      <c r="F105" s="539"/>
      <c r="G105" s="539"/>
      <c r="H105" s="540"/>
      <c r="I105" s="1618"/>
      <c r="J105" s="1619" t="str">
        <f t="array" ref="J105">IFERROR(VLOOKUP(J106,Dex!$B$3:$G1219,3,FALSE),"")</f>
        <v/>
      </c>
      <c r="K105" s="539"/>
      <c r="L105" s="539"/>
      <c r="M105" s="540"/>
      <c r="N105" s="1618"/>
      <c r="O105" s="1619" t="str">
        <f t="array" ref="O105">IFERROR(VLOOKUP(O106,Dex!$B$3:$G1219,3,FALSE),"")</f>
        <v/>
      </c>
      <c r="P105" s="539"/>
      <c r="Q105" s="539"/>
      <c r="R105" s="540"/>
      <c r="S105" s="1620"/>
      <c r="T105" s="1619" t="str">
        <f t="array" ref="T105">IFERROR(VLOOKUP(T106,Dex!$B$3:$G1219,3,FALSE),"")</f>
        <v/>
      </c>
      <c r="U105" s="539"/>
      <c r="V105" s="539"/>
      <c r="W105" s="540"/>
      <c r="X105" s="1620"/>
      <c r="Y105" s="1619" t="str">
        <f t="array" ref="Y105">IFERROR(VLOOKUP(Y106,Dex!$B$3:$G1219,3,FALSE),"")</f>
        <v/>
      </c>
      <c r="Z105" s="539"/>
      <c r="AA105" s="539"/>
      <c r="AB105" s="540"/>
      <c r="AC105" s="1620"/>
      <c r="AD105" s="1619" t="str">
        <f t="array" ref="AD105">IFERROR(VLOOKUP(AD106,Dex!$B$3:$G1219,3,FALSE),"")</f>
        <v/>
      </c>
      <c r="AE105" s="539"/>
      <c r="AF105" s="539"/>
      <c r="AG105" s="540"/>
      <c r="AH105" s="6825"/>
      <c r="AI105" s="6747"/>
    </row>
    <row r="106" ht="18.75" customHeight="1">
      <c r="A106" s="6738"/>
      <c r="B106" s="1627"/>
      <c r="C106" s="6826" t="s">
        <v>1976</v>
      </c>
      <c r="D106" s="1629"/>
      <c r="E106" s="1630" t="s">
        <v>1685</v>
      </c>
      <c r="F106" s="1631"/>
      <c r="G106" s="1631"/>
      <c r="H106" s="1632"/>
      <c r="I106" s="1629"/>
      <c r="J106" s="1630" t="s">
        <v>1529</v>
      </c>
      <c r="K106" s="1631"/>
      <c r="L106" s="1631"/>
      <c r="M106" s="1632"/>
      <c r="N106" s="1629"/>
      <c r="O106" s="1630" t="s">
        <v>1977</v>
      </c>
      <c r="P106" s="1631"/>
      <c r="Q106" s="1631"/>
      <c r="R106" s="1632"/>
      <c r="T106" s="1630" t="s">
        <v>1978</v>
      </c>
      <c r="U106" s="1631"/>
      <c r="V106" s="1631"/>
      <c r="W106" s="1632"/>
      <c r="Y106" s="1630" t="s">
        <v>679</v>
      </c>
      <c r="Z106" s="1631"/>
      <c r="AA106" s="1631"/>
      <c r="AB106" s="1632"/>
      <c r="AD106" s="1630" t="s">
        <v>1216</v>
      </c>
      <c r="AE106" s="1631"/>
      <c r="AF106" s="1631"/>
      <c r="AG106" s="1632"/>
      <c r="AH106" s="6827"/>
      <c r="AI106" s="6747"/>
    </row>
    <row r="107">
      <c r="A107" s="6738"/>
      <c r="B107" s="1637"/>
      <c r="C107" s="3095"/>
      <c r="D107" s="1639"/>
      <c r="E107" s="1640" t="s">
        <v>729</v>
      </c>
      <c r="F107" s="1623"/>
      <c r="G107" s="1623"/>
      <c r="H107" s="1641"/>
      <c r="I107" s="1629"/>
      <c r="J107" s="1640" t="s">
        <v>729</v>
      </c>
      <c r="K107" s="1623"/>
      <c r="L107" s="1623"/>
      <c r="M107" s="1641"/>
      <c r="N107" s="1629"/>
      <c r="O107" s="1640" t="s">
        <v>729</v>
      </c>
      <c r="P107" s="1623"/>
      <c r="Q107" s="1623"/>
      <c r="R107" s="1641"/>
      <c r="T107" s="1640" t="s">
        <v>729</v>
      </c>
      <c r="U107" s="1623"/>
      <c r="V107" s="1623"/>
      <c r="W107" s="1641"/>
      <c r="Y107" s="1640" t="s">
        <v>729</v>
      </c>
      <c r="Z107" s="1623"/>
      <c r="AA107" s="1623"/>
      <c r="AB107" s="1641"/>
      <c r="AD107" s="1640" t="s">
        <v>729</v>
      </c>
      <c r="AE107" s="1623"/>
      <c r="AF107" s="1623"/>
      <c r="AG107" s="1641"/>
      <c r="AH107" s="6828"/>
      <c r="AI107" s="6747"/>
    </row>
    <row r="108" ht="25.5" customHeight="1">
      <c r="A108" s="6738"/>
      <c r="B108" s="1616"/>
      <c r="C108" s="3112"/>
      <c r="D108" s="6829"/>
      <c r="E108" s="1648"/>
      <c r="F108" s="1649" t="str">
        <f t="array" ref="F108">IFERROR(VLOOKUP(E106,Dex!$B$3:$H1219,5,FALSE),"")</f>
        <v/>
      </c>
      <c r="G108" s="1650" t="str">
        <f t="array" ref="G108">IFERROR(VLOOKUP(E106,Dex!$B$3:$H1219,7,FALSE),"")</f>
        <v/>
      </c>
      <c r="H108" s="1651"/>
      <c r="I108" s="1634"/>
      <c r="J108" s="1648"/>
      <c r="K108" s="1649" t="str">
        <f t="array" ref="K108">IFERROR(VLOOKUP(J106,Dex!$B$3:$H1219,5,FALSE),"")</f>
        <v/>
      </c>
      <c r="L108" s="1650" t="str">
        <f t="array" ref="L108">IFERROR(VLOOKUP(J106,Dex!$B$3:$H1219,7,FALSE),"")</f>
        <v/>
      </c>
      <c r="M108" s="1651"/>
      <c r="N108" s="1634"/>
      <c r="O108" s="1648"/>
      <c r="P108" s="1649" t="str">
        <f t="array" ref="P108">IFERROR(VLOOKUP(O106,Dex!$B$3:$H1219,5,FALSE),"")</f>
        <v/>
      </c>
      <c r="Q108" s="1650" t="str">
        <f t="array" ref="Q108">IFERROR(VLOOKUP(O106,Dex!$B$3:$H1219,7,FALSE),"")</f>
        <v/>
      </c>
      <c r="R108" s="1651"/>
      <c r="T108" s="1648"/>
      <c r="U108" s="1649" t="str">
        <f t="array" ref="U108">IFERROR(VLOOKUP(T106,Dex!$B$3:$H1219,5,FALSE),"")</f>
        <v/>
      </c>
      <c r="V108" s="1650" t="str">
        <f t="array" ref="V108">IFERROR(VLOOKUP(T106,Dex!$B$3:$H1219,7,FALSE),"")</f>
        <v/>
      </c>
      <c r="W108" s="1651"/>
      <c r="Y108" s="1648"/>
      <c r="Z108" s="1649" t="str">
        <f t="array" ref="Z108">IFERROR(VLOOKUP(Y106,Dex!$B$3:$H1219,5,FALSE),"")</f>
        <v/>
      </c>
      <c r="AA108" s="1650" t="str">
        <f t="array" ref="AA108">IFERROR(VLOOKUP(Y106,Dex!$B$3:$H1219,7,FALSE),"")</f>
        <v/>
      </c>
      <c r="AB108" s="1651"/>
      <c r="AD108" s="1648"/>
      <c r="AE108" s="1649" t="str">
        <f t="array" ref="AE108">IFERROR(VLOOKUP(AD106,Dex!$B$3:$H1219,5,FALSE),"")</f>
        <v/>
      </c>
      <c r="AF108" s="1650" t="str">
        <f t="array" ref="AF108">IFERROR(VLOOKUP(AD106,Dex!$B$3:$H1219,7,FALSE),"")</f>
        <v/>
      </c>
      <c r="AG108" s="1651"/>
      <c r="AH108" s="1625"/>
      <c r="AI108" s="6747"/>
    </row>
    <row r="109" ht="2.25" customHeight="1">
      <c r="A109" s="6738"/>
      <c r="B109" s="1645"/>
      <c r="C109" s="6830"/>
      <c r="D109" s="6831"/>
      <c r="E109" s="1655"/>
      <c r="F109" s="1656"/>
      <c r="G109" s="1656"/>
      <c r="H109" s="1657"/>
      <c r="I109" s="1634"/>
      <c r="J109" s="1655"/>
      <c r="K109" s="1656"/>
      <c r="L109" s="1656"/>
      <c r="M109" s="1657"/>
      <c r="N109" s="1634"/>
      <c r="O109" s="1655"/>
      <c r="P109" s="1656"/>
      <c r="Q109" s="1656"/>
      <c r="R109" s="1657"/>
      <c r="T109" s="1655"/>
      <c r="U109" s="1656"/>
      <c r="V109" s="1656"/>
      <c r="W109" s="1657"/>
      <c r="Y109" s="1655"/>
      <c r="Z109" s="1656"/>
      <c r="AA109" s="1656"/>
      <c r="AB109" s="1657"/>
      <c r="AD109" s="1655"/>
      <c r="AE109" s="1656"/>
      <c r="AF109" s="1656"/>
      <c r="AG109" s="1657"/>
      <c r="AH109" s="1625"/>
      <c r="AI109" s="6747"/>
    </row>
    <row r="110" ht="20.25" customHeight="1">
      <c r="A110" s="6738"/>
      <c r="B110" s="1645"/>
      <c r="C110" s="6832"/>
      <c r="D110" s="6831"/>
      <c r="E110" s="1660" t="s">
        <v>564</v>
      </c>
      <c r="F110" s="1661"/>
      <c r="G110" s="1661"/>
      <c r="H110" s="1662"/>
      <c r="I110" s="1663"/>
      <c r="J110" s="1660" t="s">
        <v>564</v>
      </c>
      <c r="K110" s="1661"/>
      <c r="L110" s="1661"/>
      <c r="M110" s="1662"/>
      <c r="N110" s="1663"/>
      <c r="O110" s="1660" t="s">
        <v>564</v>
      </c>
      <c r="P110" s="1661"/>
      <c r="Q110" s="1661"/>
      <c r="R110" s="1662"/>
      <c r="T110" s="1660" t="s">
        <v>532</v>
      </c>
      <c r="U110" s="1661"/>
      <c r="V110" s="1661"/>
      <c r="W110" s="1662"/>
      <c r="Y110" s="1660" t="s">
        <v>532</v>
      </c>
      <c r="Z110" s="1661"/>
      <c r="AA110" s="1661"/>
      <c r="AB110" s="1662"/>
      <c r="AD110" s="1660" t="s">
        <v>532</v>
      </c>
      <c r="AE110" s="1661"/>
      <c r="AF110" s="1661"/>
      <c r="AG110" s="1662"/>
      <c r="AH110" s="6825"/>
      <c r="AI110" s="6747"/>
    </row>
    <row r="111">
      <c r="A111" s="6738"/>
      <c r="B111" s="1645"/>
      <c r="C111" s="6833"/>
      <c r="D111" s="6831"/>
      <c r="E111" s="1665" t="s">
        <v>1979</v>
      </c>
      <c r="F111" s="1623"/>
      <c r="G111" s="1623"/>
      <c r="H111" s="1641"/>
      <c r="I111" s="1663"/>
      <c r="J111" s="1665" t="s">
        <v>827</v>
      </c>
      <c r="K111" s="1623"/>
      <c r="L111" s="1623"/>
      <c r="M111" s="1641"/>
      <c r="N111" s="1663"/>
      <c r="O111" s="1665" t="s">
        <v>857</v>
      </c>
      <c r="P111" s="1623"/>
      <c r="Q111" s="1623"/>
      <c r="R111" s="1641"/>
      <c r="T111" s="1665" t="s">
        <v>98</v>
      </c>
      <c r="U111" s="1623"/>
      <c r="V111" s="1623"/>
      <c r="W111" s="1641"/>
      <c r="Y111" s="1665" t="s">
        <v>682</v>
      </c>
      <c r="Z111" s="1623"/>
      <c r="AA111" s="1623"/>
      <c r="AB111" s="1641"/>
      <c r="AD111" s="1665" t="s">
        <v>108</v>
      </c>
      <c r="AE111" s="1623"/>
      <c r="AF111" s="1623"/>
      <c r="AG111" s="1641"/>
      <c r="AH111" s="6825"/>
      <c r="AI111" s="6747"/>
    </row>
    <row r="112" ht="20.25" customHeight="1">
      <c r="A112" s="6738"/>
      <c r="B112" s="1645"/>
      <c r="C112" s="6834"/>
      <c r="D112" s="6831"/>
      <c r="E112" s="1667" t="s">
        <v>1690</v>
      </c>
      <c r="F112" s="1668"/>
      <c r="G112" s="1669"/>
      <c r="H112" s="1670" t="str">
        <f>IMAGE("https://raw.githubusercontent.com/msikma/pokesprite/master/items/mega-stone/pidgeotite.png",3)</f>
        <v/>
      </c>
      <c r="I112" s="1634"/>
      <c r="J112" s="1667" t="s">
        <v>1230</v>
      </c>
      <c r="K112" s="1668"/>
      <c r="L112" s="1669"/>
      <c r="M112" s="1670" t="str">
        <f>IMAGE("https://raw.githubusercontent.com/msikma/pokesprite/master/items/hold-item/choice-specs.png",3)</f>
        <v/>
      </c>
      <c r="N112" s="1634"/>
      <c r="O112" s="1667" t="s">
        <v>573</v>
      </c>
      <c r="P112" s="1668"/>
      <c r="Q112" s="1669"/>
      <c r="R112" s="1670" t="str">
        <f>IMAGE("https://raw.githubusercontent.com/msikma/pokesprite/master/items/hold-item/focus-sash.png",3)</f>
        <v/>
      </c>
      <c r="T112" s="1667" t="s">
        <v>1084</v>
      </c>
      <c r="U112" s="1668"/>
      <c r="V112" s="1669"/>
      <c r="W112" s="1670" t="str">
        <f>IMAGE("https://raw.githubusercontent.com/msikma/pokesprite/master/items/gem/flying.png",3)</f>
        <v/>
      </c>
      <c r="Y112" s="1667" t="s">
        <v>490</v>
      </c>
      <c r="Z112" s="1668"/>
      <c r="AA112" s="1669"/>
      <c r="AB112" s="1670" t="str">
        <f>IMAGE("https://raw.githubusercontent.com/msikma/pokesprite/master/items/berry/lum.png",3)</f>
        <v/>
      </c>
      <c r="AD112" s="1667" t="s">
        <v>687</v>
      </c>
      <c r="AE112" s="1668"/>
      <c r="AF112" s="1669"/>
      <c r="AG112" s="1670" t="str">
        <f>IMAGE("https://raw.githubusercontent.com/msikma/pokesprite/master/items/z-crystals/flyinium-z--held.png",3)</f>
        <v/>
      </c>
      <c r="AH112" s="1625"/>
      <c r="AI112" s="6747"/>
    </row>
    <row r="113" ht="20.25" customHeight="1">
      <c r="A113" s="6738"/>
      <c r="B113" s="1645"/>
      <c r="C113" s="6835"/>
      <c r="D113" s="6836"/>
      <c r="E113" s="1660" t="s">
        <v>546</v>
      </c>
      <c r="F113" s="1661"/>
      <c r="G113" s="1661"/>
      <c r="H113" s="1672" t="str">
        <f>IMAGE("https://raw.githubusercontent.com/msikma/pokesprite/master/misc/types/gen8/flying.png",4,20,20)</f>
        <v/>
      </c>
      <c r="I113" s="1634"/>
      <c r="J113" s="1660" t="s">
        <v>846</v>
      </c>
      <c r="K113" s="1661"/>
      <c r="L113" s="1661"/>
      <c r="M113" s="1672" t="str">
        <f>IMAGE("https://raw.githubusercontent.com/msikma/pokesprite/master/misc/types/gen8/bug.png",4,20,20)</f>
        <v/>
      </c>
      <c r="N113" s="1634"/>
      <c r="O113" s="1660" t="s">
        <v>1980</v>
      </c>
      <c r="P113" s="1661"/>
      <c r="Q113" s="1661"/>
      <c r="R113" s="1672" t="str">
        <f>IMAGE("https://raw.githubusercontent.com/msikma/pokesprite/master/misc/types/gen8/grass.png",4,20,20)</f>
        <v/>
      </c>
      <c r="T113" s="1660" t="s">
        <v>1532</v>
      </c>
      <c r="U113" s="1661"/>
      <c r="V113" s="1661"/>
      <c r="W113" s="1672" t="str">
        <f>IMAGE("https://raw.githubusercontent.com/msikma/pokesprite/master/misc/types/gen8/fighting.png",4,20,20)</f>
        <v/>
      </c>
      <c r="Y113" s="1660" t="s">
        <v>693</v>
      </c>
      <c r="Z113" s="1661"/>
      <c r="AA113" s="1661"/>
      <c r="AB113" s="1672" t="str">
        <f>IMAGE("https://raw.githubusercontent.com/msikma/pokesprite/master/misc/types/gen8/flying.png",4,20,20)</f>
        <v/>
      </c>
      <c r="AD113" s="1660" t="s">
        <v>219</v>
      </c>
      <c r="AE113" s="1661"/>
      <c r="AF113" s="1661"/>
      <c r="AG113" s="1672" t="str">
        <f>IMAGE("https://raw.githubusercontent.com/msikma/pokesprite/master/misc/types/gen8/dragon.png",4,20,20)</f>
        <v/>
      </c>
      <c r="AH113" s="1625"/>
      <c r="AI113" s="6747"/>
    </row>
    <row r="114" ht="20.25" customHeight="1">
      <c r="A114" s="6738"/>
      <c r="B114" s="1645"/>
      <c r="C114" s="1659"/>
      <c r="D114" s="1622"/>
      <c r="E114" s="1665" t="s">
        <v>1243</v>
      </c>
      <c r="F114" s="1623"/>
      <c r="G114" s="1623"/>
      <c r="H114" s="1673" t="str">
        <f>IMAGE("https://raw.githubusercontent.com/msikma/pokesprite/master/misc/types/gen8/fire.png",4,20,20)</f>
        <v/>
      </c>
      <c r="I114" s="1634"/>
      <c r="J114" s="1665" t="s">
        <v>805</v>
      </c>
      <c r="K114" s="1623"/>
      <c r="L114" s="1623"/>
      <c r="M114" s="1673" t="str">
        <f>IMAGE("https://raw.githubusercontent.com/msikma/pokesprite/master/misc/types/gen8/flying.png",4,20,20)</f>
        <v/>
      </c>
      <c r="N114" s="1634"/>
      <c r="O114" s="1665" t="s">
        <v>805</v>
      </c>
      <c r="P114" s="1623"/>
      <c r="Q114" s="1623"/>
      <c r="R114" s="1673" t="str">
        <f>IMAGE("https://raw.githubusercontent.com/msikma/pokesprite/master/misc/types/gen8/flying.png",4,20,20)</f>
        <v/>
      </c>
      <c r="T114" s="1665" t="s">
        <v>613</v>
      </c>
      <c r="U114" s="1623"/>
      <c r="V114" s="1623"/>
      <c r="W114" s="1673" t="str">
        <f>IMAGE("https://raw.githubusercontent.com/msikma/pokesprite/master/misc/types/gen8/flying.png",4,20,20)</f>
        <v/>
      </c>
      <c r="Y114" s="1665" t="s">
        <v>690</v>
      </c>
      <c r="Z114" s="1623"/>
      <c r="AA114" s="1623"/>
      <c r="AB114" s="1673" t="str">
        <f>IMAGE("https://raw.githubusercontent.com/msikma/pokesprite/master/misc/types/gen8/fire.png",4,20,20)</f>
        <v/>
      </c>
      <c r="AD114" s="1665" t="s">
        <v>760</v>
      </c>
      <c r="AE114" s="1623"/>
      <c r="AF114" s="1623"/>
      <c r="AG114" s="1673" t="str">
        <f>IMAGE("https://raw.githubusercontent.com/msikma/pokesprite/master/misc/types/gen8/water.png",4,20,20)</f>
        <v/>
      </c>
      <c r="AH114" s="1625"/>
      <c r="AI114" s="6747"/>
    </row>
    <row r="115" ht="20.25" customHeight="1">
      <c r="A115" s="6738"/>
      <c r="B115" s="1645"/>
      <c r="C115" s="1659"/>
      <c r="D115" s="1622"/>
      <c r="E115" s="1665" t="s">
        <v>590</v>
      </c>
      <c r="F115" s="1623"/>
      <c r="G115" s="1623"/>
      <c r="H115" s="1673" t="str">
        <f>IMAGE("https://raw.githubusercontent.com/msikma/pokesprite/master/misc/types/gen8/fighting.png",4,20,20)</f>
        <v/>
      </c>
      <c r="I115" s="1634"/>
      <c r="J115" s="1665" t="s">
        <v>543</v>
      </c>
      <c r="K115" s="1623"/>
      <c r="L115" s="1623"/>
      <c r="M115" s="1673" t="str">
        <f>IMAGE("https://raw.githubusercontent.com/msikma/pokesprite/master/misc/types/gen8/grass.png",4,20,20)</f>
        <v/>
      </c>
      <c r="N115" s="1634"/>
      <c r="O115" s="1665" t="s">
        <v>644</v>
      </c>
      <c r="P115" s="1623"/>
      <c r="Q115" s="1623"/>
      <c r="R115" s="1673" t="str">
        <f>IMAGE("https://raw.githubusercontent.com/msikma/pokesprite/master/misc/types/gen8/ground.png",4,20,20)</f>
        <v/>
      </c>
      <c r="T115" s="1665" t="s">
        <v>959</v>
      </c>
      <c r="U115" s="1623"/>
      <c r="V115" s="1623"/>
      <c r="W115" s="1673" t="str">
        <f>IMAGE("https://raw.githubusercontent.com/msikma/pokesprite/master/misc/types/gen8/fairy.png",4,20,20)</f>
        <v/>
      </c>
      <c r="Y115" s="1665" t="s">
        <v>549</v>
      </c>
      <c r="Z115" s="1623"/>
      <c r="AA115" s="1623"/>
      <c r="AB115" s="1673" t="str">
        <f>IMAGE("https://raw.githubusercontent.com/msikma/pokesprite/master/misc/types/gen8/ground.png",4,20,20)</f>
        <v/>
      </c>
      <c r="AD115" s="1665" t="s">
        <v>549</v>
      </c>
      <c r="AE115" s="1623"/>
      <c r="AF115" s="1623"/>
      <c r="AG115" s="1673" t="str">
        <f>IMAGE("https://raw.githubusercontent.com/msikma/pokesprite/master/misc/types/gen8/ground.png",4,20,20)</f>
        <v/>
      </c>
      <c r="AH115" s="1625"/>
      <c r="AI115" s="6747"/>
    </row>
    <row r="116" ht="21.0" customHeight="1">
      <c r="A116" s="6738"/>
      <c r="B116" s="1645"/>
      <c r="C116" s="1659"/>
      <c r="D116" s="1622"/>
      <c r="E116" s="1674" t="s">
        <v>612</v>
      </c>
      <c r="F116" s="1675"/>
      <c r="G116" s="1675"/>
      <c r="H116" s="1676" t="str">
        <f>IMAGE("https://raw.githubusercontent.com/msikma/pokesprite/master/misc/types/gen8/bug.png",4,20,20)</f>
        <v/>
      </c>
      <c r="I116" s="1634"/>
      <c r="J116" s="1674" t="s">
        <v>612</v>
      </c>
      <c r="K116" s="1675"/>
      <c r="L116" s="1675"/>
      <c r="M116" s="1676" t="str">
        <f>IMAGE("https://raw.githubusercontent.com/msikma/pokesprite/master/misc/types/gen8/bug.png",4,20,20)</f>
        <v/>
      </c>
      <c r="N116" s="1634"/>
      <c r="O116" s="1674" t="s">
        <v>587</v>
      </c>
      <c r="P116" s="1675"/>
      <c r="Q116" s="1675"/>
      <c r="R116" s="1676" t="str">
        <f>IMAGE("https://raw.githubusercontent.com/msikma/pokesprite/master/misc/types/gen8/ice.png",4,20,20)</f>
        <v/>
      </c>
      <c r="S116" s="1631"/>
      <c r="T116" s="1674" t="s">
        <v>579</v>
      </c>
      <c r="U116" s="1675"/>
      <c r="V116" s="1675"/>
      <c r="W116" s="1676" t="str">
        <f>IMAGE("https://raw.githubusercontent.com/msikma/pokesprite/master/misc/types/gen8/dark.png",4,20,20)</f>
        <v/>
      </c>
      <c r="X116" s="1631"/>
      <c r="Y116" s="1674" t="s">
        <v>551</v>
      </c>
      <c r="Z116" s="1675"/>
      <c r="AA116" s="1675"/>
      <c r="AB116" s="1676" t="str">
        <f>IMAGE("https://raw.githubusercontent.com/msikma/pokesprite/master/misc/types/gen8/flying.png",4,20,20)</f>
        <v/>
      </c>
      <c r="AC116" s="1631"/>
      <c r="AD116" s="1674" t="s">
        <v>1223</v>
      </c>
      <c r="AE116" s="1675"/>
      <c r="AF116" s="1675"/>
      <c r="AG116" s="1676" t="str">
        <f>IMAGE("https://raw.githubusercontent.com/msikma/pokesprite/master/misc/types/gen8/flying.png",4,20,20)</f>
        <v/>
      </c>
      <c r="AH116" s="1625"/>
      <c r="AI116" s="6747"/>
    </row>
    <row r="117" ht="3.0" customHeight="1">
      <c r="A117" s="6738"/>
      <c r="B117" s="1678"/>
      <c r="C117" s="1679"/>
      <c r="D117" s="1680"/>
      <c r="E117" s="1681"/>
      <c r="F117" s="1681"/>
      <c r="G117" s="1681"/>
      <c r="H117" s="1681"/>
      <c r="I117" s="1680"/>
      <c r="J117" s="1681"/>
      <c r="K117" s="1681"/>
      <c r="L117" s="1681"/>
      <c r="M117" s="1681"/>
      <c r="N117" s="1680"/>
      <c r="O117" s="1681"/>
      <c r="P117" s="1681"/>
      <c r="Q117" s="1681"/>
      <c r="R117" s="1681"/>
      <c r="S117" s="1680"/>
      <c r="T117" s="1681"/>
      <c r="U117" s="1681"/>
      <c r="V117" s="1681"/>
      <c r="W117" s="1681"/>
      <c r="X117" s="1680"/>
      <c r="Y117" s="1681"/>
      <c r="Z117" s="1681"/>
      <c r="AA117" s="1681"/>
      <c r="AB117" s="1681"/>
      <c r="AC117" s="1682"/>
      <c r="AD117" s="1681"/>
      <c r="AE117" s="1681"/>
      <c r="AF117" s="1681"/>
      <c r="AG117" s="1681"/>
      <c r="AH117" s="1683"/>
      <c r="AI117" s="6747"/>
    </row>
    <row r="118" ht="16.5" customHeight="1">
      <c r="A118" s="6738"/>
      <c r="B118" s="1685"/>
      <c r="C118" s="1679"/>
      <c r="D118" s="1686"/>
      <c r="E118" s="1687" t="s">
        <v>512</v>
      </c>
      <c r="F118" s="606"/>
      <c r="G118" s="606"/>
      <c r="H118" s="607"/>
      <c r="I118" s="1686"/>
      <c r="J118" s="1687" t="s">
        <v>512</v>
      </c>
      <c r="K118" s="606"/>
      <c r="L118" s="606"/>
      <c r="M118" s="607"/>
      <c r="N118" s="1686"/>
      <c r="O118" s="1687" t="s">
        <v>512</v>
      </c>
      <c r="P118" s="606"/>
      <c r="Q118" s="606"/>
      <c r="R118" s="607"/>
      <c r="S118" s="1688"/>
      <c r="T118" s="1687" t="s">
        <v>512</v>
      </c>
      <c r="U118" s="606"/>
      <c r="V118" s="606"/>
      <c r="W118" s="607"/>
      <c r="X118" s="1689"/>
      <c r="Y118" s="1687" t="s">
        <v>512</v>
      </c>
      <c r="Z118" s="606"/>
      <c r="AA118" s="606"/>
      <c r="AB118" s="607"/>
      <c r="AC118" s="1689"/>
      <c r="AD118" s="1687" t="s">
        <v>512</v>
      </c>
      <c r="AE118" s="606"/>
      <c r="AF118" s="606"/>
      <c r="AG118" s="607"/>
      <c r="AH118" s="1691"/>
      <c r="AI118" s="6747"/>
    </row>
    <row r="119" ht="16.5" customHeight="1">
      <c r="A119" s="6738"/>
      <c r="B119" s="1685"/>
      <c r="C119" s="1679"/>
      <c r="D119" s="1686"/>
      <c r="E119" s="1693" t="s">
        <v>513</v>
      </c>
      <c r="F119" s="1694">
        <f t="array" ref="F119">IFERROR(VLOOKUP(E106,Dex!$B$3:$N1219,8,FALSE),"")</f>
        <v>83</v>
      </c>
      <c r="G119" s="1695" t="str">
        <f t="array" ref="G119">IFERROR(VLOOKUP(F119,Dex!$P$22:$Q$276,2,FALSE),"")</f>
        <v/>
      </c>
      <c r="H119" s="1696"/>
      <c r="I119" s="1686"/>
      <c r="J119" s="1693" t="s">
        <v>513</v>
      </c>
      <c r="K119" s="1694">
        <f t="array" ref="K119">IFERROR(VLOOKUP(J106,Dex!$B$3:$N1219,8,FALSE),"")</f>
        <v>86</v>
      </c>
      <c r="L119" s="1695" t="str">
        <f t="array" ref="L119">IFERROR(VLOOKUP(K119,Dex!$P$22:$Q$276,2,FALSE),"")</f>
        <v/>
      </c>
      <c r="M119" s="1696"/>
      <c r="N119" s="1686"/>
      <c r="O119" s="1693" t="s">
        <v>513</v>
      </c>
      <c r="P119" s="1694">
        <f t="array" ref="P119">IFERROR(VLOOKUP(O106,Dex!$B$3:$N1219,8,FALSE),"")</f>
        <v>100</v>
      </c>
      <c r="Q119" s="1695" t="str">
        <f t="array" ref="Q119">IFERROR(VLOOKUP(P119,Dex!$P$22:$Q$276,2,FALSE),"")</f>
        <v/>
      </c>
      <c r="R119" s="1696"/>
      <c r="S119" s="1699"/>
      <c r="T119" s="1693" t="s">
        <v>513</v>
      </c>
      <c r="U119" s="1694">
        <f t="array" ref="U119">IFERROR(VLOOKUP(T106,Dex!$B$3:$N1219,8,FALSE),"")</f>
        <v>74</v>
      </c>
      <c r="V119" s="1695" t="str">
        <f t="array" ref="V119">IFERROR(VLOOKUP(U119,Dex!$P$22:$Q$276,2,FALSE),"")</f>
        <v/>
      </c>
      <c r="W119" s="1696"/>
      <c r="X119" s="1690"/>
      <c r="Y119" s="1693" t="s">
        <v>513</v>
      </c>
      <c r="Z119" s="1694">
        <f t="array" ref="Z119">IFERROR(VLOOKUP(Y106,Dex!$B$3:$N1219,8,FALSE),"")</f>
        <v>106</v>
      </c>
      <c r="AA119" s="1695" t="str">
        <f t="array" ref="AA119">IFERROR(VLOOKUP(Z119,Dex!$P$22:$Q$276,2,FALSE),"")</f>
        <v/>
      </c>
      <c r="AB119" s="1696"/>
      <c r="AC119" s="1690"/>
      <c r="AD119" s="1693" t="s">
        <v>513</v>
      </c>
      <c r="AE119" s="1694">
        <f t="array" ref="AE119">IFERROR(VLOOKUP(AD106,Dex!$B$3:$N1219,8,FALSE),"")</f>
        <v>95</v>
      </c>
      <c r="AF119" s="1695" t="str">
        <f t="array" ref="AF119">IFERROR(VLOOKUP(AE119,Dex!$P$22:$Q$276,2,FALSE),"")</f>
        <v/>
      </c>
      <c r="AG119" s="1696"/>
      <c r="AH119" s="1691"/>
      <c r="AI119" s="6747"/>
    </row>
    <row r="120" ht="16.5" customHeight="1">
      <c r="A120" s="6738"/>
      <c r="B120" s="1685"/>
      <c r="C120" s="1679"/>
      <c r="D120" s="1686"/>
      <c r="E120" s="1700" t="s">
        <v>514</v>
      </c>
      <c r="F120" s="1701">
        <f t="array" ref="F120">IFERROR(VLOOKUP(E106,Dex!$B$3:$N1219,9,FALSE),"")</f>
        <v>80</v>
      </c>
      <c r="G120" s="1702" t="str">
        <f t="array" ref="G120">IFERROR(VLOOKUP(F120,Dex!$P$22:$Q$276,2,FALSE),"")</f>
        <v/>
      </c>
      <c r="H120" s="1703"/>
      <c r="I120" s="1686"/>
      <c r="J120" s="1700" t="s">
        <v>514</v>
      </c>
      <c r="K120" s="1701">
        <f t="array" ref="K120">IFERROR(VLOOKUP(J106,Dex!$B$3:$N1219,9,FALSE),"")</f>
        <v>76</v>
      </c>
      <c r="L120" s="1702" t="str">
        <f t="array" ref="L120">IFERROR(VLOOKUP(K120,Dex!$P$22:$Q$276,2,FALSE),"")</f>
        <v/>
      </c>
      <c r="M120" s="1703"/>
      <c r="N120" s="1686"/>
      <c r="O120" s="1700" t="s">
        <v>514</v>
      </c>
      <c r="P120" s="1701">
        <f t="array" ref="P120">IFERROR(VLOOKUP(O106,Dex!$B$3:$N1219,9,FALSE),"")</f>
        <v>103</v>
      </c>
      <c r="Q120" s="1702" t="str">
        <f t="array" ref="Q120">IFERROR(VLOOKUP(P120,Dex!$P$22:$Q$276,2,FALSE),"")</f>
        <v/>
      </c>
      <c r="R120" s="1703"/>
      <c r="S120" s="1699"/>
      <c r="T120" s="1700" t="s">
        <v>514</v>
      </c>
      <c r="U120" s="1701">
        <f t="array" ref="U120">IFERROR(VLOOKUP(T106,Dex!$B$3:$N1219,9,FALSE),"")</f>
        <v>115</v>
      </c>
      <c r="V120" s="1702" t="str">
        <f t="array" ref="V120">IFERROR(VLOOKUP(U120,Dex!$P$22:$Q$276,2,FALSE),"")</f>
        <v/>
      </c>
      <c r="W120" s="1703"/>
      <c r="X120" s="1690"/>
      <c r="Y120" s="1700" t="s">
        <v>514</v>
      </c>
      <c r="Z120" s="1701">
        <f t="array" ref="Z120">IFERROR(VLOOKUP(Y106,Dex!$B$3:$N1219,9,FALSE),"")</f>
        <v>130</v>
      </c>
      <c r="AA120" s="1702" t="str">
        <f t="array" ref="AA120">IFERROR(VLOOKUP(Z120,Dex!$P$22:$Q$276,2,FALSE),"")</f>
        <v/>
      </c>
      <c r="AB120" s="1703"/>
      <c r="AC120" s="1690"/>
      <c r="AD120" s="1700" t="s">
        <v>514</v>
      </c>
      <c r="AE120" s="1701">
        <f t="array" ref="AE120">IFERROR(VLOOKUP(AD106,Dex!$B$3:$N1219,9,FALSE),"")</f>
        <v>125</v>
      </c>
      <c r="AF120" s="1702" t="str">
        <f t="array" ref="AF120">IFERROR(VLOOKUP(AE120,Dex!$P$22:$Q$276,2,FALSE),"")</f>
        <v/>
      </c>
      <c r="AG120" s="1703"/>
      <c r="AH120" s="1691"/>
      <c r="AI120" s="6747"/>
    </row>
    <row r="121" ht="16.5" customHeight="1">
      <c r="A121" s="6738"/>
      <c r="B121" s="1685"/>
      <c r="C121" s="1679"/>
      <c r="D121" s="1686"/>
      <c r="E121" s="1700" t="s">
        <v>515</v>
      </c>
      <c r="F121" s="1701">
        <f t="array" ref="F121">IFERROR(VLOOKUP(E106,Dex!$B$3:$N1219,10,FALSE),"")</f>
        <v>80</v>
      </c>
      <c r="G121" s="1702" t="str">
        <f t="array" ref="G121">IFERROR(VLOOKUP(F121,Dex!$P$22:$Q$276,2,FALSE),"")</f>
        <v/>
      </c>
      <c r="H121" s="1703"/>
      <c r="I121" s="1686"/>
      <c r="J121" s="1700" t="s">
        <v>515</v>
      </c>
      <c r="K121" s="1701">
        <f t="array" ref="K121">IFERROR(VLOOKUP(J106,Dex!$B$3:$N1219,10,FALSE),"")</f>
        <v>86</v>
      </c>
      <c r="L121" s="1702" t="str">
        <f t="array" ref="L121">IFERROR(VLOOKUP(K121,Dex!$P$22:$Q$276,2,FALSE),"")</f>
        <v/>
      </c>
      <c r="M121" s="1703"/>
      <c r="N121" s="1686"/>
      <c r="O121" s="1700" t="s">
        <v>515</v>
      </c>
      <c r="P121" s="1701">
        <f t="array" ref="P121">IFERROR(VLOOKUP(O106,Dex!$B$3:$N1219,10,FALSE),"")</f>
        <v>75</v>
      </c>
      <c r="Q121" s="1702" t="str">
        <f t="array" ref="Q121">IFERROR(VLOOKUP(P121,Dex!$P$22:$Q$276,2,FALSE),"")</f>
        <v/>
      </c>
      <c r="R121" s="1703"/>
      <c r="S121" s="1699"/>
      <c r="T121" s="1700" t="s">
        <v>515</v>
      </c>
      <c r="U121" s="1701">
        <f t="array" ref="U121">IFERROR(VLOOKUP(T106,Dex!$B$3:$N1219,10,FALSE),"")</f>
        <v>70</v>
      </c>
      <c r="V121" s="1702" t="str">
        <f t="array" ref="V121">IFERROR(VLOOKUP(U121,Dex!$P$22:$Q$276,2,FALSE),"")</f>
        <v/>
      </c>
      <c r="W121" s="1703"/>
      <c r="X121" s="1690"/>
      <c r="Y121" s="1700" t="s">
        <v>515</v>
      </c>
      <c r="Z121" s="1701">
        <f t="array" ref="Z121">IFERROR(VLOOKUP(Y106,Dex!$B$3:$N1219,10,FALSE),"")</f>
        <v>90</v>
      </c>
      <c r="AA121" s="1702" t="str">
        <f t="array" ref="AA121">IFERROR(VLOOKUP(Z121,Dex!$P$22:$Q$276,2,FALSE),"")</f>
        <v/>
      </c>
      <c r="AB121" s="1703"/>
      <c r="AC121" s="1690"/>
      <c r="AD121" s="1700" t="s">
        <v>515</v>
      </c>
      <c r="AE121" s="1701">
        <f t="array" ref="AE121">IFERROR(VLOOKUP(AD106,Dex!$B$3:$N1219,10,FALSE),"")</f>
        <v>79</v>
      </c>
      <c r="AF121" s="1702" t="str">
        <f t="array" ref="AF121">IFERROR(VLOOKUP(AE121,Dex!$P$22:$Q$276,2,FALSE),"")</f>
        <v/>
      </c>
      <c r="AG121" s="1703"/>
      <c r="AH121" s="1691"/>
      <c r="AI121" s="6747"/>
    </row>
    <row r="122" ht="16.5" customHeight="1">
      <c r="A122" s="6738"/>
      <c r="B122" s="1685"/>
      <c r="C122" s="1679"/>
      <c r="D122" s="1686"/>
      <c r="E122" s="1700" t="s">
        <v>516</v>
      </c>
      <c r="F122" s="1701">
        <f t="array" ref="F122">IFERROR(VLOOKUP(E106,Dex!$B$3:$N1219,11,FALSE),"")</f>
        <v>135</v>
      </c>
      <c r="G122" s="1702" t="str">
        <f t="array" ref="G122">IFERROR(VLOOKUP(F122,Dex!$P$22:$Q$276,2,FALSE),"")</f>
        <v/>
      </c>
      <c r="H122" s="1703"/>
      <c r="I122" s="1686"/>
      <c r="J122" s="1700" t="s">
        <v>516</v>
      </c>
      <c r="K122" s="1701">
        <f t="array" ref="K122">IFERROR(VLOOKUP(J106,Dex!$B$3:$N1219,11,FALSE),"")</f>
        <v>116</v>
      </c>
      <c r="L122" s="1702" t="str">
        <f t="array" ref="L122">IFERROR(VLOOKUP(K122,Dex!$P$22:$Q$276,2,FALSE),"")</f>
        <v/>
      </c>
      <c r="M122" s="1703"/>
      <c r="N122" s="1686"/>
      <c r="O122" s="1700" t="s">
        <v>516</v>
      </c>
      <c r="P122" s="1701">
        <f t="array" ref="P122">IFERROR(VLOOKUP(O106,Dex!$B$3:$N1219,11,FALSE),"")</f>
        <v>120</v>
      </c>
      <c r="Q122" s="1702" t="str">
        <f t="array" ref="Q122">IFERROR(VLOOKUP(P122,Dex!$P$22:$Q$276,2,FALSE),"")</f>
        <v/>
      </c>
      <c r="R122" s="1703"/>
      <c r="S122" s="1699"/>
      <c r="T122" s="1700" t="s">
        <v>516</v>
      </c>
      <c r="U122" s="1701">
        <f t="array" ref="U122">IFERROR(VLOOKUP(T106,Dex!$B$3:$N1219,11,FALSE),"")</f>
        <v>135</v>
      </c>
      <c r="V122" s="1702" t="str">
        <f t="array" ref="V122">IFERROR(VLOOKUP(U122,Dex!$P$22:$Q$276,2,FALSE),"")</f>
        <v/>
      </c>
      <c r="W122" s="1703"/>
      <c r="X122" s="1690"/>
      <c r="Y122" s="1700" t="s">
        <v>516</v>
      </c>
      <c r="Z122" s="1701">
        <f t="array" ref="Z122">IFERROR(VLOOKUP(Y106,Dex!$B$3:$N1219,11,FALSE),"")</f>
        <v>110</v>
      </c>
      <c r="AA122" s="1702" t="str">
        <f t="array" ref="AA122">IFERROR(VLOOKUP(Z122,Dex!$P$22:$Q$276,2,FALSE),"")</f>
        <v/>
      </c>
      <c r="AB122" s="1703"/>
      <c r="AC122" s="1690"/>
      <c r="AD122" s="1700" t="s">
        <v>516</v>
      </c>
      <c r="AE122" s="1701">
        <f t="array" ref="AE122">IFERROR(VLOOKUP(AD106,Dex!$B$3:$N1219,11,FALSE),"")</f>
        <v>60</v>
      </c>
      <c r="AF122" s="1702" t="str">
        <f t="array" ref="AF122">IFERROR(VLOOKUP(AE122,Dex!$P$22:$Q$276,2,FALSE),"")</f>
        <v/>
      </c>
      <c r="AG122" s="1703"/>
      <c r="AH122" s="1691"/>
      <c r="AI122" s="6747"/>
    </row>
    <row r="123" ht="16.5" customHeight="1">
      <c r="A123" s="6738"/>
      <c r="B123" s="1685"/>
      <c r="C123" s="1679"/>
      <c r="D123" s="1686"/>
      <c r="E123" s="1700" t="s">
        <v>517</v>
      </c>
      <c r="F123" s="1701">
        <f t="array" ref="F123">IFERROR(VLOOKUP(E106,Dex!$B$3:$N1219,12,FALSE),"")</f>
        <v>80</v>
      </c>
      <c r="G123" s="1702" t="str">
        <f t="array" ref="G123">IFERROR(VLOOKUP(F123,Dex!$P$22:$Q$276,2,FALSE),"")</f>
        <v/>
      </c>
      <c r="H123" s="1703"/>
      <c r="I123" s="1686"/>
      <c r="J123" s="1700" t="s">
        <v>517</v>
      </c>
      <c r="K123" s="1701">
        <f t="array" ref="K123">IFERROR(VLOOKUP(J106,Dex!$B$3:$N1219,12,FALSE),"")</f>
        <v>56</v>
      </c>
      <c r="L123" s="1702" t="str">
        <f t="array" ref="L123">IFERROR(VLOOKUP(K123,Dex!$P$22:$Q$276,2,FALSE),"")</f>
        <v/>
      </c>
      <c r="M123" s="1703"/>
      <c r="N123" s="1686"/>
      <c r="O123" s="1700" t="s">
        <v>517</v>
      </c>
      <c r="P123" s="1701">
        <f t="array" ref="P123">IFERROR(VLOOKUP(O106,Dex!$B$3:$N1219,12,FALSE),"")</f>
        <v>75</v>
      </c>
      <c r="Q123" s="1702" t="str">
        <f t="array" ref="Q123">IFERROR(VLOOKUP(P123,Dex!$P$22:$Q$276,2,FALSE),"")</f>
        <v/>
      </c>
      <c r="R123" s="1703"/>
      <c r="S123" s="1699"/>
      <c r="T123" s="1700" t="s">
        <v>517</v>
      </c>
      <c r="U123" s="1701">
        <f t="array" ref="U123">IFERROR(VLOOKUP(T106,Dex!$B$3:$N1219,12,FALSE),"")</f>
        <v>80</v>
      </c>
      <c r="V123" s="1702" t="str">
        <f t="array" ref="V123">IFERROR(VLOOKUP(U123,Dex!$P$22:$Q$276,2,FALSE),"")</f>
        <v/>
      </c>
      <c r="W123" s="1703"/>
      <c r="X123" s="1690"/>
      <c r="Y123" s="1700" t="s">
        <v>517</v>
      </c>
      <c r="Z123" s="1701">
        <f t="array" ref="Z123">IFERROR(VLOOKUP(Y106,Dex!$B$3:$N1219,12,FALSE),"")</f>
        <v>154</v>
      </c>
      <c r="AA123" s="1702" t="str">
        <f t="array" ref="AA123">IFERROR(VLOOKUP(Z123,Dex!$P$22:$Q$276,2,FALSE),"")</f>
        <v/>
      </c>
      <c r="AB123" s="1703"/>
      <c r="AC123" s="1690"/>
      <c r="AD123" s="1700" t="s">
        <v>517</v>
      </c>
      <c r="AE123" s="1701">
        <f t="array" ref="AE123">IFERROR(VLOOKUP(AD106,Dex!$B$3:$N1219,12,FALSE),"")</f>
        <v>100</v>
      </c>
      <c r="AF123" s="1702" t="str">
        <f t="array" ref="AF123">IFERROR(VLOOKUP(AE123,Dex!$P$22:$Q$276,2,FALSE),"")</f>
        <v/>
      </c>
      <c r="AG123" s="1703"/>
      <c r="AH123" s="1691"/>
      <c r="AI123" s="6747"/>
    </row>
    <row r="124" ht="15.75" customHeight="1">
      <c r="A124" s="6738"/>
      <c r="B124" s="1685"/>
      <c r="C124" s="1679"/>
      <c r="D124" s="1686"/>
      <c r="E124" s="1704" t="s">
        <v>518</v>
      </c>
      <c r="F124" s="1705">
        <f t="array" ref="F124">IFERROR(VLOOKUP(E106,Dex!$B$3:$N1219,13,FALSE),"")</f>
        <v>121</v>
      </c>
      <c r="G124" s="1706" t="str">
        <f t="array" ref="G124">IFERROR(VLOOKUP(F124,Dex!$P$22:$Q$276,2,FALSE),"")</f>
        <v/>
      </c>
      <c r="H124" s="1707"/>
      <c r="I124" s="1686"/>
      <c r="J124" s="1704" t="s">
        <v>518</v>
      </c>
      <c r="K124" s="1705">
        <f t="array" ref="K124">IFERROR(VLOOKUP(J106,Dex!$B$3:$N1219,13,FALSE),"")</f>
        <v>95</v>
      </c>
      <c r="L124" s="1706" t="str">
        <f t="array" ref="L124">IFERROR(VLOOKUP(K124,Dex!$P$22:$Q$276,2,FALSE),"")</f>
        <v/>
      </c>
      <c r="M124" s="1707"/>
      <c r="N124" s="1686"/>
      <c r="O124" s="1704" t="s">
        <v>518</v>
      </c>
      <c r="P124" s="1705">
        <f t="array" ref="P124">IFERROR(VLOOKUP(O106,Dex!$B$3:$N1219,13,FALSE),"")</f>
        <v>127</v>
      </c>
      <c r="Q124" s="1706" t="str">
        <f t="array" ref="Q124">IFERROR(VLOOKUP(P124,Dex!$P$22:$Q$276,2,FALSE),"")</f>
        <v/>
      </c>
      <c r="R124" s="1707"/>
      <c r="S124" s="1699"/>
      <c r="T124" s="1704" t="s">
        <v>518</v>
      </c>
      <c r="U124" s="1705">
        <f t="array" ref="U124">IFERROR(VLOOKUP(T106,Dex!$B$3:$N1219,13,FALSE),"")</f>
        <v>106</v>
      </c>
      <c r="V124" s="1706" t="str">
        <f t="array" ref="V124">IFERROR(VLOOKUP(U124,Dex!$P$22:$Q$276,2,FALSE),"")</f>
        <v/>
      </c>
      <c r="W124" s="1707"/>
      <c r="X124" s="1690"/>
      <c r="Y124" s="1704" t="s">
        <v>518</v>
      </c>
      <c r="Z124" s="1705">
        <f t="array" ref="Z124">IFERROR(VLOOKUP(Y106,Dex!$B$3:$N1219,13,FALSE),"")</f>
        <v>90</v>
      </c>
      <c r="AA124" s="1706" t="str">
        <f t="array" ref="AA124">IFERROR(VLOOKUP(Z124,Dex!$P$22:$Q$276,2,FALSE),"")</f>
        <v/>
      </c>
      <c r="AB124" s="1707"/>
      <c r="AC124" s="1690"/>
      <c r="AD124" s="1704" t="s">
        <v>518</v>
      </c>
      <c r="AE124" s="1705">
        <f t="array" ref="AE124">IFERROR(VLOOKUP(AD106,Dex!$B$3:$N1219,13,FALSE),"")</f>
        <v>81</v>
      </c>
      <c r="AF124" s="1706" t="str">
        <f t="array" ref="AF124">IFERROR(VLOOKUP(AE124,Dex!$P$22:$Q$276,2,FALSE),"")</f>
        <v/>
      </c>
      <c r="AG124" s="1707"/>
      <c r="AH124" s="1691"/>
      <c r="AI124" s="6747"/>
    </row>
    <row r="125" ht="16.5" customHeight="1">
      <c r="A125" s="6738"/>
      <c r="B125" s="1685"/>
      <c r="C125" s="1679"/>
      <c r="D125" s="1686"/>
      <c r="E125" s="1708" t="s">
        <v>519</v>
      </c>
      <c r="F125" s="630"/>
      <c r="G125" s="631"/>
      <c r="H125" s="632">
        <f>ROUNDDOWN((ROUNDDOWN(((((2*F124+31)*100)/100+5)),0))*1.1,0)</f>
        <v>305</v>
      </c>
      <c r="I125" s="1686"/>
      <c r="J125" s="1708" t="s">
        <v>519</v>
      </c>
      <c r="K125" s="630"/>
      <c r="L125" s="631"/>
      <c r="M125" s="632">
        <f>ROUNDDOWN((ROUNDDOWN(((((2*K124+31)*100)/100+5)),0))*1.1,0)</f>
        <v>248</v>
      </c>
      <c r="N125" s="1686"/>
      <c r="O125" s="1708" t="s">
        <v>519</v>
      </c>
      <c r="P125" s="630"/>
      <c r="Q125" s="631"/>
      <c r="R125" s="632">
        <f>ROUNDDOWN((ROUNDDOWN(((((2*P124+31)*100)/100+5)),0))*1.1,0)</f>
        <v>319</v>
      </c>
      <c r="S125" s="1688"/>
      <c r="T125" s="1708" t="s">
        <v>519</v>
      </c>
      <c r="U125" s="630"/>
      <c r="V125" s="631"/>
      <c r="W125" s="632">
        <f>ROUNDDOWN((ROUNDDOWN(((((2*U124+31)*100)/100+5)),0))*1.1,0)</f>
        <v>272</v>
      </c>
      <c r="X125" s="1689"/>
      <c r="Y125" s="1708" t="s">
        <v>519</v>
      </c>
      <c r="Z125" s="630"/>
      <c r="AA125" s="631"/>
      <c r="AB125" s="632">
        <f>ROUNDDOWN((ROUNDDOWN(((((2*Z124+31)*100)/100+5)),0))*1.1,0)</f>
        <v>237</v>
      </c>
      <c r="AC125" s="1689"/>
      <c r="AD125" s="1708" t="s">
        <v>519</v>
      </c>
      <c r="AE125" s="630"/>
      <c r="AF125" s="631"/>
      <c r="AG125" s="632">
        <f>ROUNDDOWN((ROUNDDOWN(((((2*AE124+31)*100)/100+5)),0))*1.1,0)</f>
        <v>217</v>
      </c>
      <c r="AH125" s="1691"/>
      <c r="AI125" s="6747"/>
    </row>
    <row r="126" ht="15.0" customHeight="1">
      <c r="A126" s="6738"/>
      <c r="B126" s="1718"/>
      <c r="C126" s="1719"/>
      <c r="D126" s="1720"/>
      <c r="E126" s="1721"/>
      <c r="F126" s="1721"/>
      <c r="G126" s="1721"/>
      <c r="H126" s="1721"/>
      <c r="I126" s="1720"/>
      <c r="J126" s="1721"/>
      <c r="K126" s="1721"/>
      <c r="L126" s="1721"/>
      <c r="M126" s="1721"/>
      <c r="N126" s="1720"/>
      <c r="O126" s="1721"/>
      <c r="P126" s="1721"/>
      <c r="Q126" s="1721"/>
      <c r="R126" s="1721"/>
      <c r="S126" s="1721"/>
      <c r="T126" s="1721"/>
      <c r="U126" s="1721"/>
      <c r="V126" s="1721"/>
      <c r="W126" s="1721"/>
      <c r="X126" s="1721"/>
      <c r="Y126" s="1721"/>
      <c r="Z126" s="1721"/>
      <c r="AA126" s="1721"/>
      <c r="AB126" s="1721"/>
      <c r="AC126" s="1721"/>
      <c r="AD126" s="1721"/>
      <c r="AE126" s="1721"/>
      <c r="AF126" s="1721"/>
      <c r="AG126" s="1721"/>
      <c r="AH126" s="1722"/>
      <c r="AI126" s="6747"/>
    </row>
    <row r="127" ht="15.0" customHeight="1">
      <c r="A127" s="6738"/>
      <c r="B127" s="5827"/>
      <c r="C127" s="5828"/>
      <c r="D127" s="5828"/>
      <c r="E127" s="5828"/>
      <c r="F127" s="5828"/>
      <c r="G127" s="5828"/>
      <c r="H127" s="5828"/>
      <c r="I127" s="5828"/>
      <c r="J127" s="5828"/>
      <c r="K127" s="5828"/>
      <c r="L127" s="5828"/>
      <c r="M127" s="5828"/>
      <c r="N127" s="5828"/>
      <c r="O127" s="5828"/>
      <c r="P127" s="5828"/>
      <c r="Q127" s="5828"/>
      <c r="R127" s="5828"/>
      <c r="S127" s="5828"/>
      <c r="T127" s="5828"/>
      <c r="U127" s="5828"/>
      <c r="V127" s="5828"/>
      <c r="W127" s="5828"/>
      <c r="X127" s="5828"/>
      <c r="Y127" s="5828"/>
      <c r="Z127" s="5828"/>
      <c r="AA127" s="5828"/>
      <c r="AB127" s="5828"/>
      <c r="AC127" s="5828"/>
      <c r="AD127" s="5828"/>
      <c r="AE127" s="5828"/>
      <c r="AF127" s="5828"/>
      <c r="AG127" s="5828"/>
      <c r="AH127" s="5829"/>
      <c r="AI127" s="6747"/>
    </row>
    <row r="128" ht="18.75" customHeight="1">
      <c r="A128" s="6738"/>
      <c r="B128" s="5827"/>
      <c r="C128" s="5828"/>
      <c r="D128" s="5828"/>
      <c r="E128" s="6837" t="s">
        <v>1981</v>
      </c>
      <c r="AG128" s="6838"/>
      <c r="AH128" s="5829"/>
      <c r="AI128" s="6747"/>
    </row>
    <row r="129" ht="96.75" customHeight="1">
      <c r="A129" s="6738"/>
      <c r="B129" s="5836"/>
      <c r="C129" s="5837" t="str">
        <f>IMAGE("https://i.ibb.co/TTVpygz/Kid.png")</f>
        <v/>
      </c>
      <c r="D129" s="5838"/>
      <c r="E129" s="5839" t="str">
        <f t="array" ref="E129">IFERROR(VLOOKUP(E130,Dex!$B$3:$G1219,3,FALSE),"")</f>
        <v/>
      </c>
      <c r="F129" s="1945"/>
      <c r="G129" s="1945"/>
      <c r="H129" s="1946"/>
      <c r="I129" s="5840"/>
      <c r="J129" s="5839" t="str">
        <f t="array" ref="J129">IFERROR(VLOOKUP(J130,Dex!$B$3:$G1219,3,FALSE),"")</f>
        <v/>
      </c>
      <c r="K129" s="1945"/>
      <c r="L129" s="1945"/>
      <c r="M129" s="1946"/>
      <c r="N129" s="5840"/>
      <c r="O129" s="5839" t="str">
        <f t="array" ref="O129">IFERROR(VLOOKUP(O130,Dex!$B$3:$G1219,3,FALSE),"")</f>
        <v/>
      </c>
      <c r="P129" s="1945"/>
      <c r="Q129" s="1945"/>
      <c r="R129" s="1946"/>
      <c r="S129" s="5840"/>
      <c r="T129" s="5839" t="str">
        <f t="array" ref="T129">IFERROR(VLOOKUP(T130,Dex!$B$3:$G1219,3,FALSE),"")</f>
        <v/>
      </c>
      <c r="U129" s="1945"/>
      <c r="V129" s="1945"/>
      <c r="W129" s="1946"/>
      <c r="X129" s="5840"/>
      <c r="Y129" s="5839" t="str">
        <f t="array" ref="Y129">IFERROR(VLOOKUP(Y130,Dex!$B$3:$G1219,3,FALSE),"")</f>
        <v/>
      </c>
      <c r="Z129" s="1945"/>
      <c r="AA129" s="1945"/>
      <c r="AB129" s="1946"/>
      <c r="AC129" s="5840"/>
      <c r="AD129" s="5839" t="str">
        <f t="array" ref="AD129">IFERROR(VLOOKUP(AD130,Dex!$B$3:$G1219,3,FALSE),"")</f>
        <v/>
      </c>
      <c r="AE129" s="1945"/>
      <c r="AF129" s="1945"/>
      <c r="AG129" s="1946"/>
      <c r="AH129" s="5841"/>
      <c r="AI129" s="6747"/>
    </row>
    <row r="130" ht="18.75" customHeight="1">
      <c r="A130" s="6738"/>
      <c r="B130" s="5836"/>
      <c r="C130" s="5842" t="s">
        <v>1982</v>
      </c>
      <c r="D130" s="5843"/>
      <c r="E130" s="5844" t="s">
        <v>1983</v>
      </c>
      <c r="F130" s="5845"/>
      <c r="G130" s="5845"/>
      <c r="H130" s="5846"/>
      <c r="J130" s="5844" t="s">
        <v>1788</v>
      </c>
      <c r="K130" s="5845"/>
      <c r="L130" s="5845"/>
      <c r="M130" s="5846"/>
      <c r="O130" s="5844" t="s">
        <v>948</v>
      </c>
      <c r="P130" s="5845"/>
      <c r="Q130" s="5845"/>
      <c r="R130" s="5846"/>
      <c r="T130" s="5844" t="s">
        <v>1984</v>
      </c>
      <c r="U130" s="5845"/>
      <c r="V130" s="5845"/>
      <c r="W130" s="5846"/>
      <c r="Y130" s="5844" t="s">
        <v>1852</v>
      </c>
      <c r="Z130" s="5845"/>
      <c r="AA130" s="5845"/>
      <c r="AB130" s="5846"/>
      <c r="AD130" s="5844" t="s">
        <v>1977</v>
      </c>
      <c r="AE130" s="5845"/>
      <c r="AF130" s="5845"/>
      <c r="AG130" s="5846"/>
      <c r="AH130" s="5841"/>
      <c r="AI130" s="6747"/>
    </row>
    <row r="131">
      <c r="A131" s="6738"/>
      <c r="B131" s="5836"/>
      <c r="C131" s="1638"/>
      <c r="D131" s="5843"/>
      <c r="E131" s="5847" t="s">
        <v>729</v>
      </c>
      <c r="F131" s="5848"/>
      <c r="G131" s="5848"/>
      <c r="H131" s="5849"/>
      <c r="J131" s="5847" t="s">
        <v>729</v>
      </c>
      <c r="K131" s="5848"/>
      <c r="L131" s="5848"/>
      <c r="M131" s="5849"/>
      <c r="O131" s="5847" t="s">
        <v>729</v>
      </c>
      <c r="P131" s="5848"/>
      <c r="Q131" s="5848"/>
      <c r="R131" s="5849"/>
      <c r="T131" s="5847" t="s">
        <v>729</v>
      </c>
      <c r="U131" s="5848"/>
      <c r="V131" s="5848"/>
      <c r="W131" s="5849"/>
      <c r="Y131" s="5847" t="s">
        <v>729</v>
      </c>
      <c r="Z131" s="5848"/>
      <c r="AA131" s="5848"/>
      <c r="AB131" s="5849"/>
      <c r="AD131" s="5847" t="s">
        <v>729</v>
      </c>
      <c r="AE131" s="5848"/>
      <c r="AF131" s="5848"/>
      <c r="AG131" s="5849"/>
      <c r="AH131" s="5841"/>
      <c r="AI131" s="6747"/>
    </row>
    <row r="132" ht="25.5" customHeight="1">
      <c r="A132" s="6738"/>
      <c r="B132" s="5836"/>
      <c r="C132" s="1646"/>
      <c r="D132" s="5850"/>
      <c r="E132" s="5851"/>
      <c r="F132" s="5852" t="str">
        <f t="array" ref="F132">IFERROR(VLOOKUP(E130,Dex!$B$3:$H1219,5,FALSE),"")</f>
        <v/>
      </c>
      <c r="G132" s="5853" t="str">
        <f t="array" ref="G132">IFERROR(VLOOKUP(E130,Dex!$B$3:$H1219,7,FALSE),"")</f>
        <v/>
      </c>
      <c r="H132" s="5854"/>
      <c r="J132" s="5851"/>
      <c r="K132" s="5852" t="str">
        <f t="array" ref="K132">IFERROR(VLOOKUP(J130,Dex!$B$3:$H1219,5,FALSE),"")</f>
        <v/>
      </c>
      <c r="L132" s="5853" t="str">
        <f t="array" ref="L132">IFERROR(VLOOKUP(J130,Dex!$B$3:$H1219,7,FALSE),"")</f>
        <v/>
      </c>
      <c r="M132" s="5854"/>
      <c r="O132" s="5851"/>
      <c r="P132" s="5852" t="str">
        <f t="array" ref="P132">IFERROR(VLOOKUP(O130,Dex!$B$3:$H1219,5,FALSE),"")</f>
        <v/>
      </c>
      <c r="Q132" s="5853" t="str">
        <f t="array" ref="Q132">IFERROR(VLOOKUP(O130,Dex!$B$3:$H1219,7,FALSE),"")</f>
        <v/>
      </c>
      <c r="R132" s="5854"/>
      <c r="T132" s="5851"/>
      <c r="U132" s="5852" t="str">
        <f t="array" ref="U132">IFERROR(VLOOKUP(T130,Dex!$B$3:$H1219,5,FALSE),"")</f>
        <v/>
      </c>
      <c r="V132" s="5853" t="str">
        <f t="array" ref="V132">IFERROR(VLOOKUP(T130,Dex!$B$3:$H1219,7,FALSE),"")</f>
        <v/>
      </c>
      <c r="W132" s="5854"/>
      <c r="Y132" s="5851"/>
      <c r="Z132" s="5852" t="str">
        <f t="array" ref="Z132">IFERROR(VLOOKUP(Y130,Dex!$B$3:$H1219,5,FALSE),"")</f>
        <v/>
      </c>
      <c r="AA132" s="5853" t="str">
        <f t="array" ref="AA132">IFERROR(VLOOKUP(Y130,Dex!$B$3:$H1219,7,FALSE),"")</f>
        <v/>
      </c>
      <c r="AB132" s="5854"/>
      <c r="AD132" s="5851"/>
      <c r="AE132" s="5852" t="str">
        <f t="array" ref="AE132">IFERROR(VLOOKUP(AD130,Dex!$B$3:$H1219,5,FALSE),"")</f>
        <v/>
      </c>
      <c r="AF132" s="5853" t="str">
        <f t="array" ref="AF132">IFERROR(VLOOKUP(AD130,Dex!$B$3:$H1219,7,FALSE),"")</f>
        <v/>
      </c>
      <c r="AG132" s="5854"/>
      <c r="AH132" s="5857"/>
      <c r="AI132" s="6747"/>
    </row>
    <row r="133" ht="2.25" customHeight="1">
      <c r="A133" s="6738"/>
      <c r="B133" s="5836"/>
      <c r="C133" s="5858"/>
      <c r="D133" s="5850"/>
      <c r="E133" s="5859"/>
      <c r="F133" s="5860"/>
      <c r="G133" s="5860"/>
      <c r="H133" s="5861"/>
      <c r="J133" s="5859"/>
      <c r="K133" s="5860"/>
      <c r="L133" s="5860"/>
      <c r="M133" s="5861"/>
      <c r="O133" s="5859"/>
      <c r="P133" s="5860"/>
      <c r="Q133" s="5860"/>
      <c r="R133" s="5861"/>
      <c r="T133" s="5859"/>
      <c r="U133" s="5860"/>
      <c r="V133" s="5860"/>
      <c r="W133" s="5861"/>
      <c r="Y133" s="5859"/>
      <c r="Z133" s="5860"/>
      <c r="AA133" s="5860"/>
      <c r="AB133" s="5861"/>
      <c r="AD133" s="5859"/>
      <c r="AE133" s="5860"/>
      <c r="AF133" s="5860"/>
      <c r="AG133" s="5861"/>
      <c r="AH133" s="5857"/>
      <c r="AI133" s="6747"/>
    </row>
    <row r="134" ht="20.25" customHeight="1">
      <c r="A134" s="6738"/>
      <c r="B134" s="5836"/>
      <c r="C134" s="5858"/>
      <c r="D134" s="5862"/>
      <c r="E134" s="5863" t="s">
        <v>754</v>
      </c>
      <c r="F134" s="5864"/>
      <c r="G134" s="5864"/>
      <c r="H134" s="5865"/>
      <c r="J134" s="5863" t="s">
        <v>532</v>
      </c>
      <c r="K134" s="5864"/>
      <c r="L134" s="5864"/>
      <c r="M134" s="5865"/>
      <c r="O134" s="5863" t="s">
        <v>566</v>
      </c>
      <c r="P134" s="5864"/>
      <c r="Q134" s="5864"/>
      <c r="R134" s="5865"/>
      <c r="T134" s="5863" t="s">
        <v>564</v>
      </c>
      <c r="U134" s="5864"/>
      <c r="V134" s="5864"/>
      <c r="W134" s="5865"/>
      <c r="Y134" s="5863" t="s">
        <v>564</v>
      </c>
      <c r="Z134" s="5864"/>
      <c r="AA134" s="5864"/>
      <c r="AB134" s="5865"/>
      <c r="AD134" s="5863" t="s">
        <v>564</v>
      </c>
      <c r="AE134" s="5864"/>
      <c r="AF134" s="5864"/>
      <c r="AG134" s="5865"/>
      <c r="AH134" s="5841"/>
      <c r="AI134" s="6747"/>
    </row>
    <row r="135">
      <c r="A135" s="6738"/>
      <c r="B135" s="5836"/>
      <c r="C135" s="5866"/>
      <c r="D135" s="5862"/>
      <c r="E135" s="5867" t="s">
        <v>119</v>
      </c>
      <c r="F135" s="5868"/>
      <c r="G135" s="5868"/>
      <c r="H135" s="5869"/>
      <c r="J135" s="5867" t="s">
        <v>1985</v>
      </c>
      <c r="K135" s="5868"/>
      <c r="L135" s="5868"/>
      <c r="M135" s="5869"/>
      <c r="O135" s="5867" t="s">
        <v>953</v>
      </c>
      <c r="P135" s="5868"/>
      <c r="Q135" s="5868"/>
      <c r="R135" s="5869"/>
      <c r="T135" s="5867" t="s">
        <v>1986</v>
      </c>
      <c r="U135" s="5868"/>
      <c r="V135" s="5868"/>
      <c r="W135" s="5869"/>
      <c r="Y135" s="5867" t="s">
        <v>709</v>
      </c>
      <c r="Z135" s="5868"/>
      <c r="AA135" s="5868"/>
      <c r="AB135" s="5869"/>
      <c r="AD135" s="5867" t="s">
        <v>857</v>
      </c>
      <c r="AE135" s="5868"/>
      <c r="AF135" s="5868"/>
      <c r="AG135" s="5869"/>
      <c r="AH135" s="5841"/>
      <c r="AI135" s="6747"/>
    </row>
    <row r="136" ht="20.25" customHeight="1">
      <c r="A136" s="6738"/>
      <c r="B136" s="5836"/>
      <c r="C136" s="5870"/>
      <c r="D136" s="5862"/>
      <c r="E136" s="5871" t="s">
        <v>537</v>
      </c>
      <c r="F136" s="5833"/>
      <c r="G136" s="5834"/>
      <c r="H136" s="5872" t="str">
        <f>IMAGE("https://raw.githubusercontent.com/msikma/pokesprite/master/items/berry/sitrus.png",3)</f>
        <v/>
      </c>
      <c r="J136" s="5871" t="s">
        <v>1791</v>
      </c>
      <c r="K136" s="5833"/>
      <c r="L136" s="5834"/>
      <c r="M136" s="5872" t="str">
        <f>IMAGE("https://raw.githubusercontent.com/msikma/pokesprite/master/items/mega-stone/swampertite.png",3)</f>
        <v/>
      </c>
      <c r="O136" s="5871" t="s">
        <v>1987</v>
      </c>
      <c r="P136" s="5833"/>
      <c r="Q136" s="5834"/>
      <c r="R136" s="5872" t="str">
        <f>IMAGE("https://raw.githubusercontent.com/msikma/pokesprite/master/items/z-crystals/solganium-z--held.png",3)</f>
        <v/>
      </c>
      <c r="T136" s="5871" t="s">
        <v>541</v>
      </c>
      <c r="U136" s="5833"/>
      <c r="V136" s="5834"/>
      <c r="W136" s="5872" t="str">
        <f>IMAGE("https://raw.githubusercontent.com/msikma/pokesprite/master/items/hold-item/life-orb.png",3)</f>
        <v/>
      </c>
      <c r="Y136" s="5871" t="s">
        <v>1854</v>
      </c>
      <c r="Z136" s="5833"/>
      <c r="AA136" s="5834"/>
      <c r="AB136" s="5872" t="str">
        <f>IMAGE("https://raw.githubusercontent.com/msikma/pokesprite/master/items/hold-item/lustrous-orb.png",3)</f>
        <v/>
      </c>
      <c r="AD136" s="5871" t="s">
        <v>1230</v>
      </c>
      <c r="AE136" s="5833"/>
      <c r="AF136" s="5834"/>
      <c r="AG136" s="5872" t="str">
        <f>IMAGE("https://raw.githubusercontent.com/msikma/pokesprite/master/items/hold-item/choice-specs.png",3)</f>
        <v/>
      </c>
      <c r="AH136" s="5857"/>
      <c r="AI136" s="6747"/>
    </row>
    <row r="137" ht="20.25" customHeight="1">
      <c r="A137" s="6738"/>
      <c r="B137" s="5836"/>
      <c r="C137" s="5873"/>
      <c r="D137" s="5862"/>
      <c r="E137" s="5863" t="s">
        <v>1988</v>
      </c>
      <c r="F137" s="5864"/>
      <c r="G137" s="5874"/>
      <c r="H137" s="5875" t="str">
        <f>IMAGE("https://raw.githubusercontent.com/msikma/pokesprite/master/misc/types/gen8/normal.png",4,20,20)</f>
        <v/>
      </c>
      <c r="J137" s="5863" t="s">
        <v>622</v>
      </c>
      <c r="K137" s="5864"/>
      <c r="L137" s="5874"/>
      <c r="M137" s="5875" t="str">
        <f>IMAGE("https://raw.githubusercontent.com/msikma/pokesprite/master/misc/types/gen8/ground.png",4,20,20)</f>
        <v/>
      </c>
      <c r="O137" s="5863" t="s">
        <v>960</v>
      </c>
      <c r="P137" s="5864"/>
      <c r="Q137" s="5874"/>
      <c r="R137" s="5875" t="str">
        <f>IMAGE("https://raw.githubusercontent.com/msikma/pokesprite/master/misc/types/gen8/steel.png",4,20,20)</f>
        <v/>
      </c>
      <c r="T137" s="5863" t="s">
        <v>1989</v>
      </c>
      <c r="U137" s="5864"/>
      <c r="V137" s="5874"/>
      <c r="W137" s="5875" t="str">
        <f>IMAGE("https://raw.githubusercontent.com/msikma/pokesprite/master/misc/types/gen8/water.png",4,20,20)</f>
        <v/>
      </c>
      <c r="Y137" s="5863" t="s">
        <v>649</v>
      </c>
      <c r="Z137" s="5864"/>
      <c r="AA137" s="5874"/>
      <c r="AB137" s="5875" t="str">
        <f>IMAGE("https://raw.githubusercontent.com/msikma/pokesprite/master/misc/types/gen8/water.png",4,20,20)</f>
        <v/>
      </c>
      <c r="AD137" s="5863" t="s">
        <v>1980</v>
      </c>
      <c r="AE137" s="5864"/>
      <c r="AF137" s="5874"/>
      <c r="AG137" s="5875" t="str">
        <f>IMAGE("https://raw.githubusercontent.com/msikma/pokesprite/master/misc/types/gen8/grass.png",4,20,20)</f>
        <v/>
      </c>
      <c r="AH137" s="5857"/>
      <c r="AI137" s="6747"/>
    </row>
    <row r="138" ht="20.25" customHeight="1">
      <c r="A138" s="6738"/>
      <c r="B138" s="5836"/>
      <c r="C138" s="5858"/>
      <c r="D138" s="5862"/>
      <c r="E138" s="5867" t="s">
        <v>641</v>
      </c>
      <c r="F138" s="5868"/>
      <c r="G138" s="5876"/>
      <c r="H138" s="5877" t="str">
        <f>IMAGE("https://raw.githubusercontent.com/msikma/pokesprite/master/misc/types/gen8/fairy.png",4,20,20)</f>
        <v/>
      </c>
      <c r="J138" s="5867" t="s">
        <v>589</v>
      </c>
      <c r="K138" s="5868"/>
      <c r="L138" s="5876"/>
      <c r="M138" s="5877" t="str">
        <f>IMAGE("https://raw.githubusercontent.com/msikma/pokesprite/master/misc/types/gen8/ice.png",4,20,20)</f>
        <v/>
      </c>
      <c r="O138" s="5867" t="s">
        <v>219</v>
      </c>
      <c r="P138" s="5868"/>
      <c r="Q138" s="5876"/>
      <c r="R138" s="5877" t="str">
        <f>IMAGE("https://raw.githubusercontent.com/msikma/pokesprite/master/misc/types/gen8/dragon.png",4,20,20)</f>
        <v/>
      </c>
      <c r="T138" s="5867" t="s">
        <v>666</v>
      </c>
      <c r="U138" s="5868"/>
      <c r="V138" s="5876"/>
      <c r="W138" s="5877" t="str">
        <f>IMAGE("https://raw.githubusercontent.com/msikma/pokesprite/master/misc/types/gen8/dark.png",4,20,20)</f>
        <v/>
      </c>
      <c r="Y138" s="5867" t="s">
        <v>1990</v>
      </c>
      <c r="Z138" s="5868"/>
      <c r="AA138" s="5876"/>
      <c r="AB138" s="5877" t="str">
        <f>IMAGE("https://raw.githubusercontent.com/msikma/pokesprite/master/misc/types/gen8/dragon.png",4,20,20)</f>
        <v/>
      </c>
      <c r="AD138" s="5867" t="s">
        <v>546</v>
      </c>
      <c r="AE138" s="5868"/>
      <c r="AF138" s="5876"/>
      <c r="AG138" s="5877" t="str">
        <f>IMAGE("https://raw.githubusercontent.com/msikma/pokesprite/master/misc/types/gen8/flying.png",4,20,20)</f>
        <v/>
      </c>
      <c r="AH138" s="5857"/>
      <c r="AI138" s="6747"/>
    </row>
    <row r="139" ht="20.25" customHeight="1">
      <c r="A139" s="6738"/>
      <c r="B139" s="5836"/>
      <c r="C139" s="5858"/>
      <c r="D139" s="5862"/>
      <c r="E139" s="5867" t="s">
        <v>646</v>
      </c>
      <c r="F139" s="5868"/>
      <c r="G139" s="5876"/>
      <c r="H139" s="5877" t="str">
        <f>IMAGE("https://raw.githubusercontent.com/msikma/pokesprite/master/misc/types/gen8/steel.png",4,20,20)</f>
        <v/>
      </c>
      <c r="J139" s="5867" t="s">
        <v>760</v>
      </c>
      <c r="K139" s="5868"/>
      <c r="L139" s="5876"/>
      <c r="M139" s="5877" t="str">
        <f t="shared" ref="M139:M140" si="7">IMAGE("https://raw.githubusercontent.com/msikma/pokesprite/master/misc/types/gen8/water.png",4,20,20)</f>
        <v/>
      </c>
      <c r="O139" s="5867" t="s">
        <v>621</v>
      </c>
      <c r="P139" s="5868"/>
      <c r="Q139" s="5876"/>
      <c r="R139" s="5877" t="str">
        <f>IMAGE("https://raw.githubusercontent.com/msikma/pokesprite/master/misc/types/gen8/rock.png",4,20,20)</f>
        <v/>
      </c>
      <c r="T139" s="5867" t="s">
        <v>670</v>
      </c>
      <c r="U139" s="5868"/>
      <c r="V139" s="5876"/>
      <c r="W139" s="5877" t="str">
        <f>IMAGE("https://raw.githubusercontent.com/msikma/pokesprite/master/misc/types/gen8/ice.png",4,20,20)</f>
        <v/>
      </c>
      <c r="Y139" s="5867" t="s">
        <v>844</v>
      </c>
      <c r="Z139" s="5868"/>
      <c r="AA139" s="5876"/>
      <c r="AB139" s="5877" t="str">
        <f>IMAGE("https://raw.githubusercontent.com/msikma/pokesprite/master/misc/types/gen8/electric.png",4,20,20)</f>
        <v/>
      </c>
      <c r="AD139" s="5867" t="s">
        <v>644</v>
      </c>
      <c r="AE139" s="5868"/>
      <c r="AF139" s="5876"/>
      <c r="AG139" s="5877" t="str">
        <f>IMAGE("https://raw.githubusercontent.com/msikma/pokesprite/master/misc/types/gen8/ground.png",4,20,20)</f>
        <v/>
      </c>
      <c r="AH139" s="5857"/>
      <c r="AI139" s="6747"/>
    </row>
    <row r="140" ht="21.0" customHeight="1">
      <c r="A140" s="6738"/>
      <c r="B140" s="5836"/>
      <c r="C140" s="5858"/>
      <c r="D140" s="5862"/>
      <c r="E140" s="5878" t="s">
        <v>184</v>
      </c>
      <c r="F140" s="5879"/>
      <c r="G140" s="5880"/>
      <c r="H140" s="5881" t="str">
        <f>IMAGE("https://raw.githubusercontent.com/msikma/pokesprite/master/misc/types/gen8/normal.png",4,20,20)</f>
        <v/>
      </c>
      <c r="I140" s="5882"/>
      <c r="J140" s="5878" t="s">
        <v>542</v>
      </c>
      <c r="K140" s="5879"/>
      <c r="L140" s="5880"/>
      <c r="M140" s="5881" t="str">
        <f t="shared" si="7"/>
        <v/>
      </c>
      <c r="N140" s="5882"/>
      <c r="O140" s="5878" t="s">
        <v>939</v>
      </c>
      <c r="P140" s="5879"/>
      <c r="Q140" s="5880"/>
      <c r="R140" s="5881" t="str">
        <f>IMAGE("https://raw.githubusercontent.com/msikma/pokesprite/master/misc/types/gen8/psychic.png",4,20,20)</f>
        <v/>
      </c>
      <c r="S140" s="5882"/>
      <c r="T140" s="5878" t="s">
        <v>649</v>
      </c>
      <c r="U140" s="5879"/>
      <c r="V140" s="5880"/>
      <c r="W140" s="5881" t="str">
        <f>IMAGE("https://raw.githubusercontent.com/msikma/pokesprite/master/misc/types/gen8/water.png",4,20,20)</f>
        <v/>
      </c>
      <c r="X140" s="5882"/>
      <c r="Y140" s="5878" t="s">
        <v>718</v>
      </c>
      <c r="Z140" s="5879"/>
      <c r="AA140" s="5880"/>
      <c r="AB140" s="5881" t="str">
        <f>IMAGE("https://raw.githubusercontent.com/msikma/pokesprite/master/misc/types/gen8/fighting.png",4,20,20)</f>
        <v/>
      </c>
      <c r="AC140" s="5882"/>
      <c r="AD140" s="5878" t="s">
        <v>1991</v>
      </c>
      <c r="AE140" s="5879"/>
      <c r="AF140" s="5880"/>
      <c r="AG140" s="5881" t="str">
        <f>IMAGE("https://raw.githubusercontent.com/msikma/pokesprite/master/misc/types/gen8/dragon.png",4,20,20)</f>
        <v/>
      </c>
      <c r="AH140" s="5857"/>
      <c r="AI140" s="6747"/>
    </row>
    <row r="141" ht="3.0" customHeight="1">
      <c r="A141" s="6738"/>
      <c r="B141" s="5883"/>
      <c r="C141" s="5831"/>
      <c r="D141" s="5884"/>
      <c r="E141" s="5887"/>
      <c r="F141" s="5887"/>
      <c r="G141" s="5887"/>
      <c r="H141" s="5886"/>
      <c r="I141" s="5884"/>
      <c r="J141" s="5887"/>
      <c r="K141" s="5887"/>
      <c r="L141" s="5887"/>
      <c r="M141" s="5886"/>
      <c r="N141" s="5884"/>
      <c r="O141" s="5887"/>
      <c r="P141" s="5887"/>
      <c r="Q141" s="5887"/>
      <c r="R141" s="5886"/>
      <c r="S141" s="5886"/>
      <c r="T141" s="5887"/>
      <c r="U141" s="5887"/>
      <c r="V141" s="5887"/>
      <c r="W141" s="5886"/>
      <c r="X141" s="5884"/>
      <c r="Y141" s="5887"/>
      <c r="Z141" s="5887"/>
      <c r="AA141" s="5887"/>
      <c r="AB141" s="5885"/>
      <c r="AC141" s="5888"/>
      <c r="AD141" s="5887"/>
      <c r="AE141" s="5887"/>
      <c r="AF141" s="5887"/>
      <c r="AG141" s="5886"/>
      <c r="AH141" s="5889"/>
      <c r="AI141" s="6747"/>
    </row>
    <row r="142" ht="16.5" customHeight="1">
      <c r="A142" s="6738"/>
      <c r="B142" s="5830"/>
      <c r="C142" s="5831"/>
      <c r="D142" s="5893"/>
      <c r="E142" s="5891" t="s">
        <v>512</v>
      </c>
      <c r="F142" s="606"/>
      <c r="G142" s="606"/>
      <c r="H142" s="607"/>
      <c r="I142" s="5892"/>
      <c r="J142" s="5891" t="s">
        <v>512</v>
      </c>
      <c r="K142" s="606"/>
      <c r="L142" s="606"/>
      <c r="M142" s="607"/>
      <c r="N142" s="5893"/>
      <c r="O142" s="5891" t="s">
        <v>512</v>
      </c>
      <c r="P142" s="606"/>
      <c r="Q142" s="606"/>
      <c r="R142" s="607"/>
      <c r="S142" s="5894"/>
      <c r="T142" s="5891" t="s">
        <v>512</v>
      </c>
      <c r="U142" s="606"/>
      <c r="V142" s="606"/>
      <c r="W142" s="607"/>
      <c r="X142" s="5895"/>
      <c r="Y142" s="5891" t="s">
        <v>512</v>
      </c>
      <c r="Z142" s="606"/>
      <c r="AA142" s="606"/>
      <c r="AB142" s="607"/>
      <c r="AC142" s="5895"/>
      <c r="AD142" s="5891" t="s">
        <v>512</v>
      </c>
      <c r="AE142" s="606"/>
      <c r="AF142" s="606"/>
      <c r="AG142" s="607"/>
      <c r="AH142" s="5896"/>
      <c r="AI142" s="6747"/>
    </row>
    <row r="143" ht="16.5" customHeight="1">
      <c r="A143" s="6738"/>
      <c r="B143" s="5830"/>
      <c r="C143" s="5831"/>
      <c r="D143" s="5890"/>
      <c r="E143" s="5897" t="s">
        <v>513</v>
      </c>
      <c r="F143" s="5898">
        <f t="array" ref="F143">IFERROR(VLOOKUP(E130,Dex!$B$3:$N1219,8,FALSE),"")</f>
        <v>80</v>
      </c>
      <c r="G143" s="5899" t="str">
        <f t="array" ref="G143">IFERROR(VLOOKUP(F143,Dex!$P$22:$Q$276,2,FALSE),"")</f>
        <v/>
      </c>
      <c r="H143" s="5900"/>
      <c r="I143" s="5901"/>
      <c r="J143" s="5897" t="s">
        <v>513</v>
      </c>
      <c r="K143" s="5898">
        <f t="array" ref="K143">IFERROR(VLOOKUP(J130,Dex!$B$3:$N1219,8,FALSE),"")</f>
        <v>100</v>
      </c>
      <c r="L143" s="5899" t="str">
        <f t="array" ref="L143">IFERROR(VLOOKUP(K143,Dex!$P$22:$Q$276,2,FALSE),"")</f>
        <v/>
      </c>
      <c r="M143" s="5900"/>
      <c r="N143" s="5890"/>
      <c r="O143" s="5897" t="s">
        <v>513</v>
      </c>
      <c r="P143" s="5898">
        <f t="array" ref="P143">IFERROR(VLOOKUP(O130,Dex!$B$3:$N1219,8,FALSE),"")</f>
        <v>97</v>
      </c>
      <c r="Q143" s="5899" t="str">
        <f t="array" ref="Q143">IFERROR(VLOOKUP(P143,Dex!$P$22:$Q$276,2,FALSE),"")</f>
        <v/>
      </c>
      <c r="R143" s="5900"/>
      <c r="S143" s="5902"/>
      <c r="T143" s="5897" t="s">
        <v>513</v>
      </c>
      <c r="U143" s="5898">
        <f t="array" ref="U143">IFERROR(VLOOKUP(T130,Dex!$B$3:$N1219,8,FALSE),"")</f>
        <v>72</v>
      </c>
      <c r="V143" s="5899" t="str">
        <f t="array" ref="V143">IFERROR(VLOOKUP(U143,Dex!$P$22:$Q$276,2,FALSE),"")</f>
        <v/>
      </c>
      <c r="W143" s="5900"/>
      <c r="X143" s="5902"/>
      <c r="Y143" s="5897" t="s">
        <v>513</v>
      </c>
      <c r="Z143" s="5898">
        <f t="array" ref="Z143">IFERROR(VLOOKUP(Y130,Dex!$B$3:$N1219,8,FALSE),"")</f>
        <v>90</v>
      </c>
      <c r="AA143" s="5899" t="str">
        <f t="array" ref="AA143">IFERROR(VLOOKUP(Z143,Dex!$P$22:$Q$276,2,FALSE),"")</f>
        <v/>
      </c>
      <c r="AB143" s="5900"/>
      <c r="AC143" s="5902"/>
      <c r="AD143" s="5897" t="s">
        <v>513</v>
      </c>
      <c r="AE143" s="5898">
        <f t="array" ref="AE143">IFERROR(VLOOKUP(AD130,Dex!$B$3:$N1219,8,FALSE),"")</f>
        <v>100</v>
      </c>
      <c r="AF143" s="5899" t="str">
        <f t="array" ref="AF143">IFERROR(VLOOKUP(AE143,Dex!$P$22:$Q$276,2,FALSE),"")</f>
        <v/>
      </c>
      <c r="AG143" s="5900"/>
      <c r="AH143" s="5896"/>
      <c r="AI143" s="6747"/>
    </row>
    <row r="144" ht="16.5" customHeight="1">
      <c r="A144" s="6738"/>
      <c r="B144" s="5830"/>
      <c r="C144" s="5831"/>
      <c r="D144" s="5890"/>
      <c r="E144" s="5903" t="s">
        <v>514</v>
      </c>
      <c r="F144" s="5904">
        <f t="array" ref="F144">IFERROR(VLOOKUP(E130,Dex!$B$3:$N1219,9,FALSE),"")</f>
        <v>95</v>
      </c>
      <c r="G144" s="5905" t="str">
        <f t="array" ref="G144">IFERROR(VLOOKUP(F144,Dex!$P$22:$Q$276,2,FALSE),"")</f>
        <v/>
      </c>
      <c r="H144" s="5906"/>
      <c r="I144" s="5901"/>
      <c r="J144" s="5903" t="s">
        <v>514</v>
      </c>
      <c r="K144" s="5904">
        <f t="array" ref="K144">IFERROR(VLOOKUP(J130,Dex!$B$3:$N1219,9,FALSE),"")</f>
        <v>150</v>
      </c>
      <c r="L144" s="5905" t="str">
        <f t="array" ref="L144">IFERROR(VLOOKUP(K144,Dex!$P$22:$Q$276,2,FALSE),"")</f>
        <v/>
      </c>
      <c r="M144" s="5906"/>
      <c r="N144" s="5890"/>
      <c r="O144" s="5903" t="s">
        <v>514</v>
      </c>
      <c r="P144" s="5904">
        <f t="array" ref="P144">IFERROR(VLOOKUP(O130,Dex!$B$3:$N1219,9,FALSE),"")</f>
        <v>157</v>
      </c>
      <c r="Q144" s="5905" t="str">
        <f t="array" ref="Q144">IFERROR(VLOOKUP(P144,Dex!$P$22:$Q$276,2,FALSE),"")</f>
        <v/>
      </c>
      <c r="R144" s="5906"/>
      <c r="S144" s="5902"/>
      <c r="T144" s="5903" t="s">
        <v>514</v>
      </c>
      <c r="U144" s="5904">
        <f t="array" ref="U144">IFERROR(VLOOKUP(T130,Dex!$B$3:$N1219,9,FALSE),"")</f>
        <v>145</v>
      </c>
      <c r="V144" s="5905" t="str">
        <f t="array" ref="V144">IFERROR(VLOOKUP(U144,Dex!$P$22:$Q$276,2,FALSE),"")</f>
        <v/>
      </c>
      <c r="W144" s="5906"/>
      <c r="X144" s="5902"/>
      <c r="Y144" s="5903" t="s">
        <v>514</v>
      </c>
      <c r="Z144" s="5904">
        <f t="array" ref="Z144">IFERROR(VLOOKUP(Y130,Dex!$B$3:$N1219,9,FALSE),"")</f>
        <v>100</v>
      </c>
      <c r="AA144" s="5905" t="str">
        <f t="array" ref="AA144">IFERROR(VLOOKUP(Z144,Dex!$P$22:$Q$276,2,FALSE),"")</f>
        <v/>
      </c>
      <c r="AB144" s="5906"/>
      <c r="AC144" s="5902"/>
      <c r="AD144" s="5903" t="s">
        <v>514</v>
      </c>
      <c r="AE144" s="5904">
        <f t="array" ref="AE144">IFERROR(VLOOKUP(AD130,Dex!$B$3:$N1219,9,FALSE),"")</f>
        <v>103</v>
      </c>
      <c r="AF144" s="5905" t="str">
        <f t="array" ref="AF144">IFERROR(VLOOKUP(AE144,Dex!$P$22:$Q$276,2,FALSE),"")</f>
        <v/>
      </c>
      <c r="AG144" s="5906"/>
      <c r="AH144" s="5896"/>
      <c r="AI144" s="6747"/>
    </row>
    <row r="145" ht="16.5" customHeight="1">
      <c r="A145" s="6738"/>
      <c r="B145" s="5830"/>
      <c r="C145" s="5831"/>
      <c r="D145" s="5890"/>
      <c r="E145" s="5903" t="s">
        <v>515</v>
      </c>
      <c r="F145" s="5904">
        <f t="array" ref="F145">IFERROR(VLOOKUP(E130,Dex!$B$3:$N1219,10,FALSE),"")</f>
        <v>115</v>
      </c>
      <c r="G145" s="5905" t="str">
        <f t="array" ref="G145">IFERROR(VLOOKUP(F145,Dex!$P$22:$Q$276,2,FALSE),"")</f>
        <v/>
      </c>
      <c r="H145" s="5906"/>
      <c r="I145" s="5901"/>
      <c r="J145" s="5903" t="s">
        <v>515</v>
      </c>
      <c r="K145" s="5904">
        <f t="array" ref="K145">IFERROR(VLOOKUP(J130,Dex!$B$3:$N1219,10,FALSE),"")</f>
        <v>110</v>
      </c>
      <c r="L145" s="5905" t="str">
        <f t="array" ref="L145">IFERROR(VLOOKUP(K145,Dex!$P$22:$Q$276,2,FALSE),"")</f>
        <v/>
      </c>
      <c r="M145" s="5906"/>
      <c r="N145" s="5890"/>
      <c r="O145" s="5903" t="s">
        <v>515</v>
      </c>
      <c r="P145" s="5904">
        <f t="array" ref="P145">IFERROR(VLOOKUP(O130,Dex!$B$3:$N1219,10,FALSE),"")</f>
        <v>127</v>
      </c>
      <c r="Q145" s="5905" t="str">
        <f t="array" ref="Q145">IFERROR(VLOOKUP(P145,Dex!$P$22:$Q$276,2,FALSE),"")</f>
        <v/>
      </c>
      <c r="R145" s="5906"/>
      <c r="S145" s="5902"/>
      <c r="T145" s="5903" t="s">
        <v>515</v>
      </c>
      <c r="U145" s="5904">
        <f t="array" ref="U145">IFERROR(VLOOKUP(T130,Dex!$B$3:$N1219,10,FALSE),"")</f>
        <v>67</v>
      </c>
      <c r="V145" s="5905" t="str">
        <f t="array" ref="V145">IFERROR(VLOOKUP(U145,Dex!$P$22:$Q$276,2,FALSE),"")</f>
        <v/>
      </c>
      <c r="W145" s="5906"/>
      <c r="X145" s="5902"/>
      <c r="Y145" s="5903" t="s">
        <v>515</v>
      </c>
      <c r="Z145" s="5904">
        <f t="array" ref="Z145">IFERROR(VLOOKUP(Y130,Dex!$B$3:$N1219,10,FALSE),"")</f>
        <v>100</v>
      </c>
      <c r="AA145" s="5905" t="str">
        <f t="array" ref="AA145">IFERROR(VLOOKUP(Z145,Dex!$P$22:$Q$276,2,FALSE),"")</f>
        <v/>
      </c>
      <c r="AB145" s="5906"/>
      <c r="AC145" s="5902"/>
      <c r="AD145" s="5903" t="s">
        <v>515</v>
      </c>
      <c r="AE145" s="5904">
        <f t="array" ref="AE145">IFERROR(VLOOKUP(AD130,Dex!$B$3:$N1219,10,FALSE),"")</f>
        <v>75</v>
      </c>
      <c r="AF145" s="5905" t="str">
        <f t="array" ref="AF145">IFERROR(VLOOKUP(AE145,Dex!$P$22:$Q$276,2,FALSE),"")</f>
        <v/>
      </c>
      <c r="AG145" s="5906"/>
      <c r="AH145" s="5896"/>
      <c r="AI145" s="6747"/>
    </row>
    <row r="146" ht="16.5" customHeight="1">
      <c r="A146" s="6738"/>
      <c r="B146" s="5830"/>
      <c r="C146" s="5831"/>
      <c r="D146" s="5890"/>
      <c r="E146" s="5903" t="s">
        <v>516</v>
      </c>
      <c r="F146" s="5904">
        <f t="array" ref="F146">IFERROR(VLOOKUP(E130,Dex!$B$3:$N1219,11,FALSE),"")</f>
        <v>130</v>
      </c>
      <c r="G146" s="5905" t="str">
        <f t="array" ref="G146">IFERROR(VLOOKUP(F146,Dex!$P$22:$Q$276,2,FALSE),"")</f>
        <v/>
      </c>
      <c r="H146" s="5906"/>
      <c r="I146" s="5901"/>
      <c r="J146" s="5903" t="s">
        <v>516</v>
      </c>
      <c r="K146" s="5904">
        <f t="array" ref="K146">IFERROR(VLOOKUP(J130,Dex!$B$3:$N1219,11,FALSE),"")</f>
        <v>95</v>
      </c>
      <c r="L146" s="5905" t="str">
        <f t="array" ref="L146">IFERROR(VLOOKUP(K146,Dex!$P$22:$Q$276,2,FALSE),"")</f>
        <v/>
      </c>
      <c r="M146" s="5906"/>
      <c r="N146" s="5890"/>
      <c r="O146" s="5903" t="s">
        <v>516</v>
      </c>
      <c r="P146" s="5904">
        <f t="array" ref="P146">IFERROR(VLOOKUP(O130,Dex!$B$3:$N1219,11,FALSE),"")</f>
        <v>113</v>
      </c>
      <c r="Q146" s="5905" t="str">
        <f t="array" ref="Q146">IFERROR(VLOOKUP(P146,Dex!$P$22:$Q$276,2,FALSE),"")</f>
        <v/>
      </c>
      <c r="R146" s="5906"/>
      <c r="S146" s="5902"/>
      <c r="T146" s="5903" t="s">
        <v>516</v>
      </c>
      <c r="U146" s="5904">
        <f t="array" ref="U146">IFERROR(VLOOKUP(T130,Dex!$B$3:$N1219,11,FALSE),"")</f>
        <v>153</v>
      </c>
      <c r="V146" s="5905" t="str">
        <f t="array" ref="V146">IFERROR(VLOOKUP(U146,Dex!$P$22:$Q$276,2,FALSE),"")</f>
        <v/>
      </c>
      <c r="W146" s="5906"/>
      <c r="X146" s="5902"/>
      <c r="Y146" s="5903" t="s">
        <v>516</v>
      </c>
      <c r="Z146" s="5904">
        <f t="array" ref="Z146">IFERROR(VLOOKUP(Y130,Dex!$B$3:$N1219,11,FALSE),"")</f>
        <v>150</v>
      </c>
      <c r="AA146" s="5905" t="str">
        <f t="array" ref="AA146">IFERROR(VLOOKUP(Z146,Dex!$P$22:$Q$276,2,FALSE),"")</f>
        <v/>
      </c>
      <c r="AB146" s="5906"/>
      <c r="AC146" s="5902"/>
      <c r="AD146" s="5903" t="s">
        <v>516</v>
      </c>
      <c r="AE146" s="5904">
        <f t="array" ref="AE146">IFERROR(VLOOKUP(AD130,Dex!$B$3:$N1219,11,FALSE),"")</f>
        <v>120</v>
      </c>
      <c r="AF146" s="5905" t="str">
        <f t="array" ref="AF146">IFERROR(VLOOKUP(AE146,Dex!$P$22:$Q$276,2,FALSE),"")</f>
        <v/>
      </c>
      <c r="AG146" s="5906"/>
      <c r="AH146" s="5896"/>
      <c r="AI146" s="6747"/>
    </row>
    <row r="147" ht="16.5" customHeight="1">
      <c r="A147" s="6738"/>
      <c r="B147" s="5830"/>
      <c r="C147" s="5831"/>
      <c r="D147" s="5890"/>
      <c r="E147" s="5903" t="s">
        <v>517</v>
      </c>
      <c r="F147" s="5904">
        <f t="array" ref="F147">IFERROR(VLOOKUP(E130,Dex!$B$3:$N1219,12,FALSE),"")</f>
        <v>115</v>
      </c>
      <c r="G147" s="5905" t="str">
        <f t="array" ref="G147">IFERROR(VLOOKUP(F147,Dex!$P$22:$Q$276,2,FALSE),"")</f>
        <v/>
      </c>
      <c r="H147" s="5906"/>
      <c r="I147" s="5901"/>
      <c r="J147" s="5903" t="s">
        <v>517</v>
      </c>
      <c r="K147" s="5904">
        <f t="array" ref="K147">IFERROR(VLOOKUP(J130,Dex!$B$3:$N1219,12,FALSE),"")</f>
        <v>110</v>
      </c>
      <c r="L147" s="5905" t="str">
        <f t="array" ref="L147">IFERROR(VLOOKUP(K147,Dex!$P$22:$Q$276,2,FALSE),"")</f>
        <v/>
      </c>
      <c r="M147" s="5906"/>
      <c r="N147" s="5890"/>
      <c r="O147" s="5903" t="s">
        <v>517</v>
      </c>
      <c r="P147" s="5904">
        <f t="array" ref="P147">IFERROR(VLOOKUP(O130,Dex!$B$3:$N1219,12,FALSE),"")</f>
        <v>109</v>
      </c>
      <c r="Q147" s="5905" t="str">
        <f t="array" ref="Q147">IFERROR(VLOOKUP(P147,Dex!$P$22:$Q$276,2,FALSE),"")</f>
        <v/>
      </c>
      <c r="R147" s="5906"/>
      <c r="S147" s="5902"/>
      <c r="T147" s="5903" t="s">
        <v>517</v>
      </c>
      <c r="U147" s="5904">
        <f t="array" ref="U147">IFERROR(VLOOKUP(T130,Dex!$B$3:$N1219,12,FALSE),"")</f>
        <v>71</v>
      </c>
      <c r="V147" s="5905" t="str">
        <f t="array" ref="V147">IFERROR(VLOOKUP(U147,Dex!$P$22:$Q$276,2,FALSE),"")</f>
        <v/>
      </c>
      <c r="W147" s="5906"/>
      <c r="X147" s="5902"/>
      <c r="Y147" s="5903" t="s">
        <v>517</v>
      </c>
      <c r="Z147" s="5904">
        <f t="array" ref="Z147">IFERROR(VLOOKUP(Y130,Dex!$B$3:$N1219,12,FALSE),"")</f>
        <v>120</v>
      </c>
      <c r="AA147" s="5905" t="str">
        <f t="array" ref="AA147">IFERROR(VLOOKUP(Z147,Dex!$P$22:$Q$276,2,FALSE),"")</f>
        <v/>
      </c>
      <c r="AB147" s="5906"/>
      <c r="AC147" s="5902"/>
      <c r="AD147" s="5903" t="s">
        <v>517</v>
      </c>
      <c r="AE147" s="5904">
        <f t="array" ref="AE147">IFERROR(VLOOKUP(AD130,Dex!$B$3:$N1219,12,FALSE),"")</f>
        <v>75</v>
      </c>
      <c r="AF147" s="5905" t="str">
        <f t="array" ref="AF147">IFERROR(VLOOKUP(AE147,Dex!$P$22:$Q$276,2,FALSE),"")</f>
        <v/>
      </c>
      <c r="AG147" s="5906"/>
      <c r="AH147" s="5896"/>
      <c r="AI147" s="6747"/>
    </row>
    <row r="148" ht="16.5" customHeight="1">
      <c r="A148" s="6738"/>
      <c r="B148" s="5830"/>
      <c r="C148" s="5831"/>
      <c r="D148" s="5890"/>
      <c r="E148" s="5907" t="s">
        <v>518</v>
      </c>
      <c r="F148" s="5908">
        <f t="array" ref="F148">IFERROR(VLOOKUP(E130,Dex!$B$3:$N1219,13,FALSE),"")</f>
        <v>65</v>
      </c>
      <c r="G148" s="5905" t="str">
        <f t="array" ref="G148">IFERROR(VLOOKUP(F148,Dex!$P$22:$Q$276,2,FALSE),"")</f>
        <v/>
      </c>
      <c r="H148" s="5906"/>
      <c r="I148" s="5901"/>
      <c r="J148" s="5907" t="s">
        <v>518</v>
      </c>
      <c r="K148" s="5908">
        <f t="array" ref="K148">IFERROR(VLOOKUP(J130,Dex!$B$3:$N1219,13,FALSE),"")</f>
        <v>70</v>
      </c>
      <c r="L148" s="5909" t="str">
        <f t="array" ref="L148">IFERROR(VLOOKUP(K148,Dex!$P$22:$Q$276,2,FALSE),"")</f>
        <v/>
      </c>
      <c r="M148" s="5910"/>
      <c r="N148" s="5890"/>
      <c r="O148" s="5907" t="s">
        <v>518</v>
      </c>
      <c r="P148" s="5908">
        <f t="array" ref="P148">IFERROR(VLOOKUP(O130,Dex!$B$3:$N1219,13,FALSE),"")</f>
        <v>77</v>
      </c>
      <c r="Q148" s="5905" t="str">
        <f t="array" ref="Q148">IFERROR(VLOOKUP(P148,Dex!$P$22:$Q$276,2,FALSE),"")</f>
        <v/>
      </c>
      <c r="R148" s="5906"/>
      <c r="S148" s="5902"/>
      <c r="T148" s="5907" t="s">
        <v>518</v>
      </c>
      <c r="U148" s="5908">
        <f t="array" ref="U148">IFERROR(VLOOKUP(T130,Dex!$B$3:$N1219,13,FALSE),"")</f>
        <v>132</v>
      </c>
      <c r="V148" s="5905" t="str">
        <f t="array" ref="V148">IFERROR(VLOOKUP(U148,Dex!$P$22:$Q$276,2,FALSE),"")</f>
        <v/>
      </c>
      <c r="W148" s="5906"/>
      <c r="X148" s="5902"/>
      <c r="Y148" s="5907" t="s">
        <v>518</v>
      </c>
      <c r="Z148" s="5908">
        <f t="array" ref="Z148">IFERROR(VLOOKUP(Y130,Dex!$B$3:$N1219,13,FALSE),"")</f>
        <v>120</v>
      </c>
      <c r="AA148" s="5905" t="str">
        <f t="array" ref="AA148">IFERROR(VLOOKUP(Z148,Dex!$P$22:$Q$276,2,FALSE),"")</f>
        <v/>
      </c>
      <c r="AB148" s="5906"/>
      <c r="AC148" s="5902"/>
      <c r="AD148" s="5907" t="s">
        <v>518</v>
      </c>
      <c r="AE148" s="5908">
        <f t="array" ref="AE148">IFERROR(VLOOKUP(AD130,Dex!$B$3:$N1219,13,FALSE),"")</f>
        <v>127</v>
      </c>
      <c r="AF148" s="5905" t="str">
        <f t="array" ref="AF148">IFERROR(VLOOKUP(AE148,Dex!$P$22:$Q$276,2,FALSE),"")</f>
        <v/>
      </c>
      <c r="AG148" s="5906"/>
      <c r="AH148" s="5896"/>
      <c r="AI148" s="6747"/>
    </row>
    <row r="149" ht="16.5" customHeight="1">
      <c r="A149" s="6738"/>
      <c r="B149" s="5830"/>
      <c r="C149" s="5831"/>
      <c r="D149" s="5893"/>
      <c r="E149" s="5912" t="s">
        <v>519</v>
      </c>
      <c r="F149" s="630"/>
      <c r="G149" s="631"/>
      <c r="H149" s="632">
        <f>ROUNDDOWN((ROUNDDOWN(((((2*F148+31)*100)/100+5)),0))*1,0)</f>
        <v>166</v>
      </c>
      <c r="I149" s="5892"/>
      <c r="J149" s="5911" t="s">
        <v>519</v>
      </c>
      <c r="K149" s="635"/>
      <c r="L149" s="636"/>
      <c r="M149" s="632">
        <f>ROUNDDOWN((ROUNDDOWN(((((2*K148+31)*100)/100+5)),0))*1.1,0)</f>
        <v>193</v>
      </c>
      <c r="N149" s="5893"/>
      <c r="O149" s="5912" t="s">
        <v>519</v>
      </c>
      <c r="P149" s="630"/>
      <c r="Q149" s="631"/>
      <c r="R149" s="632">
        <f>ROUNDDOWN((ROUNDDOWN(((((2*P148+31)*100)/100+5)),0))*1,0)</f>
        <v>190</v>
      </c>
      <c r="S149" s="5895"/>
      <c r="T149" s="5912" t="s">
        <v>519</v>
      </c>
      <c r="U149" s="630"/>
      <c r="V149" s="631"/>
      <c r="W149" s="632">
        <f>ROUNDDOWN((ROUNDDOWN(((((2*U148+31)*100)/100+5)),0))*1.1,0)</f>
        <v>330</v>
      </c>
      <c r="X149" s="5895"/>
      <c r="Y149" s="5912" t="s">
        <v>519</v>
      </c>
      <c r="Z149" s="630"/>
      <c r="AA149" s="631"/>
      <c r="AB149" s="632">
        <f>ROUNDDOWN((ROUNDDOWN(((((2*Z148+31)*100)/100+5)),0))*1.1,0)</f>
        <v>303</v>
      </c>
      <c r="AC149" s="5895"/>
      <c r="AD149" s="5912" t="s">
        <v>519</v>
      </c>
      <c r="AE149" s="630"/>
      <c r="AF149" s="631"/>
      <c r="AG149" s="632">
        <f>ROUNDDOWN((ROUNDDOWN(((((2*AE148+31)*100)/100+5)),0))*1.1,0)</f>
        <v>319</v>
      </c>
      <c r="AH149" s="5896"/>
      <c r="AI149" s="6747"/>
    </row>
    <row r="150" ht="16.5" customHeight="1">
      <c r="A150" s="6738"/>
      <c r="B150" s="5913"/>
      <c r="C150" s="5831"/>
      <c r="D150" s="5914"/>
      <c r="E150" s="5918"/>
      <c r="F150" s="5918"/>
      <c r="G150" s="5918"/>
      <c r="H150" s="5831"/>
      <c r="I150" s="5917"/>
      <c r="J150" s="5915" t="s">
        <v>555</v>
      </c>
      <c r="K150" s="643"/>
      <c r="L150" s="644"/>
      <c r="M150" s="6787">
        <f>M149*2</f>
        <v>386</v>
      </c>
      <c r="N150" s="5914"/>
      <c r="O150" s="5918"/>
      <c r="P150" s="5918"/>
      <c r="Q150" s="5918"/>
      <c r="R150" s="5831"/>
      <c r="S150" s="5919"/>
      <c r="T150" s="5918"/>
      <c r="U150" s="5918"/>
      <c r="V150" s="5918"/>
      <c r="W150" s="5831"/>
      <c r="X150" s="5919"/>
      <c r="Y150" s="5918"/>
      <c r="Z150" s="5918"/>
      <c r="AA150" s="5918"/>
      <c r="AB150" s="5831"/>
      <c r="AC150" s="5920"/>
      <c r="AD150" s="5918"/>
      <c r="AE150" s="5918"/>
      <c r="AF150" s="5918"/>
      <c r="AG150" s="5831"/>
      <c r="AH150" s="5921"/>
      <c r="AI150" s="6747"/>
    </row>
    <row r="151" ht="15.0" customHeight="1">
      <c r="A151" s="6738"/>
      <c r="B151" s="5922"/>
      <c r="C151" s="5923"/>
      <c r="D151" s="5923"/>
      <c r="E151" s="5924"/>
      <c r="F151" s="5924"/>
      <c r="G151" s="5924"/>
      <c r="H151" s="5924"/>
      <c r="I151" s="5923"/>
      <c r="J151" s="5925"/>
      <c r="K151" s="5925"/>
      <c r="L151" s="5925"/>
      <c r="M151" s="5924"/>
      <c r="N151" s="5923"/>
      <c r="O151" s="5924"/>
      <c r="P151" s="5924"/>
      <c r="Q151" s="5924"/>
      <c r="R151" s="5924"/>
      <c r="S151" s="5923"/>
      <c r="T151" s="5924"/>
      <c r="U151" s="5924"/>
      <c r="V151" s="5924"/>
      <c r="W151" s="5924"/>
      <c r="X151" s="5923"/>
      <c r="Y151" s="5924"/>
      <c r="Z151" s="5924"/>
      <c r="AA151" s="5924"/>
      <c r="AB151" s="5924"/>
      <c r="AC151" s="5923"/>
      <c r="AD151" s="5925"/>
      <c r="AE151" s="5925"/>
      <c r="AF151" s="5925"/>
      <c r="AG151" s="5924"/>
      <c r="AH151" s="5926"/>
      <c r="AI151" s="6747"/>
    </row>
    <row r="152" ht="7.5" customHeight="1">
      <c r="A152" s="6738"/>
      <c r="B152" s="2125"/>
      <c r="C152" s="2126"/>
      <c r="D152" s="2127"/>
      <c r="E152" s="2127"/>
      <c r="F152" s="2127"/>
      <c r="G152" s="2127"/>
      <c r="H152" s="2127"/>
      <c r="I152" s="2127"/>
      <c r="J152" s="2127"/>
      <c r="K152" s="2127"/>
      <c r="L152" s="2127"/>
      <c r="M152" s="2127"/>
      <c r="N152" s="2127"/>
      <c r="O152" s="2127"/>
      <c r="P152" s="2127"/>
      <c r="Q152" s="2127"/>
      <c r="R152" s="2127"/>
      <c r="S152" s="2127"/>
      <c r="T152" s="2127"/>
      <c r="U152" s="2127"/>
      <c r="V152" s="2127"/>
      <c r="W152" s="2127"/>
      <c r="X152" s="2127"/>
      <c r="Y152" s="2127"/>
      <c r="Z152" s="2127"/>
      <c r="AA152" s="2127"/>
      <c r="AB152" s="2127"/>
      <c r="AC152" s="2127"/>
      <c r="AD152" s="2127"/>
      <c r="AE152" s="2127"/>
      <c r="AF152" s="2127"/>
      <c r="AG152" s="2127"/>
      <c r="AH152" s="2128"/>
      <c r="AI152" s="6747"/>
    </row>
    <row r="153">
      <c r="A153" s="6738"/>
      <c r="B153" s="2129"/>
      <c r="C153" s="2134"/>
      <c r="D153" s="2135"/>
      <c r="E153" s="2136" t="s">
        <v>1992</v>
      </c>
      <c r="F153" s="2137"/>
      <c r="G153" s="2137"/>
      <c r="H153" s="2137"/>
      <c r="I153" s="2137"/>
      <c r="J153" s="2137"/>
      <c r="K153" s="2137"/>
      <c r="L153" s="2137"/>
      <c r="M153" s="2137"/>
      <c r="N153" s="2137"/>
      <c r="O153" s="2137"/>
      <c r="P153" s="2137"/>
      <c r="Q153" s="2137"/>
      <c r="R153" s="2137"/>
      <c r="S153" s="2137"/>
      <c r="T153" s="2137"/>
      <c r="U153" s="2137"/>
      <c r="V153" s="2137"/>
      <c r="W153" s="2137"/>
      <c r="X153" s="2137"/>
      <c r="Y153" s="2137"/>
      <c r="Z153" s="2137"/>
      <c r="AA153" s="2137"/>
      <c r="AB153" s="2137"/>
      <c r="AC153" s="2137"/>
      <c r="AD153" s="2137"/>
      <c r="AE153" s="2137"/>
      <c r="AF153" s="2137"/>
      <c r="AG153" s="2138"/>
      <c r="AH153" s="2132"/>
      <c r="AI153" s="6747"/>
    </row>
    <row r="154" ht="96.75" customHeight="1">
      <c r="A154" s="6738"/>
      <c r="B154" s="2139"/>
      <c r="C154" s="2140" t="str">
        <f>IMAGE("https://i.ibb.co/rkZGjMV/Pryce.png")</f>
        <v/>
      </c>
      <c r="D154" s="2141"/>
      <c r="E154" s="2142" t="str">
        <f t="array" ref="E154">IFERROR(VLOOKUP(E155,Dex!$B$3:$G1219,3,FALSE),"")</f>
        <v/>
      </c>
      <c r="F154" s="539"/>
      <c r="G154" s="539"/>
      <c r="H154" s="540"/>
      <c r="I154" s="2141"/>
      <c r="J154" s="2142" t="str">
        <f t="array" ref="J154">IFERROR(VLOOKUP(J155,Dex!$B$3:$G1219,3,FALSE),"")</f>
        <v/>
      </c>
      <c r="K154" s="539"/>
      <c r="L154" s="539"/>
      <c r="M154" s="540"/>
      <c r="N154" s="2141"/>
      <c r="O154" s="2142" t="str">
        <f t="array" ref="O154">IFERROR(VLOOKUP(O155,Dex!$B$3:$G1219,3,FALSE),"")</f>
        <v/>
      </c>
      <c r="P154" s="539"/>
      <c r="Q154" s="539"/>
      <c r="R154" s="540"/>
      <c r="S154" s="2141"/>
      <c r="T154" s="2142" t="str">
        <f t="array" ref="T154">IFERROR(VLOOKUP(T155,Dex!$B$3:$G1219,3,FALSE),"")</f>
        <v/>
      </c>
      <c r="U154" s="539"/>
      <c r="V154" s="539"/>
      <c r="W154" s="540"/>
      <c r="X154" s="2141"/>
      <c r="Y154" s="2142" t="str">
        <f t="array" ref="Y154">IFERROR(VLOOKUP(Y155,Dex!$B$3:$G1219,3,FALSE),"")</f>
        <v/>
      </c>
      <c r="Z154" s="539"/>
      <c r="AA154" s="539"/>
      <c r="AB154" s="540"/>
      <c r="AC154" s="2141"/>
      <c r="AD154" s="2142" t="str">
        <f t="array" ref="AD154">IFERROR(VLOOKUP(AD155,Dex!$B$3:$G1219,3,FALSE),"")</f>
        <v/>
      </c>
      <c r="AE154" s="539"/>
      <c r="AF154" s="539"/>
      <c r="AG154" s="540"/>
      <c r="AH154" s="2143"/>
      <c r="AI154" s="6747"/>
    </row>
    <row r="155" ht="18.75" customHeight="1">
      <c r="A155" s="6738"/>
      <c r="B155" s="2144"/>
      <c r="C155" s="6839" t="s">
        <v>1993</v>
      </c>
      <c r="D155" s="2146"/>
      <c r="E155" s="2147" t="s">
        <v>1862</v>
      </c>
      <c r="F155" s="2148"/>
      <c r="G155" s="2148"/>
      <c r="H155" s="2149"/>
      <c r="I155" s="2150"/>
      <c r="J155" s="2147" t="s">
        <v>1994</v>
      </c>
      <c r="K155" s="2148"/>
      <c r="L155" s="2148"/>
      <c r="M155" s="2149"/>
      <c r="N155" s="2150"/>
      <c r="O155" s="2147" t="s">
        <v>1861</v>
      </c>
      <c r="P155" s="2148"/>
      <c r="Q155" s="2148"/>
      <c r="R155" s="2149"/>
      <c r="S155" s="2150"/>
      <c r="T155" s="2147" t="s">
        <v>1995</v>
      </c>
      <c r="U155" s="2148"/>
      <c r="V155" s="2148"/>
      <c r="W155" s="2149"/>
      <c r="X155" s="2150"/>
      <c r="Y155" s="2147" t="s">
        <v>1996</v>
      </c>
      <c r="Z155" s="2148"/>
      <c r="AA155" s="2148"/>
      <c r="AB155" s="2149"/>
      <c r="AC155" s="2150"/>
      <c r="AD155" s="2147" t="s">
        <v>1997</v>
      </c>
      <c r="AE155" s="2148"/>
      <c r="AF155" s="2148"/>
      <c r="AG155" s="2149"/>
      <c r="AH155" s="2151"/>
      <c r="AI155" s="6747"/>
    </row>
    <row r="156">
      <c r="A156" s="6738"/>
      <c r="B156" s="2152"/>
      <c r="C156" s="6840"/>
      <c r="D156" s="2153"/>
      <c r="E156" s="2154" t="s">
        <v>729</v>
      </c>
      <c r="F156" s="2155"/>
      <c r="G156" s="2155"/>
      <c r="H156" s="2156"/>
      <c r="I156" s="2157"/>
      <c r="J156" s="2154" t="s">
        <v>729</v>
      </c>
      <c r="K156" s="2155"/>
      <c r="L156" s="2155"/>
      <c r="M156" s="2156"/>
      <c r="N156" s="2157"/>
      <c r="O156" s="2154" t="s">
        <v>729</v>
      </c>
      <c r="P156" s="2155"/>
      <c r="Q156" s="2155"/>
      <c r="R156" s="2156"/>
      <c r="S156" s="2157"/>
      <c r="T156" s="2154" t="s">
        <v>729</v>
      </c>
      <c r="U156" s="2155"/>
      <c r="V156" s="2155"/>
      <c r="W156" s="2156"/>
      <c r="X156" s="2157"/>
      <c r="Y156" s="2154" t="s">
        <v>729</v>
      </c>
      <c r="Z156" s="2155"/>
      <c r="AA156" s="2155"/>
      <c r="AB156" s="2156"/>
      <c r="AC156" s="2157"/>
      <c r="AD156" s="2154" t="s">
        <v>729</v>
      </c>
      <c r="AE156" s="2155"/>
      <c r="AF156" s="2155"/>
      <c r="AG156" s="2156"/>
      <c r="AH156" s="2158"/>
      <c r="AI156" s="6747"/>
    </row>
    <row r="157" ht="25.5" customHeight="1">
      <c r="A157" s="6738"/>
      <c r="B157" s="2129"/>
      <c r="C157" s="6840"/>
      <c r="D157" s="2168"/>
      <c r="E157" s="2160"/>
      <c r="F157" s="2161" t="str">
        <f t="array" ref="F157">IFERROR(VLOOKUP(E155,Dex!$B$3:$H1219,5,FALSE),"")</f>
        <v/>
      </c>
      <c r="G157" s="2162" t="str">
        <f t="array" ref="G157">IFERROR(VLOOKUP(E155,Dex!$B$3:$H1219,7,FALSE),"")</f>
        <v/>
      </c>
      <c r="H157" s="2163"/>
      <c r="I157" s="2164"/>
      <c r="J157" s="2160"/>
      <c r="K157" s="2161" t="str">
        <f t="array" ref="K157">IFERROR(VLOOKUP(J155,Dex!$B$3:$H1219,5,FALSE),"")</f>
        <v/>
      </c>
      <c r="L157" s="2162" t="str">
        <f t="array" ref="L157">IFERROR(VLOOKUP(J155,Dex!$B$3:$H1219,7,FALSE),"")</f>
        <v/>
      </c>
      <c r="M157" s="2163"/>
      <c r="N157" s="2164"/>
      <c r="O157" s="2160"/>
      <c r="P157" s="2161" t="str">
        <f t="array" ref="P157">IFERROR(VLOOKUP(O155,Dex!$B$3:$H1219,5,FALSE),"")</f>
        <v/>
      </c>
      <c r="Q157" s="2162" t="str">
        <f t="array" ref="Q157">IFERROR(VLOOKUP(O155,Dex!$B$3:$H1219,7,FALSE),"")</f>
        <v/>
      </c>
      <c r="R157" s="2163"/>
      <c r="S157" s="2164"/>
      <c r="T157" s="2160"/>
      <c r="U157" s="2161" t="str">
        <f t="array" ref="U157">IFERROR(VLOOKUP(T155,Dex!$B$3:$H1219,5,FALSE),"")</f>
        <v/>
      </c>
      <c r="V157" s="2162" t="str">
        <f t="array" ref="V157">IFERROR(VLOOKUP(T155,Dex!$B$3:$H1219,7,FALSE),"")</f>
        <v/>
      </c>
      <c r="W157" s="2163"/>
      <c r="X157" s="2164"/>
      <c r="Y157" s="2160"/>
      <c r="Z157" s="2165" t="str">
        <f t="array" ref="Z157">IFERROR(VLOOKUP(Y155,Dex!$B$3:$H1219,5,FALSE),"")</f>
        <v/>
      </c>
      <c r="AA157" s="2166"/>
      <c r="AB157" s="2163"/>
      <c r="AC157" s="2164"/>
      <c r="AD157" s="2160"/>
      <c r="AE157" s="2161" t="str">
        <f t="array" ref="AE157">IFERROR(VLOOKUP(AD155,Dex!$B$3:$H1219,5,FALSE),"")</f>
        <v/>
      </c>
      <c r="AF157" s="2162" t="str">
        <f t="array" ref="AF157">IFERROR(VLOOKUP(AD155,Dex!$B$3:$H1219,7,FALSE),"")</f>
        <v/>
      </c>
      <c r="AG157" s="2163"/>
      <c r="AH157" s="2143"/>
      <c r="AI157" s="6747"/>
    </row>
    <row r="158" ht="2.25" customHeight="1">
      <c r="A158" s="6738"/>
      <c r="B158" s="2129"/>
      <c r="C158" s="6840"/>
      <c r="D158" s="2168"/>
      <c r="E158" s="2169"/>
      <c r="F158" s="2170"/>
      <c r="G158" s="2170"/>
      <c r="H158" s="2171"/>
      <c r="I158" s="2164"/>
      <c r="J158" s="2169"/>
      <c r="K158" s="2170"/>
      <c r="L158" s="2170"/>
      <c r="M158" s="2171"/>
      <c r="N158" s="2164"/>
      <c r="O158" s="2169"/>
      <c r="P158" s="2170"/>
      <c r="Q158" s="2170"/>
      <c r="R158" s="2171"/>
      <c r="S158" s="2164"/>
      <c r="T158" s="2169"/>
      <c r="U158" s="2170"/>
      <c r="V158" s="2170"/>
      <c r="W158" s="2171"/>
      <c r="X158" s="2164"/>
      <c r="Y158" s="2169"/>
      <c r="Z158" s="2170"/>
      <c r="AA158" s="2170"/>
      <c r="AB158" s="2171"/>
      <c r="AC158" s="2164"/>
      <c r="AD158" s="2169"/>
      <c r="AE158" s="2170"/>
      <c r="AF158" s="2170"/>
      <c r="AG158" s="2171"/>
      <c r="AH158" s="2143"/>
      <c r="AI158" s="6747"/>
    </row>
    <row r="159" ht="20.25" customHeight="1">
      <c r="A159" s="6738"/>
      <c r="B159" s="2129"/>
      <c r="C159" s="556"/>
      <c r="D159" s="2168"/>
      <c r="E159" s="2172" t="s">
        <v>633</v>
      </c>
      <c r="F159" s="2173"/>
      <c r="G159" s="2173"/>
      <c r="H159" s="2174"/>
      <c r="I159" s="2175"/>
      <c r="J159" s="2172" t="s">
        <v>634</v>
      </c>
      <c r="K159" s="2173"/>
      <c r="L159" s="2173"/>
      <c r="M159" s="2174"/>
      <c r="N159" s="2175"/>
      <c r="O159" s="2172" t="s">
        <v>633</v>
      </c>
      <c r="P159" s="2173"/>
      <c r="Q159" s="2173"/>
      <c r="R159" s="2174"/>
      <c r="S159" s="2175"/>
      <c r="T159" s="2172" t="s">
        <v>633</v>
      </c>
      <c r="U159" s="2173"/>
      <c r="V159" s="2173"/>
      <c r="W159" s="2174"/>
      <c r="X159" s="2175"/>
      <c r="Y159" s="2172" t="s">
        <v>634</v>
      </c>
      <c r="Z159" s="2173"/>
      <c r="AA159" s="2173"/>
      <c r="AB159" s="2174"/>
      <c r="AC159" s="2175"/>
      <c r="AD159" s="2172" t="s">
        <v>634</v>
      </c>
      <c r="AE159" s="2173"/>
      <c r="AF159" s="2173"/>
      <c r="AG159" s="2174"/>
      <c r="AH159" s="2143"/>
      <c r="AI159" s="6747"/>
    </row>
    <row r="160">
      <c r="A160" s="6738"/>
      <c r="B160" s="2129"/>
      <c r="C160" s="2176"/>
      <c r="D160" s="2168"/>
      <c r="E160" s="2177" t="s">
        <v>1998</v>
      </c>
      <c r="F160" s="2155"/>
      <c r="G160" s="2155"/>
      <c r="H160" s="2156"/>
      <c r="I160" s="2175"/>
      <c r="J160" s="2177" t="s">
        <v>1897</v>
      </c>
      <c r="K160" s="2155"/>
      <c r="L160" s="2155"/>
      <c r="M160" s="2156"/>
      <c r="N160" s="2175"/>
      <c r="O160" s="2177" t="s">
        <v>1999</v>
      </c>
      <c r="P160" s="2155"/>
      <c r="Q160" s="2155"/>
      <c r="R160" s="2156"/>
      <c r="S160" s="2175"/>
      <c r="T160" s="2177" t="s">
        <v>2000</v>
      </c>
      <c r="U160" s="2155"/>
      <c r="V160" s="2155"/>
      <c r="W160" s="2156"/>
      <c r="X160" s="2175"/>
      <c r="Y160" s="2177" t="s">
        <v>826</v>
      </c>
      <c r="Z160" s="2155"/>
      <c r="AA160" s="2155"/>
      <c r="AB160" s="2156"/>
      <c r="AC160" s="2175"/>
      <c r="AD160" s="2177" t="s">
        <v>2001</v>
      </c>
      <c r="AE160" s="2155"/>
      <c r="AF160" s="2155"/>
      <c r="AG160" s="2156"/>
      <c r="AH160" s="2143"/>
      <c r="AI160" s="6747"/>
    </row>
    <row r="161" ht="20.25" customHeight="1">
      <c r="A161" s="6738"/>
      <c r="B161" s="2129"/>
      <c r="C161" s="2178"/>
      <c r="D161" s="2168"/>
      <c r="E161" s="2179" t="s">
        <v>2002</v>
      </c>
      <c r="F161" s="2137"/>
      <c r="G161" s="2138"/>
      <c r="H161" s="2180" t="str">
        <f>IMAGE("https://raw.githubusercontent.com/msikma/pokesprite/master/items/mega-stone/abomasite.png",3)</f>
        <v/>
      </c>
      <c r="I161" s="2164"/>
      <c r="J161" s="2179" t="s">
        <v>490</v>
      </c>
      <c r="K161" s="2137"/>
      <c r="L161" s="2138"/>
      <c r="M161" s="2180" t="str">
        <f>IMAGE("https://raw.githubusercontent.com/msikma/pokesprite/master/items/berry/lum.png",3)</f>
        <v/>
      </c>
      <c r="N161" s="2164"/>
      <c r="O161" s="2179" t="s">
        <v>572</v>
      </c>
      <c r="P161" s="2137"/>
      <c r="Q161" s="2138"/>
      <c r="R161" s="2180" t="str">
        <f>IMAGE("https://raw.githubusercontent.com/msikma/pokesprite/master/items/z-crystals/icium-z--held.png",3)</f>
        <v/>
      </c>
      <c r="S161" s="2164"/>
      <c r="T161" s="2179" t="s">
        <v>537</v>
      </c>
      <c r="U161" s="2137"/>
      <c r="V161" s="2138"/>
      <c r="W161" s="2180" t="str">
        <f>IMAGE("https://raw.githubusercontent.com/msikma/pokesprite/master/items/berry/sitrus.png",3)</f>
        <v/>
      </c>
      <c r="X161" s="2164"/>
      <c r="Y161" s="2179" t="s">
        <v>490</v>
      </c>
      <c r="Z161" s="2137"/>
      <c r="AA161" s="2138"/>
      <c r="AB161" s="2180" t="str">
        <f>IMAGE("https://raw.githubusercontent.com/msikma/pokesprite/master/items/berry/lum.png",3)</f>
        <v/>
      </c>
      <c r="AC161" s="2164"/>
      <c r="AD161" s="2179" t="s">
        <v>2003</v>
      </c>
      <c r="AE161" s="2137"/>
      <c r="AF161" s="2138"/>
      <c r="AG161" s="2180" t="str">
        <f>IMAGE("https://raw.githubusercontent.com/msikma/pokesprite/master/items/mega-stone/heracronite.png",3)</f>
        <v/>
      </c>
      <c r="AH161" s="2143"/>
      <c r="AI161" s="6747"/>
    </row>
    <row r="162" ht="20.25" customHeight="1">
      <c r="A162" s="6738"/>
      <c r="B162" s="2129"/>
      <c r="C162" s="2181"/>
      <c r="D162" s="2168"/>
      <c r="E162" s="2172" t="s">
        <v>644</v>
      </c>
      <c r="F162" s="2173"/>
      <c r="G162" s="2173"/>
      <c r="H162" s="2182" t="str">
        <f>IMAGE("https://raw.githubusercontent.com/msikma/pokesprite/master/misc/types/gen8/ground.png",4,20,20)</f>
        <v/>
      </c>
      <c r="I162" s="2164"/>
      <c r="J162" s="2172" t="s">
        <v>287</v>
      </c>
      <c r="K162" s="2173"/>
      <c r="L162" s="2173"/>
      <c r="M162" s="2182" t="str">
        <f>IMAGE("https://raw.githubusercontent.com/msikma/pokesprite/master/misc/types/gen8/normal.png",4,20,20)</f>
        <v/>
      </c>
      <c r="N162" s="2164"/>
      <c r="O162" s="2172" t="s">
        <v>582</v>
      </c>
      <c r="P162" s="2173"/>
      <c r="Q162" s="2173"/>
      <c r="R162" s="2182" t="str">
        <f>IMAGE("https://raw.githubusercontent.com/msikma/pokesprite/master/misc/types/gen8/ice.png",4,20,20)</f>
        <v/>
      </c>
      <c r="S162" s="2164"/>
      <c r="T162" s="2172" t="s">
        <v>617</v>
      </c>
      <c r="U162" s="2173"/>
      <c r="V162" s="2173"/>
      <c r="W162" s="2182" t="str">
        <f>IMAGE("https://raw.githubusercontent.com/msikma/pokesprite/master/misc/types/gen8/dragon.png",4,20,20)</f>
        <v/>
      </c>
      <c r="X162" s="2164"/>
      <c r="Y162" s="2172" t="s">
        <v>1282</v>
      </c>
      <c r="Z162" s="2173"/>
      <c r="AA162" s="2173"/>
      <c r="AB162" s="2182" t="str">
        <f>IMAGE("https://raw.githubusercontent.com/msikma/pokesprite/master/misc/types/gen8/ice.png",4,20,20)</f>
        <v/>
      </c>
      <c r="AC162" s="2164"/>
      <c r="AD162" s="2172" t="s">
        <v>1439</v>
      </c>
      <c r="AE162" s="2173"/>
      <c r="AF162" s="2173"/>
      <c r="AG162" s="2182" t="str">
        <f>IMAGE("https://raw.githubusercontent.com/msikma/pokesprite/master/misc/types/gen8/fighting.png",4,20,20)</f>
        <v/>
      </c>
      <c r="AH162" s="2143"/>
      <c r="AI162" s="6747"/>
    </row>
    <row r="163" ht="20.25" customHeight="1">
      <c r="A163" s="6738"/>
      <c r="B163" s="2129"/>
      <c r="C163" s="2130"/>
      <c r="D163" s="2168"/>
      <c r="E163" s="2177" t="s">
        <v>582</v>
      </c>
      <c r="F163" s="2155"/>
      <c r="G163" s="2155"/>
      <c r="H163" s="2183" t="str">
        <f>IMAGE("https://raw.githubusercontent.com/msikma/pokesprite/master/misc/types/gen8/ice.png",4,20,20)</f>
        <v/>
      </c>
      <c r="I163" s="2164"/>
      <c r="J163" s="2177" t="s">
        <v>2004</v>
      </c>
      <c r="K163" s="2155"/>
      <c r="L163" s="2155"/>
      <c r="M163" s="2183" t="str">
        <f>IMAGE("https://raw.githubusercontent.com/msikma/pokesprite/master/misc/types/gen8/ice.png",4,20,20)</f>
        <v/>
      </c>
      <c r="N163" s="2164"/>
      <c r="O163" s="2177" t="s">
        <v>617</v>
      </c>
      <c r="P163" s="2155"/>
      <c r="Q163" s="2155"/>
      <c r="R163" s="2183" t="str">
        <f>IMAGE("https://raw.githubusercontent.com/msikma/pokesprite/master/misc/types/gen8/dragon.png",4,20,20)</f>
        <v/>
      </c>
      <c r="S163" s="2164"/>
      <c r="T163" s="2177" t="s">
        <v>647</v>
      </c>
      <c r="U163" s="2155"/>
      <c r="V163" s="2155"/>
      <c r="W163" s="2183" t="str">
        <f>IMAGE("https://raw.githubusercontent.com/msikma/pokesprite/master/misc/types/gen8/ghost.png",4,20,20)</f>
        <v/>
      </c>
      <c r="X163" s="2164"/>
      <c r="Y163" s="2177" t="s">
        <v>498</v>
      </c>
      <c r="Z163" s="2155"/>
      <c r="AA163" s="2155"/>
      <c r="AB163" s="2183" t="str">
        <f>IMAGE("https://raw.githubusercontent.com/msikma/pokesprite/master/misc/types/gen8/rock.png",4,20,20)</f>
        <v/>
      </c>
      <c r="AC163" s="2164"/>
      <c r="AD163" s="2177" t="s">
        <v>499</v>
      </c>
      <c r="AE163" s="2155"/>
      <c r="AF163" s="2155"/>
      <c r="AG163" s="2183" t="str">
        <f>IMAGE("https://raw.githubusercontent.com/msikma/pokesprite/master/misc/types/gen8/grass.png",4,20,20)</f>
        <v/>
      </c>
      <c r="AH163" s="2143"/>
      <c r="AI163" s="6747"/>
    </row>
    <row r="164" ht="20.25" customHeight="1">
      <c r="A164" s="6738"/>
      <c r="B164" s="2129"/>
      <c r="C164" s="2130"/>
      <c r="D164" s="2168"/>
      <c r="E164" s="2177" t="s">
        <v>1222</v>
      </c>
      <c r="F164" s="2155"/>
      <c r="G164" s="2155"/>
      <c r="H164" s="2183" t="str">
        <f>IMAGE("https://raw.githubusercontent.com/msikma/pokesprite/master/misc/types/gen8/grass.png",4,20,20)</f>
        <v/>
      </c>
      <c r="I164" s="2164"/>
      <c r="J164" s="2177" t="s">
        <v>741</v>
      </c>
      <c r="K164" s="2155"/>
      <c r="L164" s="2155"/>
      <c r="M164" s="2183" t="str">
        <f>IMAGE("https://raw.githubusercontent.com/msikma/pokesprite/master/misc/types/gen8/psychic.png",4,20,20)</f>
        <v/>
      </c>
      <c r="N164" s="2164"/>
      <c r="O164" s="2177" t="s">
        <v>644</v>
      </c>
      <c r="P164" s="2155"/>
      <c r="Q164" s="2155"/>
      <c r="R164" s="2183" t="str">
        <f>IMAGE("https://raw.githubusercontent.com/msikma/pokesprite/master/misc/types/gen8/ground.png",4,20,20)</f>
        <v/>
      </c>
      <c r="S164" s="2164"/>
      <c r="T164" s="2177" t="s">
        <v>547</v>
      </c>
      <c r="U164" s="2155"/>
      <c r="V164" s="2155"/>
      <c r="W164" s="2183" t="str">
        <f>IMAGE("https://raw.githubusercontent.com/msikma/pokesprite/master/misc/types/gen8/electric.png",4,20,20)</f>
        <v/>
      </c>
      <c r="X164" s="2164"/>
      <c r="Y164" s="2177" t="s">
        <v>1138</v>
      </c>
      <c r="Z164" s="2155"/>
      <c r="AA164" s="2155"/>
      <c r="AB164" s="2183" t="str">
        <f>IMAGE("https://raw.githubusercontent.com/msikma/pokesprite/master/misc/types/gen8/ground.png",4,20,20)</f>
        <v/>
      </c>
      <c r="AC164" s="2164"/>
      <c r="AD164" s="2177" t="s">
        <v>508</v>
      </c>
      <c r="AE164" s="2155"/>
      <c r="AF164" s="2155"/>
      <c r="AG164" s="2183" t="str">
        <f>IMAGE("https://raw.githubusercontent.com/msikma/pokesprite/master/misc/types/gen8/bug.png",4,20,20)</f>
        <v/>
      </c>
      <c r="AH164" s="2143"/>
      <c r="AI164" s="6747"/>
    </row>
    <row r="165" ht="21.0" customHeight="1">
      <c r="A165" s="6738"/>
      <c r="B165" s="2129"/>
      <c r="C165" s="2130"/>
      <c r="D165" s="2168"/>
      <c r="E165" s="2184" t="s">
        <v>671</v>
      </c>
      <c r="F165" s="2185"/>
      <c r="G165" s="2185"/>
      <c r="H165" s="2186" t="str">
        <f>IMAGE("https://raw.githubusercontent.com/msikma/pokesprite/master/misc/types/gen8/fire.png",4,20,20)</f>
        <v/>
      </c>
      <c r="I165" s="2164"/>
      <c r="J165" s="2184" t="s">
        <v>622</v>
      </c>
      <c r="K165" s="2185"/>
      <c r="L165" s="2185"/>
      <c r="M165" s="2186" t="str">
        <f>IMAGE("https://raw.githubusercontent.com/msikma/pokesprite/master/misc/types/gen8/ground.png",4,20,20)</f>
        <v/>
      </c>
      <c r="N165" s="2164"/>
      <c r="O165" s="2184" t="s">
        <v>586</v>
      </c>
      <c r="P165" s="2185"/>
      <c r="Q165" s="2185"/>
      <c r="R165" s="2186" t="str">
        <f>IMAGE("https://raw.githubusercontent.com/msikma/pokesprite/master/misc/types/gen8/ice.png",4,20,20)</f>
        <v/>
      </c>
      <c r="S165" s="2164"/>
      <c r="T165" s="2184" t="s">
        <v>259</v>
      </c>
      <c r="U165" s="2185"/>
      <c r="V165" s="2185"/>
      <c r="W165" s="2186" t="str">
        <f>IMAGE("https://raw.githubusercontent.com/msikma/pokesprite/master/misc/types/gen8/dark.png",4,20,20)</f>
        <v/>
      </c>
      <c r="X165" s="2164"/>
      <c r="Y165" s="2184" t="s">
        <v>579</v>
      </c>
      <c r="Z165" s="2185"/>
      <c r="AA165" s="2185"/>
      <c r="AB165" s="2186" t="str">
        <f>IMAGE("https://raw.githubusercontent.com/msikma/pokesprite/master/misc/types/gen8/dark.png",4,20,20)</f>
        <v/>
      </c>
      <c r="AC165" s="2164"/>
      <c r="AD165" s="2184" t="s">
        <v>927</v>
      </c>
      <c r="AE165" s="2185"/>
      <c r="AF165" s="2185"/>
      <c r="AG165" s="2186" t="str">
        <f>IMAGE("https://raw.githubusercontent.com/msikma/pokesprite/master/misc/types/gen8/rock.png",4,20,20)</f>
        <v/>
      </c>
      <c r="AH165" s="2143"/>
      <c r="AI165" s="6747"/>
    </row>
    <row r="166" ht="3.0" customHeight="1">
      <c r="A166" s="6738"/>
      <c r="B166" s="2187"/>
      <c r="C166" s="2188"/>
      <c r="D166" s="2189"/>
      <c r="E166" s="2190"/>
      <c r="F166" s="2190"/>
      <c r="G166" s="2190"/>
      <c r="H166" s="2190"/>
      <c r="I166" s="2189"/>
      <c r="J166" s="2190"/>
      <c r="K166" s="2190"/>
      <c r="L166" s="2190"/>
      <c r="M166" s="2190"/>
      <c r="N166" s="2189"/>
      <c r="O166" s="2190"/>
      <c r="P166" s="2190"/>
      <c r="Q166" s="2190"/>
      <c r="R166" s="2190"/>
      <c r="S166" s="2189"/>
      <c r="T166" s="2190"/>
      <c r="U166" s="2190"/>
      <c r="V166" s="2190"/>
      <c r="W166" s="2190"/>
      <c r="X166" s="2189"/>
      <c r="Y166" s="2190"/>
      <c r="Z166" s="2191"/>
      <c r="AA166" s="2191"/>
      <c r="AB166" s="2192"/>
      <c r="AC166" s="2189"/>
      <c r="AD166" s="2193"/>
      <c r="AE166" s="2193"/>
      <c r="AF166" s="2193"/>
      <c r="AG166" s="2194"/>
      <c r="AH166" s="2195"/>
      <c r="AI166" s="6747"/>
    </row>
    <row r="167" ht="16.5" customHeight="1">
      <c r="A167" s="6738"/>
      <c r="B167" s="2196"/>
      <c r="C167" s="2188"/>
      <c r="D167" s="2197"/>
      <c r="E167" s="2198" t="s">
        <v>512</v>
      </c>
      <c r="F167" s="606"/>
      <c r="G167" s="606"/>
      <c r="H167" s="607"/>
      <c r="I167" s="2197"/>
      <c r="J167" s="2198" t="s">
        <v>512</v>
      </c>
      <c r="K167" s="606"/>
      <c r="L167" s="606"/>
      <c r="M167" s="607"/>
      <c r="N167" s="2197"/>
      <c r="O167" s="2198" t="s">
        <v>512</v>
      </c>
      <c r="P167" s="606"/>
      <c r="Q167" s="606"/>
      <c r="R167" s="607"/>
      <c r="S167" s="2197"/>
      <c r="T167" s="2198" t="s">
        <v>512</v>
      </c>
      <c r="U167" s="606"/>
      <c r="V167" s="606"/>
      <c r="W167" s="607"/>
      <c r="X167" s="2197"/>
      <c r="Y167" s="2198" t="s">
        <v>512</v>
      </c>
      <c r="Z167" s="606"/>
      <c r="AA167" s="606"/>
      <c r="AB167" s="607"/>
      <c r="AC167" s="2197"/>
      <c r="AD167" s="2198" t="s">
        <v>512</v>
      </c>
      <c r="AE167" s="606"/>
      <c r="AF167" s="606"/>
      <c r="AG167" s="607"/>
      <c r="AH167" s="2199"/>
      <c r="AI167" s="6747"/>
    </row>
    <row r="168" ht="16.5" customHeight="1">
      <c r="A168" s="6738"/>
      <c r="B168" s="2196"/>
      <c r="C168" s="2188"/>
      <c r="D168" s="2197"/>
      <c r="E168" s="2200" t="s">
        <v>513</v>
      </c>
      <c r="F168" s="2201">
        <f t="array" ref="F168">IFERROR(VLOOKUP(E155,Dex!$B$3:$N1219,8,FALSE),"")</f>
        <v>90</v>
      </c>
      <c r="G168" s="2202" t="str">
        <f t="array" ref="G168">IFERROR(VLOOKUP(F168,Dex!$P$22:$Q$276,2,FALSE),"")</f>
        <v/>
      </c>
      <c r="H168" s="2203"/>
      <c r="I168" s="2204"/>
      <c r="J168" s="2200" t="s">
        <v>513</v>
      </c>
      <c r="K168" s="2201">
        <f t="array" ref="K168">IFERROR(VLOOKUP(J155,Dex!$B$3:$N1219,8,FALSE),"")</f>
        <v>100</v>
      </c>
      <c r="L168" s="2202" t="str">
        <f t="array" ref="L168">IFERROR(VLOOKUP(K168,Dex!$P$22:$Q$276,2,FALSE),"")</f>
        <v/>
      </c>
      <c r="M168" s="2203"/>
      <c r="N168" s="2204"/>
      <c r="O168" s="2200" t="s">
        <v>513</v>
      </c>
      <c r="P168" s="2201">
        <f t="array" ref="P168">IFERROR(VLOOKUP(O155,Dex!$B$3:$N1219,8,FALSE),"")</f>
        <v>125</v>
      </c>
      <c r="Q168" s="2202" t="str">
        <f t="array" ref="Q168">IFERROR(VLOOKUP(P168,Dex!$P$22:$Q$276,2,FALSE),"")</f>
        <v/>
      </c>
      <c r="R168" s="2203"/>
      <c r="S168" s="2204"/>
      <c r="T168" s="2200" t="s">
        <v>513</v>
      </c>
      <c r="U168" s="2201">
        <f t="array" ref="U168">IFERROR(VLOOKUP(T155,Dex!$B$3:$N1219,8,FALSE),"")</f>
        <v>55</v>
      </c>
      <c r="V168" s="2202" t="str">
        <f t="array" ref="V168">IFERROR(VLOOKUP(U168,Dex!$P$22:$Q$276,2,FALSE),"")</f>
        <v/>
      </c>
      <c r="W168" s="2203"/>
      <c r="X168" s="2204"/>
      <c r="Y168" s="2200" t="s">
        <v>513</v>
      </c>
      <c r="Z168" s="2201">
        <f t="array" ref="Z168">IFERROR(VLOOKUP(Y155,Dex!$B$3:$N1219,8,FALSE),"")</f>
        <v>90</v>
      </c>
      <c r="AA168" s="2202" t="str">
        <f t="array" ref="AA168">IFERROR(VLOOKUP(Z168,Dex!$P$22:$Q$276,2,FALSE),"")</f>
        <v/>
      </c>
      <c r="AB168" s="2203"/>
      <c r="AC168" s="2204"/>
      <c r="AD168" s="2200" t="s">
        <v>513</v>
      </c>
      <c r="AE168" s="2201">
        <f t="array" ref="AE168">IFERROR(VLOOKUP(AD155,Dex!$B$3:$N1219,8,FALSE),"")</f>
        <v>80</v>
      </c>
      <c r="AF168" s="2202" t="str">
        <f t="array" ref="AF168">IFERROR(VLOOKUP(AE168,Dex!$P$22:$Q$276,2,FALSE),"")</f>
        <v/>
      </c>
      <c r="AG168" s="2203"/>
      <c r="AH168" s="2205"/>
      <c r="AI168" s="6747"/>
    </row>
    <row r="169" ht="16.5" customHeight="1">
      <c r="A169" s="6738"/>
      <c r="B169" s="2196"/>
      <c r="C169" s="2188"/>
      <c r="D169" s="2197"/>
      <c r="E169" s="2206" t="s">
        <v>514</v>
      </c>
      <c r="F169" s="2207">
        <f t="array" ref="F169">IFERROR(VLOOKUP(E155,Dex!$B$3:$N1219,9,FALSE),"")</f>
        <v>132</v>
      </c>
      <c r="G169" s="2208" t="str">
        <f t="array" ref="G169">IFERROR(VLOOKUP(F169,Dex!$P$22:$Q$276,2,FALSE),"")</f>
        <v/>
      </c>
      <c r="H169" s="2209"/>
      <c r="I169" s="2204"/>
      <c r="J169" s="2206" t="s">
        <v>514</v>
      </c>
      <c r="K169" s="2207">
        <f t="array" ref="K169">IFERROR(VLOOKUP(J155,Dex!$B$3:$N1219,9,FALSE),"")</f>
        <v>165</v>
      </c>
      <c r="L169" s="2208" t="str">
        <f t="array" ref="L169">IFERROR(VLOOKUP(K169,Dex!$P$22:$Q$276,2,FALSE),"")</f>
        <v/>
      </c>
      <c r="M169" s="2209"/>
      <c r="N169" s="2204"/>
      <c r="O169" s="2206" t="s">
        <v>514</v>
      </c>
      <c r="P169" s="2207">
        <f t="array" ref="P169">IFERROR(VLOOKUP(O155,Dex!$B$3:$N1219,9,FALSE),"")</f>
        <v>120</v>
      </c>
      <c r="Q169" s="2208" t="str">
        <f t="array" ref="Q169">IFERROR(VLOOKUP(P169,Dex!$P$22:$Q$276,2,FALSE),"")</f>
        <v/>
      </c>
      <c r="R169" s="2209"/>
      <c r="S169" s="2204"/>
      <c r="T169" s="2206" t="s">
        <v>514</v>
      </c>
      <c r="U169" s="2207">
        <f t="array" ref="U169">IFERROR(VLOOKUP(T155,Dex!$B$3:$N1219,9,FALSE),"")</f>
        <v>140</v>
      </c>
      <c r="V169" s="2208" t="str">
        <f t="array" ref="V169">IFERROR(VLOOKUP(U169,Dex!$P$22:$Q$276,2,FALSE),"")</f>
        <v/>
      </c>
      <c r="W169" s="2209"/>
      <c r="X169" s="2204"/>
      <c r="Y169" s="2206" t="s">
        <v>514</v>
      </c>
      <c r="Z169" s="2207">
        <f t="array" ref="Z169">IFERROR(VLOOKUP(Y155,Dex!$B$3:$N1219,9,FALSE),"")</f>
        <v>120</v>
      </c>
      <c r="AA169" s="2208" t="str">
        <f t="array" ref="AA169">IFERROR(VLOOKUP(Z169,Dex!$P$22:$Q$276,2,FALSE),"")</f>
        <v/>
      </c>
      <c r="AB169" s="2209"/>
      <c r="AC169" s="2204"/>
      <c r="AD169" s="2206" t="s">
        <v>514</v>
      </c>
      <c r="AE169" s="2207">
        <f t="array" ref="AE169">IFERROR(VLOOKUP(AD155,Dex!$B$3:$N1219,9,FALSE),"")</f>
        <v>185</v>
      </c>
      <c r="AF169" s="2208" t="str">
        <f t="array" ref="AF169">IFERROR(VLOOKUP(AE169,Dex!$P$22:$Q$276,2,FALSE),"")</f>
        <v/>
      </c>
      <c r="AG169" s="2209"/>
      <c r="AH169" s="2205"/>
      <c r="AI169" s="6747"/>
    </row>
    <row r="170" ht="16.5" customHeight="1">
      <c r="A170" s="6738"/>
      <c r="B170" s="2196"/>
      <c r="C170" s="2188"/>
      <c r="D170" s="2197"/>
      <c r="E170" s="2206" t="s">
        <v>515</v>
      </c>
      <c r="F170" s="2207">
        <f t="array" ref="F170">IFERROR(VLOOKUP(E155,Dex!$B$3:$N1219,10,FALSE),"")</f>
        <v>105</v>
      </c>
      <c r="G170" s="2208" t="str">
        <f t="array" ref="G170">IFERROR(VLOOKUP(F170,Dex!$P$22:$Q$276,2,FALSE),"")</f>
        <v/>
      </c>
      <c r="H170" s="2209"/>
      <c r="I170" s="2204"/>
      <c r="J170" s="2206" t="s">
        <v>515</v>
      </c>
      <c r="K170" s="2207">
        <f t="array" ref="K170">IFERROR(VLOOKUP(J155,Dex!$B$3:$N1219,10,FALSE),"")</f>
        <v>150</v>
      </c>
      <c r="L170" s="2208" t="str">
        <f t="array" ref="L170">IFERROR(VLOOKUP(K170,Dex!$P$22:$Q$276,2,FALSE),"")</f>
        <v/>
      </c>
      <c r="M170" s="2209"/>
      <c r="N170" s="2204"/>
      <c r="O170" s="2206" t="s">
        <v>515</v>
      </c>
      <c r="P170" s="2207">
        <f t="array" ref="P170">IFERROR(VLOOKUP(O155,Dex!$B$3:$N1219,10,FALSE),"")</f>
        <v>90</v>
      </c>
      <c r="Q170" s="2208" t="str">
        <f t="array" ref="Q170">IFERROR(VLOOKUP(P170,Dex!$P$22:$Q$276,2,FALSE),"")</f>
        <v/>
      </c>
      <c r="R170" s="2209"/>
      <c r="S170" s="2204"/>
      <c r="T170" s="2206" t="s">
        <v>515</v>
      </c>
      <c r="U170" s="2207">
        <f t="array" ref="U170">IFERROR(VLOOKUP(T155,Dex!$B$3:$N1219,10,FALSE),"")</f>
        <v>130</v>
      </c>
      <c r="V170" s="2208" t="str">
        <f t="array" ref="V170">IFERROR(VLOOKUP(U170,Dex!$P$22:$Q$276,2,FALSE),"")</f>
        <v/>
      </c>
      <c r="W170" s="2209"/>
      <c r="X170" s="2204"/>
      <c r="Y170" s="2206" t="s">
        <v>515</v>
      </c>
      <c r="Z170" s="2207">
        <f t="array" ref="Z170">IFERROR(VLOOKUP(Y155,Dex!$B$3:$N1219,10,FALSE),"")</f>
        <v>120</v>
      </c>
      <c r="AA170" s="2208" t="str">
        <f t="array" ref="AA170">IFERROR(VLOOKUP(Z170,Dex!$P$22:$Q$276,2,FALSE),"")</f>
        <v/>
      </c>
      <c r="AB170" s="2209"/>
      <c r="AC170" s="2204"/>
      <c r="AD170" s="2206" t="s">
        <v>515</v>
      </c>
      <c r="AE170" s="2207">
        <f t="array" ref="AE170">IFERROR(VLOOKUP(AD155,Dex!$B$3:$N1219,10,FALSE),"")</f>
        <v>115</v>
      </c>
      <c r="AF170" s="2208" t="str">
        <f t="array" ref="AF170">IFERROR(VLOOKUP(AE170,Dex!$P$22:$Q$276,2,FALSE),"")</f>
        <v/>
      </c>
      <c r="AG170" s="2209"/>
      <c r="AH170" s="2205"/>
      <c r="AI170" s="6747"/>
    </row>
    <row r="171" ht="16.5" customHeight="1">
      <c r="A171" s="6738"/>
      <c r="B171" s="2196"/>
      <c r="C171" s="2188"/>
      <c r="D171" s="2197"/>
      <c r="E171" s="2206" t="s">
        <v>516</v>
      </c>
      <c r="F171" s="2207">
        <f t="array" ref="F171">IFERROR(VLOOKUP(E155,Dex!$B$3:$N1219,11,FALSE),"")</f>
        <v>132</v>
      </c>
      <c r="G171" s="2208" t="str">
        <f t="array" ref="G171">IFERROR(VLOOKUP(F171,Dex!$P$22:$Q$276,2,FALSE),"")</f>
        <v/>
      </c>
      <c r="H171" s="2209"/>
      <c r="I171" s="2204"/>
      <c r="J171" s="2206" t="s">
        <v>516</v>
      </c>
      <c r="K171" s="2207">
        <f t="array" ref="K171">IFERROR(VLOOKUP(J155,Dex!$B$3:$N1219,11,FALSE),"")</f>
        <v>85</v>
      </c>
      <c r="L171" s="2208" t="str">
        <f t="array" ref="L171">IFERROR(VLOOKUP(K171,Dex!$P$22:$Q$276,2,FALSE),"")</f>
        <v/>
      </c>
      <c r="M171" s="2209"/>
      <c r="N171" s="2204"/>
      <c r="O171" s="2206" t="s">
        <v>516</v>
      </c>
      <c r="P171" s="2207">
        <f t="array" ref="P171">IFERROR(VLOOKUP(O155,Dex!$B$3:$N1219,11,FALSE),"")</f>
        <v>170</v>
      </c>
      <c r="Q171" s="2208" t="str">
        <f t="array" ref="Q171">IFERROR(VLOOKUP(P171,Dex!$P$22:$Q$276,2,FALSE),"")</f>
        <v/>
      </c>
      <c r="R171" s="2209"/>
      <c r="S171" s="2204"/>
      <c r="T171" s="2206" t="s">
        <v>516</v>
      </c>
      <c r="U171" s="2207">
        <f t="array" ref="U171">IFERROR(VLOOKUP(T155,Dex!$B$3:$N1219,11,FALSE),"")</f>
        <v>140</v>
      </c>
      <c r="V171" s="2208" t="str">
        <f t="array" ref="V171">IFERROR(VLOOKUP(U171,Dex!$P$22:$Q$276,2,FALSE),"")</f>
        <v/>
      </c>
      <c r="W171" s="2209"/>
      <c r="X171" s="2204"/>
      <c r="Y171" s="2206" t="s">
        <v>516</v>
      </c>
      <c r="Z171" s="2207">
        <f t="array" ref="Z171">IFERROR(VLOOKUP(Y155,Dex!$B$3:$N1219,11,FALSE),"")</f>
        <v>60</v>
      </c>
      <c r="AA171" s="2208" t="str">
        <f t="array" ref="AA171">IFERROR(VLOOKUP(Z171,Dex!$P$22:$Q$276,2,FALSE),"")</f>
        <v/>
      </c>
      <c r="AB171" s="2209"/>
      <c r="AC171" s="2204"/>
      <c r="AD171" s="2206" t="s">
        <v>516</v>
      </c>
      <c r="AE171" s="2207">
        <f t="array" ref="AE171">IFERROR(VLOOKUP(AD155,Dex!$B$3:$N1219,11,FALSE),"")</f>
        <v>40</v>
      </c>
      <c r="AF171" s="2208" t="str">
        <f t="array" ref="AF171">IFERROR(VLOOKUP(AE171,Dex!$P$22:$Q$276,2,FALSE),"")</f>
        <v/>
      </c>
      <c r="AG171" s="2209"/>
      <c r="AH171" s="2205"/>
      <c r="AI171" s="6747"/>
    </row>
    <row r="172" ht="16.5" customHeight="1">
      <c r="A172" s="6738"/>
      <c r="B172" s="2196"/>
      <c r="C172" s="2188"/>
      <c r="D172" s="2197"/>
      <c r="E172" s="2206" t="s">
        <v>517</v>
      </c>
      <c r="F172" s="2207">
        <f t="array" ref="F172">IFERROR(VLOOKUP(E155,Dex!$B$3:$N1219,12,FALSE),"")</f>
        <v>105</v>
      </c>
      <c r="G172" s="2208" t="str">
        <f t="array" ref="G172">IFERROR(VLOOKUP(F172,Dex!$P$22:$Q$276,2,FALSE),"")</f>
        <v/>
      </c>
      <c r="H172" s="2209"/>
      <c r="I172" s="2204"/>
      <c r="J172" s="2206" t="s">
        <v>517</v>
      </c>
      <c r="K172" s="2207">
        <f t="array" ref="K172">IFERROR(VLOOKUP(J155,Dex!$B$3:$N1219,12,FALSE),"")</f>
        <v>130</v>
      </c>
      <c r="L172" s="2208" t="str">
        <f t="array" ref="L172">IFERROR(VLOOKUP(K172,Dex!$P$22:$Q$276,2,FALSE),"")</f>
        <v/>
      </c>
      <c r="M172" s="2209"/>
      <c r="N172" s="2204"/>
      <c r="O172" s="2206" t="s">
        <v>517</v>
      </c>
      <c r="P172" s="2207">
        <f t="array" ref="P172">IFERROR(VLOOKUP(O155,Dex!$B$3:$N1219,12,FALSE),"")</f>
        <v>100</v>
      </c>
      <c r="Q172" s="2208" t="str">
        <f t="array" ref="Q172">IFERROR(VLOOKUP(P172,Dex!$P$22:$Q$276,2,FALSE),"")</f>
        <v/>
      </c>
      <c r="R172" s="2209"/>
      <c r="S172" s="2204"/>
      <c r="T172" s="2206" t="s">
        <v>517</v>
      </c>
      <c r="U172" s="2207">
        <f t="array" ref="U172">IFERROR(VLOOKUP(T155,Dex!$B$3:$N1219,12,FALSE),"")</f>
        <v>135</v>
      </c>
      <c r="V172" s="2208" t="str">
        <f t="array" ref="V172">IFERROR(VLOOKUP(U172,Dex!$P$22:$Q$276,2,FALSE),"")</f>
        <v/>
      </c>
      <c r="W172" s="2209"/>
      <c r="X172" s="2204"/>
      <c r="Y172" s="2206" t="s">
        <v>517</v>
      </c>
      <c r="Z172" s="2207">
        <f t="array" ref="Z172">IFERROR(VLOOKUP(Y155,Dex!$B$3:$N1219,12,FALSE),"")</f>
        <v>60</v>
      </c>
      <c r="AA172" s="2208" t="str">
        <f t="array" ref="AA172">IFERROR(VLOOKUP(Z172,Dex!$P$22:$Q$276,2,FALSE),"")</f>
        <v/>
      </c>
      <c r="AB172" s="2209"/>
      <c r="AC172" s="2204"/>
      <c r="AD172" s="2206" t="s">
        <v>517</v>
      </c>
      <c r="AE172" s="2207">
        <f t="array" ref="AE172">IFERROR(VLOOKUP(AD155,Dex!$B$3:$N1219,12,FALSE),"")</f>
        <v>105</v>
      </c>
      <c r="AF172" s="2208" t="str">
        <f t="array" ref="AF172">IFERROR(VLOOKUP(AE172,Dex!$P$22:$Q$276,2,FALSE),"")</f>
        <v/>
      </c>
      <c r="AG172" s="2209"/>
      <c r="AH172" s="2205"/>
      <c r="AI172" s="6747"/>
    </row>
    <row r="173" ht="15.75" customHeight="1">
      <c r="A173" s="6738"/>
      <c r="B173" s="2196"/>
      <c r="C173" s="2188"/>
      <c r="D173" s="2197"/>
      <c r="E173" s="2210" t="s">
        <v>518</v>
      </c>
      <c r="F173" s="2211">
        <f t="array" ref="F173">IFERROR(VLOOKUP(E155,Dex!$B$3:$N1219,13,FALSE),"")</f>
        <v>60</v>
      </c>
      <c r="G173" s="2212" t="str">
        <f t="array" ref="G173">IFERROR(VLOOKUP(F173,Dex!$P$22:$Q$276,2,FALSE),"")</f>
        <v/>
      </c>
      <c r="H173" s="2213"/>
      <c r="I173" s="2204"/>
      <c r="J173" s="2210" t="s">
        <v>518</v>
      </c>
      <c r="K173" s="2211">
        <f t="array" ref="K173">IFERROR(VLOOKUP(J155,Dex!$B$3:$N1219,13,FALSE),"")</f>
        <v>50</v>
      </c>
      <c r="L173" s="2212" t="str">
        <f t="array" ref="L173">IFERROR(VLOOKUP(K173,Dex!$P$22:$Q$276,2,FALSE),"")</f>
        <v/>
      </c>
      <c r="M173" s="2213"/>
      <c r="N173" s="2204"/>
      <c r="O173" s="2210" t="s">
        <v>518</v>
      </c>
      <c r="P173" s="2211">
        <f t="array" ref="P173">IFERROR(VLOOKUP(O155,Dex!$B$3:$N1219,13,FALSE),"")</f>
        <v>95</v>
      </c>
      <c r="Q173" s="2212" t="str">
        <f t="array" ref="Q173">IFERROR(VLOOKUP(P173,Dex!$P$22:$Q$276,2,FALSE),"")</f>
        <v/>
      </c>
      <c r="R173" s="2213"/>
      <c r="S173" s="2204"/>
      <c r="T173" s="2210" t="s">
        <v>518</v>
      </c>
      <c r="U173" s="2211">
        <f t="array" ref="U173">IFERROR(VLOOKUP(T155,Dex!$B$3:$N1219,13,FALSE),"")</f>
        <v>25</v>
      </c>
      <c r="V173" s="2212" t="str">
        <f t="array" ref="V173">IFERROR(VLOOKUP(U173,Dex!$P$22:$Q$276,2,FALSE),"")</f>
        <v/>
      </c>
      <c r="W173" s="2213"/>
      <c r="X173" s="2204"/>
      <c r="Y173" s="2210" t="s">
        <v>518</v>
      </c>
      <c r="Z173" s="2211">
        <f t="array" ref="Z173">IFERROR(VLOOKUP(Y155,Dex!$B$3:$N1219,13,FALSE),"")</f>
        <v>50</v>
      </c>
      <c r="AA173" s="2212" t="str">
        <f t="array" ref="AA173">IFERROR(VLOOKUP(Z173,Dex!$P$22:$Q$276,2,FALSE),"")</f>
        <v/>
      </c>
      <c r="AB173" s="2213"/>
      <c r="AC173" s="2204"/>
      <c r="AD173" s="2210" t="s">
        <v>518</v>
      </c>
      <c r="AE173" s="2211">
        <f t="array" ref="AE173">IFERROR(VLOOKUP(AD155,Dex!$B$3:$N1219,13,FALSE),"")</f>
        <v>75</v>
      </c>
      <c r="AF173" s="2212" t="str">
        <f t="array" ref="AF173">IFERROR(VLOOKUP(AE173,Dex!$P$22:$Q$276,2,FALSE),"")</f>
        <v/>
      </c>
      <c r="AG173" s="2213"/>
      <c r="AH173" s="2205"/>
      <c r="AI173" s="6747"/>
    </row>
    <row r="174" ht="16.5" customHeight="1">
      <c r="A174" s="6738"/>
      <c r="B174" s="2196"/>
      <c r="C174" s="2188"/>
      <c r="D174" s="2197"/>
      <c r="E174" s="2214" t="s">
        <v>519</v>
      </c>
      <c r="F174" s="630"/>
      <c r="G174" s="631"/>
      <c r="H174" s="632">
        <f>ROUNDDOWN((ROUNDDOWN(((((2*F173)*100)/100+5)),0))*0.9,0)</f>
        <v>112</v>
      </c>
      <c r="I174" s="2197"/>
      <c r="J174" s="2214" t="s">
        <v>519</v>
      </c>
      <c r="K174" s="630"/>
      <c r="L174" s="631"/>
      <c r="M174" s="632">
        <f>ROUNDDOWN((ROUNDDOWN(((((2*K173)*100)/100+5)),0))*0.9,0)</f>
        <v>94</v>
      </c>
      <c r="N174" s="2197"/>
      <c r="O174" s="2214" t="s">
        <v>519</v>
      </c>
      <c r="P174" s="630"/>
      <c r="Q174" s="631"/>
      <c r="R174" s="632">
        <f>ROUNDDOWN((ROUNDDOWN(((((2*P173)*100)/100+5)),0))*0.9,0)</f>
        <v>175</v>
      </c>
      <c r="S174" s="2197"/>
      <c r="T174" s="2215" t="s">
        <v>519</v>
      </c>
      <c r="U174" s="635"/>
      <c r="V174" s="636"/>
      <c r="W174" s="632">
        <f>ROUNDDOWN((ROUNDDOWN(((((2*U173)*100)/100+5)),0))*0.9,0)</f>
        <v>49</v>
      </c>
      <c r="X174" s="2197"/>
      <c r="Y174" s="2214" t="s">
        <v>519</v>
      </c>
      <c r="Z174" s="630"/>
      <c r="AA174" s="631"/>
      <c r="AB174" s="632">
        <f>ROUNDDOWN((ROUNDDOWN(((((2*Z173)*100)/100+5)),0))*0.9,0)</f>
        <v>94</v>
      </c>
      <c r="AC174" s="2197"/>
      <c r="AD174" s="2214" t="s">
        <v>519</v>
      </c>
      <c r="AE174" s="630"/>
      <c r="AF174" s="631"/>
      <c r="AG174" s="632">
        <f>ROUNDDOWN((ROUNDDOWN(((((2*AE173)*100)/100+5)),0))*0.9,0)</f>
        <v>139</v>
      </c>
      <c r="AH174" s="2199"/>
      <c r="AI174" s="6747"/>
    </row>
    <row r="175" ht="15.75" customHeight="1">
      <c r="A175" s="6738"/>
      <c r="B175" s="2196"/>
      <c r="C175" s="2188"/>
      <c r="D175" s="2197"/>
      <c r="E175" s="2217"/>
      <c r="F175" s="2217"/>
      <c r="G175" s="2217"/>
      <c r="H175" s="2216"/>
      <c r="I175" s="2197"/>
      <c r="J175" s="2217"/>
      <c r="K175" s="2217"/>
      <c r="L175" s="2217"/>
      <c r="M175" s="2216"/>
      <c r="N175" s="2197"/>
      <c r="O175" s="2217"/>
      <c r="P175" s="2217"/>
      <c r="Q175" s="2217"/>
      <c r="R175" s="2216"/>
      <c r="S175" s="2197"/>
      <c r="T175" s="2218" t="s">
        <v>2005</v>
      </c>
      <c r="U175" s="643"/>
      <c r="V175" s="644"/>
      <c r="W175" s="632">
        <f>ROUNDDOWN((ROUNDDOWN(((((2*35)*100)/100+5)),0))*0.9,0)</f>
        <v>67</v>
      </c>
      <c r="X175" s="2197"/>
      <c r="Y175" s="2217"/>
      <c r="Z175" s="2217"/>
      <c r="AA175" s="2217"/>
      <c r="AB175" s="2216"/>
      <c r="AC175" s="2197"/>
      <c r="AD175" s="2217"/>
      <c r="AE175" s="2217"/>
      <c r="AF175" s="2217"/>
      <c r="AG175" s="2216"/>
      <c r="AH175" s="2199"/>
      <c r="AI175" s="6747"/>
    </row>
    <row r="176" ht="15.0" customHeight="1">
      <c r="A176" s="6738"/>
      <c r="B176" s="2221"/>
      <c r="C176" s="2222"/>
      <c r="D176" s="2223"/>
      <c r="E176" s="2225"/>
      <c r="F176" s="2225"/>
      <c r="G176" s="2225"/>
      <c r="H176" s="2224"/>
      <c r="I176" s="2223"/>
      <c r="J176" s="2224"/>
      <c r="K176" s="2224"/>
      <c r="L176" s="2224"/>
      <c r="M176" s="2224"/>
      <c r="N176" s="2223"/>
      <c r="O176" s="2224"/>
      <c r="P176" s="2224"/>
      <c r="Q176" s="2224"/>
      <c r="R176" s="2224"/>
      <c r="S176" s="2223"/>
      <c r="T176" s="2224"/>
      <c r="U176" s="2224"/>
      <c r="V176" s="2224"/>
      <c r="W176" s="2224"/>
      <c r="X176" s="2223"/>
      <c r="Y176" s="2225"/>
      <c r="Z176" s="2225"/>
      <c r="AA176" s="2225"/>
      <c r="AB176" s="2225"/>
      <c r="AC176" s="2223"/>
      <c r="AD176" s="2224"/>
      <c r="AE176" s="2224"/>
      <c r="AF176" s="2224"/>
      <c r="AG176" s="2224"/>
      <c r="AH176" s="2226"/>
      <c r="AI176" s="6747"/>
    </row>
    <row r="177" ht="15.0" customHeight="1">
      <c r="A177" s="6738"/>
      <c r="B177" s="3567"/>
      <c r="C177" s="3568"/>
      <c r="D177" s="3569"/>
      <c r="E177" s="3569"/>
      <c r="F177" s="3569"/>
      <c r="G177" s="3569"/>
      <c r="H177" s="3569"/>
      <c r="I177" s="3569"/>
      <c r="J177" s="3569"/>
      <c r="K177" s="3569"/>
      <c r="L177" s="3569"/>
      <c r="M177" s="3569"/>
      <c r="N177" s="3569"/>
      <c r="O177" s="3569"/>
      <c r="P177" s="3569"/>
      <c r="Q177" s="3569"/>
      <c r="R177" s="3569"/>
      <c r="S177" s="3569"/>
      <c r="T177" s="3569"/>
      <c r="U177" s="3569"/>
      <c r="V177" s="3569"/>
      <c r="W177" s="3569"/>
      <c r="X177" s="3569"/>
      <c r="Y177" s="3569"/>
      <c r="Z177" s="3569"/>
      <c r="AA177" s="3569"/>
      <c r="AB177" s="3569"/>
      <c r="AC177" s="3569"/>
      <c r="AD177" s="3569"/>
      <c r="AE177" s="3569"/>
      <c r="AF177" s="3569"/>
      <c r="AG177" s="3569"/>
      <c r="AH177" s="3571"/>
      <c r="AI177" s="6747"/>
    </row>
    <row r="178">
      <c r="A178" s="6738"/>
      <c r="B178" s="4579"/>
      <c r="C178" s="4580"/>
      <c r="D178" s="3581"/>
      <c r="E178" s="4581" t="s">
        <v>2006</v>
      </c>
      <c r="F178" s="3617"/>
      <c r="G178" s="3617"/>
      <c r="H178" s="3617"/>
      <c r="I178" s="3617"/>
      <c r="J178" s="3617"/>
      <c r="K178" s="3617"/>
      <c r="L178" s="3617"/>
      <c r="M178" s="3617"/>
      <c r="N178" s="3617"/>
      <c r="O178" s="3617"/>
      <c r="P178" s="3617"/>
      <c r="Q178" s="3617"/>
      <c r="R178" s="3617"/>
      <c r="S178" s="3617"/>
      <c r="T178" s="3617"/>
      <c r="U178" s="3617"/>
      <c r="V178" s="3617"/>
      <c r="W178" s="3617"/>
      <c r="X178" s="3617"/>
      <c r="Y178" s="3617"/>
      <c r="Z178" s="3617"/>
      <c r="AA178" s="3617"/>
      <c r="AB178" s="3617"/>
      <c r="AC178" s="3617"/>
      <c r="AD178" s="3617"/>
      <c r="AE178" s="3617"/>
      <c r="AF178" s="3617"/>
      <c r="AG178" s="3618"/>
      <c r="AH178" s="4582"/>
      <c r="AI178" s="6747"/>
    </row>
    <row r="179" ht="96.75" customHeight="1">
      <c r="A179" s="6738"/>
      <c r="B179" s="3572"/>
      <c r="C179" s="3573" t="str">
        <f>IMAGE("https://i.ibb.co/TKBZjnF/Ace-Trainer-M.png")</f>
        <v/>
      </c>
      <c r="D179" s="3574"/>
      <c r="E179" s="3575" t="str">
        <f t="array" ref="E179">IFERROR(VLOOKUP(E180,Dex!$B$3:$G1219,3,FALSE),"")</f>
        <v/>
      </c>
      <c r="F179" s="606"/>
      <c r="G179" s="606"/>
      <c r="H179" s="607"/>
      <c r="I179" s="3576"/>
      <c r="J179" s="3575" t="str">
        <f t="array" ref="J179">IFERROR(VLOOKUP(J180,Dex!$B$3:$G1219,3,FALSE),"")</f>
        <v/>
      </c>
      <c r="K179" s="606"/>
      <c r="L179" s="606"/>
      <c r="M179" s="607"/>
      <c r="N179" s="4583"/>
      <c r="O179" s="3575" t="str">
        <f t="array" ref="O179">IFERROR(VLOOKUP(O180,Dex!$B$3:$G1219,3,FALSE),"")</f>
        <v/>
      </c>
      <c r="P179" s="606"/>
      <c r="Q179" s="606"/>
      <c r="R179" s="607"/>
      <c r="S179" s="4584"/>
      <c r="T179" s="3575" t="str">
        <f t="array" ref="T179">IFERROR(VLOOKUP(T180,Dex!$B$3:$G1219,3,FALSE),"")</f>
        <v/>
      </c>
      <c r="U179" s="606"/>
      <c r="V179" s="606"/>
      <c r="W179" s="607"/>
      <c r="X179" s="4583"/>
      <c r="Y179" s="3575" t="str">
        <f t="array" ref="Y179">IFERROR(VLOOKUP(Y180,Dex!$B$3:$G1219,3,FALSE),"")</f>
        <v/>
      </c>
      <c r="Z179" s="606"/>
      <c r="AA179" s="606"/>
      <c r="AB179" s="607"/>
      <c r="AC179" s="4584"/>
      <c r="AD179" s="3575" t="str">
        <f t="array" ref="AD179">IFERROR(VLOOKUP(AD180,Dex!$B$3:$G1219,3,FALSE),"")</f>
        <v/>
      </c>
      <c r="AE179" s="606"/>
      <c r="AF179" s="606"/>
      <c r="AG179" s="607"/>
      <c r="AH179" s="5740"/>
      <c r="AI179" s="6747"/>
    </row>
    <row r="180" ht="18.75" customHeight="1">
      <c r="A180" s="6738"/>
      <c r="B180" s="5745"/>
      <c r="C180" s="6841" t="s">
        <v>2007</v>
      </c>
      <c r="D180" s="5747"/>
      <c r="E180" s="3587" t="s">
        <v>654</v>
      </c>
      <c r="F180" s="3588"/>
      <c r="G180" s="3588"/>
      <c r="H180" s="3589"/>
      <c r="J180" s="3587" t="s">
        <v>1978</v>
      </c>
      <c r="K180" s="3588"/>
      <c r="L180" s="3588"/>
      <c r="M180" s="3589"/>
      <c r="O180" s="3587" t="s">
        <v>1344</v>
      </c>
      <c r="P180" s="3588"/>
      <c r="Q180" s="3588"/>
      <c r="R180" s="3589"/>
      <c r="T180" s="3587" t="s">
        <v>1814</v>
      </c>
      <c r="U180" s="3588"/>
      <c r="V180" s="3588"/>
      <c r="W180" s="3589"/>
      <c r="Y180" s="3587" t="s">
        <v>1892</v>
      </c>
      <c r="Z180" s="3588"/>
      <c r="AA180" s="3588"/>
      <c r="AB180" s="3589"/>
      <c r="AD180" s="3587" t="s">
        <v>2008</v>
      </c>
      <c r="AE180" s="3588"/>
      <c r="AF180" s="3588"/>
      <c r="AG180" s="3589"/>
      <c r="AH180" s="5741"/>
      <c r="AI180" s="6747"/>
    </row>
    <row r="181">
      <c r="A181" s="6738"/>
      <c r="B181" s="5751"/>
      <c r="C181" s="3095"/>
      <c r="D181" s="5752"/>
      <c r="E181" s="3596" t="s">
        <v>729</v>
      </c>
      <c r="F181" s="3597"/>
      <c r="G181" s="3597"/>
      <c r="H181" s="3598"/>
      <c r="J181" s="3596" t="s">
        <v>729</v>
      </c>
      <c r="K181" s="3597"/>
      <c r="L181" s="3597"/>
      <c r="M181" s="3598"/>
      <c r="O181" s="3596" t="s">
        <v>729</v>
      </c>
      <c r="P181" s="3597"/>
      <c r="Q181" s="3597"/>
      <c r="R181" s="3598"/>
      <c r="T181" s="3596" t="s">
        <v>729</v>
      </c>
      <c r="U181" s="3597"/>
      <c r="V181" s="3597"/>
      <c r="W181" s="3598"/>
      <c r="Y181" s="3596" t="s">
        <v>729</v>
      </c>
      <c r="Z181" s="3597"/>
      <c r="AA181" s="3597"/>
      <c r="AB181" s="3598"/>
      <c r="AD181" s="3596" t="s">
        <v>729</v>
      </c>
      <c r="AE181" s="3597"/>
      <c r="AF181" s="3597"/>
      <c r="AG181" s="3598"/>
      <c r="AH181" s="5742"/>
      <c r="AI181" s="6747"/>
    </row>
    <row r="182" ht="25.5" customHeight="1">
      <c r="A182" s="6738"/>
      <c r="B182" s="5756"/>
      <c r="C182" s="3095"/>
      <c r="D182" s="5757"/>
      <c r="E182" s="3601"/>
      <c r="F182" s="4588" t="str">
        <f t="array" ref="F182">IFERROR(VLOOKUP(E180,Dex!$B$3:$H1219,5,FALSE),"")</f>
        <v/>
      </c>
      <c r="G182" s="4589" t="str">
        <f t="array" ref="G182">IFERROR(VLOOKUP(E180,Dex!$B$3:$H1219,7,FALSE),"")</f>
        <v/>
      </c>
      <c r="H182" s="3604"/>
      <c r="J182" s="3601"/>
      <c r="K182" s="4588" t="str">
        <f t="array" ref="K182">IFERROR(VLOOKUP(J180,Dex!$B$3:$H1219,5,FALSE),"")</f>
        <v/>
      </c>
      <c r="L182" s="4589" t="str">
        <f t="array" ref="L182">IFERROR(VLOOKUP(J180,Dex!$B$3:$H1219,7,FALSE),"")</f>
        <v/>
      </c>
      <c r="M182" s="3604"/>
      <c r="O182" s="3601"/>
      <c r="P182" s="4588" t="str">
        <f t="array" ref="P182">IFERROR(VLOOKUP(O180,Dex!$B$3:$H1219,5,FALSE),"")</f>
        <v/>
      </c>
      <c r="Q182" s="4589" t="str">
        <f t="array" ref="Q182">IFERROR(VLOOKUP(O180,Dex!$B$3:$H1219,7,FALSE),"")</f>
        <v/>
      </c>
      <c r="R182" s="3604"/>
      <c r="T182" s="3601"/>
      <c r="U182" s="4588" t="str">
        <f t="array" ref="U182">IFERROR(VLOOKUP(T180,Dex!$B$3:$H1219,5,FALSE),"")</f>
        <v/>
      </c>
      <c r="V182" s="4589" t="str">
        <f t="array" ref="V182">IFERROR(VLOOKUP(T180,Dex!$B$3:$H1219,7,FALSE),"")</f>
        <v/>
      </c>
      <c r="W182" s="3604"/>
      <c r="Y182" s="3601"/>
      <c r="Z182" s="4588" t="str">
        <f t="array" ref="Z182">IFERROR(VLOOKUP(Y180,Dex!$B$3:$H1219,5,FALSE),"")</f>
        <v/>
      </c>
      <c r="AA182" s="4589" t="str">
        <f t="array" ref="AA182">IFERROR(VLOOKUP(Y180,Dex!$B$3:$H1219,7,FALSE),"")</f>
        <v/>
      </c>
      <c r="AB182" s="3604"/>
      <c r="AD182" s="3601"/>
      <c r="AE182" s="4588" t="str">
        <f t="array" ref="AE182">IFERROR(VLOOKUP(AD180,Dex!$B$3:$H1219,5,FALSE),"")</f>
        <v/>
      </c>
      <c r="AF182" s="4589" t="str">
        <f t="array" ref="AF182">IFERROR(VLOOKUP(AD180,Dex!$B$3:$H1219,7,FALSE),"")</f>
        <v/>
      </c>
      <c r="AG182" s="3604"/>
      <c r="AH182" s="3583"/>
      <c r="AI182" s="6747"/>
    </row>
    <row r="183" ht="2.25" customHeight="1">
      <c r="A183" s="6738"/>
      <c r="B183" s="5756"/>
      <c r="C183" s="3095"/>
      <c r="D183" s="5757"/>
      <c r="E183" s="3606"/>
      <c r="F183" s="3607"/>
      <c r="G183" s="3607"/>
      <c r="H183" s="3608"/>
      <c r="J183" s="3606"/>
      <c r="K183" s="3607"/>
      <c r="L183" s="3607"/>
      <c r="M183" s="3608"/>
      <c r="O183" s="3606"/>
      <c r="P183" s="3607"/>
      <c r="Q183" s="3607"/>
      <c r="R183" s="3608"/>
      <c r="T183" s="3606"/>
      <c r="U183" s="3607"/>
      <c r="V183" s="3607"/>
      <c r="W183" s="3608"/>
      <c r="Y183" s="3606"/>
      <c r="Z183" s="3607"/>
      <c r="AA183" s="3607"/>
      <c r="AB183" s="3608"/>
      <c r="AD183" s="3606"/>
      <c r="AE183" s="3607"/>
      <c r="AF183" s="3607"/>
      <c r="AG183" s="3608"/>
      <c r="AH183" s="3583"/>
      <c r="AI183" s="6747"/>
    </row>
    <row r="184" ht="20.25" customHeight="1">
      <c r="A184" s="6738"/>
      <c r="B184" s="5756"/>
      <c r="C184" s="3112"/>
      <c r="D184" s="5757"/>
      <c r="E184" s="3610" t="s">
        <v>532</v>
      </c>
      <c r="F184" s="3611"/>
      <c r="G184" s="3611"/>
      <c r="H184" s="3612"/>
      <c r="J184" s="3610" t="s">
        <v>1332</v>
      </c>
      <c r="K184" s="3611"/>
      <c r="L184" s="3611"/>
      <c r="M184" s="3612"/>
      <c r="O184" s="3610" t="s">
        <v>565</v>
      </c>
      <c r="P184" s="3611"/>
      <c r="Q184" s="3611"/>
      <c r="R184" s="3612"/>
      <c r="T184" s="3610" t="s">
        <v>633</v>
      </c>
      <c r="U184" s="3611"/>
      <c r="V184" s="3611"/>
      <c r="W184" s="3612"/>
      <c r="Y184" s="3610" t="s">
        <v>1332</v>
      </c>
      <c r="Z184" s="3611"/>
      <c r="AA184" s="3611"/>
      <c r="AB184" s="3612"/>
      <c r="AD184" s="3610" t="s">
        <v>564</v>
      </c>
      <c r="AE184" s="3611"/>
      <c r="AF184" s="3611"/>
      <c r="AG184" s="3612"/>
      <c r="AH184" s="5740"/>
      <c r="AI184" s="6747"/>
    </row>
    <row r="185">
      <c r="A185" s="6738"/>
      <c r="B185" s="3572"/>
      <c r="C185" s="6842"/>
      <c r="D185" s="3574"/>
      <c r="E185" s="3614" t="s">
        <v>60</v>
      </c>
      <c r="F185" s="3579"/>
      <c r="G185" s="3579"/>
      <c r="H185" s="3615"/>
      <c r="J185" s="3614" t="s">
        <v>98</v>
      </c>
      <c r="K185" s="3579"/>
      <c r="L185" s="3579"/>
      <c r="M185" s="3615"/>
      <c r="O185" s="3614" t="s">
        <v>2009</v>
      </c>
      <c r="P185" s="3579"/>
      <c r="Q185" s="3579"/>
      <c r="R185" s="3615"/>
      <c r="T185" s="3614" t="s">
        <v>1817</v>
      </c>
      <c r="U185" s="3579"/>
      <c r="V185" s="3579"/>
      <c r="W185" s="3615"/>
      <c r="Y185" s="3614" t="s">
        <v>1896</v>
      </c>
      <c r="Z185" s="3579"/>
      <c r="AA185" s="3579"/>
      <c r="AB185" s="3615"/>
      <c r="AD185" s="3614" t="s">
        <v>825</v>
      </c>
      <c r="AE185" s="3579"/>
      <c r="AF185" s="3579"/>
      <c r="AG185" s="3615"/>
      <c r="AH185" s="5740"/>
      <c r="AI185" s="6747"/>
    </row>
    <row r="186" ht="20.25" customHeight="1">
      <c r="A186" s="6738"/>
      <c r="B186" s="3572"/>
      <c r="C186" s="3592"/>
      <c r="D186" s="3574"/>
      <c r="E186" s="3616" t="s">
        <v>713</v>
      </c>
      <c r="F186" s="3617"/>
      <c r="G186" s="3618"/>
      <c r="H186" s="3619" t="str">
        <f>IMAGE("https://raw.githubusercontent.com/msikma/pokesprite/master/items/hold-item/assault-vest.png",3)</f>
        <v/>
      </c>
      <c r="J186" s="3616" t="s">
        <v>573</v>
      </c>
      <c r="K186" s="3617"/>
      <c r="L186" s="3618"/>
      <c r="M186" s="3619" t="str">
        <f>IMAGE("https://raw.githubusercontent.com/msikma/pokesprite/master/items/hold-item/focus-sash.png",3)</f>
        <v/>
      </c>
      <c r="O186" s="3616" t="s">
        <v>1346</v>
      </c>
      <c r="P186" s="3617"/>
      <c r="Q186" s="3618"/>
      <c r="R186" s="3619" t="str">
        <f>IMAGE("https://raw.githubusercontent.com/msikma/pokesprite/master/items/mega-stone/salamencite.png",3)</f>
        <v/>
      </c>
      <c r="T186" s="3616" t="s">
        <v>1261</v>
      </c>
      <c r="U186" s="3617"/>
      <c r="V186" s="3618"/>
      <c r="W186" s="3619" t="str">
        <f>IMAGE("https://raw.githubusercontent.com/msikma/pokesprite/master/items/z-crystals/ghostium-z--held.png",3)</f>
        <v/>
      </c>
      <c r="Y186" s="3616" t="s">
        <v>920</v>
      </c>
      <c r="Z186" s="3617"/>
      <c r="AA186" s="3618"/>
      <c r="AB186" s="3619" t="str">
        <f>IMAGE("https://raw.githubusercontent.com/msikma/pokesprite/master/items/hold-item/white-herb.png",3)</f>
        <v/>
      </c>
      <c r="AD186" s="3616" t="s">
        <v>686</v>
      </c>
      <c r="AE186" s="3617"/>
      <c r="AF186" s="3618"/>
      <c r="AG186" s="3619" t="str">
        <f>IMAGE("https://raw.githubusercontent.com/msikma/pokesprite/master/items/gem/water.png",3)</f>
        <v/>
      </c>
      <c r="AH186" s="3583"/>
      <c r="AI186" s="6747"/>
    </row>
    <row r="187" ht="20.25" customHeight="1">
      <c r="A187" s="6738"/>
      <c r="B187" s="3572"/>
      <c r="C187" s="3620"/>
      <c r="D187" s="3574"/>
      <c r="E187" s="3610" t="s">
        <v>622</v>
      </c>
      <c r="F187" s="3611"/>
      <c r="G187" s="3621"/>
      <c r="H187" s="3622" t="str">
        <f>IMAGE("https://raw.githubusercontent.com/msikma/pokesprite/master/misc/types/gen8/ground.png",4,20,20)</f>
        <v/>
      </c>
      <c r="J187" s="3610" t="s">
        <v>2010</v>
      </c>
      <c r="K187" s="3611"/>
      <c r="L187" s="3621"/>
      <c r="M187" s="3622" t="str">
        <f>IMAGE("https://raw.githubusercontent.com/msikma/pokesprite/master/misc/types/gen8/fairy.png",4,20,20)</f>
        <v/>
      </c>
      <c r="O187" s="3610" t="s">
        <v>928</v>
      </c>
      <c r="P187" s="3611"/>
      <c r="Q187" s="3621"/>
      <c r="R187" s="3622" t="str">
        <f>IMAGE("https://raw.githubusercontent.com/msikma/pokesprite/master/misc/types/gen8/flying.png",4,20,20)</f>
        <v/>
      </c>
      <c r="T187" s="3610" t="s">
        <v>1821</v>
      </c>
      <c r="U187" s="3611"/>
      <c r="V187" s="3621"/>
      <c r="W187" s="3622" t="str">
        <f>IMAGE("https://raw.githubusercontent.com/msikma/pokesprite/master/misc/types/gen8/steel.png",4,20,20)</f>
        <v/>
      </c>
      <c r="Y187" s="3610" t="s">
        <v>1474</v>
      </c>
      <c r="Z187" s="3611"/>
      <c r="AA187" s="3621"/>
      <c r="AB187" s="3622" t="str">
        <f>IMAGE("https://raw.githubusercontent.com/msikma/pokesprite/master/misc/types/gen8/fire.png",4,20,20)</f>
        <v/>
      </c>
      <c r="AD187" s="3610" t="s">
        <v>649</v>
      </c>
      <c r="AE187" s="3611"/>
      <c r="AF187" s="3621"/>
      <c r="AG187" s="3622" t="str">
        <f>IMAGE("https://raw.githubusercontent.com/msikma/pokesprite/master/misc/types/gen8/water.png",4,20,20)</f>
        <v/>
      </c>
      <c r="AH187" s="3583"/>
      <c r="AI187" s="6747"/>
    </row>
    <row r="188" ht="20.25" customHeight="1">
      <c r="A188" s="6738"/>
      <c r="B188" s="3572"/>
      <c r="C188" s="3605"/>
      <c r="D188" s="3574"/>
      <c r="E188" s="3614" t="s">
        <v>621</v>
      </c>
      <c r="F188" s="3579"/>
      <c r="G188" s="3580"/>
      <c r="H188" s="3623" t="str">
        <f>IMAGE("https://raw.githubusercontent.com/msikma/pokesprite/master/misc/types/gen8/rock.png",4,20,20)</f>
        <v/>
      </c>
      <c r="J188" s="3614" t="s">
        <v>669</v>
      </c>
      <c r="K188" s="3579"/>
      <c r="L188" s="3580"/>
      <c r="M188" s="3623" t="str">
        <f>IMAGE("https://raw.githubusercontent.com/msikma/pokesprite/master/misc/types/gen8/psychic.png",4,20,20)</f>
        <v/>
      </c>
      <c r="O188" s="3614" t="s">
        <v>2011</v>
      </c>
      <c r="P188" s="3579"/>
      <c r="Q188" s="3580"/>
      <c r="R188" s="3623" t="str">
        <f>IMAGE("https://raw.githubusercontent.com/msikma/pokesprite/master/misc/types/gen8/dragon.png",4,20,20)</f>
        <v/>
      </c>
      <c r="T188" s="3614" t="s">
        <v>647</v>
      </c>
      <c r="U188" s="3579"/>
      <c r="V188" s="3580"/>
      <c r="W188" s="3623" t="str">
        <f>IMAGE("https://raw.githubusercontent.com/msikma/pokesprite/master/misc/types/gen8/ghost.png",4,20,20)</f>
        <v/>
      </c>
      <c r="Y188" s="3614" t="s">
        <v>1573</v>
      </c>
      <c r="Z188" s="3579"/>
      <c r="AA188" s="3580"/>
      <c r="AB188" s="3623" t="str">
        <f>IMAGE("https://raw.githubusercontent.com/msikma/pokesprite/master/misc/types/gen8/electric.png",4,20,20)</f>
        <v/>
      </c>
      <c r="AD188" s="3614" t="s">
        <v>624</v>
      </c>
      <c r="AE188" s="3579"/>
      <c r="AF188" s="3580"/>
      <c r="AG188" s="3623" t="str">
        <f>IMAGE("https://raw.githubusercontent.com/msikma/pokesprite/master/misc/types/gen8/fighting.png",4,20,20)</f>
        <v/>
      </c>
      <c r="AH188" s="3583"/>
      <c r="AI188" s="6747"/>
    </row>
    <row r="189" ht="20.25" customHeight="1">
      <c r="A189" s="6738"/>
      <c r="B189" s="3572"/>
      <c r="C189" s="3605"/>
      <c r="D189" s="3574"/>
      <c r="E189" s="3614" t="s">
        <v>583</v>
      </c>
      <c r="F189" s="3579"/>
      <c r="G189" s="3580"/>
      <c r="H189" s="3623" t="str">
        <f>IMAGE("https://raw.githubusercontent.com/msikma/pokesprite/master/misc/types/gen8/fighting.png",4,20,20)</f>
        <v/>
      </c>
      <c r="J189" s="3614" t="s">
        <v>1532</v>
      </c>
      <c r="K189" s="3579"/>
      <c r="L189" s="3580"/>
      <c r="M189" s="3623" t="str">
        <f>IMAGE("https://raw.githubusercontent.com/msikma/pokesprite/master/misc/types/gen8/fighting.png",4,20,20)</f>
        <v/>
      </c>
      <c r="O189" s="3614" t="s">
        <v>743</v>
      </c>
      <c r="P189" s="3579"/>
      <c r="Q189" s="3580"/>
      <c r="R189" s="3623" t="str">
        <f>IMAGE("https://raw.githubusercontent.com/msikma/pokesprite/master/misc/types/gen8/flying.png",4,20,20)</f>
        <v/>
      </c>
      <c r="T189" s="3614" t="s">
        <v>646</v>
      </c>
      <c r="U189" s="3579"/>
      <c r="V189" s="3580"/>
      <c r="W189" s="3623" t="str">
        <f>IMAGE("https://raw.githubusercontent.com/msikma/pokesprite/master/misc/types/gen8/steel.png",4,20,20)</f>
        <v/>
      </c>
      <c r="Y189" s="3614" t="s">
        <v>2012</v>
      </c>
      <c r="Z189" s="3579"/>
      <c r="AA189" s="3580"/>
      <c r="AB189" s="3623" t="str">
        <f>IMAGE("https://raw.githubusercontent.com/msikma/pokesprite/master/misc/types/gen8/ice.png",4,20,20)</f>
        <v/>
      </c>
      <c r="AD189" s="3614" t="s">
        <v>509</v>
      </c>
      <c r="AE189" s="3579"/>
      <c r="AF189" s="3580"/>
      <c r="AG189" s="3623" t="str">
        <f>IMAGE("https://raw.githubusercontent.com/msikma/pokesprite/master/misc/types/gen8/ice.png",4,20,20)</f>
        <v/>
      </c>
      <c r="AH189" s="3583"/>
      <c r="AI189" s="6747"/>
    </row>
    <row r="190" ht="21.0" customHeight="1">
      <c r="A190" s="6738"/>
      <c r="B190" s="3572"/>
      <c r="C190" s="3605"/>
      <c r="D190" s="3574"/>
      <c r="E190" s="3624" t="s">
        <v>667</v>
      </c>
      <c r="F190" s="3625"/>
      <c r="G190" s="3626"/>
      <c r="H190" s="3627" t="str">
        <f>IMAGE("https://raw.githubusercontent.com/msikma/pokesprite/master/misc/types/gen8/dark.png",4,20,20)</f>
        <v/>
      </c>
      <c r="I190" s="3628"/>
      <c r="J190" s="3624" t="s">
        <v>862</v>
      </c>
      <c r="K190" s="3625"/>
      <c r="L190" s="3626"/>
      <c r="M190" s="3627" t="str">
        <f>IMAGE("https://raw.githubusercontent.com/msikma/pokesprite/master/misc/types/gen8/fire.png",4,20,20)</f>
        <v/>
      </c>
      <c r="N190" s="3628"/>
      <c r="O190" s="3624" t="s">
        <v>1211</v>
      </c>
      <c r="P190" s="3625"/>
      <c r="Q190" s="3626"/>
      <c r="R190" s="3627" t="str">
        <f>IMAGE("https://raw.githubusercontent.com/msikma/pokesprite/master/misc/types/gen8/fire.png",4,20,20)</f>
        <v/>
      </c>
      <c r="S190" s="3628"/>
      <c r="T190" s="3624" t="s">
        <v>624</v>
      </c>
      <c r="U190" s="3625"/>
      <c r="V190" s="3626"/>
      <c r="W190" s="3627" t="str">
        <f>IMAGE("https://raw.githubusercontent.com/msikma/pokesprite/master/misc/types/gen8/fighting.png",4,20,20)</f>
        <v/>
      </c>
      <c r="X190" s="3628"/>
      <c r="Y190" s="3624" t="s">
        <v>741</v>
      </c>
      <c r="Z190" s="3625"/>
      <c r="AA190" s="3626"/>
      <c r="AB190" s="3627" t="str">
        <f>IMAGE("https://raw.githubusercontent.com/msikma/pokesprite/master/misc/types/gen8/psychic.png",4,20,20)</f>
        <v/>
      </c>
      <c r="AC190" s="3628"/>
      <c r="AD190" s="3624" t="s">
        <v>184</v>
      </c>
      <c r="AE190" s="3625"/>
      <c r="AF190" s="3626"/>
      <c r="AG190" s="3627" t="str">
        <f>IMAGE("https://raw.githubusercontent.com/msikma/pokesprite/master/misc/types/gen8/normal.png",4,20,20)</f>
        <v/>
      </c>
      <c r="AH190" s="3583"/>
      <c r="AI190" s="6747"/>
    </row>
    <row r="191" ht="3.0" customHeight="1">
      <c r="A191" s="6738"/>
      <c r="B191" s="3630"/>
      <c r="C191" s="3631"/>
      <c r="D191" s="3632"/>
      <c r="E191" s="3634"/>
      <c r="F191" s="3634"/>
      <c r="G191" s="3634"/>
      <c r="H191" s="3633"/>
      <c r="I191" s="3632"/>
      <c r="J191" s="3634"/>
      <c r="K191" s="3634"/>
      <c r="L191" s="3634"/>
      <c r="M191" s="3633"/>
      <c r="N191" s="3632"/>
      <c r="O191" s="3634"/>
      <c r="P191" s="3634"/>
      <c r="Q191" s="3634"/>
      <c r="R191" s="3633"/>
      <c r="S191" s="3635"/>
      <c r="T191" s="3634"/>
      <c r="U191" s="3634"/>
      <c r="V191" s="3634"/>
      <c r="W191" s="3633"/>
      <c r="X191" s="3632"/>
      <c r="Y191" s="3634"/>
      <c r="Z191" s="3634"/>
      <c r="AA191" s="3634"/>
      <c r="AB191" s="3633"/>
      <c r="AC191" s="3637"/>
      <c r="AD191" s="3634"/>
      <c r="AE191" s="3634"/>
      <c r="AF191" s="3634"/>
      <c r="AG191" s="3633"/>
      <c r="AH191" s="3638"/>
      <c r="AI191" s="6747"/>
    </row>
    <row r="192" ht="16.5" customHeight="1">
      <c r="A192" s="6738"/>
      <c r="B192" s="3639"/>
      <c r="C192" s="3631"/>
      <c r="D192" s="4590"/>
      <c r="E192" s="3641" t="s">
        <v>512</v>
      </c>
      <c r="F192" s="606"/>
      <c r="G192" s="606"/>
      <c r="H192" s="607"/>
      <c r="I192" s="3642"/>
      <c r="J192" s="3641" t="s">
        <v>512</v>
      </c>
      <c r="K192" s="606"/>
      <c r="L192" s="606"/>
      <c r="M192" s="607"/>
      <c r="N192" s="4590"/>
      <c r="O192" s="3641" t="s">
        <v>512</v>
      </c>
      <c r="P192" s="606"/>
      <c r="Q192" s="606"/>
      <c r="R192" s="607"/>
      <c r="S192" s="4591"/>
      <c r="T192" s="3641" t="s">
        <v>512</v>
      </c>
      <c r="U192" s="606"/>
      <c r="V192" s="606"/>
      <c r="W192" s="607"/>
      <c r="X192" s="4592"/>
      <c r="Y192" s="3641" t="s">
        <v>512</v>
      </c>
      <c r="Z192" s="606"/>
      <c r="AA192" s="606"/>
      <c r="AB192" s="607"/>
      <c r="AC192" s="4592"/>
      <c r="AD192" s="3641" t="s">
        <v>512</v>
      </c>
      <c r="AE192" s="606"/>
      <c r="AF192" s="606"/>
      <c r="AG192" s="607"/>
      <c r="AH192" s="3645"/>
      <c r="AI192" s="6747"/>
    </row>
    <row r="193" ht="16.5" customHeight="1">
      <c r="A193" s="6738"/>
      <c r="B193" s="3639"/>
      <c r="C193" s="3631"/>
      <c r="D193" s="3640"/>
      <c r="E193" s="3646" t="s">
        <v>513</v>
      </c>
      <c r="F193" s="3647">
        <f t="array" ref="F193">IFERROR(VLOOKUP(E180,Dex!$B$3:$N1219,8,FALSE),"")</f>
        <v>95</v>
      </c>
      <c r="G193" s="3648" t="str">
        <f t="array" ref="G193">IFERROR(VLOOKUP(F193,Dex!$P$22:$Q$276,2,FALSE),"")</f>
        <v/>
      </c>
      <c r="H193" s="3649"/>
      <c r="I193" s="3650"/>
      <c r="J193" s="3646" t="s">
        <v>513</v>
      </c>
      <c r="K193" s="3647">
        <f t="array" ref="K193">IFERROR(VLOOKUP(J180,Dex!$B$3:$N1219,8,FALSE),"")</f>
        <v>74</v>
      </c>
      <c r="L193" s="3648" t="str">
        <f t="array" ref="L193">IFERROR(VLOOKUP(K193,Dex!$P$22:$Q$276,2,FALSE),"")</f>
        <v/>
      </c>
      <c r="M193" s="3649"/>
      <c r="N193" s="3640"/>
      <c r="O193" s="3646" t="s">
        <v>513</v>
      </c>
      <c r="P193" s="3647">
        <f t="array" ref="P193">IFERROR(VLOOKUP(O180,Dex!$B$3:$N1219,8,FALSE),"")</f>
        <v>95</v>
      </c>
      <c r="Q193" s="3648" t="str">
        <f t="array" ref="Q193">IFERROR(VLOOKUP(P193,Dex!$P$22:$Q$276,2,FALSE),"")</f>
        <v/>
      </c>
      <c r="R193" s="3649"/>
      <c r="S193" s="3644"/>
      <c r="T193" s="3646" t="s">
        <v>513</v>
      </c>
      <c r="U193" s="3647">
        <f t="array" ref="U193">IFERROR(VLOOKUP(T180,Dex!$B$3:$N1219,8,FALSE),"")</f>
        <v>60</v>
      </c>
      <c r="V193" s="3648" t="str">
        <f t="array" ref="V193">IFERROR(VLOOKUP(U193,Dex!$P$22:$Q$276,2,FALSE),"")</f>
        <v/>
      </c>
      <c r="W193" s="3649"/>
      <c r="X193" s="3644"/>
      <c r="Y193" s="3646" t="s">
        <v>513</v>
      </c>
      <c r="Z193" s="3647">
        <f t="array" ref="Z193">IFERROR(VLOOKUP(Y180,Dex!$B$3:$N1219,8,FALSE),"")</f>
        <v>100</v>
      </c>
      <c r="AA193" s="3648" t="str">
        <f t="array" ref="AA193">IFERROR(VLOOKUP(Z193,Dex!$P$22:$Q$276,2,FALSE),"")</f>
        <v/>
      </c>
      <c r="AB193" s="3649"/>
      <c r="AC193" s="3644"/>
      <c r="AD193" s="3646" t="s">
        <v>513</v>
      </c>
      <c r="AE193" s="3647">
        <f t="array" ref="AE193">IFERROR(VLOOKUP(AD180,Dex!$B$3:$N1219,8,FALSE),"")</f>
        <v>91</v>
      </c>
      <c r="AF193" s="3648" t="str">
        <f t="array" ref="AF193">IFERROR(VLOOKUP(AE193,Dex!$P$22:$Q$276,2,FALSE),"")</f>
        <v/>
      </c>
      <c r="AG193" s="3649"/>
      <c r="AH193" s="3645"/>
      <c r="AI193" s="6747"/>
    </row>
    <row r="194" ht="16.5" customHeight="1">
      <c r="A194" s="6738"/>
      <c r="B194" s="3639"/>
      <c r="C194" s="3631"/>
      <c r="D194" s="3640"/>
      <c r="E194" s="3652" t="s">
        <v>514</v>
      </c>
      <c r="F194" s="3653">
        <f t="array" ref="F194">IFERROR(VLOOKUP(E180,Dex!$B$3:$N1219,9,FALSE),"")</f>
        <v>117</v>
      </c>
      <c r="G194" s="3654" t="str">
        <f t="array" ref="G194">IFERROR(VLOOKUP(F194,Dex!$P$22:$Q$276,2,FALSE),"")</f>
        <v/>
      </c>
      <c r="H194" s="3655"/>
      <c r="I194" s="3650"/>
      <c r="J194" s="3652" t="s">
        <v>514</v>
      </c>
      <c r="K194" s="3653">
        <f t="array" ref="K194">IFERROR(VLOOKUP(J180,Dex!$B$3:$N1219,9,FALSE),"")</f>
        <v>115</v>
      </c>
      <c r="L194" s="3654" t="str">
        <f t="array" ref="L194">IFERROR(VLOOKUP(K194,Dex!$P$22:$Q$276,2,FALSE),"")</f>
        <v/>
      </c>
      <c r="M194" s="3655"/>
      <c r="N194" s="3640"/>
      <c r="O194" s="3652" t="s">
        <v>514</v>
      </c>
      <c r="P194" s="3653">
        <f t="array" ref="P194">IFERROR(VLOOKUP(O180,Dex!$B$3:$N1219,9,FALSE),"")</f>
        <v>145</v>
      </c>
      <c r="Q194" s="3654" t="str">
        <f t="array" ref="Q194">IFERROR(VLOOKUP(P194,Dex!$P$22:$Q$276,2,FALSE),"")</f>
        <v/>
      </c>
      <c r="R194" s="3655"/>
      <c r="S194" s="3644"/>
      <c r="T194" s="3652" t="s">
        <v>514</v>
      </c>
      <c r="U194" s="3653">
        <f t="array" ref="U194">IFERROR(VLOOKUP(T180,Dex!$B$3:$N1219,9,FALSE),"")</f>
        <v>140</v>
      </c>
      <c r="V194" s="3654" t="str">
        <f t="array" ref="V194">IFERROR(VLOOKUP(U194,Dex!$P$22:$Q$276,2,FALSE),"")</f>
        <v/>
      </c>
      <c r="W194" s="3655"/>
      <c r="X194" s="3644"/>
      <c r="Y194" s="3652" t="s">
        <v>514</v>
      </c>
      <c r="Z194" s="3653">
        <f t="array" ref="Z194">IFERROR(VLOOKUP(Y180,Dex!$B$3:$N1219,9,FALSE),"")</f>
        <v>100</v>
      </c>
      <c r="AA194" s="3654" t="str">
        <f t="array" ref="AA194">IFERROR(VLOOKUP(Z194,Dex!$P$22:$Q$276,2,FALSE),"")</f>
        <v/>
      </c>
      <c r="AB194" s="3655"/>
      <c r="AC194" s="3644"/>
      <c r="AD194" s="3652" t="s">
        <v>514</v>
      </c>
      <c r="AE194" s="3653">
        <f t="array" ref="AE194">IFERROR(VLOOKUP(AD180,Dex!$B$3:$N1219,9,FALSE),"")</f>
        <v>72</v>
      </c>
      <c r="AF194" s="3654" t="str">
        <f t="array" ref="AF194">IFERROR(VLOOKUP(AE194,Dex!$P$22:$Q$276,2,FALSE),"")</f>
        <v/>
      </c>
      <c r="AG194" s="3655"/>
      <c r="AH194" s="3645"/>
      <c r="AI194" s="6747"/>
    </row>
    <row r="195" ht="16.5" customHeight="1">
      <c r="A195" s="6738"/>
      <c r="B195" s="3639"/>
      <c r="C195" s="3631"/>
      <c r="D195" s="3640"/>
      <c r="E195" s="3652" t="s">
        <v>515</v>
      </c>
      <c r="F195" s="3653">
        <f t="array" ref="F195">IFERROR(VLOOKUP(E180,Dex!$B$3:$N1219,10,FALSE),"")</f>
        <v>80</v>
      </c>
      <c r="G195" s="3654" t="str">
        <f t="array" ref="G195">IFERROR(VLOOKUP(F195,Dex!$P$22:$Q$276,2,FALSE),"")</f>
        <v/>
      </c>
      <c r="H195" s="3655"/>
      <c r="I195" s="3650"/>
      <c r="J195" s="3652" t="s">
        <v>515</v>
      </c>
      <c r="K195" s="3653">
        <f t="array" ref="K195">IFERROR(VLOOKUP(J180,Dex!$B$3:$N1219,10,FALSE),"")</f>
        <v>70</v>
      </c>
      <c r="L195" s="3654" t="str">
        <f t="array" ref="L195">IFERROR(VLOOKUP(K195,Dex!$P$22:$Q$276,2,FALSE),"")</f>
        <v/>
      </c>
      <c r="M195" s="3655"/>
      <c r="N195" s="3640"/>
      <c r="O195" s="3652" t="s">
        <v>515</v>
      </c>
      <c r="P195" s="3653">
        <f t="array" ref="P195">IFERROR(VLOOKUP(O180,Dex!$B$3:$N1219,10,FALSE),"")</f>
        <v>130</v>
      </c>
      <c r="Q195" s="3654" t="str">
        <f t="array" ref="Q195">IFERROR(VLOOKUP(P195,Dex!$P$22:$Q$276,2,FALSE),"")</f>
        <v/>
      </c>
      <c r="R195" s="3655"/>
      <c r="S195" s="3644"/>
      <c r="T195" s="3652" t="s">
        <v>515</v>
      </c>
      <c r="U195" s="3653">
        <f t="array" ref="U195">IFERROR(VLOOKUP(T180,Dex!$B$3:$N1219,10,FALSE),"")</f>
        <v>50</v>
      </c>
      <c r="V195" s="3654" t="str">
        <f t="array" ref="V195">IFERROR(VLOOKUP(U195,Dex!$P$22:$Q$276,2,FALSE),"")</f>
        <v/>
      </c>
      <c r="W195" s="3655"/>
      <c r="X195" s="3644"/>
      <c r="Y195" s="3652" t="s">
        <v>515</v>
      </c>
      <c r="Z195" s="3653">
        <f t="array" ref="Z195">IFERROR(VLOOKUP(Y180,Dex!$B$3:$N1219,10,FALSE),"")</f>
        <v>100</v>
      </c>
      <c r="AA195" s="3654" t="str">
        <f t="array" ref="AA195">IFERROR(VLOOKUP(Z195,Dex!$P$22:$Q$276,2,FALSE),"")</f>
        <v/>
      </c>
      <c r="AB195" s="3655"/>
      <c r="AC195" s="3644"/>
      <c r="AD195" s="3652" t="s">
        <v>515</v>
      </c>
      <c r="AE195" s="3653">
        <f t="array" ref="AE195">IFERROR(VLOOKUP(AD180,Dex!$B$3:$N1219,10,FALSE),"")</f>
        <v>90</v>
      </c>
      <c r="AF195" s="3654" t="str">
        <f t="array" ref="AF195">IFERROR(VLOOKUP(AE195,Dex!$P$22:$Q$276,2,FALSE),"")</f>
        <v/>
      </c>
      <c r="AG195" s="3655"/>
      <c r="AH195" s="3645"/>
      <c r="AI195" s="6747"/>
    </row>
    <row r="196" ht="16.5" customHeight="1">
      <c r="A196" s="6738"/>
      <c r="B196" s="3639"/>
      <c r="C196" s="3631"/>
      <c r="D196" s="3640"/>
      <c r="E196" s="3652" t="s">
        <v>516</v>
      </c>
      <c r="F196" s="3653">
        <f t="array" ref="F196">IFERROR(VLOOKUP(E180,Dex!$B$3:$N1219,11,FALSE),"")</f>
        <v>65</v>
      </c>
      <c r="G196" s="3654" t="str">
        <f t="array" ref="G196">IFERROR(VLOOKUP(F196,Dex!$P$22:$Q$276,2,FALSE),"")</f>
        <v/>
      </c>
      <c r="H196" s="3655"/>
      <c r="I196" s="3650"/>
      <c r="J196" s="3652" t="s">
        <v>516</v>
      </c>
      <c r="K196" s="3653">
        <f t="array" ref="K196">IFERROR(VLOOKUP(J180,Dex!$B$3:$N1219,11,FALSE),"")</f>
        <v>135</v>
      </c>
      <c r="L196" s="3654" t="str">
        <f t="array" ref="L196">IFERROR(VLOOKUP(K196,Dex!$P$22:$Q$276,2,FALSE),"")</f>
        <v/>
      </c>
      <c r="M196" s="3655"/>
      <c r="N196" s="3640"/>
      <c r="O196" s="3652" t="s">
        <v>516</v>
      </c>
      <c r="P196" s="3653">
        <f t="array" ref="P196">IFERROR(VLOOKUP(O180,Dex!$B$3:$N1219,11,FALSE),"")</f>
        <v>120</v>
      </c>
      <c r="Q196" s="3654" t="str">
        <f t="array" ref="Q196">IFERROR(VLOOKUP(P196,Dex!$P$22:$Q$276,2,FALSE),"")</f>
        <v/>
      </c>
      <c r="R196" s="3655"/>
      <c r="S196" s="3644"/>
      <c r="T196" s="3652" t="s">
        <v>516</v>
      </c>
      <c r="U196" s="3653">
        <f t="array" ref="U196">IFERROR(VLOOKUP(T180,Dex!$B$3:$N1219,11,FALSE),"")</f>
        <v>140</v>
      </c>
      <c r="V196" s="3654" t="str">
        <f t="array" ref="V196">IFERROR(VLOOKUP(U196,Dex!$P$22:$Q$276,2,FALSE),"")</f>
        <v/>
      </c>
      <c r="W196" s="3655"/>
      <c r="X196" s="3644"/>
      <c r="Y196" s="3652" t="s">
        <v>516</v>
      </c>
      <c r="Z196" s="3653">
        <f t="array" ref="Z196">IFERROR(VLOOKUP(Y180,Dex!$B$3:$N1219,11,FALSE),"")</f>
        <v>100</v>
      </c>
      <c r="AA196" s="3654" t="str">
        <f t="array" ref="AA196">IFERROR(VLOOKUP(Z196,Dex!$P$22:$Q$276,2,FALSE),"")</f>
        <v/>
      </c>
      <c r="AB196" s="3655"/>
      <c r="AC196" s="3644"/>
      <c r="AD196" s="3652" t="s">
        <v>516</v>
      </c>
      <c r="AE196" s="3653">
        <f t="array" ref="AE196">IFERROR(VLOOKUP(AD180,Dex!$B$3:$N1219,11,FALSE),"")</f>
        <v>129</v>
      </c>
      <c r="AF196" s="3654" t="str">
        <f t="array" ref="AF196">IFERROR(VLOOKUP(AE196,Dex!$P$22:$Q$276,2,FALSE),"")</f>
        <v/>
      </c>
      <c r="AG196" s="3655"/>
      <c r="AH196" s="3645"/>
      <c r="AI196" s="6747"/>
    </row>
    <row r="197" ht="16.5" customHeight="1">
      <c r="A197" s="6738"/>
      <c r="B197" s="3639"/>
      <c r="C197" s="3631"/>
      <c r="D197" s="3640"/>
      <c r="E197" s="3652" t="s">
        <v>517</v>
      </c>
      <c r="F197" s="3653">
        <f t="array" ref="F197">IFERROR(VLOOKUP(E180,Dex!$B$3:$N1219,12,FALSE),"")</f>
        <v>70</v>
      </c>
      <c r="G197" s="3654" t="str">
        <f t="array" ref="G197">IFERROR(VLOOKUP(F197,Dex!$P$22:$Q$276,2,FALSE),"")</f>
        <v/>
      </c>
      <c r="H197" s="3655"/>
      <c r="I197" s="3650"/>
      <c r="J197" s="3652" t="s">
        <v>517</v>
      </c>
      <c r="K197" s="3653">
        <f t="array" ref="K197">IFERROR(VLOOKUP(J180,Dex!$B$3:$N1219,12,FALSE),"")</f>
        <v>80</v>
      </c>
      <c r="L197" s="3654" t="str">
        <f t="array" ref="L197">IFERROR(VLOOKUP(K197,Dex!$P$22:$Q$276,2,FALSE),"")</f>
        <v/>
      </c>
      <c r="M197" s="3655"/>
      <c r="N197" s="3640"/>
      <c r="O197" s="3652" t="s">
        <v>517</v>
      </c>
      <c r="P197" s="3653">
        <f t="array" ref="P197">IFERROR(VLOOKUP(O180,Dex!$B$3:$N1219,12,FALSE),"")</f>
        <v>90</v>
      </c>
      <c r="Q197" s="3654" t="str">
        <f t="array" ref="Q197">IFERROR(VLOOKUP(P197,Dex!$P$22:$Q$276,2,FALSE),"")</f>
        <v/>
      </c>
      <c r="R197" s="3655"/>
      <c r="S197" s="3644"/>
      <c r="T197" s="3652" t="s">
        <v>517</v>
      </c>
      <c r="U197" s="3653">
        <f t="array" ref="U197">IFERROR(VLOOKUP(T180,Dex!$B$3:$N1219,12,FALSE),"")</f>
        <v>50</v>
      </c>
      <c r="V197" s="3654" t="str">
        <f t="array" ref="V197">IFERROR(VLOOKUP(U197,Dex!$P$22:$Q$276,2,FALSE),"")</f>
        <v/>
      </c>
      <c r="W197" s="3655"/>
      <c r="X197" s="3644"/>
      <c r="Y197" s="3652" t="s">
        <v>517</v>
      </c>
      <c r="Z197" s="3653">
        <f t="array" ref="Z197">IFERROR(VLOOKUP(Y180,Dex!$B$3:$N1219,12,FALSE),"")</f>
        <v>100</v>
      </c>
      <c r="AA197" s="3654" t="str">
        <f t="array" ref="AA197">IFERROR(VLOOKUP(Z197,Dex!$P$22:$Q$276,2,FALSE),"")</f>
        <v/>
      </c>
      <c r="AB197" s="3655"/>
      <c r="AC197" s="3644"/>
      <c r="AD197" s="3652" t="s">
        <v>517</v>
      </c>
      <c r="AE197" s="3653">
        <f t="array" ref="AE197">IFERROR(VLOOKUP(AD180,Dex!$B$3:$N1219,12,FALSE),"")</f>
        <v>90</v>
      </c>
      <c r="AF197" s="3654" t="str">
        <f t="array" ref="AF197">IFERROR(VLOOKUP(AE197,Dex!$P$22:$Q$276,2,FALSE),"")</f>
        <v/>
      </c>
      <c r="AG197" s="3655"/>
      <c r="AH197" s="3645"/>
      <c r="AI197" s="6747"/>
    </row>
    <row r="198" ht="16.5" customHeight="1">
      <c r="A198" s="6738"/>
      <c r="B198" s="3639"/>
      <c r="C198" s="3631"/>
      <c r="D198" s="3640"/>
      <c r="E198" s="3658" t="s">
        <v>518</v>
      </c>
      <c r="F198" s="3659">
        <f t="array" ref="F198">IFERROR(VLOOKUP(E180,Dex!$B$3:$N1219,13,FALSE),"")</f>
        <v>92</v>
      </c>
      <c r="G198" s="3660" t="str">
        <f t="array" ref="G198">IFERROR(VLOOKUP(F198,Dex!$P$22:$Q$276,2,FALSE),"")</f>
        <v/>
      </c>
      <c r="H198" s="3661"/>
      <c r="I198" s="3650"/>
      <c r="J198" s="3658" t="s">
        <v>518</v>
      </c>
      <c r="K198" s="3659">
        <f t="array" ref="K198">IFERROR(VLOOKUP(J180,Dex!$B$3:$N1219,13,FALSE),"")</f>
        <v>106</v>
      </c>
      <c r="L198" s="3660" t="str">
        <f t="array" ref="L198">IFERROR(VLOOKUP(K198,Dex!$P$22:$Q$276,2,FALSE),"")</f>
        <v/>
      </c>
      <c r="M198" s="3661"/>
      <c r="N198" s="3640"/>
      <c r="O198" s="3658" t="s">
        <v>518</v>
      </c>
      <c r="P198" s="3659">
        <f t="array" ref="P198">IFERROR(VLOOKUP(O180,Dex!$B$3:$N1219,13,FALSE),"")</f>
        <v>120</v>
      </c>
      <c r="Q198" s="3660" t="str">
        <f t="array" ref="Q198">IFERROR(VLOOKUP(P198,Dex!$P$22:$Q$276,2,FALSE),"")</f>
        <v/>
      </c>
      <c r="R198" s="3661"/>
      <c r="S198" s="3644"/>
      <c r="T198" s="3658" t="s">
        <v>518</v>
      </c>
      <c r="U198" s="3659">
        <f t="array" ref="U198">IFERROR(VLOOKUP(T180,Dex!$B$3:$N1219,13,FALSE),"")</f>
        <v>60</v>
      </c>
      <c r="V198" s="3660" t="str">
        <f t="array" ref="V198">IFERROR(VLOOKUP(U198,Dex!$P$22:$Q$276,2,FALSE),"")</f>
        <v/>
      </c>
      <c r="W198" s="3661"/>
      <c r="X198" s="3644"/>
      <c r="Y198" s="3658" t="s">
        <v>518</v>
      </c>
      <c r="Z198" s="3659">
        <f t="array" ref="Z198">IFERROR(VLOOKUP(Y180,Dex!$B$3:$N1219,13,FALSE),"")</f>
        <v>100</v>
      </c>
      <c r="AA198" s="3660" t="str">
        <f t="array" ref="AA198">IFERROR(VLOOKUP(Z198,Dex!$P$22:$Q$276,2,FALSE),"")</f>
        <v/>
      </c>
      <c r="AB198" s="3661"/>
      <c r="AC198" s="3644"/>
      <c r="AD198" s="3658" t="s">
        <v>518</v>
      </c>
      <c r="AE198" s="3659">
        <f t="array" ref="AE198">IFERROR(VLOOKUP(AD180,Dex!$B$3:$N1219,13,FALSE),"")</f>
        <v>108</v>
      </c>
      <c r="AF198" s="3660" t="str">
        <f t="array" ref="AF198">IFERROR(VLOOKUP(AE198,Dex!$P$22:$Q$276,2,FALSE),"")</f>
        <v/>
      </c>
      <c r="AG198" s="3661"/>
      <c r="AH198" s="3645"/>
      <c r="AI198" s="6747"/>
    </row>
    <row r="199" ht="16.5" customHeight="1">
      <c r="A199" s="6738"/>
      <c r="B199" s="3639"/>
      <c r="C199" s="3631"/>
      <c r="D199" s="4590"/>
      <c r="E199" s="3662" t="s">
        <v>519</v>
      </c>
      <c r="F199" s="630"/>
      <c r="G199" s="631"/>
      <c r="H199" s="6843">
        <v>242.0</v>
      </c>
      <c r="I199" s="3642"/>
      <c r="J199" s="3662" t="s">
        <v>519</v>
      </c>
      <c r="K199" s="630"/>
      <c r="L199" s="631"/>
      <c r="M199" s="6843">
        <v>272.0</v>
      </c>
      <c r="N199" s="4590"/>
      <c r="O199" s="3662" t="s">
        <v>519</v>
      </c>
      <c r="P199" s="630"/>
      <c r="Q199" s="631"/>
      <c r="R199" s="6843">
        <v>303.0</v>
      </c>
      <c r="S199" s="4592"/>
      <c r="T199" s="3662" t="s">
        <v>519</v>
      </c>
      <c r="U199" s="630"/>
      <c r="V199" s="631"/>
      <c r="W199" s="632">
        <f>ROUNDDOWN((ROUNDDOWN(((((2*U198+31)*100)/100+5)),0))*0.9,0)</f>
        <v>140</v>
      </c>
      <c r="X199" s="4592"/>
      <c r="Y199" s="3662" t="s">
        <v>519</v>
      </c>
      <c r="Z199" s="630"/>
      <c r="AA199" s="631"/>
      <c r="AB199" s="6843">
        <v>259.0</v>
      </c>
      <c r="AC199" s="4592"/>
      <c r="AD199" s="3662" t="s">
        <v>519</v>
      </c>
      <c r="AE199" s="630"/>
      <c r="AF199" s="631"/>
      <c r="AG199" s="6843">
        <v>277.0</v>
      </c>
      <c r="AH199" s="3645"/>
      <c r="AI199" s="6747"/>
    </row>
    <row r="200" ht="15.0" customHeight="1">
      <c r="A200" s="6738"/>
      <c r="B200" s="3663"/>
      <c r="C200" s="3664"/>
      <c r="D200" s="3665"/>
      <c r="E200" s="3668"/>
      <c r="F200" s="3668"/>
      <c r="G200" s="3668"/>
      <c r="H200" s="3667"/>
      <c r="I200" s="3667"/>
      <c r="J200" s="3668"/>
      <c r="K200" s="3668"/>
      <c r="L200" s="3668"/>
      <c r="M200" s="3667"/>
      <c r="N200" s="3669"/>
      <c r="O200" s="5738"/>
      <c r="P200" s="5738"/>
      <c r="Q200" s="5739"/>
      <c r="R200" s="3671"/>
      <c r="S200" s="3671"/>
      <c r="T200" s="5739"/>
      <c r="U200" s="5738"/>
      <c r="V200" s="4601"/>
      <c r="W200" s="3672"/>
      <c r="X200" s="3669"/>
      <c r="Y200" s="4601"/>
      <c r="Z200" s="4601"/>
      <c r="AA200" s="4601"/>
      <c r="AB200" s="3672"/>
      <c r="AC200" s="3672"/>
      <c r="AD200" s="4601"/>
      <c r="AE200" s="4601"/>
      <c r="AF200" s="4601"/>
      <c r="AG200" s="3672"/>
      <c r="AH200" s="3673"/>
      <c r="AI200" s="6747"/>
    </row>
    <row r="201" ht="15.0" customHeight="1">
      <c r="A201" s="6738"/>
      <c r="B201" s="3567"/>
      <c r="C201" s="3568"/>
      <c r="D201" s="3569"/>
      <c r="E201" s="3569"/>
      <c r="F201" s="3569"/>
      <c r="G201" s="3569"/>
      <c r="H201" s="3569"/>
      <c r="I201" s="3569"/>
      <c r="J201" s="3569"/>
      <c r="K201" s="3569"/>
      <c r="L201" s="3569"/>
      <c r="M201" s="3569"/>
      <c r="N201" s="3569"/>
      <c r="O201" s="3569"/>
      <c r="P201" s="3569"/>
      <c r="Q201" s="3569"/>
      <c r="R201" s="3569"/>
      <c r="S201" s="3569"/>
      <c r="T201" s="3569"/>
      <c r="U201" s="3569"/>
      <c r="V201" s="3569"/>
      <c r="W201" s="3569"/>
      <c r="X201" s="3569"/>
      <c r="Y201" s="3569"/>
      <c r="Z201" s="3569"/>
      <c r="AA201" s="3569"/>
      <c r="AB201" s="3569"/>
      <c r="AC201" s="3569"/>
      <c r="AD201" s="3569"/>
      <c r="AE201" s="3569"/>
      <c r="AF201" s="3569"/>
      <c r="AG201" s="3569"/>
      <c r="AH201" s="3571"/>
      <c r="AI201" s="6747"/>
    </row>
    <row r="202" ht="96.75" customHeight="1">
      <c r="A202" s="6738"/>
      <c r="B202" s="3572"/>
      <c r="C202" s="3573" t="str">
        <f>IMAGE("https://i.ibb.co/26kF6WW/Ace-Trainer-F.png")</f>
        <v/>
      </c>
      <c r="D202" s="3574"/>
      <c r="E202" s="3575" t="str">
        <f t="array" ref="E202">IFERROR(VLOOKUP(E203,Dex!$B$3:$G1219,3,FALSE),"")</f>
        <v/>
      </c>
      <c r="F202" s="606"/>
      <c r="G202" s="606"/>
      <c r="H202" s="607"/>
      <c r="I202" s="3576"/>
      <c r="J202" s="3575" t="str">
        <f t="array" ref="J202">IFERROR(VLOOKUP(J203,Dex!$B$3:$G1219,3,FALSE),"")</f>
        <v/>
      </c>
      <c r="K202" s="606"/>
      <c r="L202" s="606"/>
      <c r="M202" s="607"/>
      <c r="N202" s="4583"/>
      <c r="O202" s="3575" t="str">
        <f t="array" ref="O202">IFERROR(VLOOKUP(O203,Dex!$B$3:$G1219,3,FALSE),"")</f>
        <v/>
      </c>
      <c r="P202" s="606"/>
      <c r="Q202" s="606"/>
      <c r="R202" s="607"/>
      <c r="S202" s="4584"/>
      <c r="T202" s="3575" t="str">
        <f t="array" ref="T202">IFERROR(VLOOKUP(T203,Dex!$B$3:$G1219,3,FALSE),"")</f>
        <v/>
      </c>
      <c r="U202" s="606"/>
      <c r="V202" s="606"/>
      <c r="W202" s="607"/>
      <c r="X202" s="4583"/>
      <c r="Y202" s="3575" t="str">
        <f t="array" ref="Y202">IFERROR(VLOOKUP(Y203,Dex!$B$3:$G1219,3,FALSE),"")</f>
        <v/>
      </c>
      <c r="Z202" s="606"/>
      <c r="AA202" s="606"/>
      <c r="AB202" s="607"/>
      <c r="AC202" s="4584"/>
      <c r="AD202" s="3575" t="str">
        <f t="array" ref="AD202">IFERROR(VLOOKUP(AD203,Dex!$B$3:$G1219,3,FALSE),"")</f>
        <v/>
      </c>
      <c r="AE202" s="606"/>
      <c r="AF202" s="606"/>
      <c r="AG202" s="607"/>
      <c r="AH202" s="5740"/>
      <c r="AI202" s="6747"/>
    </row>
    <row r="203" ht="18.75" customHeight="1">
      <c r="A203" s="6738"/>
      <c r="B203" s="5745"/>
      <c r="C203" s="6841" t="s">
        <v>2013</v>
      </c>
      <c r="D203" s="5747"/>
      <c r="E203" s="3587" t="s">
        <v>2014</v>
      </c>
      <c r="F203" s="3588"/>
      <c r="G203" s="3588"/>
      <c r="H203" s="3589"/>
      <c r="J203" s="3587" t="s">
        <v>1717</v>
      </c>
      <c r="K203" s="3588"/>
      <c r="L203" s="3588"/>
      <c r="M203" s="3589"/>
      <c r="O203" s="3587" t="s">
        <v>1679</v>
      </c>
      <c r="P203" s="3588"/>
      <c r="Q203" s="3588"/>
      <c r="R203" s="3589"/>
      <c r="T203" s="3587" t="s">
        <v>2015</v>
      </c>
      <c r="U203" s="3588"/>
      <c r="V203" s="3588"/>
      <c r="W203" s="3589"/>
      <c r="Y203" s="3587" t="s">
        <v>59</v>
      </c>
      <c r="Z203" s="3588"/>
      <c r="AA203" s="3588"/>
      <c r="AB203" s="3589"/>
      <c r="AD203" s="3587" t="s">
        <v>1278</v>
      </c>
      <c r="AE203" s="3588"/>
      <c r="AF203" s="3588"/>
      <c r="AG203" s="3589"/>
      <c r="AH203" s="5741"/>
      <c r="AI203" s="6747"/>
    </row>
    <row r="204">
      <c r="A204" s="6738"/>
      <c r="B204" s="5751"/>
      <c r="C204" s="3095"/>
      <c r="D204" s="5752"/>
      <c r="E204" s="3596" t="s">
        <v>729</v>
      </c>
      <c r="F204" s="3597"/>
      <c r="G204" s="3597"/>
      <c r="H204" s="3598"/>
      <c r="J204" s="3596" t="s">
        <v>729</v>
      </c>
      <c r="K204" s="3597"/>
      <c r="L204" s="3597"/>
      <c r="M204" s="3598"/>
      <c r="O204" s="3596" t="s">
        <v>729</v>
      </c>
      <c r="P204" s="3597"/>
      <c r="Q204" s="3597"/>
      <c r="R204" s="3598"/>
      <c r="T204" s="3596" t="s">
        <v>729</v>
      </c>
      <c r="U204" s="3597"/>
      <c r="V204" s="3597"/>
      <c r="W204" s="3598"/>
      <c r="Y204" s="3596" t="s">
        <v>729</v>
      </c>
      <c r="Z204" s="3597"/>
      <c r="AA204" s="3597"/>
      <c r="AB204" s="3598"/>
      <c r="AD204" s="3596" t="s">
        <v>729</v>
      </c>
      <c r="AE204" s="3597"/>
      <c r="AF204" s="3597"/>
      <c r="AG204" s="3598"/>
      <c r="AH204" s="5742"/>
      <c r="AI204" s="6747"/>
    </row>
    <row r="205" ht="25.5" customHeight="1">
      <c r="A205" s="6738"/>
      <c r="B205" s="5756"/>
      <c r="C205" s="3095"/>
      <c r="D205" s="5757"/>
      <c r="E205" s="3601"/>
      <c r="F205" s="3602" t="str">
        <f t="array" ref="F205">IFERROR(VLOOKUP(E203,Dex!$B$3:$H1219,5,FALSE),"")</f>
        <v/>
      </c>
      <c r="G205" s="3603"/>
      <c r="H205" s="3604"/>
      <c r="J205" s="3601"/>
      <c r="K205" s="4588" t="str">
        <f t="array" ref="K205">IFERROR(VLOOKUP(J203,Dex!$B$3:$H1219,5,FALSE),"")</f>
        <v/>
      </c>
      <c r="L205" s="4589" t="str">
        <f t="array" ref="L205">IFERROR(VLOOKUP(J203,Dex!$B$3:$H1219,7,FALSE),"")</f>
        <v/>
      </c>
      <c r="M205" s="3604"/>
      <c r="O205" s="3601"/>
      <c r="P205" s="4588" t="str">
        <f t="array" ref="P205">IFERROR(VLOOKUP(O203,Dex!$B$3:$H1219,5,FALSE),"")</f>
        <v/>
      </c>
      <c r="Q205" s="4589" t="str">
        <f t="array" ref="Q205">IFERROR(VLOOKUP(O203,Dex!$B$3:$H1219,7,FALSE),"")</f>
        <v/>
      </c>
      <c r="R205" s="3604"/>
      <c r="T205" s="3601"/>
      <c r="U205" s="4588" t="str">
        <f t="array" ref="U205">IFERROR(VLOOKUP(T203,Dex!$B$3:$H1219,5,FALSE),"")</f>
        <v/>
      </c>
      <c r="V205" s="4589" t="str">
        <f t="array" ref="V205">IFERROR(VLOOKUP(T203,Dex!$B$3:$H1219,7,FALSE),"")</f>
        <v/>
      </c>
      <c r="W205" s="3604"/>
      <c r="Y205" s="3601"/>
      <c r="Z205" s="4588" t="str">
        <f t="array" ref="Z205">IFERROR(VLOOKUP(Y203,Dex!$B$3:$H1219,5,FALSE),"")</f>
        <v/>
      </c>
      <c r="AA205" s="4589" t="str">
        <f t="array" ref="AA205">IFERROR(VLOOKUP(Y203,Dex!$B$3:$H1219,7,FALSE),"")</f>
        <v/>
      </c>
      <c r="AB205" s="3604"/>
      <c r="AD205" s="3601"/>
      <c r="AE205" s="4588" t="str">
        <f t="array" ref="AE205">IFERROR(VLOOKUP(AD203,Dex!$B$3:$H1219,5,FALSE),"")</f>
        <v/>
      </c>
      <c r="AF205" s="4589" t="str">
        <f t="array" ref="AF205">IFERROR(VLOOKUP(AD203,Dex!$B$3:$H1219,7,FALSE),"")</f>
        <v/>
      </c>
      <c r="AG205" s="3604"/>
      <c r="AH205" s="3583"/>
      <c r="AI205" s="6747"/>
    </row>
    <row r="206" ht="2.25" customHeight="1">
      <c r="A206" s="6738"/>
      <c r="B206" s="5756"/>
      <c r="C206" s="3095"/>
      <c r="D206" s="5757"/>
      <c r="E206" s="3606"/>
      <c r="F206" s="3607"/>
      <c r="G206" s="3607"/>
      <c r="H206" s="3608"/>
      <c r="J206" s="3606"/>
      <c r="K206" s="3607"/>
      <c r="L206" s="3607"/>
      <c r="M206" s="3608"/>
      <c r="O206" s="3606"/>
      <c r="P206" s="3607"/>
      <c r="Q206" s="3607"/>
      <c r="R206" s="3608"/>
      <c r="T206" s="3606"/>
      <c r="U206" s="3607"/>
      <c r="V206" s="3607"/>
      <c r="W206" s="3608"/>
      <c r="Y206" s="3606"/>
      <c r="Z206" s="3607"/>
      <c r="AA206" s="3607"/>
      <c r="AB206" s="3608"/>
      <c r="AD206" s="3606"/>
      <c r="AE206" s="3607"/>
      <c r="AF206" s="3607"/>
      <c r="AG206" s="3608"/>
      <c r="AH206" s="3583"/>
      <c r="AI206" s="6747"/>
    </row>
    <row r="207" ht="20.25" customHeight="1">
      <c r="A207" s="6738"/>
      <c r="B207" s="5756"/>
      <c r="C207" s="3112"/>
      <c r="D207" s="5757"/>
      <c r="E207" s="3610" t="s">
        <v>1097</v>
      </c>
      <c r="F207" s="3611"/>
      <c r="G207" s="3611"/>
      <c r="H207" s="3612"/>
      <c r="J207" s="3610" t="s">
        <v>564</v>
      </c>
      <c r="K207" s="3611"/>
      <c r="L207" s="3611"/>
      <c r="M207" s="3612"/>
      <c r="O207" s="3610" t="s">
        <v>531</v>
      </c>
      <c r="P207" s="3611"/>
      <c r="Q207" s="3611"/>
      <c r="R207" s="3612"/>
      <c r="T207" s="3610" t="s">
        <v>532</v>
      </c>
      <c r="U207" s="3611"/>
      <c r="V207" s="3611"/>
      <c r="W207" s="3612"/>
      <c r="Y207" s="3610" t="s">
        <v>634</v>
      </c>
      <c r="Z207" s="3611"/>
      <c r="AA207" s="3611"/>
      <c r="AB207" s="3612"/>
      <c r="AD207" s="3610" t="s">
        <v>532</v>
      </c>
      <c r="AE207" s="3611"/>
      <c r="AF207" s="3611"/>
      <c r="AG207" s="3612"/>
      <c r="AH207" s="5740"/>
      <c r="AI207" s="6747"/>
    </row>
    <row r="208">
      <c r="A208" s="6738"/>
      <c r="B208" s="3572"/>
      <c r="C208" s="6842"/>
      <c r="D208" s="3574"/>
      <c r="E208" s="3614" t="s">
        <v>55</v>
      </c>
      <c r="F208" s="3579"/>
      <c r="G208" s="3579"/>
      <c r="H208" s="3615"/>
      <c r="J208" s="3614" t="s">
        <v>980</v>
      </c>
      <c r="K208" s="3579"/>
      <c r="L208" s="3579"/>
      <c r="M208" s="3615"/>
      <c r="O208" s="3614" t="s">
        <v>534</v>
      </c>
      <c r="P208" s="3579"/>
      <c r="Q208" s="3579"/>
      <c r="R208" s="3615"/>
      <c r="T208" s="3614" t="s">
        <v>1132</v>
      </c>
      <c r="U208" s="3579"/>
      <c r="V208" s="3579"/>
      <c r="W208" s="3615"/>
      <c r="Y208" s="3614" t="s">
        <v>109</v>
      </c>
      <c r="Z208" s="3579"/>
      <c r="AA208" s="3579"/>
      <c r="AB208" s="3615"/>
      <c r="AD208" s="3614" t="s">
        <v>2016</v>
      </c>
      <c r="AE208" s="3579"/>
      <c r="AF208" s="3579"/>
      <c r="AG208" s="3615"/>
      <c r="AH208" s="5740"/>
      <c r="AI208" s="6747"/>
    </row>
    <row r="209" ht="20.25" customHeight="1">
      <c r="A209" s="6738"/>
      <c r="B209" s="3572"/>
      <c r="C209" s="3592"/>
      <c r="D209" s="3574"/>
      <c r="E209" s="3616" t="s">
        <v>537</v>
      </c>
      <c r="F209" s="3617"/>
      <c r="G209" s="3618"/>
      <c r="H209" s="3619" t="str">
        <f>IMAGE("https://raw.githubusercontent.com/msikma/pokesprite/master/items/berry/sitrus.png",3)</f>
        <v/>
      </c>
      <c r="J209" s="3616" t="s">
        <v>1230</v>
      </c>
      <c r="K209" s="3617"/>
      <c r="L209" s="3618"/>
      <c r="M209" s="3619" t="str">
        <f>IMAGE("https://raw.githubusercontent.com/msikma/pokesprite/master/items/hold-item/choice-specs.png",3)</f>
        <v/>
      </c>
      <c r="O209" s="3616" t="s">
        <v>713</v>
      </c>
      <c r="P209" s="3617"/>
      <c r="Q209" s="3618"/>
      <c r="R209" s="3619" t="str">
        <f>IMAGE("https://raw.githubusercontent.com/msikma/pokesprite/master/items/hold-item/assault-vest.png",3)</f>
        <v/>
      </c>
      <c r="T209" s="3616" t="s">
        <v>573</v>
      </c>
      <c r="U209" s="3617"/>
      <c r="V209" s="3618"/>
      <c r="W209" s="3619" t="str">
        <f>IMAGE("https://raw.githubusercontent.com/msikma/pokesprite/master/items/hold-item/focus-sash.png",3)</f>
        <v/>
      </c>
      <c r="Y209" s="3616" t="s">
        <v>713</v>
      </c>
      <c r="Z209" s="3617"/>
      <c r="AA209" s="3618"/>
      <c r="AB209" s="3619" t="str">
        <f>IMAGE("https://raw.githubusercontent.com/msikma/pokesprite/master/items/hold-item/assault-vest.png",3)</f>
        <v/>
      </c>
      <c r="AD209" s="3616" t="s">
        <v>1281</v>
      </c>
      <c r="AE209" s="3617"/>
      <c r="AF209" s="3618"/>
      <c r="AG209" s="3619" t="str">
        <f>IMAGE("https://raw.githubusercontent.com/msikma/pokesprite/master/items/mega-stone/garchompite.png",3)</f>
        <v/>
      </c>
      <c r="AH209" s="3583"/>
      <c r="AI209" s="6747"/>
    </row>
    <row r="210" ht="20.25" customHeight="1">
      <c r="A210" s="6738"/>
      <c r="B210" s="3572"/>
      <c r="C210" s="3620"/>
      <c r="D210" s="3574"/>
      <c r="E210" s="3610" t="s">
        <v>191</v>
      </c>
      <c r="F210" s="3611"/>
      <c r="G210" s="3621"/>
      <c r="H210" s="3622" t="str">
        <f>IMAGE("https://raw.githubusercontent.com/msikma/pokesprite/master/misc/types/gen8/rock.png",4,20,20)</f>
        <v/>
      </c>
      <c r="J210" s="3610" t="s">
        <v>692</v>
      </c>
      <c r="K210" s="3611"/>
      <c r="L210" s="3621"/>
      <c r="M210" s="3622" t="str">
        <f>IMAGE("https://raw.githubusercontent.com/msikma/pokesprite/master/misc/types/gen8/grass.png",4,20,20)</f>
        <v/>
      </c>
      <c r="O210" s="3610" t="s">
        <v>619</v>
      </c>
      <c r="P210" s="3611"/>
      <c r="Q210" s="3621"/>
      <c r="R210" s="3622" t="str">
        <f>IMAGE("https://raw.githubusercontent.com/msikma/pokesprite/master/misc/types/gen8/fire.png",4,20,20)</f>
        <v/>
      </c>
      <c r="T210" s="3610" t="s">
        <v>695</v>
      </c>
      <c r="U210" s="3611"/>
      <c r="V210" s="3621"/>
      <c r="W210" s="3622" t="str">
        <f>IMAGE("https://raw.githubusercontent.com/msikma/pokesprite/master/misc/types/gen8/ground.png",4,20,20)</f>
        <v/>
      </c>
      <c r="Y210" s="3610" t="s">
        <v>1211</v>
      </c>
      <c r="Z210" s="3611"/>
      <c r="AA210" s="3621"/>
      <c r="AB210" s="3622" t="str">
        <f>IMAGE("https://raw.githubusercontent.com/msikma/pokesprite/master/misc/types/gen8/fire.png",4,20,20)</f>
        <v/>
      </c>
      <c r="AD210" s="3610" t="s">
        <v>287</v>
      </c>
      <c r="AE210" s="3611"/>
      <c r="AF210" s="3621"/>
      <c r="AG210" s="3622" t="str">
        <f>IMAGE("https://raw.githubusercontent.com/msikma/pokesprite/master/misc/types/gen8/normal.png",4,20,20)</f>
        <v/>
      </c>
      <c r="AH210" s="3583"/>
      <c r="AI210" s="6747"/>
    </row>
    <row r="211" ht="20.25" customHeight="1">
      <c r="A211" s="6738"/>
      <c r="B211" s="3572"/>
      <c r="C211" s="3605"/>
      <c r="D211" s="3574"/>
      <c r="E211" s="3614" t="s">
        <v>2017</v>
      </c>
      <c r="F211" s="3579"/>
      <c r="G211" s="3580"/>
      <c r="H211" s="3623" t="str">
        <f>IMAGE("https://raw.githubusercontent.com/msikma/pokesprite/master/misc/types/gen8/fire.png",4,20,20)</f>
        <v/>
      </c>
      <c r="J211" s="3614" t="s">
        <v>699</v>
      </c>
      <c r="K211" s="3579"/>
      <c r="L211" s="3580"/>
      <c r="M211" s="3623" t="str">
        <f>IMAGE("https://raw.githubusercontent.com/msikma/pokesprite/master/misc/types/gen8/fire.png",4,20,20)</f>
        <v/>
      </c>
      <c r="O211" s="3614" t="s">
        <v>692</v>
      </c>
      <c r="P211" s="3579"/>
      <c r="Q211" s="3580"/>
      <c r="R211" s="3623" t="str">
        <f>IMAGE("https://raw.githubusercontent.com/msikma/pokesprite/master/misc/types/gen8/grass.png",4,20,20)</f>
        <v/>
      </c>
      <c r="T211" s="3614" t="s">
        <v>694</v>
      </c>
      <c r="U211" s="3579"/>
      <c r="V211" s="3580"/>
      <c r="W211" s="3623" t="str">
        <f>IMAGE("https://raw.githubusercontent.com/msikma/pokesprite/master/misc/types/gen8/fire.png",4,20,20)</f>
        <v/>
      </c>
      <c r="Y211" s="3614" t="s">
        <v>692</v>
      </c>
      <c r="Z211" s="3579"/>
      <c r="AA211" s="3580"/>
      <c r="AB211" s="3623" t="str">
        <f>IMAGE("https://raw.githubusercontent.com/msikma/pokesprite/master/misc/types/gen8/grass.png",4,20,20)</f>
        <v/>
      </c>
      <c r="AD211" s="3614" t="s">
        <v>154</v>
      </c>
      <c r="AE211" s="3579"/>
      <c r="AF211" s="3580"/>
      <c r="AG211" s="3623" t="str">
        <f>IMAGE("https://raw.githubusercontent.com/msikma/pokesprite/master/misc/types/gen8/dragon.png",4,20,20)</f>
        <v/>
      </c>
      <c r="AH211" s="3583"/>
      <c r="AI211" s="6747"/>
    </row>
    <row r="212" ht="20.25" customHeight="1">
      <c r="A212" s="6738"/>
      <c r="B212" s="3572"/>
      <c r="C212" s="3605"/>
      <c r="D212" s="3574"/>
      <c r="E212" s="3614" t="s">
        <v>720</v>
      </c>
      <c r="F212" s="3579"/>
      <c r="G212" s="3580"/>
      <c r="H212" s="3623" t="str">
        <f>IMAGE("https://raw.githubusercontent.com/msikma/pokesprite/master/misc/types/gen8/fighting.png",4,20,20)</f>
        <v/>
      </c>
      <c r="J212" s="3614" t="s">
        <v>805</v>
      </c>
      <c r="K212" s="3579"/>
      <c r="L212" s="3580"/>
      <c r="M212" s="3623" t="str">
        <f>IMAGE("https://raw.githubusercontent.com/msikma/pokesprite/master/misc/types/gen8/flying.png",4,20,20)</f>
        <v/>
      </c>
      <c r="O212" s="3614" t="s">
        <v>644</v>
      </c>
      <c r="P212" s="3579"/>
      <c r="Q212" s="3580"/>
      <c r="R212" s="3623" t="str">
        <f>IMAGE("https://raw.githubusercontent.com/msikma/pokesprite/master/misc/types/gen8/ground.png",4,20,20)</f>
        <v/>
      </c>
      <c r="T212" s="3614" t="s">
        <v>1137</v>
      </c>
      <c r="U212" s="3579"/>
      <c r="V212" s="3580"/>
      <c r="W212" s="3623" t="str">
        <f>IMAGE("https://raw.githubusercontent.com/msikma/pokesprite/master/misc/types/gen8/rock.png",4,20,20)</f>
        <v/>
      </c>
      <c r="Y212" s="3614" t="s">
        <v>621</v>
      </c>
      <c r="Z212" s="3579"/>
      <c r="AA212" s="3580"/>
      <c r="AB212" s="3623" t="str">
        <f>IMAGE("https://raw.githubusercontent.com/msikma/pokesprite/master/misc/types/gen8/rock.png",4,20,20)</f>
        <v/>
      </c>
      <c r="AD212" s="3614" t="s">
        <v>549</v>
      </c>
      <c r="AE212" s="3579"/>
      <c r="AF212" s="3580"/>
      <c r="AG212" s="3623" t="str">
        <f>IMAGE("https://raw.githubusercontent.com/msikma/pokesprite/master/misc/types/gen8/ground.png",4,20,20)</f>
        <v/>
      </c>
      <c r="AH212" s="3583"/>
      <c r="AI212" s="6747"/>
    </row>
    <row r="213" ht="21.0" customHeight="1">
      <c r="A213" s="6738"/>
      <c r="B213" s="3572"/>
      <c r="C213" s="3605"/>
      <c r="D213" s="3574"/>
      <c r="E213" s="3624" t="s">
        <v>644</v>
      </c>
      <c r="F213" s="3625"/>
      <c r="G213" s="3626"/>
      <c r="H213" s="3627" t="str">
        <f>IMAGE("https://raw.githubusercontent.com/msikma/pokesprite/master/misc/types/gen8/ground.png",4,20,20)</f>
        <v/>
      </c>
      <c r="I213" s="3628"/>
      <c r="J213" s="3624" t="s">
        <v>619</v>
      </c>
      <c r="K213" s="3625"/>
      <c r="L213" s="3626"/>
      <c r="M213" s="3627" t="str">
        <f>IMAGE("https://raw.githubusercontent.com/msikma/pokesprite/master/misc/types/gen8/fire.png",4,20,20)</f>
        <v/>
      </c>
      <c r="N213" s="3628"/>
      <c r="O213" s="3624" t="s">
        <v>773</v>
      </c>
      <c r="P213" s="3625"/>
      <c r="Q213" s="3626"/>
      <c r="R213" s="3627" t="str">
        <f>IMAGE("https://raw.githubusercontent.com/msikma/pokesprite/master/misc/types/gen8/poison.png",4,20,20)</f>
        <v/>
      </c>
      <c r="S213" s="3628"/>
      <c r="T213" s="3624" t="s">
        <v>928</v>
      </c>
      <c r="U213" s="3625"/>
      <c r="V213" s="3626"/>
      <c r="W213" s="3627" t="str">
        <f>IMAGE("https://raw.githubusercontent.com/msikma/pokesprite/master/misc/types/gen8/normal.png",4,20,20)</f>
        <v/>
      </c>
      <c r="X213" s="3628"/>
      <c r="Y213" s="3624" t="s">
        <v>549</v>
      </c>
      <c r="Z213" s="3625"/>
      <c r="AA213" s="3626"/>
      <c r="AB213" s="3627" t="str">
        <f>IMAGE("https://raw.githubusercontent.com/msikma/pokesprite/master/misc/types/gen8/ground.png",4,20,20)</f>
        <v/>
      </c>
      <c r="AC213" s="3628"/>
      <c r="AD213" s="3624" t="s">
        <v>975</v>
      </c>
      <c r="AE213" s="3625"/>
      <c r="AF213" s="3626"/>
      <c r="AG213" s="3627" t="str">
        <f>IMAGE("https://raw.githubusercontent.com/msikma/pokesprite/master/misc/types/gen8/fire.png",4,20,20)</f>
        <v/>
      </c>
      <c r="AH213" s="3583"/>
      <c r="AI213" s="6747"/>
    </row>
    <row r="214" ht="3.0" customHeight="1">
      <c r="A214" s="6738"/>
      <c r="B214" s="3630"/>
      <c r="C214" s="3631"/>
      <c r="D214" s="3632"/>
      <c r="E214" s="3634"/>
      <c r="F214" s="3634"/>
      <c r="G214" s="3634"/>
      <c r="H214" s="3633"/>
      <c r="I214" s="3632"/>
      <c r="J214" s="3634"/>
      <c r="K214" s="3634"/>
      <c r="L214" s="3634"/>
      <c r="M214" s="3633"/>
      <c r="N214" s="3632"/>
      <c r="O214" s="3634"/>
      <c r="P214" s="3634"/>
      <c r="Q214" s="3634"/>
      <c r="R214" s="3633"/>
      <c r="S214" s="3635"/>
      <c r="T214" s="3634"/>
      <c r="U214" s="3634"/>
      <c r="V214" s="3634"/>
      <c r="W214" s="3633"/>
      <c r="X214" s="3632"/>
      <c r="Y214" s="3634"/>
      <c r="Z214" s="3634"/>
      <c r="AA214" s="3634"/>
      <c r="AB214" s="3633"/>
      <c r="AC214" s="3637"/>
      <c r="AD214" s="3634"/>
      <c r="AE214" s="3634"/>
      <c r="AF214" s="3634"/>
      <c r="AG214" s="3633"/>
      <c r="AH214" s="3638"/>
      <c r="AI214" s="6747"/>
    </row>
    <row r="215" ht="16.5" customHeight="1">
      <c r="A215" s="6738"/>
      <c r="B215" s="3639"/>
      <c r="C215" s="3631"/>
      <c r="D215" s="4590"/>
      <c r="E215" s="3641" t="s">
        <v>512</v>
      </c>
      <c r="F215" s="606"/>
      <c r="G215" s="606"/>
      <c r="H215" s="607"/>
      <c r="I215" s="3642"/>
      <c r="J215" s="3641" t="s">
        <v>512</v>
      </c>
      <c r="K215" s="606"/>
      <c r="L215" s="606"/>
      <c r="M215" s="607"/>
      <c r="N215" s="4590"/>
      <c r="O215" s="3641" t="s">
        <v>512</v>
      </c>
      <c r="P215" s="606"/>
      <c r="Q215" s="606"/>
      <c r="R215" s="607"/>
      <c r="S215" s="4591"/>
      <c r="T215" s="3641" t="s">
        <v>512</v>
      </c>
      <c r="U215" s="606"/>
      <c r="V215" s="606"/>
      <c r="W215" s="607"/>
      <c r="X215" s="4592"/>
      <c r="Y215" s="3641" t="s">
        <v>512</v>
      </c>
      <c r="Z215" s="606"/>
      <c r="AA215" s="606"/>
      <c r="AB215" s="607"/>
      <c r="AC215" s="4592"/>
      <c r="AD215" s="3641" t="s">
        <v>512</v>
      </c>
      <c r="AE215" s="606"/>
      <c r="AF215" s="606"/>
      <c r="AG215" s="607"/>
      <c r="AH215" s="3645"/>
      <c r="AI215" s="6747"/>
    </row>
    <row r="216" ht="16.5" customHeight="1">
      <c r="A216" s="6738"/>
      <c r="B216" s="3639"/>
      <c r="C216" s="3631"/>
      <c r="D216" s="3640"/>
      <c r="E216" s="3646" t="s">
        <v>513</v>
      </c>
      <c r="F216" s="3647">
        <f t="array" ref="F216">IFERROR(VLOOKUP(E203,Dex!$B$3:$N1219,8,FALSE),"")</f>
        <v>70</v>
      </c>
      <c r="G216" s="3648" t="str">
        <f t="array" ref="G216">IFERROR(VLOOKUP(F216,Dex!$P$22:$Q$276,2,FALSE),"")</f>
        <v/>
      </c>
      <c r="H216" s="3649"/>
      <c r="I216" s="3650"/>
      <c r="J216" s="3646" t="s">
        <v>513</v>
      </c>
      <c r="K216" s="3647">
        <f t="array" ref="K216">IFERROR(VLOOKUP(J203,Dex!$B$3:$N1219,8,FALSE),"")</f>
        <v>78</v>
      </c>
      <c r="L216" s="3648" t="str">
        <f t="array" ref="L216">IFERROR(VLOOKUP(K216,Dex!$P$22:$Q$276,2,FALSE),"")</f>
        <v/>
      </c>
      <c r="M216" s="3649"/>
      <c r="N216" s="3640"/>
      <c r="O216" s="3646" t="s">
        <v>513</v>
      </c>
      <c r="P216" s="3647">
        <f t="array" ref="P216">IFERROR(VLOOKUP(O203,Dex!$B$3:$N1219,8,FALSE),"")</f>
        <v>80</v>
      </c>
      <c r="Q216" s="3648" t="str">
        <f t="array" ref="Q216">IFERROR(VLOOKUP(P216,Dex!$P$22:$Q$276,2,FALSE),"")</f>
        <v/>
      </c>
      <c r="R216" s="3649"/>
      <c r="S216" s="3644"/>
      <c r="T216" s="3646" t="s">
        <v>513</v>
      </c>
      <c r="U216" s="3647">
        <f t="array" ref="U216">IFERROR(VLOOKUP(T203,Dex!$B$3:$N1219,8,FALSE),"")</f>
        <v>70</v>
      </c>
      <c r="V216" s="3648" t="str">
        <f t="array" ref="V216">IFERROR(VLOOKUP(U216,Dex!$P$22:$Q$276,2,FALSE),"")</f>
        <v/>
      </c>
      <c r="W216" s="3649"/>
      <c r="X216" s="3644"/>
      <c r="Y216" s="3646" t="s">
        <v>513</v>
      </c>
      <c r="Z216" s="3647">
        <f t="array" ref="Z216">IFERROR(VLOOKUP(Y203,Dex!$B$3:$N1219,8,FALSE),"")</f>
        <v>100</v>
      </c>
      <c r="AA216" s="3648" t="str">
        <f t="array" ref="AA216">IFERROR(VLOOKUP(Z216,Dex!$P$22:$Q$276,2,FALSE),"")</f>
        <v/>
      </c>
      <c r="AB216" s="3649"/>
      <c r="AC216" s="3644"/>
      <c r="AD216" s="3646" t="s">
        <v>513</v>
      </c>
      <c r="AE216" s="3647">
        <f t="array" ref="AE216">IFERROR(VLOOKUP(AD203,Dex!$B$3:$N1219,8,FALSE),"")</f>
        <v>108</v>
      </c>
      <c r="AF216" s="3648" t="str">
        <f t="array" ref="AF216">IFERROR(VLOOKUP(AE216,Dex!$P$22:$Q$276,2,FALSE),"")</f>
        <v/>
      </c>
      <c r="AG216" s="3649"/>
      <c r="AH216" s="3645"/>
      <c r="AI216" s="6747"/>
    </row>
    <row r="217" ht="16.5" customHeight="1">
      <c r="A217" s="6738"/>
      <c r="B217" s="3639"/>
      <c r="C217" s="3631"/>
      <c r="D217" s="3640"/>
      <c r="E217" s="3652" t="s">
        <v>514</v>
      </c>
      <c r="F217" s="3653">
        <f t="array" ref="F217">IFERROR(VLOOKUP(E203,Dex!$B$3:$N1219,9,FALSE),"")</f>
        <v>75</v>
      </c>
      <c r="G217" s="3654" t="str">
        <f t="array" ref="G217">IFERROR(VLOOKUP(F217,Dex!$P$22:$Q$276,2,FALSE),"")</f>
        <v/>
      </c>
      <c r="H217" s="3655"/>
      <c r="I217" s="3650"/>
      <c r="J217" s="3652" t="s">
        <v>514</v>
      </c>
      <c r="K217" s="3653">
        <f t="array" ref="K217">IFERROR(VLOOKUP(J203,Dex!$B$3:$N1219,9,FALSE),"")</f>
        <v>84</v>
      </c>
      <c r="L217" s="3654" t="str">
        <f t="array" ref="L217">IFERROR(VLOOKUP(K217,Dex!$P$22:$Q$276,2,FALSE),"")</f>
        <v/>
      </c>
      <c r="M217" s="3655"/>
      <c r="N217" s="3640"/>
      <c r="O217" s="3652" t="s">
        <v>514</v>
      </c>
      <c r="P217" s="3653">
        <f t="array" ref="P217">IFERROR(VLOOKUP(O203,Dex!$B$3:$N1219,9,FALSE),"")</f>
        <v>110</v>
      </c>
      <c r="Q217" s="3654" t="str">
        <f t="array" ref="Q217">IFERROR(VLOOKUP(P217,Dex!$P$22:$Q$276,2,FALSE),"")</f>
        <v/>
      </c>
      <c r="R217" s="3655"/>
      <c r="S217" s="3644"/>
      <c r="T217" s="3652" t="s">
        <v>514</v>
      </c>
      <c r="U217" s="3653">
        <f t="array" ref="U217">IFERROR(VLOOKUP(T203,Dex!$B$3:$N1219,9,FALSE),"")</f>
        <v>125</v>
      </c>
      <c r="V217" s="3654" t="str">
        <f t="array" ref="V217">IFERROR(VLOOKUP(U217,Dex!$P$22:$Q$276,2,FALSE),"")</f>
        <v/>
      </c>
      <c r="W217" s="3655"/>
      <c r="X217" s="3644"/>
      <c r="Y217" s="3652" t="s">
        <v>514</v>
      </c>
      <c r="Z217" s="3653">
        <f t="array" ref="Z217">IFERROR(VLOOKUP(Y203,Dex!$B$3:$N1219,9,FALSE),"")</f>
        <v>134</v>
      </c>
      <c r="AA217" s="3654" t="str">
        <f t="array" ref="AA217">IFERROR(VLOOKUP(Z217,Dex!$P$22:$Q$276,2,FALSE),"")</f>
        <v/>
      </c>
      <c r="AB217" s="3655"/>
      <c r="AC217" s="3644"/>
      <c r="AD217" s="3652" t="s">
        <v>514</v>
      </c>
      <c r="AE217" s="3653">
        <f t="array" ref="AE217">IFERROR(VLOOKUP(AD203,Dex!$B$3:$N1219,9,FALSE),"")</f>
        <v>170</v>
      </c>
      <c r="AF217" s="3654" t="str">
        <f t="array" ref="AF217">IFERROR(VLOOKUP(AE217,Dex!$P$22:$Q$276,2,FALSE),"")</f>
        <v/>
      </c>
      <c r="AG217" s="3655"/>
      <c r="AH217" s="3645"/>
      <c r="AI217" s="6747"/>
    </row>
    <row r="218" ht="16.5" customHeight="1">
      <c r="A218" s="6738"/>
      <c r="B218" s="3639"/>
      <c r="C218" s="3631"/>
      <c r="D218" s="3640"/>
      <c r="E218" s="3652" t="s">
        <v>515</v>
      </c>
      <c r="F218" s="3653">
        <f t="array" ref="F218">IFERROR(VLOOKUP(E203,Dex!$B$3:$N1219,10,FALSE),"")</f>
        <v>140</v>
      </c>
      <c r="G218" s="3654" t="str">
        <f t="array" ref="G218">IFERROR(VLOOKUP(F218,Dex!$P$22:$Q$276,2,FALSE),"")</f>
        <v/>
      </c>
      <c r="H218" s="3655"/>
      <c r="I218" s="3650"/>
      <c r="J218" s="3652" t="s">
        <v>515</v>
      </c>
      <c r="K218" s="3653">
        <f t="array" ref="K218">IFERROR(VLOOKUP(J203,Dex!$B$3:$N1219,10,FALSE),"")</f>
        <v>78</v>
      </c>
      <c r="L218" s="3654" t="str">
        <f t="array" ref="L218">IFERROR(VLOOKUP(K218,Dex!$P$22:$Q$276,2,FALSE),"")</f>
        <v/>
      </c>
      <c r="M218" s="3655"/>
      <c r="N218" s="3640"/>
      <c r="O218" s="3652" t="s">
        <v>515</v>
      </c>
      <c r="P218" s="3653">
        <f t="array" ref="P218">IFERROR(VLOOKUP(O203,Dex!$B$3:$N1219,10,FALSE),"")</f>
        <v>120</v>
      </c>
      <c r="Q218" s="3654" t="str">
        <f t="array" ref="Q218">IFERROR(VLOOKUP(P218,Dex!$P$22:$Q$276,2,FALSE),"")</f>
        <v/>
      </c>
      <c r="R218" s="3655"/>
      <c r="S218" s="3644"/>
      <c r="T218" s="3652" t="s">
        <v>515</v>
      </c>
      <c r="U218" s="3653">
        <f t="array" ref="U218">IFERROR(VLOOKUP(T203,Dex!$B$3:$N1219,10,FALSE),"")</f>
        <v>65</v>
      </c>
      <c r="V218" s="3654" t="str">
        <f t="array" ref="V218">IFERROR(VLOOKUP(U218,Dex!$P$22:$Q$276,2,FALSE),"")</f>
        <v/>
      </c>
      <c r="W218" s="3655"/>
      <c r="X218" s="3644"/>
      <c r="Y218" s="3652" t="s">
        <v>515</v>
      </c>
      <c r="Z218" s="3653">
        <f t="array" ref="Z218">IFERROR(VLOOKUP(Y203,Dex!$B$3:$N1219,10,FALSE),"")</f>
        <v>110</v>
      </c>
      <c r="AA218" s="3654" t="str">
        <f t="array" ref="AA218">IFERROR(VLOOKUP(Z218,Dex!$P$22:$Q$276,2,FALSE),"")</f>
        <v/>
      </c>
      <c r="AB218" s="3655"/>
      <c r="AC218" s="3644"/>
      <c r="AD218" s="3652" t="s">
        <v>515</v>
      </c>
      <c r="AE218" s="3653">
        <f t="array" ref="AE218">IFERROR(VLOOKUP(AD203,Dex!$B$3:$N1219,10,FALSE),"")</f>
        <v>105</v>
      </c>
      <c r="AF218" s="3654" t="str">
        <f t="array" ref="AF218">IFERROR(VLOOKUP(AE218,Dex!$P$22:$Q$276,2,FALSE),"")</f>
        <v/>
      </c>
      <c r="AG218" s="3655"/>
      <c r="AH218" s="3645"/>
      <c r="AI218" s="6747"/>
    </row>
    <row r="219" ht="16.5" customHeight="1">
      <c r="A219" s="6738"/>
      <c r="B219" s="3639"/>
      <c r="C219" s="3631"/>
      <c r="D219" s="3640"/>
      <c r="E219" s="3652" t="s">
        <v>516</v>
      </c>
      <c r="F219" s="3653">
        <f t="array" ref="F219">IFERROR(VLOOKUP(E203,Dex!$B$3:$N1219,11,FALSE),"")</f>
        <v>95</v>
      </c>
      <c r="G219" s="3654" t="str">
        <f t="array" ref="G219">IFERROR(VLOOKUP(F219,Dex!$P$22:$Q$276,2,FALSE),"")</f>
        <v/>
      </c>
      <c r="H219" s="3655"/>
      <c r="I219" s="3650"/>
      <c r="J219" s="3652" t="s">
        <v>516</v>
      </c>
      <c r="K219" s="3653">
        <f t="array" ref="K219">IFERROR(VLOOKUP(J203,Dex!$B$3:$N1219,11,FALSE),"")</f>
        <v>109</v>
      </c>
      <c r="L219" s="3654" t="str">
        <f t="array" ref="L219">IFERROR(VLOOKUP(K219,Dex!$P$22:$Q$276,2,FALSE),"")</f>
        <v/>
      </c>
      <c r="M219" s="3655"/>
      <c r="N219" s="3640"/>
      <c r="O219" s="3652" t="s">
        <v>516</v>
      </c>
      <c r="P219" s="3653">
        <f t="array" ref="P219">IFERROR(VLOOKUP(O203,Dex!$B$3:$N1219,11,FALSE),"")</f>
        <v>130</v>
      </c>
      <c r="Q219" s="3654" t="str">
        <f t="array" ref="Q219">IFERROR(VLOOKUP(P219,Dex!$P$22:$Q$276,2,FALSE),"")</f>
        <v/>
      </c>
      <c r="R219" s="3655"/>
      <c r="S219" s="3644"/>
      <c r="T219" s="3652" t="s">
        <v>516</v>
      </c>
      <c r="U219" s="3653">
        <f t="array" ref="U219">IFERROR(VLOOKUP(T203,Dex!$B$3:$N1219,11,FALSE),"")</f>
        <v>50</v>
      </c>
      <c r="V219" s="3654" t="str">
        <f t="array" ref="V219">IFERROR(VLOOKUP(U219,Dex!$P$22:$Q$276,2,FALSE),"")</f>
        <v/>
      </c>
      <c r="W219" s="3655"/>
      <c r="X219" s="3644"/>
      <c r="Y219" s="3652" t="s">
        <v>516</v>
      </c>
      <c r="Z219" s="3653">
        <f t="array" ref="Z219">IFERROR(VLOOKUP(Y203,Dex!$B$3:$N1219,11,FALSE),"")</f>
        <v>95</v>
      </c>
      <c r="AA219" s="3654" t="str">
        <f t="array" ref="AA219">IFERROR(VLOOKUP(Z219,Dex!$P$22:$Q$276,2,FALSE),"")</f>
        <v/>
      </c>
      <c r="AB219" s="3655"/>
      <c r="AC219" s="3644"/>
      <c r="AD219" s="3652" t="s">
        <v>516</v>
      </c>
      <c r="AE219" s="3653">
        <f t="array" ref="AE219">IFERROR(VLOOKUP(AD203,Dex!$B$3:$N1219,11,FALSE),"")</f>
        <v>120</v>
      </c>
      <c r="AF219" s="3654" t="str">
        <f t="array" ref="AF219">IFERROR(VLOOKUP(AE219,Dex!$P$22:$Q$276,2,FALSE),"")</f>
        <v/>
      </c>
      <c r="AG219" s="3655"/>
      <c r="AH219" s="3645"/>
      <c r="AI219" s="6747"/>
    </row>
    <row r="220" ht="16.5" customHeight="1">
      <c r="A220" s="6738"/>
      <c r="B220" s="3639"/>
      <c r="C220" s="3631"/>
      <c r="D220" s="3640"/>
      <c r="E220" s="3652" t="s">
        <v>517</v>
      </c>
      <c r="F220" s="3653">
        <f t="array" ref="F220">IFERROR(VLOOKUP(E203,Dex!$B$3:$N1219,12,FALSE),"")</f>
        <v>70</v>
      </c>
      <c r="G220" s="3654" t="str">
        <f t="array" ref="G220">IFERROR(VLOOKUP(F220,Dex!$P$22:$Q$276,2,FALSE),"")</f>
        <v/>
      </c>
      <c r="H220" s="3655"/>
      <c r="I220" s="3650"/>
      <c r="J220" s="3652" t="s">
        <v>517</v>
      </c>
      <c r="K220" s="3653">
        <f t="array" ref="K220">IFERROR(VLOOKUP(J203,Dex!$B$3:$N1219,12,FALSE),"")</f>
        <v>85</v>
      </c>
      <c r="L220" s="3654" t="str">
        <f t="array" ref="L220">IFERROR(VLOOKUP(K220,Dex!$P$22:$Q$276,2,FALSE),"")</f>
        <v/>
      </c>
      <c r="M220" s="3655"/>
      <c r="N220" s="3640"/>
      <c r="O220" s="3652" t="s">
        <v>517</v>
      </c>
      <c r="P220" s="3653">
        <f t="array" ref="P220">IFERROR(VLOOKUP(O203,Dex!$B$3:$N1219,12,FALSE),"")</f>
        <v>90</v>
      </c>
      <c r="Q220" s="3654" t="str">
        <f t="array" ref="Q220">IFERROR(VLOOKUP(P220,Dex!$P$22:$Q$276,2,FALSE),"")</f>
        <v/>
      </c>
      <c r="R220" s="3655"/>
      <c r="S220" s="3644"/>
      <c r="T220" s="3652" t="s">
        <v>517</v>
      </c>
      <c r="U220" s="3653">
        <f t="array" ref="U220">IFERROR(VLOOKUP(T203,Dex!$B$3:$N1219,12,FALSE),"")</f>
        <v>60</v>
      </c>
      <c r="V220" s="3654" t="str">
        <f t="array" ref="V220">IFERROR(VLOOKUP(U220,Dex!$P$22:$Q$276,2,FALSE),"")</f>
        <v/>
      </c>
      <c r="W220" s="3655"/>
      <c r="X220" s="3644"/>
      <c r="Y220" s="3652" t="s">
        <v>517</v>
      </c>
      <c r="Z220" s="3653">
        <f t="array" ref="Z220">IFERROR(VLOOKUP(Y203,Dex!$B$3:$N1219,12,FALSE),"")</f>
        <v>100</v>
      </c>
      <c r="AA220" s="3654" t="str">
        <f t="array" ref="AA220">IFERROR(VLOOKUP(Z220,Dex!$P$22:$Q$276,2,FALSE),"")</f>
        <v/>
      </c>
      <c r="AB220" s="3655"/>
      <c r="AC220" s="3644"/>
      <c r="AD220" s="3652" t="s">
        <v>517</v>
      </c>
      <c r="AE220" s="3653">
        <f t="array" ref="AE220">IFERROR(VLOOKUP(AD203,Dex!$B$3:$N1219,12,FALSE),"")</f>
        <v>95</v>
      </c>
      <c r="AF220" s="3654" t="str">
        <f t="array" ref="AF220">IFERROR(VLOOKUP(AE220,Dex!$P$22:$Q$276,2,FALSE),"")</f>
        <v/>
      </c>
      <c r="AG220" s="3655"/>
      <c r="AH220" s="3645"/>
      <c r="AI220" s="6747"/>
    </row>
    <row r="221" ht="16.5" customHeight="1">
      <c r="A221" s="6738"/>
      <c r="B221" s="3639"/>
      <c r="C221" s="3631"/>
      <c r="D221" s="3640"/>
      <c r="E221" s="3658" t="s">
        <v>518</v>
      </c>
      <c r="F221" s="3659">
        <f t="array" ref="F221">IFERROR(VLOOKUP(E203,Dex!$B$3:$N1219,13,FALSE),"")</f>
        <v>20</v>
      </c>
      <c r="G221" s="3660" t="str">
        <f t="array" ref="G221">IFERROR(VLOOKUP(F221,Dex!$P$22:$Q$276,2,FALSE),"")</f>
        <v/>
      </c>
      <c r="H221" s="3661"/>
      <c r="I221" s="3650"/>
      <c r="J221" s="3658" t="s">
        <v>518</v>
      </c>
      <c r="K221" s="3659">
        <f t="array" ref="K221">IFERROR(VLOOKUP(J203,Dex!$B$3:$N1219,13,FALSE),"")</f>
        <v>100</v>
      </c>
      <c r="L221" s="3660" t="str">
        <f t="array" ref="L221">IFERROR(VLOOKUP(K221,Dex!$P$22:$Q$276,2,FALSE),"")</f>
        <v/>
      </c>
      <c r="M221" s="3661"/>
      <c r="N221" s="3640"/>
      <c r="O221" s="3658" t="s">
        <v>518</v>
      </c>
      <c r="P221" s="3659">
        <f t="array" ref="P221">IFERROR(VLOOKUP(O203,Dex!$B$3:$N1219,13,FALSE),"")</f>
        <v>70</v>
      </c>
      <c r="Q221" s="3660" t="str">
        <f t="array" ref="Q221">IFERROR(VLOOKUP(P221,Dex!$P$22:$Q$276,2,FALSE),"")</f>
        <v/>
      </c>
      <c r="R221" s="3661"/>
      <c r="S221" s="3644"/>
      <c r="T221" s="3658" t="s">
        <v>518</v>
      </c>
      <c r="U221" s="3659">
        <f t="array" ref="U221">IFERROR(VLOOKUP(T203,Dex!$B$3:$N1219,13,FALSE),"")</f>
        <v>110</v>
      </c>
      <c r="V221" s="3660" t="str">
        <f t="array" ref="V221">IFERROR(VLOOKUP(U221,Dex!$P$22:$Q$276,2,FALSE),"")</f>
        <v/>
      </c>
      <c r="W221" s="3661"/>
      <c r="X221" s="3644"/>
      <c r="Y221" s="3658" t="s">
        <v>518</v>
      </c>
      <c r="Z221" s="3659">
        <f t="array" ref="Z221">IFERROR(VLOOKUP(Y203,Dex!$B$3:$N1219,13,FALSE),"")</f>
        <v>61</v>
      </c>
      <c r="AA221" s="3660" t="str">
        <f t="array" ref="AA221">IFERROR(VLOOKUP(Z221,Dex!$P$22:$Q$276,2,FALSE),"")</f>
        <v/>
      </c>
      <c r="AB221" s="3661"/>
      <c r="AC221" s="3644"/>
      <c r="AD221" s="3658" t="s">
        <v>518</v>
      </c>
      <c r="AE221" s="3659">
        <f t="array" ref="AE221">IFERROR(VLOOKUP(AD203,Dex!$B$3:$N1219,13,FALSE),"")</f>
        <v>102</v>
      </c>
      <c r="AF221" s="3660" t="str">
        <f t="array" ref="AF221">IFERROR(VLOOKUP(AE221,Dex!$P$22:$Q$276,2,FALSE),"")</f>
        <v/>
      </c>
      <c r="AG221" s="3661"/>
      <c r="AH221" s="3645"/>
      <c r="AI221" s="6747"/>
    </row>
    <row r="222" ht="16.5" customHeight="1">
      <c r="A222" s="6738"/>
      <c r="B222" s="3639"/>
      <c r="C222" s="3631"/>
      <c r="D222" s="4590"/>
      <c r="E222" s="3662" t="s">
        <v>519</v>
      </c>
      <c r="F222" s="630"/>
      <c r="G222" s="631"/>
      <c r="H222" s="6843">
        <v>68.0</v>
      </c>
      <c r="I222" s="3642"/>
      <c r="J222" s="3662" t="s">
        <v>519</v>
      </c>
      <c r="K222" s="630"/>
      <c r="L222" s="631"/>
      <c r="M222" s="6843">
        <v>259.0</v>
      </c>
      <c r="N222" s="4590"/>
      <c r="O222" s="3662" t="s">
        <v>519</v>
      </c>
      <c r="P222" s="630"/>
      <c r="Q222" s="631"/>
      <c r="R222" s="6843">
        <v>176.0</v>
      </c>
      <c r="S222" s="4592"/>
      <c r="T222" s="3662" t="s">
        <v>519</v>
      </c>
      <c r="U222" s="630"/>
      <c r="V222" s="631"/>
      <c r="W222" s="6843">
        <v>281.0</v>
      </c>
      <c r="X222" s="4592"/>
      <c r="Y222" s="3662" t="s">
        <v>519</v>
      </c>
      <c r="Z222" s="630"/>
      <c r="AA222" s="631"/>
      <c r="AB222" s="6843">
        <v>142.0</v>
      </c>
      <c r="AC222" s="4592"/>
      <c r="AD222" s="3662" t="s">
        <v>519</v>
      </c>
      <c r="AE222" s="630"/>
      <c r="AF222" s="631"/>
      <c r="AG222" s="6843">
        <v>264.0</v>
      </c>
      <c r="AH222" s="3645"/>
      <c r="AI222" s="6747"/>
    </row>
    <row r="223" ht="15.0" customHeight="1">
      <c r="A223" s="6738"/>
      <c r="B223" s="3663"/>
      <c r="C223" s="3664"/>
      <c r="D223" s="3665"/>
      <c r="E223" s="3668"/>
      <c r="F223" s="3668"/>
      <c r="G223" s="3668"/>
      <c r="H223" s="3667"/>
      <c r="I223" s="3667"/>
      <c r="J223" s="3668"/>
      <c r="K223" s="3668"/>
      <c r="L223" s="3668"/>
      <c r="M223" s="3667"/>
      <c r="N223" s="3669"/>
      <c r="O223" s="5738"/>
      <c r="P223" s="5738"/>
      <c r="Q223" s="5739"/>
      <c r="R223" s="3671"/>
      <c r="S223" s="3671"/>
      <c r="T223" s="5738"/>
      <c r="U223" s="5738"/>
      <c r="V223" s="5739"/>
      <c r="W223" s="3671"/>
      <c r="X223" s="3669"/>
      <c r="Y223" s="4601"/>
      <c r="Z223" s="4601"/>
      <c r="AA223" s="4601"/>
      <c r="AB223" s="3672"/>
      <c r="AC223" s="3672"/>
      <c r="AD223" s="4601"/>
      <c r="AE223" s="4601"/>
      <c r="AF223" s="4601"/>
      <c r="AG223" s="3672"/>
      <c r="AH223" s="3673"/>
      <c r="AI223" s="6747"/>
    </row>
    <row r="224" ht="15.0" customHeight="1">
      <c r="A224" s="6738"/>
      <c r="B224" s="3567"/>
      <c r="C224" s="3568"/>
      <c r="D224" s="3569"/>
      <c r="E224" s="3570"/>
      <c r="F224" s="3570"/>
      <c r="G224" s="3570"/>
      <c r="H224" s="3570"/>
      <c r="I224" s="3569"/>
      <c r="J224" s="3570"/>
      <c r="K224" s="3570"/>
      <c r="L224" s="3570"/>
      <c r="M224" s="3570"/>
      <c r="N224" s="3569"/>
      <c r="O224" s="3570"/>
      <c r="P224" s="3570"/>
      <c r="Q224" s="3570"/>
      <c r="R224" s="3570"/>
      <c r="S224" s="3569"/>
      <c r="T224" s="3570"/>
      <c r="U224" s="3570"/>
      <c r="V224" s="3570"/>
      <c r="W224" s="3570"/>
      <c r="X224" s="3569"/>
      <c r="Y224" s="3570"/>
      <c r="Z224" s="3570"/>
      <c r="AA224" s="3570"/>
      <c r="AB224" s="3570"/>
      <c r="AC224" s="3569"/>
      <c r="AD224" s="3570"/>
      <c r="AE224" s="3570"/>
      <c r="AF224" s="3570"/>
      <c r="AG224" s="3570"/>
      <c r="AH224" s="3571"/>
      <c r="AI224" s="6747"/>
    </row>
    <row r="225" ht="96.75" customHeight="1">
      <c r="A225" s="6738"/>
      <c r="B225" s="3572"/>
      <c r="C225" s="3573" t="str">
        <f>IMAGE("https://i.ibb.co/TKBZjnF/Ace-Trainer-M.png")</f>
        <v/>
      </c>
      <c r="D225" s="3574"/>
      <c r="E225" s="3575" t="str">
        <f t="array" ref="E225">IFERROR(VLOOKUP(E226,Dex!$B$3:$G1219,3,FALSE),"")</f>
        <v/>
      </c>
      <c r="F225" s="606"/>
      <c r="G225" s="606"/>
      <c r="H225" s="607"/>
      <c r="I225" s="3576"/>
      <c r="J225" s="3575" t="str">
        <f t="array" ref="J225">IFERROR(VLOOKUP(J226,Dex!$B$3:$G1219,3,FALSE),"")</f>
        <v/>
      </c>
      <c r="K225" s="606"/>
      <c r="L225" s="606"/>
      <c r="M225" s="607"/>
      <c r="N225" s="4583"/>
      <c r="O225" s="3575" t="str">
        <f t="array" ref="O225">IFERROR(VLOOKUP(O226,Dex!$B$3:$G1219,3,FALSE),"")</f>
        <v/>
      </c>
      <c r="P225" s="606"/>
      <c r="Q225" s="606"/>
      <c r="R225" s="607"/>
      <c r="S225" s="4584"/>
      <c r="T225" s="3575" t="str">
        <f t="array" ref="T225">IFERROR(VLOOKUP(T226,Dex!$B$3:$G1219,3,FALSE),"")</f>
        <v/>
      </c>
      <c r="U225" s="606"/>
      <c r="V225" s="606"/>
      <c r="W225" s="607"/>
      <c r="X225" s="4583"/>
      <c r="Y225" s="3575" t="str">
        <f t="array" ref="Y225">IFERROR(VLOOKUP(Y226,Dex!$B$3:$G1219,3,FALSE),"")</f>
        <v/>
      </c>
      <c r="Z225" s="606"/>
      <c r="AA225" s="606"/>
      <c r="AB225" s="607"/>
      <c r="AC225" s="4584"/>
      <c r="AD225" s="3575" t="str">
        <f t="array" ref="AD225">IFERROR(VLOOKUP(AD226,Dex!$B$3:$G1219,3,FALSE),"")</f>
        <v/>
      </c>
      <c r="AE225" s="606"/>
      <c r="AF225" s="606"/>
      <c r="AG225" s="607"/>
      <c r="AH225" s="5740"/>
      <c r="AI225" s="6747"/>
    </row>
    <row r="226" ht="18.75" customHeight="1">
      <c r="A226" s="6738"/>
      <c r="B226" s="5745"/>
      <c r="C226" s="6841" t="s">
        <v>2018</v>
      </c>
      <c r="D226" s="5747"/>
      <c r="E226" s="3587" t="s">
        <v>112</v>
      </c>
      <c r="F226" s="3588"/>
      <c r="G226" s="3588"/>
      <c r="H226" s="3589"/>
      <c r="J226" s="3587" t="s">
        <v>1660</v>
      </c>
      <c r="K226" s="3588"/>
      <c r="L226" s="3588"/>
      <c r="M226" s="3589"/>
      <c r="O226" s="3587" t="s">
        <v>2019</v>
      </c>
      <c r="P226" s="3588"/>
      <c r="Q226" s="3588"/>
      <c r="R226" s="3589"/>
      <c r="T226" s="3587" t="s">
        <v>1558</v>
      </c>
      <c r="U226" s="3588"/>
      <c r="V226" s="3588"/>
      <c r="W226" s="3589"/>
      <c r="Y226" s="3587" t="s">
        <v>1684</v>
      </c>
      <c r="Z226" s="3588"/>
      <c r="AA226" s="3588"/>
      <c r="AB226" s="3589"/>
      <c r="AD226" s="3587" t="s">
        <v>2020</v>
      </c>
      <c r="AE226" s="3588"/>
      <c r="AF226" s="3588"/>
      <c r="AG226" s="3589"/>
      <c r="AH226" s="5741"/>
      <c r="AI226" s="6747"/>
    </row>
    <row r="227">
      <c r="A227" s="6738"/>
      <c r="B227" s="5751"/>
      <c r="C227" s="3095"/>
      <c r="D227" s="5752"/>
      <c r="E227" s="3596" t="s">
        <v>729</v>
      </c>
      <c r="F227" s="3597"/>
      <c r="G227" s="3597"/>
      <c r="H227" s="3598"/>
      <c r="J227" s="3596" t="s">
        <v>729</v>
      </c>
      <c r="K227" s="3597"/>
      <c r="L227" s="3597"/>
      <c r="M227" s="3598"/>
      <c r="O227" s="3596" t="s">
        <v>729</v>
      </c>
      <c r="P227" s="3597"/>
      <c r="Q227" s="3597"/>
      <c r="R227" s="3598"/>
      <c r="T227" s="3596" t="s">
        <v>729</v>
      </c>
      <c r="U227" s="3597"/>
      <c r="V227" s="3597"/>
      <c r="W227" s="3598"/>
      <c r="Y227" s="3596" t="s">
        <v>729</v>
      </c>
      <c r="Z227" s="3597"/>
      <c r="AA227" s="3597"/>
      <c r="AB227" s="3598"/>
      <c r="AD227" s="3596" t="s">
        <v>729</v>
      </c>
      <c r="AE227" s="3597"/>
      <c r="AF227" s="3597"/>
      <c r="AG227" s="3598"/>
      <c r="AH227" s="5742"/>
      <c r="AI227" s="6747"/>
    </row>
    <row r="228" ht="25.5" customHeight="1">
      <c r="A228" s="6738"/>
      <c r="B228" s="5756"/>
      <c r="C228" s="3095"/>
      <c r="D228" s="5757"/>
      <c r="E228" s="3601"/>
      <c r="F228" s="3602" t="str">
        <f t="array" ref="F228">IFERROR(VLOOKUP(E226,Dex!$B$3:$H1219,5,FALSE),"")</f>
        <v/>
      </c>
      <c r="G228" s="3603"/>
      <c r="H228" s="3604"/>
      <c r="J228" s="3601"/>
      <c r="K228" s="4588" t="str">
        <f t="array" ref="K228">IFERROR(VLOOKUP(J226,Dex!$B$3:$H1219,5,FALSE),"")</f>
        <v/>
      </c>
      <c r="L228" s="4589" t="str">
        <f t="array" ref="L228">IFERROR(VLOOKUP(J226,Dex!$B$3:$H1219,7,FALSE),"")</f>
        <v/>
      </c>
      <c r="M228" s="3604"/>
      <c r="O228" s="3601"/>
      <c r="P228" s="4588" t="str">
        <f t="array" ref="P228">IFERROR(VLOOKUP(O226,Dex!$B$3:$H1219,5,FALSE),"")</f>
        <v/>
      </c>
      <c r="Q228" s="4589" t="str">
        <f t="array" ref="Q228">IFERROR(VLOOKUP(O226,Dex!$B$3:$H1219,7,FALSE),"")</f>
        <v/>
      </c>
      <c r="R228" s="3604"/>
      <c r="T228" s="3601"/>
      <c r="U228" s="3602" t="str">
        <f t="array" ref="U228">IFERROR(VLOOKUP(T226,Dex!$B$3:$H1219,5,FALSE),"")</f>
        <v/>
      </c>
      <c r="V228" s="3603"/>
      <c r="W228" s="3604"/>
      <c r="Y228" s="3601"/>
      <c r="Z228" s="4588" t="str">
        <f t="array" ref="Z228">IFERROR(VLOOKUP(Y226,Dex!$B$3:$H1219,5,FALSE),"")</f>
        <v/>
      </c>
      <c r="AA228" s="4589" t="str">
        <f t="array" ref="AA228">IFERROR(VLOOKUP(Y226,Dex!$B$3:$H1219,7,FALSE),"")</f>
        <v/>
      </c>
      <c r="AB228" s="3604"/>
      <c r="AD228" s="3601"/>
      <c r="AE228" s="4588" t="str">
        <f t="array" ref="AE228">IFERROR(VLOOKUP(AD226,Dex!$B$3:$H1219,5,FALSE),"")</f>
        <v/>
      </c>
      <c r="AF228" s="4589" t="str">
        <f t="array" ref="AF228">IFERROR(VLOOKUP(AD226,Dex!$B$3:$H1219,7,FALSE),"")</f>
        <v/>
      </c>
      <c r="AG228" s="3604"/>
      <c r="AH228" s="3583"/>
      <c r="AI228" s="6747"/>
    </row>
    <row r="229" ht="2.25" customHeight="1">
      <c r="A229" s="6738"/>
      <c r="B229" s="5756"/>
      <c r="C229" s="3095"/>
      <c r="D229" s="5757"/>
      <c r="E229" s="3606"/>
      <c r="F229" s="3607"/>
      <c r="G229" s="3607"/>
      <c r="H229" s="3608"/>
      <c r="J229" s="3606"/>
      <c r="K229" s="3607"/>
      <c r="L229" s="3607"/>
      <c r="M229" s="3608"/>
      <c r="O229" s="3606"/>
      <c r="P229" s="3607"/>
      <c r="Q229" s="3607"/>
      <c r="R229" s="3608"/>
      <c r="T229" s="3606"/>
      <c r="U229" s="3607"/>
      <c r="V229" s="3607"/>
      <c r="W229" s="3608"/>
      <c r="Y229" s="3606"/>
      <c r="Z229" s="3607"/>
      <c r="AA229" s="3607"/>
      <c r="AB229" s="3608"/>
      <c r="AD229" s="3606"/>
      <c r="AE229" s="3607"/>
      <c r="AF229" s="3607"/>
      <c r="AG229" s="3608"/>
      <c r="AH229" s="3583"/>
      <c r="AI229" s="6747"/>
    </row>
    <row r="230" ht="20.25" customHeight="1">
      <c r="A230" s="6738"/>
      <c r="B230" s="5756"/>
      <c r="C230" s="3112"/>
      <c r="D230" s="5757"/>
      <c r="E230" s="3610" t="s">
        <v>532</v>
      </c>
      <c r="F230" s="3611"/>
      <c r="G230" s="3611"/>
      <c r="H230" s="3612"/>
      <c r="J230" s="3610" t="s">
        <v>532</v>
      </c>
      <c r="K230" s="3611"/>
      <c r="L230" s="3611"/>
      <c r="M230" s="3612"/>
      <c r="O230" s="3610" t="s">
        <v>564</v>
      </c>
      <c r="P230" s="3611"/>
      <c r="Q230" s="3611"/>
      <c r="R230" s="3612"/>
      <c r="T230" s="3610" t="s">
        <v>482</v>
      </c>
      <c r="U230" s="3611"/>
      <c r="V230" s="3611"/>
      <c r="W230" s="3612"/>
      <c r="Y230" s="3610" t="s">
        <v>532</v>
      </c>
      <c r="Z230" s="3611"/>
      <c r="AA230" s="3611"/>
      <c r="AB230" s="3612"/>
      <c r="AD230" s="3610" t="s">
        <v>566</v>
      </c>
      <c r="AE230" s="3611"/>
      <c r="AF230" s="3611"/>
      <c r="AG230" s="3612"/>
      <c r="AH230" s="5740"/>
      <c r="AI230" s="6747"/>
    </row>
    <row r="231">
      <c r="A231" s="6738"/>
      <c r="B231" s="3572"/>
      <c r="C231" s="6842"/>
      <c r="D231" s="3574"/>
      <c r="E231" s="3614" t="s">
        <v>65</v>
      </c>
      <c r="F231" s="3579"/>
      <c r="G231" s="3579"/>
      <c r="H231" s="3615"/>
      <c r="J231" s="3614" t="s">
        <v>1662</v>
      </c>
      <c r="K231" s="3579"/>
      <c r="L231" s="3579"/>
      <c r="M231" s="3615"/>
      <c r="O231" s="3614" t="s">
        <v>1748</v>
      </c>
      <c r="P231" s="3579"/>
      <c r="Q231" s="3579"/>
      <c r="R231" s="3615"/>
      <c r="T231" s="3614" t="s">
        <v>2021</v>
      </c>
      <c r="U231" s="3579"/>
      <c r="V231" s="3579"/>
      <c r="W231" s="3615"/>
      <c r="Y231" s="3614" t="s">
        <v>825</v>
      </c>
      <c r="Z231" s="3579"/>
      <c r="AA231" s="3579"/>
      <c r="AB231" s="3615"/>
      <c r="AD231" s="3614" t="s">
        <v>2022</v>
      </c>
      <c r="AE231" s="3579"/>
      <c r="AF231" s="3579"/>
      <c r="AG231" s="3615"/>
      <c r="AH231" s="5740"/>
      <c r="AI231" s="6747"/>
    </row>
    <row r="232" ht="20.25" customHeight="1">
      <c r="A232" s="6738"/>
      <c r="B232" s="3572"/>
      <c r="C232" s="3592"/>
      <c r="D232" s="3574"/>
      <c r="E232" s="3616" t="s">
        <v>607</v>
      </c>
      <c r="F232" s="3617"/>
      <c r="G232" s="3618"/>
      <c r="H232" s="3619" t="str">
        <f>IMAGE("https://raw.githubusercontent.com/msikma/pokesprite/master/items/hold-item/grassy-seed.png",3)</f>
        <v/>
      </c>
      <c r="J232" s="3616" t="s">
        <v>490</v>
      </c>
      <c r="K232" s="3617"/>
      <c r="L232" s="3618"/>
      <c r="M232" s="3619" t="str">
        <f>IMAGE("https://raw.githubusercontent.com/msikma/pokesprite/master/items/berry/lum.png",3)</f>
        <v/>
      </c>
      <c r="O232" s="3616" t="s">
        <v>541</v>
      </c>
      <c r="P232" s="3617"/>
      <c r="Q232" s="3618"/>
      <c r="R232" s="3619" t="str">
        <f>IMAGE("https://raw.githubusercontent.com/msikma/pokesprite/master/items/hold-item/life-orb.png",3)</f>
        <v/>
      </c>
      <c r="T232" s="3616" t="s">
        <v>1561</v>
      </c>
      <c r="U232" s="3617"/>
      <c r="V232" s="3618"/>
      <c r="W232" s="3619" t="str">
        <f>IMAGE("https://raw.githubusercontent.com/msikma/pokesprite/master/items/mega-stone/slowbronite.png",3)</f>
        <v/>
      </c>
      <c r="Y232" s="3616" t="s">
        <v>920</v>
      </c>
      <c r="Z232" s="3617"/>
      <c r="AA232" s="3618"/>
      <c r="AB232" s="3619" t="str">
        <f>IMAGE("https://raw.githubusercontent.com/msikma/pokesprite/master/items/hold-item/white-herb.png",3)</f>
        <v/>
      </c>
      <c r="AD232" s="3616" t="s">
        <v>573</v>
      </c>
      <c r="AE232" s="3617"/>
      <c r="AF232" s="3618"/>
      <c r="AG232" s="3619" t="str">
        <f>IMAGE("https://raw.githubusercontent.com/msikma/pokesprite/master/items/hold-item/focus-sash.png",3)</f>
        <v/>
      </c>
      <c r="AH232" s="3583"/>
      <c r="AI232" s="6747"/>
    </row>
    <row r="233" ht="20.25" customHeight="1">
      <c r="A233" s="6738"/>
      <c r="B233" s="3572"/>
      <c r="C233" s="3620"/>
      <c r="D233" s="3574"/>
      <c r="E233" s="3610" t="s">
        <v>615</v>
      </c>
      <c r="F233" s="3611"/>
      <c r="G233" s="3621"/>
      <c r="H233" s="3622" t="str">
        <f>IMAGE("https://raw.githubusercontent.com/msikma/pokesprite/master/misc/types/gen8/grass.png",4,20,20)</f>
        <v/>
      </c>
      <c r="J233" s="3610" t="s">
        <v>744</v>
      </c>
      <c r="K233" s="3611"/>
      <c r="L233" s="3621"/>
      <c r="M233" s="3622" t="str">
        <f>IMAGE("https://raw.githubusercontent.com/msikma/pokesprite/master/misc/types/gen8/flying.png",4,20,20)</f>
        <v/>
      </c>
      <c r="O233" s="3610" t="s">
        <v>582</v>
      </c>
      <c r="P233" s="3611"/>
      <c r="Q233" s="3621"/>
      <c r="R233" s="3622" t="str">
        <f>IMAGE("https://raw.githubusercontent.com/msikma/pokesprite/master/misc/types/gen8/ice.png",4,20,20)</f>
        <v/>
      </c>
      <c r="T233" s="3610" t="s">
        <v>170</v>
      </c>
      <c r="U233" s="3611"/>
      <c r="V233" s="3621"/>
      <c r="W233" s="3622" t="str">
        <f>IMAGE("https://raw.githubusercontent.com/msikma/pokesprite/master/misc/types/gen8/psychic.png",4,20,20)</f>
        <v/>
      </c>
      <c r="Y233" s="3610" t="s">
        <v>273</v>
      </c>
      <c r="Z233" s="3611"/>
      <c r="AA233" s="3621"/>
      <c r="AB233" s="3622" t="str">
        <f>IMAGE("https://raw.githubusercontent.com/msikma/pokesprite/master/misc/types/gen8/normal.png",4,20,20)</f>
        <v/>
      </c>
      <c r="AD233" s="3610" t="s">
        <v>1728</v>
      </c>
      <c r="AE233" s="3611"/>
      <c r="AF233" s="3621"/>
      <c r="AG233" s="3622" t="str">
        <f>IMAGE("https://raw.githubusercontent.com/msikma/pokesprite/master/misc/types/gen8/fighting.png",4,20,20)</f>
        <v/>
      </c>
      <c r="AH233" s="3583"/>
      <c r="AI233" s="6747"/>
    </row>
    <row r="234" ht="20.25" customHeight="1">
      <c r="A234" s="6738"/>
      <c r="B234" s="3572"/>
      <c r="C234" s="3605"/>
      <c r="D234" s="3574"/>
      <c r="E234" s="3614" t="s">
        <v>612</v>
      </c>
      <c r="F234" s="3579"/>
      <c r="G234" s="3580"/>
      <c r="H234" s="3623" t="str">
        <f>IMAGE("https://raw.githubusercontent.com/msikma/pokesprite/master/misc/types/gen8/bug.png",4,20,20)</f>
        <v/>
      </c>
      <c r="J234" s="3614" t="s">
        <v>219</v>
      </c>
      <c r="K234" s="3579"/>
      <c r="L234" s="3580"/>
      <c r="M234" s="3623" t="str">
        <f>IMAGE("https://raw.githubusercontent.com/msikma/pokesprite/master/misc/types/gen8/dragon.png",4,20,20)</f>
        <v/>
      </c>
      <c r="O234" s="3614" t="s">
        <v>844</v>
      </c>
      <c r="P234" s="3579"/>
      <c r="Q234" s="3580"/>
      <c r="R234" s="3623" t="str">
        <f>IMAGE("https://raw.githubusercontent.com/msikma/pokesprite/master/misc/types/gen8/electric.png",4,20,20)</f>
        <v/>
      </c>
      <c r="T234" s="3614" t="s">
        <v>641</v>
      </c>
      <c r="U234" s="3579"/>
      <c r="V234" s="3580"/>
      <c r="W234" s="3623" t="str">
        <f>IMAGE("https://raw.githubusercontent.com/msikma/pokesprite/master/misc/types/gen8/fairy.png",4,20,20)</f>
        <v/>
      </c>
      <c r="Y234" s="3614" t="s">
        <v>1210</v>
      </c>
      <c r="Z234" s="3579"/>
      <c r="AA234" s="3580"/>
      <c r="AB234" s="3623" t="str">
        <f>IMAGE("https://raw.githubusercontent.com/msikma/pokesprite/master/misc/types/gen8/dark.png",4,20,20)</f>
        <v/>
      </c>
      <c r="AD234" s="3614" t="s">
        <v>615</v>
      </c>
      <c r="AE234" s="3579"/>
      <c r="AF234" s="3580"/>
      <c r="AG234" s="3623" t="str">
        <f>IMAGE("https://raw.githubusercontent.com/msikma/pokesprite/master/misc/types/gen8/grass.png",4,20,20)</f>
        <v/>
      </c>
      <c r="AH234" s="3583"/>
      <c r="AI234" s="6747"/>
    </row>
    <row r="235" ht="20.25" customHeight="1">
      <c r="A235" s="6738"/>
      <c r="B235" s="3572"/>
      <c r="C235" s="3605"/>
      <c r="D235" s="3574"/>
      <c r="E235" s="3614" t="s">
        <v>579</v>
      </c>
      <c r="F235" s="3579"/>
      <c r="G235" s="3580"/>
      <c r="H235" s="3623" t="str">
        <f>IMAGE("https://raw.githubusercontent.com/msikma/pokesprite/master/misc/types/gen8/dark.png",4,20,20)</f>
        <v/>
      </c>
      <c r="J235" s="3614" t="s">
        <v>1020</v>
      </c>
      <c r="K235" s="3579"/>
      <c r="L235" s="3580"/>
      <c r="M235" s="3623" t="str">
        <f>IMAGE("https://raw.githubusercontent.com/msikma/pokesprite/master/misc/types/gen8/fire.png",4,20,20)</f>
        <v/>
      </c>
      <c r="O235" s="3614" t="s">
        <v>586</v>
      </c>
      <c r="P235" s="3579"/>
      <c r="Q235" s="3580"/>
      <c r="R235" s="3623" t="str">
        <f>IMAGE("https://raw.githubusercontent.com/msikma/pokesprite/master/misc/types/gen8/ice.png",4,20,20)</f>
        <v/>
      </c>
      <c r="T235" s="3614" t="s">
        <v>862</v>
      </c>
      <c r="U235" s="3579"/>
      <c r="V235" s="3580"/>
      <c r="W235" s="3623" t="str">
        <f>IMAGE("https://raw.githubusercontent.com/msikma/pokesprite/master/misc/types/gen8/fire.png",4,20,20)</f>
        <v/>
      </c>
      <c r="Y235" s="3614" t="s">
        <v>1692</v>
      </c>
      <c r="Z235" s="3579"/>
      <c r="AA235" s="3580"/>
      <c r="AB235" s="3623" t="str">
        <f>IMAGE("https://raw.githubusercontent.com/msikma/pokesprite/master/misc/types/gen8/water.png",4,20,20)</f>
        <v/>
      </c>
      <c r="AD235" s="3614" t="s">
        <v>287</v>
      </c>
      <c r="AE235" s="3579"/>
      <c r="AF235" s="3580"/>
      <c r="AG235" s="3623" t="str">
        <f>IMAGE("https://raw.githubusercontent.com/msikma/pokesprite/master/misc/types/gen8/normal.png",4,20,20)</f>
        <v/>
      </c>
      <c r="AH235" s="3583"/>
      <c r="AI235" s="6747"/>
    </row>
    <row r="236" ht="21.0" customHeight="1">
      <c r="A236" s="6738"/>
      <c r="B236" s="3572"/>
      <c r="C236" s="3605"/>
      <c r="D236" s="3574"/>
      <c r="E236" s="3624" t="s">
        <v>1222</v>
      </c>
      <c r="F236" s="3625"/>
      <c r="G236" s="3626"/>
      <c r="H236" s="3627" t="str">
        <f>IMAGE("https://raw.githubusercontent.com/msikma/pokesprite/master/misc/types/gen8/grass.png",4,20,20)</f>
        <v/>
      </c>
      <c r="I236" s="3628"/>
      <c r="J236" s="3624" t="s">
        <v>589</v>
      </c>
      <c r="K236" s="3625"/>
      <c r="L236" s="3626"/>
      <c r="M236" s="3627" t="str">
        <f>IMAGE("https://raw.githubusercontent.com/msikma/pokesprite/master/misc/types/gen8/ice.png",4,20,20)</f>
        <v/>
      </c>
      <c r="N236" s="3628"/>
      <c r="O236" s="3624" t="s">
        <v>581</v>
      </c>
      <c r="P236" s="3625"/>
      <c r="Q236" s="3626"/>
      <c r="R236" s="3627" t="str">
        <f>IMAGE("https://raw.githubusercontent.com/msikma/pokesprite/master/misc/types/gen8/electric.png",4,20,20)</f>
        <v/>
      </c>
      <c r="S236" s="3628"/>
      <c r="T236" s="3624" t="s">
        <v>130</v>
      </c>
      <c r="U236" s="3625"/>
      <c r="V236" s="3626"/>
      <c r="W236" s="3627" t="str">
        <f>IMAGE("https://raw.githubusercontent.com/msikma/pokesprite/master/misc/types/gen8/poison.png",4,20,20)</f>
        <v/>
      </c>
      <c r="X236" s="3628"/>
      <c r="Y236" s="3624" t="s">
        <v>1712</v>
      </c>
      <c r="Z236" s="3625"/>
      <c r="AA236" s="3626"/>
      <c r="AB236" s="3627" t="str">
        <f>IMAGE("https://raw.githubusercontent.com/msikma/pokesprite/master/misc/types/gen8/bug.png",4,20,20)</f>
        <v/>
      </c>
      <c r="AC236" s="3628"/>
      <c r="AD236" s="3624" t="s">
        <v>579</v>
      </c>
      <c r="AE236" s="3625"/>
      <c r="AF236" s="3626"/>
      <c r="AG236" s="3627" t="str">
        <f>IMAGE("https://raw.githubusercontent.com/msikma/pokesprite/master/misc/types/gen8/dark.png",4,20,20)</f>
        <v/>
      </c>
      <c r="AH236" s="3583"/>
      <c r="AI236" s="6747"/>
    </row>
    <row r="237" ht="3.0" customHeight="1">
      <c r="A237" s="6738"/>
      <c r="B237" s="3630"/>
      <c r="C237" s="3631"/>
      <c r="D237" s="3632"/>
      <c r="E237" s="3634"/>
      <c r="F237" s="3634"/>
      <c r="G237" s="3634"/>
      <c r="H237" s="3633"/>
      <c r="I237" s="3632"/>
      <c r="J237" s="3634"/>
      <c r="K237" s="3634"/>
      <c r="L237" s="3634"/>
      <c r="M237" s="3633"/>
      <c r="N237" s="3632"/>
      <c r="O237" s="3634"/>
      <c r="P237" s="3634"/>
      <c r="Q237" s="3634"/>
      <c r="R237" s="3633"/>
      <c r="S237" s="3635"/>
      <c r="T237" s="3634"/>
      <c r="U237" s="3634"/>
      <c r="V237" s="3634"/>
      <c r="W237" s="3633"/>
      <c r="X237" s="3632"/>
      <c r="Y237" s="3634"/>
      <c r="Z237" s="3634"/>
      <c r="AA237" s="3634"/>
      <c r="AB237" s="3633"/>
      <c r="AC237" s="3637"/>
      <c r="AD237" s="3634"/>
      <c r="AE237" s="3634"/>
      <c r="AF237" s="3634"/>
      <c r="AG237" s="3633"/>
      <c r="AH237" s="3638"/>
      <c r="AI237" s="6747"/>
    </row>
    <row r="238" ht="16.5" customHeight="1">
      <c r="A238" s="6738"/>
      <c r="B238" s="3639"/>
      <c r="C238" s="3631"/>
      <c r="D238" s="4590"/>
      <c r="E238" s="3641" t="s">
        <v>512</v>
      </c>
      <c r="F238" s="606"/>
      <c r="G238" s="606"/>
      <c r="H238" s="607"/>
      <c r="I238" s="3642"/>
      <c r="J238" s="3641" t="s">
        <v>512</v>
      </c>
      <c r="K238" s="606"/>
      <c r="L238" s="606"/>
      <c r="M238" s="607"/>
      <c r="N238" s="4590"/>
      <c r="O238" s="3641" t="s">
        <v>512</v>
      </c>
      <c r="P238" s="606"/>
      <c r="Q238" s="606"/>
      <c r="R238" s="607"/>
      <c r="S238" s="4591"/>
      <c r="T238" s="3641" t="s">
        <v>512</v>
      </c>
      <c r="U238" s="606"/>
      <c r="V238" s="606"/>
      <c r="W238" s="607"/>
      <c r="X238" s="4592"/>
      <c r="Y238" s="3641" t="s">
        <v>512</v>
      </c>
      <c r="Z238" s="606"/>
      <c r="AA238" s="606"/>
      <c r="AB238" s="607"/>
      <c r="AC238" s="4592"/>
      <c r="AD238" s="3641" t="s">
        <v>512</v>
      </c>
      <c r="AE238" s="606"/>
      <c r="AF238" s="606"/>
      <c r="AG238" s="607"/>
      <c r="AH238" s="3645"/>
      <c r="AI238" s="6747"/>
    </row>
    <row r="239" ht="16.5" customHeight="1">
      <c r="A239" s="6738"/>
      <c r="B239" s="3639"/>
      <c r="C239" s="3631"/>
      <c r="D239" s="3640"/>
      <c r="E239" s="3646" t="s">
        <v>513</v>
      </c>
      <c r="F239" s="3647">
        <f t="array" ref="F239">IFERROR(VLOOKUP(E226,Dex!$B$3:$N1219,8,FALSE),"")</f>
        <v>100</v>
      </c>
      <c r="G239" s="3648" t="str">
        <f t="array" ref="G239">IFERROR(VLOOKUP(F239,Dex!$P$22:$Q$276,2,FALSE),"")</f>
        <v/>
      </c>
      <c r="H239" s="3649"/>
      <c r="I239" s="3650"/>
      <c r="J239" s="3646" t="s">
        <v>513</v>
      </c>
      <c r="K239" s="3647">
        <f t="array" ref="K239">IFERROR(VLOOKUP(J226,Dex!$B$3:$N1219,8,FALSE),"")</f>
        <v>91</v>
      </c>
      <c r="L239" s="3648" t="str">
        <f t="array" ref="L239">IFERROR(VLOOKUP(K239,Dex!$P$22:$Q$276,2,FALSE),"")</f>
        <v/>
      </c>
      <c r="M239" s="3649"/>
      <c r="N239" s="3640"/>
      <c r="O239" s="3646" t="s">
        <v>513</v>
      </c>
      <c r="P239" s="3647">
        <f t="array" ref="P239">IFERROR(VLOOKUP(O226,Dex!$B$3:$N1219,8,FALSE),"")</f>
        <v>75</v>
      </c>
      <c r="Q239" s="3648" t="str">
        <f t="array" ref="Q239">IFERROR(VLOOKUP(P239,Dex!$P$22:$Q$276,2,FALSE),"")</f>
        <v/>
      </c>
      <c r="R239" s="3649"/>
      <c r="S239" s="3644"/>
      <c r="T239" s="3646" t="s">
        <v>513</v>
      </c>
      <c r="U239" s="3647">
        <f t="array" ref="U239">IFERROR(VLOOKUP(T226,Dex!$B$3:$N1219,8,FALSE),"")</f>
        <v>65</v>
      </c>
      <c r="V239" s="3648" t="str">
        <f t="array" ref="V239">IFERROR(VLOOKUP(U239,Dex!$P$22:$Q$276,2,FALSE),"")</f>
        <v/>
      </c>
      <c r="W239" s="3649"/>
      <c r="X239" s="3644"/>
      <c r="Y239" s="3646" t="s">
        <v>513</v>
      </c>
      <c r="Z239" s="3647">
        <f t="array" ref="Z239">IFERROR(VLOOKUP(Y226,Dex!$B$3:$N1219,8,FALSE),"")</f>
        <v>95</v>
      </c>
      <c r="AA239" s="3648" t="str">
        <f t="array" ref="AA239">IFERROR(VLOOKUP(Z239,Dex!$P$22:$Q$276,2,FALSE),"")</f>
        <v/>
      </c>
      <c r="AB239" s="3649"/>
      <c r="AC239" s="3644"/>
      <c r="AD239" s="3646" t="s">
        <v>513</v>
      </c>
      <c r="AE239" s="3647">
        <f t="array" ref="AE239">IFERROR(VLOOKUP(AD226,Dex!$B$3:$N1219,8,FALSE),"")</f>
        <v>98</v>
      </c>
      <c r="AF239" s="3648" t="str">
        <f t="array" ref="AF239">IFERROR(VLOOKUP(AE239,Dex!$P$22:$Q$276,2,FALSE),"")</f>
        <v/>
      </c>
      <c r="AG239" s="3649"/>
      <c r="AH239" s="3645"/>
      <c r="AI239" s="6747"/>
    </row>
    <row r="240" ht="16.5" customHeight="1">
      <c r="A240" s="6738"/>
      <c r="B240" s="3639"/>
      <c r="C240" s="3631"/>
      <c r="D240" s="3640"/>
      <c r="E240" s="3652" t="s">
        <v>514</v>
      </c>
      <c r="F240" s="3653">
        <f t="array" ref="F240">IFERROR(VLOOKUP(E226,Dex!$B$3:$N1219,9,FALSE),"")</f>
        <v>125</v>
      </c>
      <c r="G240" s="3654" t="str">
        <f t="array" ref="G240">IFERROR(VLOOKUP(F240,Dex!$P$22:$Q$276,2,FALSE),"")</f>
        <v/>
      </c>
      <c r="H240" s="3655"/>
      <c r="I240" s="3650"/>
      <c r="J240" s="3652" t="s">
        <v>514</v>
      </c>
      <c r="K240" s="3653">
        <f t="array" ref="K240">IFERROR(VLOOKUP(J226,Dex!$B$3:$N1219,9,FALSE),"")</f>
        <v>134</v>
      </c>
      <c r="L240" s="3654" t="str">
        <f t="array" ref="L240">IFERROR(VLOOKUP(K240,Dex!$P$22:$Q$276,2,FALSE),"")</f>
        <v/>
      </c>
      <c r="M240" s="3655"/>
      <c r="N240" s="3640"/>
      <c r="O240" s="3652" t="s">
        <v>514</v>
      </c>
      <c r="P240" s="3653">
        <f t="array" ref="P240">IFERROR(VLOOKUP(O226,Dex!$B$3:$N1219,9,FALSE),"")</f>
        <v>70</v>
      </c>
      <c r="Q240" s="3654" t="str">
        <f t="array" ref="Q240">IFERROR(VLOOKUP(P240,Dex!$P$22:$Q$276,2,FALSE),"")</f>
        <v/>
      </c>
      <c r="R240" s="3655"/>
      <c r="S240" s="3644"/>
      <c r="T240" s="3652" t="s">
        <v>514</v>
      </c>
      <c r="U240" s="3653">
        <f t="array" ref="U240">IFERROR(VLOOKUP(T226,Dex!$B$3:$N1219,9,FALSE),"")</f>
        <v>70</v>
      </c>
      <c r="V240" s="3654" t="str">
        <f t="array" ref="V240">IFERROR(VLOOKUP(U240,Dex!$P$22:$Q$276,2,FALSE),"")</f>
        <v/>
      </c>
      <c r="W240" s="3655"/>
      <c r="X240" s="3644"/>
      <c r="Y240" s="3652" t="s">
        <v>514</v>
      </c>
      <c r="Z240" s="3653">
        <f t="array" ref="Z240">IFERROR(VLOOKUP(Y226,Dex!$B$3:$N1219,9,FALSE),"")</f>
        <v>108</v>
      </c>
      <c r="AA240" s="3654" t="str">
        <f t="array" ref="AA240">IFERROR(VLOOKUP(Z240,Dex!$P$22:$Q$276,2,FALSE),"")</f>
        <v/>
      </c>
      <c r="AB240" s="3655"/>
      <c r="AC240" s="3644"/>
      <c r="AD240" s="3652" t="s">
        <v>514</v>
      </c>
      <c r="AE240" s="3653">
        <f t="array" ref="AE240">IFERROR(VLOOKUP(AD226,Dex!$B$3:$N1219,9,FALSE),"")</f>
        <v>112</v>
      </c>
      <c r="AF240" s="3654" t="str">
        <f t="array" ref="AF240">IFERROR(VLOOKUP(AE240,Dex!$P$22:$Q$276,2,FALSE),"")</f>
        <v/>
      </c>
      <c r="AG240" s="3655"/>
      <c r="AH240" s="3645"/>
      <c r="AI240" s="6747"/>
    </row>
    <row r="241" ht="16.5" customHeight="1">
      <c r="A241" s="6738"/>
      <c r="B241" s="3639"/>
      <c r="C241" s="3631"/>
      <c r="D241" s="3640"/>
      <c r="E241" s="3652" t="s">
        <v>515</v>
      </c>
      <c r="F241" s="3653">
        <f t="array" ref="F241">IFERROR(VLOOKUP(E226,Dex!$B$3:$N1219,10,FALSE),"")</f>
        <v>90</v>
      </c>
      <c r="G241" s="3654" t="str">
        <f t="array" ref="G241">IFERROR(VLOOKUP(F241,Dex!$P$22:$Q$276,2,FALSE),"")</f>
        <v/>
      </c>
      <c r="H241" s="3655"/>
      <c r="I241" s="3650"/>
      <c r="J241" s="3652" t="s">
        <v>515</v>
      </c>
      <c r="K241" s="3653">
        <f t="array" ref="K241">IFERROR(VLOOKUP(J226,Dex!$B$3:$N1219,10,FALSE),"")</f>
        <v>95</v>
      </c>
      <c r="L241" s="3654" t="str">
        <f t="array" ref="L241">IFERROR(VLOOKUP(K241,Dex!$P$22:$Q$276,2,FALSE),"")</f>
        <v/>
      </c>
      <c r="M241" s="3655"/>
      <c r="N241" s="3640"/>
      <c r="O241" s="3652" t="s">
        <v>515</v>
      </c>
      <c r="P241" s="3653">
        <f t="array" ref="P241">IFERROR(VLOOKUP(O226,Dex!$B$3:$N1219,10,FALSE),"")</f>
        <v>63</v>
      </c>
      <c r="Q241" s="3654" t="str">
        <f t="array" ref="Q241">IFERROR(VLOOKUP(P241,Dex!$P$22:$Q$276,2,FALSE),"")</f>
        <v/>
      </c>
      <c r="R241" s="3655"/>
      <c r="S241" s="3644"/>
      <c r="T241" s="3652" t="s">
        <v>515</v>
      </c>
      <c r="U241" s="3653">
        <f t="array" ref="U241">IFERROR(VLOOKUP(T226,Dex!$B$3:$N1219,10,FALSE),"")</f>
        <v>90</v>
      </c>
      <c r="V241" s="3654" t="str">
        <f t="array" ref="V241">IFERROR(VLOOKUP(U241,Dex!$P$22:$Q$276,2,FALSE),"")</f>
        <v/>
      </c>
      <c r="W241" s="3655"/>
      <c r="X241" s="3644"/>
      <c r="Y241" s="3652" t="s">
        <v>515</v>
      </c>
      <c r="Z241" s="3653">
        <f t="array" ref="Z241">IFERROR(VLOOKUP(Y226,Dex!$B$3:$N1219,10,FALSE),"")</f>
        <v>85</v>
      </c>
      <c r="AA241" s="3654" t="str">
        <f t="array" ref="AA241">IFERROR(VLOOKUP(Z241,Dex!$P$22:$Q$276,2,FALSE),"")</f>
        <v/>
      </c>
      <c r="AB241" s="3655"/>
      <c r="AC241" s="3644"/>
      <c r="AD241" s="3652" t="s">
        <v>515</v>
      </c>
      <c r="AE241" s="3653">
        <f t="array" ref="AE241">IFERROR(VLOOKUP(AD226,Dex!$B$3:$N1219,10,FALSE),"")</f>
        <v>85</v>
      </c>
      <c r="AF241" s="3654" t="str">
        <f t="array" ref="AF241">IFERROR(VLOOKUP(AE241,Dex!$P$22:$Q$276,2,FALSE),"")</f>
        <v/>
      </c>
      <c r="AG241" s="3655"/>
      <c r="AH241" s="3645"/>
      <c r="AI241" s="6747"/>
    </row>
    <row r="242" ht="16.5" customHeight="1">
      <c r="A242" s="6738"/>
      <c r="B242" s="3639"/>
      <c r="C242" s="3631"/>
      <c r="D242" s="3640"/>
      <c r="E242" s="3652" t="s">
        <v>516</v>
      </c>
      <c r="F242" s="3653">
        <f t="array" ref="F242">IFERROR(VLOOKUP(E226,Dex!$B$3:$N1219,11,FALSE),"")</f>
        <v>60</v>
      </c>
      <c r="G242" s="3654" t="str">
        <f t="array" ref="G242">IFERROR(VLOOKUP(F242,Dex!$P$22:$Q$276,2,FALSE),"")</f>
        <v/>
      </c>
      <c r="H242" s="3655"/>
      <c r="I242" s="3650"/>
      <c r="J242" s="3652" t="s">
        <v>516</v>
      </c>
      <c r="K242" s="3653">
        <f t="array" ref="K242">IFERROR(VLOOKUP(J226,Dex!$B$3:$N1219,11,FALSE),"")</f>
        <v>100</v>
      </c>
      <c r="L242" s="3654" t="str">
        <f t="array" ref="L242">IFERROR(VLOOKUP(K242,Dex!$P$22:$Q$276,2,FALSE),"")</f>
        <v/>
      </c>
      <c r="M242" s="3655"/>
      <c r="N242" s="3640"/>
      <c r="O242" s="3652" t="s">
        <v>516</v>
      </c>
      <c r="P242" s="3653">
        <f t="array" ref="P242">IFERROR(VLOOKUP(O226,Dex!$B$3:$N1219,11,FALSE),"")</f>
        <v>110</v>
      </c>
      <c r="Q242" s="3654" t="str">
        <f t="array" ref="Q242">IFERROR(VLOOKUP(P242,Dex!$P$22:$Q$276,2,FALSE),"")</f>
        <v/>
      </c>
      <c r="R242" s="3655"/>
      <c r="S242" s="3644"/>
      <c r="T242" s="3652" t="s">
        <v>516</v>
      </c>
      <c r="U242" s="3653">
        <f t="array" ref="U242">IFERROR(VLOOKUP(T226,Dex!$B$3:$N1219,11,FALSE),"")</f>
        <v>140</v>
      </c>
      <c r="V242" s="3654" t="str">
        <f t="array" ref="V242">IFERROR(VLOOKUP(U242,Dex!$P$22:$Q$276,2,FALSE),"")</f>
        <v/>
      </c>
      <c r="W242" s="3655"/>
      <c r="X242" s="3644"/>
      <c r="Y242" s="3652" t="s">
        <v>516</v>
      </c>
      <c r="Z242" s="3653">
        <f t="array" ref="Z242">IFERROR(VLOOKUP(Y226,Dex!$B$3:$N1219,11,FALSE),"")</f>
        <v>95</v>
      </c>
      <c r="AA242" s="3654" t="str">
        <f t="array" ref="AA242">IFERROR(VLOOKUP(Z242,Dex!$P$22:$Q$276,2,FALSE),"")</f>
        <v/>
      </c>
      <c r="AB242" s="3655"/>
      <c r="AC242" s="3644"/>
      <c r="AD242" s="3652" t="s">
        <v>516</v>
      </c>
      <c r="AE242" s="3653">
        <f t="array" ref="AE242">IFERROR(VLOOKUP(AD226,Dex!$B$3:$N1219,11,FALSE),"")</f>
        <v>75</v>
      </c>
      <c r="AF242" s="3654" t="str">
        <f t="array" ref="AF242">IFERROR(VLOOKUP(AE242,Dex!$P$22:$Q$276,2,FALSE),"")</f>
        <v/>
      </c>
      <c r="AG242" s="3655"/>
      <c r="AH242" s="3645"/>
      <c r="AI242" s="6747"/>
    </row>
    <row r="243" ht="16.5" customHeight="1">
      <c r="A243" s="6738"/>
      <c r="B243" s="3639"/>
      <c r="C243" s="3631"/>
      <c r="D243" s="3640"/>
      <c r="E243" s="3652" t="s">
        <v>517</v>
      </c>
      <c r="F243" s="3653">
        <f t="array" ref="F243">IFERROR(VLOOKUP(E226,Dex!$B$3:$N1219,12,FALSE),"")</f>
        <v>70</v>
      </c>
      <c r="G243" s="3654" t="str">
        <f t="array" ref="G243">IFERROR(VLOOKUP(F243,Dex!$P$22:$Q$276,2,FALSE),"")</f>
        <v/>
      </c>
      <c r="H243" s="3655"/>
      <c r="I243" s="3650"/>
      <c r="J243" s="3652" t="s">
        <v>517</v>
      </c>
      <c r="K243" s="3653">
        <f t="array" ref="K243">IFERROR(VLOOKUP(J226,Dex!$B$3:$N1219,12,FALSE),"")</f>
        <v>100</v>
      </c>
      <c r="L243" s="3654" t="str">
        <f t="array" ref="L243">IFERROR(VLOOKUP(K243,Dex!$P$22:$Q$276,2,FALSE),"")</f>
        <v/>
      </c>
      <c r="M243" s="3655"/>
      <c r="N243" s="3640"/>
      <c r="O243" s="3652" t="s">
        <v>517</v>
      </c>
      <c r="P243" s="3653">
        <f t="array" ref="P243">IFERROR(VLOOKUP(O226,Dex!$B$3:$N1219,12,FALSE),"")</f>
        <v>63</v>
      </c>
      <c r="Q243" s="3654" t="str">
        <f t="array" ref="Q243">IFERROR(VLOOKUP(P243,Dex!$P$22:$Q$276,2,FALSE),"")</f>
        <v/>
      </c>
      <c r="R243" s="3655"/>
      <c r="S243" s="3644"/>
      <c r="T243" s="3652" t="s">
        <v>517</v>
      </c>
      <c r="U243" s="3653">
        <f t="array" ref="U243">IFERROR(VLOOKUP(T226,Dex!$B$3:$N1219,12,FALSE),"")</f>
        <v>131</v>
      </c>
      <c r="V243" s="3654" t="str">
        <f t="array" ref="V243">IFERROR(VLOOKUP(U243,Dex!$P$22:$Q$276,2,FALSE),"")</f>
        <v/>
      </c>
      <c r="W243" s="3655"/>
      <c r="X243" s="3644"/>
      <c r="Y243" s="3652" t="s">
        <v>517</v>
      </c>
      <c r="Z243" s="3653">
        <f t="array" ref="Z243">IFERROR(VLOOKUP(Y226,Dex!$B$3:$N1219,12,FALSE),"")</f>
        <v>70</v>
      </c>
      <c r="AA243" s="3654" t="str">
        <f t="array" ref="AA243">IFERROR(VLOOKUP(Z243,Dex!$P$22:$Q$276,2,FALSE),"")</f>
        <v/>
      </c>
      <c r="AB243" s="3655"/>
      <c r="AC243" s="3644"/>
      <c r="AD243" s="3652" t="s">
        <v>517</v>
      </c>
      <c r="AE243" s="3653">
        <f t="array" ref="AE243">IFERROR(VLOOKUP(AD226,Dex!$B$3:$N1219,12,FALSE),"")</f>
        <v>100</v>
      </c>
      <c r="AF243" s="3654" t="str">
        <f t="array" ref="AF243">IFERROR(VLOOKUP(AE243,Dex!$P$22:$Q$276,2,FALSE),"")</f>
        <v/>
      </c>
      <c r="AG243" s="3655"/>
      <c r="AH243" s="3645"/>
      <c r="AI243" s="6747"/>
    </row>
    <row r="244" ht="16.5" customHeight="1">
      <c r="A244" s="6738"/>
      <c r="B244" s="3639"/>
      <c r="C244" s="3631"/>
      <c r="D244" s="3640"/>
      <c r="E244" s="3658" t="s">
        <v>518</v>
      </c>
      <c r="F244" s="3659">
        <f t="array" ref="F244">IFERROR(VLOOKUP(E226,Dex!$B$3:$N1219,13,FALSE),"")</f>
        <v>85</v>
      </c>
      <c r="G244" s="3660" t="str">
        <f t="array" ref="G244">IFERROR(VLOOKUP(F244,Dex!$P$22:$Q$276,2,FALSE),"")</f>
        <v/>
      </c>
      <c r="H244" s="3661"/>
      <c r="I244" s="3650"/>
      <c r="J244" s="3658" t="s">
        <v>518</v>
      </c>
      <c r="K244" s="3659">
        <f t="array" ref="K244">IFERROR(VLOOKUP(J226,Dex!$B$3:$N1219,13,FALSE),"")</f>
        <v>80</v>
      </c>
      <c r="L244" s="3660" t="str">
        <f t="array" ref="L244">IFERROR(VLOOKUP(K244,Dex!$P$22:$Q$276,2,FALSE),"")</f>
        <v/>
      </c>
      <c r="M244" s="3661"/>
      <c r="N244" s="3640"/>
      <c r="O244" s="3658" t="s">
        <v>518</v>
      </c>
      <c r="P244" s="3659">
        <f t="array" ref="P244">IFERROR(VLOOKUP(O226,Dex!$B$3:$N1219,13,FALSE),"")</f>
        <v>116</v>
      </c>
      <c r="Q244" s="3660" t="str">
        <f t="array" ref="Q244">IFERROR(VLOOKUP(P244,Dex!$P$22:$Q$276,2,FALSE),"")</f>
        <v/>
      </c>
      <c r="R244" s="3661"/>
      <c r="S244" s="3644"/>
      <c r="T244" s="3658" t="s">
        <v>518</v>
      </c>
      <c r="U244" s="3659">
        <f t="array" ref="U244">IFERROR(VLOOKUP(T226,Dex!$B$3:$N1219,13,FALSE),"")</f>
        <v>84</v>
      </c>
      <c r="V244" s="3660" t="str">
        <f t="array" ref="V244">IFERROR(VLOOKUP(U244,Dex!$P$22:$Q$276,2,FALSE),"")</f>
        <v/>
      </c>
      <c r="W244" s="3661"/>
      <c r="X244" s="3644"/>
      <c r="Y244" s="3658" t="s">
        <v>518</v>
      </c>
      <c r="Z244" s="3659">
        <f t="array" ref="Z244">IFERROR(VLOOKUP(Y226,Dex!$B$3:$N1219,13,FALSE),"")</f>
        <v>90</v>
      </c>
      <c r="AA244" s="3660" t="str">
        <f t="array" ref="AA244">IFERROR(VLOOKUP(Z244,Dex!$P$22:$Q$276,2,FALSE),"")</f>
        <v/>
      </c>
      <c r="AB244" s="3661"/>
      <c r="AC244" s="3644"/>
      <c r="AD244" s="3658" t="s">
        <v>518</v>
      </c>
      <c r="AE244" s="3659">
        <f t="array" ref="AE244">IFERROR(VLOOKUP(AD226,Dex!$B$3:$N1219,13,FALSE),"")</f>
        <v>70</v>
      </c>
      <c r="AF244" s="3660" t="str">
        <f t="array" ref="AF244">IFERROR(VLOOKUP(AE244,Dex!$P$22:$Q$276,2,FALSE),"")</f>
        <v/>
      </c>
      <c r="AG244" s="3661"/>
      <c r="AH244" s="3645"/>
      <c r="AI244" s="6747"/>
    </row>
    <row r="245" ht="16.5" customHeight="1">
      <c r="A245" s="6738"/>
      <c r="B245" s="3639"/>
      <c r="C245" s="3631"/>
      <c r="D245" s="4590"/>
      <c r="E245" s="3662" t="s">
        <v>519</v>
      </c>
      <c r="F245" s="630"/>
      <c r="G245" s="631"/>
      <c r="H245" s="6843">
        <v>226.0</v>
      </c>
      <c r="I245" s="3642"/>
      <c r="J245" s="3662" t="s">
        <v>519</v>
      </c>
      <c r="K245" s="630"/>
      <c r="L245" s="631"/>
      <c r="M245" s="6843">
        <v>215.0</v>
      </c>
      <c r="N245" s="4590"/>
      <c r="O245" s="3662" t="s">
        <v>519</v>
      </c>
      <c r="P245" s="630"/>
      <c r="Q245" s="631"/>
      <c r="R245" s="6843">
        <v>294.0</v>
      </c>
      <c r="S245" s="4592"/>
      <c r="T245" s="3662" t="s">
        <v>519</v>
      </c>
      <c r="U245" s="630"/>
      <c r="V245" s="631"/>
      <c r="W245" s="6843">
        <v>204.0</v>
      </c>
      <c r="X245" s="4592"/>
      <c r="Y245" s="3662" t="s">
        <v>519</v>
      </c>
      <c r="Z245" s="630"/>
      <c r="AA245" s="631"/>
      <c r="AB245" s="6843">
        <v>237.0</v>
      </c>
      <c r="AC245" s="4592"/>
      <c r="AD245" s="4593" t="s">
        <v>519</v>
      </c>
      <c r="AE245" s="635"/>
      <c r="AF245" s="636"/>
      <c r="AG245" s="6844">
        <v>176.0</v>
      </c>
      <c r="AH245" s="3645"/>
      <c r="AI245" s="6747"/>
    </row>
    <row r="246" ht="16.5" customHeight="1">
      <c r="A246" s="6738"/>
      <c r="B246" s="4594"/>
      <c r="C246" s="5479"/>
      <c r="D246" s="5480"/>
      <c r="E246" s="5481"/>
      <c r="F246" s="5481"/>
      <c r="G246" s="5481"/>
      <c r="H246" s="5479"/>
      <c r="I246" s="5482"/>
      <c r="J246" s="5481"/>
      <c r="K246" s="5481"/>
      <c r="L246" s="5481"/>
      <c r="M246" s="5479"/>
      <c r="N246" s="5480"/>
      <c r="O246" s="5481"/>
      <c r="P246" s="5481"/>
      <c r="Q246" s="5481"/>
      <c r="R246" s="5479"/>
      <c r="S246" s="4598"/>
      <c r="T246" s="5481"/>
      <c r="U246" s="5481"/>
      <c r="V246" s="5481"/>
      <c r="W246" s="5479"/>
      <c r="X246" s="4599"/>
      <c r="Y246" s="5481"/>
      <c r="Z246" s="5481"/>
      <c r="AA246" s="5481"/>
      <c r="AB246" s="5479"/>
      <c r="AC246" s="4598"/>
      <c r="AD246" s="4597" t="s">
        <v>2023</v>
      </c>
      <c r="AE246" s="643"/>
      <c r="AF246" s="644"/>
      <c r="AG246" s="6787">
        <f>ROUNDDOWN(AG245*1.5,0)</f>
        <v>264</v>
      </c>
      <c r="AH246" s="4600"/>
      <c r="AI246" s="6747"/>
    </row>
    <row r="247" ht="15.0" customHeight="1">
      <c r="A247" s="6738"/>
      <c r="B247" s="3663"/>
      <c r="C247" s="3664"/>
      <c r="D247" s="3665"/>
      <c r="E247" s="3666"/>
      <c r="F247" s="3666"/>
      <c r="G247" s="3666"/>
      <c r="H247" s="3667"/>
      <c r="I247" s="3667"/>
      <c r="J247" s="3666"/>
      <c r="K247" s="3666"/>
      <c r="L247" s="3666"/>
      <c r="M247" s="3667"/>
      <c r="N247" s="3669"/>
      <c r="O247" s="3670"/>
      <c r="P247" s="3670"/>
      <c r="Q247" s="3671"/>
      <c r="R247" s="3671"/>
      <c r="S247" s="3671"/>
      <c r="T247" s="3670"/>
      <c r="U247" s="3670"/>
      <c r="V247" s="3671"/>
      <c r="W247" s="3671"/>
      <c r="X247" s="3669"/>
      <c r="Y247" s="3672"/>
      <c r="Z247" s="3672"/>
      <c r="AA247" s="3672"/>
      <c r="AB247" s="3672"/>
      <c r="AC247" s="3672"/>
      <c r="AD247" s="4601"/>
      <c r="AE247" s="4601"/>
      <c r="AF247" s="4601"/>
      <c r="AG247" s="3672"/>
      <c r="AH247" s="3673"/>
      <c r="AI247" s="6747"/>
    </row>
    <row r="248" ht="15.0" customHeight="1">
      <c r="A248" s="6738"/>
      <c r="B248" s="1936"/>
      <c r="C248" s="1937"/>
      <c r="D248" s="1938"/>
      <c r="E248" s="1939"/>
      <c r="F248" s="1939"/>
      <c r="G248" s="1939"/>
      <c r="H248" s="1939"/>
      <c r="I248" s="1938"/>
      <c r="J248" s="1939"/>
      <c r="K248" s="1939"/>
      <c r="L248" s="1939"/>
      <c r="M248" s="1939"/>
      <c r="N248" s="1938"/>
      <c r="O248" s="1939"/>
      <c r="P248" s="1939"/>
      <c r="Q248" s="1939"/>
      <c r="R248" s="1939"/>
      <c r="S248" s="1938"/>
      <c r="T248" s="1939"/>
      <c r="U248" s="1939"/>
      <c r="V248" s="1939"/>
      <c r="W248" s="1939"/>
      <c r="X248" s="1938"/>
      <c r="Y248" s="1939"/>
      <c r="Z248" s="1939"/>
      <c r="AA248" s="1939"/>
      <c r="AB248" s="1939"/>
      <c r="AC248" s="1938"/>
      <c r="AD248" s="1939"/>
      <c r="AE248" s="1939"/>
      <c r="AF248" s="1939"/>
      <c r="AG248" s="1939"/>
      <c r="AH248" s="1940"/>
      <c r="AI248" s="6747"/>
    </row>
    <row r="249" ht="96.75" customHeight="1">
      <c r="A249" s="6738"/>
      <c r="B249" s="1941"/>
      <c r="C249" s="1942" t="str">
        <f>IMAGE("https://i.ibb.co/h9K4sWf/Morty.png")</f>
        <v/>
      </c>
      <c r="D249" s="1943"/>
      <c r="E249" s="1944" t="str">
        <f t="array" ref="E249">IFERROR(VLOOKUP(E250,Dex!$B$3:$G1219,3,FALSE),"")</f>
        <v/>
      </c>
      <c r="F249" s="1945"/>
      <c r="G249" s="1945"/>
      <c r="H249" s="1946"/>
      <c r="I249" s="1947"/>
      <c r="J249" s="1944" t="str">
        <f t="array" ref="J249">IFERROR(VLOOKUP(J250,Dex!$B$3:$G1219,3,FALSE),"")</f>
        <v/>
      </c>
      <c r="K249" s="1945"/>
      <c r="L249" s="1945"/>
      <c r="M249" s="1946"/>
      <c r="N249" s="1947"/>
      <c r="O249" s="1944" t="str">
        <f t="array" ref="O249">IFERROR(VLOOKUP(O250,Dex!$B$3:$G1219,3,FALSE),"")</f>
        <v/>
      </c>
      <c r="P249" s="1945"/>
      <c r="Q249" s="1945"/>
      <c r="R249" s="1946"/>
      <c r="S249" s="1947"/>
      <c r="T249" s="1944" t="str">
        <f t="array" ref="T249">IFERROR(VLOOKUP(T250,Dex!$B$3:$G1219,3,FALSE),"")</f>
        <v/>
      </c>
      <c r="U249" s="1945"/>
      <c r="V249" s="1945"/>
      <c r="W249" s="1946"/>
      <c r="X249" s="1947"/>
      <c r="Y249" s="1944" t="str">
        <f t="array" ref="Y249">IFERROR(VLOOKUP(Y250,Dex!$B$3:$G1219,3,FALSE),"")</f>
        <v/>
      </c>
      <c r="Z249" s="1945"/>
      <c r="AA249" s="1945"/>
      <c r="AB249" s="1946"/>
      <c r="AC249" s="1947"/>
      <c r="AD249" s="1944" t="str">
        <f t="array" ref="AD249">IFERROR(VLOOKUP(AD250,Dex!$B$3:$G1219,3,FALSE),"")</f>
        <v/>
      </c>
      <c r="AE249" s="1945"/>
      <c r="AF249" s="1945"/>
      <c r="AG249" s="1946"/>
      <c r="AH249" s="1948"/>
      <c r="AI249" s="6747"/>
    </row>
    <row r="250" ht="18.75" customHeight="1">
      <c r="A250" s="6738"/>
      <c r="B250" s="1949"/>
      <c r="C250" s="6845" t="s">
        <v>2024</v>
      </c>
      <c r="D250" s="1951"/>
      <c r="E250" s="1952" t="s">
        <v>2025</v>
      </c>
      <c r="F250" s="1953"/>
      <c r="G250" s="1953"/>
      <c r="H250" s="1954"/>
      <c r="J250" s="1952" t="s">
        <v>2026</v>
      </c>
      <c r="K250" s="1953"/>
      <c r="L250" s="1953"/>
      <c r="M250" s="1954"/>
      <c r="O250" s="1952" t="s">
        <v>1329</v>
      </c>
      <c r="P250" s="1953"/>
      <c r="Q250" s="1953"/>
      <c r="R250" s="1954"/>
      <c r="T250" s="1952" t="s">
        <v>1825</v>
      </c>
      <c r="U250" s="1953"/>
      <c r="V250" s="1953"/>
      <c r="W250" s="1954"/>
      <c r="Y250" s="1952" t="s">
        <v>868</v>
      </c>
      <c r="Z250" s="1953"/>
      <c r="AA250" s="1953"/>
      <c r="AB250" s="1954"/>
      <c r="AD250" s="1952" t="s">
        <v>2027</v>
      </c>
      <c r="AE250" s="1953"/>
      <c r="AF250" s="1953"/>
      <c r="AG250" s="1954"/>
      <c r="AH250" s="1955"/>
      <c r="AI250" s="6747"/>
    </row>
    <row r="251">
      <c r="A251" s="6738"/>
      <c r="B251" s="1956"/>
      <c r="C251" s="6840"/>
      <c r="D251" s="1957"/>
      <c r="E251" s="1958" t="s">
        <v>729</v>
      </c>
      <c r="F251" s="1959"/>
      <c r="G251" s="1959"/>
      <c r="H251" s="1960"/>
      <c r="J251" s="1958" t="s">
        <v>729</v>
      </c>
      <c r="K251" s="1959"/>
      <c r="L251" s="1959"/>
      <c r="M251" s="1960"/>
      <c r="O251" s="1958" t="s">
        <v>729</v>
      </c>
      <c r="P251" s="1959"/>
      <c r="Q251" s="1959"/>
      <c r="R251" s="1960"/>
      <c r="T251" s="1958" t="s">
        <v>729</v>
      </c>
      <c r="U251" s="1959"/>
      <c r="V251" s="1959"/>
      <c r="W251" s="1960"/>
      <c r="Y251" s="1958" t="s">
        <v>729</v>
      </c>
      <c r="Z251" s="1959"/>
      <c r="AA251" s="1959"/>
      <c r="AB251" s="1960"/>
      <c r="AD251" s="1958" t="s">
        <v>729</v>
      </c>
      <c r="AE251" s="1959"/>
      <c r="AF251" s="1959"/>
      <c r="AG251" s="1960"/>
      <c r="AH251" s="1961"/>
      <c r="AI251" s="6747"/>
    </row>
    <row r="252" ht="25.5" customHeight="1">
      <c r="A252" s="6738"/>
      <c r="B252" s="1962"/>
      <c r="C252" s="6840"/>
      <c r="D252" s="1971"/>
      <c r="E252" s="1964"/>
      <c r="F252" s="1965" t="str">
        <f t="array" ref="F252">IFERROR(VLOOKUP(E250,Dex!$B$3:$H1219,5,FALSE),"")</f>
        <v/>
      </c>
      <c r="G252" s="1966" t="str">
        <f t="array" ref="G252">IFERROR(VLOOKUP(E250,Dex!$B$3:$H1219,7,FALSE),"")</f>
        <v/>
      </c>
      <c r="H252" s="1967"/>
      <c r="J252" s="1964"/>
      <c r="K252" s="1965" t="str">
        <f t="array" ref="K252">IFERROR(VLOOKUP(J250,Dex!$B$3:$H1219,5,FALSE),"")</f>
        <v/>
      </c>
      <c r="L252" s="1966" t="str">
        <f t="array" ref="L252">IFERROR(VLOOKUP(J250,Dex!$B$3:$H1219,7,FALSE),"")</f>
        <v/>
      </c>
      <c r="M252" s="1967"/>
      <c r="O252" s="1964"/>
      <c r="P252" s="1968" t="str">
        <f t="array" ref="P252">IFERROR(VLOOKUP(O250,Dex!$B$3:$H1219,5,FALSE),"")</f>
        <v/>
      </c>
      <c r="Q252" s="1969"/>
      <c r="R252" s="1967"/>
      <c r="T252" s="1964"/>
      <c r="U252" s="1965" t="str">
        <f t="array" ref="U252">IFERROR(VLOOKUP(T250,Dex!$B$3:$H1219,5,FALSE),"")</f>
        <v/>
      </c>
      <c r="V252" s="1966" t="str">
        <f t="array" ref="V252">IFERROR(VLOOKUP(T250,Dex!$B$3:$H1219,7,FALSE),"")</f>
        <v/>
      </c>
      <c r="W252" s="1967"/>
      <c r="Y252" s="1964"/>
      <c r="Z252" s="1965" t="str">
        <f t="array" ref="Z252">IFERROR(VLOOKUP(Y250,Dex!$B$3:$H1219,5,FALSE),"")</f>
        <v/>
      </c>
      <c r="AA252" s="1966" t="str">
        <f t="array" ref="AA252">IFERROR(VLOOKUP(Y250,Dex!$B$3:$H1219,7,FALSE),"")</f>
        <v/>
      </c>
      <c r="AB252" s="1967"/>
      <c r="AD252" s="1964"/>
      <c r="AE252" s="1965" t="str">
        <f t="array" ref="AE252">IFERROR(VLOOKUP(AD250,Dex!$B$3:$H1219,5,FALSE),"")</f>
        <v/>
      </c>
      <c r="AF252" s="1966" t="str">
        <f t="array" ref="AF252">IFERROR(VLOOKUP(AD250,Dex!$B$3:$H1219,7,FALSE),"")</f>
        <v/>
      </c>
      <c r="AG252" s="1967"/>
      <c r="AH252" s="1948"/>
      <c r="AI252" s="6747"/>
    </row>
    <row r="253" ht="2.25" customHeight="1">
      <c r="A253" s="6738"/>
      <c r="B253" s="1962"/>
      <c r="C253" s="6840"/>
      <c r="D253" s="1971"/>
      <c r="E253" s="1972"/>
      <c r="F253" s="1973"/>
      <c r="G253" s="1973"/>
      <c r="H253" s="1974"/>
      <c r="J253" s="1972"/>
      <c r="K253" s="1973"/>
      <c r="L253" s="1973"/>
      <c r="M253" s="1974"/>
      <c r="O253" s="1972"/>
      <c r="P253" s="1973"/>
      <c r="Q253" s="1973"/>
      <c r="R253" s="1974"/>
      <c r="T253" s="1972"/>
      <c r="U253" s="1973"/>
      <c r="V253" s="1973"/>
      <c r="W253" s="1974"/>
      <c r="Y253" s="1972"/>
      <c r="Z253" s="1973"/>
      <c r="AA253" s="1973"/>
      <c r="AB253" s="1974"/>
      <c r="AD253" s="1972"/>
      <c r="AE253" s="1973"/>
      <c r="AF253" s="1973"/>
      <c r="AG253" s="1974"/>
      <c r="AH253" s="1948"/>
      <c r="AI253" s="6747"/>
    </row>
    <row r="254" ht="20.25" customHeight="1">
      <c r="A254" s="6738"/>
      <c r="B254" s="1962"/>
      <c r="C254" s="556"/>
      <c r="D254" s="1971"/>
      <c r="E254" s="1976" t="s">
        <v>532</v>
      </c>
      <c r="F254" s="1977"/>
      <c r="G254" s="1977"/>
      <c r="H254" s="1978"/>
      <c r="J254" s="1976" t="s">
        <v>532</v>
      </c>
      <c r="K254" s="1977"/>
      <c r="L254" s="1977"/>
      <c r="M254" s="1978"/>
      <c r="O254" s="1976" t="s">
        <v>564</v>
      </c>
      <c r="P254" s="1977"/>
      <c r="Q254" s="1977"/>
      <c r="R254" s="1978"/>
      <c r="T254" s="1976" t="s">
        <v>532</v>
      </c>
      <c r="U254" s="1977"/>
      <c r="V254" s="1977"/>
      <c r="W254" s="1978"/>
      <c r="Y254" s="1976" t="s">
        <v>564</v>
      </c>
      <c r="Z254" s="1977"/>
      <c r="AA254" s="1977"/>
      <c r="AB254" s="1978"/>
      <c r="AD254" s="1976" t="s">
        <v>532</v>
      </c>
      <c r="AE254" s="1977"/>
      <c r="AF254" s="1977"/>
      <c r="AG254" s="1978"/>
      <c r="AH254" s="1948"/>
      <c r="AI254" s="6747"/>
    </row>
    <row r="255">
      <c r="A255" s="6738"/>
      <c r="B255" s="1962"/>
      <c r="C255" s="1979"/>
      <c r="D255" s="1971"/>
      <c r="E255" s="1980" t="s">
        <v>2028</v>
      </c>
      <c r="F255" s="1959"/>
      <c r="G255" s="1959"/>
      <c r="H255" s="1960"/>
      <c r="J255" s="1980" t="s">
        <v>826</v>
      </c>
      <c r="K255" s="1959"/>
      <c r="L255" s="1959"/>
      <c r="M255" s="1960"/>
      <c r="O255" s="1980" t="s">
        <v>1333</v>
      </c>
      <c r="P255" s="1959"/>
      <c r="Q255" s="1959"/>
      <c r="R255" s="1960"/>
      <c r="T255" s="1980" t="s">
        <v>1070</v>
      </c>
      <c r="U255" s="1959"/>
      <c r="V255" s="1959"/>
      <c r="W255" s="1960"/>
      <c r="Y255" s="1980" t="s">
        <v>2029</v>
      </c>
      <c r="Z255" s="1959"/>
      <c r="AA255" s="1959"/>
      <c r="AB255" s="1960"/>
      <c r="AD255" s="1980" t="s">
        <v>2030</v>
      </c>
      <c r="AE255" s="1959"/>
      <c r="AF255" s="1959"/>
      <c r="AG255" s="1960"/>
      <c r="AH255" s="1948"/>
      <c r="AI255" s="6747"/>
    </row>
    <row r="256" ht="20.25" customHeight="1">
      <c r="A256" s="6738"/>
      <c r="B256" s="1962"/>
      <c r="C256" s="1981"/>
      <c r="D256" s="1971"/>
      <c r="E256" s="1982" t="s">
        <v>1261</v>
      </c>
      <c r="F256" s="1983"/>
      <c r="G256" s="1984"/>
      <c r="H256" s="1985" t="str">
        <f>IMAGE("https://raw.githubusercontent.com/msikma/pokesprite/master/items/z-crystals/ghostium-z--held.png",3)</f>
        <v/>
      </c>
      <c r="J256" s="1982" t="s">
        <v>573</v>
      </c>
      <c r="K256" s="1983"/>
      <c r="L256" s="1984"/>
      <c r="M256" s="1985" t="str">
        <f>IMAGE("https://raw.githubusercontent.com/msikma/pokesprite/master/items/hold-item/focus-sash.png",3)</f>
        <v/>
      </c>
      <c r="O256" s="1982" t="s">
        <v>733</v>
      </c>
      <c r="P256" s="1983"/>
      <c r="Q256" s="1984"/>
      <c r="R256" s="1985" t="str">
        <f>IMAGE("https://raw.githubusercontent.com/msikma/pokesprite/master/items/hold-item/leftovers.png",3)</f>
        <v/>
      </c>
      <c r="T256" s="1982" t="s">
        <v>664</v>
      </c>
      <c r="U256" s="1983"/>
      <c r="V256" s="1984"/>
      <c r="W256" s="1985" t="str">
        <f>IMAGE("https://raw.githubusercontent.com/msikma/pokesprite/master/items/hold-item/black-glasses.png",3)</f>
        <v/>
      </c>
      <c r="Y256" s="1982" t="s">
        <v>873</v>
      </c>
      <c r="Z256" s="1983"/>
      <c r="AA256" s="1984"/>
      <c r="AB256" s="1985" t="str">
        <f>IMAGE("https://raw.githubusercontent.com/msikma/pokesprite/master/items/mega-stone/gengarite.png",3)</f>
        <v/>
      </c>
      <c r="AD256" s="1982" t="s">
        <v>733</v>
      </c>
      <c r="AE256" s="1983"/>
      <c r="AF256" s="1984"/>
      <c r="AG256" s="1985" t="str">
        <f>IMAGE("https://raw.githubusercontent.com/msikma/pokesprite/master/items/hold-item/leftovers.png",3)</f>
        <v/>
      </c>
      <c r="AH256" s="1948"/>
      <c r="AI256" s="6747"/>
    </row>
    <row r="257" ht="20.25" customHeight="1">
      <c r="A257" s="6738"/>
      <c r="B257" s="1962"/>
      <c r="C257" s="1986"/>
      <c r="D257" s="1971"/>
      <c r="E257" s="1976" t="s">
        <v>1682</v>
      </c>
      <c r="F257" s="1977"/>
      <c r="G257" s="1977"/>
      <c r="H257" s="1987" t="str">
        <f>IMAGE("https://raw.githubusercontent.com/msikma/pokesprite/master/misc/types/gen8/ghost.png",4,20,20)</f>
        <v/>
      </c>
      <c r="J257" s="1976" t="s">
        <v>168</v>
      </c>
      <c r="K257" s="1977"/>
      <c r="L257" s="1977"/>
      <c r="M257" s="1987" t="str">
        <f t="shared" ref="M257:M258" si="8">IMAGE("https://raw.githubusercontent.com/msikma/pokesprite/master/misc/types/gen8/fighting.png",4,20,20)</f>
        <v/>
      </c>
      <c r="O257" s="1976" t="s">
        <v>611</v>
      </c>
      <c r="P257" s="1977"/>
      <c r="Q257" s="1977"/>
      <c r="R257" s="1987" t="str">
        <f>IMAGE("https://raw.githubusercontent.com/msikma/pokesprite/master/misc/types/gen8/electric.png",4,20,20)</f>
        <v/>
      </c>
      <c r="T257" s="1976" t="s">
        <v>612</v>
      </c>
      <c r="U257" s="1977"/>
      <c r="V257" s="1977"/>
      <c r="W257" s="1987" t="str">
        <f>IMAGE("https://raw.githubusercontent.com/msikma/pokesprite/master/misc/types/gen8/bug.png",4,20,20)</f>
        <v/>
      </c>
      <c r="Y257" s="1976" t="s">
        <v>647</v>
      </c>
      <c r="Z257" s="1977"/>
      <c r="AA257" s="1977"/>
      <c r="AB257" s="1987" t="str">
        <f>IMAGE("https://raw.githubusercontent.com/msikma/pokesprite/master/misc/types/gen8/ghost.png",4,20,20)</f>
        <v/>
      </c>
      <c r="AD257" s="1976" t="s">
        <v>612</v>
      </c>
      <c r="AE257" s="1977"/>
      <c r="AF257" s="1977"/>
      <c r="AG257" s="1987" t="str">
        <f>IMAGE("https://raw.githubusercontent.com/msikma/pokesprite/master/misc/types/gen8/bug.png",4,20,20)</f>
        <v/>
      </c>
      <c r="AH257" s="1948"/>
      <c r="AI257" s="6747"/>
    </row>
    <row r="258" ht="20.25" customHeight="1">
      <c r="A258" s="6738"/>
      <c r="B258" s="1962"/>
      <c r="C258" s="1975"/>
      <c r="D258" s="1971"/>
      <c r="E258" s="1980" t="s">
        <v>959</v>
      </c>
      <c r="F258" s="1959"/>
      <c r="G258" s="1959"/>
      <c r="H258" s="1988" t="str">
        <f>IMAGE("https://raw.githubusercontent.com/msikma/pokesprite/master/misc/types/gen8/fairy.png",4,20,20)</f>
        <v/>
      </c>
      <c r="J258" s="1980" t="s">
        <v>548</v>
      </c>
      <c r="K258" s="1959"/>
      <c r="L258" s="1959"/>
      <c r="M258" s="1988" t="str">
        <f t="shared" si="8"/>
        <v/>
      </c>
      <c r="O258" s="1980" t="s">
        <v>1339</v>
      </c>
      <c r="P258" s="1959"/>
      <c r="Q258" s="1959"/>
      <c r="R258" s="1988" t="str">
        <f>IMAGE("https://raw.githubusercontent.com/msikma/pokesprite/master/misc/types/gen8/fairy.png",4,20,20)</f>
        <v/>
      </c>
      <c r="T258" s="1980" t="s">
        <v>583</v>
      </c>
      <c r="U258" s="1959"/>
      <c r="V258" s="1959"/>
      <c r="W258" s="1988" t="str">
        <f>IMAGE("https://raw.githubusercontent.com/msikma/pokesprite/master/misc/types/gen8/fighting.png",4,20,20)</f>
        <v/>
      </c>
      <c r="Y258" s="1980" t="s">
        <v>773</v>
      </c>
      <c r="Z258" s="1959"/>
      <c r="AA258" s="1959"/>
      <c r="AB258" s="1988" t="str">
        <f>IMAGE("https://raw.githubusercontent.com/msikma/pokesprite/master/misc/types/gen8/poison.png",4,20,20)</f>
        <v/>
      </c>
      <c r="AD258" s="1980" t="s">
        <v>616</v>
      </c>
      <c r="AE258" s="1959"/>
      <c r="AF258" s="1959"/>
      <c r="AG258" s="1988" t="str">
        <f>IMAGE("https://raw.githubusercontent.com/msikma/pokesprite/master/misc/types/gen8/grass.png",4,20,20)</f>
        <v/>
      </c>
      <c r="AH258" s="1948"/>
      <c r="AI258" s="6747"/>
    </row>
    <row r="259" ht="20.25" customHeight="1">
      <c r="A259" s="6738"/>
      <c r="B259" s="1962"/>
      <c r="C259" s="1975"/>
      <c r="D259" s="1971"/>
      <c r="E259" s="1980" t="s">
        <v>875</v>
      </c>
      <c r="F259" s="1959"/>
      <c r="G259" s="1959"/>
      <c r="H259" s="1988" t="str">
        <f>IMAGE("https://raw.githubusercontent.com/msikma/pokesprite/master/misc/types/gen8/ghost.png",4,20,20)</f>
        <v/>
      </c>
      <c r="J259" s="1980" t="s">
        <v>2031</v>
      </c>
      <c r="K259" s="1959"/>
      <c r="L259" s="1959"/>
      <c r="M259" s="1988" t="str">
        <f t="shared" ref="M259:M260" si="9">IMAGE("https://raw.githubusercontent.com/msikma/pokesprite/master/misc/types/gen8/ghost.png",4,20,20)</f>
        <v/>
      </c>
      <c r="O259" s="1980" t="s">
        <v>619</v>
      </c>
      <c r="P259" s="1959"/>
      <c r="Q259" s="1959"/>
      <c r="R259" s="1988" t="str">
        <f>IMAGE("https://raw.githubusercontent.com/msikma/pokesprite/master/misc/types/gen8/fire.png",4,20,20)</f>
        <v/>
      </c>
      <c r="T259" s="1980" t="s">
        <v>667</v>
      </c>
      <c r="U259" s="1959"/>
      <c r="V259" s="1959"/>
      <c r="W259" s="1988" t="str">
        <f t="shared" ref="W259:W260" si="10">IMAGE("https://raw.githubusercontent.com/msikma/pokesprite/master/misc/types/gen8/dark.png",4,20,20)</f>
        <v/>
      </c>
      <c r="Y259" s="1980" t="s">
        <v>590</v>
      </c>
      <c r="Z259" s="1959"/>
      <c r="AA259" s="1959"/>
      <c r="AB259" s="1988" t="str">
        <f>IMAGE("https://raw.githubusercontent.com/msikma/pokesprite/master/misc/types/gen8/fighting.png",4,20,20)</f>
        <v/>
      </c>
      <c r="AD259" s="1980" t="s">
        <v>579</v>
      </c>
      <c r="AE259" s="1959"/>
      <c r="AF259" s="1959"/>
      <c r="AG259" s="1988" t="str">
        <f>IMAGE("https://raw.githubusercontent.com/msikma/pokesprite/master/misc/types/gen8/dark.png",4,20,20)</f>
        <v/>
      </c>
      <c r="AH259" s="1948"/>
      <c r="AI259" s="6747"/>
    </row>
    <row r="260" ht="21.0" customHeight="1">
      <c r="A260" s="6738"/>
      <c r="B260" s="1962"/>
      <c r="C260" s="1975"/>
      <c r="D260" s="1971"/>
      <c r="E260" s="1989" t="s">
        <v>287</v>
      </c>
      <c r="F260" s="1990"/>
      <c r="G260" s="1990"/>
      <c r="H260" s="1991" t="str">
        <f>IMAGE("https://raw.githubusercontent.com/msikma/pokesprite/master/misc/types/gen8/normal.png",4,20,20)</f>
        <v/>
      </c>
      <c r="I260" s="1953"/>
      <c r="J260" s="1989" t="s">
        <v>875</v>
      </c>
      <c r="K260" s="1990"/>
      <c r="L260" s="1990"/>
      <c r="M260" s="1991" t="str">
        <f t="shared" si="9"/>
        <v/>
      </c>
      <c r="N260" s="1953"/>
      <c r="O260" s="1989" t="s">
        <v>812</v>
      </c>
      <c r="P260" s="1990"/>
      <c r="Q260" s="1990"/>
      <c r="R260" s="1991" t="str">
        <f>IMAGE("https://raw.githubusercontent.com/msikma/pokesprite/master/misc/types/gen8/dark.png",4,20,20)</f>
        <v/>
      </c>
      <c r="S260" s="1953"/>
      <c r="T260" s="1989" t="s">
        <v>554</v>
      </c>
      <c r="U260" s="1990"/>
      <c r="V260" s="1990"/>
      <c r="W260" s="1991" t="str">
        <f t="shared" si="10"/>
        <v/>
      </c>
      <c r="X260" s="1953"/>
      <c r="Y260" s="1989" t="s">
        <v>547</v>
      </c>
      <c r="Z260" s="1990"/>
      <c r="AA260" s="1990"/>
      <c r="AB260" s="1991" t="str">
        <f>IMAGE("https://raw.githubusercontent.com/msikma/pokesprite/master/misc/types/gen8/electric.png",4,20,20)</f>
        <v/>
      </c>
      <c r="AC260" s="1953"/>
      <c r="AD260" s="1989" t="s">
        <v>583</v>
      </c>
      <c r="AE260" s="1990"/>
      <c r="AF260" s="1990"/>
      <c r="AG260" s="1991" t="str">
        <f>IMAGE("https://raw.githubusercontent.com/msikma/pokesprite/master/misc/types/gen8/fighting.png",4,20,20)</f>
        <v/>
      </c>
      <c r="AH260" s="1948"/>
      <c r="AI260" s="6747"/>
    </row>
    <row r="261" ht="3.0" customHeight="1">
      <c r="A261" s="6738"/>
      <c r="B261" s="1992"/>
      <c r="C261" s="1993"/>
      <c r="D261" s="1994"/>
      <c r="E261" s="1995"/>
      <c r="F261" s="1995"/>
      <c r="G261" s="1995"/>
      <c r="H261" s="1995"/>
      <c r="I261" s="1994"/>
      <c r="J261" s="1995"/>
      <c r="K261" s="1995"/>
      <c r="L261" s="1995"/>
      <c r="M261" s="1995"/>
      <c r="N261" s="1994"/>
      <c r="O261" s="1995"/>
      <c r="P261" s="1995"/>
      <c r="Q261" s="1995"/>
      <c r="R261" s="1995"/>
      <c r="S261" s="1994"/>
      <c r="T261" s="1995"/>
      <c r="U261" s="1995"/>
      <c r="V261" s="1995"/>
      <c r="W261" s="1995"/>
      <c r="X261" s="1994"/>
      <c r="Y261" s="1995"/>
      <c r="Z261" s="1996"/>
      <c r="AA261" s="1996"/>
      <c r="AB261" s="1997"/>
      <c r="AC261" s="1994"/>
      <c r="AD261" s="1998"/>
      <c r="AE261" s="1998"/>
      <c r="AF261" s="1998"/>
      <c r="AG261" s="1999"/>
      <c r="AH261" s="2000"/>
      <c r="AI261" s="6747"/>
    </row>
    <row r="262" ht="16.5" customHeight="1">
      <c r="A262" s="6738"/>
      <c r="B262" s="2001"/>
      <c r="C262" s="1993"/>
      <c r="D262" s="2002"/>
      <c r="E262" s="2003" t="s">
        <v>512</v>
      </c>
      <c r="F262" s="606"/>
      <c r="G262" s="606"/>
      <c r="H262" s="607"/>
      <c r="I262" s="2004"/>
      <c r="J262" s="2003" t="s">
        <v>512</v>
      </c>
      <c r="K262" s="606"/>
      <c r="L262" s="606"/>
      <c r="M262" s="607"/>
      <c r="N262" s="2004"/>
      <c r="O262" s="2003" t="s">
        <v>512</v>
      </c>
      <c r="P262" s="606"/>
      <c r="Q262" s="606"/>
      <c r="R262" s="607"/>
      <c r="S262" s="2004"/>
      <c r="T262" s="2003" t="s">
        <v>512</v>
      </c>
      <c r="U262" s="606"/>
      <c r="V262" s="606"/>
      <c r="W262" s="607"/>
      <c r="X262" s="2004"/>
      <c r="Y262" s="2003" t="s">
        <v>512</v>
      </c>
      <c r="Z262" s="606"/>
      <c r="AA262" s="606"/>
      <c r="AB262" s="607"/>
      <c r="AC262" s="2004"/>
      <c r="AD262" s="2003" t="s">
        <v>512</v>
      </c>
      <c r="AE262" s="606"/>
      <c r="AF262" s="606"/>
      <c r="AG262" s="607"/>
      <c r="AH262" s="2005"/>
      <c r="AI262" s="6747"/>
    </row>
    <row r="263" ht="16.5" customHeight="1">
      <c r="A263" s="6738"/>
      <c r="B263" s="2001"/>
      <c r="C263" s="1993"/>
      <c r="D263" s="2002"/>
      <c r="E263" s="2006" t="s">
        <v>513</v>
      </c>
      <c r="F263" s="2007">
        <f t="array" ref="F263">IFERROR(VLOOKUP(E250,Dex!$B$3:$N1219,8,FALSE),"")</f>
        <v>55</v>
      </c>
      <c r="G263" s="2008" t="str">
        <f t="array" ref="G263">IFERROR(VLOOKUP(F263,Dex!$P$22:$Q$276,2,FALSE),"")</f>
        <v/>
      </c>
      <c r="H263" s="2009"/>
      <c r="I263" s="2010"/>
      <c r="J263" s="2006" t="s">
        <v>513</v>
      </c>
      <c r="K263" s="2007">
        <f t="array" ref="K263">IFERROR(VLOOKUP(J250,Dex!$B$3:$N1219,8,FALSE),"")</f>
        <v>90</v>
      </c>
      <c r="L263" s="2008" t="str">
        <f t="array" ref="L263">IFERROR(VLOOKUP(K263,Dex!$P$22:$Q$276,2,FALSE),"")</f>
        <v/>
      </c>
      <c r="M263" s="2009"/>
      <c r="N263" s="2010"/>
      <c r="O263" s="2006" t="s">
        <v>513</v>
      </c>
      <c r="P263" s="2007">
        <f t="array" ref="P263">IFERROR(VLOOKUP(O250,Dex!$B$3:$N1219,8,FALSE),"")</f>
        <v>100</v>
      </c>
      <c r="Q263" s="2008" t="str">
        <f t="array" ref="Q263">IFERROR(VLOOKUP(P263,Dex!$P$22:$Q$276,2,FALSE),"")</f>
        <v/>
      </c>
      <c r="R263" s="2009"/>
      <c r="S263" s="2010"/>
      <c r="T263" s="2006" t="s">
        <v>513</v>
      </c>
      <c r="U263" s="2007">
        <f t="array" ref="U263">IFERROR(VLOOKUP(T250,Dex!$B$3:$N1219,8,FALSE),"")</f>
        <v>100</v>
      </c>
      <c r="V263" s="2008" t="str">
        <f t="array" ref="V263">IFERROR(VLOOKUP(U263,Dex!$P$22:$Q$276,2,FALSE),"")</f>
        <v/>
      </c>
      <c r="W263" s="2009"/>
      <c r="X263" s="2010"/>
      <c r="Y263" s="2006" t="s">
        <v>513</v>
      </c>
      <c r="Z263" s="2007">
        <f t="array" ref="Z263">IFERROR(VLOOKUP(Y250,Dex!$B$3:$N1219,8,FALSE),"")</f>
        <v>60</v>
      </c>
      <c r="AA263" s="2008" t="str">
        <f t="array" ref="AA263">IFERROR(VLOOKUP(Z263,Dex!$P$22:$Q$276,2,FALSE),"")</f>
        <v/>
      </c>
      <c r="AB263" s="2009"/>
      <c r="AC263" s="2010"/>
      <c r="AD263" s="2006" t="s">
        <v>513</v>
      </c>
      <c r="AE263" s="2007">
        <f t="array" ref="AE263">IFERROR(VLOOKUP(AD250,Dex!$B$3:$N1219,8,FALSE),"")</f>
        <v>105</v>
      </c>
      <c r="AF263" s="2008" t="str">
        <f t="array" ref="AF263">IFERROR(VLOOKUP(AE263,Dex!$P$22:$Q$276,2,FALSE),"")</f>
        <v/>
      </c>
      <c r="AG263" s="2009"/>
      <c r="AH263" s="2011"/>
      <c r="AI263" s="6747"/>
    </row>
    <row r="264" ht="16.5" customHeight="1">
      <c r="A264" s="6738"/>
      <c r="B264" s="2001"/>
      <c r="C264" s="1993"/>
      <c r="D264" s="2002"/>
      <c r="E264" s="2012" t="s">
        <v>514</v>
      </c>
      <c r="F264" s="2013">
        <f t="array" ref="F264">IFERROR(VLOOKUP(E250,Dex!$B$3:$N1219,9,FALSE),"")</f>
        <v>90</v>
      </c>
      <c r="G264" s="2014" t="str">
        <f t="array" ref="G264">IFERROR(VLOOKUP(F264,Dex!$P$22:$Q$276,2,FALSE),"")</f>
        <v/>
      </c>
      <c r="H264" s="2015"/>
      <c r="I264" s="2010"/>
      <c r="J264" s="2012" t="s">
        <v>514</v>
      </c>
      <c r="K264" s="2013">
        <f t="array" ref="K264">IFERROR(VLOOKUP(J250,Dex!$B$3:$N1219,9,FALSE),"")</f>
        <v>125</v>
      </c>
      <c r="L264" s="2014" t="str">
        <f t="array" ref="L264">IFERROR(VLOOKUP(K264,Dex!$P$22:$Q$276,2,FALSE),"")</f>
        <v/>
      </c>
      <c r="M264" s="2015"/>
      <c r="N264" s="2010"/>
      <c r="O264" s="2012" t="s">
        <v>514</v>
      </c>
      <c r="P264" s="2013">
        <f t="array" ref="P264">IFERROR(VLOOKUP(O250,Dex!$B$3:$N1219,9,FALSE),"")</f>
        <v>100</v>
      </c>
      <c r="Q264" s="2014" t="str">
        <f t="array" ref="Q264">IFERROR(VLOOKUP(P264,Dex!$P$22:$Q$276,2,FALSE),"")</f>
        <v/>
      </c>
      <c r="R264" s="2015"/>
      <c r="S264" s="2010"/>
      <c r="T264" s="2012" t="s">
        <v>514</v>
      </c>
      <c r="U264" s="2013">
        <f t="array" ref="U264">IFERROR(VLOOKUP(T250,Dex!$B$3:$N1219,9,FALSE),"")</f>
        <v>130</v>
      </c>
      <c r="V264" s="2014" t="str">
        <f t="array" ref="V264">IFERROR(VLOOKUP(U264,Dex!$P$22:$Q$276,2,FALSE),"")</f>
        <v/>
      </c>
      <c r="W264" s="2015"/>
      <c r="X264" s="2010"/>
      <c r="Y264" s="2012" t="s">
        <v>514</v>
      </c>
      <c r="Z264" s="2013">
        <f t="array" ref="Z264">IFERROR(VLOOKUP(Y250,Dex!$B$3:$N1219,9,FALSE),"")</f>
        <v>65</v>
      </c>
      <c r="AA264" s="2014" t="str">
        <f t="array" ref="AA264">IFERROR(VLOOKUP(Z264,Dex!$P$22:$Q$276,2,FALSE),"")</f>
        <v/>
      </c>
      <c r="AB264" s="2015"/>
      <c r="AC264" s="2010"/>
      <c r="AD264" s="2012" t="s">
        <v>514</v>
      </c>
      <c r="AE264" s="2013">
        <f t="array" ref="AE264">IFERROR(VLOOKUP(AD250,Dex!$B$3:$N1219,9,FALSE),"")</f>
        <v>120</v>
      </c>
      <c r="AF264" s="2014" t="str">
        <f t="array" ref="AF264">IFERROR(VLOOKUP(AE264,Dex!$P$22:$Q$276,2,FALSE),"")</f>
        <v/>
      </c>
      <c r="AG264" s="2015"/>
      <c r="AH264" s="2011"/>
      <c r="AI264" s="6747"/>
    </row>
    <row r="265" ht="16.5" customHeight="1">
      <c r="A265" s="6738"/>
      <c r="B265" s="2001"/>
      <c r="C265" s="1993"/>
      <c r="D265" s="2002"/>
      <c r="E265" s="2012" t="s">
        <v>515</v>
      </c>
      <c r="F265" s="2013">
        <f t="array" ref="F265">IFERROR(VLOOKUP(E250,Dex!$B$3:$N1219,10,FALSE),"")</f>
        <v>80</v>
      </c>
      <c r="G265" s="2014" t="str">
        <f t="array" ref="G265">IFERROR(VLOOKUP(F265,Dex!$P$22:$Q$276,2,FALSE),"")</f>
        <v/>
      </c>
      <c r="H265" s="2015"/>
      <c r="I265" s="2010"/>
      <c r="J265" s="2012" t="s">
        <v>515</v>
      </c>
      <c r="K265" s="2013">
        <f t="array" ref="K265">IFERROR(VLOOKUP(J250,Dex!$B$3:$N1219,10,FALSE),"")</f>
        <v>80</v>
      </c>
      <c r="L265" s="2014" t="str">
        <f t="array" ref="L265">IFERROR(VLOOKUP(K265,Dex!$P$22:$Q$276,2,FALSE),"")</f>
        <v/>
      </c>
      <c r="M265" s="2015"/>
      <c r="N265" s="2010"/>
      <c r="O265" s="2012" t="s">
        <v>515</v>
      </c>
      <c r="P265" s="2013">
        <f t="array" ref="P265">IFERROR(VLOOKUP(O250,Dex!$B$3:$N1219,10,FALSE),"")</f>
        <v>100</v>
      </c>
      <c r="Q265" s="2014" t="str">
        <f t="array" ref="Q265">IFERROR(VLOOKUP(P265,Dex!$P$22:$Q$276,2,FALSE),"")</f>
        <v/>
      </c>
      <c r="R265" s="2015"/>
      <c r="S265" s="2010"/>
      <c r="T265" s="2012" t="s">
        <v>515</v>
      </c>
      <c r="U265" s="2013">
        <f t="array" ref="U265">IFERROR(VLOOKUP(T250,Dex!$B$3:$N1219,10,FALSE),"")</f>
        <v>100</v>
      </c>
      <c r="V265" s="2014" t="str">
        <f t="array" ref="V265">IFERROR(VLOOKUP(U265,Dex!$P$22:$Q$276,2,FALSE),"")</f>
        <v/>
      </c>
      <c r="W265" s="2015"/>
      <c r="X265" s="2010"/>
      <c r="Y265" s="2012" t="s">
        <v>515</v>
      </c>
      <c r="Z265" s="2013">
        <f t="array" ref="Z265">IFERROR(VLOOKUP(Y250,Dex!$B$3:$N1219,10,FALSE),"")</f>
        <v>80</v>
      </c>
      <c r="AA265" s="2014" t="str">
        <f t="array" ref="AA265">IFERROR(VLOOKUP(Z265,Dex!$P$22:$Q$276,2,FALSE),"")</f>
        <v/>
      </c>
      <c r="AB265" s="2015"/>
      <c r="AC265" s="2010"/>
      <c r="AD265" s="2012" t="s">
        <v>515</v>
      </c>
      <c r="AE265" s="2013">
        <f t="array" ref="AE265">IFERROR(VLOOKUP(AD250,Dex!$B$3:$N1219,10,FALSE),"")</f>
        <v>105</v>
      </c>
      <c r="AF265" s="2014" t="str">
        <f t="array" ref="AF265">IFERROR(VLOOKUP(AE265,Dex!$P$22:$Q$276,2,FALSE),"")</f>
        <v/>
      </c>
      <c r="AG265" s="2015"/>
      <c r="AH265" s="2011"/>
      <c r="AI265" s="6747"/>
    </row>
    <row r="266" ht="16.5" customHeight="1">
      <c r="A266" s="6738"/>
      <c r="B266" s="2001"/>
      <c r="C266" s="1993"/>
      <c r="D266" s="2002"/>
      <c r="E266" s="2012" t="s">
        <v>516</v>
      </c>
      <c r="F266" s="2013">
        <f t="array" ref="F266">IFERROR(VLOOKUP(E250,Dex!$B$3:$N1219,11,FALSE),"")</f>
        <v>50</v>
      </c>
      <c r="G266" s="2014" t="str">
        <f t="array" ref="G266">IFERROR(VLOOKUP(F266,Dex!$P$22:$Q$276,2,FALSE),"")</f>
        <v/>
      </c>
      <c r="H266" s="2015"/>
      <c r="I266" s="2010"/>
      <c r="J266" s="2012" t="s">
        <v>516</v>
      </c>
      <c r="K266" s="2013">
        <f t="array" ref="K266">IFERROR(VLOOKUP(J250,Dex!$B$3:$N1219,11,FALSE),"")</f>
        <v>90</v>
      </c>
      <c r="L266" s="2014" t="str">
        <f t="array" ref="L266">IFERROR(VLOOKUP(K266,Dex!$P$22:$Q$276,2,FALSE),"")</f>
        <v/>
      </c>
      <c r="M266" s="2015"/>
      <c r="N266" s="2010"/>
      <c r="O266" s="2012" t="s">
        <v>516</v>
      </c>
      <c r="P266" s="2013">
        <f t="array" ref="P266">IFERROR(VLOOKUP(O250,Dex!$B$3:$N1219,11,FALSE),"")</f>
        <v>100</v>
      </c>
      <c r="Q266" s="2014" t="str">
        <f t="array" ref="Q266">IFERROR(VLOOKUP(P266,Dex!$P$22:$Q$276,2,FALSE),"")</f>
        <v/>
      </c>
      <c r="R266" s="2015"/>
      <c r="S266" s="2010"/>
      <c r="T266" s="2012" t="s">
        <v>516</v>
      </c>
      <c r="U266" s="2013">
        <f t="array" ref="U266">IFERROR(VLOOKUP(T250,Dex!$B$3:$N1219,11,FALSE),"")</f>
        <v>63</v>
      </c>
      <c r="V266" s="2014" t="str">
        <f t="array" ref="V266">IFERROR(VLOOKUP(U266,Dex!$P$22:$Q$276,2,FALSE),"")</f>
        <v/>
      </c>
      <c r="W266" s="2015"/>
      <c r="X266" s="2010"/>
      <c r="Y266" s="2012" t="s">
        <v>516</v>
      </c>
      <c r="Z266" s="2013">
        <f t="array" ref="Z266">IFERROR(VLOOKUP(Y250,Dex!$B$3:$N1219,11,FALSE),"")</f>
        <v>170</v>
      </c>
      <c r="AA266" s="2014" t="str">
        <f t="array" ref="AA266">IFERROR(VLOOKUP(Z266,Dex!$P$22:$Q$276,2,FALSE),"")</f>
        <v/>
      </c>
      <c r="AB266" s="2015"/>
      <c r="AC266" s="2010"/>
      <c r="AD266" s="2012" t="s">
        <v>516</v>
      </c>
      <c r="AE266" s="2013">
        <f t="array" ref="AE266">IFERROR(VLOOKUP(AD250,Dex!$B$3:$N1219,11,FALSE),"")</f>
        <v>70</v>
      </c>
      <c r="AF266" s="2014" t="str">
        <f t="array" ref="AF266">IFERROR(VLOOKUP(AE266,Dex!$P$22:$Q$276,2,FALSE),"")</f>
        <v/>
      </c>
      <c r="AG266" s="2015"/>
      <c r="AH266" s="2011"/>
      <c r="AI266" s="6747"/>
    </row>
    <row r="267" ht="16.5" customHeight="1">
      <c r="A267" s="6738"/>
      <c r="B267" s="2001"/>
      <c r="C267" s="1993"/>
      <c r="D267" s="2002"/>
      <c r="E267" s="2012" t="s">
        <v>517</v>
      </c>
      <c r="F267" s="2013">
        <f t="array" ref="F267">IFERROR(VLOOKUP(E250,Dex!$B$3:$N1219,12,FALSE),"")</f>
        <v>105</v>
      </c>
      <c r="G267" s="2014" t="str">
        <f t="array" ref="G267">IFERROR(VLOOKUP(F267,Dex!$P$22:$Q$276,2,FALSE),"")</f>
        <v/>
      </c>
      <c r="H267" s="2015"/>
      <c r="I267" s="2010"/>
      <c r="J267" s="2012" t="s">
        <v>517</v>
      </c>
      <c r="K267" s="2013">
        <f t="array" ref="K267">IFERROR(VLOOKUP(J250,Dex!$B$3:$N1219,12,FALSE),"")</f>
        <v>90</v>
      </c>
      <c r="L267" s="2014" t="str">
        <f t="array" ref="L267">IFERROR(VLOOKUP(K267,Dex!$P$22:$Q$276,2,FALSE),"")</f>
        <v/>
      </c>
      <c r="M267" s="2015"/>
      <c r="N267" s="2010"/>
      <c r="O267" s="2012" t="s">
        <v>517</v>
      </c>
      <c r="P267" s="2013">
        <f t="array" ref="P267">IFERROR(VLOOKUP(O250,Dex!$B$3:$N1219,12,FALSE),"")</f>
        <v>100</v>
      </c>
      <c r="Q267" s="2014" t="str">
        <f t="array" ref="Q267">IFERROR(VLOOKUP(P267,Dex!$P$22:$Q$276,2,FALSE),"")</f>
        <v/>
      </c>
      <c r="R267" s="2015"/>
      <c r="S267" s="2010"/>
      <c r="T267" s="2012" t="s">
        <v>517</v>
      </c>
      <c r="U267" s="2013">
        <f t="array" ref="U267">IFERROR(VLOOKUP(T250,Dex!$B$3:$N1219,12,FALSE),"")</f>
        <v>60</v>
      </c>
      <c r="V267" s="2014" t="str">
        <f t="array" ref="V267">IFERROR(VLOOKUP(U267,Dex!$P$22:$Q$276,2,FALSE),"")</f>
        <v/>
      </c>
      <c r="W267" s="2015"/>
      <c r="X267" s="2010"/>
      <c r="Y267" s="2012" t="s">
        <v>517</v>
      </c>
      <c r="Z267" s="2013">
        <f t="array" ref="Z267">IFERROR(VLOOKUP(Y250,Dex!$B$3:$N1219,12,FALSE),"")</f>
        <v>95</v>
      </c>
      <c r="AA267" s="2014" t="str">
        <f t="array" ref="AA267">IFERROR(VLOOKUP(Z267,Dex!$P$22:$Q$276,2,FALSE),"")</f>
        <v/>
      </c>
      <c r="AB267" s="2015"/>
      <c r="AC267" s="2010"/>
      <c r="AD267" s="2012" t="s">
        <v>517</v>
      </c>
      <c r="AE267" s="2013">
        <f t="array" ref="AE267">IFERROR(VLOOKUP(AD250,Dex!$B$3:$N1219,12,FALSE),"")</f>
        <v>95</v>
      </c>
      <c r="AF267" s="2014" t="str">
        <f t="array" ref="AF267">IFERROR(VLOOKUP(AE267,Dex!$P$22:$Q$276,2,FALSE),"")</f>
        <v/>
      </c>
      <c r="AG267" s="2015"/>
      <c r="AH267" s="2011"/>
      <c r="AI267" s="6747"/>
    </row>
    <row r="268" ht="15.75" customHeight="1">
      <c r="A268" s="6738"/>
      <c r="B268" s="2001"/>
      <c r="C268" s="1993"/>
      <c r="D268" s="2002"/>
      <c r="E268" s="2016" t="s">
        <v>518</v>
      </c>
      <c r="F268" s="2017">
        <f t="array" ref="F268">IFERROR(VLOOKUP(E250,Dex!$B$3:$N1219,13,FALSE),"")</f>
        <v>96</v>
      </c>
      <c r="G268" s="2018" t="str">
        <f t="array" ref="G268">IFERROR(VLOOKUP(F268,Dex!$P$22:$Q$276,2,FALSE),"")</f>
        <v/>
      </c>
      <c r="H268" s="2019"/>
      <c r="I268" s="2010"/>
      <c r="J268" s="2016" t="s">
        <v>518</v>
      </c>
      <c r="K268" s="2017">
        <f t="array" ref="K268">IFERROR(VLOOKUP(J250,Dex!$B$3:$N1219,13,FALSE),"")</f>
        <v>125</v>
      </c>
      <c r="L268" s="2018" t="str">
        <f t="array" ref="L268">IFERROR(VLOOKUP(K268,Dex!$P$22:$Q$276,2,FALSE),"")</f>
        <v/>
      </c>
      <c r="M268" s="2019"/>
      <c r="N268" s="2010"/>
      <c r="O268" s="2016" t="s">
        <v>518</v>
      </c>
      <c r="P268" s="2017">
        <f t="array" ref="P268">IFERROR(VLOOKUP(O250,Dex!$B$3:$N1219,13,FALSE),"")</f>
        <v>100</v>
      </c>
      <c r="Q268" s="2018" t="str">
        <f t="array" ref="Q268">IFERROR(VLOOKUP(P268,Dex!$P$22:$Q$276,2,FALSE),"")</f>
        <v/>
      </c>
      <c r="R268" s="2019"/>
      <c r="S268" s="2010"/>
      <c r="T268" s="2016" t="s">
        <v>518</v>
      </c>
      <c r="U268" s="2017">
        <f t="array" ref="U268">IFERROR(VLOOKUP(T250,Dex!$B$3:$N1219,13,FALSE),"")</f>
        <v>97</v>
      </c>
      <c r="V268" s="2018" t="str">
        <f t="array" ref="V268">IFERROR(VLOOKUP(U268,Dex!$P$22:$Q$276,2,FALSE),"")</f>
        <v/>
      </c>
      <c r="W268" s="2019"/>
      <c r="X268" s="2010"/>
      <c r="Y268" s="2016" t="s">
        <v>518</v>
      </c>
      <c r="Z268" s="2017">
        <f t="array" ref="Z268">IFERROR(VLOOKUP(Y250,Dex!$B$3:$N1219,13,FALSE),"")</f>
        <v>130</v>
      </c>
      <c r="AA268" s="2018" t="str">
        <f t="array" ref="AA268">IFERROR(VLOOKUP(Z268,Dex!$P$22:$Q$276,2,FALSE),"")</f>
        <v/>
      </c>
      <c r="AB268" s="2019"/>
      <c r="AC268" s="2010"/>
      <c r="AD268" s="2016" t="s">
        <v>518</v>
      </c>
      <c r="AE268" s="2017">
        <f t="array" ref="AE268">IFERROR(VLOOKUP(AD250,Dex!$B$3:$N1219,13,FALSE),"")</f>
        <v>105</v>
      </c>
      <c r="AF268" s="2018" t="str">
        <f t="array" ref="AF268">IFERROR(VLOOKUP(AE268,Dex!$P$22:$Q$276,2,FALSE),"")</f>
        <v/>
      </c>
      <c r="AG268" s="2019"/>
      <c r="AH268" s="2011"/>
      <c r="AI268" s="6747"/>
    </row>
    <row r="269" ht="16.5" customHeight="1">
      <c r="A269" s="6738"/>
      <c r="B269" s="2001"/>
      <c r="C269" s="1993"/>
      <c r="D269" s="2002"/>
      <c r="E269" s="2020" t="s">
        <v>519</v>
      </c>
      <c r="F269" s="630"/>
      <c r="G269" s="631"/>
      <c r="H269" s="6846">
        <v>250.0</v>
      </c>
      <c r="I269" s="2004"/>
      <c r="J269" s="2020" t="s">
        <v>519</v>
      </c>
      <c r="K269" s="630"/>
      <c r="L269" s="631"/>
      <c r="M269" s="6846">
        <v>314.0</v>
      </c>
      <c r="N269" s="2004"/>
      <c r="O269" s="2020" t="s">
        <v>519</v>
      </c>
      <c r="P269" s="630"/>
      <c r="Q269" s="631"/>
      <c r="R269" s="6846">
        <v>259.0</v>
      </c>
      <c r="S269" s="2004"/>
      <c r="T269" s="2020" t="s">
        <v>519</v>
      </c>
      <c r="U269" s="630"/>
      <c r="V269" s="631"/>
      <c r="W269" s="6846">
        <v>253.0</v>
      </c>
      <c r="X269" s="2004"/>
      <c r="Y269" s="2020" t="s">
        <v>519</v>
      </c>
      <c r="Z269" s="630"/>
      <c r="AA269" s="631"/>
      <c r="AB269" s="6846">
        <v>325.0</v>
      </c>
      <c r="AC269" s="2004"/>
      <c r="AD269" s="2020" t="s">
        <v>519</v>
      </c>
      <c r="AE269" s="630"/>
      <c r="AF269" s="631"/>
      <c r="AG269" s="6846">
        <v>270.0</v>
      </c>
      <c r="AH269" s="2005"/>
      <c r="AI269" s="6747"/>
    </row>
    <row r="270" ht="15.0" customHeight="1">
      <c r="A270" s="6738"/>
      <c r="B270" s="2021"/>
      <c r="C270" s="2022"/>
      <c r="D270" s="2023"/>
      <c r="E270" s="2024"/>
      <c r="F270" s="2024"/>
      <c r="G270" s="2024"/>
      <c r="H270" s="2023"/>
      <c r="I270" s="2023"/>
      <c r="J270" s="2024"/>
      <c r="K270" s="2024"/>
      <c r="L270" s="2024"/>
      <c r="M270" s="2023"/>
      <c r="N270" s="2023"/>
      <c r="O270" s="2024"/>
      <c r="P270" s="2024"/>
      <c r="Q270" s="2024"/>
      <c r="R270" s="2024"/>
      <c r="S270" s="2023"/>
      <c r="T270" s="2024"/>
      <c r="U270" s="2024"/>
      <c r="V270" s="2024"/>
      <c r="W270" s="2023"/>
      <c r="X270" s="2023"/>
      <c r="Y270" s="2024"/>
      <c r="Z270" s="2024"/>
      <c r="AA270" s="2024"/>
      <c r="AB270" s="2023"/>
      <c r="AC270" s="2023"/>
      <c r="AD270" s="2024"/>
      <c r="AE270" s="2024"/>
      <c r="AF270" s="2024"/>
      <c r="AG270" s="2023"/>
      <c r="AH270" s="2025"/>
      <c r="AI270" s="6747"/>
    </row>
    <row r="271" ht="15.0" customHeight="1">
      <c r="A271" s="6738"/>
      <c r="B271" s="5976"/>
      <c r="C271" s="5977"/>
      <c r="D271" s="5978"/>
      <c r="E271" s="5979"/>
      <c r="F271" s="5979"/>
      <c r="G271" s="5979"/>
      <c r="H271" s="5979"/>
      <c r="I271" s="5977"/>
      <c r="J271" s="5979"/>
      <c r="K271" s="5979"/>
      <c r="L271" s="5979"/>
      <c r="M271" s="5979"/>
      <c r="N271" s="5977"/>
      <c r="O271" s="5979"/>
      <c r="P271" s="5979"/>
      <c r="Q271" s="5979"/>
      <c r="R271" s="5979"/>
      <c r="S271" s="5977"/>
      <c r="T271" s="5979"/>
      <c r="U271" s="5979"/>
      <c r="V271" s="5979"/>
      <c r="W271" s="5979"/>
      <c r="X271" s="5977"/>
      <c r="Y271" s="5979"/>
      <c r="Z271" s="5979"/>
      <c r="AA271" s="5979"/>
      <c r="AB271" s="5979"/>
      <c r="AC271" s="5977"/>
      <c r="AD271" s="5979"/>
      <c r="AE271" s="5979"/>
      <c r="AF271" s="5979"/>
      <c r="AG271" s="5979"/>
      <c r="AH271" s="5980"/>
      <c r="AI271" s="6747"/>
    </row>
    <row r="272" ht="96.75" customHeight="1">
      <c r="A272" s="6738"/>
      <c r="B272" s="5981"/>
      <c r="C272" s="5982" t="str">
        <f>IMAGE("https://i.ibb.co/ZTK3dwM/Jojo-Fan.png")</f>
        <v/>
      </c>
      <c r="D272" s="5983"/>
      <c r="E272" s="5984" t="str">
        <f t="array" ref="E272">IFERROR(VLOOKUP(E273,Dex!$B$3:$G1219,3,FALSE),"")</f>
        <v/>
      </c>
      <c r="F272" s="1945"/>
      <c r="G272" s="1945"/>
      <c r="H272" s="1946"/>
      <c r="I272" s="5985"/>
      <c r="J272" s="5984" t="str">
        <f t="array" ref="J272">IFERROR(VLOOKUP(J273,Dex!$B$3:$G1219,3,FALSE),"")</f>
        <v/>
      </c>
      <c r="K272" s="1945"/>
      <c r="L272" s="1945"/>
      <c r="M272" s="1946"/>
      <c r="N272" s="5985"/>
      <c r="O272" s="5984" t="str">
        <f t="array" ref="O272">IFERROR(VLOOKUP(O273,Dex!$B$3:$G1219,3,FALSE),"")</f>
        <v/>
      </c>
      <c r="P272" s="1945"/>
      <c r="Q272" s="1945"/>
      <c r="R272" s="1946"/>
      <c r="S272" s="5985"/>
      <c r="T272" s="5984" t="str">
        <f t="array" ref="T272">IFERROR(VLOOKUP(T273,Dex!$B$3:$G1219,3,FALSE),"")</f>
        <v/>
      </c>
      <c r="U272" s="1945"/>
      <c r="V272" s="1945"/>
      <c r="W272" s="1946"/>
      <c r="X272" s="5985"/>
      <c r="Y272" s="5984" t="str">
        <f t="array" ref="Y272">IFERROR(VLOOKUP(Y273,Dex!$B$3:$G1219,3,FALSE),"")</f>
        <v/>
      </c>
      <c r="Z272" s="1945"/>
      <c r="AA272" s="1945"/>
      <c r="AB272" s="1946"/>
      <c r="AC272" s="5985"/>
      <c r="AD272" s="5984" t="str">
        <f t="array" ref="AD272">IFERROR(VLOOKUP(AD273,Dex!$B$3:$G1219,3,FALSE),"")</f>
        <v/>
      </c>
      <c r="AE272" s="1945"/>
      <c r="AF272" s="1945"/>
      <c r="AG272" s="1946"/>
      <c r="AH272" s="5986"/>
      <c r="AI272" s="6747"/>
    </row>
    <row r="273" ht="18.75" customHeight="1">
      <c r="A273" s="6738"/>
      <c r="B273" s="5981"/>
      <c r="C273" s="5987" t="s">
        <v>2032</v>
      </c>
      <c r="D273" s="5988"/>
      <c r="E273" s="5989" t="s">
        <v>1733</v>
      </c>
      <c r="F273" s="5990"/>
      <c r="G273" s="5990"/>
      <c r="H273" s="5991"/>
      <c r="J273" s="5989" t="s">
        <v>1278</v>
      </c>
      <c r="K273" s="5990"/>
      <c r="L273" s="5990"/>
      <c r="M273" s="5991"/>
      <c r="O273" s="5989" t="s">
        <v>2033</v>
      </c>
      <c r="P273" s="5990"/>
      <c r="Q273" s="5990"/>
      <c r="R273" s="5991"/>
      <c r="T273" s="5989" t="s">
        <v>948</v>
      </c>
      <c r="U273" s="5990"/>
      <c r="V273" s="5990"/>
      <c r="W273" s="5991"/>
      <c r="Y273" s="5989" t="s">
        <v>1816</v>
      </c>
      <c r="Z273" s="5990"/>
      <c r="AA273" s="5990"/>
      <c r="AB273" s="5991"/>
      <c r="AD273" s="5989" t="s">
        <v>653</v>
      </c>
      <c r="AE273" s="5990"/>
      <c r="AF273" s="5990"/>
      <c r="AG273" s="5991"/>
      <c r="AH273" s="5986"/>
      <c r="AI273" s="6747"/>
    </row>
    <row r="274">
      <c r="A274" s="6738"/>
      <c r="B274" s="5981"/>
      <c r="C274" s="1638"/>
      <c r="D274" s="5988"/>
      <c r="E274" s="5992" t="s">
        <v>729</v>
      </c>
      <c r="F274" s="5993"/>
      <c r="G274" s="5993"/>
      <c r="H274" s="5994"/>
      <c r="J274" s="5992" t="s">
        <v>729</v>
      </c>
      <c r="K274" s="5993"/>
      <c r="L274" s="5993"/>
      <c r="M274" s="5994"/>
      <c r="O274" s="5992" t="s">
        <v>729</v>
      </c>
      <c r="P274" s="5993"/>
      <c r="Q274" s="5993"/>
      <c r="R274" s="5994"/>
      <c r="T274" s="5992" t="s">
        <v>729</v>
      </c>
      <c r="U274" s="5993"/>
      <c r="V274" s="5993"/>
      <c r="W274" s="5994"/>
      <c r="Y274" s="5992" t="s">
        <v>729</v>
      </c>
      <c r="Z274" s="5993"/>
      <c r="AA274" s="5993"/>
      <c r="AB274" s="5994"/>
      <c r="AD274" s="5992" t="s">
        <v>729</v>
      </c>
      <c r="AE274" s="5993"/>
      <c r="AF274" s="5993"/>
      <c r="AG274" s="5994"/>
      <c r="AH274" s="5986"/>
      <c r="AI274" s="6747"/>
    </row>
    <row r="275" ht="25.5" customHeight="1">
      <c r="A275" s="6738"/>
      <c r="B275" s="5981"/>
      <c r="C275" s="1646"/>
      <c r="D275" s="5995"/>
      <c r="E275" s="5996"/>
      <c r="F275" s="5997" t="str">
        <f t="array" ref="F275">IFERROR(VLOOKUP(E273,Dex!$B$3:$H1219,5,FALSE),"")</f>
        <v/>
      </c>
      <c r="G275" s="5998" t="str">
        <f t="array" ref="G275">IFERROR(VLOOKUP(E273,Dex!$B$3:$H1219,7,FALSE),"")</f>
        <v/>
      </c>
      <c r="H275" s="5999"/>
      <c r="J275" s="5996"/>
      <c r="K275" s="5997" t="str">
        <f t="array" ref="K275">IFERROR(VLOOKUP(J273,Dex!$B$3:$H1219,5,FALSE),"")</f>
        <v/>
      </c>
      <c r="L275" s="5998" t="str">
        <f t="array" ref="L275">IFERROR(VLOOKUP(J273,Dex!$B$3:$H1219,7,FALSE),"")</f>
        <v/>
      </c>
      <c r="M275" s="5999"/>
      <c r="O275" s="5996"/>
      <c r="P275" s="5997" t="str">
        <f t="array" ref="P275">IFERROR(VLOOKUP(O273,Dex!$B$3:$H1219,5,FALSE),"")</f>
        <v/>
      </c>
      <c r="Q275" s="5998" t="str">
        <f t="array" ref="Q275">IFERROR(VLOOKUP(O273,Dex!$B$3:$H1219,7,FALSE),"")</f>
        <v/>
      </c>
      <c r="R275" s="5999"/>
      <c r="T275" s="5996"/>
      <c r="U275" s="5997" t="str">
        <f t="array" ref="U275">IFERROR(VLOOKUP(T273,Dex!$B$3:$H1219,5,FALSE),"")</f>
        <v/>
      </c>
      <c r="V275" s="5998" t="str">
        <f t="array" ref="V275">IFERROR(VLOOKUP(T273,Dex!$B$3:$H1219,7,FALSE),"")</f>
        <v/>
      </c>
      <c r="W275" s="5999"/>
      <c r="Y275" s="5996"/>
      <c r="Z275" s="6000" t="str">
        <f t="array" ref="Z275">IFERROR(VLOOKUP(Y273,Dex!$B$3:$H1219,5,FALSE),"")</f>
        <v/>
      </c>
      <c r="AA275" s="6001"/>
      <c r="AB275" s="5999"/>
      <c r="AD275" s="5996"/>
      <c r="AE275" s="5997" t="str">
        <f t="array" ref="AE275">IFERROR(VLOOKUP(AD273,Dex!$B$3:$H1219,5,FALSE),"")</f>
        <v/>
      </c>
      <c r="AF275" s="5998" t="str">
        <f t="array" ref="AF275">IFERROR(VLOOKUP(AD273,Dex!$B$3:$H1219,7,FALSE),"")</f>
        <v/>
      </c>
      <c r="AG275" s="5999"/>
      <c r="AH275" s="6002"/>
      <c r="AI275" s="6747"/>
    </row>
    <row r="276" ht="2.25" customHeight="1">
      <c r="A276" s="6738"/>
      <c r="B276" s="5981"/>
      <c r="C276" s="6003"/>
      <c r="D276" s="5995"/>
      <c r="E276" s="6004"/>
      <c r="F276" s="6005"/>
      <c r="G276" s="6005"/>
      <c r="H276" s="6006"/>
      <c r="J276" s="6004"/>
      <c r="K276" s="6005"/>
      <c r="L276" s="6005"/>
      <c r="M276" s="6006"/>
      <c r="O276" s="6004"/>
      <c r="P276" s="6005"/>
      <c r="Q276" s="6005"/>
      <c r="R276" s="6006"/>
      <c r="T276" s="6004"/>
      <c r="U276" s="6005"/>
      <c r="V276" s="6005"/>
      <c r="W276" s="6006"/>
      <c r="Y276" s="6004"/>
      <c r="Z276" s="6005"/>
      <c r="AA276" s="6005"/>
      <c r="AB276" s="6006"/>
      <c r="AD276" s="6004"/>
      <c r="AE276" s="6005"/>
      <c r="AF276" s="6005"/>
      <c r="AG276" s="6006"/>
      <c r="AH276" s="6002"/>
      <c r="AI276" s="6747"/>
    </row>
    <row r="277" ht="20.25" customHeight="1">
      <c r="A277" s="6738"/>
      <c r="B277" s="5981"/>
      <c r="C277" s="6003"/>
      <c r="D277" s="6007"/>
      <c r="E277" s="6008" t="s">
        <v>564</v>
      </c>
      <c r="F277" s="6009"/>
      <c r="G277" s="6009"/>
      <c r="H277" s="6010"/>
      <c r="J277" s="6008" t="s">
        <v>532</v>
      </c>
      <c r="K277" s="6009"/>
      <c r="L277" s="6009"/>
      <c r="M277" s="6010"/>
      <c r="O277" s="6008" t="s">
        <v>566</v>
      </c>
      <c r="P277" s="6009"/>
      <c r="Q277" s="6009"/>
      <c r="R277" s="6010"/>
      <c r="T277" s="6008" t="s">
        <v>566</v>
      </c>
      <c r="U277" s="6009"/>
      <c r="V277" s="6009"/>
      <c r="W277" s="6010"/>
      <c r="Y277" s="6008" t="s">
        <v>566</v>
      </c>
      <c r="Z277" s="6009"/>
      <c r="AA277" s="6009"/>
      <c r="AB277" s="6010"/>
      <c r="AD277" s="6008" t="s">
        <v>564</v>
      </c>
      <c r="AE277" s="6009"/>
      <c r="AF277" s="6009"/>
      <c r="AG277" s="6010"/>
      <c r="AH277" s="5986"/>
      <c r="AI277" s="6747"/>
    </row>
    <row r="278">
      <c r="A278" s="6738"/>
      <c r="B278" s="5981"/>
      <c r="C278" s="6011"/>
      <c r="D278" s="6007"/>
      <c r="E278" s="6012" t="s">
        <v>1399</v>
      </c>
      <c r="F278" s="6013"/>
      <c r="G278" s="6013"/>
      <c r="H278" s="6014"/>
      <c r="J278" s="6012" t="s">
        <v>2034</v>
      </c>
      <c r="K278" s="6013"/>
      <c r="L278" s="6013"/>
      <c r="M278" s="6014"/>
      <c r="O278" s="6012" t="s">
        <v>60</v>
      </c>
      <c r="P278" s="6013"/>
      <c r="Q278" s="6013"/>
      <c r="R278" s="6014"/>
      <c r="T278" s="6012" t="s">
        <v>953</v>
      </c>
      <c r="U278" s="6013"/>
      <c r="V278" s="6013"/>
      <c r="W278" s="6014"/>
      <c r="Y278" s="6012" t="s">
        <v>2035</v>
      </c>
      <c r="Z278" s="6013"/>
      <c r="AA278" s="6013"/>
      <c r="AB278" s="6014"/>
      <c r="AD278" s="6012" t="s">
        <v>659</v>
      </c>
      <c r="AE278" s="6013"/>
      <c r="AF278" s="6013"/>
      <c r="AG278" s="6014"/>
      <c r="AH278" s="5986"/>
      <c r="AI278" s="6747"/>
    </row>
    <row r="279" ht="20.25" customHeight="1">
      <c r="A279" s="6738"/>
      <c r="B279" s="5981"/>
      <c r="C279" s="6015"/>
      <c r="D279" s="6007"/>
      <c r="E279" s="6016" t="s">
        <v>573</v>
      </c>
      <c r="F279" s="6017"/>
      <c r="G279" s="6018"/>
      <c r="H279" s="6019" t="str">
        <f>IMAGE("https://raw.githubusercontent.com/msikma/pokesprite/master/items/hold-item/focus-sash.png",3)</f>
        <v/>
      </c>
      <c r="J279" s="6016" t="s">
        <v>1281</v>
      </c>
      <c r="K279" s="6017"/>
      <c r="L279" s="6018"/>
      <c r="M279" s="6019" t="str">
        <f>IMAGE("https://raw.githubusercontent.com/msikma/pokesprite/master/items/mega-stone/garchompite.png",3)</f>
        <v/>
      </c>
      <c r="O279" s="6016" t="s">
        <v>920</v>
      </c>
      <c r="P279" s="6017"/>
      <c r="Q279" s="6018"/>
      <c r="R279" s="6019" t="str">
        <f>IMAGE("https://raw.githubusercontent.com/msikma/pokesprite/master/items/hold-item/white-herb.png",3)</f>
        <v/>
      </c>
      <c r="T279" s="6020" t="s">
        <v>710</v>
      </c>
      <c r="U279" s="6017"/>
      <c r="V279" s="6018"/>
      <c r="W279" s="6019" t="str">
        <f>IMAGE("https://raw.githubusercontent.com/msikma/pokesprite/master/items/hold-item/weakness-policy.png",3)</f>
        <v/>
      </c>
      <c r="Y279" s="6016" t="s">
        <v>1819</v>
      </c>
      <c r="Z279" s="6017"/>
      <c r="AA279" s="6018"/>
      <c r="AB279" s="6019" t="str">
        <f>IMAGE("https://raw.githubusercontent.com/msikma/pokesprite/master/items/mega-stone/aggronite.png",3)</f>
        <v/>
      </c>
      <c r="AD279" s="6016" t="s">
        <v>638</v>
      </c>
      <c r="AE279" s="6017"/>
      <c r="AF279" s="6018"/>
      <c r="AG279" s="6019" t="str">
        <f>IMAGE("https://raw.githubusercontent.com/msikma/pokesprite/master/items/z-crystals/fightinium-z--held.png",3)</f>
        <v/>
      </c>
      <c r="AH279" s="6002"/>
      <c r="AI279" s="6747"/>
    </row>
    <row r="280" ht="20.25" customHeight="1">
      <c r="A280" s="6738"/>
      <c r="B280" s="5981"/>
      <c r="C280" s="6021"/>
      <c r="D280" s="6007"/>
      <c r="E280" s="6022" t="s">
        <v>195</v>
      </c>
      <c r="F280" s="6023"/>
      <c r="G280" s="6024"/>
      <c r="H280" s="6025" t="str">
        <f>IMAGE("https://raw.githubusercontent.com/msikma/pokesprite/master/misc/types/gen8/bug.png",4,20,20)</f>
        <v/>
      </c>
      <c r="J280" s="6022" t="s">
        <v>287</v>
      </c>
      <c r="K280" s="6023"/>
      <c r="L280" s="6024"/>
      <c r="M280" s="6025" t="str">
        <f>IMAGE("https://raw.githubusercontent.com/msikma/pokesprite/master/misc/types/gen8/normal.png",4,20,20)</f>
        <v/>
      </c>
      <c r="O280" s="6022" t="s">
        <v>273</v>
      </c>
      <c r="P280" s="6023"/>
      <c r="Q280" s="6024"/>
      <c r="R280" s="6025" t="str">
        <f>IMAGE("https://raw.githubusercontent.com/msikma/pokesprite/master/misc/types/gen8/normal.png",4,20,20)</f>
        <v/>
      </c>
      <c r="T280" s="6022" t="s">
        <v>219</v>
      </c>
      <c r="U280" s="6023"/>
      <c r="V280" s="6024"/>
      <c r="W280" s="6025" t="str">
        <f>IMAGE("https://raw.githubusercontent.com/msikma/pokesprite/master/misc/types/gen8/dragon.png",4,20,20)</f>
        <v/>
      </c>
      <c r="Y280" s="6022" t="s">
        <v>495</v>
      </c>
      <c r="Z280" s="6023"/>
      <c r="AA280" s="6024"/>
      <c r="AB280" s="6025" t="str">
        <f t="shared" ref="AB280:AB281" si="11">IMAGE("https://raw.githubusercontent.com/msikma/pokesprite/master/misc/types/gen8/fighting.png",4,20,20)</f>
        <v/>
      </c>
      <c r="AD280" s="6022" t="s">
        <v>259</v>
      </c>
      <c r="AE280" s="6023"/>
      <c r="AF280" s="6024"/>
      <c r="AG280" s="6025" t="str">
        <f t="shared" ref="AG280:AG281" si="12">IMAGE("https://raw.githubusercontent.com/msikma/pokesprite/master/misc/types/gen8/dark.png",4,20,20)</f>
        <v/>
      </c>
      <c r="AH280" s="6002"/>
      <c r="AI280" s="6747"/>
    </row>
    <row r="281" ht="20.25" customHeight="1">
      <c r="A281" s="6738"/>
      <c r="B281" s="5981"/>
      <c r="C281" s="6003"/>
      <c r="D281" s="6007"/>
      <c r="E281" s="6012" t="s">
        <v>581</v>
      </c>
      <c r="F281" s="6013"/>
      <c r="G281" s="6026"/>
      <c r="H281" s="6027" t="str">
        <f t="shared" ref="H281:H282" si="13">IMAGE("https://raw.githubusercontent.com/msikma/pokesprite/master/misc/types/gen8/electric.png",4,20,20)</f>
        <v/>
      </c>
      <c r="J281" s="6012" t="s">
        <v>549</v>
      </c>
      <c r="K281" s="6013"/>
      <c r="L281" s="6026"/>
      <c r="M281" s="6027" t="str">
        <f>IMAGE("https://raw.githubusercontent.com/msikma/pokesprite/master/misc/types/gen8/ground.png",4,20,20)</f>
        <v/>
      </c>
      <c r="O281" s="6012" t="s">
        <v>845</v>
      </c>
      <c r="P281" s="6013"/>
      <c r="Q281" s="6026"/>
      <c r="R281" s="6027" t="str">
        <f>IMAGE("https://raw.githubusercontent.com/msikma/pokesprite/master/misc/types/gen8/water.png",4,20,20)</f>
        <v/>
      </c>
      <c r="T281" s="6012" t="s">
        <v>716</v>
      </c>
      <c r="U281" s="6013"/>
      <c r="V281" s="6026"/>
      <c r="W281" s="6027" t="str">
        <f>IMAGE("https://raw.githubusercontent.com/msikma/pokesprite/master/misc/types/gen8/psychic.png",4,20,20)</f>
        <v/>
      </c>
      <c r="Y281" s="6012" t="s">
        <v>548</v>
      </c>
      <c r="Z281" s="6013"/>
      <c r="AA281" s="6026"/>
      <c r="AB281" s="6027" t="str">
        <f t="shared" si="11"/>
        <v/>
      </c>
      <c r="AD281" s="6012" t="s">
        <v>666</v>
      </c>
      <c r="AE281" s="6013"/>
      <c r="AF281" s="6026"/>
      <c r="AG281" s="6027" t="str">
        <f t="shared" si="12"/>
        <v/>
      </c>
      <c r="AH281" s="6002"/>
      <c r="AI281" s="6747"/>
    </row>
    <row r="282" ht="20.25" customHeight="1">
      <c r="A282" s="6738"/>
      <c r="B282" s="5981"/>
      <c r="C282" s="6003"/>
      <c r="D282" s="6007"/>
      <c r="E282" s="6012" t="s">
        <v>844</v>
      </c>
      <c r="F282" s="6013"/>
      <c r="G282" s="6026"/>
      <c r="H282" s="6028" t="str">
        <f t="shared" si="13"/>
        <v/>
      </c>
      <c r="J282" s="6012" t="s">
        <v>588</v>
      </c>
      <c r="K282" s="6013"/>
      <c r="L282" s="6026"/>
      <c r="M282" s="6028" t="str">
        <f>IMAGE("https://raw.githubusercontent.com/msikma/pokesprite/master/misc/types/gen8/rock.png",4,20,20)</f>
        <v/>
      </c>
      <c r="O282" s="6012" t="s">
        <v>762</v>
      </c>
      <c r="P282" s="6013"/>
      <c r="Q282" s="6026"/>
      <c r="R282" s="6028" t="str">
        <f t="shared" ref="R282:R283" si="14">IMAGE("https://raw.githubusercontent.com/msikma/pokesprite/master/misc/types/gen8/dark.png",4,20,20)</f>
        <v/>
      </c>
      <c r="T282" s="6012" t="s">
        <v>549</v>
      </c>
      <c r="U282" s="6013"/>
      <c r="V282" s="6026"/>
      <c r="W282" s="6028" t="str">
        <f>IMAGE("https://raw.githubusercontent.com/msikma/pokesprite/master/misc/types/gen8/ground.png",4,20,20)</f>
        <v/>
      </c>
      <c r="Y282" s="6012" t="s">
        <v>589</v>
      </c>
      <c r="Z282" s="6013"/>
      <c r="AA282" s="6026"/>
      <c r="AB282" s="6028" t="str">
        <f>IMAGE("https://raw.githubusercontent.com/msikma/pokesprite/master/misc/types/gen8/ice.png",4,20,20)</f>
        <v/>
      </c>
      <c r="AD282" s="6012" t="s">
        <v>669</v>
      </c>
      <c r="AE282" s="6013"/>
      <c r="AF282" s="6026"/>
      <c r="AG282" s="6028" t="str">
        <f>IMAGE("https://raw.githubusercontent.com/msikma/pokesprite/master/misc/types/gen8/psychic.png",4,20,20)</f>
        <v/>
      </c>
      <c r="AH282" s="6002"/>
      <c r="AI282" s="6747"/>
    </row>
    <row r="283" ht="21.0" customHeight="1">
      <c r="A283" s="6738"/>
      <c r="B283" s="5981"/>
      <c r="C283" s="6003"/>
      <c r="D283" s="6007"/>
      <c r="E283" s="6029" t="s">
        <v>846</v>
      </c>
      <c r="F283" s="6030"/>
      <c r="G283" s="6031"/>
      <c r="H283" s="6032" t="str">
        <f>IMAGE("https://raw.githubusercontent.com/msikma/pokesprite/master/misc/types/gen8/bug.png",4,20,20)</f>
        <v/>
      </c>
      <c r="I283" s="6033"/>
      <c r="J283" s="6029" t="s">
        <v>975</v>
      </c>
      <c r="K283" s="6030"/>
      <c r="L283" s="6031"/>
      <c r="M283" s="6032" t="str">
        <f>IMAGE("https://raw.githubusercontent.com/msikma/pokesprite/master/misc/types/gen8/fire.png",4,20,20)</f>
        <v/>
      </c>
      <c r="N283" s="6033"/>
      <c r="O283" s="6029" t="s">
        <v>554</v>
      </c>
      <c r="P283" s="6030"/>
      <c r="Q283" s="6031"/>
      <c r="R283" s="6032" t="str">
        <f t="shared" si="14"/>
        <v/>
      </c>
      <c r="S283" s="6033"/>
      <c r="T283" s="6029" t="s">
        <v>1243</v>
      </c>
      <c r="U283" s="6030"/>
      <c r="V283" s="6031"/>
      <c r="W283" s="6032" t="str">
        <f>IMAGE("https://raw.githubusercontent.com/msikma/pokesprite/master/misc/types/gen8/fire.png",4,20,20)</f>
        <v/>
      </c>
      <c r="X283" s="6033"/>
      <c r="Y283" s="6029" t="s">
        <v>831</v>
      </c>
      <c r="Z283" s="6030"/>
      <c r="AA283" s="6031"/>
      <c r="AB283" s="6032" t="str">
        <f>IMAGE("https://raw.githubusercontent.com/msikma/pokesprite/master/misc/types/gen8/steel.png",4,20,20)</f>
        <v/>
      </c>
      <c r="AC283" s="6033"/>
      <c r="AD283" s="6029" t="s">
        <v>590</v>
      </c>
      <c r="AE283" s="6030"/>
      <c r="AF283" s="6031"/>
      <c r="AG283" s="6032" t="str">
        <f>IMAGE("https://raw.githubusercontent.com/msikma/pokesprite/master/misc/types/gen8/fighting.png",4,20,20)</f>
        <v/>
      </c>
      <c r="AH283" s="6002"/>
      <c r="AI283" s="6747"/>
    </row>
    <row r="284" ht="3.0" customHeight="1">
      <c r="A284" s="6738"/>
      <c r="B284" s="6035"/>
      <c r="C284" s="6036"/>
      <c r="D284" s="6037"/>
      <c r="E284" s="6040"/>
      <c r="F284" s="6040"/>
      <c r="G284" s="6040"/>
      <c r="H284" s="6039"/>
      <c r="I284" s="6037"/>
      <c r="J284" s="6040"/>
      <c r="K284" s="6040"/>
      <c r="L284" s="6040"/>
      <c r="M284" s="6039"/>
      <c r="N284" s="6037"/>
      <c r="O284" s="6040"/>
      <c r="P284" s="6040"/>
      <c r="Q284" s="6040"/>
      <c r="R284" s="6039"/>
      <c r="S284" s="6039"/>
      <c r="T284" s="6040"/>
      <c r="U284" s="6040"/>
      <c r="V284" s="6040"/>
      <c r="W284" s="6039"/>
      <c r="X284" s="6037"/>
      <c r="Y284" s="6040"/>
      <c r="Z284" s="6040"/>
      <c r="AA284" s="6040"/>
      <c r="AB284" s="6039"/>
      <c r="AC284" s="6041"/>
      <c r="AD284" s="6040"/>
      <c r="AE284" s="6040"/>
      <c r="AF284" s="6040"/>
      <c r="AG284" s="6039"/>
      <c r="AH284" s="6042"/>
      <c r="AI284" s="6747"/>
    </row>
    <row r="285" ht="16.5" customHeight="1">
      <c r="A285" s="6738"/>
      <c r="B285" s="6043"/>
      <c r="C285" s="6036"/>
      <c r="D285" s="6047"/>
      <c r="E285" s="6045" t="s">
        <v>512</v>
      </c>
      <c r="F285" s="606"/>
      <c r="G285" s="606"/>
      <c r="H285" s="607"/>
      <c r="I285" s="6046"/>
      <c r="J285" s="6045" t="s">
        <v>512</v>
      </c>
      <c r="K285" s="606"/>
      <c r="L285" s="606"/>
      <c r="M285" s="607"/>
      <c r="N285" s="6047"/>
      <c r="O285" s="6045" t="s">
        <v>512</v>
      </c>
      <c r="P285" s="606"/>
      <c r="Q285" s="606"/>
      <c r="R285" s="607"/>
      <c r="S285" s="6048"/>
      <c r="T285" s="6045" t="s">
        <v>512</v>
      </c>
      <c r="U285" s="606"/>
      <c r="V285" s="606"/>
      <c r="W285" s="607"/>
      <c r="X285" s="6049"/>
      <c r="Y285" s="6045" t="s">
        <v>512</v>
      </c>
      <c r="Z285" s="606"/>
      <c r="AA285" s="606"/>
      <c r="AB285" s="607"/>
      <c r="AC285" s="6049"/>
      <c r="AD285" s="6045" t="s">
        <v>512</v>
      </c>
      <c r="AE285" s="606"/>
      <c r="AF285" s="606"/>
      <c r="AG285" s="607"/>
      <c r="AH285" s="6050"/>
      <c r="AI285" s="6747"/>
    </row>
    <row r="286" ht="16.5" customHeight="1">
      <c r="A286" s="6738"/>
      <c r="B286" s="6043"/>
      <c r="C286" s="6036"/>
      <c r="D286" s="6044"/>
      <c r="E286" s="6051" t="s">
        <v>513</v>
      </c>
      <c r="F286" s="6052">
        <f t="array" ref="F286">IFERROR(VLOOKUP(E273,Dex!$B$3:$N1219,8,FALSE),"")</f>
        <v>70</v>
      </c>
      <c r="G286" s="6053" t="str">
        <f t="array" ref="G286">IFERROR(VLOOKUP(F286,Dex!$P$22:$Q$276,2,FALSE),"")</f>
        <v/>
      </c>
      <c r="H286" s="6054"/>
      <c r="I286" s="6055"/>
      <c r="J286" s="6051" t="s">
        <v>513</v>
      </c>
      <c r="K286" s="6052">
        <f t="array" ref="K286">IFERROR(VLOOKUP(J273,Dex!$B$3:$N1219,8,FALSE),"")</f>
        <v>108</v>
      </c>
      <c r="L286" s="6053" t="str">
        <f t="array" ref="L286">IFERROR(VLOOKUP(K286,Dex!$P$22:$Q$276,2,FALSE),"")</f>
        <v/>
      </c>
      <c r="M286" s="6054"/>
      <c r="N286" s="6044"/>
      <c r="O286" s="6051" t="s">
        <v>513</v>
      </c>
      <c r="P286" s="6052">
        <f t="array" ref="P286">IFERROR(VLOOKUP(O273,Dex!$B$3:$N1219,8,FALSE),"")</f>
        <v>55</v>
      </c>
      <c r="Q286" s="6053" t="str">
        <f t="array" ref="Q286">IFERROR(VLOOKUP(P286,Dex!$P$22:$Q$276,2,FALSE),"")</f>
        <v/>
      </c>
      <c r="R286" s="6054"/>
      <c r="S286" s="6056"/>
      <c r="T286" s="6051" t="s">
        <v>513</v>
      </c>
      <c r="U286" s="6052">
        <f t="array" ref="U286">IFERROR(VLOOKUP(T273,Dex!$B$3:$N1219,8,FALSE),"")</f>
        <v>97</v>
      </c>
      <c r="V286" s="6053" t="str">
        <f t="array" ref="V286">IFERROR(VLOOKUP(U286,Dex!$P$22:$Q$276,2,FALSE),"")</f>
        <v/>
      </c>
      <c r="W286" s="6054"/>
      <c r="X286" s="6056"/>
      <c r="Y286" s="6051" t="s">
        <v>513</v>
      </c>
      <c r="Z286" s="6052">
        <f t="array" ref="Z286">IFERROR(VLOOKUP(Y273,Dex!$B$3:$N1219,8,FALSE),"")</f>
        <v>90</v>
      </c>
      <c r="AA286" s="6053" t="str">
        <f t="array" ref="AA286">IFERROR(VLOOKUP(Z286,Dex!$P$22:$Q$276,2,FALSE),"")</f>
        <v/>
      </c>
      <c r="AB286" s="6054"/>
      <c r="AC286" s="6056"/>
      <c r="AD286" s="6051" t="s">
        <v>513</v>
      </c>
      <c r="AE286" s="6052">
        <f t="array" ref="AE286">IFERROR(VLOOKUP(AD273,Dex!$B$3:$N1219,8,FALSE),"")</f>
        <v>80</v>
      </c>
      <c r="AF286" s="6053" t="str">
        <f t="array" ref="AF286">IFERROR(VLOOKUP(AE286,Dex!$P$22:$Q$276,2,FALSE),"")</f>
        <v/>
      </c>
      <c r="AG286" s="6054"/>
      <c r="AH286" s="6050"/>
      <c r="AI286" s="6747"/>
    </row>
    <row r="287" ht="16.5" customHeight="1">
      <c r="A287" s="6738"/>
      <c r="B287" s="6043"/>
      <c r="C287" s="6036"/>
      <c r="D287" s="6044"/>
      <c r="E287" s="6057" t="s">
        <v>514</v>
      </c>
      <c r="F287" s="6058">
        <f t="array" ref="F287">IFERROR(VLOOKUP(E273,Dex!$B$3:$N1219,9,FALSE),"")</f>
        <v>77</v>
      </c>
      <c r="G287" s="6059" t="str">
        <f t="array" ref="G287">IFERROR(VLOOKUP(F287,Dex!$P$22:$Q$276,2,FALSE),"")</f>
        <v/>
      </c>
      <c r="H287" s="6060"/>
      <c r="I287" s="6055"/>
      <c r="J287" s="6057" t="s">
        <v>514</v>
      </c>
      <c r="K287" s="6058">
        <f t="array" ref="K287">IFERROR(VLOOKUP(J273,Dex!$B$3:$N1219,9,FALSE),"")</f>
        <v>170</v>
      </c>
      <c r="L287" s="6059" t="str">
        <f t="array" ref="L287">IFERROR(VLOOKUP(K287,Dex!$P$22:$Q$276,2,FALSE),"")</f>
        <v/>
      </c>
      <c r="M287" s="6060"/>
      <c r="N287" s="6044"/>
      <c r="O287" s="6057" t="s">
        <v>514</v>
      </c>
      <c r="P287" s="6058">
        <f t="array" ref="P287">IFERROR(VLOOKUP(O273,Dex!$B$3:$N1219,9,FALSE),"")</f>
        <v>104</v>
      </c>
      <c r="Q287" s="6059" t="str">
        <f t="array" ref="Q287">IFERROR(VLOOKUP(P287,Dex!$P$22:$Q$276,2,FALSE),"")</f>
        <v/>
      </c>
      <c r="R287" s="6060"/>
      <c r="S287" s="6056"/>
      <c r="T287" s="6057" t="s">
        <v>514</v>
      </c>
      <c r="U287" s="6058">
        <f t="array" ref="U287">IFERROR(VLOOKUP(T273,Dex!$B$3:$N1219,9,FALSE),"")</f>
        <v>157</v>
      </c>
      <c r="V287" s="6059" t="str">
        <f t="array" ref="V287">IFERROR(VLOOKUP(U287,Dex!$P$22:$Q$276,2,FALSE),"")</f>
        <v/>
      </c>
      <c r="W287" s="6060"/>
      <c r="X287" s="6056"/>
      <c r="Y287" s="6057" t="s">
        <v>514</v>
      </c>
      <c r="Z287" s="6058">
        <f t="array" ref="Z287">IFERROR(VLOOKUP(Y273,Dex!$B$3:$N1219,9,FALSE),"")</f>
        <v>145</v>
      </c>
      <c r="AA287" s="6059" t="str">
        <f t="array" ref="AA287">IFERROR(VLOOKUP(Z287,Dex!$P$22:$Q$276,2,FALSE),"")</f>
        <v/>
      </c>
      <c r="AB287" s="6060"/>
      <c r="AC287" s="6056"/>
      <c r="AD287" s="6057" t="s">
        <v>514</v>
      </c>
      <c r="AE287" s="6058">
        <f t="array" ref="AE287">IFERROR(VLOOKUP(AD273,Dex!$B$3:$N1219,9,FALSE),"")</f>
        <v>160</v>
      </c>
      <c r="AF287" s="6059" t="str">
        <f t="array" ref="AF287">IFERROR(VLOOKUP(AE287,Dex!$P$22:$Q$276,2,FALSE),"")</f>
        <v/>
      </c>
      <c r="AG287" s="6060"/>
      <c r="AH287" s="6050"/>
      <c r="AI287" s="6747"/>
    </row>
    <row r="288" ht="16.5" customHeight="1">
      <c r="A288" s="6738"/>
      <c r="B288" s="6043"/>
      <c r="C288" s="6036"/>
      <c r="D288" s="6044"/>
      <c r="E288" s="6057" t="s">
        <v>515</v>
      </c>
      <c r="F288" s="6058">
        <f t="array" ref="F288">IFERROR(VLOOKUP(E273,Dex!$B$3:$N1219,10,FALSE),"")</f>
        <v>60</v>
      </c>
      <c r="G288" s="6059" t="str">
        <f t="array" ref="G288">IFERROR(VLOOKUP(F288,Dex!$P$22:$Q$276,2,FALSE),"")</f>
        <v/>
      </c>
      <c r="H288" s="6060"/>
      <c r="I288" s="6055"/>
      <c r="J288" s="6057" t="s">
        <v>515</v>
      </c>
      <c r="K288" s="6058">
        <f t="array" ref="K288">IFERROR(VLOOKUP(J273,Dex!$B$3:$N1219,10,FALSE),"")</f>
        <v>105</v>
      </c>
      <c r="L288" s="6059" t="str">
        <f t="array" ref="L288">IFERROR(VLOOKUP(K288,Dex!$P$22:$Q$276,2,FALSE),"")</f>
        <v/>
      </c>
      <c r="M288" s="6060"/>
      <c r="N288" s="6044"/>
      <c r="O288" s="6057" t="s">
        <v>515</v>
      </c>
      <c r="P288" s="6058">
        <f t="array" ref="P288">IFERROR(VLOOKUP(O273,Dex!$B$3:$N1219,10,FALSE),"")</f>
        <v>105</v>
      </c>
      <c r="Q288" s="6059" t="str">
        <f t="array" ref="Q288">IFERROR(VLOOKUP(P288,Dex!$P$22:$Q$276,2,FALSE),"")</f>
        <v/>
      </c>
      <c r="R288" s="6060"/>
      <c r="S288" s="6056"/>
      <c r="T288" s="6057" t="s">
        <v>515</v>
      </c>
      <c r="U288" s="6058">
        <f t="array" ref="U288">IFERROR(VLOOKUP(T273,Dex!$B$3:$N1219,10,FALSE),"")</f>
        <v>127</v>
      </c>
      <c r="V288" s="6059" t="str">
        <f t="array" ref="V288">IFERROR(VLOOKUP(U288,Dex!$P$22:$Q$276,2,FALSE),"")</f>
        <v/>
      </c>
      <c r="W288" s="6060"/>
      <c r="X288" s="6056"/>
      <c r="Y288" s="6057" t="s">
        <v>515</v>
      </c>
      <c r="Z288" s="6058">
        <f t="array" ref="Z288">IFERROR(VLOOKUP(Y273,Dex!$B$3:$N1219,10,FALSE),"")</f>
        <v>110</v>
      </c>
      <c r="AA288" s="6059" t="str">
        <f t="array" ref="AA288">IFERROR(VLOOKUP(Z288,Dex!$P$22:$Q$276,2,FALSE),"")</f>
        <v/>
      </c>
      <c r="AB288" s="6060"/>
      <c r="AC288" s="6056"/>
      <c r="AD288" s="6057" t="s">
        <v>515</v>
      </c>
      <c r="AE288" s="6058">
        <f t="array" ref="AE288">IFERROR(VLOOKUP(AD273,Dex!$B$3:$N1219,10,FALSE),"")</f>
        <v>60</v>
      </c>
      <c r="AF288" s="6059" t="str">
        <f t="array" ref="AF288">IFERROR(VLOOKUP(AE288,Dex!$P$22:$Q$276,2,FALSE),"")</f>
        <v/>
      </c>
      <c r="AG288" s="6060"/>
      <c r="AH288" s="6050"/>
      <c r="AI288" s="6747"/>
    </row>
    <row r="289" ht="16.5" customHeight="1">
      <c r="A289" s="6738"/>
      <c r="B289" s="6043"/>
      <c r="C289" s="6036"/>
      <c r="D289" s="6044"/>
      <c r="E289" s="6057" t="s">
        <v>516</v>
      </c>
      <c r="F289" s="6058">
        <f t="array" ref="F289">IFERROR(VLOOKUP(E273,Dex!$B$3:$N1219,11,FALSE),"")</f>
        <v>97</v>
      </c>
      <c r="G289" s="6059" t="str">
        <f t="array" ref="G289">IFERROR(VLOOKUP(F289,Dex!$P$22:$Q$276,2,FALSE),"")</f>
        <v/>
      </c>
      <c r="H289" s="6060"/>
      <c r="I289" s="6055"/>
      <c r="J289" s="6057" t="s">
        <v>516</v>
      </c>
      <c r="K289" s="6058">
        <f t="array" ref="K289">IFERROR(VLOOKUP(J273,Dex!$B$3:$N1219,11,FALSE),"")</f>
        <v>120</v>
      </c>
      <c r="L289" s="6059" t="str">
        <f t="array" ref="L289">IFERROR(VLOOKUP(K289,Dex!$P$22:$Q$276,2,FALSE),"")</f>
        <v/>
      </c>
      <c r="M289" s="6060"/>
      <c r="N289" s="6044"/>
      <c r="O289" s="6057" t="s">
        <v>516</v>
      </c>
      <c r="P289" s="6058">
        <f t="array" ref="P289">IFERROR(VLOOKUP(O273,Dex!$B$3:$N1219,11,FALSE),"")</f>
        <v>94</v>
      </c>
      <c r="Q289" s="6059" t="str">
        <f t="array" ref="Q289">IFERROR(VLOOKUP(P289,Dex!$P$22:$Q$276,2,FALSE),"")</f>
        <v/>
      </c>
      <c r="R289" s="6060"/>
      <c r="S289" s="6056"/>
      <c r="T289" s="6057" t="s">
        <v>516</v>
      </c>
      <c r="U289" s="6058">
        <f t="array" ref="U289">IFERROR(VLOOKUP(T273,Dex!$B$3:$N1219,11,FALSE),"")</f>
        <v>113</v>
      </c>
      <c r="V289" s="6059" t="str">
        <f t="array" ref="V289">IFERROR(VLOOKUP(U289,Dex!$P$22:$Q$276,2,FALSE),"")</f>
        <v/>
      </c>
      <c r="W289" s="6060"/>
      <c r="X289" s="6056"/>
      <c r="Y289" s="6057" t="s">
        <v>516</v>
      </c>
      <c r="Z289" s="6058">
        <f t="array" ref="Z289">IFERROR(VLOOKUP(Y273,Dex!$B$3:$N1219,11,FALSE),"")</f>
        <v>65</v>
      </c>
      <c r="AA289" s="6059" t="str">
        <f t="array" ref="AA289">IFERROR(VLOOKUP(Z289,Dex!$P$22:$Q$276,2,FALSE),"")</f>
        <v/>
      </c>
      <c r="AB289" s="6060"/>
      <c r="AC289" s="6056"/>
      <c r="AD289" s="6057" t="s">
        <v>516</v>
      </c>
      <c r="AE289" s="6058">
        <f t="array" ref="AE289">IFERROR(VLOOKUP(AD273,Dex!$B$3:$N1219,11,FALSE),"")</f>
        <v>170</v>
      </c>
      <c r="AF289" s="6059" t="str">
        <f t="array" ref="AF289">IFERROR(VLOOKUP(AE289,Dex!$P$22:$Q$276,2,FALSE),"")</f>
        <v/>
      </c>
      <c r="AG289" s="6060"/>
      <c r="AH289" s="6050"/>
      <c r="AI289" s="6747"/>
    </row>
    <row r="290" ht="16.5" customHeight="1">
      <c r="A290" s="6738"/>
      <c r="B290" s="6043"/>
      <c r="C290" s="6036"/>
      <c r="D290" s="6044"/>
      <c r="E290" s="6057" t="s">
        <v>517</v>
      </c>
      <c r="F290" s="6058">
        <f t="array" ref="F290">IFERROR(VLOOKUP(E273,Dex!$B$3:$N1219,12,FALSE),"")</f>
        <v>60</v>
      </c>
      <c r="G290" s="6059" t="str">
        <f t="array" ref="G290">IFERROR(VLOOKUP(F290,Dex!$P$22:$Q$276,2,FALSE),"")</f>
        <v/>
      </c>
      <c r="H290" s="6060"/>
      <c r="I290" s="6055"/>
      <c r="J290" s="6057" t="s">
        <v>517</v>
      </c>
      <c r="K290" s="6058">
        <f t="array" ref="K290">IFERROR(VLOOKUP(J273,Dex!$B$3:$N1219,12,FALSE),"")</f>
        <v>95</v>
      </c>
      <c r="L290" s="6059" t="str">
        <f t="array" ref="L290">IFERROR(VLOOKUP(K290,Dex!$P$22:$Q$276,2,FALSE),"")</f>
        <v/>
      </c>
      <c r="M290" s="6060"/>
      <c r="N290" s="6044"/>
      <c r="O290" s="6057" t="s">
        <v>517</v>
      </c>
      <c r="P290" s="6058">
        <f t="array" ref="P290">IFERROR(VLOOKUP(O273,Dex!$B$3:$N1219,12,FALSE),"")</f>
        <v>75</v>
      </c>
      <c r="Q290" s="6059" t="str">
        <f t="array" ref="Q290">IFERROR(VLOOKUP(P290,Dex!$P$22:$Q$276,2,FALSE),"")</f>
        <v/>
      </c>
      <c r="R290" s="6060"/>
      <c r="S290" s="6056"/>
      <c r="T290" s="6057" t="s">
        <v>517</v>
      </c>
      <c r="U290" s="6058">
        <f t="array" ref="U290">IFERROR(VLOOKUP(T273,Dex!$B$3:$N1219,12,FALSE),"")</f>
        <v>109</v>
      </c>
      <c r="V290" s="6059" t="str">
        <f t="array" ref="V290">IFERROR(VLOOKUP(U290,Dex!$P$22:$Q$276,2,FALSE),"")</f>
        <v/>
      </c>
      <c r="W290" s="6060"/>
      <c r="X290" s="6056"/>
      <c r="Y290" s="6057" t="s">
        <v>517</v>
      </c>
      <c r="Z290" s="6058">
        <f t="array" ref="Z290">IFERROR(VLOOKUP(Y273,Dex!$B$3:$N1219,12,FALSE),"")</f>
        <v>115</v>
      </c>
      <c r="AA290" s="6059" t="str">
        <f t="array" ref="AA290">IFERROR(VLOOKUP(Z290,Dex!$P$22:$Q$276,2,FALSE),"")</f>
        <v/>
      </c>
      <c r="AB290" s="6060"/>
      <c r="AC290" s="6056"/>
      <c r="AD290" s="6057" t="s">
        <v>517</v>
      </c>
      <c r="AE290" s="6058">
        <f t="array" ref="AE290">IFERROR(VLOOKUP(AD273,Dex!$B$3:$N1219,12,FALSE),"")</f>
        <v>130</v>
      </c>
      <c r="AF290" s="6059" t="str">
        <f t="array" ref="AF290">IFERROR(VLOOKUP(AE290,Dex!$P$22:$Q$276,2,FALSE),"")</f>
        <v/>
      </c>
      <c r="AG290" s="6060"/>
      <c r="AH290" s="6050"/>
      <c r="AI290" s="6747"/>
    </row>
    <row r="291" ht="16.5" customHeight="1">
      <c r="A291" s="6738"/>
      <c r="B291" s="6043"/>
      <c r="C291" s="6036"/>
      <c r="D291" s="6044"/>
      <c r="E291" s="6061" t="s">
        <v>518</v>
      </c>
      <c r="F291" s="6062">
        <f t="array" ref="F291">IFERROR(VLOOKUP(E273,Dex!$B$3:$N1219,13,FALSE),"")</f>
        <v>108</v>
      </c>
      <c r="G291" s="6063" t="str">
        <f t="array" ref="G291">IFERROR(VLOOKUP(F291,Dex!$P$22:$Q$276,2,FALSE),"")</f>
        <v/>
      </c>
      <c r="H291" s="6064"/>
      <c r="I291" s="6055"/>
      <c r="J291" s="6061" t="s">
        <v>518</v>
      </c>
      <c r="K291" s="6062">
        <f t="array" ref="K291">IFERROR(VLOOKUP(J273,Dex!$B$3:$N1219,13,FALSE),"")</f>
        <v>102</v>
      </c>
      <c r="L291" s="6063" t="str">
        <f t="array" ref="L291">IFERROR(VLOOKUP(K291,Dex!$P$22:$Q$276,2,FALSE),"")</f>
        <v/>
      </c>
      <c r="M291" s="6064"/>
      <c r="N291" s="6044"/>
      <c r="O291" s="6061" t="s">
        <v>518</v>
      </c>
      <c r="P291" s="6062">
        <f t="array" ref="P291">IFERROR(VLOOKUP(O273,Dex!$B$3:$N1219,13,FALSE),"")</f>
        <v>52</v>
      </c>
      <c r="Q291" s="6063" t="str">
        <f t="array" ref="Q291">IFERROR(VLOOKUP(P291,Dex!$P$22:$Q$276,2,FALSE),"")</f>
        <v/>
      </c>
      <c r="R291" s="6064"/>
      <c r="S291" s="6056"/>
      <c r="T291" s="6061" t="s">
        <v>518</v>
      </c>
      <c r="U291" s="6062">
        <f t="array" ref="U291">IFERROR(VLOOKUP(T273,Dex!$B$3:$N1219,13,FALSE),"")</f>
        <v>77</v>
      </c>
      <c r="V291" s="6063" t="str">
        <f t="array" ref="V291">IFERROR(VLOOKUP(U291,Dex!$P$22:$Q$276,2,FALSE),"")</f>
        <v/>
      </c>
      <c r="W291" s="6064"/>
      <c r="X291" s="6056"/>
      <c r="Y291" s="6061" t="s">
        <v>518</v>
      </c>
      <c r="Z291" s="6062">
        <f t="array" ref="Z291">IFERROR(VLOOKUP(Y273,Dex!$B$3:$N1219,13,FALSE),"")</f>
        <v>75</v>
      </c>
      <c r="AA291" s="6063" t="str">
        <f t="array" ref="AA291">IFERROR(VLOOKUP(Z291,Dex!$P$22:$Q$276,2,FALSE),"")</f>
        <v/>
      </c>
      <c r="AB291" s="6064"/>
      <c r="AC291" s="6056"/>
      <c r="AD291" s="6061" t="s">
        <v>518</v>
      </c>
      <c r="AE291" s="6062">
        <f t="array" ref="AE291">IFERROR(VLOOKUP(AD273,Dex!$B$3:$N1219,13,FALSE),"")</f>
        <v>80</v>
      </c>
      <c r="AF291" s="6063" t="str">
        <f t="array" ref="AF291">IFERROR(VLOOKUP(AE291,Dex!$P$22:$Q$276,2,FALSE),"")</f>
        <v/>
      </c>
      <c r="AG291" s="6064"/>
      <c r="AH291" s="6050"/>
      <c r="AI291" s="6747"/>
    </row>
    <row r="292" ht="16.5" customHeight="1">
      <c r="A292" s="6738"/>
      <c r="B292" s="6043"/>
      <c r="C292" s="6036"/>
      <c r="D292" s="6047"/>
      <c r="E292" s="6065" t="s">
        <v>519</v>
      </c>
      <c r="F292" s="630"/>
      <c r="G292" s="631"/>
      <c r="H292" s="6847">
        <v>227.0</v>
      </c>
      <c r="I292" s="6046"/>
      <c r="J292" s="6065" t="s">
        <v>519</v>
      </c>
      <c r="K292" s="630"/>
      <c r="L292" s="631"/>
      <c r="M292" s="6847">
        <v>264.0</v>
      </c>
      <c r="N292" s="6047"/>
      <c r="O292" s="6065" t="s">
        <v>519</v>
      </c>
      <c r="P292" s="630"/>
      <c r="Q292" s="631"/>
      <c r="R292" s="6847">
        <v>140.0</v>
      </c>
      <c r="S292" s="6049"/>
      <c r="T292" s="6065" t="s">
        <v>519</v>
      </c>
      <c r="U292" s="630"/>
      <c r="V292" s="631"/>
      <c r="W292" s="6847">
        <v>190.0</v>
      </c>
      <c r="X292" s="6049"/>
      <c r="Y292" s="6065" t="s">
        <v>519</v>
      </c>
      <c r="Z292" s="630"/>
      <c r="AA292" s="631"/>
      <c r="AB292" s="6847">
        <v>186.0</v>
      </c>
      <c r="AC292" s="6049"/>
      <c r="AD292" s="6065" t="s">
        <v>519</v>
      </c>
      <c r="AE292" s="630"/>
      <c r="AF292" s="631"/>
      <c r="AG292" s="6847">
        <v>215.0</v>
      </c>
      <c r="AH292" s="6050"/>
      <c r="AI292" s="6747"/>
    </row>
    <row r="293" ht="15.0" customHeight="1">
      <c r="A293" s="6738"/>
      <c r="B293" s="6074"/>
      <c r="C293" s="6075"/>
      <c r="D293" s="6075"/>
      <c r="E293" s="6848"/>
      <c r="F293" s="6848"/>
      <c r="G293" s="6848"/>
      <c r="H293" s="6075"/>
      <c r="I293" s="6075"/>
      <c r="J293" s="6848"/>
      <c r="K293" s="6848"/>
      <c r="L293" s="6848"/>
      <c r="M293" s="6075"/>
      <c r="N293" s="6075"/>
      <c r="O293" s="6849"/>
      <c r="P293" s="6849"/>
      <c r="Q293" s="6849"/>
      <c r="R293" s="6075"/>
      <c r="S293" s="6075"/>
      <c r="T293" s="6077"/>
      <c r="U293" s="6077"/>
      <c r="V293" s="6077"/>
      <c r="W293" s="6075"/>
      <c r="X293" s="6075"/>
      <c r="Y293" s="6077"/>
      <c r="Z293" s="6077"/>
      <c r="AA293" s="6077"/>
      <c r="AB293" s="6075"/>
      <c r="AC293" s="6075"/>
      <c r="AD293" s="6848"/>
      <c r="AE293" s="6848"/>
      <c r="AF293" s="6848"/>
      <c r="AG293" s="6075"/>
      <c r="AH293" s="6079"/>
      <c r="AI293" s="6747"/>
    </row>
    <row r="294" ht="15.0" customHeight="1">
      <c r="A294" s="6738"/>
      <c r="B294" s="6850"/>
      <c r="C294" s="6851"/>
      <c r="D294" s="6852"/>
      <c r="E294" s="6853"/>
      <c r="F294" s="6853"/>
      <c r="G294" s="6853"/>
      <c r="H294" s="6853"/>
      <c r="I294" s="6854"/>
      <c r="J294" s="6853"/>
      <c r="K294" s="6853"/>
      <c r="L294" s="6853"/>
      <c r="M294" s="6853"/>
      <c r="N294" s="6854"/>
      <c r="O294" s="6853"/>
      <c r="P294" s="6853"/>
      <c r="Q294" s="6853"/>
      <c r="R294" s="6853"/>
      <c r="S294" s="6854"/>
      <c r="T294" s="6852"/>
      <c r="U294" s="6852"/>
      <c r="V294" s="6852"/>
      <c r="W294" s="6852"/>
      <c r="X294" s="6854"/>
      <c r="Y294" s="6852"/>
      <c r="Z294" s="6852"/>
      <c r="AA294" s="6852"/>
      <c r="AB294" s="6852"/>
      <c r="AC294" s="6854"/>
      <c r="AD294" s="6852"/>
      <c r="AE294" s="6852"/>
      <c r="AF294" s="6852"/>
      <c r="AG294" s="6852"/>
      <c r="AH294" s="6855"/>
      <c r="AI294" s="6747"/>
    </row>
    <row r="295" ht="96.75" customHeight="1">
      <c r="A295" s="6738"/>
      <c r="B295" s="6856"/>
      <c r="C295" s="6857" t="str">
        <f>IMAGE("https://i.ibb.co/qNMR4cv/SwimmerF.png")</f>
        <v/>
      </c>
      <c r="D295" s="6858"/>
      <c r="E295" s="6859" t="str">
        <f t="array" ref="E295">IFERROR(VLOOKUP(E296,Dex!$B$3:$G1219,3,FALSE),"")</f>
        <v/>
      </c>
      <c r="F295" s="1945"/>
      <c r="G295" s="1945"/>
      <c r="H295" s="1946"/>
      <c r="I295" s="6860"/>
      <c r="J295" s="6859" t="str">
        <f t="array" ref="J295">IFERROR(VLOOKUP(J296,Dex!$B$3:$G1219,3,FALSE),"")</f>
        <v/>
      </c>
      <c r="K295" s="1945"/>
      <c r="L295" s="1945"/>
      <c r="M295" s="1946"/>
      <c r="N295" s="6860"/>
      <c r="O295" s="6859" t="str">
        <f t="array" ref="O295">IFERROR(VLOOKUP(O296,Dex!$B$3:$G1219,3,FALSE),"")</f>
        <v/>
      </c>
      <c r="P295" s="1945"/>
      <c r="Q295" s="1945"/>
      <c r="R295" s="1946"/>
      <c r="S295" s="6861"/>
      <c r="T295" s="6862"/>
      <c r="U295" s="6863"/>
      <c r="V295" s="6863"/>
      <c r="W295" s="6864"/>
      <c r="X295" s="6865"/>
      <c r="Y295" s="6862"/>
      <c r="Z295" s="6863"/>
      <c r="AA295" s="6863"/>
      <c r="AB295" s="6864"/>
      <c r="AC295" s="6865"/>
      <c r="AD295" s="6862"/>
      <c r="AE295" s="6863"/>
      <c r="AF295" s="6863"/>
      <c r="AG295" s="6864"/>
      <c r="AH295" s="6866"/>
      <c r="AI295" s="6747"/>
    </row>
    <row r="296" ht="18.75" customHeight="1">
      <c r="A296" s="6691"/>
      <c r="B296" s="6867"/>
      <c r="C296" s="6868" t="s">
        <v>2036</v>
      </c>
      <c r="D296" s="6869"/>
      <c r="E296" s="6870" t="s">
        <v>1658</v>
      </c>
      <c r="F296" s="6871"/>
      <c r="G296" s="6871"/>
      <c r="H296" s="6872"/>
      <c r="I296" s="6860"/>
      <c r="J296" s="6870" t="s">
        <v>2037</v>
      </c>
      <c r="K296" s="6871"/>
      <c r="L296" s="6871"/>
      <c r="M296" s="6872"/>
      <c r="N296" s="6860"/>
      <c r="O296" s="6870" t="s">
        <v>2038</v>
      </c>
      <c r="P296" s="6871"/>
      <c r="Q296" s="6871"/>
      <c r="R296" s="6872"/>
      <c r="S296" s="6873"/>
      <c r="T296" s="6874"/>
      <c r="U296" s="6863"/>
      <c r="V296" s="6863"/>
      <c r="W296" s="6864"/>
      <c r="X296" s="6875"/>
      <c r="Y296" s="6874"/>
      <c r="Z296" s="6863"/>
      <c r="AA296" s="6863"/>
      <c r="AB296" s="6864"/>
      <c r="AC296" s="6875"/>
      <c r="AD296" s="6874"/>
      <c r="AE296" s="6863"/>
      <c r="AF296" s="6863"/>
      <c r="AG296" s="6864"/>
      <c r="AH296" s="6876"/>
      <c r="AI296" s="6699"/>
    </row>
    <row r="297">
      <c r="A297" s="6676"/>
      <c r="B297" s="6856"/>
      <c r="C297" s="1638"/>
      <c r="D297" s="6877"/>
      <c r="E297" s="6878" t="s">
        <v>729</v>
      </c>
      <c r="F297" s="6879"/>
      <c r="G297" s="6879"/>
      <c r="H297" s="6880"/>
      <c r="I297" s="6860"/>
      <c r="J297" s="6878" t="s">
        <v>967</v>
      </c>
      <c r="K297" s="6879"/>
      <c r="L297" s="6879"/>
      <c r="M297" s="6880"/>
      <c r="N297" s="6860"/>
      <c r="O297" s="6878" t="s">
        <v>729</v>
      </c>
      <c r="P297" s="6879"/>
      <c r="Q297" s="6879"/>
      <c r="R297" s="6880"/>
      <c r="S297" s="6861"/>
      <c r="T297" s="6862"/>
      <c r="U297" s="6863"/>
      <c r="V297" s="6863"/>
      <c r="W297" s="6864"/>
      <c r="X297" s="6865"/>
      <c r="Y297" s="6862"/>
      <c r="Z297" s="6863"/>
      <c r="AA297" s="6863"/>
      <c r="AB297" s="6864"/>
      <c r="AC297" s="6865"/>
      <c r="AD297" s="6862"/>
      <c r="AE297" s="6863"/>
      <c r="AF297" s="6863"/>
      <c r="AG297" s="6864"/>
      <c r="AH297" s="6866"/>
      <c r="AI297" s="6680"/>
    </row>
    <row r="298" ht="25.5" customHeight="1">
      <c r="A298" s="6676"/>
      <c r="B298" s="6856"/>
      <c r="C298" s="1646"/>
      <c r="D298" s="6865"/>
      <c r="E298" s="6881"/>
      <c r="F298" s="6882" t="str">
        <f t="array" ref="F298">IFERROR(VLOOKUP(E296,Dex!$B$3:$H1219,5,FALSE),"")</f>
        <v/>
      </c>
      <c r="G298" s="6883"/>
      <c r="H298" s="6884"/>
      <c r="I298" s="6875"/>
      <c r="J298" s="6881"/>
      <c r="K298" s="6885" t="str">
        <f t="array" ref="K298">IFERROR(VLOOKUP(J296,Dex!$B$3:$H1219,5,FALSE),"")</f>
        <v/>
      </c>
      <c r="L298" s="6886" t="str">
        <f t="array" ref="L298">IFERROR(VLOOKUP(J296,Dex!$B$3:$H1219,7,FALSE),"")</f>
        <v/>
      </c>
      <c r="M298" s="6884"/>
      <c r="N298" s="6875"/>
      <c r="O298" s="6881"/>
      <c r="P298" s="6885" t="str">
        <f t="array" ref="P298">IFERROR(VLOOKUP(O296,Dex!$B$3:$H1219,5,FALSE),"")</f>
        <v/>
      </c>
      <c r="Q298" s="6886" t="str">
        <f t="array" ref="Q298">IFERROR(VLOOKUP(O296,Dex!$B$3:$H1219,7,FALSE),"")</f>
        <v/>
      </c>
      <c r="R298" s="6884"/>
      <c r="S298" s="6865"/>
      <c r="T298" s="6862"/>
      <c r="U298" s="6863"/>
      <c r="V298" s="6863"/>
      <c r="W298" s="6864"/>
      <c r="X298" s="6865"/>
      <c r="Y298" s="6862"/>
      <c r="Z298" s="6863"/>
      <c r="AA298" s="6863"/>
      <c r="AB298" s="6864"/>
      <c r="AC298" s="6865"/>
      <c r="AD298" s="6862"/>
      <c r="AE298" s="6863"/>
      <c r="AF298" s="6863"/>
      <c r="AG298" s="6864"/>
      <c r="AH298" s="6866"/>
      <c r="AI298" s="6680"/>
    </row>
    <row r="299" ht="2.25" customHeight="1">
      <c r="A299" s="6676"/>
      <c r="B299" s="6856"/>
      <c r="C299" s="6887"/>
      <c r="D299" s="6865"/>
      <c r="E299" s="6888"/>
      <c r="F299" s="6889"/>
      <c r="G299" s="6889"/>
      <c r="H299" s="6890"/>
      <c r="I299" s="6875"/>
      <c r="J299" s="6888"/>
      <c r="K299" s="6889"/>
      <c r="L299" s="6889"/>
      <c r="M299" s="6890"/>
      <c r="N299" s="6875"/>
      <c r="O299" s="6888"/>
      <c r="P299" s="6889"/>
      <c r="Q299" s="6889"/>
      <c r="R299" s="6890"/>
      <c r="S299" s="6865"/>
      <c r="T299" s="6865"/>
      <c r="U299" s="6865"/>
      <c r="V299" s="6865"/>
      <c r="W299" s="6865"/>
      <c r="X299" s="6865"/>
      <c r="Y299" s="6865"/>
      <c r="Z299" s="6865"/>
      <c r="AA299" s="6865"/>
      <c r="AB299" s="6865"/>
      <c r="AC299" s="6865"/>
      <c r="AD299" s="6865"/>
      <c r="AE299" s="6865"/>
      <c r="AF299" s="6865"/>
      <c r="AG299" s="6865"/>
      <c r="AH299" s="6866"/>
      <c r="AI299" s="6680"/>
    </row>
    <row r="300" ht="20.25" customHeight="1">
      <c r="A300" s="6676"/>
      <c r="B300" s="6856"/>
      <c r="C300" s="6891"/>
      <c r="D300" s="6862"/>
      <c r="E300" s="6892" t="s">
        <v>531</v>
      </c>
      <c r="F300" s="6893"/>
      <c r="G300" s="6893"/>
      <c r="H300" s="6894"/>
      <c r="I300" s="6860"/>
      <c r="J300" s="6892" t="s">
        <v>531</v>
      </c>
      <c r="K300" s="6893"/>
      <c r="L300" s="6893"/>
      <c r="M300" s="6894"/>
      <c r="N300" s="6860"/>
      <c r="O300" s="6892" t="s">
        <v>754</v>
      </c>
      <c r="P300" s="6893"/>
      <c r="Q300" s="6893"/>
      <c r="R300" s="6894"/>
      <c r="S300" s="6861"/>
      <c r="T300" s="6862"/>
      <c r="U300" s="6863"/>
      <c r="V300" s="6863"/>
      <c r="W300" s="6864"/>
      <c r="X300" s="6865"/>
      <c r="Y300" s="6862"/>
      <c r="Z300" s="6863"/>
      <c r="AA300" s="6863"/>
      <c r="AB300" s="6864"/>
      <c r="AC300" s="6865"/>
      <c r="AD300" s="6862"/>
      <c r="AE300" s="6863"/>
      <c r="AF300" s="6863"/>
      <c r="AG300" s="6864"/>
      <c r="AH300" s="6866"/>
      <c r="AI300" s="6680"/>
    </row>
    <row r="301" ht="20.25" customHeight="1">
      <c r="A301" s="6676"/>
      <c r="B301" s="6856"/>
      <c r="C301" s="6891"/>
      <c r="D301" s="6862"/>
      <c r="E301" s="6895" t="s">
        <v>97</v>
      </c>
      <c r="F301" s="6863"/>
      <c r="G301" s="6863"/>
      <c r="H301" s="6896"/>
      <c r="I301" s="6860"/>
      <c r="J301" s="6895" t="s">
        <v>857</v>
      </c>
      <c r="K301" s="6863"/>
      <c r="L301" s="6863"/>
      <c r="M301" s="6896"/>
      <c r="N301" s="6860"/>
      <c r="O301" s="6895" t="s">
        <v>1789</v>
      </c>
      <c r="P301" s="6863"/>
      <c r="Q301" s="6863"/>
      <c r="R301" s="6896"/>
      <c r="S301" s="6861"/>
      <c r="T301" s="6862"/>
      <c r="U301" s="6863"/>
      <c r="V301" s="6863"/>
      <c r="W301" s="6864"/>
      <c r="X301" s="6865"/>
      <c r="Y301" s="6862"/>
      <c r="Z301" s="6863"/>
      <c r="AA301" s="6863"/>
      <c r="AB301" s="6864"/>
      <c r="AC301" s="6865"/>
      <c r="AD301" s="6862"/>
      <c r="AE301" s="6863"/>
      <c r="AF301" s="6863"/>
      <c r="AG301" s="6864"/>
      <c r="AH301" s="6866"/>
      <c r="AI301" s="6680"/>
    </row>
    <row r="302" ht="20.25" customHeight="1">
      <c r="A302" s="6676"/>
      <c r="B302" s="6856"/>
      <c r="C302" s="6891"/>
      <c r="D302" s="6862"/>
      <c r="E302" s="6897" t="s">
        <v>537</v>
      </c>
      <c r="F302" s="6898"/>
      <c r="G302" s="6899"/>
      <c r="H302" s="6900" t="str">
        <f>IMAGE("https://raw.githubusercontent.com/msikma/pokesprite/master/items/berry/sitrus.png",3)</f>
        <v/>
      </c>
      <c r="I302" s="6874"/>
      <c r="J302" s="6897" t="s">
        <v>733</v>
      </c>
      <c r="K302" s="6898"/>
      <c r="L302" s="6899"/>
      <c r="M302" s="6900" t="str">
        <f>IMAGE("https://raw.githubusercontent.com/msikma/pokesprite/master/items/hold-item/leftovers.png",3)</f>
        <v/>
      </c>
      <c r="N302" s="6874"/>
      <c r="O302" s="6897" t="s">
        <v>537</v>
      </c>
      <c r="P302" s="6898"/>
      <c r="Q302" s="6899"/>
      <c r="R302" s="6900" t="str">
        <f>IMAGE("https://raw.githubusercontent.com/msikma/pokesprite/master/items/berry/sitrus.png",3)</f>
        <v/>
      </c>
      <c r="S302" s="6865"/>
      <c r="T302" s="6862"/>
      <c r="U302" s="6863"/>
      <c r="V302" s="6863"/>
      <c r="W302" s="6864"/>
      <c r="X302" s="6865"/>
      <c r="Y302" s="6862"/>
      <c r="Z302" s="6863"/>
      <c r="AA302" s="6863"/>
      <c r="AB302" s="6864"/>
      <c r="AC302" s="6865"/>
      <c r="AD302" s="6862"/>
      <c r="AE302" s="6863"/>
      <c r="AF302" s="6863"/>
      <c r="AG302" s="6864"/>
      <c r="AH302" s="6866"/>
      <c r="AI302" s="6680"/>
    </row>
    <row r="303" ht="20.25" customHeight="1">
      <c r="A303" s="6676"/>
      <c r="B303" s="6856"/>
      <c r="C303" s="6901"/>
      <c r="D303" s="6862"/>
      <c r="E303" s="6892" t="s">
        <v>649</v>
      </c>
      <c r="F303" s="6893"/>
      <c r="G303" s="6902"/>
      <c r="H303" s="6903" t="str">
        <f>IMAGE("https://raw.githubusercontent.com/msikma/pokesprite/master/misc/types/gen8/water.png",4,20,20)</f>
        <v/>
      </c>
      <c r="I303" s="6874"/>
      <c r="J303" s="6892" t="s">
        <v>1265</v>
      </c>
      <c r="K303" s="6893"/>
      <c r="L303" s="6902"/>
      <c r="M303" s="6903" t="str">
        <f>IMAGE("https://raw.githubusercontent.com/msikma/pokesprite/master/misc/types/gen8/ground.png",4,20,20)</f>
        <v/>
      </c>
      <c r="N303" s="6874"/>
      <c r="O303" s="6892" t="s">
        <v>544</v>
      </c>
      <c r="P303" s="6893"/>
      <c r="Q303" s="6902"/>
      <c r="R303" s="6903" t="str">
        <f>IMAGE("https://raw.githubusercontent.com/msikma/pokesprite/master/misc/types/gen8/water.png",4,20,20)</f>
        <v/>
      </c>
      <c r="S303" s="6865"/>
      <c r="T303" s="6862"/>
      <c r="U303" s="6863"/>
      <c r="V303" s="6863"/>
      <c r="W303" s="6864"/>
      <c r="X303" s="6865"/>
      <c r="Y303" s="6862"/>
      <c r="Z303" s="6863"/>
      <c r="AA303" s="6863"/>
      <c r="AB303" s="6864"/>
      <c r="AC303" s="6865"/>
      <c r="AD303" s="6862"/>
      <c r="AE303" s="6863"/>
      <c r="AF303" s="6863"/>
      <c r="AG303" s="6864"/>
      <c r="AH303" s="6866"/>
      <c r="AI303" s="6680"/>
    </row>
    <row r="304" ht="20.25" customHeight="1">
      <c r="A304" s="6676"/>
      <c r="B304" s="6856"/>
      <c r="C304" s="6904"/>
      <c r="D304" s="6862"/>
      <c r="E304" s="6895" t="s">
        <v>670</v>
      </c>
      <c r="F304" s="6863"/>
      <c r="G304" s="6864"/>
      <c r="H304" s="6905" t="str">
        <f>IMAGE("https://raw.githubusercontent.com/msikma/pokesprite/master/misc/types/gen8/ice.png",4,20,20)</f>
        <v/>
      </c>
      <c r="I304" s="6874"/>
      <c r="J304" s="6895" t="s">
        <v>641</v>
      </c>
      <c r="K304" s="6863"/>
      <c r="L304" s="6864"/>
      <c r="M304" s="6905" t="str">
        <f>IMAGE("https://raw.githubusercontent.com/msikma/pokesprite/master/misc/types/gen8/fairy.png",4,20,20)</f>
        <v/>
      </c>
      <c r="N304" s="6874"/>
      <c r="O304" s="6895" t="s">
        <v>670</v>
      </c>
      <c r="P304" s="6863"/>
      <c r="Q304" s="6864"/>
      <c r="R304" s="6905" t="str">
        <f>IMAGE("https://raw.githubusercontent.com/msikma/pokesprite/master/misc/types/gen8/ice.png",4,20,20)</f>
        <v/>
      </c>
      <c r="S304" s="6865"/>
      <c r="T304" s="6862"/>
      <c r="U304" s="6863"/>
      <c r="V304" s="6863"/>
      <c r="W304" s="6864"/>
      <c r="X304" s="6865"/>
      <c r="Y304" s="6862"/>
      <c r="Z304" s="6863"/>
      <c r="AA304" s="6863"/>
      <c r="AB304" s="6864"/>
      <c r="AC304" s="6865"/>
      <c r="AD304" s="6862"/>
      <c r="AE304" s="6863"/>
      <c r="AF304" s="6863"/>
      <c r="AG304" s="6864"/>
      <c r="AH304" s="6866"/>
      <c r="AI304" s="6680"/>
    </row>
    <row r="305" ht="20.25" customHeight="1">
      <c r="A305" s="6676"/>
      <c r="B305" s="6856"/>
      <c r="C305" s="6904"/>
      <c r="D305" s="6862"/>
      <c r="E305" s="6895" t="s">
        <v>553</v>
      </c>
      <c r="F305" s="6863"/>
      <c r="G305" s="6864"/>
      <c r="H305" s="6905" t="str">
        <f>IMAGE("https://raw.githubusercontent.com/msikma/pokesprite/master/misc/types/gen8/grass.png",4,20,20)</f>
        <v/>
      </c>
      <c r="I305" s="6874"/>
      <c r="J305" s="6895" t="s">
        <v>544</v>
      </c>
      <c r="K305" s="6863"/>
      <c r="L305" s="6864"/>
      <c r="M305" s="6905" t="str">
        <f>IMAGE("https://raw.githubusercontent.com/msikma/pokesprite/master/misc/types/gen8/water.png",4,20,20)</f>
        <v/>
      </c>
      <c r="N305" s="6874"/>
      <c r="O305" s="6895" t="s">
        <v>738</v>
      </c>
      <c r="P305" s="6863"/>
      <c r="Q305" s="6864"/>
      <c r="R305" s="6905" t="str">
        <f>IMAGE("https://raw.githubusercontent.com/msikma/pokesprite/master/misc/types/gen8/psychic.png",4,20,20)</f>
        <v/>
      </c>
      <c r="S305" s="6865"/>
      <c r="T305" s="6862"/>
      <c r="U305" s="6863"/>
      <c r="V305" s="6863"/>
      <c r="W305" s="6864"/>
      <c r="X305" s="6865"/>
      <c r="Y305" s="6862"/>
      <c r="Z305" s="6863"/>
      <c r="AA305" s="6863"/>
      <c r="AB305" s="6864"/>
      <c r="AC305" s="6865"/>
      <c r="AD305" s="6862"/>
      <c r="AE305" s="6863"/>
      <c r="AF305" s="6863"/>
      <c r="AG305" s="6864"/>
      <c r="AH305" s="6866"/>
      <c r="AI305" s="6680"/>
    </row>
    <row r="306" ht="21.0" customHeight="1">
      <c r="A306" s="6676"/>
      <c r="B306" s="6856"/>
      <c r="C306" s="6904"/>
      <c r="D306" s="6862"/>
      <c r="E306" s="6906" t="s">
        <v>2039</v>
      </c>
      <c r="F306" s="6907"/>
      <c r="G306" s="6908"/>
      <c r="H306" s="6909" t="str">
        <f>IMAGE("https://raw.githubusercontent.com/msikma/pokesprite/master/misc/types/gen8/ice.png",4,20,20)</f>
        <v/>
      </c>
      <c r="I306" s="6874"/>
      <c r="J306" s="6906" t="s">
        <v>501</v>
      </c>
      <c r="K306" s="6907"/>
      <c r="L306" s="6908"/>
      <c r="M306" s="6909" t="str">
        <f>IMAGE("https://raw.githubusercontent.com/msikma/pokesprite/master/misc/types/gen8/normal.png",4,20,20)</f>
        <v/>
      </c>
      <c r="N306" s="6874"/>
      <c r="O306" s="6906" t="s">
        <v>698</v>
      </c>
      <c r="P306" s="6907"/>
      <c r="Q306" s="6908"/>
      <c r="R306" s="6909" t="str">
        <f>IMAGE("https://raw.githubusercontent.com/msikma/pokesprite/master/misc/types/gen8/normal.png",4,20,20)</f>
        <v/>
      </c>
      <c r="S306" s="6865"/>
      <c r="T306" s="6862"/>
      <c r="U306" s="6863"/>
      <c r="V306" s="6863"/>
      <c r="W306" s="6864"/>
      <c r="X306" s="6865"/>
      <c r="Y306" s="6862"/>
      <c r="Z306" s="6863"/>
      <c r="AA306" s="6863"/>
      <c r="AB306" s="6864"/>
      <c r="AC306" s="6865"/>
      <c r="AD306" s="6862"/>
      <c r="AE306" s="6863"/>
      <c r="AF306" s="6863"/>
      <c r="AG306" s="6864"/>
      <c r="AH306" s="6866"/>
      <c r="AI306" s="6680"/>
    </row>
    <row r="307" ht="3.0" customHeight="1">
      <c r="A307" s="6738"/>
      <c r="B307" s="6910"/>
      <c r="C307" s="6911"/>
      <c r="D307" s="6912"/>
      <c r="E307" s="6913"/>
      <c r="F307" s="6913"/>
      <c r="G307" s="6913"/>
      <c r="H307" s="6914"/>
      <c r="I307" s="6912"/>
      <c r="J307" s="6915"/>
      <c r="K307" s="6915"/>
      <c r="L307" s="6915"/>
      <c r="M307" s="6914"/>
      <c r="N307" s="6912"/>
      <c r="O307" s="6915"/>
      <c r="P307" s="6915"/>
      <c r="Q307" s="6915"/>
      <c r="R307" s="6914"/>
      <c r="S307" s="6914"/>
      <c r="T307" s="6914"/>
      <c r="U307" s="6914"/>
      <c r="V307" s="6914"/>
      <c r="W307" s="6914"/>
      <c r="X307" s="6912"/>
      <c r="Y307" s="6914"/>
      <c r="Z307" s="6914"/>
      <c r="AA307" s="6914"/>
      <c r="AB307" s="6914"/>
      <c r="AC307" s="6916"/>
      <c r="AD307" s="6914"/>
      <c r="AE307" s="6914"/>
      <c r="AF307" s="6914"/>
      <c r="AG307" s="6914"/>
      <c r="AH307" s="6917"/>
      <c r="AI307" s="6747"/>
    </row>
    <row r="308" ht="16.5" customHeight="1">
      <c r="A308" s="6738"/>
      <c r="B308" s="6918"/>
      <c r="C308" s="6911"/>
      <c r="D308" s="6919"/>
      <c r="E308" s="6920" t="s">
        <v>512</v>
      </c>
      <c r="F308" s="606"/>
      <c r="G308" s="606"/>
      <c r="H308" s="607"/>
      <c r="I308" s="6921"/>
      <c r="J308" s="6920" t="s">
        <v>512</v>
      </c>
      <c r="K308" s="606"/>
      <c r="L308" s="606"/>
      <c r="M308" s="607"/>
      <c r="N308" s="6922"/>
      <c r="O308" s="6920" t="s">
        <v>512</v>
      </c>
      <c r="P308" s="606"/>
      <c r="Q308" s="606"/>
      <c r="R308" s="607"/>
      <c r="S308" s="6912"/>
      <c r="T308" s="6865"/>
      <c r="U308" s="6865"/>
      <c r="V308" s="6865"/>
      <c r="W308" s="6865"/>
      <c r="X308" s="6865"/>
      <c r="Y308" s="6865"/>
      <c r="Z308" s="6865"/>
      <c r="AA308" s="6865"/>
      <c r="AB308" s="6865"/>
      <c r="AC308" s="6865"/>
      <c r="AD308" s="6865"/>
      <c r="AE308" s="6865"/>
      <c r="AF308" s="6865"/>
      <c r="AG308" s="6923"/>
      <c r="AH308" s="6924"/>
      <c r="AI308" s="6747"/>
    </row>
    <row r="309" ht="16.5" customHeight="1">
      <c r="A309" s="6738"/>
      <c r="B309" s="6918"/>
      <c r="C309" s="6911"/>
      <c r="D309" s="6919"/>
      <c r="E309" s="6925" t="s">
        <v>513</v>
      </c>
      <c r="F309" s="6926">
        <f t="array" ref="F309">IFERROR(VLOOKUP(E296,Dex!$B$3:$N1219,8,FALSE),"")</f>
        <v>95</v>
      </c>
      <c r="G309" s="6927" t="str">
        <f t="array" ref="G309">IFERROR(VLOOKUP(F309,Dex!$P$22:$Q$276,2,FALSE),"")</f>
        <v/>
      </c>
      <c r="H309" s="6928"/>
      <c r="I309" s="6929"/>
      <c r="J309" s="6925" t="s">
        <v>513</v>
      </c>
      <c r="K309" s="6926">
        <f t="array" ref="K309">IFERROR(VLOOKUP(J296,Dex!$B$3:$N1219,8,FALSE),"")</f>
        <v>95</v>
      </c>
      <c r="L309" s="6927" t="str">
        <f t="array" ref="L309">IFERROR(VLOOKUP(K309,Dex!$P$22:$Q$276,2,FALSE),"")</f>
        <v/>
      </c>
      <c r="M309" s="6928"/>
      <c r="N309" s="6919"/>
      <c r="O309" s="6925" t="s">
        <v>513</v>
      </c>
      <c r="P309" s="6926">
        <f t="array" ref="P309">IFERROR(VLOOKUP(O296,Dex!$B$3:$N1219,8,FALSE),"")</f>
        <v>95</v>
      </c>
      <c r="Q309" s="6927" t="str">
        <f t="array" ref="Q309">IFERROR(VLOOKUP(P309,Dex!$P$22:$Q$276,2,FALSE),"")</f>
        <v/>
      </c>
      <c r="R309" s="6928"/>
      <c r="S309" s="6930"/>
      <c r="T309" s="6865"/>
      <c r="U309" s="6865"/>
      <c r="V309" s="6865"/>
      <c r="W309" s="6865"/>
      <c r="X309" s="6865"/>
      <c r="Y309" s="6865"/>
      <c r="Z309" s="6865"/>
      <c r="AA309" s="6865"/>
      <c r="AB309" s="6865"/>
      <c r="AC309" s="6865"/>
      <c r="AD309" s="6865"/>
      <c r="AE309" s="6865"/>
      <c r="AF309" s="6865"/>
      <c r="AG309" s="6923"/>
      <c r="AH309" s="6924"/>
      <c r="AI309" s="6747"/>
    </row>
    <row r="310" ht="16.5" customHeight="1">
      <c r="A310" s="6738"/>
      <c r="B310" s="6918"/>
      <c r="C310" s="6911"/>
      <c r="D310" s="6919"/>
      <c r="E310" s="6931" t="s">
        <v>514</v>
      </c>
      <c r="F310" s="6932">
        <f t="array" ref="F310">IFERROR(VLOOKUP(E296,Dex!$B$3:$N1219,9,FALSE),"")</f>
        <v>60</v>
      </c>
      <c r="G310" s="6933" t="str">
        <f t="array" ref="G310">IFERROR(VLOOKUP(F310,Dex!$P$22:$Q$276,2,FALSE),"")</f>
        <v/>
      </c>
      <c r="H310" s="6934"/>
      <c r="I310" s="6929"/>
      <c r="J310" s="6931" t="s">
        <v>514</v>
      </c>
      <c r="K310" s="6932">
        <f t="array" ref="K310">IFERROR(VLOOKUP(J296,Dex!$B$3:$N1219,9,FALSE),"")</f>
        <v>60</v>
      </c>
      <c r="L310" s="6933" t="str">
        <f t="array" ref="L310">IFERROR(VLOOKUP(K310,Dex!$P$22:$Q$276,2,FALSE),"")</f>
        <v/>
      </c>
      <c r="M310" s="6934"/>
      <c r="N310" s="6919"/>
      <c r="O310" s="6931" t="s">
        <v>514</v>
      </c>
      <c r="P310" s="6932">
        <f t="array" ref="P310">IFERROR(VLOOKUP(O296,Dex!$B$3:$N1219,9,FALSE),"")</f>
        <v>50</v>
      </c>
      <c r="Q310" s="6933" t="str">
        <f t="array" ref="Q310">IFERROR(VLOOKUP(P310,Dex!$P$22:$Q$276,2,FALSE),"")</f>
        <v/>
      </c>
      <c r="R310" s="6934"/>
      <c r="S310" s="6930"/>
      <c r="T310" s="6862"/>
      <c r="U310" s="6863"/>
      <c r="V310" s="6863"/>
      <c r="W310" s="6864"/>
      <c r="X310" s="6862"/>
      <c r="Y310" s="6863"/>
      <c r="Z310" s="6863"/>
      <c r="AA310" s="6864"/>
      <c r="AB310" s="6865"/>
      <c r="AC310" s="6862"/>
      <c r="AD310" s="6863"/>
      <c r="AE310" s="6863"/>
      <c r="AF310" s="6864"/>
      <c r="AG310" s="6923"/>
      <c r="AH310" s="6924"/>
      <c r="AI310" s="6747"/>
    </row>
    <row r="311" ht="16.5" customHeight="1">
      <c r="A311" s="6738"/>
      <c r="B311" s="6918"/>
      <c r="C311" s="6911"/>
      <c r="D311" s="6919"/>
      <c r="E311" s="6931" t="s">
        <v>515</v>
      </c>
      <c r="F311" s="6932">
        <f t="array" ref="F311">IFERROR(VLOOKUP(E296,Dex!$B$3:$N1219,10,FALSE),"")</f>
        <v>84</v>
      </c>
      <c r="G311" s="6933" t="str">
        <f t="array" ref="G311">IFERROR(VLOOKUP(F311,Dex!$P$22:$Q$276,2,FALSE),"")</f>
        <v/>
      </c>
      <c r="H311" s="6934"/>
      <c r="I311" s="6929"/>
      <c r="J311" s="6931" t="s">
        <v>515</v>
      </c>
      <c r="K311" s="6932">
        <f t="array" ref="K311">IFERROR(VLOOKUP(J296,Dex!$B$3:$N1219,10,FALSE),"")</f>
        <v>84</v>
      </c>
      <c r="L311" s="6933" t="str">
        <f t="array" ref="L311">IFERROR(VLOOKUP(K311,Dex!$P$22:$Q$276,2,FALSE),"")</f>
        <v/>
      </c>
      <c r="M311" s="6934"/>
      <c r="N311" s="6919"/>
      <c r="O311" s="6931" t="s">
        <v>515</v>
      </c>
      <c r="P311" s="6932">
        <f t="array" ref="P311">IFERROR(VLOOKUP(O296,Dex!$B$3:$N1219,10,FALSE),"")</f>
        <v>80</v>
      </c>
      <c r="Q311" s="6933" t="str">
        <f t="array" ref="Q311">IFERROR(VLOOKUP(P311,Dex!$P$22:$Q$276,2,FALSE),"")</f>
        <v/>
      </c>
      <c r="R311" s="6934"/>
      <c r="S311" s="6930"/>
      <c r="T311" s="6862"/>
      <c r="U311" s="6863"/>
      <c r="V311" s="6863"/>
      <c r="W311" s="6864"/>
      <c r="X311" s="6862"/>
      <c r="Y311" s="6863"/>
      <c r="Z311" s="6863"/>
      <c r="AA311" s="6864"/>
      <c r="AB311" s="6865"/>
      <c r="AC311" s="6862"/>
      <c r="AD311" s="6863"/>
      <c r="AE311" s="6863"/>
      <c r="AF311" s="6864"/>
      <c r="AG311" s="6923"/>
      <c r="AH311" s="6924"/>
      <c r="AI311" s="6747"/>
    </row>
    <row r="312" ht="16.5" customHeight="1">
      <c r="A312" s="6738"/>
      <c r="B312" s="6918"/>
      <c r="C312" s="6911"/>
      <c r="D312" s="6919"/>
      <c r="E312" s="6931" t="s">
        <v>516</v>
      </c>
      <c r="F312" s="6932">
        <f t="array" ref="F312">IFERROR(VLOOKUP(E296,Dex!$B$3:$N1219,11,FALSE),"")</f>
        <v>100</v>
      </c>
      <c r="G312" s="6933" t="str">
        <f t="array" ref="G312">IFERROR(VLOOKUP(F312,Dex!$P$22:$Q$276,2,FALSE),"")</f>
        <v/>
      </c>
      <c r="H312" s="6934"/>
      <c r="I312" s="6929"/>
      <c r="J312" s="6931" t="s">
        <v>516</v>
      </c>
      <c r="K312" s="6932">
        <f t="array" ref="K312">IFERROR(VLOOKUP(J296,Dex!$B$3:$N1219,11,FALSE),"")</f>
        <v>105</v>
      </c>
      <c r="L312" s="6933" t="str">
        <f t="array" ref="L312">IFERROR(VLOOKUP(K312,Dex!$P$22:$Q$276,2,FALSE),"")</f>
        <v/>
      </c>
      <c r="M312" s="6934"/>
      <c r="N312" s="6919"/>
      <c r="O312" s="6931" t="s">
        <v>516</v>
      </c>
      <c r="P312" s="6932">
        <f t="array" ref="P312">IFERROR(VLOOKUP(O296,Dex!$B$3:$N1219,11,FALSE),"")</f>
        <v>90</v>
      </c>
      <c r="Q312" s="6933" t="str">
        <f t="array" ref="Q312">IFERROR(VLOOKUP(P312,Dex!$P$22:$Q$276,2,FALSE),"")</f>
        <v/>
      </c>
      <c r="R312" s="6934"/>
      <c r="S312" s="6930"/>
      <c r="T312" s="6865"/>
      <c r="U312" s="6865"/>
      <c r="V312" s="6865"/>
      <c r="W312" s="6865"/>
      <c r="X312" s="6865"/>
      <c r="Y312" s="6865"/>
      <c r="Z312" s="6865"/>
      <c r="AA312" s="6865"/>
      <c r="AB312" s="6865"/>
      <c r="AC312" s="6862"/>
      <c r="AD312" s="6863"/>
      <c r="AE312" s="6863"/>
      <c r="AF312" s="6864"/>
      <c r="AG312" s="6923"/>
      <c r="AH312" s="6924"/>
      <c r="AI312" s="6747"/>
    </row>
    <row r="313" ht="16.5" customHeight="1">
      <c r="A313" s="6738"/>
      <c r="B313" s="6918"/>
      <c r="C313" s="6911"/>
      <c r="D313" s="6919"/>
      <c r="E313" s="6931" t="s">
        <v>517</v>
      </c>
      <c r="F313" s="6932">
        <f t="array" ref="F313">IFERROR(VLOOKUP(E296,Dex!$B$3:$N1219,12,FALSE),"")</f>
        <v>125</v>
      </c>
      <c r="G313" s="6933" t="str">
        <f t="array" ref="G313">IFERROR(VLOOKUP(F313,Dex!$P$22:$Q$276,2,FALSE),"")</f>
        <v/>
      </c>
      <c r="H313" s="6934"/>
      <c r="I313" s="6929"/>
      <c r="J313" s="6931" t="s">
        <v>517</v>
      </c>
      <c r="K313" s="6932">
        <f t="array" ref="K313">IFERROR(VLOOKUP(J296,Dex!$B$3:$N1219,12,FALSE),"")</f>
        <v>125</v>
      </c>
      <c r="L313" s="6933" t="str">
        <f t="array" ref="L313">IFERROR(VLOOKUP(K313,Dex!$P$22:$Q$276,2,FALSE),"")</f>
        <v/>
      </c>
      <c r="M313" s="6934"/>
      <c r="N313" s="6919"/>
      <c r="O313" s="6931" t="s">
        <v>517</v>
      </c>
      <c r="P313" s="6932">
        <f t="array" ref="P313">IFERROR(VLOOKUP(O296,Dex!$B$3:$N1219,12,FALSE),"")</f>
        <v>95</v>
      </c>
      <c r="Q313" s="6933" t="str">
        <f t="array" ref="Q313">IFERROR(VLOOKUP(P313,Dex!$P$22:$Q$276,2,FALSE),"")</f>
        <v/>
      </c>
      <c r="R313" s="6934"/>
      <c r="S313" s="6930"/>
      <c r="T313" s="6865"/>
      <c r="U313" s="6865"/>
      <c r="V313" s="6865"/>
      <c r="W313" s="6865"/>
      <c r="X313" s="6865"/>
      <c r="Y313" s="6865"/>
      <c r="Z313" s="6865"/>
      <c r="AA313" s="6865"/>
      <c r="AB313" s="6865"/>
      <c r="AC313" s="6862"/>
      <c r="AD313" s="6863"/>
      <c r="AE313" s="6863"/>
      <c r="AF313" s="6864"/>
      <c r="AG313" s="6923"/>
      <c r="AH313" s="6924"/>
      <c r="AI313" s="6747"/>
    </row>
    <row r="314" ht="16.5" customHeight="1">
      <c r="A314" s="6738"/>
      <c r="B314" s="6918"/>
      <c r="C314" s="6911"/>
      <c r="D314" s="6919"/>
      <c r="E314" s="6935" t="s">
        <v>518</v>
      </c>
      <c r="F314" s="6936">
        <f t="array" ref="F314">IFERROR(VLOOKUP(E296,Dex!$B$3:$N1219,13,FALSE),"")</f>
        <v>86</v>
      </c>
      <c r="G314" s="6937" t="str">
        <f t="array" ref="G314">IFERROR(VLOOKUP(F314,Dex!$P$22:$Q$276,2,FALSE),"")</f>
        <v/>
      </c>
      <c r="H314" s="6938"/>
      <c r="I314" s="6929"/>
      <c r="J314" s="6935" t="s">
        <v>518</v>
      </c>
      <c r="K314" s="6936">
        <f t="array" ref="K314">IFERROR(VLOOKUP(J296,Dex!$B$3:$N1219,13,FALSE),"")</f>
        <v>81</v>
      </c>
      <c r="L314" s="6937" t="str">
        <f t="array" ref="L314">IFERROR(VLOOKUP(K314,Dex!$P$22:$Q$276,2,FALSE),"")</f>
        <v/>
      </c>
      <c r="M314" s="6938"/>
      <c r="N314" s="6919"/>
      <c r="O314" s="6935" t="s">
        <v>518</v>
      </c>
      <c r="P314" s="6936">
        <f t="array" ref="P314">IFERROR(VLOOKUP(O296,Dex!$B$3:$N1219,13,FALSE),"")</f>
        <v>70</v>
      </c>
      <c r="Q314" s="6937" t="str">
        <f t="array" ref="Q314">IFERROR(VLOOKUP(P314,Dex!$P$22:$Q$276,2,FALSE),"")</f>
        <v/>
      </c>
      <c r="R314" s="6938"/>
      <c r="S314" s="6930"/>
      <c r="T314" s="6862"/>
      <c r="U314" s="6863"/>
      <c r="V314" s="6863"/>
      <c r="W314" s="6864"/>
      <c r="X314" s="6865"/>
      <c r="Y314" s="6862"/>
      <c r="Z314" s="6863"/>
      <c r="AA314" s="6863"/>
      <c r="AB314" s="6864"/>
      <c r="AC314" s="6862"/>
      <c r="AD314" s="6863"/>
      <c r="AE314" s="6863"/>
      <c r="AF314" s="6864"/>
      <c r="AG314" s="6865"/>
      <c r="AH314" s="6924"/>
      <c r="AI314" s="6747"/>
    </row>
    <row r="315" ht="16.5" customHeight="1">
      <c r="A315" s="6738"/>
      <c r="B315" s="6918"/>
      <c r="C315" s="6911"/>
      <c r="D315" s="6919"/>
      <c r="E315" s="6939" t="s">
        <v>519</v>
      </c>
      <c r="F315" s="630"/>
      <c r="G315" s="631"/>
      <c r="H315" s="6940">
        <v>208.0</v>
      </c>
      <c r="I315" s="6921"/>
      <c r="J315" s="6939" t="s">
        <v>519</v>
      </c>
      <c r="K315" s="630"/>
      <c r="L315" s="631"/>
      <c r="M315" s="6940">
        <v>196.0</v>
      </c>
      <c r="N315" s="6922"/>
      <c r="O315" s="6939" t="s">
        <v>519</v>
      </c>
      <c r="P315" s="630"/>
      <c r="Q315" s="631"/>
      <c r="R315" s="6940">
        <v>176.0</v>
      </c>
      <c r="S315" s="6930"/>
      <c r="T315" s="6862"/>
      <c r="U315" s="6863"/>
      <c r="V315" s="6863"/>
      <c r="W315" s="6864"/>
      <c r="X315" s="6865"/>
      <c r="Y315" s="6862"/>
      <c r="Z315" s="6863"/>
      <c r="AA315" s="6863"/>
      <c r="AB315" s="6864"/>
      <c r="AC315" s="6862"/>
      <c r="AD315" s="6863"/>
      <c r="AE315" s="6863"/>
      <c r="AF315" s="6864"/>
      <c r="AG315" s="6865"/>
      <c r="AH315" s="6924"/>
      <c r="AI315" s="6747"/>
    </row>
    <row r="316" ht="15.0" customHeight="1">
      <c r="A316" s="6676"/>
      <c r="B316" s="6941"/>
      <c r="C316" s="6942"/>
      <c r="D316" s="6943"/>
      <c r="E316" s="6944"/>
      <c r="F316" s="6944"/>
      <c r="G316" s="6944"/>
      <c r="H316" s="6944"/>
      <c r="I316" s="6945"/>
      <c r="J316" s="6946"/>
      <c r="K316" s="6946"/>
      <c r="L316" s="6946"/>
      <c r="M316" s="6944"/>
      <c r="N316" s="6945"/>
      <c r="O316" s="6946"/>
      <c r="P316" s="6946"/>
      <c r="Q316" s="6946"/>
      <c r="R316" s="6944"/>
      <c r="S316" s="6943"/>
      <c r="T316" s="6947"/>
      <c r="U316" s="6948"/>
      <c r="V316" s="6948"/>
      <c r="W316" s="6949"/>
      <c r="X316" s="6943"/>
      <c r="Y316" s="6947"/>
      <c r="Z316" s="6948"/>
      <c r="AA316" s="6948"/>
      <c r="AB316" s="6949"/>
      <c r="AC316" s="6943"/>
      <c r="AD316" s="6943"/>
      <c r="AE316" s="6943"/>
      <c r="AF316" s="6943"/>
      <c r="AG316" s="6943"/>
      <c r="AH316" s="6950"/>
      <c r="AI316" s="6680"/>
    </row>
    <row r="317" ht="15.0" customHeight="1">
      <c r="A317" s="6738"/>
      <c r="B317" s="6850"/>
      <c r="C317" s="6851"/>
      <c r="D317" s="6852"/>
      <c r="E317" s="6853"/>
      <c r="F317" s="6853"/>
      <c r="G317" s="6853"/>
      <c r="H317" s="6853"/>
      <c r="I317" s="6854"/>
      <c r="J317" s="6853"/>
      <c r="K317" s="6853"/>
      <c r="L317" s="6853"/>
      <c r="M317" s="6853"/>
      <c r="N317" s="6854"/>
      <c r="O317" s="6853"/>
      <c r="P317" s="6853"/>
      <c r="Q317" s="6853"/>
      <c r="R317" s="6853"/>
      <c r="S317" s="6854"/>
      <c r="T317" s="6853"/>
      <c r="U317" s="6853"/>
      <c r="V317" s="6853"/>
      <c r="W317" s="6853"/>
      <c r="X317" s="6854"/>
      <c r="Y317" s="6852"/>
      <c r="Z317" s="6852"/>
      <c r="AA317" s="6852"/>
      <c r="AB317" s="6852"/>
      <c r="AC317" s="6854"/>
      <c r="AD317" s="6852"/>
      <c r="AE317" s="6852"/>
      <c r="AF317" s="6852"/>
      <c r="AG317" s="6852"/>
      <c r="AH317" s="6855"/>
      <c r="AI317" s="6747"/>
    </row>
    <row r="318" ht="96.75" customHeight="1">
      <c r="A318" s="6738"/>
      <c r="B318" s="6856"/>
      <c r="C318" s="6857" t="str">
        <f>IMAGE("https://i.ibb.co/qNMR4cv/SwimmerF.png")</f>
        <v/>
      </c>
      <c r="D318" s="6858"/>
      <c r="E318" s="6859" t="str">
        <f t="array" ref="E318">IFERROR(VLOOKUP(E319,Dex!$B$3:$G1219,3,FALSE),"")</f>
        <v/>
      </c>
      <c r="F318" s="1945"/>
      <c r="G318" s="1945"/>
      <c r="H318" s="1946"/>
      <c r="I318" s="6860"/>
      <c r="J318" s="6859" t="str">
        <f t="array" ref="J318">IFERROR(VLOOKUP(J319,Dex!$B$3:$G1219,3,FALSE),"")</f>
        <v/>
      </c>
      <c r="K318" s="1945"/>
      <c r="L318" s="1945"/>
      <c r="M318" s="1946"/>
      <c r="N318" s="6860"/>
      <c r="O318" s="6859" t="str">
        <f t="array" ref="O318">IFERROR(VLOOKUP(O319,Dex!$B$3:$G1219,3,FALSE),"")</f>
        <v/>
      </c>
      <c r="P318" s="1945"/>
      <c r="Q318" s="1945"/>
      <c r="R318" s="1946"/>
      <c r="S318" s="6951"/>
      <c r="T318" s="6859" t="str">
        <f t="array" ref="T318">IFERROR(VLOOKUP(T319,Dex!$B$3:$G1219,3,FALSE),"")</f>
        <v/>
      </c>
      <c r="U318" s="1945"/>
      <c r="V318" s="1945"/>
      <c r="W318" s="1946"/>
      <c r="X318" s="6861"/>
      <c r="Y318" s="6862"/>
      <c r="Z318" s="6863"/>
      <c r="AA318" s="6863"/>
      <c r="AB318" s="6864"/>
      <c r="AC318" s="6865"/>
      <c r="AD318" s="6862"/>
      <c r="AE318" s="6863"/>
      <c r="AF318" s="6863"/>
      <c r="AG318" s="6864"/>
      <c r="AH318" s="6866"/>
      <c r="AI318" s="6747"/>
    </row>
    <row r="319" ht="18.75" customHeight="1">
      <c r="A319" s="6691"/>
      <c r="B319" s="6867"/>
      <c r="C319" s="6868" t="s">
        <v>2040</v>
      </c>
      <c r="D319" s="6869"/>
      <c r="E319" s="6870" t="s">
        <v>2041</v>
      </c>
      <c r="F319" s="6871"/>
      <c r="G319" s="6871"/>
      <c r="H319" s="6872"/>
      <c r="I319" s="6860"/>
      <c r="J319" s="6870" t="s">
        <v>2042</v>
      </c>
      <c r="K319" s="6871"/>
      <c r="L319" s="6871"/>
      <c r="M319" s="6872"/>
      <c r="N319" s="6860"/>
      <c r="O319" s="6870" t="s">
        <v>2043</v>
      </c>
      <c r="P319" s="6871"/>
      <c r="Q319" s="6871"/>
      <c r="R319" s="6872"/>
      <c r="S319" s="6860"/>
      <c r="T319" s="6870" t="s">
        <v>2044</v>
      </c>
      <c r="U319" s="6871"/>
      <c r="V319" s="6871"/>
      <c r="W319" s="6872"/>
      <c r="X319" s="6873"/>
      <c r="Y319" s="6874"/>
      <c r="Z319" s="6863"/>
      <c r="AA319" s="6863"/>
      <c r="AB319" s="6864"/>
      <c r="AC319" s="6875"/>
      <c r="AD319" s="6874"/>
      <c r="AE319" s="6863"/>
      <c r="AF319" s="6863"/>
      <c r="AG319" s="6864"/>
      <c r="AH319" s="6876"/>
      <c r="AI319" s="6699"/>
    </row>
    <row r="320">
      <c r="A320" s="6676"/>
      <c r="B320" s="6856"/>
      <c r="C320" s="1638"/>
      <c r="D320" s="6877"/>
      <c r="E320" s="6878" t="s">
        <v>729</v>
      </c>
      <c r="F320" s="6879"/>
      <c r="G320" s="6879"/>
      <c r="H320" s="6880"/>
      <c r="I320" s="6860"/>
      <c r="J320" s="6878" t="s">
        <v>967</v>
      </c>
      <c r="K320" s="6879"/>
      <c r="L320" s="6879"/>
      <c r="M320" s="6880"/>
      <c r="N320" s="6860"/>
      <c r="O320" s="6878" t="s">
        <v>729</v>
      </c>
      <c r="P320" s="6879"/>
      <c r="Q320" s="6879"/>
      <c r="R320" s="6880"/>
      <c r="S320" s="6951"/>
      <c r="T320" s="6878" t="s">
        <v>729</v>
      </c>
      <c r="U320" s="6879"/>
      <c r="V320" s="6879"/>
      <c r="W320" s="6880"/>
      <c r="X320" s="6861"/>
      <c r="Y320" s="6862"/>
      <c r="Z320" s="6863"/>
      <c r="AA320" s="6863"/>
      <c r="AB320" s="6864"/>
      <c r="AC320" s="6865"/>
      <c r="AD320" s="6862"/>
      <c r="AE320" s="6863"/>
      <c r="AF320" s="6863"/>
      <c r="AG320" s="6864"/>
      <c r="AH320" s="6866"/>
      <c r="AI320" s="6680"/>
    </row>
    <row r="321" ht="25.5" customHeight="1">
      <c r="A321" s="6676"/>
      <c r="B321" s="6856"/>
      <c r="C321" s="1646"/>
      <c r="D321" s="6865"/>
      <c r="E321" s="6881"/>
      <c r="F321" s="6885" t="str">
        <f t="array" ref="F321">IFERROR(VLOOKUP(E319,Dex!$B$3:$H1219,5,FALSE),"")</f>
        <v/>
      </c>
      <c r="G321" s="6886" t="str">
        <f t="array" ref="G321">IFERROR(VLOOKUP(E319,Dex!$B$3:$H1219,7,FALSE),"")</f>
        <v/>
      </c>
      <c r="H321" s="6884"/>
      <c r="I321" s="6875"/>
      <c r="J321" s="6881"/>
      <c r="K321" s="6882" t="str">
        <f t="array" ref="K321">IFERROR(VLOOKUP(J319,Dex!$B$3:$H1219,5,FALSE),"")</f>
        <v/>
      </c>
      <c r="L321" s="6883"/>
      <c r="M321" s="6884"/>
      <c r="N321" s="6875"/>
      <c r="O321" s="6881"/>
      <c r="P321" s="6885" t="str">
        <f t="array" ref="P321">IFERROR(VLOOKUP(O319,Dex!$B$3:$H1219,5,FALSE),"")</f>
        <v/>
      </c>
      <c r="Q321" s="6886" t="str">
        <f t="array" ref="Q321">IFERROR(VLOOKUP(O319,Dex!$B$3:$H1219,7,FALSE),"")</f>
        <v/>
      </c>
      <c r="R321" s="6884"/>
      <c r="S321" s="6865"/>
      <c r="T321" s="6881"/>
      <c r="U321" s="6882" t="str">
        <f t="array" ref="U321">IFERROR(VLOOKUP(T319,Dex!$B$3:$H1219,5,FALSE),"")</f>
        <v/>
      </c>
      <c r="V321" s="6883"/>
      <c r="W321" s="6884"/>
      <c r="X321" s="6865"/>
      <c r="Y321" s="6862"/>
      <c r="Z321" s="6863"/>
      <c r="AA321" s="6863"/>
      <c r="AB321" s="6864"/>
      <c r="AC321" s="6865"/>
      <c r="AD321" s="6862"/>
      <c r="AE321" s="6863"/>
      <c r="AF321" s="6863"/>
      <c r="AG321" s="6864"/>
      <c r="AH321" s="6866"/>
      <c r="AI321" s="6680"/>
    </row>
    <row r="322" ht="2.25" customHeight="1">
      <c r="A322" s="6676"/>
      <c r="B322" s="6856"/>
      <c r="C322" s="6887"/>
      <c r="D322" s="6865"/>
      <c r="E322" s="6888"/>
      <c r="F322" s="6889"/>
      <c r="G322" s="6889"/>
      <c r="H322" s="6890"/>
      <c r="I322" s="6875"/>
      <c r="J322" s="6888"/>
      <c r="K322" s="6889"/>
      <c r="L322" s="6889"/>
      <c r="M322" s="6890"/>
      <c r="N322" s="6875"/>
      <c r="O322" s="6888"/>
      <c r="P322" s="6889"/>
      <c r="Q322" s="6889"/>
      <c r="R322" s="6890"/>
      <c r="S322" s="6865"/>
      <c r="T322" s="6888"/>
      <c r="U322" s="6889"/>
      <c r="V322" s="6889"/>
      <c r="W322" s="6890"/>
      <c r="X322" s="6865"/>
      <c r="Y322" s="6865"/>
      <c r="Z322" s="6865"/>
      <c r="AA322" s="6865"/>
      <c r="AB322" s="6865"/>
      <c r="AC322" s="6865"/>
      <c r="AD322" s="6865"/>
      <c r="AE322" s="6865"/>
      <c r="AF322" s="6865"/>
      <c r="AG322" s="6865"/>
      <c r="AH322" s="6866"/>
      <c r="AI322" s="6680"/>
    </row>
    <row r="323" ht="20.25" customHeight="1">
      <c r="A323" s="6676"/>
      <c r="B323" s="6856"/>
      <c r="C323" s="6891"/>
      <c r="D323" s="6862"/>
      <c r="E323" s="6892" t="s">
        <v>566</v>
      </c>
      <c r="F323" s="6893"/>
      <c r="G323" s="6893"/>
      <c r="H323" s="6894"/>
      <c r="I323" s="6860"/>
      <c r="J323" s="6892" t="s">
        <v>531</v>
      </c>
      <c r="K323" s="6893"/>
      <c r="L323" s="6893"/>
      <c r="M323" s="6894"/>
      <c r="N323" s="6860"/>
      <c r="O323" s="6892" t="s">
        <v>566</v>
      </c>
      <c r="P323" s="6893"/>
      <c r="Q323" s="6893"/>
      <c r="R323" s="6894"/>
      <c r="S323" s="6951"/>
      <c r="T323" s="6892" t="s">
        <v>531</v>
      </c>
      <c r="U323" s="6893"/>
      <c r="V323" s="6893"/>
      <c r="W323" s="6894"/>
      <c r="X323" s="6861"/>
      <c r="Y323" s="6862"/>
      <c r="Z323" s="6863"/>
      <c r="AA323" s="6863"/>
      <c r="AB323" s="6864"/>
      <c r="AC323" s="6865"/>
      <c r="AD323" s="6862"/>
      <c r="AE323" s="6863"/>
      <c r="AF323" s="6863"/>
      <c r="AG323" s="6864"/>
      <c r="AH323" s="6866"/>
      <c r="AI323" s="6680"/>
    </row>
    <row r="324" ht="20.25" customHeight="1">
      <c r="A324" s="6676"/>
      <c r="B324" s="6856"/>
      <c r="C324" s="6891"/>
      <c r="D324" s="6862"/>
      <c r="E324" s="6895" t="s">
        <v>2045</v>
      </c>
      <c r="F324" s="6863"/>
      <c r="G324" s="6863"/>
      <c r="H324" s="6896"/>
      <c r="I324" s="6860"/>
      <c r="J324" s="6895" t="s">
        <v>1484</v>
      </c>
      <c r="K324" s="6863"/>
      <c r="L324" s="6863"/>
      <c r="M324" s="6896"/>
      <c r="N324" s="6860"/>
      <c r="O324" s="6895" t="s">
        <v>2046</v>
      </c>
      <c r="P324" s="6863"/>
      <c r="Q324" s="6863"/>
      <c r="R324" s="6896"/>
      <c r="S324" s="6951"/>
      <c r="T324" s="6895" t="s">
        <v>2000</v>
      </c>
      <c r="U324" s="6863"/>
      <c r="V324" s="6863"/>
      <c r="W324" s="6896"/>
      <c r="X324" s="6861"/>
      <c r="Y324" s="6862"/>
      <c r="Z324" s="6863"/>
      <c r="AA324" s="6863"/>
      <c r="AB324" s="6864"/>
      <c r="AC324" s="6865"/>
      <c r="AD324" s="6862"/>
      <c r="AE324" s="6863"/>
      <c r="AF324" s="6863"/>
      <c r="AG324" s="6864"/>
      <c r="AH324" s="6866"/>
      <c r="AI324" s="6680"/>
    </row>
    <row r="325" ht="20.25" customHeight="1">
      <c r="A325" s="6676"/>
      <c r="B325" s="6856"/>
      <c r="C325" s="6891"/>
      <c r="D325" s="6862"/>
      <c r="E325" s="6897" t="s">
        <v>537</v>
      </c>
      <c r="F325" s="6898"/>
      <c r="G325" s="6899"/>
      <c r="H325" s="6900" t="str">
        <f>IMAGE("https://raw.githubusercontent.com/msikma/pokesprite/master/items/berry/sitrus.png",3)</f>
        <v/>
      </c>
      <c r="I325" s="6874"/>
      <c r="J325" s="6897" t="s">
        <v>537</v>
      </c>
      <c r="K325" s="6898"/>
      <c r="L325" s="6899"/>
      <c r="M325" s="6900" t="str">
        <f>IMAGE("https://raw.githubusercontent.com/msikma/pokesprite/master/items/berry/sitrus.png",3)</f>
        <v/>
      </c>
      <c r="N325" s="6874"/>
      <c r="O325" s="6897" t="s">
        <v>537</v>
      </c>
      <c r="P325" s="6898"/>
      <c r="Q325" s="6899"/>
      <c r="R325" s="6900" t="str">
        <f>IMAGE("https://raw.githubusercontent.com/msikma/pokesprite/master/items/berry/sitrus.png",3)</f>
        <v/>
      </c>
      <c r="S325" s="6862"/>
      <c r="T325" s="6897" t="s">
        <v>537</v>
      </c>
      <c r="U325" s="6898"/>
      <c r="V325" s="6899"/>
      <c r="W325" s="6900" t="str">
        <f>IMAGE("https://raw.githubusercontent.com/msikma/pokesprite/master/items/berry/sitrus.png",3)</f>
        <v/>
      </c>
      <c r="X325" s="6865"/>
      <c r="Y325" s="6862"/>
      <c r="Z325" s="6863"/>
      <c r="AA325" s="6863"/>
      <c r="AB325" s="6864"/>
      <c r="AC325" s="6865"/>
      <c r="AD325" s="6862"/>
      <c r="AE325" s="6863"/>
      <c r="AF325" s="6863"/>
      <c r="AG325" s="6864"/>
      <c r="AH325" s="6866"/>
      <c r="AI325" s="6680"/>
    </row>
    <row r="326" ht="20.25" customHeight="1">
      <c r="A326" s="6676"/>
      <c r="B326" s="6856"/>
      <c r="C326" s="6901"/>
      <c r="D326" s="6862"/>
      <c r="E326" s="6892" t="s">
        <v>760</v>
      </c>
      <c r="F326" s="6893"/>
      <c r="G326" s="6902"/>
      <c r="H326" s="6903" t="str">
        <f>IMAGE("https://raw.githubusercontent.com/msikma/pokesprite/master/misc/types/gen8/water.png",4,20,20)</f>
        <v/>
      </c>
      <c r="I326" s="6874"/>
      <c r="J326" s="6892" t="s">
        <v>1190</v>
      </c>
      <c r="K326" s="6893"/>
      <c r="L326" s="6902"/>
      <c r="M326" s="6903" t="str">
        <f>IMAGE("https://raw.githubusercontent.com/msikma/pokesprite/master/misc/types/gen8/water.png",4,20,20)</f>
        <v/>
      </c>
      <c r="N326" s="6874"/>
      <c r="O326" s="6892" t="s">
        <v>833</v>
      </c>
      <c r="P326" s="6893"/>
      <c r="Q326" s="6902"/>
      <c r="R326" s="6903" t="str">
        <f>IMAGE("https://raw.githubusercontent.com/msikma/pokesprite/master/misc/types/gen8/bug.png",4,20,20)</f>
        <v/>
      </c>
      <c r="S326" s="6862"/>
      <c r="T326" s="6892" t="s">
        <v>649</v>
      </c>
      <c r="U326" s="6893"/>
      <c r="V326" s="6902"/>
      <c r="W326" s="6903" t="str">
        <f>IMAGE("https://raw.githubusercontent.com/msikma/pokesprite/master/misc/types/gen8/water.png",4,20,20)</f>
        <v/>
      </c>
      <c r="X326" s="6865"/>
      <c r="Y326" s="6862"/>
      <c r="Z326" s="6863"/>
      <c r="AA326" s="6863"/>
      <c r="AB326" s="6864"/>
      <c r="AC326" s="6865"/>
      <c r="AD326" s="6862"/>
      <c r="AE326" s="6863"/>
      <c r="AF326" s="6863"/>
      <c r="AG326" s="6864"/>
      <c r="AH326" s="6866"/>
      <c r="AI326" s="6680"/>
    </row>
    <row r="327" ht="20.25" customHeight="1">
      <c r="A327" s="6676"/>
      <c r="B327" s="6856"/>
      <c r="C327" s="6904"/>
      <c r="D327" s="6862"/>
      <c r="E327" s="6895" t="s">
        <v>959</v>
      </c>
      <c r="F327" s="6863"/>
      <c r="G327" s="6864"/>
      <c r="H327" s="6905" t="str">
        <f>IMAGE("https://raw.githubusercontent.com/msikma/pokesprite/master/misc/types/gen8/fairy.png",4,20,20)</f>
        <v/>
      </c>
      <c r="I327" s="6874"/>
      <c r="J327" s="6895" t="s">
        <v>718</v>
      </c>
      <c r="K327" s="6863"/>
      <c r="L327" s="6864"/>
      <c r="M327" s="6905" t="str">
        <f>IMAGE("https://raw.githubusercontent.com/msikma/pokesprite/master/misc/types/gen8/fighting.png",4,20,20)</f>
        <v/>
      </c>
      <c r="N327" s="6874"/>
      <c r="O327" s="6895" t="s">
        <v>845</v>
      </c>
      <c r="P327" s="6863"/>
      <c r="Q327" s="6864"/>
      <c r="R327" s="6905" t="str">
        <f>IMAGE("https://raw.githubusercontent.com/msikma/pokesprite/master/misc/types/gen8/water.png",4,20,20)</f>
        <v/>
      </c>
      <c r="S327" s="6862"/>
      <c r="T327" s="6895" t="s">
        <v>670</v>
      </c>
      <c r="U327" s="6863"/>
      <c r="V327" s="6864"/>
      <c r="W327" s="6905" t="str">
        <f>IMAGE("https://raw.githubusercontent.com/msikma/pokesprite/master/misc/types/gen8/ice.png",4,20,20)</f>
        <v/>
      </c>
      <c r="X327" s="6865"/>
      <c r="Y327" s="6862"/>
      <c r="Z327" s="6863"/>
      <c r="AA327" s="6863"/>
      <c r="AB327" s="6864"/>
      <c r="AC327" s="6865"/>
      <c r="AD327" s="6862"/>
      <c r="AE327" s="6863"/>
      <c r="AF327" s="6863"/>
      <c r="AG327" s="6864"/>
      <c r="AH327" s="6866"/>
      <c r="AI327" s="6680"/>
    </row>
    <row r="328" ht="20.25" customHeight="1">
      <c r="A328" s="6676"/>
      <c r="B328" s="6856"/>
      <c r="C328" s="6904"/>
      <c r="D328" s="6862"/>
      <c r="E328" s="6895" t="s">
        <v>1532</v>
      </c>
      <c r="F328" s="6863"/>
      <c r="G328" s="6864"/>
      <c r="H328" s="6905" t="str">
        <f>IMAGE("https://raw.githubusercontent.com/msikma/pokesprite/master/misc/types/gen8/fighting.png",4,20,20)</f>
        <v/>
      </c>
      <c r="I328" s="6874"/>
      <c r="J328" s="6895" t="s">
        <v>670</v>
      </c>
      <c r="K328" s="6863"/>
      <c r="L328" s="6864"/>
      <c r="M328" s="6905" t="str">
        <f>IMAGE("https://raw.githubusercontent.com/msikma/pokesprite/master/misc/types/gen8/ice.png",4,20,20)</f>
        <v/>
      </c>
      <c r="N328" s="6874"/>
      <c r="O328" s="6895" t="s">
        <v>579</v>
      </c>
      <c r="P328" s="6863"/>
      <c r="Q328" s="6864"/>
      <c r="R328" s="6905" t="str">
        <f>IMAGE("https://raw.githubusercontent.com/msikma/pokesprite/master/misc/types/gen8/dark.png",4,20,20)</f>
        <v/>
      </c>
      <c r="S328" s="6862"/>
      <c r="T328" s="6895" t="s">
        <v>612</v>
      </c>
      <c r="U328" s="6863"/>
      <c r="V328" s="6864"/>
      <c r="W328" s="6905" t="str">
        <f>IMAGE("https://raw.githubusercontent.com/msikma/pokesprite/master/misc/types/gen8/bug.png",4,20,20)</f>
        <v/>
      </c>
      <c r="X328" s="6865"/>
      <c r="Y328" s="6862"/>
      <c r="Z328" s="6863"/>
      <c r="AA328" s="6863"/>
      <c r="AB328" s="6864"/>
      <c r="AC328" s="6865"/>
      <c r="AD328" s="6862"/>
      <c r="AE328" s="6863"/>
      <c r="AF328" s="6863"/>
      <c r="AG328" s="6864"/>
      <c r="AH328" s="6866"/>
      <c r="AI328" s="6680"/>
    </row>
    <row r="329" ht="21.0" customHeight="1">
      <c r="A329" s="6676"/>
      <c r="B329" s="6856"/>
      <c r="C329" s="6904"/>
      <c r="D329" s="6862"/>
      <c r="E329" s="6906" t="s">
        <v>974</v>
      </c>
      <c r="F329" s="6907"/>
      <c r="G329" s="6908"/>
      <c r="H329" s="6909" t="str">
        <f>IMAGE("https://raw.githubusercontent.com/msikma/pokesprite/master/misc/types/gen8/water.png",4,20,20)</f>
        <v/>
      </c>
      <c r="I329" s="6874"/>
      <c r="J329" s="6906" t="s">
        <v>619</v>
      </c>
      <c r="K329" s="6907"/>
      <c r="L329" s="6908"/>
      <c r="M329" s="6909" t="str">
        <f>IMAGE("https://raw.githubusercontent.com/msikma/pokesprite/master/misc/types/gen8/fire.png",4,20,20)</f>
        <v/>
      </c>
      <c r="N329" s="6874"/>
      <c r="O329" s="6906" t="s">
        <v>583</v>
      </c>
      <c r="P329" s="6907"/>
      <c r="Q329" s="6908"/>
      <c r="R329" s="6909" t="str">
        <f>IMAGE("https://raw.githubusercontent.com/msikma/pokesprite/master/misc/types/gen8/fighting.png",4,20,20)</f>
        <v/>
      </c>
      <c r="S329" s="6862"/>
      <c r="T329" s="6906" t="s">
        <v>549</v>
      </c>
      <c r="U329" s="6907"/>
      <c r="V329" s="6908"/>
      <c r="W329" s="6909" t="str">
        <f>IMAGE("https://raw.githubusercontent.com/msikma/pokesprite/master/misc/types/gen8/ground.png",4,20,20)</f>
        <v/>
      </c>
      <c r="X329" s="6865"/>
      <c r="Y329" s="6862"/>
      <c r="Z329" s="6863"/>
      <c r="AA329" s="6863"/>
      <c r="AB329" s="6864"/>
      <c r="AC329" s="6865"/>
      <c r="AD329" s="6862"/>
      <c r="AE329" s="6863"/>
      <c r="AF329" s="6863"/>
      <c r="AG329" s="6864"/>
      <c r="AH329" s="6866"/>
      <c r="AI329" s="6680"/>
    </row>
    <row r="330" ht="3.0" customHeight="1">
      <c r="A330" s="6738"/>
      <c r="B330" s="6910"/>
      <c r="C330" s="6911"/>
      <c r="D330" s="6912"/>
      <c r="E330" s="6915"/>
      <c r="F330" s="6915"/>
      <c r="G330" s="6915"/>
      <c r="H330" s="6914"/>
      <c r="I330" s="6912"/>
      <c r="J330" s="6915"/>
      <c r="K330" s="6915"/>
      <c r="L330" s="6915"/>
      <c r="M330" s="6914"/>
      <c r="N330" s="6912"/>
      <c r="O330" s="6915"/>
      <c r="P330" s="6915"/>
      <c r="Q330" s="6915"/>
      <c r="R330" s="6914"/>
      <c r="S330" s="6914"/>
      <c r="T330" s="6915"/>
      <c r="U330" s="6915"/>
      <c r="V330" s="6915"/>
      <c r="W330" s="6914"/>
      <c r="X330" s="6912"/>
      <c r="Y330" s="6914"/>
      <c r="Z330" s="6914"/>
      <c r="AA330" s="6914"/>
      <c r="AB330" s="6914"/>
      <c r="AC330" s="6916"/>
      <c r="AD330" s="6914"/>
      <c r="AE330" s="6914"/>
      <c r="AF330" s="6914"/>
      <c r="AG330" s="6914"/>
      <c r="AH330" s="6917"/>
      <c r="AI330" s="6747"/>
    </row>
    <row r="331" ht="16.5" customHeight="1">
      <c r="A331" s="6738"/>
      <c r="B331" s="6918"/>
      <c r="C331" s="6911"/>
      <c r="D331" s="6922"/>
      <c r="E331" s="6920" t="s">
        <v>512</v>
      </c>
      <c r="F331" s="606"/>
      <c r="G331" s="606"/>
      <c r="H331" s="607"/>
      <c r="I331" s="6921"/>
      <c r="J331" s="6920" t="s">
        <v>512</v>
      </c>
      <c r="K331" s="606"/>
      <c r="L331" s="606"/>
      <c r="M331" s="607"/>
      <c r="N331" s="6922"/>
      <c r="O331" s="6920" t="s">
        <v>512</v>
      </c>
      <c r="P331" s="606"/>
      <c r="Q331" s="606"/>
      <c r="R331" s="607"/>
      <c r="S331" s="6952"/>
      <c r="T331" s="6920" t="s">
        <v>512</v>
      </c>
      <c r="U331" s="606"/>
      <c r="V331" s="606"/>
      <c r="W331" s="607"/>
      <c r="X331" s="6865"/>
      <c r="Y331" s="6865"/>
      <c r="Z331" s="6865"/>
      <c r="AA331" s="6865"/>
      <c r="AB331" s="6865"/>
      <c r="AC331" s="6865"/>
      <c r="AD331" s="6865"/>
      <c r="AE331" s="6865"/>
      <c r="AF331" s="6865"/>
      <c r="AG331" s="6923"/>
      <c r="AH331" s="6924"/>
      <c r="AI331" s="6747"/>
    </row>
    <row r="332" ht="16.5" customHeight="1">
      <c r="A332" s="6738"/>
      <c r="B332" s="6918"/>
      <c r="C332" s="6911"/>
      <c r="D332" s="6919"/>
      <c r="E332" s="6925" t="s">
        <v>513</v>
      </c>
      <c r="F332" s="6926">
        <f t="array" ref="F332">IFERROR(VLOOKUP(E319,Dex!$B$3:$N1219,8,FALSE),"")</f>
        <v>100</v>
      </c>
      <c r="G332" s="6927" t="str">
        <f t="array" ref="G332">IFERROR(VLOOKUP(F332,Dex!$P$22:$Q$276,2,FALSE),"")</f>
        <v/>
      </c>
      <c r="H332" s="6928"/>
      <c r="I332" s="6929"/>
      <c r="J332" s="6925" t="s">
        <v>513</v>
      </c>
      <c r="K332" s="6926">
        <f t="array" ref="K332">IFERROR(VLOOKUP(J319,Dex!$B$3:$N1219,8,FALSE),"")</f>
        <v>75</v>
      </c>
      <c r="L332" s="6927" t="str">
        <f t="array" ref="L332">IFERROR(VLOOKUP(K332,Dex!$P$22:$Q$276,2,FALSE),"")</f>
        <v/>
      </c>
      <c r="M332" s="6928"/>
      <c r="N332" s="6919"/>
      <c r="O332" s="6925" t="s">
        <v>513</v>
      </c>
      <c r="P332" s="6926">
        <f t="array" ref="P332">IFERROR(VLOOKUP(O319,Dex!$B$3:$N1219,8,FALSE),"")</f>
        <v>75</v>
      </c>
      <c r="Q332" s="6927" t="str">
        <f t="array" ref="Q332">IFERROR(VLOOKUP(P332,Dex!$P$22:$Q$276,2,FALSE),"")</f>
        <v/>
      </c>
      <c r="R332" s="6928"/>
      <c r="S332" s="6930"/>
      <c r="T332" s="6925" t="s">
        <v>513</v>
      </c>
      <c r="U332" s="6926">
        <f t="array" ref="U332">IFERROR(VLOOKUP(T319,Dex!$B$3:$N1219,8,FALSE),"")</f>
        <v>55</v>
      </c>
      <c r="V332" s="6927" t="str">
        <f t="array" ref="V332">IFERROR(VLOOKUP(U332,Dex!$P$22:$Q$276,2,FALSE),"")</f>
        <v/>
      </c>
      <c r="W332" s="6928"/>
      <c r="X332" s="6865"/>
      <c r="Y332" s="6865"/>
      <c r="Z332" s="6865"/>
      <c r="AA332" s="6865"/>
      <c r="AB332" s="6865"/>
      <c r="AC332" s="6865"/>
      <c r="AD332" s="6865"/>
      <c r="AE332" s="6865"/>
      <c r="AF332" s="6865"/>
      <c r="AG332" s="6923"/>
      <c r="AH332" s="6924"/>
      <c r="AI332" s="6747"/>
    </row>
    <row r="333" ht="16.5" customHeight="1">
      <c r="A333" s="6738"/>
      <c r="B333" s="6918"/>
      <c r="C333" s="6911"/>
      <c r="D333" s="6919"/>
      <c r="E333" s="6931" t="s">
        <v>514</v>
      </c>
      <c r="F333" s="6932">
        <f t="array" ref="F333">IFERROR(VLOOKUP(E319,Dex!$B$3:$N1219,9,FALSE),"")</f>
        <v>50</v>
      </c>
      <c r="G333" s="6933" t="str">
        <f t="array" ref="G333">IFERROR(VLOOKUP(F333,Dex!$P$22:$Q$276,2,FALSE),"")</f>
        <v/>
      </c>
      <c r="H333" s="6934"/>
      <c r="I333" s="6929"/>
      <c r="J333" s="6931" t="s">
        <v>514</v>
      </c>
      <c r="K333" s="6932">
        <f t="array" ref="K333">IFERROR(VLOOKUP(J319,Dex!$B$3:$N1219,9,FALSE),"")</f>
        <v>105</v>
      </c>
      <c r="L333" s="6933" t="str">
        <f t="array" ref="L333">IFERROR(VLOOKUP(K333,Dex!$P$22:$Q$276,2,FALSE),"")</f>
        <v/>
      </c>
      <c r="M333" s="6934"/>
      <c r="N333" s="6919"/>
      <c r="O333" s="6931" t="s">
        <v>514</v>
      </c>
      <c r="P333" s="6932">
        <f t="array" ref="P333">IFERROR(VLOOKUP(O319,Dex!$B$3:$N1219,9,FALSE),"")</f>
        <v>125</v>
      </c>
      <c r="Q333" s="6933" t="str">
        <f t="array" ref="Q333">IFERROR(VLOOKUP(P333,Dex!$P$22:$Q$276,2,FALSE),"")</f>
        <v/>
      </c>
      <c r="R333" s="6934"/>
      <c r="S333" s="6930"/>
      <c r="T333" s="6931" t="s">
        <v>514</v>
      </c>
      <c r="U333" s="6932">
        <f t="array" ref="U333">IFERROR(VLOOKUP(T319,Dex!$B$3:$N1219,9,FALSE),"")</f>
        <v>140</v>
      </c>
      <c r="V333" s="6933" t="str">
        <f t="array" ref="V333">IFERROR(VLOOKUP(U333,Dex!$P$22:$Q$276,2,FALSE),"")</f>
        <v/>
      </c>
      <c r="W333" s="6934"/>
      <c r="X333" s="6862"/>
      <c r="Y333" s="6863"/>
      <c r="Z333" s="6863"/>
      <c r="AA333" s="6864"/>
      <c r="AB333" s="6865"/>
      <c r="AC333" s="6862"/>
      <c r="AD333" s="6863"/>
      <c r="AE333" s="6863"/>
      <c r="AF333" s="6864"/>
      <c r="AG333" s="6923"/>
      <c r="AH333" s="6924"/>
      <c r="AI333" s="6747"/>
    </row>
    <row r="334" ht="16.5" customHeight="1">
      <c r="A334" s="6738"/>
      <c r="B334" s="6918"/>
      <c r="C334" s="6911"/>
      <c r="D334" s="6919"/>
      <c r="E334" s="6931" t="s">
        <v>515</v>
      </c>
      <c r="F334" s="6932">
        <f t="array" ref="F334">IFERROR(VLOOKUP(E319,Dex!$B$3:$N1219,10,FALSE),"")</f>
        <v>80</v>
      </c>
      <c r="G334" s="6933" t="str">
        <f t="array" ref="G334">IFERROR(VLOOKUP(F334,Dex!$P$22:$Q$276,2,FALSE),"")</f>
        <v/>
      </c>
      <c r="H334" s="6934"/>
      <c r="I334" s="6929"/>
      <c r="J334" s="6931" t="s">
        <v>515</v>
      </c>
      <c r="K334" s="6932">
        <f t="array" ref="K334">IFERROR(VLOOKUP(J319,Dex!$B$3:$N1219,10,FALSE),"")</f>
        <v>75</v>
      </c>
      <c r="L334" s="6933" t="str">
        <f t="array" ref="L334">IFERROR(VLOOKUP(K334,Dex!$P$22:$Q$276,2,FALSE),"")</f>
        <v/>
      </c>
      <c r="M334" s="6934"/>
      <c r="N334" s="6919"/>
      <c r="O334" s="6931" t="s">
        <v>515</v>
      </c>
      <c r="P334" s="6932">
        <f t="array" ref="P334">IFERROR(VLOOKUP(O319,Dex!$B$3:$N1219,10,FALSE),"")</f>
        <v>140</v>
      </c>
      <c r="Q334" s="6933" t="str">
        <f t="array" ref="Q334">IFERROR(VLOOKUP(P334,Dex!$P$22:$Q$276,2,FALSE),"")</f>
        <v/>
      </c>
      <c r="R334" s="6934"/>
      <c r="S334" s="6930"/>
      <c r="T334" s="6931" t="s">
        <v>515</v>
      </c>
      <c r="U334" s="6932">
        <f t="array" ref="U334">IFERROR(VLOOKUP(T319,Dex!$B$3:$N1219,10,FALSE),"")</f>
        <v>130</v>
      </c>
      <c r="V334" s="6933" t="str">
        <f t="array" ref="V334">IFERROR(VLOOKUP(U334,Dex!$P$22:$Q$276,2,FALSE),"")</f>
        <v/>
      </c>
      <c r="W334" s="6934"/>
      <c r="X334" s="6862"/>
      <c r="Y334" s="6863"/>
      <c r="Z334" s="6863"/>
      <c r="AA334" s="6864"/>
      <c r="AB334" s="6865"/>
      <c r="AC334" s="6862"/>
      <c r="AD334" s="6863"/>
      <c r="AE334" s="6863"/>
      <c r="AF334" s="6864"/>
      <c r="AG334" s="6923"/>
      <c r="AH334" s="6924"/>
      <c r="AI334" s="6747"/>
    </row>
    <row r="335" ht="16.5" customHeight="1">
      <c r="A335" s="6738"/>
      <c r="B335" s="6918"/>
      <c r="C335" s="6911"/>
      <c r="D335" s="6919"/>
      <c r="E335" s="6931" t="s">
        <v>516</v>
      </c>
      <c r="F335" s="6932">
        <f t="array" ref="F335">IFERROR(VLOOKUP(E319,Dex!$B$3:$N1219,11,FALSE),"")</f>
        <v>60</v>
      </c>
      <c r="G335" s="6933" t="str">
        <f t="array" ref="G335">IFERROR(VLOOKUP(F335,Dex!$P$22:$Q$276,2,FALSE),"")</f>
        <v/>
      </c>
      <c r="H335" s="6934"/>
      <c r="I335" s="6929"/>
      <c r="J335" s="6931" t="s">
        <v>516</v>
      </c>
      <c r="K335" s="6932">
        <f t="array" ref="K335">IFERROR(VLOOKUP(J319,Dex!$B$3:$N1219,11,FALSE),"")</f>
        <v>105</v>
      </c>
      <c r="L335" s="6933" t="str">
        <f t="array" ref="L335">IFERROR(VLOOKUP(K335,Dex!$P$22:$Q$276,2,FALSE),"")</f>
        <v/>
      </c>
      <c r="M335" s="6934"/>
      <c r="N335" s="6919"/>
      <c r="O335" s="6931" t="s">
        <v>516</v>
      </c>
      <c r="P335" s="6932">
        <f t="array" ref="P335">IFERROR(VLOOKUP(O319,Dex!$B$3:$N1219,11,FALSE),"")</f>
        <v>60</v>
      </c>
      <c r="Q335" s="6933" t="str">
        <f t="array" ref="Q335">IFERROR(VLOOKUP(P335,Dex!$P$22:$Q$276,2,FALSE),"")</f>
        <v/>
      </c>
      <c r="R335" s="6934"/>
      <c r="S335" s="6930"/>
      <c r="T335" s="6931" t="s">
        <v>516</v>
      </c>
      <c r="U335" s="6932">
        <f t="array" ref="U335">IFERROR(VLOOKUP(T319,Dex!$B$3:$N1219,11,FALSE),"")</f>
        <v>140</v>
      </c>
      <c r="V335" s="6933" t="str">
        <f t="array" ref="V335">IFERROR(VLOOKUP(U335,Dex!$P$22:$Q$276,2,FALSE),"")</f>
        <v/>
      </c>
      <c r="W335" s="6934"/>
      <c r="X335" s="6865"/>
      <c r="Y335" s="6865"/>
      <c r="Z335" s="6865"/>
      <c r="AA335" s="6865"/>
      <c r="AB335" s="6865"/>
      <c r="AC335" s="6862"/>
      <c r="AD335" s="6863"/>
      <c r="AE335" s="6863"/>
      <c r="AF335" s="6864"/>
      <c r="AG335" s="6923"/>
      <c r="AH335" s="6924"/>
      <c r="AI335" s="6747"/>
    </row>
    <row r="336" ht="16.5" customHeight="1">
      <c r="A336" s="6738"/>
      <c r="B336" s="6918"/>
      <c r="C336" s="6911"/>
      <c r="D336" s="6919"/>
      <c r="E336" s="6931" t="s">
        <v>517</v>
      </c>
      <c r="F336" s="6932">
        <f t="array" ref="F336">IFERROR(VLOOKUP(E319,Dex!$B$3:$N1219,12,FALSE),"")</f>
        <v>80</v>
      </c>
      <c r="G336" s="6933" t="str">
        <f t="array" ref="G336">IFERROR(VLOOKUP(F336,Dex!$P$22:$Q$276,2,FALSE),"")</f>
        <v/>
      </c>
      <c r="H336" s="6934"/>
      <c r="I336" s="6929"/>
      <c r="J336" s="6931" t="s">
        <v>517</v>
      </c>
      <c r="K336" s="6932">
        <f t="array" ref="K336">IFERROR(VLOOKUP(J319,Dex!$B$3:$N1219,12,FALSE),"")</f>
        <v>75</v>
      </c>
      <c r="L336" s="6933" t="str">
        <f t="array" ref="L336">IFERROR(VLOOKUP(K336,Dex!$P$22:$Q$276,2,FALSE),"")</f>
        <v/>
      </c>
      <c r="M336" s="6934"/>
      <c r="N336" s="6919"/>
      <c r="O336" s="6931" t="s">
        <v>517</v>
      </c>
      <c r="P336" s="6932">
        <f t="array" ref="P336">IFERROR(VLOOKUP(O319,Dex!$B$3:$N1219,12,FALSE),"")</f>
        <v>90</v>
      </c>
      <c r="Q336" s="6933" t="str">
        <f t="array" ref="Q336">IFERROR(VLOOKUP(P336,Dex!$P$22:$Q$276,2,FALSE),"")</f>
        <v/>
      </c>
      <c r="R336" s="6934"/>
      <c r="S336" s="6930"/>
      <c r="T336" s="6931" t="s">
        <v>517</v>
      </c>
      <c r="U336" s="6932">
        <f t="array" ref="U336">IFERROR(VLOOKUP(T319,Dex!$B$3:$N1219,12,FALSE),"")</f>
        <v>135</v>
      </c>
      <c r="V336" s="6933" t="str">
        <f t="array" ref="V336">IFERROR(VLOOKUP(U336,Dex!$P$22:$Q$276,2,FALSE),"")</f>
        <v/>
      </c>
      <c r="W336" s="6934"/>
      <c r="X336" s="6865"/>
      <c r="Y336" s="6865"/>
      <c r="Z336" s="6865"/>
      <c r="AA336" s="6865"/>
      <c r="AB336" s="6865"/>
      <c r="AC336" s="6862"/>
      <c r="AD336" s="6863"/>
      <c r="AE336" s="6863"/>
      <c r="AF336" s="6864"/>
      <c r="AG336" s="6923"/>
      <c r="AH336" s="6924"/>
      <c r="AI336" s="6747"/>
    </row>
    <row r="337" ht="16.5" customHeight="1">
      <c r="A337" s="6738"/>
      <c r="B337" s="6918"/>
      <c r="C337" s="6911"/>
      <c r="D337" s="6919"/>
      <c r="E337" s="6935" t="s">
        <v>518</v>
      </c>
      <c r="F337" s="6936">
        <f t="array" ref="F337">IFERROR(VLOOKUP(E319,Dex!$B$3:$N1219,13,FALSE),"")</f>
        <v>50</v>
      </c>
      <c r="G337" s="6937" t="str">
        <f t="array" ref="G337">IFERROR(VLOOKUP(F337,Dex!$P$22:$Q$276,2,FALSE),"")</f>
        <v/>
      </c>
      <c r="H337" s="6938"/>
      <c r="I337" s="6929"/>
      <c r="J337" s="6935" t="s">
        <v>518</v>
      </c>
      <c r="K337" s="6936">
        <f t="array" ref="K337">IFERROR(VLOOKUP(J319,Dex!$B$3:$N1219,13,FALSE),"")</f>
        <v>75</v>
      </c>
      <c r="L337" s="6937" t="str">
        <f t="array" ref="L337">IFERROR(VLOOKUP(K337,Dex!$P$22:$Q$276,2,FALSE),"")</f>
        <v/>
      </c>
      <c r="M337" s="6938"/>
      <c r="N337" s="6919"/>
      <c r="O337" s="6935" t="s">
        <v>518</v>
      </c>
      <c r="P337" s="6936">
        <f t="array" ref="P337">IFERROR(VLOOKUP(O319,Dex!$B$3:$N1219,13,FALSE),"")</f>
        <v>40</v>
      </c>
      <c r="Q337" s="6937" t="str">
        <f t="array" ref="Q337">IFERROR(VLOOKUP(P337,Dex!$P$22:$Q$276,2,FALSE),"")</f>
        <v/>
      </c>
      <c r="R337" s="6938"/>
      <c r="S337" s="6930"/>
      <c r="T337" s="6935" t="s">
        <v>518</v>
      </c>
      <c r="U337" s="6936">
        <f t="array" ref="U337">IFERROR(VLOOKUP(T319,Dex!$B$3:$N1219,13,FALSE),"")</f>
        <v>30</v>
      </c>
      <c r="V337" s="6937" t="str">
        <f t="array" ref="V337">IFERROR(VLOOKUP(U337,Dex!$P$22:$Q$276,2,FALSE),"")</f>
        <v/>
      </c>
      <c r="W337" s="6938"/>
      <c r="X337" s="6865"/>
      <c r="Y337" s="6862"/>
      <c r="Z337" s="6863"/>
      <c r="AA337" s="6863"/>
      <c r="AB337" s="6864"/>
      <c r="AC337" s="6862"/>
      <c r="AD337" s="6863"/>
      <c r="AE337" s="6863"/>
      <c r="AF337" s="6864"/>
      <c r="AG337" s="6865"/>
      <c r="AH337" s="6924"/>
      <c r="AI337" s="6747"/>
    </row>
    <row r="338" ht="16.5" customHeight="1">
      <c r="A338" s="6738"/>
      <c r="B338" s="6918"/>
      <c r="C338" s="6911"/>
      <c r="D338" s="6922"/>
      <c r="E338" s="6939" t="s">
        <v>519</v>
      </c>
      <c r="F338" s="630"/>
      <c r="G338" s="631"/>
      <c r="H338" s="6940">
        <v>136.0</v>
      </c>
      <c r="I338" s="6921"/>
      <c r="J338" s="6939" t="s">
        <v>519</v>
      </c>
      <c r="K338" s="630"/>
      <c r="L338" s="631"/>
      <c r="M338" s="6940">
        <v>184.0</v>
      </c>
      <c r="N338" s="6922"/>
      <c r="O338" s="6939" t="s">
        <v>519</v>
      </c>
      <c r="P338" s="630"/>
      <c r="Q338" s="631"/>
      <c r="R338" s="6940">
        <v>116.0</v>
      </c>
      <c r="S338" s="6930"/>
      <c r="T338" s="6953" t="s">
        <v>519</v>
      </c>
      <c r="U338" s="635"/>
      <c r="V338" s="636"/>
      <c r="W338" s="6954">
        <v>96.0</v>
      </c>
      <c r="X338" s="6865"/>
      <c r="Y338" s="6862"/>
      <c r="Z338" s="6863"/>
      <c r="AA338" s="6863"/>
      <c r="AB338" s="6864"/>
      <c r="AC338" s="6862"/>
      <c r="AD338" s="6863"/>
      <c r="AE338" s="6863"/>
      <c r="AF338" s="6864"/>
      <c r="AG338" s="6865"/>
      <c r="AH338" s="6924"/>
      <c r="AI338" s="6747"/>
    </row>
    <row r="339" ht="16.5" customHeight="1">
      <c r="A339" s="6738"/>
      <c r="B339" s="6955"/>
      <c r="C339" s="6956"/>
      <c r="D339" s="6957"/>
      <c r="E339" s="6958"/>
      <c r="F339" s="6958"/>
      <c r="G339" s="6958"/>
      <c r="H339" s="6911"/>
      <c r="I339" s="6959"/>
      <c r="J339" s="6958"/>
      <c r="K339" s="6958"/>
      <c r="L339" s="6958"/>
      <c r="M339" s="6911"/>
      <c r="N339" s="6957"/>
      <c r="O339" s="6958"/>
      <c r="P339" s="6958"/>
      <c r="Q339" s="6958"/>
      <c r="R339" s="6911"/>
      <c r="S339" s="6960"/>
      <c r="T339" s="6961" t="s">
        <v>2005</v>
      </c>
      <c r="U339" s="643"/>
      <c r="V339" s="644"/>
      <c r="W339" s="6962">
        <v>116.0</v>
      </c>
      <c r="X339" s="6963"/>
      <c r="Y339" s="6963"/>
      <c r="Z339" s="6963"/>
      <c r="AA339" s="6963"/>
      <c r="AB339" s="6963"/>
      <c r="AC339" s="6963"/>
      <c r="AD339" s="6963"/>
      <c r="AE339" s="6963"/>
      <c r="AF339" s="6963"/>
      <c r="AG339" s="6963"/>
      <c r="AH339" s="6964"/>
      <c r="AI339" s="6747"/>
    </row>
    <row r="340" ht="15.0" customHeight="1">
      <c r="A340" s="6676"/>
      <c r="B340" s="6941"/>
      <c r="C340" s="6942"/>
      <c r="D340" s="6943"/>
      <c r="E340" s="6944"/>
      <c r="F340" s="6944"/>
      <c r="G340" s="6944"/>
      <c r="H340" s="6944"/>
      <c r="I340" s="6945"/>
      <c r="J340" s="6944"/>
      <c r="K340" s="6944"/>
      <c r="L340" s="6944"/>
      <c r="M340" s="6944"/>
      <c r="N340" s="6945"/>
      <c r="O340" s="6944"/>
      <c r="P340" s="6944"/>
      <c r="Q340" s="6944"/>
      <c r="R340" s="6944"/>
      <c r="S340" s="6943"/>
      <c r="T340" s="6947"/>
      <c r="U340" s="6948"/>
      <c r="V340" s="6948"/>
      <c r="W340" s="6949"/>
      <c r="X340" s="6943"/>
      <c r="Y340" s="6947"/>
      <c r="Z340" s="6948"/>
      <c r="AA340" s="6948"/>
      <c r="AB340" s="6949"/>
      <c r="AC340" s="6943"/>
      <c r="AD340" s="6943"/>
      <c r="AE340" s="6943"/>
      <c r="AF340" s="6943"/>
      <c r="AG340" s="6943"/>
      <c r="AH340" s="6950"/>
      <c r="AI340" s="6680"/>
    </row>
    <row r="341" ht="15.0" customHeight="1">
      <c r="A341" s="6676"/>
      <c r="B341" s="6965"/>
      <c r="C341" s="6966"/>
      <c r="D341" s="6967"/>
      <c r="E341" s="6968"/>
      <c r="F341" s="6968"/>
      <c r="G341" s="6968"/>
      <c r="H341" s="6968"/>
      <c r="I341" s="6969"/>
      <c r="J341" s="6968"/>
      <c r="K341" s="6968"/>
      <c r="L341" s="6968"/>
      <c r="M341" s="6968"/>
      <c r="N341" s="6969"/>
      <c r="O341" s="6968"/>
      <c r="P341" s="6968"/>
      <c r="Q341" s="6968"/>
      <c r="R341" s="6968"/>
      <c r="S341" s="6969"/>
      <c r="T341" s="6968"/>
      <c r="U341" s="6968"/>
      <c r="V341" s="6968"/>
      <c r="W341" s="6968"/>
      <c r="X341" s="6969"/>
      <c r="Y341" s="6970"/>
      <c r="Z341" s="6970"/>
      <c r="AA341" s="6970"/>
      <c r="AB341" s="6970"/>
      <c r="AC341" s="6969"/>
      <c r="AD341" s="6970"/>
      <c r="AE341" s="6970"/>
      <c r="AF341" s="6970"/>
      <c r="AG341" s="6970"/>
      <c r="AH341" s="6971"/>
      <c r="AI341" s="6680"/>
    </row>
    <row r="342" ht="96.75" customHeight="1">
      <c r="A342" s="6676"/>
      <c r="B342" s="6972"/>
      <c r="C342" s="6973" t="str">
        <f>IMAGE("https://i.ibb.co/sHT2hBk/Red.png")</f>
        <v/>
      </c>
      <c r="D342" s="6974"/>
      <c r="E342" s="6975" t="str">
        <f t="array" ref="E342">IFERROR(VLOOKUP(E343,Dex!$B$3:$G1219,3,FALSE),"")</f>
        <v/>
      </c>
      <c r="F342" s="1945"/>
      <c r="G342" s="1945"/>
      <c r="H342" s="1946"/>
      <c r="I342" s="6976"/>
      <c r="J342" s="6975" t="str">
        <f t="array" ref="J342">IFERROR(VLOOKUP(J343,Dex!$B$3:$G1219,3,FALSE),"")</f>
        <v/>
      </c>
      <c r="K342" s="1945"/>
      <c r="L342" s="1945"/>
      <c r="M342" s="1946"/>
      <c r="N342" s="6976"/>
      <c r="O342" s="6975" t="str">
        <f t="array" ref="O342">IFERROR(VLOOKUP(O343,Dex!$B$3:$G1219,3,FALSE),"")</f>
        <v/>
      </c>
      <c r="P342" s="1945"/>
      <c r="Q342" s="1945"/>
      <c r="R342" s="1946"/>
      <c r="S342" s="6976"/>
      <c r="T342" s="6975" t="str">
        <f t="array" ref="T342">IFERROR(VLOOKUP(T343,Dex!$B$3:$G1219,3,FALSE),"")</f>
        <v/>
      </c>
      <c r="U342" s="1945"/>
      <c r="V342" s="1945"/>
      <c r="W342" s="1946"/>
      <c r="X342" s="6976"/>
      <c r="Y342" s="6975" t="str">
        <f t="array" ref="Y342">IFERROR(VLOOKUP(Y343,Dex!$B$3:$G1219,3,FALSE),"")</f>
        <v/>
      </c>
      <c r="Z342" s="1945"/>
      <c r="AA342" s="1945"/>
      <c r="AB342" s="1946"/>
      <c r="AC342" s="6976"/>
      <c r="AD342" s="6975" t="str">
        <f t="array" ref="AD342">IFERROR(VLOOKUP(AD343,Dex!$B$3:$G1219,3,FALSE),"")</f>
        <v/>
      </c>
      <c r="AE342" s="1945"/>
      <c r="AF342" s="1945"/>
      <c r="AG342" s="1946"/>
      <c r="AH342" s="6977"/>
      <c r="AI342" s="6680"/>
    </row>
    <row r="343" ht="18.75" customHeight="1">
      <c r="A343" s="6691"/>
      <c r="B343" s="6978"/>
      <c r="C343" s="6979" t="s">
        <v>2047</v>
      </c>
      <c r="D343" s="6980"/>
      <c r="E343" s="6981" t="s">
        <v>2048</v>
      </c>
      <c r="F343" s="6982"/>
      <c r="G343" s="6982"/>
      <c r="H343" s="6983"/>
      <c r="I343" s="6976"/>
      <c r="J343" s="6981" t="s">
        <v>1060</v>
      </c>
      <c r="K343" s="6982"/>
      <c r="L343" s="6982"/>
      <c r="M343" s="6983"/>
      <c r="N343" s="6976"/>
      <c r="O343" s="6981" t="s">
        <v>1048</v>
      </c>
      <c r="P343" s="6982"/>
      <c r="Q343" s="6982"/>
      <c r="R343" s="6983"/>
      <c r="S343" s="6976"/>
      <c r="T343" s="6984" t="s">
        <v>680</v>
      </c>
      <c r="U343" s="6982"/>
      <c r="V343" s="6982"/>
      <c r="W343" s="6983"/>
      <c r="X343" s="6976"/>
      <c r="Y343" s="6981" t="s">
        <v>1079</v>
      </c>
      <c r="Z343" s="6982"/>
      <c r="AA343" s="6982"/>
      <c r="AB343" s="6983"/>
      <c r="AC343" s="6976"/>
      <c r="AD343" s="6984" t="s">
        <v>1889</v>
      </c>
      <c r="AE343" s="6982"/>
      <c r="AF343" s="6982"/>
      <c r="AG343" s="6983"/>
      <c r="AH343" s="6985"/>
      <c r="AI343" s="6699"/>
    </row>
    <row r="344">
      <c r="A344" s="6676"/>
      <c r="B344" s="6972"/>
      <c r="C344" s="556"/>
      <c r="D344" s="6986"/>
      <c r="E344" s="6987" t="s">
        <v>729</v>
      </c>
      <c r="F344" s="6988"/>
      <c r="G344" s="6988"/>
      <c r="H344" s="6989"/>
      <c r="I344" s="6976"/>
      <c r="J344" s="6987" t="s">
        <v>729</v>
      </c>
      <c r="K344" s="6988"/>
      <c r="L344" s="6988"/>
      <c r="M344" s="6989"/>
      <c r="N344" s="6976"/>
      <c r="O344" s="6987" t="s">
        <v>729</v>
      </c>
      <c r="P344" s="6988"/>
      <c r="Q344" s="6988"/>
      <c r="R344" s="6989"/>
      <c r="S344" s="6976"/>
      <c r="T344" s="6987" t="s">
        <v>729</v>
      </c>
      <c r="U344" s="6988"/>
      <c r="V344" s="6988"/>
      <c r="W344" s="6989"/>
      <c r="X344" s="6976"/>
      <c r="Y344" s="6987" t="s">
        <v>729</v>
      </c>
      <c r="Z344" s="6988"/>
      <c r="AA344" s="6988"/>
      <c r="AB344" s="6989"/>
      <c r="AC344" s="6976"/>
      <c r="AD344" s="6987" t="s">
        <v>729</v>
      </c>
      <c r="AE344" s="6988"/>
      <c r="AF344" s="6988"/>
      <c r="AG344" s="6989"/>
      <c r="AH344" s="6977"/>
      <c r="AI344" s="6680"/>
    </row>
    <row r="345" ht="25.5" customHeight="1">
      <c r="A345" s="6676"/>
      <c r="B345" s="6972"/>
      <c r="C345" s="6990"/>
      <c r="D345" s="6991"/>
      <c r="E345" s="6992"/>
      <c r="F345" s="6993" t="str">
        <f t="array" ref="F345">IFERROR(VLOOKUP(E343,Dex!$B$3:$H1219,5,FALSE),"")</f>
        <v/>
      </c>
      <c r="G345" s="6994" t="str">
        <f t="array" ref="G345">IFERROR(VLOOKUP(E343,Dex!$B$3:$H1219,7,FALSE),"")</f>
        <v/>
      </c>
      <c r="H345" s="6995"/>
      <c r="I345" s="6996"/>
      <c r="J345" s="6992"/>
      <c r="K345" s="6993" t="str">
        <f t="array" ref="K345">IFERROR(VLOOKUP(J343,Dex!$B$3:$H1219,5,FALSE),"")</f>
        <v/>
      </c>
      <c r="L345" s="6994" t="str">
        <f t="array" ref="L345">IFERROR(VLOOKUP(J343,Dex!$B$3:$H1219,7,FALSE),"")</f>
        <v/>
      </c>
      <c r="M345" s="6995"/>
      <c r="N345" s="6996"/>
      <c r="O345" s="6992"/>
      <c r="P345" s="6997" t="str">
        <f t="array" ref="P345">IFERROR(VLOOKUP(O343,Dex!$B$3:$H1219,5,FALSE),"")</f>
        <v/>
      </c>
      <c r="Q345" s="6998"/>
      <c r="R345" s="6995"/>
      <c r="S345" s="6996"/>
      <c r="T345" s="6992"/>
      <c r="U345" s="6993" t="str">
        <f t="array" ref="U345">IFERROR(VLOOKUP(T343,Dex!$B$3:$H1219,5,FALSE),"")</f>
        <v/>
      </c>
      <c r="V345" s="6994" t="str">
        <f t="array" ref="V345">IFERROR(VLOOKUP(T343,Dex!$B$3:$H1219,7,FALSE),"")</f>
        <v/>
      </c>
      <c r="W345" s="6995"/>
      <c r="X345" s="6996"/>
      <c r="Y345" s="6992"/>
      <c r="Z345" s="6997" t="str">
        <f t="array" ref="Z345">IFERROR(VLOOKUP(Y343,Dex!$B$3:$H1219,5,FALSE),"")</f>
        <v/>
      </c>
      <c r="AA345" s="6998"/>
      <c r="AB345" s="6995"/>
      <c r="AC345" s="6996"/>
      <c r="AD345" s="6992"/>
      <c r="AE345" s="6993" t="str">
        <f t="array" ref="AE345">IFERROR(VLOOKUP(AD343,Dex!$B$3:$H1219,5,FALSE),"")</f>
        <v/>
      </c>
      <c r="AF345" s="6994" t="str">
        <f t="array" ref="AF345">IFERROR(VLOOKUP(AD343,Dex!$B$3:$H1219,7,FALSE),"")</f>
        <v/>
      </c>
      <c r="AG345" s="6995"/>
      <c r="AH345" s="6999"/>
      <c r="AI345" s="6680"/>
    </row>
    <row r="346" ht="2.25" customHeight="1">
      <c r="A346" s="6676"/>
      <c r="B346" s="6972"/>
      <c r="C346" s="7000"/>
      <c r="D346" s="6991"/>
      <c r="E346" s="7001"/>
      <c r="F346" s="7002"/>
      <c r="G346" s="7002"/>
      <c r="H346" s="7003"/>
      <c r="I346" s="6996"/>
      <c r="J346" s="7001"/>
      <c r="K346" s="7002"/>
      <c r="L346" s="7002"/>
      <c r="M346" s="7003"/>
      <c r="N346" s="6996"/>
      <c r="O346" s="7001"/>
      <c r="P346" s="7002"/>
      <c r="Q346" s="7002"/>
      <c r="R346" s="7003"/>
      <c r="S346" s="6996"/>
      <c r="T346" s="7001"/>
      <c r="U346" s="7002"/>
      <c r="V346" s="7002"/>
      <c r="W346" s="7003"/>
      <c r="X346" s="6996"/>
      <c r="Y346" s="7001"/>
      <c r="Z346" s="7002"/>
      <c r="AA346" s="7002"/>
      <c r="AB346" s="7003"/>
      <c r="AC346" s="6996"/>
      <c r="AD346" s="7001"/>
      <c r="AE346" s="7002"/>
      <c r="AF346" s="7002"/>
      <c r="AG346" s="7003"/>
      <c r="AH346" s="6999"/>
      <c r="AI346" s="6680"/>
    </row>
    <row r="347" ht="20.25" customHeight="1">
      <c r="A347" s="6676"/>
      <c r="B347" s="6972"/>
      <c r="C347" s="7000"/>
      <c r="D347" s="7004"/>
      <c r="E347" s="7005" t="s">
        <v>532</v>
      </c>
      <c r="F347" s="7006"/>
      <c r="G347" s="7006"/>
      <c r="H347" s="7007"/>
      <c r="I347" s="6976"/>
      <c r="J347" s="7005" t="s">
        <v>531</v>
      </c>
      <c r="K347" s="7006"/>
      <c r="L347" s="7006"/>
      <c r="M347" s="7007"/>
      <c r="N347" s="6976"/>
      <c r="O347" s="7005" t="s">
        <v>531</v>
      </c>
      <c r="P347" s="7006"/>
      <c r="Q347" s="7006"/>
      <c r="R347" s="7007"/>
      <c r="S347" s="6976"/>
      <c r="T347" s="7005" t="s">
        <v>532</v>
      </c>
      <c r="U347" s="7006"/>
      <c r="V347" s="7006"/>
      <c r="W347" s="7007"/>
      <c r="X347" s="6976"/>
      <c r="Y347" s="7005" t="s">
        <v>566</v>
      </c>
      <c r="Z347" s="7006"/>
      <c r="AA347" s="7006"/>
      <c r="AB347" s="7007"/>
      <c r="AC347" s="6976"/>
      <c r="AD347" s="7005" t="s">
        <v>532</v>
      </c>
      <c r="AE347" s="7006"/>
      <c r="AF347" s="7006"/>
      <c r="AG347" s="7007"/>
      <c r="AH347" s="6977"/>
      <c r="AI347" s="6680"/>
    </row>
    <row r="348">
      <c r="A348" s="6676"/>
      <c r="B348" s="6972"/>
      <c r="C348" s="7000"/>
      <c r="D348" s="7004"/>
      <c r="E348" s="7008" t="s">
        <v>1378</v>
      </c>
      <c r="F348" s="7009"/>
      <c r="G348" s="7009"/>
      <c r="H348" s="7010"/>
      <c r="I348" s="6976"/>
      <c r="J348" s="7011" t="s">
        <v>2049</v>
      </c>
      <c r="K348" s="7009"/>
      <c r="L348" s="7009"/>
      <c r="M348" s="7010"/>
      <c r="N348" s="6976"/>
      <c r="O348" s="7011" t="s">
        <v>2050</v>
      </c>
      <c r="P348" s="7009"/>
      <c r="Q348" s="7009"/>
      <c r="R348" s="7010"/>
      <c r="S348" s="6976"/>
      <c r="T348" s="7011" t="s">
        <v>2051</v>
      </c>
      <c r="U348" s="7009"/>
      <c r="V348" s="7009"/>
      <c r="W348" s="7010"/>
      <c r="X348" s="6976"/>
      <c r="Y348" s="7008" t="s">
        <v>1081</v>
      </c>
      <c r="Z348" s="7009"/>
      <c r="AA348" s="7009"/>
      <c r="AB348" s="7010"/>
      <c r="AC348" s="6976"/>
      <c r="AD348" s="7011" t="s">
        <v>2052</v>
      </c>
      <c r="AE348" s="7009"/>
      <c r="AF348" s="7009"/>
      <c r="AG348" s="7010"/>
      <c r="AH348" s="6977"/>
      <c r="AI348" s="6680"/>
    </row>
    <row r="349" ht="20.25" customHeight="1">
      <c r="A349" s="6676"/>
      <c r="B349" s="6972"/>
      <c r="C349" s="7000"/>
      <c r="D349" s="7004"/>
      <c r="E349" s="7012" t="s">
        <v>1380</v>
      </c>
      <c r="F349" s="7013"/>
      <c r="G349" s="7014"/>
      <c r="H349" s="7015" t="str">
        <f>IMAGE("https://raw.githubusercontent.com/msikma/pokesprite/master/items/hold-item/light-ball.png",3)</f>
        <v/>
      </c>
      <c r="I349" s="7016"/>
      <c r="J349" s="7012" t="s">
        <v>1062</v>
      </c>
      <c r="K349" s="7013"/>
      <c r="L349" s="7014"/>
      <c r="M349" s="7015" t="str">
        <f>IMAGE("https://raw.githubusercontent.com/msikma/pokesprite/master/items/mega-stone/venusaurite.png",3)</f>
        <v/>
      </c>
      <c r="N349" s="7016"/>
      <c r="O349" s="7012" t="s">
        <v>1053</v>
      </c>
      <c r="P349" s="7013"/>
      <c r="Q349" s="7014"/>
      <c r="R349" s="7015" t="str">
        <f>IMAGE("https://raw.githubusercontent.com/msikma/pokesprite/master/items/mega-stone/blastoisinite.png",3)</f>
        <v/>
      </c>
      <c r="S349" s="7016"/>
      <c r="T349" s="7012" t="s">
        <v>688</v>
      </c>
      <c r="U349" s="7013"/>
      <c r="V349" s="7014"/>
      <c r="W349" s="7015" t="str">
        <f>IMAGE("https://raw.githubusercontent.com/msikma/pokesprite/master/items/mega-stone/charizardite-x.png",3)</f>
        <v/>
      </c>
      <c r="X349" s="7016"/>
      <c r="Y349" s="7012" t="s">
        <v>733</v>
      </c>
      <c r="Z349" s="7013"/>
      <c r="AA349" s="7014"/>
      <c r="AB349" s="7015" t="str">
        <f>IMAGE("https://raw.githubusercontent.com/msikma/pokesprite/master/items/hold-item/leftovers.png",3)</f>
        <v/>
      </c>
      <c r="AC349" s="7016"/>
      <c r="AD349" s="7012" t="s">
        <v>1898</v>
      </c>
      <c r="AE349" s="7013"/>
      <c r="AF349" s="7014"/>
      <c r="AG349" s="7015" t="str">
        <f>IMAGE("https://raw.githubusercontent.com/msikma/pokesprite/master/items/mega-stone/mewtwonite-x.png",3)</f>
        <v/>
      </c>
      <c r="AH349" s="6999"/>
      <c r="AI349" s="6680"/>
    </row>
    <row r="350" ht="20.25" customHeight="1">
      <c r="A350" s="6676"/>
      <c r="B350" s="6972"/>
      <c r="C350" s="7017"/>
      <c r="D350" s="7004"/>
      <c r="E350" s="7005" t="s">
        <v>777</v>
      </c>
      <c r="F350" s="7006"/>
      <c r="G350" s="7018"/>
      <c r="H350" s="7019" t="str">
        <f>IMAGE("https://raw.githubusercontent.com/msikma/pokesprite/master/misc/types/gen8/normal.png",4,20,20)</f>
        <v/>
      </c>
      <c r="I350" s="7016"/>
      <c r="J350" s="7005" t="s">
        <v>543</v>
      </c>
      <c r="K350" s="7006"/>
      <c r="L350" s="7018"/>
      <c r="M350" s="7019" t="str">
        <f>IMAGE("https://raw.githubusercontent.com/msikma/pokesprite/master/misc/types/gen8/grass.png",4,20,20)</f>
        <v/>
      </c>
      <c r="N350" s="7016"/>
      <c r="O350" s="7005" t="s">
        <v>273</v>
      </c>
      <c r="P350" s="7006"/>
      <c r="Q350" s="7018"/>
      <c r="R350" s="7019" t="str">
        <f>IMAGE("https://raw.githubusercontent.com/msikma/pokesprite/master/misc/types/gen8/normal.png",4,20,20)</f>
        <v/>
      </c>
      <c r="S350" s="7016"/>
      <c r="T350" s="7005" t="s">
        <v>219</v>
      </c>
      <c r="U350" s="7006"/>
      <c r="V350" s="7018"/>
      <c r="W350" s="7019" t="str">
        <f>IMAGE("https://raw.githubusercontent.com/msikma/pokesprite/master/misc/types/gen8/dragon.png",4,20,20)</f>
        <v/>
      </c>
      <c r="X350" s="7016"/>
      <c r="Y350" s="7005" t="s">
        <v>1040</v>
      </c>
      <c r="Z350" s="7006"/>
      <c r="AA350" s="7018"/>
      <c r="AB350" s="7019" t="str">
        <f>IMAGE("https://raw.githubusercontent.com/msikma/pokesprite/master/misc/types/gen8/normal.png",4,20,20)</f>
        <v/>
      </c>
      <c r="AC350" s="7016"/>
      <c r="AD350" s="7005" t="s">
        <v>168</v>
      </c>
      <c r="AE350" s="7006"/>
      <c r="AF350" s="7018"/>
      <c r="AG350" s="7019" t="str">
        <f>IMAGE("https://raw.githubusercontent.com/msikma/pokesprite/master/misc/types/gen8/fighting.png",4,20,20)</f>
        <v/>
      </c>
      <c r="AH350" s="6999"/>
      <c r="AI350" s="6680"/>
    </row>
    <row r="351" ht="20.25" customHeight="1">
      <c r="A351" s="6676"/>
      <c r="B351" s="6972"/>
      <c r="C351" s="7020"/>
      <c r="D351" s="7004"/>
      <c r="E351" s="7008" t="s">
        <v>1755</v>
      </c>
      <c r="F351" s="7009"/>
      <c r="G351" s="7021"/>
      <c r="H351" s="7022" t="str">
        <f>IMAGE("https://raw.githubusercontent.com/msikma/pokesprite/master/misc/types/gen8/electric.png",4,20,20)</f>
        <v/>
      </c>
      <c r="I351" s="7016"/>
      <c r="J351" s="7008" t="s">
        <v>614</v>
      </c>
      <c r="K351" s="7009"/>
      <c r="L351" s="7021"/>
      <c r="M351" s="7022" t="str">
        <f>IMAGE("https://raw.githubusercontent.com/msikma/pokesprite/master/misc/types/gen8/poison.png",4,20,20)</f>
        <v/>
      </c>
      <c r="N351" s="7016"/>
      <c r="O351" s="7008" t="s">
        <v>670</v>
      </c>
      <c r="P351" s="7009"/>
      <c r="Q351" s="7021"/>
      <c r="R351" s="7022" t="str">
        <f>IMAGE("https://raw.githubusercontent.com/msikma/pokesprite/master/misc/types/gen8/ice.png",4,20,20)</f>
        <v/>
      </c>
      <c r="S351" s="7016"/>
      <c r="T351" s="7008" t="s">
        <v>694</v>
      </c>
      <c r="U351" s="7009"/>
      <c r="V351" s="7021"/>
      <c r="W351" s="7022" t="str">
        <f>IMAGE("https://raw.githubusercontent.com/msikma/pokesprite/master/misc/types/gen8/fire.png",4,20,20)</f>
        <v/>
      </c>
      <c r="X351" s="7016"/>
      <c r="Y351" s="7008" t="s">
        <v>549</v>
      </c>
      <c r="Z351" s="7009"/>
      <c r="AA351" s="7021"/>
      <c r="AB351" s="7022" t="str">
        <f>IMAGE("https://raw.githubusercontent.com/msikma/pokesprite/master/misc/types/gen8/ground.png",4,20,20)</f>
        <v/>
      </c>
      <c r="AC351" s="7016"/>
      <c r="AD351" s="7008" t="s">
        <v>741</v>
      </c>
      <c r="AE351" s="7009"/>
      <c r="AF351" s="7021"/>
      <c r="AG351" s="7022" t="str">
        <f>IMAGE("https://raw.githubusercontent.com/msikma/pokesprite/master/misc/types/gen8/psychic.png",4,20,20)</f>
        <v/>
      </c>
      <c r="AH351" s="6999"/>
      <c r="AI351" s="6680"/>
    </row>
    <row r="352" ht="20.25" customHeight="1">
      <c r="A352" s="6676"/>
      <c r="B352" s="6972"/>
      <c r="C352" s="7020"/>
      <c r="D352" s="7004"/>
      <c r="E352" s="7008" t="s">
        <v>583</v>
      </c>
      <c r="F352" s="7009"/>
      <c r="G352" s="7021"/>
      <c r="H352" s="7022" t="str">
        <f>IMAGE("https://raw.githubusercontent.com/msikma/pokesprite/master/misc/types/gen8/fighting.png",4,20,20)</f>
        <v/>
      </c>
      <c r="I352" s="7016"/>
      <c r="J352" s="7008" t="s">
        <v>644</v>
      </c>
      <c r="K352" s="7009"/>
      <c r="L352" s="7021"/>
      <c r="M352" s="7022" t="str">
        <f>IMAGE("https://raw.githubusercontent.com/msikma/pokesprite/master/misc/types/gen8/ground.png",4,20,20)</f>
        <v/>
      </c>
      <c r="N352" s="7016"/>
      <c r="O352" s="7008" t="s">
        <v>666</v>
      </c>
      <c r="P352" s="7009"/>
      <c r="Q352" s="7021"/>
      <c r="R352" s="7022" t="str">
        <f>IMAGE("https://raw.githubusercontent.com/msikma/pokesprite/master/misc/types/gen8/dark.png",4,20,20)</f>
        <v/>
      </c>
      <c r="S352" s="7016"/>
      <c r="T352" s="7008" t="s">
        <v>549</v>
      </c>
      <c r="U352" s="7009"/>
      <c r="V352" s="7021"/>
      <c r="W352" s="7022" t="str">
        <f>IMAGE("https://raw.githubusercontent.com/msikma/pokesprite/master/misc/types/gen8/ground.png",4,20,20)</f>
        <v/>
      </c>
      <c r="X352" s="7016"/>
      <c r="Y352" s="7008" t="s">
        <v>1087</v>
      </c>
      <c r="Z352" s="7009"/>
      <c r="AA352" s="7021"/>
      <c r="AB352" s="7022" t="str">
        <f>IMAGE("https://raw.githubusercontent.com/msikma/pokesprite/master/misc/types/gen8/dark.png",4,20,20)</f>
        <v/>
      </c>
      <c r="AC352" s="7016"/>
      <c r="AD352" s="7008" t="s">
        <v>583</v>
      </c>
      <c r="AE352" s="7009"/>
      <c r="AF352" s="7021"/>
      <c r="AG352" s="7022" t="str">
        <f>IMAGE("https://raw.githubusercontent.com/msikma/pokesprite/master/misc/types/gen8/fighting.png",4,20,20)</f>
        <v/>
      </c>
      <c r="AH352" s="6999"/>
      <c r="AI352" s="6680"/>
    </row>
    <row r="353" ht="21.0" customHeight="1">
      <c r="A353" s="6676"/>
      <c r="B353" s="6972"/>
      <c r="C353" s="7020"/>
      <c r="D353" s="7004"/>
      <c r="E353" s="7023" t="s">
        <v>579</v>
      </c>
      <c r="F353" s="7024"/>
      <c r="G353" s="7025"/>
      <c r="H353" s="7026" t="str">
        <f>IMAGE("https://raw.githubusercontent.com/msikma/pokesprite/master/misc/types/gen8/dark.png",4,20,20)</f>
        <v/>
      </c>
      <c r="I353" s="7016"/>
      <c r="J353" s="7023" t="s">
        <v>987</v>
      </c>
      <c r="K353" s="7024"/>
      <c r="L353" s="7025"/>
      <c r="M353" s="7026" t="str">
        <f>IMAGE("https://raw.githubusercontent.com/msikma/pokesprite/master/misc/types/gen8/grass.png",4,20,20)</f>
        <v/>
      </c>
      <c r="N353" s="7016"/>
      <c r="O353" s="7023" t="s">
        <v>1932</v>
      </c>
      <c r="P353" s="7024"/>
      <c r="Q353" s="7025"/>
      <c r="R353" s="7026" t="str">
        <f>IMAGE("https://raw.githubusercontent.com/msikma/pokesprite/master/misc/types/gen8/water.png",4,20,20)</f>
        <v/>
      </c>
      <c r="S353" s="7016"/>
      <c r="T353" s="7023" t="s">
        <v>696</v>
      </c>
      <c r="U353" s="7024"/>
      <c r="V353" s="7025"/>
      <c r="W353" s="7026" t="str">
        <f>IMAGE("https://raw.githubusercontent.com/msikma/pokesprite/master/misc/types/gen8/dragon.png",4,20,20)</f>
        <v/>
      </c>
      <c r="X353" s="7016"/>
      <c r="Y353" s="7023" t="s">
        <v>1020</v>
      </c>
      <c r="Z353" s="7024"/>
      <c r="AA353" s="7025"/>
      <c r="AB353" s="7026" t="str">
        <f>IMAGE("https://raw.githubusercontent.com/msikma/pokesprite/master/misc/types/gen8/fire.png",4,20,20)</f>
        <v/>
      </c>
      <c r="AC353" s="7016"/>
      <c r="AD353" s="7023" t="s">
        <v>621</v>
      </c>
      <c r="AE353" s="7024"/>
      <c r="AF353" s="7025"/>
      <c r="AG353" s="7026" t="str">
        <f>IMAGE("https://raw.githubusercontent.com/msikma/pokesprite/master/misc/types/gen8/rock.png",4,20,20)</f>
        <v/>
      </c>
      <c r="AH353" s="6999"/>
      <c r="AI353" s="6680"/>
    </row>
    <row r="354" ht="3.0" customHeight="1">
      <c r="A354" s="6738"/>
      <c r="B354" s="7027"/>
      <c r="C354" s="7028"/>
      <c r="D354" s="7029"/>
      <c r="E354" s="7030"/>
      <c r="F354" s="7030"/>
      <c r="G354" s="7030"/>
      <c r="H354" s="7031"/>
      <c r="I354" s="7029"/>
      <c r="J354" s="7032"/>
      <c r="K354" s="7032"/>
      <c r="L354" s="7032"/>
      <c r="M354" s="7031"/>
      <c r="N354" s="7029"/>
      <c r="O354" s="7032"/>
      <c r="P354" s="7032"/>
      <c r="Q354" s="7032"/>
      <c r="R354" s="7031"/>
      <c r="S354" s="7031"/>
      <c r="T354" s="7032"/>
      <c r="U354" s="7032"/>
      <c r="V354" s="7032"/>
      <c r="W354" s="7031"/>
      <c r="X354" s="7029"/>
      <c r="Y354" s="7032"/>
      <c r="Z354" s="7032"/>
      <c r="AA354" s="7032"/>
      <c r="AB354" s="7031"/>
      <c r="AC354" s="7029"/>
      <c r="AD354" s="7032"/>
      <c r="AE354" s="7032"/>
      <c r="AF354" s="7032"/>
      <c r="AG354" s="7031"/>
      <c r="AH354" s="7033"/>
      <c r="AI354" s="6747"/>
    </row>
    <row r="355" ht="16.5" customHeight="1">
      <c r="A355" s="6738"/>
      <c r="B355" s="7034"/>
      <c r="C355" s="7028"/>
      <c r="D355" s="7035"/>
      <c r="E355" s="7036" t="s">
        <v>512</v>
      </c>
      <c r="F355" s="606"/>
      <c r="G355" s="606"/>
      <c r="H355" s="607"/>
      <c r="I355" s="7037"/>
      <c r="J355" s="7036" t="s">
        <v>512</v>
      </c>
      <c r="K355" s="606"/>
      <c r="L355" s="606"/>
      <c r="M355" s="607"/>
      <c r="N355" s="7038"/>
      <c r="O355" s="7036" t="s">
        <v>512</v>
      </c>
      <c r="P355" s="606"/>
      <c r="Q355" s="606"/>
      <c r="R355" s="607"/>
      <c r="S355" s="7039"/>
      <c r="T355" s="7036" t="s">
        <v>512</v>
      </c>
      <c r="U355" s="606"/>
      <c r="V355" s="606"/>
      <c r="W355" s="607"/>
      <c r="X355" s="7038"/>
      <c r="Y355" s="7036" t="s">
        <v>512</v>
      </c>
      <c r="Z355" s="606"/>
      <c r="AA355" s="606"/>
      <c r="AB355" s="607"/>
      <c r="AC355" s="7038"/>
      <c r="AD355" s="7036" t="s">
        <v>512</v>
      </c>
      <c r="AE355" s="606"/>
      <c r="AF355" s="606"/>
      <c r="AG355" s="607"/>
      <c r="AH355" s="7040"/>
      <c r="AI355" s="6747"/>
    </row>
    <row r="356" ht="16.5" customHeight="1">
      <c r="A356" s="6738"/>
      <c r="B356" s="7034"/>
      <c r="C356" s="7028"/>
      <c r="D356" s="7035"/>
      <c r="E356" s="7041" t="s">
        <v>513</v>
      </c>
      <c r="F356" s="7042">
        <f t="array" ref="F356">IFERROR(VLOOKUP(E343,Dex!$B$3:$N1219,8,FALSE),"")</f>
        <v>35</v>
      </c>
      <c r="G356" s="7043" t="str">
        <f t="array" ref="G356">IFERROR(VLOOKUP(F356,Dex!$P$22:$Q$276,2,FALSE),"")</f>
        <v/>
      </c>
      <c r="H356" s="7044"/>
      <c r="I356" s="7045"/>
      <c r="J356" s="7041" t="s">
        <v>513</v>
      </c>
      <c r="K356" s="7042">
        <f t="array" ref="K356">IFERROR(VLOOKUP(J343,Dex!$B$3:$N1219,8,FALSE),"")</f>
        <v>80</v>
      </c>
      <c r="L356" s="7043" t="str">
        <f t="array" ref="L356">IFERROR(VLOOKUP(K356,Dex!$P$22:$Q$276,2,FALSE),"")</f>
        <v/>
      </c>
      <c r="M356" s="7044"/>
      <c r="N356" s="7035"/>
      <c r="O356" s="7041" t="s">
        <v>513</v>
      </c>
      <c r="P356" s="7042">
        <f t="array" ref="P356">IFERROR(VLOOKUP(O343,Dex!$B$3:$N1219,8,FALSE),"")</f>
        <v>79</v>
      </c>
      <c r="Q356" s="7043" t="str">
        <f t="array" ref="Q356">IFERROR(VLOOKUP(P356,Dex!$P$22:$Q$276,2,FALSE),"")</f>
        <v/>
      </c>
      <c r="R356" s="7044"/>
      <c r="S356" s="7046"/>
      <c r="T356" s="7041" t="s">
        <v>513</v>
      </c>
      <c r="U356" s="7042">
        <f t="array" ref="U356">IFERROR(VLOOKUP(T343,Dex!$B$3:$N1219,8,FALSE),"")</f>
        <v>78</v>
      </c>
      <c r="V356" s="7043" t="str">
        <f t="array" ref="V356">IFERROR(VLOOKUP(U356,Dex!$P$22:$Q$276,2,FALSE),"")</f>
        <v/>
      </c>
      <c r="W356" s="7044"/>
      <c r="X356" s="7035"/>
      <c r="Y356" s="7041" t="s">
        <v>513</v>
      </c>
      <c r="Z356" s="7042">
        <f t="array" ref="Z356">IFERROR(VLOOKUP(Y343,Dex!$B$3:$N1219,8,FALSE),"")</f>
        <v>160</v>
      </c>
      <c r="AA356" s="7043" t="str">
        <f t="array" ref="AA356">IFERROR(VLOOKUP(Z356,Dex!$P$22:$Q$276,2,FALSE),"")</f>
        <v/>
      </c>
      <c r="AB356" s="7044"/>
      <c r="AC356" s="7035"/>
      <c r="AD356" s="7041" t="s">
        <v>513</v>
      </c>
      <c r="AE356" s="7042">
        <f t="array" ref="AE356">IFERROR(VLOOKUP(AD343,Dex!$B$3:$N1219,8,FALSE),"")</f>
        <v>106</v>
      </c>
      <c r="AF356" s="7043" t="str">
        <f t="array" ref="AF356">IFERROR(VLOOKUP(AE356,Dex!$P$22:$Q$276,2,FALSE),"")</f>
        <v/>
      </c>
      <c r="AG356" s="7044"/>
      <c r="AH356" s="7040"/>
      <c r="AI356" s="6747"/>
    </row>
    <row r="357" ht="16.5" customHeight="1">
      <c r="A357" s="6738"/>
      <c r="B357" s="7034"/>
      <c r="C357" s="7028"/>
      <c r="D357" s="7035"/>
      <c r="E357" s="7047" t="s">
        <v>514</v>
      </c>
      <c r="F357" s="7048">
        <f t="array" ref="F357">IFERROR(VLOOKUP(E343,Dex!$B$3:$N1219,9,FALSE),"")</f>
        <v>55</v>
      </c>
      <c r="G357" s="7049" t="str">
        <f t="array" ref="G357">IFERROR(VLOOKUP(F357,Dex!$P$22:$Q$276,2,FALSE),"")</f>
        <v/>
      </c>
      <c r="H357" s="7050"/>
      <c r="I357" s="7045"/>
      <c r="J357" s="7047" t="s">
        <v>514</v>
      </c>
      <c r="K357" s="7048">
        <f t="array" ref="K357">IFERROR(VLOOKUP(J343,Dex!$B$3:$N1219,9,FALSE),"")</f>
        <v>100</v>
      </c>
      <c r="L357" s="7049" t="str">
        <f t="array" ref="L357">IFERROR(VLOOKUP(K357,Dex!$P$22:$Q$276,2,FALSE),"")</f>
        <v/>
      </c>
      <c r="M357" s="7050"/>
      <c r="N357" s="7035"/>
      <c r="O357" s="7047" t="s">
        <v>514</v>
      </c>
      <c r="P357" s="7048">
        <f t="array" ref="P357">IFERROR(VLOOKUP(O343,Dex!$B$3:$N1219,9,FALSE),"")</f>
        <v>103</v>
      </c>
      <c r="Q357" s="7049" t="str">
        <f t="array" ref="Q357">IFERROR(VLOOKUP(P357,Dex!$P$22:$Q$276,2,FALSE),"")</f>
        <v/>
      </c>
      <c r="R357" s="7050"/>
      <c r="S357" s="7046"/>
      <c r="T357" s="7047" t="s">
        <v>514</v>
      </c>
      <c r="U357" s="7048">
        <f t="array" ref="U357">IFERROR(VLOOKUP(T343,Dex!$B$3:$N1219,9,FALSE),"")</f>
        <v>130</v>
      </c>
      <c r="V357" s="7049" t="str">
        <f t="array" ref="V357">IFERROR(VLOOKUP(U357,Dex!$P$22:$Q$276,2,FALSE),"")</f>
        <v/>
      </c>
      <c r="W357" s="7050"/>
      <c r="X357" s="7035"/>
      <c r="Y357" s="7047" t="s">
        <v>514</v>
      </c>
      <c r="Z357" s="7048">
        <f t="array" ref="Z357">IFERROR(VLOOKUP(Y343,Dex!$B$3:$N1219,9,FALSE),"")</f>
        <v>110</v>
      </c>
      <c r="AA357" s="7049" t="str">
        <f t="array" ref="AA357">IFERROR(VLOOKUP(Z357,Dex!$P$22:$Q$276,2,FALSE),"")</f>
        <v/>
      </c>
      <c r="AB357" s="7050"/>
      <c r="AC357" s="7035"/>
      <c r="AD357" s="7047" t="s">
        <v>514</v>
      </c>
      <c r="AE357" s="7048">
        <f t="array" ref="AE357">IFERROR(VLOOKUP(AD343,Dex!$B$3:$N1219,9,FALSE),"")</f>
        <v>190</v>
      </c>
      <c r="AF357" s="7049" t="str">
        <f t="array" ref="AF357">IFERROR(VLOOKUP(AE357,Dex!$P$22:$Q$276,2,FALSE),"")</f>
        <v/>
      </c>
      <c r="AG357" s="7050"/>
      <c r="AH357" s="7040"/>
      <c r="AI357" s="6747"/>
    </row>
    <row r="358" ht="16.5" customHeight="1">
      <c r="A358" s="6738"/>
      <c r="B358" s="7034"/>
      <c r="C358" s="7028"/>
      <c r="D358" s="7035"/>
      <c r="E358" s="7047" t="s">
        <v>515</v>
      </c>
      <c r="F358" s="7048">
        <f t="array" ref="F358">IFERROR(VLOOKUP(E343,Dex!$B$3:$N1219,10,FALSE),"")</f>
        <v>40</v>
      </c>
      <c r="G358" s="7049" t="str">
        <f t="array" ref="G358">IFERROR(VLOOKUP(F358,Dex!$P$22:$Q$276,2,FALSE),"")</f>
        <v/>
      </c>
      <c r="H358" s="7050"/>
      <c r="I358" s="7045"/>
      <c r="J358" s="7047" t="s">
        <v>515</v>
      </c>
      <c r="K358" s="7048">
        <f t="array" ref="K358">IFERROR(VLOOKUP(J343,Dex!$B$3:$N1219,10,FALSE),"")</f>
        <v>123</v>
      </c>
      <c r="L358" s="7049" t="str">
        <f t="array" ref="L358">IFERROR(VLOOKUP(K358,Dex!$P$22:$Q$276,2,FALSE),"")</f>
        <v/>
      </c>
      <c r="M358" s="7050"/>
      <c r="N358" s="7035"/>
      <c r="O358" s="7047" t="s">
        <v>515</v>
      </c>
      <c r="P358" s="7048">
        <f t="array" ref="P358">IFERROR(VLOOKUP(O343,Dex!$B$3:$N1219,10,FALSE),"")</f>
        <v>120</v>
      </c>
      <c r="Q358" s="7049" t="str">
        <f t="array" ref="Q358">IFERROR(VLOOKUP(P358,Dex!$P$22:$Q$276,2,FALSE),"")</f>
        <v/>
      </c>
      <c r="R358" s="7050"/>
      <c r="S358" s="7046"/>
      <c r="T358" s="7047" t="s">
        <v>515</v>
      </c>
      <c r="U358" s="7048">
        <f t="array" ref="U358">IFERROR(VLOOKUP(T343,Dex!$B$3:$N1219,10,FALSE),"")</f>
        <v>111</v>
      </c>
      <c r="V358" s="7049" t="str">
        <f t="array" ref="V358">IFERROR(VLOOKUP(U358,Dex!$P$22:$Q$276,2,FALSE),"")</f>
        <v/>
      </c>
      <c r="W358" s="7050"/>
      <c r="X358" s="7035"/>
      <c r="Y358" s="7047" t="s">
        <v>515</v>
      </c>
      <c r="Z358" s="7048">
        <f t="array" ref="Z358">IFERROR(VLOOKUP(Y343,Dex!$B$3:$N1219,10,FALSE),"")</f>
        <v>65</v>
      </c>
      <c r="AA358" s="7049" t="str">
        <f t="array" ref="AA358">IFERROR(VLOOKUP(Z358,Dex!$P$22:$Q$276,2,FALSE),"")</f>
        <v/>
      </c>
      <c r="AB358" s="7050"/>
      <c r="AC358" s="7035"/>
      <c r="AD358" s="7047" t="s">
        <v>515</v>
      </c>
      <c r="AE358" s="7048">
        <f t="array" ref="AE358">IFERROR(VLOOKUP(AD343,Dex!$B$3:$N1219,10,FALSE),"")</f>
        <v>100</v>
      </c>
      <c r="AF358" s="7049" t="str">
        <f t="array" ref="AF358">IFERROR(VLOOKUP(AE358,Dex!$P$22:$Q$276,2,FALSE),"")</f>
        <v/>
      </c>
      <c r="AG358" s="7050"/>
      <c r="AH358" s="7040"/>
      <c r="AI358" s="6747"/>
    </row>
    <row r="359" ht="16.5" customHeight="1">
      <c r="A359" s="6738"/>
      <c r="B359" s="7034"/>
      <c r="C359" s="7028"/>
      <c r="D359" s="7035"/>
      <c r="E359" s="7047" t="s">
        <v>516</v>
      </c>
      <c r="F359" s="7048">
        <f t="array" ref="F359">IFERROR(VLOOKUP(E343,Dex!$B$3:$N1219,11,FALSE),"")</f>
        <v>50</v>
      </c>
      <c r="G359" s="7049" t="str">
        <f t="array" ref="G359">IFERROR(VLOOKUP(F359,Dex!$P$22:$Q$276,2,FALSE),"")</f>
        <v/>
      </c>
      <c r="H359" s="7050"/>
      <c r="I359" s="7045"/>
      <c r="J359" s="7047" t="s">
        <v>516</v>
      </c>
      <c r="K359" s="7048">
        <f t="array" ref="K359">IFERROR(VLOOKUP(J343,Dex!$B$3:$N1219,11,FALSE),"")</f>
        <v>122</v>
      </c>
      <c r="L359" s="7049" t="str">
        <f t="array" ref="L359">IFERROR(VLOOKUP(K359,Dex!$P$22:$Q$276,2,FALSE),"")</f>
        <v/>
      </c>
      <c r="M359" s="7050"/>
      <c r="N359" s="7035"/>
      <c r="O359" s="7047" t="s">
        <v>516</v>
      </c>
      <c r="P359" s="7048">
        <f t="array" ref="P359">IFERROR(VLOOKUP(O343,Dex!$B$3:$N1219,11,FALSE),"")</f>
        <v>135</v>
      </c>
      <c r="Q359" s="7049" t="str">
        <f t="array" ref="Q359">IFERROR(VLOOKUP(P359,Dex!$P$22:$Q$276,2,FALSE),"")</f>
        <v/>
      </c>
      <c r="R359" s="7050"/>
      <c r="S359" s="7046"/>
      <c r="T359" s="7047" t="s">
        <v>516</v>
      </c>
      <c r="U359" s="7048">
        <f t="array" ref="U359">IFERROR(VLOOKUP(T343,Dex!$B$3:$N1219,11,FALSE),"")</f>
        <v>130</v>
      </c>
      <c r="V359" s="7049" t="str">
        <f t="array" ref="V359">IFERROR(VLOOKUP(U359,Dex!$P$22:$Q$276,2,FALSE),"")</f>
        <v/>
      </c>
      <c r="W359" s="7050"/>
      <c r="X359" s="7035"/>
      <c r="Y359" s="7047" t="s">
        <v>516</v>
      </c>
      <c r="Z359" s="7048">
        <f t="array" ref="Z359">IFERROR(VLOOKUP(Y343,Dex!$B$3:$N1219,11,FALSE),"")</f>
        <v>65</v>
      </c>
      <c r="AA359" s="7049" t="str">
        <f t="array" ref="AA359">IFERROR(VLOOKUP(Z359,Dex!$P$22:$Q$276,2,FALSE),"")</f>
        <v/>
      </c>
      <c r="AB359" s="7050"/>
      <c r="AC359" s="7035"/>
      <c r="AD359" s="7047" t="s">
        <v>516</v>
      </c>
      <c r="AE359" s="7048">
        <f t="array" ref="AE359">IFERROR(VLOOKUP(AD343,Dex!$B$3:$N1219,11,FALSE),"")</f>
        <v>154</v>
      </c>
      <c r="AF359" s="7049" t="str">
        <f t="array" ref="AF359">IFERROR(VLOOKUP(AE359,Dex!$P$22:$Q$276,2,FALSE),"")</f>
        <v/>
      </c>
      <c r="AG359" s="7050"/>
      <c r="AH359" s="7040"/>
      <c r="AI359" s="6747"/>
    </row>
    <row r="360" ht="16.5" customHeight="1">
      <c r="A360" s="6738"/>
      <c r="B360" s="7034"/>
      <c r="C360" s="7028"/>
      <c r="D360" s="7035"/>
      <c r="E360" s="7047" t="s">
        <v>517</v>
      </c>
      <c r="F360" s="7048">
        <f t="array" ref="F360">IFERROR(VLOOKUP(E343,Dex!$B$3:$N1219,12,FALSE),"")</f>
        <v>50</v>
      </c>
      <c r="G360" s="7049" t="str">
        <f t="array" ref="G360">IFERROR(VLOOKUP(F360,Dex!$P$22:$Q$276,2,FALSE),"")</f>
        <v/>
      </c>
      <c r="H360" s="7050"/>
      <c r="I360" s="7045"/>
      <c r="J360" s="7047" t="s">
        <v>517</v>
      </c>
      <c r="K360" s="7048">
        <f t="array" ref="K360">IFERROR(VLOOKUP(J343,Dex!$B$3:$N1219,12,FALSE),"")</f>
        <v>120</v>
      </c>
      <c r="L360" s="7049" t="str">
        <f t="array" ref="L360">IFERROR(VLOOKUP(K360,Dex!$P$22:$Q$276,2,FALSE),"")</f>
        <v/>
      </c>
      <c r="M360" s="7050"/>
      <c r="N360" s="7035"/>
      <c r="O360" s="7047" t="s">
        <v>517</v>
      </c>
      <c r="P360" s="7048">
        <f t="array" ref="P360">IFERROR(VLOOKUP(O343,Dex!$B$3:$N1219,12,FALSE),"")</f>
        <v>115</v>
      </c>
      <c r="Q360" s="7049" t="str">
        <f t="array" ref="Q360">IFERROR(VLOOKUP(P360,Dex!$P$22:$Q$276,2,FALSE),"")</f>
        <v/>
      </c>
      <c r="R360" s="7050"/>
      <c r="S360" s="7046"/>
      <c r="T360" s="7047" t="s">
        <v>517</v>
      </c>
      <c r="U360" s="7048">
        <f t="array" ref="U360">IFERROR(VLOOKUP(T343,Dex!$B$3:$N1219,12,FALSE),"")</f>
        <v>85</v>
      </c>
      <c r="V360" s="7049" t="str">
        <f t="array" ref="V360">IFERROR(VLOOKUP(U360,Dex!$P$22:$Q$276,2,FALSE),"")</f>
        <v/>
      </c>
      <c r="W360" s="7050"/>
      <c r="X360" s="7035"/>
      <c r="Y360" s="7047" t="s">
        <v>517</v>
      </c>
      <c r="Z360" s="7048">
        <f t="array" ref="Z360">IFERROR(VLOOKUP(Y343,Dex!$B$3:$N1219,12,FALSE),"")</f>
        <v>110</v>
      </c>
      <c r="AA360" s="7049" t="str">
        <f t="array" ref="AA360">IFERROR(VLOOKUP(Z360,Dex!$P$22:$Q$276,2,FALSE),"")</f>
        <v/>
      </c>
      <c r="AB360" s="7050"/>
      <c r="AC360" s="7035"/>
      <c r="AD360" s="7047" t="s">
        <v>517</v>
      </c>
      <c r="AE360" s="7048">
        <f t="array" ref="AE360">IFERROR(VLOOKUP(AD343,Dex!$B$3:$N1219,12,FALSE),"")</f>
        <v>100</v>
      </c>
      <c r="AF360" s="7049" t="str">
        <f t="array" ref="AF360">IFERROR(VLOOKUP(AE360,Dex!$P$22:$Q$276,2,FALSE),"")</f>
        <v/>
      </c>
      <c r="AG360" s="7050"/>
      <c r="AH360" s="7040"/>
      <c r="AI360" s="6747"/>
    </row>
    <row r="361" ht="16.5" customHeight="1">
      <c r="A361" s="6738"/>
      <c r="B361" s="7034"/>
      <c r="C361" s="7028"/>
      <c r="D361" s="7035"/>
      <c r="E361" s="7051" t="s">
        <v>518</v>
      </c>
      <c r="F361" s="7052">
        <f t="array" ref="F361">IFERROR(VLOOKUP(E343,Dex!$B$3:$N1219,13,FALSE),"")</f>
        <v>90</v>
      </c>
      <c r="G361" s="7053" t="str">
        <f t="array" ref="G361">IFERROR(VLOOKUP(F361,Dex!$P$22:$Q$276,2,FALSE),"")</f>
        <v/>
      </c>
      <c r="H361" s="7054"/>
      <c r="I361" s="7045"/>
      <c r="J361" s="7051" t="s">
        <v>518</v>
      </c>
      <c r="K361" s="7052">
        <f t="array" ref="K361">IFERROR(VLOOKUP(J343,Dex!$B$3:$N1219,13,FALSE),"")</f>
        <v>80</v>
      </c>
      <c r="L361" s="7053" t="str">
        <f t="array" ref="L361">IFERROR(VLOOKUP(K361,Dex!$P$22:$Q$276,2,FALSE),"")</f>
        <v/>
      </c>
      <c r="M361" s="7054"/>
      <c r="N361" s="7035"/>
      <c r="O361" s="7051" t="s">
        <v>518</v>
      </c>
      <c r="P361" s="7052">
        <f t="array" ref="P361">IFERROR(VLOOKUP(O343,Dex!$B$3:$N1219,13,FALSE),"")</f>
        <v>78</v>
      </c>
      <c r="Q361" s="7053" t="str">
        <f t="array" ref="Q361">IFERROR(VLOOKUP(P361,Dex!$P$22:$Q$276,2,FALSE),"")</f>
        <v/>
      </c>
      <c r="R361" s="7054"/>
      <c r="S361" s="7046"/>
      <c r="T361" s="7051" t="s">
        <v>518</v>
      </c>
      <c r="U361" s="7052">
        <f t="array" ref="U361">IFERROR(VLOOKUP(T343,Dex!$B$3:$N1219,13,FALSE),"")</f>
        <v>100</v>
      </c>
      <c r="V361" s="7053" t="str">
        <f t="array" ref="V361">IFERROR(VLOOKUP(U361,Dex!$P$22:$Q$276,2,FALSE),"")</f>
        <v/>
      </c>
      <c r="W361" s="7054"/>
      <c r="X361" s="7035"/>
      <c r="Y361" s="7051" t="s">
        <v>518</v>
      </c>
      <c r="Z361" s="7052">
        <f t="array" ref="Z361">IFERROR(VLOOKUP(Y343,Dex!$B$3:$N1219,13,FALSE),"")</f>
        <v>30</v>
      </c>
      <c r="AA361" s="7053" t="str">
        <f t="array" ref="AA361">IFERROR(VLOOKUP(Z361,Dex!$P$22:$Q$276,2,FALSE),"")</f>
        <v/>
      </c>
      <c r="AB361" s="7054"/>
      <c r="AC361" s="7035"/>
      <c r="AD361" s="7051" t="s">
        <v>518</v>
      </c>
      <c r="AE361" s="7052">
        <f t="array" ref="AE361">IFERROR(VLOOKUP(AD343,Dex!$B$3:$N1219,13,FALSE),"")</f>
        <v>130</v>
      </c>
      <c r="AF361" s="7053" t="str">
        <f t="array" ref="AF361">IFERROR(VLOOKUP(AE361,Dex!$P$22:$Q$276,2,FALSE),"")</f>
        <v/>
      </c>
      <c r="AG361" s="7054"/>
      <c r="AH361" s="7040"/>
      <c r="AI361" s="6747"/>
    </row>
    <row r="362" ht="16.5" customHeight="1">
      <c r="A362" s="6738"/>
      <c r="B362" s="7034"/>
      <c r="C362" s="7028"/>
      <c r="D362" s="7035"/>
      <c r="E362" s="7055" t="s">
        <v>519</v>
      </c>
      <c r="F362" s="630"/>
      <c r="G362" s="631"/>
      <c r="H362" s="7056">
        <v>237.0</v>
      </c>
      <c r="I362" s="7037"/>
      <c r="J362" s="7055" t="s">
        <v>519</v>
      </c>
      <c r="K362" s="630"/>
      <c r="L362" s="631"/>
      <c r="M362" s="7056">
        <v>196.0</v>
      </c>
      <c r="N362" s="7038"/>
      <c r="O362" s="7055" t="s">
        <v>519</v>
      </c>
      <c r="P362" s="630"/>
      <c r="Q362" s="631"/>
      <c r="R362" s="7056">
        <v>192.0</v>
      </c>
      <c r="S362" s="7057"/>
      <c r="T362" s="7055" t="s">
        <v>519</v>
      </c>
      <c r="U362" s="630"/>
      <c r="V362" s="631"/>
      <c r="W362" s="7056">
        <v>259.0</v>
      </c>
      <c r="X362" s="7038"/>
      <c r="Y362" s="7055" t="s">
        <v>519</v>
      </c>
      <c r="Z362" s="630"/>
      <c r="AA362" s="631"/>
      <c r="AB362" s="7056">
        <v>96.0</v>
      </c>
      <c r="AC362" s="7038"/>
      <c r="AD362" s="7055" t="s">
        <v>519</v>
      </c>
      <c r="AE362" s="630"/>
      <c r="AF362" s="631"/>
      <c r="AG362" s="7056">
        <v>325.0</v>
      </c>
      <c r="AH362" s="7040"/>
      <c r="AI362" s="6747"/>
    </row>
    <row r="363" ht="15.0" customHeight="1">
      <c r="A363" s="6738"/>
      <c r="B363" s="7058"/>
      <c r="C363" s="7059"/>
      <c r="D363" s="7060"/>
      <c r="E363" s="7059"/>
      <c r="F363" s="7059"/>
      <c r="G363" s="7059"/>
      <c r="H363" s="7059"/>
      <c r="I363" s="7061"/>
      <c r="J363" s="7062"/>
      <c r="K363" s="7062"/>
      <c r="L363" s="7062"/>
      <c r="M363" s="7059"/>
      <c r="N363" s="7060"/>
      <c r="O363" s="7062"/>
      <c r="P363" s="7062"/>
      <c r="Q363" s="7062"/>
      <c r="R363" s="7059"/>
      <c r="S363" s="7063"/>
      <c r="T363" s="7062"/>
      <c r="U363" s="7062"/>
      <c r="V363" s="7062"/>
      <c r="W363" s="7059"/>
      <c r="X363" s="7064"/>
      <c r="Y363" s="7065"/>
      <c r="Z363" s="7065"/>
      <c r="AA363" s="7065"/>
      <c r="AB363" s="7064"/>
      <c r="AC363" s="7064"/>
      <c r="AD363" s="7065"/>
      <c r="AE363" s="7065"/>
      <c r="AF363" s="7065"/>
      <c r="AG363" s="7064"/>
      <c r="AH363" s="7066"/>
      <c r="AI363" s="6747"/>
    </row>
    <row r="364" ht="15.0" customHeight="1">
      <c r="A364" s="6738"/>
      <c r="B364" s="3995"/>
      <c r="C364" s="3996"/>
      <c r="D364" s="3996"/>
      <c r="E364" s="4099"/>
      <c r="F364" s="4099"/>
      <c r="G364" s="4099"/>
      <c r="H364" s="4099"/>
      <c r="I364" s="3996"/>
      <c r="J364" s="4099"/>
      <c r="K364" s="4099"/>
      <c r="L364" s="4099"/>
      <c r="M364" s="4099"/>
      <c r="N364" s="3996"/>
      <c r="O364" s="4099"/>
      <c r="P364" s="4099"/>
      <c r="Q364" s="4099"/>
      <c r="R364" s="4099"/>
      <c r="S364" s="3996"/>
      <c r="T364" s="4099"/>
      <c r="U364" s="4099"/>
      <c r="V364" s="4099"/>
      <c r="W364" s="4099"/>
      <c r="X364" s="3996"/>
      <c r="Y364" s="3996"/>
      <c r="Z364" s="3996"/>
      <c r="AA364" s="3996"/>
      <c r="AB364" s="3996"/>
      <c r="AC364" s="3996"/>
      <c r="AD364" s="3996"/>
      <c r="AE364" s="3996"/>
      <c r="AF364" s="3996"/>
      <c r="AG364" s="3996"/>
      <c r="AH364" s="3997"/>
      <c r="AI364" s="6747"/>
    </row>
    <row r="365">
      <c r="A365" s="6738"/>
      <c r="B365" s="3998"/>
      <c r="C365" s="4031"/>
      <c r="D365" s="4024"/>
      <c r="E365" s="4877" t="s">
        <v>2053</v>
      </c>
      <c r="F365" s="4042"/>
      <c r="G365" s="4042"/>
      <c r="H365" s="4042"/>
      <c r="I365" s="4042"/>
      <c r="J365" s="4042"/>
      <c r="K365" s="4042"/>
      <c r="L365" s="4042"/>
      <c r="M365" s="4042"/>
      <c r="N365" s="4042"/>
      <c r="O365" s="4042"/>
      <c r="P365" s="4042"/>
      <c r="Q365" s="4042"/>
      <c r="R365" s="4042"/>
      <c r="S365" s="4042"/>
      <c r="T365" s="4042"/>
      <c r="U365" s="4042"/>
      <c r="V365" s="4042"/>
      <c r="W365" s="4042"/>
      <c r="X365" s="4042"/>
      <c r="Y365" s="4042"/>
      <c r="Z365" s="4042"/>
      <c r="AA365" s="4042"/>
      <c r="AB365" s="4042"/>
      <c r="AC365" s="4042"/>
      <c r="AD365" s="4042"/>
      <c r="AE365" s="4042"/>
      <c r="AF365" s="4042"/>
      <c r="AG365" s="4043"/>
      <c r="AH365" s="4007"/>
      <c r="AI365" s="6747"/>
    </row>
    <row r="366" ht="96.75" customHeight="1">
      <c r="A366" s="6738"/>
      <c r="B366" s="3998"/>
      <c r="C366" s="3999" t="str">
        <f>IMAGE("https://i.ibb.co/LSRVQF1/Picnicker.png")</f>
        <v/>
      </c>
      <c r="D366" s="4102"/>
      <c r="E366" s="4001" t="str">
        <f t="array" ref="E366">IFERROR(VLOOKUP(E367,Dex!$B$3:$G1219,3,FALSE),"")</f>
        <v/>
      </c>
      <c r="F366" s="1945"/>
      <c r="G366" s="1945"/>
      <c r="H366" s="1946"/>
      <c r="I366" s="4103"/>
      <c r="J366" s="4001" t="str">
        <f t="array" ref="J366">IFERROR(VLOOKUP(J367,Dex!$B$3:$G1219,3,FALSE),"")</f>
        <v/>
      </c>
      <c r="K366" s="1945"/>
      <c r="L366" s="1945"/>
      <c r="M366" s="1946"/>
      <c r="N366" s="4103"/>
      <c r="O366" s="4001" t="str">
        <f t="array" ref="O366">IFERROR(VLOOKUP(O367,Dex!$B$3:$G1219,3,FALSE),"")</f>
        <v/>
      </c>
      <c r="P366" s="1945"/>
      <c r="Q366" s="1945"/>
      <c r="R366" s="1946"/>
      <c r="S366" s="4104"/>
      <c r="T366" s="4001" t="str">
        <f t="array" ref="T366">IFERROR(VLOOKUP(T367,Dex!$B$3:$G1219,3,FALSE),"")</f>
        <v/>
      </c>
      <c r="U366" s="1945"/>
      <c r="V366" s="1945"/>
      <c r="W366" s="1946"/>
      <c r="X366" s="4104"/>
      <c r="Y366" s="4004"/>
      <c r="Z366" s="4005"/>
      <c r="AA366" s="4005"/>
      <c r="AB366" s="4006"/>
      <c r="AC366" s="4105"/>
      <c r="AD366" s="4004"/>
      <c r="AE366" s="4005"/>
      <c r="AF366" s="4005"/>
      <c r="AG366" s="4006"/>
      <c r="AH366" s="4007"/>
      <c r="AI366" s="6747"/>
    </row>
    <row r="367" ht="18.75" customHeight="1">
      <c r="A367" s="6738"/>
      <c r="B367" s="4008"/>
      <c r="C367" s="4009" t="s">
        <v>2054</v>
      </c>
      <c r="D367" s="4106"/>
      <c r="E367" s="4011" t="s">
        <v>2055</v>
      </c>
      <c r="F367" s="4012"/>
      <c r="G367" s="4012"/>
      <c r="H367" s="4013"/>
      <c r="J367" s="4011" t="s">
        <v>258</v>
      </c>
      <c r="K367" s="4012"/>
      <c r="L367" s="4012"/>
      <c r="M367" s="4013"/>
      <c r="O367" s="4011" t="s">
        <v>210</v>
      </c>
      <c r="P367" s="4012"/>
      <c r="Q367" s="4012"/>
      <c r="R367" s="4013"/>
      <c r="T367" s="4011" t="s">
        <v>2056</v>
      </c>
      <c r="U367" s="4012"/>
      <c r="V367" s="4012"/>
      <c r="W367" s="4013"/>
      <c r="Y367" s="4015"/>
      <c r="Z367" s="4005"/>
      <c r="AA367" s="4005"/>
      <c r="AB367" s="4006"/>
      <c r="AC367" s="4107"/>
      <c r="AD367" s="4015"/>
      <c r="AE367" s="4005"/>
      <c r="AF367" s="4005"/>
      <c r="AG367" s="4006"/>
      <c r="AH367" s="4016"/>
      <c r="AI367" s="6747"/>
    </row>
    <row r="368">
      <c r="A368" s="6738"/>
      <c r="B368" s="4017"/>
      <c r="C368" s="1638"/>
      <c r="D368" s="4108"/>
      <c r="E368" s="4019" t="s">
        <v>967</v>
      </c>
      <c r="F368" s="4020"/>
      <c r="G368" s="4020"/>
      <c r="H368" s="4021"/>
      <c r="J368" s="4019" t="s">
        <v>796</v>
      </c>
      <c r="K368" s="4020"/>
      <c r="L368" s="4020"/>
      <c r="M368" s="4021"/>
      <c r="O368" s="4019" t="s">
        <v>729</v>
      </c>
      <c r="P368" s="4020"/>
      <c r="Q368" s="4020"/>
      <c r="R368" s="4021"/>
      <c r="T368" s="4019" t="s">
        <v>729</v>
      </c>
      <c r="U368" s="4020"/>
      <c r="V368" s="4020"/>
      <c r="W368" s="4021"/>
      <c r="Y368" s="4022"/>
      <c r="Z368" s="4005"/>
      <c r="AA368" s="4005"/>
      <c r="AB368" s="4006"/>
      <c r="AC368" s="4107"/>
      <c r="AD368" s="4022"/>
      <c r="AE368" s="4005"/>
      <c r="AF368" s="4005"/>
      <c r="AG368" s="4006"/>
      <c r="AH368" s="4023"/>
      <c r="AI368" s="6747"/>
    </row>
    <row r="369" ht="25.5" customHeight="1">
      <c r="A369" s="6738"/>
      <c r="B369" s="3998"/>
      <c r="C369" s="1646"/>
      <c r="D369" s="4024"/>
      <c r="E369" s="4025"/>
      <c r="F369" s="4026" t="str">
        <f t="array" ref="F369">IFERROR(VLOOKUP(E367,Dex!$B$3:$H1219,5,FALSE),"")</f>
        <v/>
      </c>
      <c r="G369" s="4027"/>
      <c r="H369" s="4028"/>
      <c r="J369" s="4025"/>
      <c r="K369" s="4029" t="str">
        <f t="array" ref="K369">IFERROR(VLOOKUP(J367,Dex!$B$3:$H1219,5,FALSE),"")</f>
        <v/>
      </c>
      <c r="L369" s="4030" t="str">
        <f t="array" ref="L369">IFERROR(VLOOKUP(J367,Dex!$B$3:$H1219,7,FALSE),"")</f>
        <v/>
      </c>
      <c r="M369" s="4028"/>
      <c r="O369" s="4025"/>
      <c r="P369" s="4026" t="str">
        <f t="array" ref="P369">IFERROR(VLOOKUP(O367,Dex!$B$3:$H1219,5,FALSE),"")</f>
        <v/>
      </c>
      <c r="Q369" s="4027"/>
      <c r="R369" s="4028"/>
      <c r="T369" s="4025"/>
      <c r="U369" s="4029" t="str">
        <f t="array" ref="U369">IFERROR(VLOOKUP(T367,Dex!$B$3:$H1219,5,FALSE),"")</f>
        <v/>
      </c>
      <c r="V369" s="4030" t="str">
        <f t="array" ref="V369">IFERROR(VLOOKUP(T367,Dex!$B$3:$H1219,7,FALSE),"")</f>
        <v/>
      </c>
      <c r="W369" s="4028"/>
      <c r="Y369" s="4004"/>
      <c r="Z369" s="4005"/>
      <c r="AA369" s="4005"/>
      <c r="AB369" s="4006"/>
      <c r="AC369" s="4107"/>
      <c r="AD369" s="4004"/>
      <c r="AE369" s="4005"/>
      <c r="AF369" s="4005"/>
      <c r="AG369" s="4006"/>
      <c r="AH369" s="4007"/>
      <c r="AI369" s="6747"/>
    </row>
    <row r="370" ht="2.25" customHeight="1">
      <c r="A370" s="6738"/>
      <c r="B370" s="3998"/>
      <c r="C370" s="4031"/>
      <c r="D370" s="4024"/>
      <c r="E370" s="4032"/>
      <c r="F370" s="4033"/>
      <c r="G370" s="4033"/>
      <c r="H370" s="4034"/>
      <c r="J370" s="4032"/>
      <c r="K370" s="4033"/>
      <c r="L370" s="4033"/>
      <c r="M370" s="4034"/>
      <c r="O370" s="4032"/>
      <c r="P370" s="4033"/>
      <c r="Q370" s="4033"/>
      <c r="R370" s="4034"/>
      <c r="T370" s="4032"/>
      <c r="U370" s="4033"/>
      <c r="V370" s="4033"/>
      <c r="W370" s="4034"/>
      <c r="Y370" s="4024"/>
      <c r="Z370" s="4024"/>
      <c r="AA370" s="4024"/>
      <c r="AB370" s="4024"/>
      <c r="AC370" s="4107"/>
      <c r="AD370" s="4024"/>
      <c r="AE370" s="4024"/>
      <c r="AF370" s="4024"/>
      <c r="AG370" s="4024"/>
      <c r="AH370" s="4007"/>
      <c r="AI370" s="6747"/>
    </row>
    <row r="371" ht="20.25" customHeight="1">
      <c r="A371" s="6738"/>
      <c r="B371" s="3998"/>
      <c r="C371" s="4031"/>
      <c r="D371" s="4004"/>
      <c r="E371" s="4035" t="s">
        <v>564</v>
      </c>
      <c r="F371" s="4036"/>
      <c r="G371" s="4036"/>
      <c r="H371" s="4037"/>
      <c r="J371" s="4035" t="s">
        <v>564</v>
      </c>
      <c r="K371" s="4036"/>
      <c r="L371" s="4036"/>
      <c r="M371" s="4037"/>
      <c r="O371" s="4035" t="s">
        <v>532</v>
      </c>
      <c r="P371" s="4036"/>
      <c r="Q371" s="4036"/>
      <c r="R371" s="4037"/>
      <c r="T371" s="4035" t="s">
        <v>532</v>
      </c>
      <c r="U371" s="4036"/>
      <c r="V371" s="4036"/>
      <c r="W371" s="4037"/>
      <c r="Y371" s="4004"/>
      <c r="Z371" s="4005"/>
      <c r="AA371" s="4005"/>
      <c r="AB371" s="4006"/>
      <c r="AC371" s="4107"/>
      <c r="AD371" s="4004"/>
      <c r="AE371" s="4005"/>
      <c r="AF371" s="4005"/>
      <c r="AG371" s="4006"/>
      <c r="AH371" s="4007"/>
      <c r="AI371" s="6747"/>
    </row>
    <row r="372">
      <c r="A372" s="6738"/>
      <c r="B372" s="3998"/>
      <c r="C372" s="4038"/>
      <c r="D372" s="4004"/>
      <c r="E372" s="4039" t="s">
        <v>2057</v>
      </c>
      <c r="F372" s="4005"/>
      <c r="G372" s="4005"/>
      <c r="H372" s="4040"/>
      <c r="J372" s="4039" t="s">
        <v>102</v>
      </c>
      <c r="K372" s="4005"/>
      <c r="L372" s="4005"/>
      <c r="M372" s="4040"/>
      <c r="O372" s="4039" t="s">
        <v>1462</v>
      </c>
      <c r="P372" s="4005"/>
      <c r="Q372" s="4005"/>
      <c r="R372" s="4040"/>
      <c r="T372" s="4039" t="s">
        <v>2058</v>
      </c>
      <c r="U372" s="4005"/>
      <c r="V372" s="4005"/>
      <c r="W372" s="4040"/>
      <c r="Y372" s="4004"/>
      <c r="Z372" s="4005"/>
      <c r="AA372" s="4005"/>
      <c r="AB372" s="4006"/>
      <c r="AC372" s="4107"/>
      <c r="AD372" s="4004"/>
      <c r="AE372" s="4005"/>
      <c r="AF372" s="4005"/>
      <c r="AG372" s="4006"/>
      <c r="AH372" s="4007"/>
      <c r="AI372" s="6747"/>
    </row>
    <row r="373" ht="20.25" customHeight="1">
      <c r="A373" s="6738"/>
      <c r="B373" s="3998"/>
      <c r="C373" s="4014"/>
      <c r="D373" s="4004"/>
      <c r="E373" s="4041" t="s">
        <v>2059</v>
      </c>
      <c r="F373" s="4042"/>
      <c r="G373" s="4043"/>
      <c r="H373" s="4044" t="str">
        <f>IMAGE("https://raw.githubusercontent.com/msikma/pokesprite/master/items/mega-stone/alakazite.png",3)</f>
        <v/>
      </c>
      <c r="J373" s="4041" t="s">
        <v>2060</v>
      </c>
      <c r="K373" s="4042"/>
      <c r="L373" s="4043"/>
      <c r="M373" s="4044" t="str">
        <f>IMAGE("https://raw.githubusercontent.com/msikma/pokesprite/master/items/berry/tanga.png",3)</f>
        <v/>
      </c>
      <c r="O373" s="4041" t="s">
        <v>573</v>
      </c>
      <c r="P373" s="4042"/>
      <c r="Q373" s="4043"/>
      <c r="R373" s="4044" t="str">
        <f>IMAGE("https://raw.githubusercontent.com/msikma/pokesprite/master/items/hold-item/focus-sash.png",3)</f>
        <v/>
      </c>
      <c r="T373" s="4041" t="s">
        <v>541</v>
      </c>
      <c r="U373" s="4042"/>
      <c r="V373" s="4043"/>
      <c r="W373" s="4044" t="str">
        <f>IMAGE("https://raw.githubusercontent.com/msikma/pokesprite/master/items/hold-item/life-orb.png",3)</f>
        <v/>
      </c>
      <c r="Y373" s="4004"/>
      <c r="Z373" s="4005"/>
      <c r="AA373" s="4005"/>
      <c r="AB373" s="4006"/>
      <c r="AC373" s="4107"/>
      <c r="AD373" s="4004"/>
      <c r="AE373" s="4005"/>
      <c r="AF373" s="4005"/>
      <c r="AG373" s="4006"/>
      <c r="AH373" s="4007"/>
      <c r="AI373" s="6747"/>
    </row>
    <row r="374" ht="20.25" customHeight="1">
      <c r="A374" s="6738"/>
      <c r="B374" s="3998"/>
      <c r="C374" s="4045"/>
      <c r="D374" s="4004"/>
      <c r="E374" s="4035" t="s">
        <v>668</v>
      </c>
      <c r="F374" s="4036"/>
      <c r="G374" s="4046"/>
      <c r="H374" s="4047" t="str">
        <f>IMAGE("https://raw.githubusercontent.com/msikma/pokesprite/master/misc/types/gen8/psychic.png",4,20,20)</f>
        <v/>
      </c>
      <c r="J374" s="4035" t="s">
        <v>668</v>
      </c>
      <c r="K374" s="4036"/>
      <c r="L374" s="4046"/>
      <c r="M374" s="4047" t="str">
        <f>IMAGE("https://raw.githubusercontent.com/msikma/pokesprite/master/misc/types/gen8/psychic.png",4,20,20)</f>
        <v/>
      </c>
      <c r="O374" s="4035" t="s">
        <v>549</v>
      </c>
      <c r="P374" s="4036"/>
      <c r="Q374" s="4046"/>
      <c r="R374" s="4047" t="str">
        <f t="shared" ref="R374:R375" si="15">IMAGE("https://raw.githubusercontent.com/msikma/pokesprite/master/misc/types/gen8/ground.png",4,20,20)</f>
        <v/>
      </c>
      <c r="T374" s="4035" t="s">
        <v>762</v>
      </c>
      <c r="U374" s="4036"/>
      <c r="V374" s="4046"/>
      <c r="W374" s="4047" t="str">
        <f>IMAGE("https://raw.githubusercontent.com/msikma/pokesprite/master/misc/types/gen8/dark.png",4,20,20)</f>
        <v/>
      </c>
      <c r="Y374" s="4004"/>
      <c r="Z374" s="4005"/>
      <c r="AA374" s="4005"/>
      <c r="AB374" s="4006"/>
      <c r="AC374" s="4107"/>
      <c r="AD374" s="4004"/>
      <c r="AE374" s="4005"/>
      <c r="AF374" s="4005"/>
      <c r="AG374" s="4006"/>
      <c r="AH374" s="4007"/>
      <c r="AI374" s="6747"/>
    </row>
    <row r="375" ht="20.25" customHeight="1">
      <c r="A375" s="6738"/>
      <c r="B375" s="3998"/>
      <c r="C375" s="4031"/>
      <c r="D375" s="4004"/>
      <c r="E375" s="4039" t="s">
        <v>647</v>
      </c>
      <c r="F375" s="4005"/>
      <c r="G375" s="4006"/>
      <c r="H375" s="4048" t="str">
        <f>IMAGE("https://raw.githubusercontent.com/msikma/pokesprite/master/misc/types/gen8/ghost.png",4,20,20)</f>
        <v/>
      </c>
      <c r="J375" s="4039" t="s">
        <v>2061</v>
      </c>
      <c r="K375" s="4005"/>
      <c r="L375" s="4006"/>
      <c r="M375" s="4048" t="str">
        <f t="shared" ref="M375:M377" si="16">IMAGE("https://raw.githubusercontent.com/msikma/pokesprite/master/misc/types/gen8/normal.png",4,20,20)</f>
        <v/>
      </c>
      <c r="O375" s="4039" t="s">
        <v>1177</v>
      </c>
      <c r="P375" s="4005"/>
      <c r="Q375" s="4006"/>
      <c r="R375" s="4048" t="str">
        <f t="shared" si="15"/>
        <v/>
      </c>
      <c r="T375" s="4039" t="s">
        <v>583</v>
      </c>
      <c r="U375" s="4005"/>
      <c r="V375" s="4006"/>
      <c r="W375" s="4048" t="str">
        <f>IMAGE("https://raw.githubusercontent.com/msikma/pokesprite/master/misc/types/gen8/fighting.png",4,20,20)</f>
        <v/>
      </c>
      <c r="Y375" s="4004"/>
      <c r="Z375" s="4005"/>
      <c r="AA375" s="4005"/>
      <c r="AB375" s="4006"/>
      <c r="AC375" s="4107"/>
      <c r="AD375" s="4004"/>
      <c r="AE375" s="4005"/>
      <c r="AF375" s="4005"/>
      <c r="AG375" s="4006"/>
      <c r="AH375" s="4007"/>
      <c r="AI375" s="6747"/>
    </row>
    <row r="376" ht="20.25" customHeight="1">
      <c r="A376" s="6738"/>
      <c r="B376" s="3998"/>
      <c r="C376" s="4031"/>
      <c r="D376" s="4004"/>
      <c r="E376" s="4039" t="s">
        <v>259</v>
      </c>
      <c r="F376" s="4005"/>
      <c r="G376" s="4006"/>
      <c r="H376" s="4048" t="str">
        <f>IMAGE("https://raw.githubusercontent.com/msikma/pokesprite/master/misc/types/gen8/dark.png",4,20,20)</f>
        <v/>
      </c>
      <c r="J376" s="4039" t="s">
        <v>777</v>
      </c>
      <c r="K376" s="4005"/>
      <c r="L376" s="4006"/>
      <c r="M376" s="4048" t="str">
        <f t="shared" si="16"/>
        <v/>
      </c>
      <c r="O376" s="4039" t="s">
        <v>809</v>
      </c>
      <c r="P376" s="4005"/>
      <c r="Q376" s="4006"/>
      <c r="R376" s="4048" t="str">
        <f>IMAGE("https://raw.githubusercontent.com/msikma/pokesprite/master/misc/types/gen8/fighting.png",4,20,20)</f>
        <v/>
      </c>
      <c r="T376" s="4039" t="s">
        <v>1611</v>
      </c>
      <c r="U376" s="4005"/>
      <c r="V376" s="4006"/>
      <c r="W376" s="4048" t="str">
        <f>IMAGE("https://raw.githubusercontent.com/msikma/pokesprite/master/misc/types/gen8/steel.png",4,20,20)</f>
        <v/>
      </c>
      <c r="Y376" s="4004"/>
      <c r="Z376" s="4005"/>
      <c r="AA376" s="4005"/>
      <c r="AB376" s="4006"/>
      <c r="AC376" s="4107"/>
      <c r="AD376" s="4004"/>
      <c r="AE376" s="4005"/>
      <c r="AF376" s="4005"/>
      <c r="AG376" s="4006"/>
      <c r="AH376" s="4007"/>
      <c r="AI376" s="6747"/>
    </row>
    <row r="377" ht="21.0" customHeight="1">
      <c r="A377" s="6738"/>
      <c r="B377" s="3998"/>
      <c r="C377" s="4031"/>
      <c r="D377" s="4004"/>
      <c r="E377" s="4049" t="s">
        <v>590</v>
      </c>
      <c r="F377" s="4050"/>
      <c r="G377" s="4051"/>
      <c r="H377" s="4052" t="str">
        <f>IMAGE("https://raw.githubusercontent.com/msikma/pokesprite/master/misc/types/gen8/fighting.png",4,20,20)</f>
        <v/>
      </c>
      <c r="I377" s="4109"/>
      <c r="J377" s="4049" t="s">
        <v>743</v>
      </c>
      <c r="K377" s="4050"/>
      <c r="L377" s="4051"/>
      <c r="M377" s="4052" t="str">
        <f t="shared" si="16"/>
        <v/>
      </c>
      <c r="N377" s="4109"/>
      <c r="O377" s="4049" t="s">
        <v>621</v>
      </c>
      <c r="P377" s="4050"/>
      <c r="Q377" s="4051"/>
      <c r="R377" s="4052" t="str">
        <f>IMAGE("https://raw.githubusercontent.com/msikma/pokesprite/master/misc/types/gen8/rock.png",4,20,20)</f>
        <v/>
      </c>
      <c r="S377" s="4109"/>
      <c r="T377" s="4049" t="s">
        <v>589</v>
      </c>
      <c r="U377" s="4050"/>
      <c r="V377" s="4051"/>
      <c r="W377" s="4052" t="str">
        <f>IMAGE("https://raw.githubusercontent.com/msikma/pokesprite/master/misc/types/gen8/ice.png",4,20,20)</f>
        <v/>
      </c>
      <c r="X377" s="4109"/>
      <c r="Y377" s="4004"/>
      <c r="Z377" s="4005"/>
      <c r="AA377" s="4005"/>
      <c r="AB377" s="4006"/>
      <c r="AC377" s="4110"/>
      <c r="AD377" s="4004"/>
      <c r="AE377" s="4005"/>
      <c r="AF377" s="4005"/>
      <c r="AG377" s="4006"/>
      <c r="AH377" s="4007"/>
      <c r="AI377" s="6747"/>
    </row>
    <row r="378" ht="3.0" customHeight="1">
      <c r="A378" s="6738"/>
      <c r="B378" s="4053"/>
      <c r="C378" s="4054"/>
      <c r="D378" s="4055"/>
      <c r="E378" s="4112"/>
      <c r="F378" s="4112"/>
      <c r="G378" s="4112"/>
      <c r="H378" s="4056"/>
      <c r="I378" s="4055"/>
      <c r="J378" s="4112"/>
      <c r="K378" s="4112"/>
      <c r="L378" s="4112"/>
      <c r="M378" s="4111"/>
      <c r="N378" s="4055"/>
      <c r="O378" s="4112"/>
      <c r="P378" s="4112"/>
      <c r="Q378" s="4112"/>
      <c r="R378" s="4111"/>
      <c r="S378" s="4056"/>
      <c r="T378" s="4112"/>
      <c r="U378" s="4112"/>
      <c r="V378" s="4112"/>
      <c r="W378" s="4111"/>
      <c r="X378" s="4055"/>
      <c r="Y378" s="4059"/>
      <c r="Z378" s="4059"/>
      <c r="AA378" s="4059"/>
      <c r="AB378" s="4059"/>
      <c r="AC378" s="4059"/>
      <c r="AD378" s="4059"/>
      <c r="AE378" s="4059"/>
      <c r="AF378" s="4059"/>
      <c r="AG378" s="4059"/>
      <c r="AH378" s="4060"/>
      <c r="AI378" s="6747"/>
    </row>
    <row r="379" ht="16.5" customHeight="1">
      <c r="A379" s="6738"/>
      <c r="B379" s="4061"/>
      <c r="C379" s="4054"/>
      <c r="D379" s="4064"/>
      <c r="E379" s="4063" t="s">
        <v>512</v>
      </c>
      <c r="F379" s="606"/>
      <c r="G379" s="606"/>
      <c r="H379" s="607"/>
      <c r="I379" s="4064"/>
      <c r="J379" s="4063" t="s">
        <v>512</v>
      </c>
      <c r="K379" s="606"/>
      <c r="L379" s="606"/>
      <c r="M379" s="607"/>
      <c r="N379" s="4064"/>
      <c r="O379" s="4063" t="s">
        <v>512</v>
      </c>
      <c r="P379" s="606"/>
      <c r="Q379" s="606"/>
      <c r="R379" s="607"/>
      <c r="S379" s="4453"/>
      <c r="T379" s="4063" t="s">
        <v>512</v>
      </c>
      <c r="U379" s="606"/>
      <c r="V379" s="606"/>
      <c r="W379" s="607"/>
      <c r="X379" s="5127"/>
      <c r="Y379" s="4067"/>
      <c r="Z379" s="4067"/>
      <c r="AA379" s="4067"/>
      <c r="AB379" s="4067"/>
      <c r="AC379" s="4067"/>
      <c r="AD379" s="4067"/>
      <c r="AE379" s="4067"/>
      <c r="AF379" s="4067"/>
      <c r="AG379" s="4067"/>
      <c r="AH379" s="4068"/>
      <c r="AI379" s="6747"/>
    </row>
    <row r="380" ht="16.5" customHeight="1">
      <c r="A380" s="6738"/>
      <c r="B380" s="4061"/>
      <c r="C380" s="4054"/>
      <c r="D380" s="4062"/>
      <c r="E380" s="4069" t="s">
        <v>513</v>
      </c>
      <c r="F380" s="4070">
        <f t="array" ref="F380">IFERROR(VLOOKUP(E367,Dex!$B$3:$N1219,8,FALSE),"")</f>
        <v>55</v>
      </c>
      <c r="G380" s="4071" t="str">
        <f t="array" ref="G380">IFERROR(VLOOKUP(F380,Dex!$P$22:$Q$276,2,FALSE),"")</f>
        <v/>
      </c>
      <c r="H380" s="4072"/>
      <c r="I380" s="4062"/>
      <c r="J380" s="4069" t="s">
        <v>513</v>
      </c>
      <c r="K380" s="4070">
        <f t="array" ref="K380">IFERROR(VLOOKUP(J367,Dex!$B$3:$N1219,8,FALSE),"")</f>
        <v>60</v>
      </c>
      <c r="L380" s="4071" t="str">
        <f t="array" ref="L380">IFERROR(VLOOKUP(K380,Dex!$P$22:$Q$276,2,FALSE),"")</f>
        <v/>
      </c>
      <c r="M380" s="4072"/>
      <c r="N380" s="4062"/>
      <c r="O380" s="4069" t="s">
        <v>513</v>
      </c>
      <c r="P380" s="4070">
        <f t="array" ref="P380">IFERROR(VLOOKUP(O367,Dex!$B$3:$N1219,8,FALSE),"")</f>
        <v>35</v>
      </c>
      <c r="Q380" s="4071" t="str">
        <f t="array" ref="Q380">IFERROR(VLOOKUP(P380,Dex!$P$22:$Q$276,2,FALSE),"")</f>
        <v/>
      </c>
      <c r="R380" s="4072"/>
      <c r="S380" s="4073"/>
      <c r="T380" s="4069" t="s">
        <v>513</v>
      </c>
      <c r="U380" s="4070">
        <f t="array" ref="U380">IFERROR(VLOOKUP(T367,Dex!$B$3:$N1219,8,FALSE),"")</f>
        <v>70</v>
      </c>
      <c r="V380" s="4071" t="str">
        <f t="array" ref="V380">IFERROR(VLOOKUP(U380,Dex!$P$22:$Q$276,2,FALSE),"")</f>
        <v/>
      </c>
      <c r="W380" s="4072"/>
      <c r="X380" s="4067"/>
      <c r="Y380" s="4067"/>
      <c r="Z380" s="4067"/>
      <c r="AA380" s="4067"/>
      <c r="AB380" s="4067"/>
      <c r="AC380" s="4067"/>
      <c r="AD380" s="4067"/>
      <c r="AE380" s="4067"/>
      <c r="AF380" s="4067"/>
      <c r="AG380" s="4067"/>
      <c r="AH380" s="4068"/>
      <c r="AI380" s="6747"/>
    </row>
    <row r="381" ht="16.5" customHeight="1">
      <c r="A381" s="6738"/>
      <c r="B381" s="4061"/>
      <c r="C381" s="4054"/>
      <c r="D381" s="4062"/>
      <c r="E381" s="4075" t="s">
        <v>514</v>
      </c>
      <c r="F381" s="4076">
        <f t="array" ref="F381">IFERROR(VLOOKUP(E367,Dex!$B$3:$N1219,9,FALSE),"")</f>
        <v>50</v>
      </c>
      <c r="G381" s="4077" t="str">
        <f t="array" ref="G381">IFERROR(VLOOKUP(F381,Dex!$P$22:$Q$276,2,FALSE),"")</f>
        <v/>
      </c>
      <c r="H381" s="4078"/>
      <c r="I381" s="4062"/>
      <c r="J381" s="4075" t="s">
        <v>514</v>
      </c>
      <c r="K381" s="4076">
        <f t="array" ref="K381">IFERROR(VLOOKUP(J367,Dex!$B$3:$N1219,9,FALSE),"")</f>
        <v>65</v>
      </c>
      <c r="L381" s="4077" t="str">
        <f t="array" ref="L381">IFERROR(VLOOKUP(K381,Dex!$P$22:$Q$276,2,FALSE),"")</f>
        <v/>
      </c>
      <c r="M381" s="4078"/>
      <c r="N381" s="4062"/>
      <c r="O381" s="4075" t="s">
        <v>514</v>
      </c>
      <c r="P381" s="4076">
        <f t="array" ref="P381">IFERROR(VLOOKUP(O367,Dex!$B$3:$N1219,9,FALSE),"")</f>
        <v>100</v>
      </c>
      <c r="Q381" s="4077" t="str">
        <f t="array" ref="Q381">IFERROR(VLOOKUP(P381,Dex!$P$22:$Q$276,2,FALSE),"")</f>
        <v/>
      </c>
      <c r="R381" s="4078"/>
      <c r="S381" s="4073"/>
      <c r="T381" s="4075" t="s">
        <v>514</v>
      </c>
      <c r="U381" s="4076">
        <f t="array" ref="U381">IFERROR(VLOOKUP(T367,Dex!$B$3:$N1219,9,FALSE),"")</f>
        <v>110</v>
      </c>
      <c r="V381" s="4077" t="str">
        <f t="array" ref="V381">IFERROR(VLOOKUP(U381,Dex!$P$22:$Q$276,2,FALSE),"")</f>
        <v/>
      </c>
      <c r="W381" s="4078"/>
      <c r="X381" s="4067"/>
      <c r="Y381" s="4067"/>
      <c r="Z381" s="4067"/>
      <c r="AA381" s="4067"/>
      <c r="AB381" s="4067"/>
      <c r="AC381" s="4067"/>
      <c r="AD381" s="4067"/>
      <c r="AE381" s="4067"/>
      <c r="AF381" s="4067"/>
      <c r="AG381" s="4067"/>
      <c r="AH381" s="4068"/>
      <c r="AI381" s="6747"/>
    </row>
    <row r="382" ht="16.5" customHeight="1">
      <c r="A382" s="6738"/>
      <c r="B382" s="4061"/>
      <c r="C382" s="4054"/>
      <c r="D382" s="4062"/>
      <c r="E382" s="4075" t="s">
        <v>515</v>
      </c>
      <c r="F382" s="4076">
        <f t="array" ref="F382">IFERROR(VLOOKUP(E367,Dex!$B$3:$N1219,10,FALSE),"")</f>
        <v>65</v>
      </c>
      <c r="G382" s="4077" t="str">
        <f t="array" ref="G382">IFERROR(VLOOKUP(F382,Dex!$P$22:$Q$276,2,FALSE),"")</f>
        <v/>
      </c>
      <c r="H382" s="4078"/>
      <c r="I382" s="4062"/>
      <c r="J382" s="4075" t="s">
        <v>515</v>
      </c>
      <c r="K382" s="4076">
        <f t="array" ref="K382">IFERROR(VLOOKUP(J367,Dex!$B$3:$N1219,10,FALSE),"")</f>
        <v>55</v>
      </c>
      <c r="L382" s="4077" t="str">
        <f t="array" ref="L382">IFERROR(VLOOKUP(K382,Dex!$P$22:$Q$276,2,FALSE),"")</f>
        <v/>
      </c>
      <c r="M382" s="4078"/>
      <c r="N382" s="4062"/>
      <c r="O382" s="4075" t="s">
        <v>515</v>
      </c>
      <c r="P382" s="4076">
        <f t="array" ref="P382">IFERROR(VLOOKUP(O367,Dex!$B$3:$N1219,10,FALSE),"")</f>
        <v>50</v>
      </c>
      <c r="Q382" s="4077" t="str">
        <f t="array" ref="Q382">IFERROR(VLOOKUP(P382,Dex!$P$22:$Q$276,2,FALSE),"")</f>
        <v/>
      </c>
      <c r="R382" s="4078"/>
      <c r="S382" s="4073"/>
      <c r="T382" s="4075" t="s">
        <v>515</v>
      </c>
      <c r="U382" s="4076">
        <f t="array" ref="U382">IFERROR(VLOOKUP(T367,Dex!$B$3:$N1219,10,FALSE),"")</f>
        <v>70</v>
      </c>
      <c r="V382" s="4077" t="str">
        <f t="array" ref="V382">IFERROR(VLOOKUP(U382,Dex!$P$22:$Q$276,2,FALSE),"")</f>
        <v/>
      </c>
      <c r="W382" s="4078"/>
      <c r="X382" s="4067"/>
      <c r="Y382" s="4067"/>
      <c r="Z382" s="4067"/>
      <c r="AA382" s="4067"/>
      <c r="AB382" s="4067"/>
      <c r="AC382" s="4067"/>
      <c r="AD382" s="4067"/>
      <c r="AE382" s="4067"/>
      <c r="AF382" s="4067"/>
      <c r="AG382" s="4067"/>
      <c r="AH382" s="4068"/>
      <c r="AI382" s="6747"/>
    </row>
    <row r="383" ht="16.5" customHeight="1">
      <c r="A383" s="6738"/>
      <c r="B383" s="4061"/>
      <c r="C383" s="4054"/>
      <c r="D383" s="4062"/>
      <c r="E383" s="4075" t="s">
        <v>516</v>
      </c>
      <c r="F383" s="4076">
        <f t="array" ref="F383">IFERROR(VLOOKUP(E367,Dex!$B$3:$N1219,11,FALSE),"")</f>
        <v>175</v>
      </c>
      <c r="G383" s="4077" t="str">
        <f t="array" ref="G383">IFERROR(VLOOKUP(F383,Dex!$P$22:$Q$276,2,FALSE),"")</f>
        <v/>
      </c>
      <c r="H383" s="4078"/>
      <c r="I383" s="4062"/>
      <c r="J383" s="4075" t="s">
        <v>516</v>
      </c>
      <c r="K383" s="4076">
        <f t="array" ref="K383">IFERROR(VLOOKUP(J367,Dex!$B$3:$N1219,11,FALSE),"")</f>
        <v>105</v>
      </c>
      <c r="L383" s="4077" t="str">
        <f t="array" ref="L383">IFERROR(VLOOKUP(K383,Dex!$P$22:$Q$276,2,FALSE),"")</f>
        <v/>
      </c>
      <c r="M383" s="4078"/>
      <c r="N383" s="4062"/>
      <c r="O383" s="4075" t="s">
        <v>516</v>
      </c>
      <c r="P383" s="4076">
        <f t="array" ref="P383">IFERROR(VLOOKUP(O367,Dex!$B$3:$N1219,11,FALSE),"")</f>
        <v>50</v>
      </c>
      <c r="Q383" s="4077" t="str">
        <f t="array" ref="Q383">IFERROR(VLOOKUP(P383,Dex!$P$22:$Q$276,2,FALSE),"")</f>
        <v/>
      </c>
      <c r="R383" s="4078"/>
      <c r="S383" s="4073"/>
      <c r="T383" s="4075" t="s">
        <v>516</v>
      </c>
      <c r="U383" s="4076">
        <f t="array" ref="U383">IFERROR(VLOOKUP(T367,Dex!$B$3:$N1219,11,FALSE),"")</f>
        <v>115</v>
      </c>
      <c r="V383" s="4077" t="str">
        <f t="array" ref="V383">IFERROR(VLOOKUP(U383,Dex!$P$22:$Q$276,2,FALSE),"")</f>
        <v/>
      </c>
      <c r="W383" s="4078"/>
      <c r="X383" s="4067"/>
      <c r="Y383" s="4067"/>
      <c r="Z383" s="4067"/>
      <c r="AA383" s="4067"/>
      <c r="AB383" s="4067"/>
      <c r="AC383" s="4067"/>
      <c r="AD383" s="4067"/>
      <c r="AE383" s="4067"/>
      <c r="AF383" s="4067"/>
      <c r="AG383" s="4067"/>
      <c r="AH383" s="4068"/>
      <c r="AI383" s="6747"/>
    </row>
    <row r="384" ht="16.5" customHeight="1">
      <c r="A384" s="6738"/>
      <c r="B384" s="4061"/>
      <c r="C384" s="4054"/>
      <c r="D384" s="4062"/>
      <c r="E384" s="4075" t="s">
        <v>517</v>
      </c>
      <c r="F384" s="4076">
        <f t="array" ref="F384">IFERROR(VLOOKUP(E367,Dex!$B$3:$N1219,12,FALSE),"")</f>
        <v>105</v>
      </c>
      <c r="G384" s="4077" t="str">
        <f t="array" ref="G384">IFERROR(VLOOKUP(F384,Dex!$P$22:$Q$276,2,FALSE),"")</f>
        <v/>
      </c>
      <c r="H384" s="4078"/>
      <c r="I384" s="4062"/>
      <c r="J384" s="4075" t="s">
        <v>517</v>
      </c>
      <c r="K384" s="4076">
        <f t="array" ref="K384">IFERROR(VLOOKUP(J367,Dex!$B$3:$N1219,12,FALSE),"")</f>
        <v>95</v>
      </c>
      <c r="L384" s="4077" t="str">
        <f t="array" ref="L384">IFERROR(VLOOKUP(K384,Dex!$P$22:$Q$276,2,FALSE),"")</f>
        <v/>
      </c>
      <c r="M384" s="4078"/>
      <c r="N384" s="4062"/>
      <c r="O384" s="4075" t="s">
        <v>517</v>
      </c>
      <c r="P384" s="4076">
        <f t="array" ref="P384">IFERROR(VLOOKUP(O367,Dex!$B$3:$N1219,12,FALSE),"")</f>
        <v>70</v>
      </c>
      <c r="Q384" s="4077" t="str">
        <f t="array" ref="Q384">IFERROR(VLOOKUP(P384,Dex!$P$22:$Q$276,2,FALSE),"")</f>
        <v/>
      </c>
      <c r="R384" s="4078"/>
      <c r="S384" s="4073"/>
      <c r="T384" s="4075" t="s">
        <v>517</v>
      </c>
      <c r="U384" s="4076">
        <f t="array" ref="U384">IFERROR(VLOOKUP(T367,Dex!$B$3:$N1219,12,FALSE),"")</f>
        <v>70</v>
      </c>
      <c r="V384" s="4077" t="str">
        <f t="array" ref="V384">IFERROR(VLOOKUP(U384,Dex!$P$22:$Q$276,2,FALSE),"")</f>
        <v/>
      </c>
      <c r="W384" s="4078"/>
      <c r="X384" s="4067"/>
      <c r="Y384" s="4067"/>
      <c r="Z384" s="4067"/>
      <c r="AA384" s="4067"/>
      <c r="AB384" s="4067"/>
      <c r="AC384" s="4067"/>
      <c r="AD384" s="4067"/>
      <c r="AE384" s="4067"/>
      <c r="AF384" s="4067"/>
      <c r="AG384" s="4067"/>
      <c r="AH384" s="4068"/>
      <c r="AI384" s="6747"/>
    </row>
    <row r="385" ht="16.5" customHeight="1">
      <c r="A385" s="6738"/>
      <c r="B385" s="4061"/>
      <c r="C385" s="4054"/>
      <c r="D385" s="4062"/>
      <c r="E385" s="4081" t="s">
        <v>518</v>
      </c>
      <c r="F385" s="4082">
        <f t="array" ref="F385">IFERROR(VLOOKUP(E367,Dex!$B$3:$N1219,13,FALSE),"")</f>
        <v>150</v>
      </c>
      <c r="G385" s="4083" t="str">
        <f t="array" ref="G385">IFERROR(VLOOKUP(F385,Dex!$P$22:$Q$276,2,FALSE),"")</f>
        <v/>
      </c>
      <c r="H385" s="4084"/>
      <c r="I385" s="4062"/>
      <c r="J385" s="4081" t="s">
        <v>518</v>
      </c>
      <c r="K385" s="4082">
        <f t="array" ref="K385">IFERROR(VLOOKUP(J367,Dex!$B$3:$N1219,13,FALSE),"")</f>
        <v>95</v>
      </c>
      <c r="L385" s="4083" t="str">
        <f t="array" ref="L385">IFERROR(VLOOKUP(K385,Dex!$P$22:$Q$276,2,FALSE),"")</f>
        <v/>
      </c>
      <c r="M385" s="4084"/>
      <c r="N385" s="4062"/>
      <c r="O385" s="4081" t="s">
        <v>518</v>
      </c>
      <c r="P385" s="4082">
        <f t="array" ref="P385">IFERROR(VLOOKUP(O367,Dex!$B$3:$N1219,13,FALSE),"")</f>
        <v>120</v>
      </c>
      <c r="Q385" s="4083" t="str">
        <f t="array" ref="Q385">IFERROR(VLOOKUP(P385,Dex!$P$22:$Q$276,2,FALSE),"")</f>
        <v/>
      </c>
      <c r="R385" s="4084"/>
      <c r="S385" s="4073"/>
      <c r="T385" s="4081" t="s">
        <v>518</v>
      </c>
      <c r="U385" s="4082">
        <f t="array" ref="U385">IFERROR(VLOOKUP(T367,Dex!$B$3:$N1219,13,FALSE),"")</f>
        <v>90</v>
      </c>
      <c r="V385" s="4083" t="str">
        <f t="array" ref="V385">IFERROR(VLOOKUP(U385,Dex!$P$22:$Q$276,2,FALSE),"")</f>
        <v/>
      </c>
      <c r="W385" s="4084"/>
      <c r="X385" s="4067"/>
      <c r="Y385" s="4067"/>
      <c r="Z385" s="4067"/>
      <c r="AA385" s="4067"/>
      <c r="AB385" s="4067"/>
      <c r="AC385" s="4067"/>
      <c r="AD385" s="4067"/>
      <c r="AE385" s="4067"/>
      <c r="AF385" s="4067"/>
      <c r="AG385" s="4067"/>
      <c r="AH385" s="4068"/>
      <c r="AI385" s="6747"/>
    </row>
    <row r="386" ht="16.5" customHeight="1">
      <c r="A386" s="6738"/>
      <c r="B386" s="4061"/>
      <c r="C386" s="4054"/>
      <c r="D386" s="4064"/>
      <c r="E386" s="4085" t="s">
        <v>519</v>
      </c>
      <c r="F386" s="630"/>
      <c r="G386" s="631"/>
      <c r="H386" s="7067">
        <v>365.0</v>
      </c>
      <c r="I386" s="4064"/>
      <c r="J386" s="4085" t="s">
        <v>519</v>
      </c>
      <c r="K386" s="630"/>
      <c r="L386" s="631"/>
      <c r="M386" s="7067">
        <v>243.0</v>
      </c>
      <c r="N386" s="4064"/>
      <c r="O386" s="4085" t="s">
        <v>519</v>
      </c>
      <c r="P386" s="630"/>
      <c r="Q386" s="631"/>
      <c r="R386" s="7067">
        <v>303.0</v>
      </c>
      <c r="S386" s="4454"/>
      <c r="T386" s="4085" t="s">
        <v>519</v>
      </c>
      <c r="U386" s="630"/>
      <c r="V386" s="631"/>
      <c r="W386" s="7067">
        <v>237.0</v>
      </c>
      <c r="X386" s="5127"/>
      <c r="Y386" s="4067"/>
      <c r="Z386" s="4067"/>
      <c r="AA386" s="4067"/>
      <c r="AB386" s="4067"/>
      <c r="AC386" s="4067"/>
      <c r="AD386" s="4067"/>
      <c r="AE386" s="4067"/>
      <c r="AF386" s="4067"/>
      <c r="AG386" s="4067"/>
      <c r="AH386" s="4068"/>
      <c r="AI386" s="6747"/>
    </row>
    <row r="387" ht="15.0" customHeight="1">
      <c r="A387" s="6738"/>
      <c r="B387" s="4093"/>
      <c r="C387" s="4094"/>
      <c r="D387" s="4095"/>
      <c r="E387" s="4113"/>
      <c r="F387" s="4113"/>
      <c r="G387" s="4113"/>
      <c r="H387" s="4096"/>
      <c r="I387" s="4097"/>
      <c r="J387" s="4113"/>
      <c r="K387" s="4113"/>
      <c r="L387" s="4113"/>
      <c r="M387" s="4096"/>
      <c r="N387" s="4097"/>
      <c r="O387" s="4113"/>
      <c r="P387" s="4113"/>
      <c r="Q387" s="4113"/>
      <c r="R387" s="4096"/>
      <c r="S387" s="4095"/>
      <c r="T387" s="7068"/>
      <c r="U387" s="7068"/>
      <c r="V387" s="7068"/>
      <c r="W387" s="4095"/>
      <c r="X387" s="4095"/>
      <c r="Y387" s="4095"/>
      <c r="Z387" s="4095"/>
      <c r="AA387" s="4095"/>
      <c r="AB387" s="4095"/>
      <c r="AC387" s="4095"/>
      <c r="AD387" s="4095"/>
      <c r="AE387" s="4095"/>
      <c r="AF387" s="4095"/>
      <c r="AG387" s="4095"/>
      <c r="AH387" s="4098"/>
      <c r="AI387" s="6747"/>
    </row>
    <row r="388" ht="15.0" customHeight="1">
      <c r="A388" s="6738"/>
      <c r="B388" s="6080"/>
      <c r="C388" s="6081"/>
      <c r="D388" s="6081"/>
      <c r="E388" s="7069"/>
      <c r="F388" s="7069"/>
      <c r="G388" s="7069"/>
      <c r="H388" s="7069"/>
      <c r="I388" s="6081"/>
      <c r="J388" s="7069"/>
      <c r="K388" s="7069"/>
      <c r="L388" s="7069"/>
      <c r="M388" s="7069"/>
      <c r="N388" s="6081"/>
      <c r="O388" s="7070"/>
      <c r="P388" s="7070"/>
      <c r="Q388" s="7070"/>
      <c r="R388" s="7069"/>
      <c r="S388" s="6081"/>
      <c r="T388" s="7071"/>
      <c r="U388" s="7071"/>
      <c r="V388" s="7071"/>
      <c r="W388" s="7069"/>
      <c r="X388" s="6081"/>
      <c r="Y388" s="6083"/>
      <c r="Z388" s="6083"/>
      <c r="AA388" s="6083"/>
      <c r="AB388" s="6081"/>
      <c r="AC388" s="6081"/>
      <c r="AD388" s="7069"/>
      <c r="AE388" s="7069"/>
      <c r="AF388" s="7069"/>
      <c r="AG388" s="7069"/>
      <c r="AH388" s="6084"/>
      <c r="AI388" s="6747"/>
    </row>
    <row r="389" ht="96.75" customHeight="1">
      <c r="A389" s="6738"/>
      <c r="B389" s="6095"/>
      <c r="C389" s="7072" t="str">
        <f>IMAGE("https://i.ibb.co/3N39wW0/Crush-Girl.png")</f>
        <v/>
      </c>
      <c r="D389" s="6097"/>
      <c r="E389" s="7073" t="str">
        <f t="array" ref="E389">IFERROR(VLOOKUP(E390,Dex!$B$3:$G1219,3,FALSE),"")</f>
        <v/>
      </c>
      <c r="F389" s="1945"/>
      <c r="G389" s="1945"/>
      <c r="H389" s="1946"/>
      <c r="I389" s="6099"/>
      <c r="J389" s="7073" t="str">
        <f t="array" ref="J389">IFERROR(VLOOKUP(J390,Dex!$B$3:$G1219,3,FALSE),"")</f>
        <v/>
      </c>
      <c r="K389" s="1945"/>
      <c r="L389" s="1945"/>
      <c r="M389" s="1946"/>
      <c r="N389" s="6099"/>
      <c r="O389" s="7073" t="str">
        <f t="array" ref="O389">IFERROR(VLOOKUP(O390,Dex!$B$3:$G1219,3,FALSE),"")</f>
        <v/>
      </c>
      <c r="P389" s="1945"/>
      <c r="Q389" s="1945"/>
      <c r="R389" s="1946"/>
      <c r="S389" s="6099"/>
      <c r="T389" s="7073" t="str">
        <f t="array" ref="T389">IFERROR(VLOOKUP(T390,Dex!$B$3:$G1219,3,FALSE),"")</f>
        <v/>
      </c>
      <c r="U389" s="1945"/>
      <c r="V389" s="1945"/>
      <c r="W389" s="1946"/>
      <c r="X389" s="6099"/>
      <c r="Y389" s="7074"/>
      <c r="Z389" s="6126"/>
      <c r="AA389" s="6126"/>
      <c r="AB389" s="6134"/>
      <c r="AC389" s="7075"/>
      <c r="AD389" s="7074"/>
      <c r="AE389" s="6126"/>
      <c r="AF389" s="6126"/>
      <c r="AG389" s="6134"/>
      <c r="AH389" s="6094"/>
      <c r="AI389" s="6747"/>
    </row>
    <row r="390" ht="18.75" customHeight="1">
      <c r="A390" s="6738"/>
      <c r="B390" s="6095"/>
      <c r="C390" s="6100" t="s">
        <v>2062</v>
      </c>
      <c r="D390" s="6101"/>
      <c r="E390" s="6102" t="s">
        <v>1746</v>
      </c>
      <c r="F390" s="6103"/>
      <c r="G390" s="6103"/>
      <c r="H390" s="6104"/>
      <c r="J390" s="6102" t="s">
        <v>2063</v>
      </c>
      <c r="K390" s="6103"/>
      <c r="L390" s="6103"/>
      <c r="M390" s="6104"/>
      <c r="O390" s="6102" t="s">
        <v>2064</v>
      </c>
      <c r="P390" s="6103"/>
      <c r="Q390" s="6103"/>
      <c r="R390" s="6104"/>
      <c r="T390" s="6102" t="s">
        <v>1747</v>
      </c>
      <c r="U390" s="6103"/>
      <c r="V390" s="6103"/>
      <c r="W390" s="6104"/>
      <c r="Y390" s="7074"/>
      <c r="Z390" s="6126"/>
      <c r="AA390" s="6126"/>
      <c r="AB390" s="6134"/>
      <c r="AC390" s="7076"/>
      <c r="AD390" s="7074"/>
      <c r="AE390" s="6126"/>
      <c r="AF390" s="6126"/>
      <c r="AG390" s="6134"/>
      <c r="AH390" s="6094"/>
      <c r="AI390" s="6747"/>
    </row>
    <row r="391">
      <c r="A391" s="6738"/>
      <c r="B391" s="6095"/>
      <c r="C391" s="1638"/>
      <c r="D391" s="6101"/>
      <c r="E391" s="6105" t="s">
        <v>729</v>
      </c>
      <c r="F391" s="6106"/>
      <c r="G391" s="6106"/>
      <c r="H391" s="6107"/>
      <c r="J391" s="6105" t="s">
        <v>729</v>
      </c>
      <c r="K391" s="6106"/>
      <c r="L391" s="6106"/>
      <c r="M391" s="6107"/>
      <c r="O391" s="6105" t="s">
        <v>729</v>
      </c>
      <c r="P391" s="6106"/>
      <c r="Q391" s="6106"/>
      <c r="R391" s="6107"/>
      <c r="T391" s="6105" t="s">
        <v>729</v>
      </c>
      <c r="U391" s="6106"/>
      <c r="V391" s="6106"/>
      <c r="W391" s="6107"/>
      <c r="Y391" s="7074"/>
      <c r="Z391" s="6126"/>
      <c r="AA391" s="6126"/>
      <c r="AB391" s="6134"/>
      <c r="AC391" s="7076"/>
      <c r="AD391" s="7074"/>
      <c r="AE391" s="6126"/>
      <c r="AF391" s="6126"/>
      <c r="AG391" s="6134"/>
      <c r="AH391" s="6094"/>
      <c r="AI391" s="6747"/>
    </row>
    <row r="392" ht="25.5" customHeight="1">
      <c r="A392" s="6738"/>
      <c r="B392" s="6095"/>
      <c r="C392" s="1646"/>
      <c r="D392" s="6108"/>
      <c r="E392" s="6109"/>
      <c r="F392" s="6110" t="str">
        <f t="array" ref="F392">IFERROR(VLOOKUP(E390,Dex!$B$3:$H1219,5,FALSE),"")</f>
        <v/>
      </c>
      <c r="G392" s="6111" t="str">
        <f t="array" ref="G392">IFERROR(VLOOKUP(E390,Dex!$B$3:$H1219,7,FALSE),"")</f>
        <v/>
      </c>
      <c r="H392" s="6112"/>
      <c r="J392" s="6109"/>
      <c r="K392" s="6110" t="str">
        <f t="array" ref="K392">IFERROR(VLOOKUP(J390,Dex!$B$3:$H1219,5,FALSE),"")</f>
        <v/>
      </c>
      <c r="L392" s="6111" t="str">
        <f t="array" ref="L392">IFERROR(VLOOKUP(J390,Dex!$B$3:$H1219,7,FALSE),"")</f>
        <v/>
      </c>
      <c r="M392" s="6112"/>
      <c r="O392" s="6109"/>
      <c r="P392" s="6110" t="str">
        <f t="array" ref="P392">IFERROR(VLOOKUP(O390,Dex!$B$3:$H1219,5,FALSE),"")</f>
        <v/>
      </c>
      <c r="Q392" s="6111" t="str">
        <f t="array" ref="Q392">IFERROR(VLOOKUP(O390,Dex!$B$3:$H1219,7,FALSE),"")</f>
        <v/>
      </c>
      <c r="R392" s="6112"/>
      <c r="T392" s="6109"/>
      <c r="U392" s="6176" t="str">
        <f t="array" ref="U392">IFERROR(VLOOKUP(T390,Dex!$B$3:$H1219,5,FALSE),"")</f>
        <v/>
      </c>
      <c r="V392" s="6177"/>
      <c r="W392" s="6112"/>
      <c r="Y392" s="7074"/>
      <c r="Z392" s="6126"/>
      <c r="AA392" s="6126"/>
      <c r="AB392" s="6134"/>
      <c r="AC392" s="7076"/>
      <c r="AD392" s="7074"/>
      <c r="AE392" s="6126"/>
      <c r="AF392" s="6126"/>
      <c r="AG392" s="6134"/>
      <c r="AH392" s="6113"/>
      <c r="AI392" s="6747"/>
    </row>
    <row r="393" ht="2.25" customHeight="1">
      <c r="A393" s="6738"/>
      <c r="B393" s="6085"/>
      <c r="C393" s="6114"/>
      <c r="D393" s="6115"/>
      <c r="E393" s="6116"/>
      <c r="F393" s="6117"/>
      <c r="G393" s="6117"/>
      <c r="H393" s="6118"/>
      <c r="J393" s="6116"/>
      <c r="K393" s="6117"/>
      <c r="L393" s="6117"/>
      <c r="M393" s="6118"/>
      <c r="O393" s="6116"/>
      <c r="P393" s="6117"/>
      <c r="Q393" s="6117"/>
      <c r="R393" s="6118"/>
      <c r="T393" s="6116"/>
      <c r="U393" s="6117"/>
      <c r="V393" s="6117"/>
      <c r="W393" s="6118"/>
      <c r="Y393" s="7074"/>
      <c r="Z393" s="6126"/>
      <c r="AA393" s="6126"/>
      <c r="AB393" s="6134"/>
      <c r="AC393" s="7076"/>
      <c r="AD393" s="7074"/>
      <c r="AE393" s="6126"/>
      <c r="AF393" s="6126"/>
      <c r="AG393" s="6134"/>
      <c r="AH393" s="6113"/>
      <c r="AI393" s="6747"/>
    </row>
    <row r="394" ht="20.25" customHeight="1">
      <c r="A394" s="6738"/>
      <c r="B394" s="6085"/>
      <c r="C394" s="6119"/>
      <c r="D394" s="6120"/>
      <c r="E394" s="6121" t="s">
        <v>566</v>
      </c>
      <c r="F394" s="6122"/>
      <c r="G394" s="6122"/>
      <c r="H394" s="6123"/>
      <c r="J394" s="6121" t="s">
        <v>566</v>
      </c>
      <c r="K394" s="6122"/>
      <c r="L394" s="6122"/>
      <c r="M394" s="6123"/>
      <c r="O394" s="6121" t="s">
        <v>566</v>
      </c>
      <c r="P394" s="6122"/>
      <c r="Q394" s="6122"/>
      <c r="R394" s="6123"/>
      <c r="T394" s="6121" t="s">
        <v>532</v>
      </c>
      <c r="U394" s="6122"/>
      <c r="V394" s="6122"/>
      <c r="W394" s="6123"/>
      <c r="Y394" s="7074"/>
      <c r="Z394" s="6126"/>
      <c r="AA394" s="6126"/>
      <c r="AB394" s="6134"/>
      <c r="AC394" s="7076"/>
      <c r="AD394" s="7074"/>
      <c r="AE394" s="6126"/>
      <c r="AF394" s="6126"/>
      <c r="AG394" s="6134"/>
      <c r="AH394" s="6094"/>
      <c r="AI394" s="6747"/>
    </row>
    <row r="395" ht="20.25" customHeight="1">
      <c r="A395" s="6738"/>
      <c r="B395" s="6085"/>
      <c r="C395" s="6124"/>
      <c r="D395" s="6120"/>
      <c r="E395" s="6125" t="s">
        <v>731</v>
      </c>
      <c r="F395" s="6126"/>
      <c r="G395" s="6126"/>
      <c r="H395" s="6127"/>
      <c r="J395" s="6125" t="s">
        <v>1354</v>
      </c>
      <c r="K395" s="6126"/>
      <c r="L395" s="6126"/>
      <c r="M395" s="6127"/>
      <c r="O395" s="6125" t="s">
        <v>856</v>
      </c>
      <c r="P395" s="6126"/>
      <c r="Q395" s="6126"/>
      <c r="R395" s="6127"/>
      <c r="T395" s="6125" t="s">
        <v>56</v>
      </c>
      <c r="U395" s="6126"/>
      <c r="V395" s="6126"/>
      <c r="W395" s="6127"/>
      <c r="Y395" s="7074"/>
      <c r="Z395" s="6126"/>
      <c r="AA395" s="6126"/>
      <c r="AB395" s="6134"/>
      <c r="AC395" s="7076"/>
      <c r="AD395" s="7074"/>
      <c r="AE395" s="6126"/>
      <c r="AF395" s="6126"/>
      <c r="AG395" s="6134"/>
      <c r="AH395" s="6094"/>
      <c r="AI395" s="6747"/>
    </row>
    <row r="396" ht="20.25" customHeight="1">
      <c r="A396" s="6738"/>
      <c r="B396" s="6085"/>
      <c r="C396" s="6128"/>
      <c r="D396" s="6120"/>
      <c r="E396" s="6129" t="s">
        <v>573</v>
      </c>
      <c r="F396" s="6092"/>
      <c r="G396" s="6093"/>
      <c r="H396" s="6130" t="str">
        <f>IMAGE("https://raw.githubusercontent.com/msikma/pokesprite/master/items/hold-item/focus-sash.png",3)</f>
        <v/>
      </c>
      <c r="J396" s="6129" t="s">
        <v>537</v>
      </c>
      <c r="K396" s="6092"/>
      <c r="L396" s="6093"/>
      <c r="M396" s="6130" t="str">
        <f>IMAGE("https://raw.githubusercontent.com/msikma/pokesprite/master/items/berry/sitrus.png",3)</f>
        <v/>
      </c>
      <c r="O396" s="6129" t="s">
        <v>1039</v>
      </c>
      <c r="P396" s="6092"/>
      <c r="Q396" s="6093"/>
      <c r="R396" s="6130" t="str">
        <f>IMAGE("https://raw.githubusercontent.com/msikma/pokesprite/master/items/hold-item/flame-orb.png",3)</f>
        <v/>
      </c>
      <c r="T396" s="6129" t="s">
        <v>541</v>
      </c>
      <c r="U396" s="6092"/>
      <c r="V396" s="6093"/>
      <c r="W396" s="6130" t="str">
        <f>IMAGE("https://raw.githubusercontent.com/msikma/pokesprite/master/items/hold-item/life-orb.png",3)</f>
        <v/>
      </c>
      <c r="Y396" s="7074"/>
      <c r="Z396" s="6126"/>
      <c r="AA396" s="6126"/>
      <c r="AB396" s="6134"/>
      <c r="AC396" s="7076"/>
      <c r="AD396" s="7074"/>
      <c r="AE396" s="6126"/>
      <c r="AF396" s="6126"/>
      <c r="AG396" s="6134"/>
      <c r="AH396" s="6113"/>
      <c r="AI396" s="6747"/>
    </row>
    <row r="397" ht="20.25" customHeight="1">
      <c r="A397" s="6738"/>
      <c r="B397" s="6085"/>
      <c r="C397" s="6131"/>
      <c r="D397" s="6120"/>
      <c r="E397" s="6121" t="s">
        <v>667</v>
      </c>
      <c r="F397" s="6122"/>
      <c r="G397" s="6132"/>
      <c r="H397" s="6133" t="str">
        <f>IMAGE("https://raw.githubusercontent.com/msikma/pokesprite/master/misc/types/gen8/dark.png",4,20,20)</f>
        <v/>
      </c>
      <c r="J397" s="6121" t="s">
        <v>583</v>
      </c>
      <c r="K397" s="6122"/>
      <c r="L397" s="6132"/>
      <c r="M397" s="6133" t="str">
        <f>IMAGE("https://raw.githubusercontent.com/msikma/pokesprite/master/misc/types/gen8/fighting.png",4,20,20)</f>
        <v/>
      </c>
      <c r="O397" s="6121" t="s">
        <v>548</v>
      </c>
      <c r="P397" s="6122"/>
      <c r="Q397" s="6132"/>
      <c r="R397" s="6133" t="str">
        <f>IMAGE("https://raw.githubusercontent.com/msikma/pokesprite/master/misc/types/gen8/fighting.png",4,20,20)</f>
        <v/>
      </c>
      <c r="T397" s="6121" t="s">
        <v>1487</v>
      </c>
      <c r="U397" s="6122"/>
      <c r="V397" s="6132"/>
      <c r="W397" s="6133" t="str">
        <f>IMAGE("https://raw.githubusercontent.com/msikma/pokesprite/master/misc/types/gen8/normal.png",4,20,20)</f>
        <v/>
      </c>
      <c r="Y397" s="7074"/>
      <c r="Z397" s="6126"/>
      <c r="AA397" s="6126"/>
      <c r="AB397" s="6134"/>
      <c r="AC397" s="7076"/>
      <c r="AD397" s="7074"/>
      <c r="AE397" s="6126"/>
      <c r="AF397" s="6126"/>
      <c r="AG397" s="6134"/>
      <c r="AH397" s="6094"/>
      <c r="AI397" s="6747"/>
    </row>
    <row r="398" ht="20.25" customHeight="1">
      <c r="A398" s="6738"/>
      <c r="B398" s="6085"/>
      <c r="C398" s="6119"/>
      <c r="D398" s="6120"/>
      <c r="E398" s="6125" t="s">
        <v>583</v>
      </c>
      <c r="F398" s="6126"/>
      <c r="G398" s="6134"/>
      <c r="H398" s="6135" t="str">
        <f>IMAGE("https://raw.githubusercontent.com/msikma/pokesprite/master/misc/types/gen8/fighting.png",4,20,20)</f>
        <v/>
      </c>
      <c r="J398" s="6125" t="s">
        <v>928</v>
      </c>
      <c r="K398" s="6126"/>
      <c r="L398" s="6134"/>
      <c r="M398" s="6135" t="str">
        <f>IMAGE("https://raw.githubusercontent.com/msikma/pokesprite/master/misc/types/gen8/normal.png",4,20,20)</f>
        <v/>
      </c>
      <c r="O398" s="6125" t="s">
        <v>874</v>
      </c>
      <c r="P398" s="6126"/>
      <c r="Q398" s="6134"/>
      <c r="R398" s="6135" t="str">
        <f t="shared" ref="R398:R399" si="17">IMAGE("https://raw.githubusercontent.com/msikma/pokesprite/master/misc/types/gen8/ghost.png",4,20,20)</f>
        <v/>
      </c>
      <c r="T398" s="6125" t="s">
        <v>739</v>
      </c>
      <c r="U398" s="6126"/>
      <c r="V398" s="6134"/>
      <c r="W398" s="6135" t="str">
        <f>IMAGE("https://raw.githubusercontent.com/msikma/pokesprite/master/misc/types/gen8/steel.png",4,20,20)</f>
        <v/>
      </c>
      <c r="Y398" s="7074"/>
      <c r="Z398" s="6126"/>
      <c r="AA398" s="6126"/>
      <c r="AB398" s="6134"/>
      <c r="AC398" s="7076"/>
      <c r="AD398" s="7074"/>
      <c r="AE398" s="6126"/>
      <c r="AF398" s="6126"/>
      <c r="AG398" s="6134"/>
      <c r="AH398" s="6094"/>
      <c r="AI398" s="6747"/>
    </row>
    <row r="399" ht="20.25" customHeight="1">
      <c r="A399" s="6738"/>
      <c r="B399" s="6085"/>
      <c r="C399" s="6119"/>
      <c r="D399" s="6120"/>
      <c r="E399" s="6125" t="s">
        <v>812</v>
      </c>
      <c r="F399" s="6126"/>
      <c r="G399" s="6134"/>
      <c r="H399" s="6135" t="str">
        <f t="shared" ref="H399:H400" si="18">IMAGE("https://raw.githubusercontent.com/msikma/pokesprite/master/misc/types/gen8/dark.png",4,20,20)</f>
        <v/>
      </c>
      <c r="J399" s="6125" t="s">
        <v>1087</v>
      </c>
      <c r="K399" s="6126"/>
      <c r="L399" s="6134"/>
      <c r="M399" s="6135" t="str">
        <f>IMAGE("https://raw.githubusercontent.com/msikma/pokesprite/master/misc/types/gen8/dark.png",4,20,20)</f>
        <v/>
      </c>
      <c r="O399" s="6125" t="s">
        <v>875</v>
      </c>
      <c r="P399" s="6126"/>
      <c r="Q399" s="6134"/>
      <c r="R399" s="6135" t="str">
        <f t="shared" si="17"/>
        <v/>
      </c>
      <c r="T399" s="6125" t="s">
        <v>583</v>
      </c>
      <c r="U399" s="6126"/>
      <c r="V399" s="6134"/>
      <c r="W399" s="6135" t="str">
        <f>IMAGE("https://raw.githubusercontent.com/msikma/pokesprite/master/misc/types/gen8/fighting.png",4,20,20)</f>
        <v/>
      </c>
      <c r="Y399" s="7074"/>
      <c r="Z399" s="6126"/>
      <c r="AA399" s="6126"/>
      <c r="AB399" s="6134"/>
      <c r="AC399" s="7076"/>
      <c r="AD399" s="7074"/>
      <c r="AE399" s="6126"/>
      <c r="AF399" s="6126"/>
      <c r="AG399" s="6134"/>
      <c r="AH399" s="6094"/>
      <c r="AI399" s="6747"/>
    </row>
    <row r="400" ht="21.0" customHeight="1">
      <c r="A400" s="6738"/>
      <c r="B400" s="6085"/>
      <c r="C400" s="6119"/>
      <c r="D400" s="6120"/>
      <c r="E400" s="6136" t="s">
        <v>554</v>
      </c>
      <c r="F400" s="6137"/>
      <c r="G400" s="6138"/>
      <c r="H400" s="6139" t="str">
        <f t="shared" si="18"/>
        <v/>
      </c>
      <c r="I400" s="6140"/>
      <c r="J400" s="6136" t="s">
        <v>548</v>
      </c>
      <c r="K400" s="6137"/>
      <c r="L400" s="6138"/>
      <c r="M400" s="6139" t="str">
        <f>IMAGE("https://raw.githubusercontent.com/msikma/pokesprite/master/misc/types/gen8/fighting.png",4,20,20)</f>
        <v/>
      </c>
      <c r="N400" s="6140"/>
      <c r="O400" s="6136" t="s">
        <v>959</v>
      </c>
      <c r="P400" s="6137"/>
      <c r="Q400" s="6138"/>
      <c r="R400" s="6139" t="str">
        <f>IMAGE("https://raw.githubusercontent.com/msikma/pokesprite/master/misc/types/gen8/fairy.png",4,20,20)</f>
        <v/>
      </c>
      <c r="S400" s="6140"/>
      <c r="T400" s="6136" t="s">
        <v>1232</v>
      </c>
      <c r="U400" s="6137"/>
      <c r="V400" s="6138"/>
      <c r="W400" s="6139" t="str">
        <f>IMAGE("https://raw.githubusercontent.com/msikma/pokesprite/master/misc/types/gen8/dark.png",4,20,20)</f>
        <v/>
      </c>
      <c r="X400" s="6140"/>
      <c r="Y400" s="7074"/>
      <c r="Z400" s="6126"/>
      <c r="AA400" s="6126"/>
      <c r="AB400" s="6134"/>
      <c r="AC400" s="7077"/>
      <c r="AD400" s="7074"/>
      <c r="AE400" s="6126"/>
      <c r="AF400" s="6126"/>
      <c r="AG400" s="6134"/>
      <c r="AH400" s="6094"/>
      <c r="AI400" s="6747"/>
    </row>
    <row r="401" ht="3.0" customHeight="1">
      <c r="A401" s="6738"/>
      <c r="B401" s="6141"/>
      <c r="C401" s="6090"/>
      <c r="D401" s="6142"/>
      <c r="E401" s="6145"/>
      <c r="F401" s="6145"/>
      <c r="G401" s="6145"/>
      <c r="H401" s="6144"/>
      <c r="I401" s="6142"/>
      <c r="J401" s="6145"/>
      <c r="K401" s="6145"/>
      <c r="L401" s="6145"/>
      <c r="M401" s="6144"/>
      <c r="N401" s="6142"/>
      <c r="O401" s="6145"/>
      <c r="P401" s="6145"/>
      <c r="Q401" s="6145"/>
      <c r="R401" s="6144"/>
      <c r="S401" s="6142"/>
      <c r="T401" s="6145"/>
      <c r="U401" s="6145"/>
      <c r="V401" s="6145"/>
      <c r="W401" s="6144"/>
      <c r="X401" s="6142"/>
      <c r="Y401" s="7074"/>
      <c r="Z401" s="6126"/>
      <c r="AA401" s="6126"/>
      <c r="AB401" s="6134"/>
      <c r="AC401" s="6142"/>
      <c r="AD401" s="7074"/>
      <c r="AE401" s="6126"/>
      <c r="AF401" s="6126"/>
      <c r="AG401" s="6134"/>
      <c r="AH401" s="6146"/>
      <c r="AI401" s="6747"/>
    </row>
    <row r="402" ht="16.5" customHeight="1">
      <c r="A402" s="6738"/>
      <c r="B402" s="6089"/>
      <c r="C402" s="6090"/>
      <c r="D402" s="6178"/>
      <c r="E402" s="7078" t="s">
        <v>512</v>
      </c>
      <c r="F402" s="606"/>
      <c r="G402" s="606"/>
      <c r="H402" s="607"/>
      <c r="I402" s="6149"/>
      <c r="J402" s="7078" t="s">
        <v>512</v>
      </c>
      <c r="K402" s="606"/>
      <c r="L402" s="606"/>
      <c r="M402" s="607"/>
      <c r="N402" s="6149"/>
      <c r="O402" s="7078" t="s">
        <v>512</v>
      </c>
      <c r="P402" s="606"/>
      <c r="Q402" s="606"/>
      <c r="R402" s="607"/>
      <c r="S402" s="6149"/>
      <c r="T402" s="7078" t="s">
        <v>512</v>
      </c>
      <c r="U402" s="606"/>
      <c r="V402" s="606"/>
      <c r="W402" s="607"/>
      <c r="X402" s="6149"/>
      <c r="Y402" s="7074"/>
      <c r="Z402" s="6126"/>
      <c r="AA402" s="6126"/>
      <c r="AB402" s="6134"/>
      <c r="AC402" s="6149"/>
      <c r="AD402" s="7074"/>
      <c r="AE402" s="6126"/>
      <c r="AF402" s="6126"/>
      <c r="AG402" s="6134"/>
      <c r="AH402" s="6150"/>
      <c r="AI402" s="6747"/>
    </row>
    <row r="403" ht="16.5" customHeight="1">
      <c r="A403" s="6738"/>
      <c r="B403" s="6089"/>
      <c r="C403" s="6090"/>
      <c r="D403" s="6147"/>
      <c r="E403" s="7079" t="s">
        <v>513</v>
      </c>
      <c r="F403" s="7080">
        <f t="array" ref="F403">IFERROR(VLOOKUP(E390,Dex!$B$3:$N1219,8,FALSE),"")</f>
        <v>95</v>
      </c>
      <c r="G403" s="7081" t="str">
        <f t="array" ref="G403">IFERROR(VLOOKUP(F403,Dex!$P$22:$Q$276,2,FALSE),"")</f>
        <v/>
      </c>
      <c r="H403" s="7082"/>
      <c r="I403" s="6155"/>
      <c r="J403" s="7079" t="s">
        <v>513</v>
      </c>
      <c r="K403" s="7080">
        <f t="array" ref="K403">IFERROR(VLOOKUP(J390,Dex!$B$3:$N1219,8,FALSE),"")</f>
        <v>120</v>
      </c>
      <c r="L403" s="7081" t="str">
        <f t="array" ref="L403">IFERROR(VLOOKUP(K403,Dex!$P$22:$Q$276,2,FALSE),"")</f>
        <v/>
      </c>
      <c r="M403" s="7082"/>
      <c r="N403" s="6155"/>
      <c r="O403" s="7079" t="s">
        <v>513</v>
      </c>
      <c r="P403" s="7080">
        <f t="array" ref="P403">IFERROR(VLOOKUP(O390,Dex!$B$3:$N1219,8,FALSE),"")</f>
        <v>100</v>
      </c>
      <c r="Q403" s="7081" t="str">
        <f t="array" ref="Q403">IFERROR(VLOOKUP(P403,Dex!$P$22:$Q$276,2,FALSE),"")</f>
        <v/>
      </c>
      <c r="R403" s="7082"/>
      <c r="S403" s="6155"/>
      <c r="T403" s="7079" t="s">
        <v>513</v>
      </c>
      <c r="U403" s="7080">
        <f t="array" ref="U403">IFERROR(VLOOKUP(T390,Dex!$B$3:$N1219,8,FALSE),"")</f>
        <v>75</v>
      </c>
      <c r="V403" s="7081" t="str">
        <f t="array" ref="V403">IFERROR(VLOOKUP(U403,Dex!$P$22:$Q$276,2,FALSE),"")</f>
        <v/>
      </c>
      <c r="W403" s="7082"/>
      <c r="X403" s="6155"/>
      <c r="Y403" s="7074"/>
      <c r="Z403" s="6126"/>
      <c r="AA403" s="6126"/>
      <c r="AB403" s="6134"/>
      <c r="AC403" s="6155"/>
      <c r="AD403" s="7074"/>
      <c r="AE403" s="6126"/>
      <c r="AF403" s="6126"/>
      <c r="AG403" s="6134"/>
      <c r="AH403" s="6150"/>
      <c r="AI403" s="6747"/>
    </row>
    <row r="404" ht="16.5" customHeight="1">
      <c r="A404" s="6738"/>
      <c r="B404" s="6089"/>
      <c r="C404" s="6090"/>
      <c r="D404" s="6147"/>
      <c r="E404" s="7083" t="s">
        <v>514</v>
      </c>
      <c r="F404" s="7084">
        <f t="array" ref="F404">IFERROR(VLOOKUP(E390,Dex!$B$3:$N1219,9,FALSE),"")</f>
        <v>124</v>
      </c>
      <c r="G404" s="7085" t="str">
        <f t="array" ref="G404">IFERROR(VLOOKUP(F404,Dex!$P$22:$Q$276,2,FALSE),"")</f>
        <v/>
      </c>
      <c r="H404" s="7086"/>
      <c r="I404" s="6155"/>
      <c r="J404" s="7083" t="s">
        <v>514</v>
      </c>
      <c r="K404" s="7084">
        <f t="array" ref="K404">IFERROR(VLOOKUP(J390,Dex!$B$3:$N1219,9,FALSE),"")</f>
        <v>125</v>
      </c>
      <c r="L404" s="7085" t="str">
        <f t="array" ref="L404">IFERROR(VLOOKUP(K404,Dex!$P$22:$Q$276,2,FALSE),"")</f>
        <v/>
      </c>
      <c r="M404" s="7086"/>
      <c r="N404" s="6155"/>
      <c r="O404" s="7083" t="s">
        <v>514</v>
      </c>
      <c r="P404" s="7084">
        <f t="array" ref="P404">IFERROR(VLOOKUP(O390,Dex!$B$3:$N1219,9,FALSE),"")</f>
        <v>110</v>
      </c>
      <c r="Q404" s="7085" t="str">
        <f t="array" ref="Q404">IFERROR(VLOOKUP(P404,Dex!$P$22:$Q$276,2,FALSE),"")</f>
        <v/>
      </c>
      <c r="R404" s="7086"/>
      <c r="S404" s="6155"/>
      <c r="T404" s="7083" t="s">
        <v>514</v>
      </c>
      <c r="U404" s="7084">
        <f t="array" ref="U404">IFERROR(VLOOKUP(T390,Dex!$B$3:$N1219,9,FALSE),"")</f>
        <v>100</v>
      </c>
      <c r="V404" s="7085" t="str">
        <f t="array" ref="V404">IFERROR(VLOOKUP(U404,Dex!$P$22:$Q$276,2,FALSE),"")</f>
        <v/>
      </c>
      <c r="W404" s="7086"/>
      <c r="X404" s="6155"/>
      <c r="Y404" s="7074"/>
      <c r="Z404" s="6126"/>
      <c r="AA404" s="6126"/>
      <c r="AB404" s="6134"/>
      <c r="AC404" s="6155"/>
      <c r="AD404" s="7074"/>
      <c r="AE404" s="6126"/>
      <c r="AF404" s="6126"/>
      <c r="AG404" s="6134"/>
      <c r="AH404" s="6150"/>
      <c r="AI404" s="6747"/>
    </row>
    <row r="405" ht="16.5" customHeight="1">
      <c r="A405" s="6738"/>
      <c r="B405" s="6089"/>
      <c r="C405" s="6090"/>
      <c r="D405" s="6147"/>
      <c r="E405" s="7083" t="s">
        <v>515</v>
      </c>
      <c r="F405" s="7084">
        <f t="array" ref="F405">IFERROR(VLOOKUP(E390,Dex!$B$3:$N1219,10,FALSE),"")</f>
        <v>78</v>
      </c>
      <c r="G405" s="7085" t="str">
        <f t="array" ref="G405">IFERROR(VLOOKUP(F405,Dex!$P$22:$Q$276,2,FALSE),"")</f>
        <v/>
      </c>
      <c r="H405" s="7086"/>
      <c r="I405" s="6155"/>
      <c r="J405" s="7083" t="s">
        <v>515</v>
      </c>
      <c r="K405" s="7084">
        <f t="array" ref="K405">IFERROR(VLOOKUP(J390,Dex!$B$3:$N1219,10,FALSE),"")</f>
        <v>80</v>
      </c>
      <c r="L405" s="7085" t="str">
        <f t="array" ref="L405">IFERROR(VLOOKUP(K405,Dex!$P$22:$Q$276,2,FALSE),"")</f>
        <v/>
      </c>
      <c r="M405" s="7086"/>
      <c r="N405" s="6155"/>
      <c r="O405" s="7083" t="s">
        <v>515</v>
      </c>
      <c r="P405" s="7084">
        <f t="array" ref="P405">IFERROR(VLOOKUP(O390,Dex!$B$3:$N1219,10,FALSE),"")</f>
        <v>90</v>
      </c>
      <c r="Q405" s="7085" t="str">
        <f t="array" ref="Q405">IFERROR(VLOOKUP(P405,Dex!$P$22:$Q$276,2,FALSE),"")</f>
        <v/>
      </c>
      <c r="R405" s="7086"/>
      <c r="S405" s="6155"/>
      <c r="T405" s="7083" t="s">
        <v>515</v>
      </c>
      <c r="U405" s="7084">
        <f t="array" ref="U405">IFERROR(VLOOKUP(T390,Dex!$B$3:$N1219,10,FALSE),"")</f>
        <v>95</v>
      </c>
      <c r="V405" s="7085" t="str">
        <f t="array" ref="V405">IFERROR(VLOOKUP(U405,Dex!$P$22:$Q$276,2,FALSE),"")</f>
        <v/>
      </c>
      <c r="W405" s="7086"/>
      <c r="X405" s="6155"/>
      <c r="Y405" s="7074"/>
      <c r="Z405" s="6126"/>
      <c r="AA405" s="6126"/>
      <c r="AB405" s="6134"/>
      <c r="AC405" s="6155"/>
      <c r="AD405" s="7074"/>
      <c r="AE405" s="6126"/>
      <c r="AF405" s="6126"/>
      <c r="AG405" s="6134"/>
      <c r="AH405" s="6150"/>
      <c r="AI405" s="6747"/>
    </row>
    <row r="406" ht="16.5" customHeight="1">
      <c r="A406" s="6738"/>
      <c r="B406" s="6089"/>
      <c r="C406" s="6090"/>
      <c r="D406" s="6147"/>
      <c r="E406" s="7083" t="s">
        <v>516</v>
      </c>
      <c r="F406" s="7084">
        <f t="array" ref="F406">IFERROR(VLOOKUP(E390,Dex!$B$3:$N1219,11,FALSE),"")</f>
        <v>69</v>
      </c>
      <c r="G406" s="7085" t="str">
        <f t="array" ref="G406">IFERROR(VLOOKUP(F406,Dex!$P$22:$Q$276,2,FALSE),"")</f>
        <v/>
      </c>
      <c r="H406" s="7086"/>
      <c r="I406" s="6155"/>
      <c r="J406" s="7083" t="s">
        <v>516</v>
      </c>
      <c r="K406" s="7084">
        <f t="array" ref="K406">IFERROR(VLOOKUP(J390,Dex!$B$3:$N1219,11,FALSE),"")</f>
        <v>55</v>
      </c>
      <c r="L406" s="7085" t="str">
        <f t="array" ref="L406">IFERROR(VLOOKUP(K406,Dex!$P$22:$Q$276,2,FALSE),"")</f>
        <v/>
      </c>
      <c r="M406" s="7086"/>
      <c r="N406" s="6155"/>
      <c r="O406" s="7083" t="s">
        <v>516</v>
      </c>
      <c r="P406" s="7084">
        <f t="array" ref="P406">IFERROR(VLOOKUP(O390,Dex!$B$3:$N1219,11,FALSE),"")</f>
        <v>55</v>
      </c>
      <c r="Q406" s="7085" t="str">
        <f t="array" ref="Q406">IFERROR(VLOOKUP(P406,Dex!$P$22:$Q$276,2,FALSE),"")</f>
        <v/>
      </c>
      <c r="R406" s="7086"/>
      <c r="S406" s="6155"/>
      <c r="T406" s="7083" t="s">
        <v>516</v>
      </c>
      <c r="U406" s="7084">
        <f t="array" ref="U406">IFERROR(VLOOKUP(T390,Dex!$B$3:$N1219,11,FALSE),"")</f>
        <v>70</v>
      </c>
      <c r="V406" s="7085" t="str">
        <f t="array" ref="V406">IFERROR(VLOOKUP(U406,Dex!$P$22:$Q$276,2,FALSE),"")</f>
        <v/>
      </c>
      <c r="W406" s="7086"/>
      <c r="X406" s="6155"/>
      <c r="Y406" s="7074"/>
      <c r="Z406" s="6126"/>
      <c r="AA406" s="6126"/>
      <c r="AB406" s="6134"/>
      <c r="AC406" s="6155"/>
      <c r="AD406" s="7074"/>
      <c r="AE406" s="6126"/>
      <c r="AF406" s="6126"/>
      <c r="AG406" s="6134"/>
      <c r="AH406" s="6150"/>
      <c r="AI406" s="6747"/>
    </row>
    <row r="407" ht="16.5" customHeight="1">
      <c r="A407" s="6738"/>
      <c r="B407" s="6089"/>
      <c r="C407" s="6160"/>
      <c r="D407" s="6147"/>
      <c r="E407" s="7083" t="s">
        <v>517</v>
      </c>
      <c r="F407" s="7084">
        <f t="array" ref="F407">IFERROR(VLOOKUP(E390,Dex!$B$3:$N1219,12,FALSE),"")</f>
        <v>71</v>
      </c>
      <c r="G407" s="7085" t="str">
        <f t="array" ref="G407">IFERROR(VLOOKUP(F407,Dex!$P$22:$Q$276,2,FALSE),"")</f>
        <v/>
      </c>
      <c r="H407" s="7086"/>
      <c r="I407" s="6155"/>
      <c r="J407" s="7083" t="s">
        <v>517</v>
      </c>
      <c r="K407" s="7084">
        <f t="array" ref="K407">IFERROR(VLOOKUP(J390,Dex!$B$3:$N1219,12,FALSE),"")</f>
        <v>60</v>
      </c>
      <c r="L407" s="7085" t="str">
        <f t="array" ref="L407">IFERROR(VLOOKUP(K407,Dex!$P$22:$Q$276,2,FALSE),"")</f>
        <v/>
      </c>
      <c r="M407" s="7086"/>
      <c r="N407" s="6155"/>
      <c r="O407" s="7083" t="s">
        <v>517</v>
      </c>
      <c r="P407" s="7084">
        <f t="array" ref="P407">IFERROR(VLOOKUP(O390,Dex!$B$3:$N1219,12,FALSE),"")</f>
        <v>90</v>
      </c>
      <c r="Q407" s="7085" t="str">
        <f t="array" ref="Q407">IFERROR(VLOOKUP(P407,Dex!$P$22:$Q$276,2,FALSE),"")</f>
        <v/>
      </c>
      <c r="R407" s="7086"/>
      <c r="S407" s="6155"/>
      <c r="T407" s="7083" t="s">
        <v>517</v>
      </c>
      <c r="U407" s="7084">
        <f t="array" ref="U407">IFERROR(VLOOKUP(T390,Dex!$B$3:$N1219,12,FALSE),"")</f>
        <v>70</v>
      </c>
      <c r="V407" s="7085" t="str">
        <f t="array" ref="V407">IFERROR(VLOOKUP(U407,Dex!$P$22:$Q$276,2,FALSE),"")</f>
        <v/>
      </c>
      <c r="W407" s="7086"/>
      <c r="X407" s="6155"/>
      <c r="Y407" s="7074"/>
      <c r="Z407" s="6126"/>
      <c r="AA407" s="6126"/>
      <c r="AB407" s="6134"/>
      <c r="AC407" s="6155"/>
      <c r="AD407" s="7074"/>
      <c r="AE407" s="6126"/>
      <c r="AF407" s="6126"/>
      <c r="AG407" s="6134"/>
      <c r="AH407" s="6150"/>
      <c r="AI407" s="6747"/>
    </row>
    <row r="408" ht="16.5" customHeight="1">
      <c r="A408" s="6738"/>
      <c r="B408" s="6089"/>
      <c r="C408" s="6090"/>
      <c r="D408" s="6161"/>
      <c r="E408" s="7087" t="s">
        <v>518</v>
      </c>
      <c r="F408" s="7088">
        <f t="array" ref="F408">IFERROR(VLOOKUP(E390,Dex!$B$3:$N1219,13,FALSE),"")</f>
        <v>58</v>
      </c>
      <c r="G408" s="7085" t="str">
        <f t="array" ref="G408">IFERROR(VLOOKUP(F408,Dex!$P$22:$Q$276,2,FALSE),"")</f>
        <v/>
      </c>
      <c r="H408" s="7086"/>
      <c r="I408" s="6155"/>
      <c r="J408" s="7087" t="s">
        <v>518</v>
      </c>
      <c r="K408" s="7088">
        <f t="array" ref="K408">IFERROR(VLOOKUP(J390,Dex!$B$3:$N1219,13,FALSE),"")</f>
        <v>60</v>
      </c>
      <c r="L408" s="7085" t="str">
        <f t="array" ref="L408">IFERROR(VLOOKUP(K408,Dex!$P$22:$Q$276,2,FALSE),"")</f>
        <v/>
      </c>
      <c r="M408" s="7086"/>
      <c r="N408" s="6155"/>
      <c r="O408" s="7087" t="s">
        <v>518</v>
      </c>
      <c r="P408" s="7088">
        <f t="array" ref="P408">IFERROR(VLOOKUP(O390,Dex!$B$3:$N1219,13,FALSE),"")</f>
        <v>55</v>
      </c>
      <c r="Q408" s="7085" t="str">
        <f t="array" ref="Q408">IFERROR(VLOOKUP(P408,Dex!$P$22:$Q$276,2,FALSE),"")</f>
        <v/>
      </c>
      <c r="R408" s="7086"/>
      <c r="S408" s="6155"/>
      <c r="T408" s="7087" t="s">
        <v>518</v>
      </c>
      <c r="U408" s="7088">
        <f t="array" ref="U408">IFERROR(VLOOKUP(T390,Dex!$B$3:$N1219,13,FALSE),"")</f>
        <v>110</v>
      </c>
      <c r="V408" s="7085" t="str">
        <f t="array" ref="V408">IFERROR(VLOOKUP(U408,Dex!$P$22:$Q$276,2,FALSE),"")</f>
        <v/>
      </c>
      <c r="W408" s="7086"/>
      <c r="X408" s="6155"/>
      <c r="Y408" s="7074"/>
      <c r="Z408" s="6126"/>
      <c r="AA408" s="6126"/>
      <c r="AB408" s="6134"/>
      <c r="AC408" s="6155"/>
      <c r="AD408" s="7074"/>
      <c r="AE408" s="6126"/>
      <c r="AF408" s="6126"/>
      <c r="AG408" s="6134"/>
      <c r="AH408" s="6150"/>
      <c r="AI408" s="6747"/>
    </row>
    <row r="409" ht="16.5" customHeight="1">
      <c r="A409" s="6738"/>
      <c r="B409" s="6089"/>
      <c r="C409" s="6090"/>
      <c r="D409" s="6180"/>
      <c r="E409" s="7089" t="s">
        <v>519</v>
      </c>
      <c r="F409" s="630"/>
      <c r="G409" s="631"/>
      <c r="H409" s="7090">
        <v>152.0</v>
      </c>
      <c r="I409" s="6149"/>
      <c r="J409" s="7089" t="s">
        <v>519</v>
      </c>
      <c r="K409" s="630"/>
      <c r="L409" s="631"/>
      <c r="M409" s="7090">
        <v>156.0</v>
      </c>
      <c r="N409" s="6149"/>
      <c r="O409" s="7089" t="s">
        <v>519</v>
      </c>
      <c r="P409" s="630"/>
      <c r="Q409" s="631"/>
      <c r="R409" s="7090">
        <v>146.0</v>
      </c>
      <c r="S409" s="6149"/>
      <c r="T409" s="7089" t="s">
        <v>519</v>
      </c>
      <c r="U409" s="630"/>
      <c r="V409" s="631"/>
      <c r="W409" s="7090">
        <v>281.0</v>
      </c>
      <c r="X409" s="6149"/>
      <c r="Y409" s="7074"/>
      <c r="Z409" s="6126"/>
      <c r="AA409" s="6126"/>
      <c r="AB409" s="6134"/>
      <c r="AC409" s="6149"/>
      <c r="AD409" s="7074"/>
      <c r="AE409" s="6126"/>
      <c r="AF409" s="6126"/>
      <c r="AG409" s="6134"/>
      <c r="AH409" s="6150"/>
      <c r="AI409" s="6747"/>
    </row>
    <row r="410" ht="15.0" customHeight="1">
      <c r="A410" s="6738"/>
      <c r="B410" s="7091"/>
      <c r="C410" s="6182"/>
      <c r="D410" s="6182"/>
      <c r="E410" s="6182"/>
      <c r="F410" s="6182"/>
      <c r="G410" s="6182"/>
      <c r="H410" s="6182"/>
      <c r="I410" s="6182"/>
      <c r="J410" s="6182"/>
      <c r="K410" s="6182"/>
      <c r="L410" s="6182"/>
      <c r="M410" s="6182"/>
      <c r="N410" s="6182"/>
      <c r="O410" s="7092"/>
      <c r="P410" s="7092"/>
      <c r="Q410" s="7092"/>
      <c r="R410" s="6182"/>
      <c r="S410" s="6182"/>
      <c r="T410" s="6184"/>
      <c r="U410" s="6184"/>
      <c r="V410" s="6184"/>
      <c r="W410" s="6182"/>
      <c r="X410" s="6182"/>
      <c r="Y410" s="6184"/>
      <c r="Z410" s="6184"/>
      <c r="AA410" s="6184"/>
      <c r="AB410" s="6182"/>
      <c r="AC410" s="6182"/>
      <c r="AD410" s="6182"/>
      <c r="AE410" s="6182"/>
      <c r="AF410" s="6182"/>
      <c r="AG410" s="6182"/>
      <c r="AH410" s="7093"/>
      <c r="AI410" s="6747"/>
    </row>
    <row r="411" ht="15.0" customHeight="1">
      <c r="A411" s="6738"/>
      <c r="B411" s="3995"/>
      <c r="C411" s="3996"/>
      <c r="D411" s="3996"/>
      <c r="E411" s="4099"/>
      <c r="F411" s="4099"/>
      <c r="G411" s="4099"/>
      <c r="H411" s="4099"/>
      <c r="I411" s="3996"/>
      <c r="J411" s="4099"/>
      <c r="K411" s="4099"/>
      <c r="L411" s="4099"/>
      <c r="M411" s="4099"/>
      <c r="N411" s="3996"/>
      <c r="O411" s="4099"/>
      <c r="P411" s="4099"/>
      <c r="Q411" s="4099"/>
      <c r="R411" s="4099"/>
      <c r="S411" s="3996"/>
      <c r="T411" s="4099"/>
      <c r="U411" s="4099"/>
      <c r="V411" s="4099"/>
      <c r="W411" s="4099"/>
      <c r="X411" s="3996"/>
      <c r="Y411" s="4099"/>
      <c r="Z411" s="4099"/>
      <c r="AA411" s="4099"/>
      <c r="AB411" s="4099"/>
      <c r="AC411" s="3996"/>
      <c r="AD411" s="3996"/>
      <c r="AE411" s="3996"/>
      <c r="AF411" s="3996"/>
      <c r="AG411" s="3996"/>
      <c r="AH411" s="3997"/>
      <c r="AI411" s="6747"/>
    </row>
    <row r="412" ht="96.75" customHeight="1">
      <c r="A412" s="6738"/>
      <c r="B412" s="3998"/>
      <c r="C412" s="3999" t="str">
        <f>IMAGE("https://i.ibb.co/n7Pn1gb/Camper.png")</f>
        <v/>
      </c>
      <c r="D412" s="4102"/>
      <c r="E412" s="4001" t="str">
        <f t="array" ref="E412">IFERROR(VLOOKUP(E413,Dex!$B$3:$G1219,3,FALSE),"")</f>
        <v/>
      </c>
      <c r="F412" s="1945"/>
      <c r="G412" s="1945"/>
      <c r="H412" s="1946"/>
      <c r="I412" s="4103"/>
      <c r="J412" s="4001" t="str">
        <f t="array" ref="J412">IFERROR(VLOOKUP(J413,Dex!$B$3:$G1219,3,FALSE),"")</f>
        <v/>
      </c>
      <c r="K412" s="1945"/>
      <c r="L412" s="1945"/>
      <c r="M412" s="1946"/>
      <c r="N412" s="4103"/>
      <c r="O412" s="4001" t="str">
        <f t="array" ref="O412">IFERROR(VLOOKUP(O413,Dex!$B$3:$G1219,3,FALSE),"")</f>
        <v/>
      </c>
      <c r="P412" s="1945"/>
      <c r="Q412" s="1945"/>
      <c r="R412" s="1946"/>
      <c r="S412" s="4104"/>
      <c r="T412" s="4001" t="str">
        <f t="array" ref="T412">IFERROR(VLOOKUP(T413,Dex!$B$3:$G1219,3,FALSE),"")</f>
        <v/>
      </c>
      <c r="U412" s="1945"/>
      <c r="V412" s="1945"/>
      <c r="W412" s="1946"/>
      <c r="X412" s="4104"/>
      <c r="Y412" s="4001" t="str">
        <f t="array" ref="Y412">IFERROR(VLOOKUP(Y413,Dex!$B$3:$G1219,3,FALSE),"")</f>
        <v/>
      </c>
      <c r="Z412" s="1945"/>
      <c r="AA412" s="1945"/>
      <c r="AB412" s="1946"/>
      <c r="AC412" s="4105"/>
      <c r="AD412" s="4004"/>
      <c r="AE412" s="4005"/>
      <c r="AF412" s="4005"/>
      <c r="AG412" s="4006"/>
      <c r="AH412" s="4007"/>
      <c r="AI412" s="6747"/>
    </row>
    <row r="413" ht="18.75" customHeight="1">
      <c r="A413" s="6738"/>
      <c r="B413" s="4008"/>
      <c r="C413" s="4009" t="s">
        <v>2065</v>
      </c>
      <c r="D413" s="4106"/>
      <c r="E413" s="4011" t="s">
        <v>1643</v>
      </c>
      <c r="F413" s="4012"/>
      <c r="G413" s="4012"/>
      <c r="H413" s="4013"/>
      <c r="J413" s="4011" t="s">
        <v>1970</v>
      </c>
      <c r="K413" s="4012"/>
      <c r="L413" s="4012"/>
      <c r="M413" s="4013"/>
      <c r="O413" s="4011" t="s">
        <v>2066</v>
      </c>
      <c r="P413" s="4012"/>
      <c r="Q413" s="4012"/>
      <c r="R413" s="4013"/>
      <c r="T413" s="4011" t="s">
        <v>950</v>
      </c>
      <c r="U413" s="4012"/>
      <c r="V413" s="4012"/>
      <c r="W413" s="4013"/>
      <c r="Y413" s="4011" t="s">
        <v>1328</v>
      </c>
      <c r="Z413" s="4012"/>
      <c r="AA413" s="4012"/>
      <c r="AB413" s="4013"/>
      <c r="AC413" s="4107"/>
      <c r="AD413" s="4015"/>
      <c r="AE413" s="4005"/>
      <c r="AF413" s="4005"/>
      <c r="AG413" s="4006"/>
      <c r="AH413" s="4016"/>
      <c r="AI413" s="6747"/>
    </row>
    <row r="414">
      <c r="A414" s="6738"/>
      <c r="B414" s="4017"/>
      <c r="C414" s="1638"/>
      <c r="D414" s="4108"/>
      <c r="E414" s="4019" t="s">
        <v>967</v>
      </c>
      <c r="F414" s="4020"/>
      <c r="G414" s="4020"/>
      <c r="H414" s="4021"/>
      <c r="J414" s="4019" t="s">
        <v>796</v>
      </c>
      <c r="K414" s="4020"/>
      <c r="L414" s="4020"/>
      <c r="M414" s="4021"/>
      <c r="O414" s="4019" t="s">
        <v>729</v>
      </c>
      <c r="P414" s="4020"/>
      <c r="Q414" s="4020"/>
      <c r="R414" s="4021"/>
      <c r="T414" s="4019" t="s">
        <v>729</v>
      </c>
      <c r="U414" s="4020"/>
      <c r="V414" s="4020"/>
      <c r="W414" s="4021"/>
      <c r="Y414" s="4019" t="s">
        <v>967</v>
      </c>
      <c r="Z414" s="4020"/>
      <c r="AA414" s="4020"/>
      <c r="AB414" s="4021"/>
      <c r="AC414" s="4107"/>
      <c r="AD414" s="4022"/>
      <c r="AE414" s="4005"/>
      <c r="AF414" s="4005"/>
      <c r="AG414" s="4006"/>
      <c r="AH414" s="4023"/>
      <c r="AI414" s="6747"/>
    </row>
    <row r="415" ht="25.5" customHeight="1">
      <c r="A415" s="6738"/>
      <c r="B415" s="3998"/>
      <c r="C415" s="1646"/>
      <c r="D415" s="4024"/>
      <c r="E415" s="4025"/>
      <c r="F415" s="4029" t="str">
        <f t="array" ref="F415">IFERROR(VLOOKUP(E413,Dex!$B$3:$H1219,5,FALSE),"")</f>
        <v/>
      </c>
      <c r="G415" s="4030" t="str">
        <f t="array" ref="G415">IFERROR(VLOOKUP(E413,Dex!$B$3:$H1219,7,FALSE),"")</f>
        <v/>
      </c>
      <c r="H415" s="4028"/>
      <c r="J415" s="4025"/>
      <c r="K415" s="4026" t="str">
        <f t="array" ref="K415">IFERROR(VLOOKUP(J413,Dex!$B$3:$H1219,5,FALSE),"")</f>
        <v/>
      </c>
      <c r="L415" s="4027"/>
      <c r="M415" s="4028"/>
      <c r="O415" s="4025"/>
      <c r="P415" s="4029" t="str">
        <f t="array" ref="P415">IFERROR(VLOOKUP(O413,Dex!$B$3:$H1219,5,FALSE),"")</f>
        <v/>
      </c>
      <c r="Q415" s="4030" t="str">
        <f t="array" ref="Q415">IFERROR(VLOOKUP(O413,Dex!$B$3:$H1219,7,FALSE),"")</f>
        <v/>
      </c>
      <c r="R415" s="4028"/>
      <c r="T415" s="4025"/>
      <c r="U415" s="4029" t="str">
        <f t="array" ref="U415">IFERROR(VLOOKUP(T413,Dex!$B$3:$H1219,5,FALSE),"")</f>
        <v/>
      </c>
      <c r="V415" s="4030" t="str">
        <f t="array" ref="V415">IFERROR(VLOOKUP(T413,Dex!$B$3:$H1219,7,FALSE),"")</f>
        <v/>
      </c>
      <c r="W415" s="4028"/>
      <c r="Y415" s="4025"/>
      <c r="Z415" s="4029" t="str">
        <f t="array" ref="Z415">IFERROR(VLOOKUP(Y413,Dex!$B$3:$H1219,5,FALSE),"")</f>
        <v/>
      </c>
      <c r="AA415" s="4030" t="str">
        <f t="array" ref="AA415">IFERROR(VLOOKUP(Y413,Dex!$B$3:$H1219,7,FALSE),"")</f>
        <v/>
      </c>
      <c r="AB415" s="4028"/>
      <c r="AC415" s="4107"/>
      <c r="AD415" s="4004"/>
      <c r="AE415" s="4005"/>
      <c r="AF415" s="4005"/>
      <c r="AG415" s="4006"/>
      <c r="AH415" s="4007"/>
      <c r="AI415" s="6747"/>
    </row>
    <row r="416" ht="2.25" customHeight="1">
      <c r="A416" s="6738"/>
      <c r="B416" s="3998"/>
      <c r="C416" s="4031"/>
      <c r="D416" s="4024"/>
      <c r="E416" s="4032"/>
      <c r="F416" s="4033"/>
      <c r="G416" s="4033"/>
      <c r="H416" s="4034"/>
      <c r="J416" s="4032"/>
      <c r="K416" s="4033"/>
      <c r="L416" s="4033"/>
      <c r="M416" s="4034"/>
      <c r="O416" s="4032"/>
      <c r="P416" s="4033"/>
      <c r="Q416" s="4033"/>
      <c r="R416" s="4034"/>
      <c r="T416" s="4032"/>
      <c r="U416" s="4033"/>
      <c r="V416" s="4033"/>
      <c r="W416" s="4034"/>
      <c r="Y416" s="4032"/>
      <c r="Z416" s="4033"/>
      <c r="AA416" s="4033"/>
      <c r="AB416" s="4034"/>
      <c r="AC416" s="4107"/>
      <c r="AD416" s="4024"/>
      <c r="AE416" s="4024"/>
      <c r="AF416" s="4024"/>
      <c r="AG416" s="4024"/>
      <c r="AH416" s="4007"/>
      <c r="AI416" s="6747"/>
    </row>
    <row r="417" ht="20.25" customHeight="1">
      <c r="A417" s="6738"/>
      <c r="B417" s="3998"/>
      <c r="C417" s="4031"/>
      <c r="D417" s="4004"/>
      <c r="E417" s="4035" t="s">
        <v>532</v>
      </c>
      <c r="F417" s="4036"/>
      <c r="G417" s="4036"/>
      <c r="H417" s="4037"/>
      <c r="J417" s="4035" t="s">
        <v>565</v>
      </c>
      <c r="K417" s="4036"/>
      <c r="L417" s="4036"/>
      <c r="M417" s="4037"/>
      <c r="O417" s="4035" t="s">
        <v>564</v>
      </c>
      <c r="P417" s="4036"/>
      <c r="Q417" s="4036"/>
      <c r="R417" s="4037"/>
      <c r="T417" s="4035" t="s">
        <v>532</v>
      </c>
      <c r="U417" s="4036"/>
      <c r="V417" s="4036"/>
      <c r="W417" s="4037"/>
      <c r="Y417" s="4035" t="s">
        <v>564</v>
      </c>
      <c r="Z417" s="4036"/>
      <c r="AA417" s="4036"/>
      <c r="AB417" s="4037"/>
      <c r="AC417" s="4107"/>
      <c r="AD417" s="4004"/>
      <c r="AE417" s="4005"/>
      <c r="AF417" s="4005"/>
      <c r="AG417" s="4006"/>
      <c r="AH417" s="4007"/>
      <c r="AI417" s="6747"/>
    </row>
    <row r="418" ht="20.25" customHeight="1">
      <c r="A418" s="6738"/>
      <c r="B418" s="3998"/>
      <c r="C418" s="4038"/>
      <c r="D418" s="4004"/>
      <c r="E418" s="4039" t="s">
        <v>91</v>
      </c>
      <c r="F418" s="4005"/>
      <c r="G418" s="4005"/>
      <c r="H418" s="4040"/>
      <c r="J418" s="4039" t="s">
        <v>826</v>
      </c>
      <c r="K418" s="4005"/>
      <c r="L418" s="4005"/>
      <c r="M418" s="4040"/>
      <c r="O418" s="7094" t="s">
        <v>2067</v>
      </c>
      <c r="P418" s="4005"/>
      <c r="Q418" s="4005"/>
      <c r="R418" s="4040"/>
      <c r="T418" s="4039" t="s">
        <v>1246</v>
      </c>
      <c r="U418" s="4005"/>
      <c r="V418" s="4005"/>
      <c r="W418" s="4040"/>
      <c r="Y418" s="4039" t="s">
        <v>76</v>
      </c>
      <c r="Z418" s="4005"/>
      <c r="AA418" s="4005"/>
      <c r="AB418" s="4040"/>
      <c r="AC418" s="4107"/>
      <c r="AD418" s="4004"/>
      <c r="AE418" s="4005"/>
      <c r="AF418" s="4005"/>
      <c r="AG418" s="4006"/>
      <c r="AH418" s="4007"/>
      <c r="AI418" s="6747"/>
    </row>
    <row r="419" ht="20.25" customHeight="1">
      <c r="A419" s="6738"/>
      <c r="B419" s="3998"/>
      <c r="C419" s="4014"/>
      <c r="D419" s="4004"/>
      <c r="E419" s="4041" t="s">
        <v>573</v>
      </c>
      <c r="F419" s="4042"/>
      <c r="G419" s="4043"/>
      <c r="H419" s="4044" t="str">
        <f>IMAGE("https://raw.githubusercontent.com/msikma/pokesprite/master/items/hold-item/focus-sash.png",3)</f>
        <v/>
      </c>
      <c r="J419" s="4041" t="s">
        <v>540</v>
      </c>
      <c r="K419" s="4042"/>
      <c r="L419" s="4043"/>
      <c r="M419" s="4044" t="str">
        <f>IMAGE("https://raw.githubusercontent.com/msikma/pokesprite/master/items/hold-item/mystic-water.png",3)</f>
        <v/>
      </c>
      <c r="O419" s="4041" t="s">
        <v>2068</v>
      </c>
      <c r="P419" s="4042"/>
      <c r="Q419" s="4043"/>
      <c r="R419" s="4044" t="str">
        <f>IMAGE("https://raw.githubusercontent.com/msikma/pokesprite/master/items/mega-stone/kangaskhanite.png",3)</f>
        <v/>
      </c>
      <c r="T419" s="4041" t="s">
        <v>829</v>
      </c>
      <c r="U419" s="4042"/>
      <c r="V419" s="4043"/>
      <c r="W419" s="4044" t="str">
        <f>IMAGE("https://raw.githubusercontent.com/msikma/pokesprite/master/items/hold-item/magnet.png",3)</f>
        <v/>
      </c>
      <c r="Y419" s="4041" t="s">
        <v>541</v>
      </c>
      <c r="Z419" s="4042"/>
      <c r="AA419" s="4043"/>
      <c r="AB419" s="4044" t="str">
        <f>IMAGE("https://raw.githubusercontent.com/msikma/pokesprite/master/items/hold-item/life-orb.png",3)</f>
        <v/>
      </c>
      <c r="AC419" s="4107"/>
      <c r="AD419" s="4004"/>
      <c r="AE419" s="4005"/>
      <c r="AF419" s="4005"/>
      <c r="AG419" s="4006"/>
      <c r="AH419" s="4007"/>
      <c r="AI419" s="6747"/>
    </row>
    <row r="420" ht="20.25" customHeight="1">
      <c r="A420" s="6738"/>
      <c r="B420" s="3998"/>
      <c r="C420" s="4045"/>
      <c r="D420" s="4004"/>
      <c r="E420" s="4035" t="s">
        <v>554</v>
      </c>
      <c r="F420" s="4036"/>
      <c r="G420" s="4046"/>
      <c r="H420" s="4047" t="str">
        <f>IMAGE("https://raw.githubusercontent.com/msikma/pokesprite/master/misc/types/gen8/dark.png",4,20,20)</f>
        <v/>
      </c>
      <c r="J420" s="4035" t="s">
        <v>777</v>
      </c>
      <c r="K420" s="4036"/>
      <c r="L420" s="4046"/>
      <c r="M420" s="4047" t="str">
        <f>IMAGE("https://raw.githubusercontent.com/msikma/pokesprite/master/misc/types/gen8/normal.png",4,20,20)</f>
        <v/>
      </c>
      <c r="O420" s="4035" t="s">
        <v>846</v>
      </c>
      <c r="P420" s="4036"/>
      <c r="Q420" s="4046"/>
      <c r="R420" s="4047" t="str">
        <f>IMAGE("https://raw.githubusercontent.com/msikma/pokesprite/master/misc/types/gen8/bug.png",4,20,20)</f>
        <v/>
      </c>
      <c r="T420" s="4035" t="s">
        <v>547</v>
      </c>
      <c r="U420" s="4036"/>
      <c r="V420" s="4046"/>
      <c r="W420" s="4047" t="str">
        <f>IMAGE("https://raw.githubusercontent.com/msikma/pokesprite/master/misc/types/gen8/electric.png",4,20,20)</f>
        <v/>
      </c>
      <c r="Y420" s="4035" t="s">
        <v>1710</v>
      </c>
      <c r="Z420" s="4036"/>
      <c r="AA420" s="4046"/>
      <c r="AB420" s="4047" t="str">
        <f>IMAGE("https://raw.githubusercontent.com/msikma/pokesprite/master/misc/types/gen8/fire.png",4,20,20)</f>
        <v/>
      </c>
      <c r="AC420" s="4107"/>
      <c r="AD420" s="4004"/>
      <c r="AE420" s="4005"/>
      <c r="AF420" s="4005"/>
      <c r="AG420" s="4006"/>
      <c r="AH420" s="4007"/>
      <c r="AI420" s="6747"/>
    </row>
    <row r="421" ht="20.25" customHeight="1">
      <c r="A421" s="6738"/>
      <c r="B421" s="3998"/>
      <c r="C421" s="4031"/>
      <c r="D421" s="4004"/>
      <c r="E421" s="4039" t="s">
        <v>904</v>
      </c>
      <c r="F421" s="4005"/>
      <c r="G421" s="4006"/>
      <c r="H421" s="4048" t="str">
        <f>IMAGE("https://raw.githubusercontent.com/msikma/pokesprite/master/misc/types/gen8/psychic.png",4,20,20)</f>
        <v/>
      </c>
      <c r="J421" s="4039" t="s">
        <v>1072</v>
      </c>
      <c r="K421" s="4005"/>
      <c r="L421" s="4006"/>
      <c r="M421" s="4048" t="str">
        <f>IMAGE("https://raw.githubusercontent.com/msikma/pokesprite/master/misc/types/gen8/water.png",4,20,20)</f>
        <v/>
      </c>
      <c r="O421" s="4039" t="s">
        <v>987</v>
      </c>
      <c r="P421" s="4005"/>
      <c r="Q421" s="4006"/>
      <c r="R421" s="4048" t="str">
        <f>IMAGE("https://raw.githubusercontent.com/msikma/pokesprite/master/misc/types/gen8/grass.png",4,20,20)</f>
        <v/>
      </c>
      <c r="T421" s="4039" t="s">
        <v>717</v>
      </c>
      <c r="U421" s="4005"/>
      <c r="V421" s="4006"/>
      <c r="W421" s="4048" t="str">
        <f>IMAGE("https://raw.githubusercontent.com/msikma/pokesprite/master/misc/types/gen8/steel.png",4,20,20)</f>
        <v/>
      </c>
      <c r="Y421" s="4039" t="s">
        <v>669</v>
      </c>
      <c r="Z421" s="4005"/>
      <c r="AA421" s="4006"/>
      <c r="AB421" s="4048" t="str">
        <f>IMAGE("https://raw.githubusercontent.com/msikma/pokesprite/master/misc/types/gen8/psychic.png",4,20,20)</f>
        <v/>
      </c>
      <c r="AC421" s="4107"/>
      <c r="AD421" s="4004"/>
      <c r="AE421" s="4005"/>
      <c r="AF421" s="4005"/>
      <c r="AG421" s="4006"/>
      <c r="AH421" s="4007"/>
      <c r="AI421" s="6747"/>
    </row>
    <row r="422" ht="20.25" customHeight="1">
      <c r="A422" s="6738"/>
      <c r="B422" s="3998"/>
      <c r="C422" s="4031"/>
      <c r="D422" s="4004"/>
      <c r="E422" s="4039" t="s">
        <v>739</v>
      </c>
      <c r="F422" s="4005"/>
      <c r="G422" s="4006"/>
      <c r="H422" s="4048" t="str">
        <f>IMAGE("https://raw.githubusercontent.com/msikma/pokesprite/master/misc/types/gen8/steel.png",4,20,20)</f>
        <v/>
      </c>
      <c r="J422" s="4039" t="s">
        <v>509</v>
      </c>
      <c r="K422" s="4005"/>
      <c r="L422" s="4006"/>
      <c r="M422" s="4048" t="str">
        <f>IMAGE("https://raw.githubusercontent.com/msikma/pokesprite/master/misc/types/gen8/ice.png",4,20,20)</f>
        <v/>
      </c>
      <c r="O422" s="4039" t="s">
        <v>546</v>
      </c>
      <c r="P422" s="4005"/>
      <c r="Q422" s="4006"/>
      <c r="R422" s="4048" t="str">
        <f>IMAGE("https://raw.githubusercontent.com/msikma/pokesprite/master/misc/types/gen8/flying.png",4,20,20)</f>
        <v/>
      </c>
      <c r="T422" s="4039" t="s">
        <v>581</v>
      </c>
      <c r="U422" s="4005"/>
      <c r="V422" s="4006"/>
      <c r="W422" s="4048" t="str">
        <f>IMAGE("https://raw.githubusercontent.com/msikma/pokesprite/master/misc/types/gen8/electric.png",4,20,20)</f>
        <v/>
      </c>
      <c r="Y422" s="4039" t="s">
        <v>1243</v>
      </c>
      <c r="Z422" s="4005"/>
      <c r="AA422" s="4006"/>
      <c r="AB422" s="4048" t="str">
        <f>IMAGE("https://raw.githubusercontent.com/msikma/pokesprite/master/misc/types/gen8/fire.png",4,20,20)</f>
        <v/>
      </c>
      <c r="AC422" s="4107"/>
      <c r="AD422" s="4004"/>
      <c r="AE422" s="4005"/>
      <c r="AF422" s="4005"/>
      <c r="AG422" s="4006"/>
      <c r="AH422" s="4007"/>
      <c r="AI422" s="6747"/>
    </row>
    <row r="423" ht="21.0" customHeight="1">
      <c r="A423" s="6738"/>
      <c r="B423" s="3998"/>
      <c r="C423" s="4031"/>
      <c r="D423" s="4004"/>
      <c r="E423" s="4049" t="s">
        <v>287</v>
      </c>
      <c r="F423" s="4050"/>
      <c r="G423" s="4051"/>
      <c r="H423" s="4052" t="str">
        <f>IMAGE("https://raw.githubusercontent.com/msikma/pokesprite/master/misc/types/gen8/normal.png",4,20,20)</f>
        <v/>
      </c>
      <c r="I423" s="4109"/>
      <c r="J423" s="4049" t="s">
        <v>803</v>
      </c>
      <c r="K423" s="4050"/>
      <c r="L423" s="4051"/>
      <c r="M423" s="4052" t="str">
        <f>IMAGE("https://raw.githubusercontent.com/msikma/pokesprite/master/misc/types/gen8/fighting.png",4,20,20)</f>
        <v/>
      </c>
      <c r="N423" s="4109"/>
      <c r="O423" s="4049" t="s">
        <v>612</v>
      </c>
      <c r="P423" s="4050"/>
      <c r="Q423" s="4051"/>
      <c r="R423" s="4052" t="str">
        <f>IMAGE("https://raw.githubusercontent.com/msikma/pokesprite/master/misc/types/gen8/bug.png",4,20,20)</f>
        <v/>
      </c>
      <c r="S423" s="4109"/>
      <c r="T423" s="4049" t="s">
        <v>720</v>
      </c>
      <c r="U423" s="4050"/>
      <c r="V423" s="4051"/>
      <c r="W423" s="4052" t="str">
        <f>IMAGE("https://raw.githubusercontent.com/msikma/pokesprite/master/misc/types/gen8/fighting.png",4,20,20)</f>
        <v/>
      </c>
      <c r="X423" s="4109"/>
      <c r="Y423" s="4049" t="s">
        <v>1242</v>
      </c>
      <c r="Z423" s="4050"/>
      <c r="AA423" s="4051"/>
      <c r="AB423" s="4052" t="str">
        <f>IMAGE("https://raw.githubusercontent.com/msikma/pokesprite/master/misc/types/gen8/dark.png",4,20,20)</f>
        <v/>
      </c>
      <c r="AC423" s="4110"/>
      <c r="AD423" s="4004"/>
      <c r="AE423" s="4005"/>
      <c r="AF423" s="4005"/>
      <c r="AG423" s="4006"/>
      <c r="AH423" s="4007"/>
      <c r="AI423" s="6747"/>
    </row>
    <row r="424" ht="3.0" customHeight="1">
      <c r="A424" s="6738"/>
      <c r="B424" s="4053"/>
      <c r="C424" s="4054"/>
      <c r="D424" s="4055"/>
      <c r="E424" s="4112"/>
      <c r="F424" s="4112"/>
      <c r="G424" s="4112"/>
      <c r="H424" s="4056"/>
      <c r="I424" s="4055"/>
      <c r="J424" s="4112"/>
      <c r="K424" s="4112"/>
      <c r="L424" s="4112"/>
      <c r="M424" s="4111"/>
      <c r="N424" s="4055"/>
      <c r="O424" s="4112"/>
      <c r="P424" s="4112"/>
      <c r="Q424" s="4112"/>
      <c r="R424" s="4111"/>
      <c r="S424" s="4056"/>
      <c r="T424" s="4112"/>
      <c r="U424" s="4112"/>
      <c r="V424" s="4112"/>
      <c r="W424" s="4111"/>
      <c r="X424" s="4055"/>
      <c r="Y424" s="4112"/>
      <c r="Z424" s="4112"/>
      <c r="AA424" s="4112"/>
      <c r="AB424" s="4111"/>
      <c r="AC424" s="4059"/>
      <c r="AD424" s="4059"/>
      <c r="AE424" s="4059"/>
      <c r="AF424" s="4059"/>
      <c r="AG424" s="4059"/>
      <c r="AH424" s="4060"/>
      <c r="AI424" s="6747"/>
    </row>
    <row r="425" ht="16.5" customHeight="1">
      <c r="A425" s="6738"/>
      <c r="B425" s="4061"/>
      <c r="C425" s="4054"/>
      <c r="D425" s="4064"/>
      <c r="E425" s="4063" t="s">
        <v>512</v>
      </c>
      <c r="F425" s="606"/>
      <c r="G425" s="606"/>
      <c r="H425" s="607"/>
      <c r="I425" s="4064"/>
      <c r="J425" s="4063" t="s">
        <v>512</v>
      </c>
      <c r="K425" s="606"/>
      <c r="L425" s="606"/>
      <c r="M425" s="607"/>
      <c r="N425" s="4064"/>
      <c r="O425" s="4063" t="s">
        <v>512</v>
      </c>
      <c r="P425" s="606"/>
      <c r="Q425" s="606"/>
      <c r="R425" s="607"/>
      <c r="S425" s="4453"/>
      <c r="T425" s="4063" t="s">
        <v>512</v>
      </c>
      <c r="U425" s="606"/>
      <c r="V425" s="606"/>
      <c r="W425" s="607"/>
      <c r="X425" s="5127"/>
      <c r="Y425" s="4063" t="s">
        <v>512</v>
      </c>
      <c r="Z425" s="606"/>
      <c r="AA425" s="606"/>
      <c r="AB425" s="607"/>
      <c r="AC425" s="4067"/>
      <c r="AD425" s="4067"/>
      <c r="AE425" s="4067"/>
      <c r="AF425" s="4067"/>
      <c r="AG425" s="4067"/>
      <c r="AH425" s="4068"/>
      <c r="AI425" s="6747"/>
    </row>
    <row r="426" ht="16.5" customHeight="1">
      <c r="A426" s="6738"/>
      <c r="B426" s="4061"/>
      <c r="C426" s="4054"/>
      <c r="D426" s="4062"/>
      <c r="E426" s="4069" t="s">
        <v>513</v>
      </c>
      <c r="F426" s="4070">
        <f t="array" ref="F426">IFERROR(VLOOKUP(E413,Dex!$B$3:$N1219,8,FALSE),"")</f>
        <v>65</v>
      </c>
      <c r="G426" s="4071" t="str">
        <f t="array" ref="G426">IFERROR(VLOOKUP(F426,Dex!$P$22:$Q$276,2,FALSE),"")</f>
        <v/>
      </c>
      <c r="H426" s="4072"/>
      <c r="I426" s="4062"/>
      <c r="J426" s="4069" t="s">
        <v>513</v>
      </c>
      <c r="K426" s="4070">
        <f t="array" ref="K426">IFERROR(VLOOKUP(J413,Dex!$B$3:$N1219,8,FALSE),"")</f>
        <v>85</v>
      </c>
      <c r="L426" s="4071" t="str">
        <f t="array" ref="L426">IFERROR(VLOOKUP(K426,Dex!$P$22:$Q$276,2,FALSE),"")</f>
        <v/>
      </c>
      <c r="M426" s="4072"/>
      <c r="N426" s="4062"/>
      <c r="O426" s="4069" t="s">
        <v>513</v>
      </c>
      <c r="P426" s="4070">
        <f t="array" ref="P426">IFERROR(VLOOKUP(O413,Dex!$B$3:$N1219,8,FALSE),"")</f>
        <v>60</v>
      </c>
      <c r="Q426" s="4071" t="str">
        <f t="array" ref="Q426">IFERROR(VLOOKUP(P426,Dex!$P$22:$Q$276,2,FALSE),"")</f>
        <v/>
      </c>
      <c r="R426" s="4072"/>
      <c r="S426" s="4073"/>
      <c r="T426" s="4069" t="s">
        <v>513</v>
      </c>
      <c r="U426" s="4070">
        <f t="array" ref="U426">IFERROR(VLOOKUP(T413,Dex!$B$3:$N1219,8,FALSE),"")</f>
        <v>70</v>
      </c>
      <c r="V426" s="4071" t="str">
        <f t="array" ref="V426">IFERROR(VLOOKUP(U426,Dex!$P$22:$Q$276,2,FALSE),"")</f>
        <v/>
      </c>
      <c r="W426" s="4072"/>
      <c r="X426" s="4067"/>
      <c r="Y426" s="4069" t="s">
        <v>513</v>
      </c>
      <c r="Z426" s="4070">
        <f t="array" ref="Z426">IFERROR(VLOOKUP(Y413,Dex!$B$3:$N1219,8,FALSE),"")</f>
        <v>75</v>
      </c>
      <c r="AA426" s="4071" t="str">
        <f t="array" ref="AA426">IFERROR(VLOOKUP(Z426,Dex!$P$22:$Q$276,2,FALSE),"")</f>
        <v/>
      </c>
      <c r="AB426" s="4072"/>
      <c r="AC426" s="4067"/>
      <c r="AD426" s="4067"/>
      <c r="AE426" s="4067"/>
      <c r="AF426" s="4067"/>
      <c r="AG426" s="4067"/>
      <c r="AH426" s="4068"/>
      <c r="AI426" s="6747"/>
    </row>
    <row r="427" ht="16.5" customHeight="1">
      <c r="A427" s="6738"/>
      <c r="B427" s="4061"/>
      <c r="C427" s="4054"/>
      <c r="D427" s="4062"/>
      <c r="E427" s="4075" t="s">
        <v>514</v>
      </c>
      <c r="F427" s="4076">
        <f t="array" ref="F427">IFERROR(VLOOKUP(E413,Dex!$B$3:$N1219,9,FALSE),"")</f>
        <v>125</v>
      </c>
      <c r="G427" s="4077" t="str">
        <f t="array" ref="G427">IFERROR(VLOOKUP(F427,Dex!$P$22:$Q$276,2,FALSE),"")</f>
        <v/>
      </c>
      <c r="H427" s="4078"/>
      <c r="I427" s="4062"/>
      <c r="J427" s="4075" t="s">
        <v>514</v>
      </c>
      <c r="K427" s="4076">
        <f t="array" ref="K427">IFERROR(VLOOKUP(J413,Dex!$B$3:$N1219,9,FALSE),"")</f>
        <v>90</v>
      </c>
      <c r="L427" s="4077" t="str">
        <f t="array" ref="L427">IFERROR(VLOOKUP(K427,Dex!$P$22:$Q$276,2,FALSE),"")</f>
        <v/>
      </c>
      <c r="M427" s="4078"/>
      <c r="N427" s="4062"/>
      <c r="O427" s="4075" t="s">
        <v>514</v>
      </c>
      <c r="P427" s="4076">
        <f t="array" ref="P427">IFERROR(VLOOKUP(O413,Dex!$B$3:$N1219,9,FALSE),"")</f>
        <v>45</v>
      </c>
      <c r="Q427" s="4077" t="str">
        <f t="array" ref="Q427">IFERROR(VLOOKUP(P427,Dex!$P$22:$Q$276,2,FALSE),"")</f>
        <v/>
      </c>
      <c r="R427" s="4078"/>
      <c r="S427" s="4073"/>
      <c r="T427" s="4075" t="s">
        <v>514</v>
      </c>
      <c r="U427" s="4076">
        <f t="array" ref="U427">IFERROR(VLOOKUP(T413,Dex!$B$3:$N1219,9,FALSE),"")</f>
        <v>70</v>
      </c>
      <c r="V427" s="4077" t="str">
        <f t="array" ref="V427">IFERROR(VLOOKUP(U427,Dex!$P$22:$Q$276,2,FALSE),"")</f>
        <v/>
      </c>
      <c r="W427" s="4078"/>
      <c r="X427" s="4067"/>
      <c r="Y427" s="4075" t="s">
        <v>514</v>
      </c>
      <c r="Z427" s="4076">
        <f t="array" ref="Z427">IFERROR(VLOOKUP(Y413,Dex!$B$3:$N1219,9,FALSE),"")</f>
        <v>69</v>
      </c>
      <c r="AA427" s="4077" t="str">
        <f t="array" ref="AA427">IFERROR(VLOOKUP(Z427,Dex!$P$22:$Q$276,2,FALSE),"")</f>
        <v/>
      </c>
      <c r="AB427" s="4078"/>
      <c r="AC427" s="4067"/>
      <c r="AD427" s="4067"/>
      <c r="AE427" s="4067"/>
      <c r="AF427" s="4067"/>
      <c r="AG427" s="4067"/>
      <c r="AH427" s="4068"/>
      <c r="AI427" s="6747"/>
    </row>
    <row r="428" ht="16.5" customHeight="1">
      <c r="A428" s="6738"/>
      <c r="B428" s="4061"/>
      <c r="C428" s="4054"/>
      <c r="D428" s="4062"/>
      <c r="E428" s="4075" t="s">
        <v>515</v>
      </c>
      <c r="F428" s="4076">
        <f t="array" ref="F428">IFERROR(VLOOKUP(E413,Dex!$B$3:$N1219,10,FALSE),"")</f>
        <v>100</v>
      </c>
      <c r="G428" s="4077" t="str">
        <f t="array" ref="G428">IFERROR(VLOOKUP(F428,Dex!$P$22:$Q$276,2,FALSE),"")</f>
        <v/>
      </c>
      <c r="H428" s="4078"/>
      <c r="I428" s="4062"/>
      <c r="J428" s="4075" t="s">
        <v>515</v>
      </c>
      <c r="K428" s="4076">
        <f t="array" ref="K428">IFERROR(VLOOKUP(J413,Dex!$B$3:$N1219,10,FALSE),"")</f>
        <v>55</v>
      </c>
      <c r="L428" s="4077" t="str">
        <f t="array" ref="L428">IFERROR(VLOOKUP(K428,Dex!$P$22:$Q$276,2,FALSE),"")</f>
        <v/>
      </c>
      <c r="M428" s="4078"/>
      <c r="N428" s="4062"/>
      <c r="O428" s="4075" t="s">
        <v>515</v>
      </c>
      <c r="P428" s="4076">
        <f t="array" ref="P428">IFERROR(VLOOKUP(O413,Dex!$B$3:$N1219,10,FALSE),"")</f>
        <v>100</v>
      </c>
      <c r="Q428" s="4077" t="str">
        <f t="array" ref="Q428">IFERROR(VLOOKUP(P428,Dex!$P$22:$Q$276,2,FALSE),"")</f>
        <v/>
      </c>
      <c r="R428" s="4078"/>
      <c r="S428" s="4073"/>
      <c r="T428" s="4075" t="s">
        <v>515</v>
      </c>
      <c r="U428" s="4076">
        <f t="array" ref="U428">IFERROR(VLOOKUP(T413,Dex!$B$3:$N1219,10,FALSE),"")</f>
        <v>115</v>
      </c>
      <c r="V428" s="4077" t="str">
        <f t="array" ref="V428">IFERROR(VLOOKUP(U428,Dex!$P$22:$Q$276,2,FALSE),"")</f>
        <v/>
      </c>
      <c r="W428" s="4078"/>
      <c r="X428" s="4067"/>
      <c r="Y428" s="4075" t="s">
        <v>515</v>
      </c>
      <c r="Z428" s="4076">
        <f t="array" ref="Z428">IFERROR(VLOOKUP(Y413,Dex!$B$3:$N1219,10,FALSE),"")</f>
        <v>72</v>
      </c>
      <c r="AA428" s="4077" t="str">
        <f t="array" ref="AA428">IFERROR(VLOOKUP(Z428,Dex!$P$22:$Q$276,2,FALSE),"")</f>
        <v/>
      </c>
      <c r="AB428" s="4078"/>
      <c r="AC428" s="4067"/>
      <c r="AD428" s="4067"/>
      <c r="AE428" s="4067"/>
      <c r="AF428" s="4067"/>
      <c r="AG428" s="4067"/>
      <c r="AH428" s="4068"/>
      <c r="AI428" s="6747"/>
    </row>
    <row r="429" ht="16.5" customHeight="1">
      <c r="A429" s="6738"/>
      <c r="B429" s="4061"/>
      <c r="C429" s="4054"/>
      <c r="D429" s="4062"/>
      <c r="E429" s="4075" t="s">
        <v>516</v>
      </c>
      <c r="F429" s="4076">
        <f t="array" ref="F429">IFERROR(VLOOKUP(E413,Dex!$B$3:$N1219,11,FALSE),"")</f>
        <v>60</v>
      </c>
      <c r="G429" s="4077" t="str">
        <f t="array" ref="G429">IFERROR(VLOOKUP(F429,Dex!$P$22:$Q$276,2,FALSE),"")</f>
        <v/>
      </c>
      <c r="H429" s="4078"/>
      <c r="I429" s="4062"/>
      <c r="J429" s="4075" t="s">
        <v>516</v>
      </c>
      <c r="K429" s="4076">
        <f t="array" ref="K429">IFERROR(VLOOKUP(J413,Dex!$B$3:$N1219,11,FALSE),"")</f>
        <v>95</v>
      </c>
      <c r="L429" s="4077" t="str">
        <f t="array" ref="L429">IFERROR(VLOOKUP(K429,Dex!$P$22:$Q$276,2,FALSE),"")</f>
        <v/>
      </c>
      <c r="M429" s="4078"/>
      <c r="N429" s="4062"/>
      <c r="O429" s="4075" t="s">
        <v>516</v>
      </c>
      <c r="P429" s="4076">
        <f t="array" ref="P429">IFERROR(VLOOKUP(O413,Dex!$B$3:$N1219,11,FALSE),"")</f>
        <v>140</v>
      </c>
      <c r="Q429" s="4077" t="str">
        <f t="array" ref="Q429">IFERROR(VLOOKUP(P429,Dex!$P$22:$Q$276,2,FALSE),"")</f>
        <v/>
      </c>
      <c r="R429" s="4078"/>
      <c r="S429" s="4073"/>
      <c r="T429" s="4075" t="s">
        <v>516</v>
      </c>
      <c r="U429" s="4076">
        <f t="array" ref="U429">IFERROR(VLOOKUP(T413,Dex!$B$3:$N1219,11,FALSE),"")</f>
        <v>130</v>
      </c>
      <c r="V429" s="4077" t="str">
        <f t="array" ref="V429">IFERROR(VLOOKUP(U429,Dex!$P$22:$Q$276,2,FALSE),"")</f>
        <v/>
      </c>
      <c r="W429" s="4078"/>
      <c r="X429" s="4067"/>
      <c r="Y429" s="4075" t="s">
        <v>516</v>
      </c>
      <c r="Z429" s="4076">
        <f t="array" ref="Z429">IFERROR(VLOOKUP(Y413,Dex!$B$3:$N1219,11,FALSE),"")</f>
        <v>114</v>
      </c>
      <c r="AA429" s="4077" t="str">
        <f t="array" ref="AA429">IFERROR(VLOOKUP(Z429,Dex!$P$22:$Q$276,2,FALSE),"")</f>
        <v/>
      </c>
      <c r="AB429" s="4078"/>
      <c r="AC429" s="4067"/>
      <c r="AD429" s="4067"/>
      <c r="AE429" s="4067"/>
      <c r="AF429" s="4067"/>
      <c r="AG429" s="4067"/>
      <c r="AH429" s="4068"/>
      <c r="AI429" s="6747"/>
    </row>
    <row r="430" ht="16.5" customHeight="1">
      <c r="A430" s="6738"/>
      <c r="B430" s="4061"/>
      <c r="C430" s="4054"/>
      <c r="D430" s="4062"/>
      <c r="E430" s="4075" t="s">
        <v>517</v>
      </c>
      <c r="F430" s="4076">
        <f t="array" ref="F430">IFERROR(VLOOKUP(E413,Dex!$B$3:$N1219,12,FALSE),"")</f>
        <v>70</v>
      </c>
      <c r="G430" s="4077" t="str">
        <f t="array" ref="G430">IFERROR(VLOOKUP(F430,Dex!$P$22:$Q$276,2,FALSE),"")</f>
        <v/>
      </c>
      <c r="H430" s="4078"/>
      <c r="I430" s="4062"/>
      <c r="J430" s="4075" t="s">
        <v>517</v>
      </c>
      <c r="K430" s="4076">
        <f t="array" ref="K430">IFERROR(VLOOKUP(J413,Dex!$B$3:$N1219,12,FALSE),"")</f>
        <v>50</v>
      </c>
      <c r="L430" s="4077" t="str">
        <f t="array" ref="L430">IFERROR(VLOOKUP(K430,Dex!$P$22:$Q$276,2,FALSE),"")</f>
        <v/>
      </c>
      <c r="M430" s="4078"/>
      <c r="N430" s="4062"/>
      <c r="O430" s="4075" t="s">
        <v>517</v>
      </c>
      <c r="P430" s="4076">
        <f t="array" ref="P430">IFERROR(VLOOKUP(O413,Dex!$B$3:$N1219,12,FALSE),"")</f>
        <v>100</v>
      </c>
      <c r="Q430" s="4077" t="str">
        <f t="array" ref="Q430">IFERROR(VLOOKUP(P430,Dex!$P$22:$Q$276,2,FALSE),"")</f>
        <v/>
      </c>
      <c r="R430" s="4078"/>
      <c r="S430" s="4073"/>
      <c r="T430" s="4075" t="s">
        <v>517</v>
      </c>
      <c r="U430" s="4076">
        <f t="array" ref="U430">IFERROR(VLOOKUP(T413,Dex!$B$3:$N1219,12,FALSE),"")</f>
        <v>90</v>
      </c>
      <c r="V430" s="4077" t="str">
        <f t="array" ref="V430">IFERROR(VLOOKUP(U430,Dex!$P$22:$Q$276,2,FALSE),"")</f>
        <v/>
      </c>
      <c r="W430" s="4078"/>
      <c r="X430" s="4067"/>
      <c r="Y430" s="4075" t="s">
        <v>517</v>
      </c>
      <c r="Z430" s="4076">
        <f t="array" ref="Z430">IFERROR(VLOOKUP(Y413,Dex!$B$3:$N1219,12,FALSE),"")</f>
        <v>100</v>
      </c>
      <c r="AA430" s="4077" t="str">
        <f t="array" ref="AA430">IFERROR(VLOOKUP(Z430,Dex!$P$22:$Q$276,2,FALSE),"")</f>
        <v/>
      </c>
      <c r="AB430" s="4078"/>
      <c r="AC430" s="4067"/>
      <c r="AD430" s="4067"/>
      <c r="AE430" s="4067"/>
      <c r="AF430" s="4067"/>
      <c r="AG430" s="4067"/>
      <c r="AH430" s="4068"/>
      <c r="AI430" s="6747"/>
    </row>
    <row r="431" ht="16.5" customHeight="1">
      <c r="A431" s="6738"/>
      <c r="B431" s="4061"/>
      <c r="C431" s="4054"/>
      <c r="D431" s="4062"/>
      <c r="E431" s="4081" t="s">
        <v>518</v>
      </c>
      <c r="F431" s="4082">
        <f t="array" ref="F431">IFERROR(VLOOKUP(E413,Dex!$B$3:$N1219,13,FALSE),"")</f>
        <v>70</v>
      </c>
      <c r="G431" s="4083" t="str">
        <f t="array" ref="G431">IFERROR(VLOOKUP(F431,Dex!$P$22:$Q$276,2,FALSE),"")</f>
        <v/>
      </c>
      <c r="H431" s="4084"/>
      <c r="I431" s="4062"/>
      <c r="J431" s="4081" t="s">
        <v>518</v>
      </c>
      <c r="K431" s="4082">
        <f t="array" ref="K431">IFERROR(VLOOKUP(J413,Dex!$B$3:$N1219,13,FALSE),"")</f>
        <v>115</v>
      </c>
      <c r="L431" s="4083" t="str">
        <f t="array" ref="L431">IFERROR(VLOOKUP(K431,Dex!$P$22:$Q$276,2,FALSE),"")</f>
        <v/>
      </c>
      <c r="M431" s="4084"/>
      <c r="N431" s="4062"/>
      <c r="O431" s="4081" t="s">
        <v>518</v>
      </c>
      <c r="P431" s="4082">
        <f t="array" ref="P431">IFERROR(VLOOKUP(O413,Dex!$B$3:$N1219,13,FALSE),"")</f>
        <v>90</v>
      </c>
      <c r="Q431" s="4083" t="str">
        <f t="array" ref="Q431">IFERROR(VLOOKUP(P431,Dex!$P$22:$Q$276,2,FALSE),"")</f>
        <v/>
      </c>
      <c r="R431" s="4084"/>
      <c r="S431" s="4073"/>
      <c r="T431" s="4081" t="s">
        <v>518</v>
      </c>
      <c r="U431" s="4082">
        <f t="array" ref="U431">IFERROR(VLOOKUP(T413,Dex!$B$3:$N1219,13,FALSE),"")</f>
        <v>60</v>
      </c>
      <c r="V431" s="4083" t="str">
        <f t="array" ref="V431">IFERROR(VLOOKUP(U431,Dex!$P$22:$Q$276,2,FALSE),"")</f>
        <v/>
      </c>
      <c r="W431" s="4084"/>
      <c r="X431" s="4067"/>
      <c r="Y431" s="4081" t="s">
        <v>518</v>
      </c>
      <c r="Z431" s="4082">
        <f t="array" ref="Z431">IFERROR(VLOOKUP(Y413,Dex!$B$3:$N1219,13,FALSE),"")</f>
        <v>104</v>
      </c>
      <c r="AA431" s="4083" t="str">
        <f t="array" ref="AA431">IFERROR(VLOOKUP(Z431,Dex!$P$22:$Q$276,2,FALSE),"")</f>
        <v/>
      </c>
      <c r="AB431" s="4084"/>
      <c r="AC431" s="4067"/>
      <c r="AD431" s="4067"/>
      <c r="AE431" s="4067"/>
      <c r="AF431" s="4067"/>
      <c r="AG431" s="4067"/>
      <c r="AH431" s="4068"/>
      <c r="AI431" s="6747"/>
    </row>
    <row r="432" ht="16.5" customHeight="1">
      <c r="A432" s="6738"/>
      <c r="B432" s="4061"/>
      <c r="C432" s="4054"/>
      <c r="D432" s="4064"/>
      <c r="E432" s="4085" t="s">
        <v>519</v>
      </c>
      <c r="F432" s="630"/>
      <c r="G432" s="631"/>
      <c r="H432" s="7067">
        <v>191.0</v>
      </c>
      <c r="I432" s="4064"/>
      <c r="J432" s="4085" t="s">
        <v>519</v>
      </c>
      <c r="K432" s="630"/>
      <c r="L432" s="631"/>
      <c r="M432" s="7067">
        <v>286.0</v>
      </c>
      <c r="N432" s="4064"/>
      <c r="O432" s="4085" t="s">
        <v>519</v>
      </c>
      <c r="P432" s="630"/>
      <c r="Q432" s="631"/>
      <c r="R432" s="7067">
        <v>215.0</v>
      </c>
      <c r="S432" s="4454"/>
      <c r="T432" s="4085" t="s">
        <v>519</v>
      </c>
      <c r="U432" s="630"/>
      <c r="V432" s="631"/>
      <c r="W432" s="7067">
        <v>170.0</v>
      </c>
      <c r="X432" s="5127"/>
      <c r="Y432" s="4085" t="s">
        <v>519</v>
      </c>
      <c r="Z432" s="630"/>
      <c r="AA432" s="631"/>
      <c r="AB432" s="7067">
        <v>265.0</v>
      </c>
      <c r="AC432" s="4067"/>
      <c r="AD432" s="4067"/>
      <c r="AE432" s="4067"/>
      <c r="AF432" s="4067"/>
      <c r="AG432" s="4067"/>
      <c r="AH432" s="4068"/>
      <c r="AI432" s="6747"/>
    </row>
    <row r="433" ht="15.0" customHeight="1">
      <c r="A433" s="6738"/>
      <c r="B433" s="4093"/>
      <c r="C433" s="4094"/>
      <c r="D433" s="4095"/>
      <c r="E433" s="4113"/>
      <c r="F433" s="4113"/>
      <c r="G433" s="4113"/>
      <c r="H433" s="4096"/>
      <c r="I433" s="4097"/>
      <c r="J433" s="4113"/>
      <c r="K433" s="4113"/>
      <c r="L433" s="4113"/>
      <c r="M433" s="4096"/>
      <c r="N433" s="4097"/>
      <c r="O433" s="4113"/>
      <c r="P433" s="4113"/>
      <c r="Q433" s="4113"/>
      <c r="R433" s="4096"/>
      <c r="S433" s="4095"/>
      <c r="T433" s="7068"/>
      <c r="U433" s="7068"/>
      <c r="V433" s="7068"/>
      <c r="W433" s="4095"/>
      <c r="X433" s="4095"/>
      <c r="Y433" s="7068"/>
      <c r="Z433" s="7068"/>
      <c r="AA433" s="7068"/>
      <c r="AB433" s="4095"/>
      <c r="AC433" s="4095"/>
      <c r="AD433" s="4095"/>
      <c r="AE433" s="4095"/>
      <c r="AF433" s="4095"/>
      <c r="AG433" s="4095"/>
      <c r="AH433" s="4098"/>
      <c r="AI433" s="6747"/>
    </row>
    <row r="434" ht="15.0" customHeight="1">
      <c r="A434" s="6738"/>
      <c r="B434" s="6850"/>
      <c r="C434" s="6851"/>
      <c r="D434" s="6852"/>
      <c r="E434" s="6852"/>
      <c r="F434" s="6852"/>
      <c r="G434" s="6852"/>
      <c r="H434" s="6852"/>
      <c r="I434" s="6854"/>
      <c r="J434" s="6852"/>
      <c r="K434" s="6852"/>
      <c r="L434" s="6852"/>
      <c r="M434" s="6852"/>
      <c r="N434" s="6854"/>
      <c r="O434" s="6852"/>
      <c r="P434" s="6852"/>
      <c r="Q434" s="6852"/>
      <c r="R434" s="6852"/>
      <c r="S434" s="6854"/>
      <c r="T434" s="6852"/>
      <c r="U434" s="6852"/>
      <c r="V434" s="6852"/>
      <c r="W434" s="6852"/>
      <c r="X434" s="6854"/>
      <c r="Y434" s="6852"/>
      <c r="Z434" s="6852"/>
      <c r="AA434" s="6852"/>
      <c r="AB434" s="6852"/>
      <c r="AC434" s="6854"/>
      <c r="AD434" s="6852"/>
      <c r="AE434" s="6852"/>
      <c r="AF434" s="6852"/>
      <c r="AG434" s="6852"/>
      <c r="AH434" s="6855"/>
      <c r="AI434" s="6747"/>
    </row>
    <row r="435">
      <c r="A435" s="6738"/>
      <c r="B435" s="6856"/>
      <c r="C435" s="6904"/>
      <c r="D435" s="7095"/>
      <c r="E435" s="7096" t="s">
        <v>2069</v>
      </c>
      <c r="F435" s="6898"/>
      <c r="G435" s="6898"/>
      <c r="H435" s="6898"/>
      <c r="I435" s="6898"/>
      <c r="J435" s="6898"/>
      <c r="K435" s="6898"/>
      <c r="L435" s="6898"/>
      <c r="M435" s="6898"/>
      <c r="N435" s="6898"/>
      <c r="O435" s="6898"/>
      <c r="P435" s="6898"/>
      <c r="Q435" s="6898"/>
      <c r="R435" s="6898"/>
      <c r="S435" s="6898"/>
      <c r="T435" s="6898"/>
      <c r="U435" s="6898"/>
      <c r="V435" s="6898"/>
      <c r="W435" s="6898"/>
      <c r="X435" s="6898"/>
      <c r="Y435" s="6898"/>
      <c r="Z435" s="6898"/>
      <c r="AA435" s="6898"/>
      <c r="AB435" s="6898"/>
      <c r="AC435" s="6898"/>
      <c r="AD435" s="6898"/>
      <c r="AE435" s="6898"/>
      <c r="AF435" s="6898"/>
      <c r="AG435" s="6899"/>
      <c r="AH435" s="6866"/>
      <c r="AI435" s="6747"/>
    </row>
    <row r="436" ht="96.75" customHeight="1">
      <c r="A436" s="6738"/>
      <c r="B436" s="6856"/>
      <c r="C436" s="6857" t="str">
        <f>IMAGE("https://i.ibb.co/1Qbjwx2/SwimmerM.png")</f>
        <v/>
      </c>
      <c r="D436" s="6858"/>
      <c r="E436" s="6859" t="str">
        <f t="array" ref="E436">IFERROR(VLOOKUP(E437,Dex!$B$3:$G1219,3,FALSE),"")</f>
        <v/>
      </c>
      <c r="F436" s="1945"/>
      <c r="G436" s="1945"/>
      <c r="H436" s="1946"/>
      <c r="I436" s="6860"/>
      <c r="J436" s="6859" t="str">
        <f t="array" ref="J436">IFERROR(VLOOKUP(J437,Dex!$B$3:$G1219,3,FALSE),"")</f>
        <v/>
      </c>
      <c r="K436" s="1945"/>
      <c r="L436" s="1945"/>
      <c r="M436" s="1946"/>
      <c r="N436" s="6860"/>
      <c r="O436" s="6859" t="str">
        <f t="array" ref="O436">IFERROR(VLOOKUP(O437,Dex!$B$3:$G1219,3,FALSE),"")</f>
        <v/>
      </c>
      <c r="P436" s="1945"/>
      <c r="Q436" s="1945"/>
      <c r="R436" s="1946"/>
      <c r="S436" s="6951"/>
      <c r="T436" s="6859" t="str">
        <f t="array" ref="T436">IFERROR(VLOOKUP(T437,Dex!$B$3:$G1219,3,FALSE),"")</f>
        <v/>
      </c>
      <c r="U436" s="1945"/>
      <c r="V436" s="1945"/>
      <c r="W436" s="1946"/>
      <c r="X436" s="6861"/>
      <c r="Y436" s="6862"/>
      <c r="Z436" s="6863"/>
      <c r="AA436" s="6863"/>
      <c r="AB436" s="6864"/>
      <c r="AC436" s="6865"/>
      <c r="AD436" s="6862"/>
      <c r="AE436" s="6863"/>
      <c r="AF436" s="6863"/>
      <c r="AG436" s="6864"/>
      <c r="AH436" s="6866"/>
      <c r="AI436" s="6747"/>
    </row>
    <row r="437" ht="18.75" customHeight="1">
      <c r="A437" s="6691"/>
      <c r="B437" s="6867"/>
      <c r="C437" s="6868" t="s">
        <v>2070</v>
      </c>
      <c r="D437" s="6869"/>
      <c r="E437" s="6870" t="s">
        <v>2071</v>
      </c>
      <c r="F437" s="6871"/>
      <c r="G437" s="6871"/>
      <c r="H437" s="6872"/>
      <c r="I437" s="6860"/>
      <c r="J437" s="6870" t="s">
        <v>1658</v>
      </c>
      <c r="K437" s="6871"/>
      <c r="L437" s="6871"/>
      <c r="M437" s="6872"/>
      <c r="N437" s="6860"/>
      <c r="O437" s="6870" t="s">
        <v>1634</v>
      </c>
      <c r="P437" s="6871"/>
      <c r="Q437" s="6871"/>
      <c r="R437" s="6872"/>
      <c r="S437" s="6860"/>
      <c r="T437" s="6870" t="s">
        <v>1659</v>
      </c>
      <c r="U437" s="6871"/>
      <c r="V437" s="6871"/>
      <c r="W437" s="6872"/>
      <c r="X437" s="6873"/>
      <c r="Y437" s="6874"/>
      <c r="Z437" s="6863"/>
      <c r="AA437" s="6863"/>
      <c r="AB437" s="6864"/>
      <c r="AC437" s="6875"/>
      <c r="AD437" s="6874"/>
      <c r="AE437" s="6863"/>
      <c r="AF437" s="6863"/>
      <c r="AG437" s="6864"/>
      <c r="AH437" s="6876"/>
      <c r="AI437" s="6699"/>
    </row>
    <row r="438">
      <c r="A438" s="6676"/>
      <c r="B438" s="6856"/>
      <c r="C438" s="1638"/>
      <c r="D438" s="6877"/>
      <c r="E438" s="6878" t="s">
        <v>729</v>
      </c>
      <c r="F438" s="6879"/>
      <c r="G438" s="6879"/>
      <c r="H438" s="6880"/>
      <c r="I438" s="6860"/>
      <c r="J438" s="6878" t="s">
        <v>796</v>
      </c>
      <c r="K438" s="6879"/>
      <c r="L438" s="6879"/>
      <c r="M438" s="6880"/>
      <c r="N438" s="6860"/>
      <c r="O438" s="6878" t="s">
        <v>796</v>
      </c>
      <c r="P438" s="6879"/>
      <c r="Q438" s="6879"/>
      <c r="R438" s="6880"/>
      <c r="S438" s="6951"/>
      <c r="T438" s="6878" t="s">
        <v>729</v>
      </c>
      <c r="U438" s="6879"/>
      <c r="V438" s="6879"/>
      <c r="W438" s="6880"/>
      <c r="X438" s="6861"/>
      <c r="Y438" s="6862"/>
      <c r="Z438" s="6863"/>
      <c r="AA438" s="6863"/>
      <c r="AB438" s="6864"/>
      <c r="AC438" s="6865"/>
      <c r="AD438" s="6862"/>
      <c r="AE438" s="6863"/>
      <c r="AF438" s="6863"/>
      <c r="AG438" s="6864"/>
      <c r="AH438" s="6866"/>
      <c r="AI438" s="6680"/>
    </row>
    <row r="439" ht="25.5" customHeight="1">
      <c r="A439" s="6676"/>
      <c r="B439" s="6856"/>
      <c r="C439" s="1646"/>
      <c r="D439" s="6865"/>
      <c r="E439" s="6881"/>
      <c r="F439" s="6885" t="str">
        <f t="array" ref="F439">IFERROR(VLOOKUP(E437,Dex!$B$3:$H1219,5,FALSE),"")</f>
        <v/>
      </c>
      <c r="G439" s="6886" t="str">
        <f t="array" ref="G439">IFERROR(VLOOKUP(E437,Dex!$B$3:$H1219,7,FALSE),"")</f>
        <v/>
      </c>
      <c r="H439" s="6884"/>
      <c r="I439" s="6875"/>
      <c r="J439" s="6881"/>
      <c r="K439" s="6882" t="str">
        <f t="array" ref="K439">IFERROR(VLOOKUP(J437,Dex!$B$3:$H1219,5,FALSE),"")</f>
        <v/>
      </c>
      <c r="L439" s="6883"/>
      <c r="M439" s="6884"/>
      <c r="N439" s="6875"/>
      <c r="O439" s="6881"/>
      <c r="P439" s="6885" t="str">
        <f t="array" ref="P439">IFERROR(VLOOKUP(O437,Dex!$B$3:$H1219,5,FALSE),"")</f>
        <v/>
      </c>
      <c r="Q439" s="6886" t="str">
        <f t="array" ref="Q439">IFERROR(VLOOKUP(O437,Dex!$B$3:$H1219,7,FALSE),"")</f>
        <v/>
      </c>
      <c r="R439" s="6884"/>
      <c r="S439" s="6865"/>
      <c r="T439" s="6881"/>
      <c r="U439" s="6885" t="str">
        <f t="array" ref="U439">IFERROR(VLOOKUP(T437,Dex!$B$3:$H1219,5,FALSE),"")</f>
        <v/>
      </c>
      <c r="V439" s="6886" t="str">
        <f t="array" ref="V439">IFERROR(VLOOKUP(T437,Dex!$B$3:$H1219,7,FALSE),"")</f>
        <v/>
      </c>
      <c r="W439" s="6884"/>
      <c r="X439" s="6865"/>
      <c r="Y439" s="6862"/>
      <c r="Z439" s="6863"/>
      <c r="AA439" s="6863"/>
      <c r="AB439" s="6864"/>
      <c r="AC439" s="6865"/>
      <c r="AD439" s="6862"/>
      <c r="AE439" s="6863"/>
      <c r="AF439" s="6863"/>
      <c r="AG439" s="6864"/>
      <c r="AH439" s="6866"/>
      <c r="AI439" s="6680"/>
    </row>
    <row r="440" ht="2.25" customHeight="1">
      <c r="A440" s="6676"/>
      <c r="B440" s="6856"/>
      <c r="C440" s="6887"/>
      <c r="D440" s="6865"/>
      <c r="E440" s="6888"/>
      <c r="F440" s="6889"/>
      <c r="G440" s="6889"/>
      <c r="H440" s="6890"/>
      <c r="I440" s="6875"/>
      <c r="J440" s="6888"/>
      <c r="K440" s="6889"/>
      <c r="L440" s="6889"/>
      <c r="M440" s="6890"/>
      <c r="N440" s="6875"/>
      <c r="O440" s="6888"/>
      <c r="P440" s="6889"/>
      <c r="Q440" s="6889"/>
      <c r="R440" s="6890"/>
      <c r="S440" s="6865"/>
      <c r="T440" s="6888"/>
      <c r="U440" s="6889"/>
      <c r="V440" s="6889"/>
      <c r="W440" s="6890"/>
      <c r="X440" s="6865"/>
      <c r="Y440" s="6865"/>
      <c r="Z440" s="6865"/>
      <c r="AA440" s="6865"/>
      <c r="AB440" s="6865"/>
      <c r="AC440" s="6865"/>
      <c r="AD440" s="6865"/>
      <c r="AE440" s="6865"/>
      <c r="AF440" s="6865"/>
      <c r="AG440" s="6865"/>
      <c r="AH440" s="6866"/>
      <c r="AI440" s="6680"/>
    </row>
    <row r="441" ht="20.25" customHeight="1">
      <c r="A441" s="6676"/>
      <c r="B441" s="6856"/>
      <c r="C441" s="6891"/>
      <c r="D441" s="6862"/>
      <c r="E441" s="6892" t="s">
        <v>564</v>
      </c>
      <c r="F441" s="6893"/>
      <c r="G441" s="6893"/>
      <c r="H441" s="6894"/>
      <c r="I441" s="6860"/>
      <c r="J441" s="6892" t="s">
        <v>564</v>
      </c>
      <c r="K441" s="6893"/>
      <c r="L441" s="6893"/>
      <c r="M441" s="6894"/>
      <c r="N441" s="6860"/>
      <c r="O441" s="6892" t="s">
        <v>564</v>
      </c>
      <c r="P441" s="6893"/>
      <c r="Q441" s="6893"/>
      <c r="R441" s="6894"/>
      <c r="S441" s="6951"/>
      <c r="T441" s="6892" t="s">
        <v>531</v>
      </c>
      <c r="U441" s="6893"/>
      <c r="V441" s="6893"/>
      <c r="W441" s="6894"/>
      <c r="X441" s="6861"/>
      <c r="Y441" s="6862"/>
      <c r="Z441" s="6863"/>
      <c r="AA441" s="6863"/>
      <c r="AB441" s="6864"/>
      <c r="AC441" s="6865"/>
      <c r="AD441" s="6862"/>
      <c r="AE441" s="6863"/>
      <c r="AF441" s="6863"/>
      <c r="AG441" s="6864"/>
      <c r="AH441" s="6866"/>
      <c r="AI441" s="6680"/>
    </row>
    <row r="442">
      <c r="A442" s="6676"/>
      <c r="B442" s="6856"/>
      <c r="C442" s="6891"/>
      <c r="D442" s="6862"/>
      <c r="E442" s="6895" t="s">
        <v>485</v>
      </c>
      <c r="F442" s="6863"/>
      <c r="G442" s="6863"/>
      <c r="H442" s="6896"/>
      <c r="I442" s="6860"/>
      <c r="J442" s="6895" t="s">
        <v>97</v>
      </c>
      <c r="K442" s="6863"/>
      <c r="L442" s="6863"/>
      <c r="M442" s="6896"/>
      <c r="N442" s="6860"/>
      <c r="O442" s="6895" t="s">
        <v>781</v>
      </c>
      <c r="P442" s="6863"/>
      <c r="Q442" s="6863"/>
      <c r="R442" s="6896"/>
      <c r="S442" s="6951"/>
      <c r="T442" s="6895" t="s">
        <v>2072</v>
      </c>
      <c r="U442" s="6863"/>
      <c r="V442" s="6863"/>
      <c r="W442" s="6896"/>
      <c r="X442" s="6861"/>
      <c r="Y442" s="6862"/>
      <c r="Z442" s="6863"/>
      <c r="AA442" s="6863"/>
      <c r="AB442" s="6864"/>
      <c r="AC442" s="6865"/>
      <c r="AD442" s="6862"/>
      <c r="AE442" s="6863"/>
      <c r="AF442" s="6863"/>
      <c r="AG442" s="6864"/>
      <c r="AH442" s="6866"/>
      <c r="AI442" s="6680"/>
    </row>
    <row r="443" ht="20.25" customHeight="1">
      <c r="A443" s="6676"/>
      <c r="B443" s="6856"/>
      <c r="C443" s="6891"/>
      <c r="D443" s="6862"/>
      <c r="E443" s="6897" t="s">
        <v>493</v>
      </c>
      <c r="F443" s="6898"/>
      <c r="G443" s="6899"/>
      <c r="H443" s="6900" t="str">
        <f>IMAGE("https://raw.githubusercontent.com/msikma/pokesprite/master/items/hold-item/air-balloon.png",3)</f>
        <v/>
      </c>
      <c r="I443" s="6874"/>
      <c r="J443" s="6897" t="s">
        <v>1445</v>
      </c>
      <c r="K443" s="6898"/>
      <c r="L443" s="6899"/>
      <c r="M443" s="6900" t="str">
        <f>IMAGE("https://raw.githubusercontent.com/msikma/pokesprite/master/items/hold-item/choice-scarf.png",3)</f>
        <v/>
      </c>
      <c r="N443" s="6874"/>
      <c r="O443" s="6897" t="s">
        <v>1230</v>
      </c>
      <c r="P443" s="6898"/>
      <c r="Q443" s="6899"/>
      <c r="R443" s="6900" t="str">
        <f>IMAGE("https://raw.githubusercontent.com/msikma/pokesprite/master/items/hold-item/choice-specs.png",3)</f>
        <v/>
      </c>
      <c r="S443" s="6862"/>
      <c r="T443" s="6897" t="s">
        <v>1663</v>
      </c>
      <c r="U443" s="6898"/>
      <c r="V443" s="6899"/>
      <c r="W443" s="6900" t="str">
        <f>IMAGE("https://raw.githubusercontent.com/msikma/pokesprite/master/items/mega-stone/swampertite.png",3)</f>
        <v/>
      </c>
      <c r="X443" s="6865"/>
      <c r="Y443" s="6862"/>
      <c r="Z443" s="6863"/>
      <c r="AA443" s="6863"/>
      <c r="AB443" s="6864"/>
      <c r="AC443" s="6865"/>
      <c r="AD443" s="6862"/>
      <c r="AE443" s="6863"/>
      <c r="AF443" s="6863"/>
      <c r="AG443" s="6864"/>
      <c r="AH443" s="6866"/>
      <c r="AI443" s="6680"/>
    </row>
    <row r="444" ht="20.25" customHeight="1">
      <c r="A444" s="6676"/>
      <c r="B444" s="6856"/>
      <c r="C444" s="6901"/>
      <c r="D444" s="6862"/>
      <c r="E444" s="6892" t="s">
        <v>844</v>
      </c>
      <c r="F444" s="6893"/>
      <c r="G444" s="6902"/>
      <c r="H444" s="6903" t="str">
        <f>IMAGE("https://raw.githubusercontent.com/msikma/pokesprite/master/misc/types/gen8/electric.png",4,20,20)</f>
        <v/>
      </c>
      <c r="I444" s="6874"/>
      <c r="J444" s="6892" t="s">
        <v>592</v>
      </c>
      <c r="K444" s="6893"/>
      <c r="L444" s="6902"/>
      <c r="M444" s="6903" t="str">
        <f>IMAGE("https://raw.githubusercontent.com/msikma/pokesprite/master/misc/types/gen8/water.png",4,20,20)</f>
        <v/>
      </c>
      <c r="N444" s="6874"/>
      <c r="O444" s="6892" t="s">
        <v>592</v>
      </c>
      <c r="P444" s="6893"/>
      <c r="Q444" s="6902"/>
      <c r="R444" s="6903" t="str">
        <f>IMAGE("https://raw.githubusercontent.com/msikma/pokesprite/master/misc/types/gen8/water.png",4,20,20)</f>
        <v/>
      </c>
      <c r="S444" s="6862"/>
      <c r="T444" s="6892" t="s">
        <v>610</v>
      </c>
      <c r="U444" s="6893"/>
      <c r="V444" s="6902"/>
      <c r="W444" s="6903" t="str">
        <f>IMAGE("https://raw.githubusercontent.com/msikma/pokesprite/master/misc/types/gen8/water.png",4,20,20)</f>
        <v/>
      </c>
      <c r="X444" s="6865"/>
      <c r="Y444" s="6862"/>
      <c r="Z444" s="6863"/>
      <c r="AA444" s="6863"/>
      <c r="AB444" s="6864"/>
      <c r="AC444" s="6865"/>
      <c r="AD444" s="6862"/>
      <c r="AE444" s="6863"/>
      <c r="AF444" s="6863"/>
      <c r="AG444" s="6864"/>
      <c r="AH444" s="6866"/>
      <c r="AI444" s="6680"/>
    </row>
    <row r="445" ht="20.25" customHeight="1">
      <c r="A445" s="6676"/>
      <c r="B445" s="6856"/>
      <c r="C445" s="6904"/>
      <c r="D445" s="6862"/>
      <c r="E445" s="6895" t="s">
        <v>773</v>
      </c>
      <c r="F445" s="6863"/>
      <c r="G445" s="6864"/>
      <c r="H445" s="6905" t="str">
        <f>IMAGE("https://raw.githubusercontent.com/msikma/pokesprite/master/misc/types/gen8/poison.png",4,20,20)</f>
        <v/>
      </c>
      <c r="I445" s="6874"/>
      <c r="J445" s="6895" t="s">
        <v>1165</v>
      </c>
      <c r="K445" s="6863"/>
      <c r="L445" s="6863"/>
      <c r="M445" s="6896"/>
      <c r="N445" s="6860"/>
      <c r="O445" s="6895" t="s">
        <v>670</v>
      </c>
      <c r="P445" s="6863"/>
      <c r="Q445" s="6864"/>
      <c r="R445" s="6905" t="str">
        <f>IMAGE("https://raw.githubusercontent.com/msikma/pokesprite/master/misc/types/gen8/ice.png",4,20,20)</f>
        <v/>
      </c>
      <c r="S445" s="6862"/>
      <c r="T445" s="6895" t="s">
        <v>582</v>
      </c>
      <c r="U445" s="6863"/>
      <c r="V445" s="6864"/>
      <c r="W445" s="6905" t="str">
        <f>IMAGE("https://raw.githubusercontent.com/msikma/pokesprite/master/misc/types/gen8/ice.png",4,20,20)</f>
        <v/>
      </c>
      <c r="X445" s="6865"/>
      <c r="Y445" s="6862"/>
      <c r="Z445" s="6863"/>
      <c r="AA445" s="6863"/>
      <c r="AB445" s="6864"/>
      <c r="AC445" s="6865"/>
      <c r="AD445" s="6862"/>
      <c r="AE445" s="6863"/>
      <c r="AF445" s="6863"/>
      <c r="AG445" s="6864"/>
      <c r="AH445" s="6866"/>
      <c r="AI445" s="6680"/>
    </row>
    <row r="446" ht="20.25" customHeight="1">
      <c r="A446" s="6676"/>
      <c r="B446" s="6856"/>
      <c r="C446" s="6904"/>
      <c r="D446" s="6862"/>
      <c r="E446" s="6895" t="s">
        <v>981</v>
      </c>
      <c r="F446" s="6863"/>
      <c r="G446" s="6864"/>
      <c r="H446" s="6905" t="str">
        <f>IMAGE("https://raw.githubusercontent.com/msikma/pokesprite/master/misc/types/gen8/water.png",4,20,20)</f>
        <v/>
      </c>
      <c r="I446" s="6874"/>
      <c r="J446" s="6895" t="s">
        <v>1165</v>
      </c>
      <c r="K446" s="6863"/>
      <c r="L446" s="6863"/>
      <c r="M446" s="6896"/>
      <c r="N446" s="6860"/>
      <c r="O446" s="6895" t="s">
        <v>666</v>
      </c>
      <c r="P446" s="6863"/>
      <c r="Q446" s="6864"/>
      <c r="R446" s="6905" t="str">
        <f>IMAGE("https://raw.githubusercontent.com/msikma/pokesprite/master/misc/types/gen8/dark.png",4,20,20)</f>
        <v/>
      </c>
      <c r="S446" s="6862"/>
      <c r="T446" s="6895" t="s">
        <v>715</v>
      </c>
      <c r="U446" s="6863"/>
      <c r="V446" s="6864"/>
      <c r="W446" s="6905" t="str">
        <f>IMAGE("https://raw.githubusercontent.com/msikma/pokesprite/master/misc/types/gen8/dragon.png",4,20,20)</f>
        <v/>
      </c>
      <c r="X446" s="6865"/>
      <c r="Y446" s="6862"/>
      <c r="Z446" s="6863"/>
      <c r="AA446" s="6863"/>
      <c r="AB446" s="6864"/>
      <c r="AC446" s="6865"/>
      <c r="AD446" s="6862"/>
      <c r="AE446" s="6863"/>
      <c r="AF446" s="6863"/>
      <c r="AG446" s="6864"/>
      <c r="AH446" s="6866"/>
      <c r="AI446" s="6680"/>
    </row>
    <row r="447" ht="21.0" customHeight="1">
      <c r="A447" s="6676"/>
      <c r="B447" s="6856"/>
      <c r="C447" s="6904"/>
      <c r="D447" s="6862"/>
      <c r="E447" s="6906" t="s">
        <v>553</v>
      </c>
      <c r="F447" s="6907"/>
      <c r="G447" s="6908"/>
      <c r="H447" s="6909" t="str">
        <f>IMAGE("https://raw.githubusercontent.com/msikma/pokesprite/master/misc/types/gen8/grass.png",4,20,20)</f>
        <v/>
      </c>
      <c r="I447" s="6874"/>
      <c r="J447" s="6906" t="s">
        <v>1165</v>
      </c>
      <c r="K447" s="6907"/>
      <c r="L447" s="6907"/>
      <c r="M447" s="7097"/>
      <c r="N447" s="6860"/>
      <c r="O447" s="6906" t="s">
        <v>2073</v>
      </c>
      <c r="P447" s="6907"/>
      <c r="Q447" s="6908"/>
      <c r="R447" s="6909" t="str">
        <f>IMAGE("https://raw.githubusercontent.com/msikma/pokesprite/master/misc/types/gen8/psychic.png",4,20,20)</f>
        <v/>
      </c>
      <c r="S447" s="6862"/>
      <c r="T447" s="6906" t="s">
        <v>547</v>
      </c>
      <c r="U447" s="6907"/>
      <c r="V447" s="6908"/>
      <c r="W447" s="6909" t="str">
        <f>IMAGE("https://raw.githubusercontent.com/msikma/pokesprite/master/misc/types/gen8/electric.png",4,20,20)</f>
        <v/>
      </c>
      <c r="X447" s="6865"/>
      <c r="Y447" s="6862"/>
      <c r="Z447" s="6863"/>
      <c r="AA447" s="6863"/>
      <c r="AB447" s="6864"/>
      <c r="AC447" s="6865"/>
      <c r="AD447" s="6862"/>
      <c r="AE447" s="6863"/>
      <c r="AF447" s="6863"/>
      <c r="AG447" s="6864"/>
      <c r="AH447" s="6866"/>
      <c r="AI447" s="6680"/>
    </row>
    <row r="448" ht="3.0" customHeight="1">
      <c r="A448" s="6738"/>
      <c r="B448" s="6910"/>
      <c r="C448" s="6911"/>
      <c r="D448" s="6912"/>
      <c r="E448" s="6915"/>
      <c r="F448" s="6915"/>
      <c r="G448" s="6915"/>
      <c r="H448" s="6914"/>
      <c r="I448" s="6912"/>
      <c r="J448" s="6915"/>
      <c r="K448" s="6915"/>
      <c r="L448" s="6915"/>
      <c r="M448" s="6913"/>
      <c r="N448" s="6912"/>
      <c r="O448" s="6915"/>
      <c r="P448" s="6915"/>
      <c r="Q448" s="6915"/>
      <c r="R448" s="6914"/>
      <c r="S448" s="6914"/>
      <c r="T448" s="6915"/>
      <c r="U448" s="6915"/>
      <c r="V448" s="6915"/>
      <c r="W448" s="6914"/>
      <c r="X448" s="6912"/>
      <c r="Y448" s="6914"/>
      <c r="Z448" s="6914"/>
      <c r="AA448" s="6914"/>
      <c r="AB448" s="6914"/>
      <c r="AC448" s="6916"/>
      <c r="AD448" s="6914"/>
      <c r="AE448" s="6914"/>
      <c r="AF448" s="6914"/>
      <c r="AG448" s="6914"/>
      <c r="AH448" s="6917"/>
      <c r="AI448" s="6747"/>
    </row>
    <row r="449" ht="16.5" customHeight="1">
      <c r="A449" s="6738"/>
      <c r="B449" s="6918"/>
      <c r="C449" s="6911"/>
      <c r="D449" s="6922"/>
      <c r="E449" s="6920" t="s">
        <v>512</v>
      </c>
      <c r="F449" s="606"/>
      <c r="G449" s="606"/>
      <c r="H449" s="607"/>
      <c r="I449" s="6921"/>
      <c r="J449" s="6920" t="s">
        <v>512</v>
      </c>
      <c r="K449" s="606"/>
      <c r="L449" s="606"/>
      <c r="M449" s="607"/>
      <c r="N449" s="6922"/>
      <c r="O449" s="6920" t="s">
        <v>512</v>
      </c>
      <c r="P449" s="606"/>
      <c r="Q449" s="606"/>
      <c r="R449" s="607"/>
      <c r="S449" s="6952"/>
      <c r="T449" s="6920" t="s">
        <v>512</v>
      </c>
      <c r="U449" s="606"/>
      <c r="V449" s="606"/>
      <c r="W449" s="607"/>
      <c r="X449" s="6865"/>
      <c r="Y449" s="6865"/>
      <c r="Z449" s="6865"/>
      <c r="AA449" s="6865"/>
      <c r="AB449" s="6865"/>
      <c r="AC449" s="6865"/>
      <c r="AD449" s="6865"/>
      <c r="AE449" s="6865"/>
      <c r="AF449" s="6865"/>
      <c r="AG449" s="6923"/>
      <c r="AH449" s="6924"/>
      <c r="AI449" s="6747"/>
    </row>
    <row r="450" ht="16.5" customHeight="1">
      <c r="A450" s="6738"/>
      <c r="B450" s="6918"/>
      <c r="C450" s="6911"/>
      <c r="D450" s="6919"/>
      <c r="E450" s="6925" t="s">
        <v>513</v>
      </c>
      <c r="F450" s="6926">
        <f t="array" ref="F450">IFERROR(VLOOKUP(E437,Dex!$B$3:$N1219,8,FALSE),"")</f>
        <v>80</v>
      </c>
      <c r="G450" s="6927" t="str">
        <f t="array" ref="G450">IFERROR(VLOOKUP(F450,Dex!$P$22:$Q$276,2,FALSE),"")</f>
        <v/>
      </c>
      <c r="H450" s="6928"/>
      <c r="I450" s="6929"/>
      <c r="J450" s="6925" t="s">
        <v>513</v>
      </c>
      <c r="K450" s="6926">
        <f t="array" ref="K450">IFERROR(VLOOKUP(J437,Dex!$B$3:$N1219,8,FALSE),"")</f>
        <v>95</v>
      </c>
      <c r="L450" s="6927" t="str">
        <f t="array" ref="L450">IFERROR(VLOOKUP(K450,Dex!$P$22:$Q$276,2,FALSE),"")</f>
        <v/>
      </c>
      <c r="M450" s="6928"/>
      <c r="N450" s="6919"/>
      <c r="O450" s="6925" t="s">
        <v>513</v>
      </c>
      <c r="P450" s="6926">
        <f t="array" ref="P450">IFERROR(VLOOKUP(O437,Dex!$B$3:$N1219,8,FALSE),"")</f>
        <v>72</v>
      </c>
      <c r="Q450" s="6927" t="str">
        <f t="array" ref="Q450">IFERROR(VLOOKUP(P450,Dex!$P$22:$Q$276,2,FALSE),"")</f>
        <v/>
      </c>
      <c r="R450" s="6928"/>
      <c r="S450" s="6930"/>
      <c r="T450" s="6925" t="s">
        <v>513</v>
      </c>
      <c r="U450" s="6926">
        <f t="array" ref="U450">IFERROR(VLOOKUP(T437,Dex!$B$3:$N1219,8,FALSE),"")</f>
        <v>130</v>
      </c>
      <c r="V450" s="6927" t="str">
        <f t="array" ref="V450">IFERROR(VLOOKUP(U450,Dex!$P$22:$Q$276,2,FALSE),"")</f>
        <v/>
      </c>
      <c r="W450" s="6928"/>
      <c r="X450" s="6865"/>
      <c r="Y450" s="6865"/>
      <c r="Z450" s="6865"/>
      <c r="AA450" s="6865"/>
      <c r="AB450" s="6865"/>
      <c r="AC450" s="6865"/>
      <c r="AD450" s="6865"/>
      <c r="AE450" s="6865"/>
      <c r="AF450" s="6865"/>
      <c r="AG450" s="6923"/>
      <c r="AH450" s="6924"/>
      <c r="AI450" s="6747"/>
    </row>
    <row r="451" ht="16.5" customHeight="1">
      <c r="A451" s="6738"/>
      <c r="B451" s="6918"/>
      <c r="C451" s="6911"/>
      <c r="D451" s="6919"/>
      <c r="E451" s="6931" t="s">
        <v>514</v>
      </c>
      <c r="F451" s="6932">
        <f t="array" ref="F451">IFERROR(VLOOKUP(E437,Dex!$B$3:$N1219,9,FALSE),"")</f>
        <v>30</v>
      </c>
      <c r="G451" s="6933" t="str">
        <f t="array" ref="G451">IFERROR(VLOOKUP(F451,Dex!$P$22:$Q$276,2,FALSE),"")</f>
        <v/>
      </c>
      <c r="H451" s="6934"/>
      <c r="I451" s="6929"/>
      <c r="J451" s="6931" t="s">
        <v>514</v>
      </c>
      <c r="K451" s="6932">
        <f t="array" ref="K451">IFERROR(VLOOKUP(J437,Dex!$B$3:$N1219,9,FALSE),"")</f>
        <v>60</v>
      </c>
      <c r="L451" s="6933" t="str">
        <f t="array" ref="L451">IFERROR(VLOOKUP(K451,Dex!$P$22:$Q$276,2,FALSE),"")</f>
        <v/>
      </c>
      <c r="M451" s="6934"/>
      <c r="N451" s="6919"/>
      <c r="O451" s="6931" t="s">
        <v>514</v>
      </c>
      <c r="P451" s="6932">
        <f t="array" ref="P451">IFERROR(VLOOKUP(O437,Dex!$B$3:$N1219,9,FALSE),"")</f>
        <v>95</v>
      </c>
      <c r="Q451" s="6933" t="str">
        <f t="array" ref="Q451">IFERROR(VLOOKUP(P451,Dex!$P$22:$Q$276,2,FALSE),"")</f>
        <v/>
      </c>
      <c r="R451" s="6934"/>
      <c r="S451" s="6930"/>
      <c r="T451" s="6931" t="s">
        <v>514</v>
      </c>
      <c r="U451" s="6932">
        <f t="array" ref="U451">IFERROR(VLOOKUP(T437,Dex!$B$3:$N1219,9,FALSE),"")</f>
        <v>105</v>
      </c>
      <c r="V451" s="6933" t="str">
        <f t="array" ref="V451">IFERROR(VLOOKUP(U451,Dex!$P$22:$Q$276,2,FALSE),"")</f>
        <v/>
      </c>
      <c r="W451" s="6934"/>
      <c r="X451" s="6862"/>
      <c r="Y451" s="6863"/>
      <c r="Z451" s="6863"/>
      <c r="AA451" s="6864"/>
      <c r="AB451" s="6865"/>
      <c r="AC451" s="6862"/>
      <c r="AD451" s="6863"/>
      <c r="AE451" s="6863"/>
      <c r="AF451" s="6864"/>
      <c r="AG451" s="6923"/>
      <c r="AH451" s="6924"/>
      <c r="AI451" s="6747"/>
    </row>
    <row r="452" ht="16.5" customHeight="1">
      <c r="A452" s="6738"/>
      <c r="B452" s="6918"/>
      <c r="C452" s="6911"/>
      <c r="D452" s="6919"/>
      <c r="E452" s="6931" t="s">
        <v>515</v>
      </c>
      <c r="F452" s="6932">
        <f t="array" ref="F452">IFERROR(VLOOKUP(E437,Dex!$B$3:$N1219,10,FALSE),"")</f>
        <v>70</v>
      </c>
      <c r="G452" s="6933" t="str">
        <f t="array" ref="G452">IFERROR(VLOOKUP(F452,Dex!$P$22:$Q$276,2,FALSE),"")</f>
        <v/>
      </c>
      <c r="H452" s="6934"/>
      <c r="I452" s="6929"/>
      <c r="J452" s="6931" t="s">
        <v>515</v>
      </c>
      <c r="K452" s="6932">
        <f t="array" ref="K452">IFERROR(VLOOKUP(J437,Dex!$B$3:$N1219,10,FALSE),"")</f>
        <v>84</v>
      </c>
      <c r="L452" s="6933" t="str">
        <f t="array" ref="L452">IFERROR(VLOOKUP(K452,Dex!$P$22:$Q$276,2,FALSE),"")</f>
        <v/>
      </c>
      <c r="M452" s="6934"/>
      <c r="N452" s="6919"/>
      <c r="O452" s="6931" t="s">
        <v>515</v>
      </c>
      <c r="P452" s="6932">
        <f t="array" ref="P452">IFERROR(VLOOKUP(O437,Dex!$B$3:$N1219,10,FALSE),"")</f>
        <v>67</v>
      </c>
      <c r="Q452" s="6933" t="str">
        <f t="array" ref="Q452">IFERROR(VLOOKUP(P452,Dex!$P$22:$Q$276,2,FALSE),"")</f>
        <v/>
      </c>
      <c r="R452" s="6934"/>
      <c r="S452" s="6930"/>
      <c r="T452" s="6931" t="s">
        <v>515</v>
      </c>
      <c r="U452" s="6932">
        <f t="array" ref="U452">IFERROR(VLOOKUP(T437,Dex!$B$3:$N1219,10,FALSE),"")</f>
        <v>90</v>
      </c>
      <c r="V452" s="6933" t="str">
        <f t="array" ref="V452">IFERROR(VLOOKUP(U452,Dex!$P$22:$Q$276,2,FALSE),"")</f>
        <v/>
      </c>
      <c r="W452" s="6934"/>
      <c r="X452" s="6862"/>
      <c r="Y452" s="6863"/>
      <c r="Z452" s="6863"/>
      <c r="AA452" s="6864"/>
      <c r="AB452" s="6865"/>
      <c r="AC452" s="6862"/>
      <c r="AD452" s="6863"/>
      <c r="AE452" s="6863"/>
      <c r="AF452" s="6864"/>
      <c r="AG452" s="6923"/>
      <c r="AH452" s="6924"/>
      <c r="AI452" s="6747"/>
    </row>
    <row r="453" ht="16.5" customHeight="1">
      <c r="A453" s="6738"/>
      <c r="B453" s="6918"/>
      <c r="C453" s="6911"/>
      <c r="D453" s="6919"/>
      <c r="E453" s="6931" t="s">
        <v>516</v>
      </c>
      <c r="F453" s="6932">
        <f t="array" ref="F453">IFERROR(VLOOKUP(E437,Dex!$B$3:$N1219,11,FALSE),"")</f>
        <v>100</v>
      </c>
      <c r="G453" s="6933" t="str">
        <f t="array" ref="G453">IFERROR(VLOOKUP(F453,Dex!$P$22:$Q$276,2,FALSE),"")</f>
        <v/>
      </c>
      <c r="H453" s="6934"/>
      <c r="I453" s="6929"/>
      <c r="J453" s="6931" t="s">
        <v>516</v>
      </c>
      <c r="K453" s="6932">
        <f t="array" ref="K453">IFERROR(VLOOKUP(J437,Dex!$B$3:$N1219,11,FALSE),"")</f>
        <v>100</v>
      </c>
      <c r="L453" s="6933" t="str">
        <f t="array" ref="L453">IFERROR(VLOOKUP(K453,Dex!$P$22:$Q$276,2,FALSE),"")</f>
        <v/>
      </c>
      <c r="M453" s="6934"/>
      <c r="N453" s="6919"/>
      <c r="O453" s="6931" t="s">
        <v>516</v>
      </c>
      <c r="P453" s="6932">
        <f t="array" ref="P453">IFERROR(VLOOKUP(O437,Dex!$B$3:$N1219,11,FALSE),"")</f>
        <v>103</v>
      </c>
      <c r="Q453" s="6933" t="str">
        <f t="array" ref="Q453">IFERROR(VLOOKUP(P453,Dex!$P$22:$Q$276,2,FALSE),"")</f>
        <v/>
      </c>
      <c r="R453" s="6934"/>
      <c r="S453" s="6930"/>
      <c r="T453" s="6931" t="s">
        <v>516</v>
      </c>
      <c r="U453" s="6932">
        <f t="array" ref="U453">IFERROR(VLOOKUP(T437,Dex!$B$3:$N1219,11,FALSE),"")</f>
        <v>115</v>
      </c>
      <c r="V453" s="6933" t="str">
        <f t="array" ref="V453">IFERROR(VLOOKUP(U453,Dex!$P$22:$Q$276,2,FALSE),"")</f>
        <v/>
      </c>
      <c r="W453" s="6934"/>
      <c r="X453" s="6865"/>
      <c r="Y453" s="6865"/>
      <c r="Z453" s="6865"/>
      <c r="AA453" s="6865"/>
      <c r="AB453" s="6865"/>
      <c r="AC453" s="6862"/>
      <c r="AD453" s="6863"/>
      <c r="AE453" s="6863"/>
      <c r="AF453" s="6864"/>
      <c r="AG453" s="6923"/>
      <c r="AH453" s="6924"/>
      <c r="AI453" s="6747"/>
    </row>
    <row r="454" ht="16.5" customHeight="1">
      <c r="A454" s="6738"/>
      <c r="B454" s="6918"/>
      <c r="C454" s="6911"/>
      <c r="D454" s="6919"/>
      <c r="E454" s="6931" t="s">
        <v>517</v>
      </c>
      <c r="F454" s="6932">
        <f t="array" ref="F454">IFERROR(VLOOKUP(E437,Dex!$B$3:$N1219,12,FALSE),"")</f>
        <v>120</v>
      </c>
      <c r="G454" s="6933" t="str">
        <f t="array" ref="G454">IFERROR(VLOOKUP(F454,Dex!$P$22:$Q$276,2,FALSE),"")</f>
        <v/>
      </c>
      <c r="H454" s="6934"/>
      <c r="I454" s="6929"/>
      <c r="J454" s="6931" t="s">
        <v>517</v>
      </c>
      <c r="K454" s="6932">
        <f t="array" ref="K454">IFERROR(VLOOKUP(J437,Dex!$B$3:$N1219,12,FALSE),"")</f>
        <v>125</v>
      </c>
      <c r="L454" s="6933" t="str">
        <f t="array" ref="L454">IFERROR(VLOOKUP(K454,Dex!$P$22:$Q$276,2,FALSE),"")</f>
        <v/>
      </c>
      <c r="M454" s="6934"/>
      <c r="N454" s="6919"/>
      <c r="O454" s="6931" t="s">
        <v>517</v>
      </c>
      <c r="P454" s="6932">
        <f t="array" ref="P454">IFERROR(VLOOKUP(O437,Dex!$B$3:$N1219,12,FALSE),"")</f>
        <v>71</v>
      </c>
      <c r="Q454" s="6933" t="str">
        <f t="array" ref="Q454">IFERROR(VLOOKUP(P454,Dex!$P$22:$Q$276,2,FALSE),"")</f>
        <v/>
      </c>
      <c r="R454" s="6934"/>
      <c r="S454" s="6930"/>
      <c r="T454" s="6931" t="s">
        <v>517</v>
      </c>
      <c r="U454" s="6932">
        <f t="array" ref="U454">IFERROR(VLOOKUP(T437,Dex!$B$3:$N1219,12,FALSE),"")</f>
        <v>105</v>
      </c>
      <c r="V454" s="6933" t="str">
        <f t="array" ref="V454">IFERROR(VLOOKUP(U454,Dex!$P$22:$Q$276,2,FALSE),"")</f>
        <v/>
      </c>
      <c r="W454" s="6934"/>
      <c r="X454" s="6865"/>
      <c r="Y454" s="6865"/>
      <c r="Z454" s="6865"/>
      <c r="AA454" s="6865"/>
      <c r="AB454" s="6865"/>
      <c r="AC454" s="6862"/>
      <c r="AD454" s="6863"/>
      <c r="AE454" s="6863"/>
      <c r="AF454" s="6864"/>
      <c r="AG454" s="6923"/>
      <c r="AH454" s="6924"/>
      <c r="AI454" s="6747"/>
    </row>
    <row r="455" ht="16.5" customHeight="1">
      <c r="A455" s="6738"/>
      <c r="B455" s="6918"/>
      <c r="C455" s="6911"/>
      <c r="D455" s="6919"/>
      <c r="E455" s="6935" t="s">
        <v>518</v>
      </c>
      <c r="F455" s="6936">
        <f t="array" ref="F455">IFERROR(VLOOKUP(E437,Dex!$B$3:$N1219,13,FALSE),"")</f>
        <v>95</v>
      </c>
      <c r="G455" s="6937" t="str">
        <f t="array" ref="G455">IFERROR(VLOOKUP(F455,Dex!$P$22:$Q$276,2,FALSE),"")</f>
        <v/>
      </c>
      <c r="H455" s="6938"/>
      <c r="I455" s="6929"/>
      <c r="J455" s="6935" t="s">
        <v>518</v>
      </c>
      <c r="K455" s="6936">
        <f t="array" ref="K455">IFERROR(VLOOKUP(J437,Dex!$B$3:$N1219,13,FALSE),"")</f>
        <v>86</v>
      </c>
      <c r="L455" s="6937" t="str">
        <f t="array" ref="L455">IFERROR(VLOOKUP(K455,Dex!$P$22:$Q$276,2,FALSE),"")</f>
        <v/>
      </c>
      <c r="M455" s="6938"/>
      <c r="N455" s="6919"/>
      <c r="O455" s="6935" t="s">
        <v>518</v>
      </c>
      <c r="P455" s="6936">
        <f t="array" ref="P455">IFERROR(VLOOKUP(O437,Dex!$B$3:$N1219,13,FALSE),"")</f>
        <v>122</v>
      </c>
      <c r="Q455" s="6937" t="str">
        <f t="array" ref="Q455">IFERROR(VLOOKUP(P455,Dex!$P$22:$Q$276,2,FALSE),"")</f>
        <v/>
      </c>
      <c r="R455" s="6938"/>
      <c r="S455" s="6930"/>
      <c r="T455" s="6935" t="s">
        <v>518</v>
      </c>
      <c r="U455" s="6936">
        <f t="array" ref="U455">IFERROR(VLOOKUP(T437,Dex!$B$3:$N1219,13,FALSE),"")</f>
        <v>70</v>
      </c>
      <c r="V455" s="6937" t="str">
        <f t="array" ref="V455">IFERROR(VLOOKUP(U455,Dex!$P$22:$Q$276,2,FALSE),"")</f>
        <v/>
      </c>
      <c r="W455" s="6938"/>
      <c r="X455" s="6865"/>
      <c r="Y455" s="6862"/>
      <c r="Z455" s="6863"/>
      <c r="AA455" s="6863"/>
      <c r="AB455" s="6864"/>
      <c r="AC455" s="6862"/>
      <c r="AD455" s="6863"/>
      <c r="AE455" s="6863"/>
      <c r="AF455" s="6864"/>
      <c r="AG455" s="6865"/>
      <c r="AH455" s="6924"/>
      <c r="AI455" s="6747"/>
    </row>
    <row r="456" ht="16.5" customHeight="1">
      <c r="A456" s="6738"/>
      <c r="B456" s="6918"/>
      <c r="C456" s="6911"/>
      <c r="D456" s="6922"/>
      <c r="E456" s="6939" t="s">
        <v>519</v>
      </c>
      <c r="F456" s="630"/>
      <c r="G456" s="631"/>
      <c r="H456" s="6940">
        <v>248.0</v>
      </c>
      <c r="I456" s="6921"/>
      <c r="J456" s="6953" t="s">
        <v>519</v>
      </c>
      <c r="K456" s="635"/>
      <c r="L456" s="636"/>
      <c r="M456" s="6954">
        <v>223.0</v>
      </c>
      <c r="N456" s="6922"/>
      <c r="O456" s="6939" t="s">
        <v>519</v>
      </c>
      <c r="P456" s="630"/>
      <c r="Q456" s="631"/>
      <c r="R456" s="6940">
        <v>301.0</v>
      </c>
      <c r="S456" s="7098"/>
      <c r="T456" s="6939" t="s">
        <v>519</v>
      </c>
      <c r="U456" s="630"/>
      <c r="V456" s="631"/>
      <c r="W456" s="6940">
        <v>176.0</v>
      </c>
      <c r="X456" s="6865"/>
      <c r="Y456" s="6862"/>
      <c r="Z456" s="6863"/>
      <c r="AA456" s="6863"/>
      <c r="AB456" s="6864"/>
      <c r="AC456" s="6862"/>
      <c r="AD456" s="6863"/>
      <c r="AE456" s="6863"/>
      <c r="AF456" s="6864"/>
      <c r="AG456" s="6865"/>
      <c r="AH456" s="6924"/>
      <c r="AI456" s="6747"/>
    </row>
    <row r="457" ht="16.5" customHeight="1">
      <c r="A457" s="6738"/>
      <c r="B457" s="6955"/>
      <c r="C457" s="6956"/>
      <c r="D457" s="6957"/>
      <c r="E457" s="6958"/>
      <c r="F457" s="6958"/>
      <c r="G457" s="6958"/>
      <c r="H457" s="6911"/>
      <c r="I457" s="7099"/>
      <c r="J457" s="6961" t="s">
        <v>1449</v>
      </c>
      <c r="K457" s="643"/>
      <c r="L457" s="644"/>
      <c r="M457" s="6787">
        <f>ROUNDDOWN(M456*1.5,0)</f>
        <v>334</v>
      </c>
      <c r="N457" s="6957"/>
      <c r="O457" s="6958"/>
      <c r="P457" s="6958"/>
      <c r="Q457" s="6958"/>
      <c r="R457" s="6911"/>
      <c r="S457" s="7100"/>
      <c r="T457" s="6958"/>
      <c r="U457" s="6958"/>
      <c r="V457" s="6958"/>
      <c r="W457" s="6911"/>
      <c r="X457" s="6963"/>
      <c r="Y457" s="6963"/>
      <c r="Z457" s="6963"/>
      <c r="AA457" s="6963"/>
      <c r="AB457" s="6963"/>
      <c r="AC457" s="6963"/>
      <c r="AD457" s="6963"/>
      <c r="AE457" s="6963"/>
      <c r="AF457" s="6963"/>
      <c r="AG457" s="6963"/>
      <c r="AH457" s="6964"/>
      <c r="AI457" s="6747"/>
    </row>
    <row r="458" ht="15.0" customHeight="1">
      <c r="A458" s="6676"/>
      <c r="B458" s="6941"/>
      <c r="C458" s="6942"/>
      <c r="D458" s="6943"/>
      <c r="E458" s="6944"/>
      <c r="F458" s="6944"/>
      <c r="G458" s="6944"/>
      <c r="H458" s="6944"/>
      <c r="I458" s="6945"/>
      <c r="J458" s="6946"/>
      <c r="K458" s="6946"/>
      <c r="L458" s="6946"/>
      <c r="M458" s="6944"/>
      <c r="N458" s="6945"/>
      <c r="O458" s="6944"/>
      <c r="P458" s="6944"/>
      <c r="Q458" s="6944"/>
      <c r="R458" s="6944"/>
      <c r="S458" s="6943"/>
      <c r="T458" s="7101"/>
      <c r="U458" s="3255"/>
      <c r="V458" s="3255"/>
      <c r="W458" s="7102"/>
      <c r="X458" s="6943"/>
      <c r="Y458" s="6947"/>
      <c r="Z458" s="6948"/>
      <c r="AA458" s="6948"/>
      <c r="AB458" s="6949"/>
      <c r="AC458" s="6943"/>
      <c r="AD458" s="6943"/>
      <c r="AE458" s="6943"/>
      <c r="AF458" s="6943"/>
      <c r="AG458" s="6943"/>
      <c r="AH458" s="6950"/>
      <c r="AI458" s="6680"/>
    </row>
    <row r="459" ht="15.0" customHeight="1">
      <c r="A459" s="6738"/>
      <c r="B459" s="6080"/>
      <c r="C459" s="6081"/>
      <c r="D459" s="6081"/>
      <c r="E459" s="7069"/>
      <c r="F459" s="7069"/>
      <c r="G459" s="7069"/>
      <c r="H459" s="7069"/>
      <c r="I459" s="6081"/>
      <c r="J459" s="7069"/>
      <c r="K459" s="7069"/>
      <c r="L459" s="7069"/>
      <c r="M459" s="7069"/>
      <c r="N459" s="6081"/>
      <c r="O459" s="7070"/>
      <c r="P459" s="7070"/>
      <c r="Q459" s="7070"/>
      <c r="R459" s="7069"/>
      <c r="S459" s="6081"/>
      <c r="T459" s="7071"/>
      <c r="U459" s="7071"/>
      <c r="V459" s="7071"/>
      <c r="W459" s="7069"/>
      <c r="X459" s="6081"/>
      <c r="Y459" s="6083"/>
      <c r="Z459" s="6083"/>
      <c r="AA459" s="6083"/>
      <c r="AB459" s="6081"/>
      <c r="AC459" s="6081"/>
      <c r="AD459" s="7069"/>
      <c r="AE459" s="7069"/>
      <c r="AF459" s="7069"/>
      <c r="AG459" s="7069"/>
      <c r="AH459" s="6084"/>
      <c r="AI459" s="6747"/>
    </row>
    <row r="460" ht="96.75" customHeight="1">
      <c r="A460" s="6738"/>
      <c r="B460" s="6095"/>
      <c r="C460" s="7103" t="str">
        <f>IMAGE("https://i.ibb.co/tCvX9Dw/Crush-Kin.png")</f>
        <v/>
      </c>
      <c r="D460" s="6097"/>
      <c r="E460" s="7104" t="str">
        <f t="array" ref="E460">IFERROR(VLOOKUP(E461,Dex!$B$3:$G1219,3,FALSE),"")</f>
        <v/>
      </c>
      <c r="F460" s="1945"/>
      <c r="G460" s="1945"/>
      <c r="H460" s="1946"/>
      <c r="I460" s="6099"/>
      <c r="J460" s="7104" t="str">
        <f t="array" ref="J460">IFERROR(VLOOKUP(J461,Dex!$B$3:$G1219,3,FALSE),"")</f>
        <v/>
      </c>
      <c r="K460" s="1945"/>
      <c r="L460" s="1945"/>
      <c r="M460" s="1946"/>
      <c r="N460" s="6099"/>
      <c r="O460" s="7104" t="str">
        <f t="array" ref="O460">IFERROR(VLOOKUP(O461,Dex!$B$3:$G1219,3,FALSE),"")</f>
        <v/>
      </c>
      <c r="P460" s="1945"/>
      <c r="Q460" s="1945"/>
      <c r="R460" s="1946"/>
      <c r="S460" s="6099"/>
      <c r="T460" s="7104" t="str">
        <f t="array" ref="T460">IFERROR(VLOOKUP(T461,Dex!$B$3:$G1219,3,FALSE),"")</f>
        <v/>
      </c>
      <c r="U460" s="1945"/>
      <c r="V460" s="1945"/>
      <c r="W460" s="1946"/>
      <c r="X460" s="6099"/>
      <c r="Y460" s="7074"/>
      <c r="Z460" s="6126"/>
      <c r="AA460" s="6126"/>
      <c r="AB460" s="6134"/>
      <c r="AC460" s="7075"/>
      <c r="AD460" s="7074"/>
      <c r="AE460" s="6126"/>
      <c r="AF460" s="6126"/>
      <c r="AG460" s="6134"/>
      <c r="AH460" s="6094"/>
      <c r="AI460" s="6747"/>
    </row>
    <row r="461" ht="18.75" customHeight="1">
      <c r="A461" s="6738"/>
      <c r="B461" s="6095"/>
      <c r="C461" s="6100" t="s">
        <v>2074</v>
      </c>
      <c r="D461" s="6101"/>
      <c r="E461" s="6102" t="s">
        <v>1213</v>
      </c>
      <c r="F461" s="6103"/>
      <c r="G461" s="6103"/>
      <c r="H461" s="6104"/>
      <c r="J461" s="6102" t="s">
        <v>1760</v>
      </c>
      <c r="K461" s="6103"/>
      <c r="L461" s="6103"/>
      <c r="M461" s="6104"/>
      <c r="O461" s="6102" t="s">
        <v>2075</v>
      </c>
      <c r="P461" s="6103"/>
      <c r="Q461" s="6103"/>
      <c r="R461" s="6104"/>
      <c r="T461" s="6102" t="s">
        <v>2076</v>
      </c>
      <c r="U461" s="6103"/>
      <c r="V461" s="6103"/>
      <c r="W461" s="6104"/>
      <c r="Y461" s="7074"/>
      <c r="Z461" s="6126"/>
      <c r="AA461" s="6126"/>
      <c r="AB461" s="6134"/>
      <c r="AC461" s="7076"/>
      <c r="AD461" s="7074"/>
      <c r="AE461" s="6126"/>
      <c r="AF461" s="6126"/>
      <c r="AG461" s="6134"/>
      <c r="AH461" s="6094"/>
      <c r="AI461" s="6747"/>
    </row>
    <row r="462">
      <c r="A462" s="6738"/>
      <c r="B462" s="6095"/>
      <c r="C462" s="1638"/>
      <c r="D462" s="6101"/>
      <c r="E462" s="6105" t="s">
        <v>729</v>
      </c>
      <c r="F462" s="6106"/>
      <c r="G462" s="6106"/>
      <c r="H462" s="6107"/>
      <c r="J462" s="6105" t="s">
        <v>796</v>
      </c>
      <c r="K462" s="6106"/>
      <c r="L462" s="6106"/>
      <c r="M462" s="6107"/>
      <c r="O462" s="6105" t="s">
        <v>967</v>
      </c>
      <c r="P462" s="6106"/>
      <c r="Q462" s="6106"/>
      <c r="R462" s="6107"/>
      <c r="T462" s="6105" t="s">
        <v>729</v>
      </c>
      <c r="U462" s="6106"/>
      <c r="V462" s="6106"/>
      <c r="W462" s="6107"/>
      <c r="Y462" s="7074"/>
      <c r="Z462" s="6126"/>
      <c r="AA462" s="6126"/>
      <c r="AB462" s="6134"/>
      <c r="AC462" s="7076"/>
      <c r="AD462" s="7074"/>
      <c r="AE462" s="6126"/>
      <c r="AF462" s="6126"/>
      <c r="AG462" s="6134"/>
      <c r="AH462" s="6094"/>
      <c r="AI462" s="6747"/>
    </row>
    <row r="463" ht="25.5" customHeight="1">
      <c r="A463" s="6738"/>
      <c r="B463" s="6095"/>
      <c r="C463" s="1646"/>
      <c r="D463" s="6108"/>
      <c r="E463" s="6109"/>
      <c r="F463" s="6110" t="str">
        <f t="array" ref="F463">IFERROR(VLOOKUP(E461,Dex!$B$3:$H1219,5,FALSE),"")</f>
        <v/>
      </c>
      <c r="G463" s="6111" t="str">
        <f t="array" ref="G463">IFERROR(VLOOKUP(E461,Dex!$B$3:$H1219,7,FALSE),"")</f>
        <v/>
      </c>
      <c r="H463" s="6112"/>
      <c r="J463" s="6109"/>
      <c r="K463" s="6110" t="str">
        <f t="array" ref="K463">IFERROR(VLOOKUP(J461,Dex!$B$3:$H1219,5,FALSE),"")</f>
        <v/>
      </c>
      <c r="L463" s="6111" t="str">
        <f t="array" ref="L463">IFERROR(VLOOKUP(J461,Dex!$B$3:$H1219,7,FALSE),"")</f>
        <v/>
      </c>
      <c r="M463" s="6112"/>
      <c r="O463" s="6109"/>
      <c r="P463" s="6110" t="str">
        <f t="array" ref="P463">IFERROR(VLOOKUP(O461,Dex!$B$3:$H1219,5,FALSE),"")</f>
        <v/>
      </c>
      <c r="Q463" s="6111" t="str">
        <f t="array" ref="Q463">IFERROR(VLOOKUP(O461,Dex!$B$3:$H1219,7,FALSE),"")</f>
        <v/>
      </c>
      <c r="R463" s="6112"/>
      <c r="T463" s="6109"/>
      <c r="U463" s="6176" t="str">
        <f t="array" ref="U463">IFERROR(VLOOKUP(T461,Dex!$B$3:$H1219,5,FALSE),"")</f>
        <v/>
      </c>
      <c r="V463" s="6177"/>
      <c r="W463" s="6112"/>
      <c r="Y463" s="7074"/>
      <c r="Z463" s="6126"/>
      <c r="AA463" s="6126"/>
      <c r="AB463" s="6134"/>
      <c r="AC463" s="7076"/>
      <c r="AD463" s="7074"/>
      <c r="AE463" s="6126"/>
      <c r="AF463" s="6126"/>
      <c r="AG463" s="6134"/>
      <c r="AH463" s="6113"/>
      <c r="AI463" s="6747"/>
    </row>
    <row r="464" ht="2.25" customHeight="1">
      <c r="A464" s="6738"/>
      <c r="B464" s="6085"/>
      <c r="C464" s="6114"/>
      <c r="D464" s="6115"/>
      <c r="E464" s="6116"/>
      <c r="F464" s="6117"/>
      <c r="G464" s="6117"/>
      <c r="H464" s="6118"/>
      <c r="J464" s="6116"/>
      <c r="K464" s="6117"/>
      <c r="L464" s="6117"/>
      <c r="M464" s="6118"/>
      <c r="O464" s="6116"/>
      <c r="P464" s="6117"/>
      <c r="Q464" s="6117"/>
      <c r="R464" s="6118"/>
      <c r="T464" s="6116"/>
      <c r="U464" s="6117"/>
      <c r="V464" s="6117"/>
      <c r="W464" s="6118"/>
      <c r="Y464" s="7074"/>
      <c r="Z464" s="6126"/>
      <c r="AA464" s="6126"/>
      <c r="AB464" s="6134"/>
      <c r="AC464" s="7076"/>
      <c r="AD464" s="7074"/>
      <c r="AE464" s="6126"/>
      <c r="AF464" s="6126"/>
      <c r="AG464" s="6134"/>
      <c r="AH464" s="6113"/>
      <c r="AI464" s="6747"/>
    </row>
    <row r="465" ht="20.25" customHeight="1">
      <c r="A465" s="6738"/>
      <c r="B465" s="6085"/>
      <c r="C465" s="6119"/>
      <c r="D465" s="6120"/>
      <c r="E465" s="6121" t="s">
        <v>532</v>
      </c>
      <c r="F465" s="6122"/>
      <c r="G465" s="6122"/>
      <c r="H465" s="6123"/>
      <c r="J465" s="6121" t="s">
        <v>566</v>
      </c>
      <c r="K465" s="6122"/>
      <c r="L465" s="6122"/>
      <c r="M465" s="6123"/>
      <c r="O465" s="6121" t="s">
        <v>532</v>
      </c>
      <c r="P465" s="6122"/>
      <c r="Q465" s="6122"/>
      <c r="R465" s="6123"/>
      <c r="T465" s="6121" t="s">
        <v>532</v>
      </c>
      <c r="U465" s="6122"/>
      <c r="V465" s="6122"/>
      <c r="W465" s="6123"/>
      <c r="Y465" s="7074"/>
      <c r="Z465" s="6126"/>
      <c r="AA465" s="6126"/>
      <c r="AB465" s="6134"/>
      <c r="AC465" s="7076"/>
      <c r="AD465" s="7074"/>
      <c r="AE465" s="6126"/>
      <c r="AF465" s="6126"/>
      <c r="AG465" s="6134"/>
      <c r="AH465" s="6094"/>
      <c r="AI465" s="6747"/>
    </row>
    <row r="466">
      <c r="A466" s="6738"/>
      <c r="B466" s="6085"/>
      <c r="C466" s="6124"/>
      <c r="D466" s="6120"/>
      <c r="E466" s="6125" t="s">
        <v>1018</v>
      </c>
      <c r="F466" s="6126"/>
      <c r="G466" s="6126"/>
      <c r="H466" s="6127"/>
      <c r="J466" s="6125" t="s">
        <v>826</v>
      </c>
      <c r="K466" s="6126"/>
      <c r="L466" s="6126"/>
      <c r="M466" s="6127"/>
      <c r="O466" s="6125" t="s">
        <v>2077</v>
      </c>
      <c r="P466" s="6126"/>
      <c r="Q466" s="6126"/>
      <c r="R466" s="6127"/>
      <c r="T466" s="6125" t="s">
        <v>1436</v>
      </c>
      <c r="U466" s="6126"/>
      <c r="V466" s="6126"/>
      <c r="W466" s="6127"/>
      <c r="Y466" s="7074"/>
      <c r="Z466" s="6126"/>
      <c r="AA466" s="6126"/>
      <c r="AB466" s="6134"/>
      <c r="AC466" s="7076"/>
      <c r="AD466" s="7074"/>
      <c r="AE466" s="6126"/>
      <c r="AF466" s="6126"/>
      <c r="AG466" s="6134"/>
      <c r="AH466" s="6094"/>
      <c r="AI466" s="6747"/>
    </row>
    <row r="467" ht="20.25" customHeight="1">
      <c r="A467" s="6738"/>
      <c r="B467" s="6085"/>
      <c r="C467" s="6128"/>
      <c r="D467" s="6120"/>
      <c r="E467" s="6129" t="s">
        <v>573</v>
      </c>
      <c r="F467" s="6092"/>
      <c r="G467" s="6093"/>
      <c r="H467" s="6130" t="str">
        <f>IMAGE("https://raw.githubusercontent.com/msikma/pokesprite/master/items/hold-item/focus-sash.png",3)</f>
        <v/>
      </c>
      <c r="J467" s="6129" t="s">
        <v>713</v>
      </c>
      <c r="K467" s="6092"/>
      <c r="L467" s="6093"/>
      <c r="M467" s="6130" t="str">
        <f>IMAGE("https://raw.githubusercontent.com/msikma/pokesprite/master/items/hold-item/assault-vest.png",3)</f>
        <v/>
      </c>
      <c r="O467" s="6129" t="s">
        <v>2078</v>
      </c>
      <c r="P467" s="6092"/>
      <c r="Q467" s="6093"/>
      <c r="R467" s="6130" t="str">
        <f>IMAGE("https://raw.githubusercontent.com/msikma/pokesprite/master/items/mega-stone/metagrossite.png",3)</f>
        <v/>
      </c>
      <c r="T467" s="6129" t="s">
        <v>541</v>
      </c>
      <c r="U467" s="6092"/>
      <c r="V467" s="6093"/>
      <c r="W467" s="6130" t="str">
        <f>IMAGE("https://raw.githubusercontent.com/msikma/pokesprite/master/items/hold-item/life-orb.png",3)</f>
        <v/>
      </c>
      <c r="Y467" s="7074"/>
      <c r="Z467" s="6126"/>
      <c r="AA467" s="6126"/>
      <c r="AB467" s="6134"/>
      <c r="AC467" s="7076"/>
      <c r="AD467" s="7074"/>
      <c r="AE467" s="6126"/>
      <c r="AF467" s="6126"/>
      <c r="AG467" s="6134"/>
      <c r="AH467" s="6113"/>
      <c r="AI467" s="6747"/>
    </row>
    <row r="468" ht="20.25" customHeight="1">
      <c r="A468" s="6738"/>
      <c r="B468" s="6085"/>
      <c r="C468" s="6131"/>
      <c r="D468" s="6120"/>
      <c r="E468" s="6121" t="s">
        <v>777</v>
      </c>
      <c r="F468" s="6122"/>
      <c r="G468" s="6132"/>
      <c r="H468" s="6133" t="str">
        <f>IMAGE("https://raw.githubusercontent.com/msikma/pokesprite/master/misc/types/gen8/normal.png",4,20,20)</f>
        <v/>
      </c>
      <c r="J468" s="6121" t="s">
        <v>1439</v>
      </c>
      <c r="K468" s="6122"/>
      <c r="L468" s="6132"/>
      <c r="M468" s="6133" t="str">
        <f>IMAGE("https://raw.githubusercontent.com/msikma/pokesprite/master/misc/types/gen8/fighting.png",4,20,20)</f>
        <v/>
      </c>
      <c r="O468" s="6121" t="s">
        <v>1611</v>
      </c>
      <c r="P468" s="6122"/>
      <c r="Q468" s="6132"/>
      <c r="R468" s="6133" t="str">
        <f>IMAGE("https://raw.githubusercontent.com/msikma/pokesprite/master/misc/types/gen8/steel.png",4,20,20)</f>
        <v/>
      </c>
      <c r="T468" s="6121" t="s">
        <v>621</v>
      </c>
      <c r="U468" s="6122"/>
      <c r="V468" s="6132"/>
      <c r="W468" s="6133" t="str">
        <f>IMAGE("https://raw.githubusercontent.com/msikma/pokesprite/master/misc/types/gen8/rock.png",4,20,20)</f>
        <v/>
      </c>
      <c r="Y468" s="7074"/>
      <c r="Z468" s="6126"/>
      <c r="AA468" s="6126"/>
      <c r="AB468" s="6134"/>
      <c r="AC468" s="7076"/>
      <c r="AD468" s="7074"/>
      <c r="AE468" s="6126"/>
      <c r="AF468" s="6126"/>
      <c r="AG468" s="6134"/>
      <c r="AH468" s="6094"/>
      <c r="AI468" s="6747"/>
    </row>
    <row r="469" ht="20.25" customHeight="1">
      <c r="A469" s="6738"/>
      <c r="B469" s="6085"/>
      <c r="C469" s="6119"/>
      <c r="D469" s="6120"/>
      <c r="E469" s="6125" t="s">
        <v>1221</v>
      </c>
      <c r="F469" s="6126"/>
      <c r="G469" s="6134"/>
      <c r="H469" s="6135" t="str">
        <f>IMAGE("https://raw.githubusercontent.com/msikma/pokesprite/master/misc/types/gen8/fire.png",4,20,20)</f>
        <v/>
      </c>
      <c r="J469" s="6125" t="s">
        <v>845</v>
      </c>
      <c r="K469" s="6126"/>
      <c r="L469" s="6134"/>
      <c r="M469" s="6135" t="str">
        <f>IMAGE("https://raw.githubusercontent.com/msikma/pokesprite/master/misc/types/gen8/water.png",4,20,20)</f>
        <v/>
      </c>
      <c r="O469" s="6125" t="s">
        <v>741</v>
      </c>
      <c r="P469" s="6126"/>
      <c r="Q469" s="6134"/>
      <c r="R469" s="6135" t="str">
        <f>IMAGE("https://raw.githubusercontent.com/msikma/pokesprite/master/misc/types/gen8/psychic.png",4,20,20)</f>
        <v/>
      </c>
      <c r="T469" s="6125" t="s">
        <v>583</v>
      </c>
      <c r="U469" s="6126"/>
      <c r="V469" s="6134"/>
      <c r="W469" s="6135" t="str">
        <f>IMAGE("https://raw.githubusercontent.com/msikma/pokesprite/master/misc/types/gen8/fighting.png",4,20,20)</f>
        <v/>
      </c>
      <c r="Y469" s="7074"/>
      <c r="Z469" s="6126"/>
      <c r="AA469" s="6126"/>
      <c r="AB469" s="6134"/>
      <c r="AC469" s="7076"/>
      <c r="AD469" s="7074"/>
      <c r="AE469" s="6126"/>
      <c r="AF469" s="6126"/>
      <c r="AG469" s="6134"/>
      <c r="AH469" s="6094"/>
      <c r="AI469" s="6747"/>
    </row>
    <row r="470" ht="20.25" customHeight="1">
      <c r="A470" s="6738"/>
      <c r="B470" s="6085"/>
      <c r="C470" s="6119"/>
      <c r="D470" s="6120"/>
      <c r="E470" s="6125" t="s">
        <v>583</v>
      </c>
      <c r="F470" s="6126"/>
      <c r="G470" s="6134"/>
      <c r="H470" s="6135" t="str">
        <f>IMAGE("https://raw.githubusercontent.com/msikma/pokesprite/master/misc/types/gen8/fighting.png",4,20,20)</f>
        <v/>
      </c>
      <c r="J470" s="6125" t="s">
        <v>584</v>
      </c>
      <c r="K470" s="6126"/>
      <c r="L470" s="6134"/>
      <c r="M470" s="6135" t="str">
        <f>IMAGE("https://raw.githubusercontent.com/msikma/pokesprite/master/misc/types/gen8/fighting.png",4,20,20)</f>
        <v/>
      </c>
      <c r="O470" s="6125" t="s">
        <v>589</v>
      </c>
      <c r="P470" s="6126"/>
      <c r="Q470" s="6134"/>
      <c r="R470" s="6135" t="str">
        <f>IMAGE("https://raw.githubusercontent.com/msikma/pokesprite/master/misc/types/gen8/ice.png",4,20,20)</f>
        <v/>
      </c>
      <c r="T470" s="6125" t="s">
        <v>1488</v>
      </c>
      <c r="U470" s="6126"/>
      <c r="V470" s="6134"/>
      <c r="W470" s="6135" t="str">
        <f>IMAGE("https://raw.githubusercontent.com/msikma/pokesprite/master/misc/types/gen8/rock.png",4,20,20)</f>
        <v/>
      </c>
      <c r="Y470" s="7074"/>
      <c r="Z470" s="6126"/>
      <c r="AA470" s="6126"/>
      <c r="AB470" s="6134"/>
      <c r="AC470" s="7076"/>
      <c r="AD470" s="7074"/>
      <c r="AE470" s="6126"/>
      <c r="AF470" s="6126"/>
      <c r="AG470" s="6134"/>
      <c r="AH470" s="6094"/>
      <c r="AI470" s="6747"/>
    </row>
    <row r="471" ht="21.0" customHeight="1">
      <c r="A471" s="6738"/>
      <c r="B471" s="6085"/>
      <c r="C471" s="6119"/>
      <c r="D471" s="6120"/>
      <c r="E471" s="6136" t="s">
        <v>504</v>
      </c>
      <c r="F471" s="6137"/>
      <c r="G471" s="6138"/>
      <c r="H471" s="6139" t="str">
        <f>IMAGE("https://raw.githubusercontent.com/msikma/pokesprite/master/misc/types/gen8/electric.png",4,20,20)</f>
        <v/>
      </c>
      <c r="I471" s="6140"/>
      <c r="J471" s="6136" t="s">
        <v>974</v>
      </c>
      <c r="K471" s="6137"/>
      <c r="L471" s="6138"/>
      <c r="M471" s="6139" t="str">
        <f>IMAGE("https://raw.githubusercontent.com/msikma/pokesprite/master/misc/types/gen8/water.png",4,20,20)</f>
        <v/>
      </c>
      <c r="N471" s="6140"/>
      <c r="O471" s="6136" t="s">
        <v>549</v>
      </c>
      <c r="P471" s="6137"/>
      <c r="Q471" s="6138"/>
      <c r="R471" s="6139" t="str">
        <f>IMAGE("https://raw.githubusercontent.com/msikma/pokesprite/master/misc/types/gen8/ground.png",4,20,20)</f>
        <v/>
      </c>
      <c r="S471" s="6140"/>
      <c r="T471" s="6136" t="s">
        <v>939</v>
      </c>
      <c r="U471" s="6137"/>
      <c r="V471" s="6138"/>
      <c r="W471" s="6139" t="str">
        <f>IMAGE("https://raw.githubusercontent.com/msikma/pokesprite/master/misc/types/gen8/psychic.png",4,20,20)</f>
        <v/>
      </c>
      <c r="X471" s="6140"/>
      <c r="Y471" s="7074"/>
      <c r="Z471" s="6126"/>
      <c r="AA471" s="6126"/>
      <c r="AB471" s="6134"/>
      <c r="AC471" s="7077"/>
      <c r="AD471" s="7074"/>
      <c r="AE471" s="6126"/>
      <c r="AF471" s="6126"/>
      <c r="AG471" s="6134"/>
      <c r="AH471" s="6094"/>
      <c r="AI471" s="6747"/>
    </row>
    <row r="472" ht="3.0" customHeight="1">
      <c r="A472" s="6738"/>
      <c r="B472" s="6141"/>
      <c r="C472" s="6090"/>
      <c r="D472" s="6142"/>
      <c r="E472" s="6145"/>
      <c r="F472" s="6145"/>
      <c r="G472" s="6145"/>
      <c r="H472" s="6144"/>
      <c r="I472" s="6142"/>
      <c r="J472" s="6145"/>
      <c r="K472" s="6145"/>
      <c r="L472" s="6145"/>
      <c r="M472" s="6144"/>
      <c r="N472" s="6142"/>
      <c r="O472" s="6145"/>
      <c r="P472" s="6145"/>
      <c r="Q472" s="6145"/>
      <c r="R472" s="6144"/>
      <c r="S472" s="6142"/>
      <c r="T472" s="6145"/>
      <c r="U472" s="6145"/>
      <c r="V472" s="6145"/>
      <c r="W472" s="6144"/>
      <c r="X472" s="6142"/>
      <c r="Y472" s="7074"/>
      <c r="Z472" s="6126"/>
      <c r="AA472" s="6126"/>
      <c r="AB472" s="6134"/>
      <c r="AC472" s="6142"/>
      <c r="AD472" s="7074"/>
      <c r="AE472" s="6126"/>
      <c r="AF472" s="6126"/>
      <c r="AG472" s="6134"/>
      <c r="AH472" s="6146"/>
      <c r="AI472" s="6747"/>
    </row>
    <row r="473" ht="16.5" customHeight="1">
      <c r="A473" s="6738"/>
      <c r="B473" s="6089"/>
      <c r="C473" s="6090"/>
      <c r="D473" s="6178"/>
      <c r="E473" s="7105" t="s">
        <v>512</v>
      </c>
      <c r="F473" s="606"/>
      <c r="G473" s="606"/>
      <c r="H473" s="607"/>
      <c r="I473" s="6149"/>
      <c r="J473" s="7105" t="s">
        <v>512</v>
      </c>
      <c r="K473" s="606"/>
      <c r="L473" s="606"/>
      <c r="M473" s="607"/>
      <c r="N473" s="6149"/>
      <c r="O473" s="7105" t="s">
        <v>512</v>
      </c>
      <c r="P473" s="606"/>
      <c r="Q473" s="606"/>
      <c r="R473" s="607"/>
      <c r="S473" s="6149"/>
      <c r="T473" s="7105" t="s">
        <v>512</v>
      </c>
      <c r="U473" s="606"/>
      <c r="V473" s="606"/>
      <c r="W473" s="607"/>
      <c r="X473" s="6149"/>
      <c r="Y473" s="7074"/>
      <c r="Z473" s="6126"/>
      <c r="AA473" s="6126"/>
      <c r="AB473" s="6134"/>
      <c r="AC473" s="6149"/>
      <c r="AD473" s="7074"/>
      <c r="AE473" s="6126"/>
      <c r="AF473" s="6126"/>
      <c r="AG473" s="6134"/>
      <c r="AH473" s="6150"/>
      <c r="AI473" s="6747"/>
    </row>
    <row r="474" ht="16.5" customHeight="1">
      <c r="A474" s="6738"/>
      <c r="B474" s="6089"/>
      <c r="C474" s="6090"/>
      <c r="D474" s="6147"/>
      <c r="E474" s="7106" t="s">
        <v>513</v>
      </c>
      <c r="F474" s="7107">
        <f t="array" ref="F474">IFERROR(VLOOKUP(E461,Dex!$B$3:$N1219,8,FALSE),"")</f>
        <v>76</v>
      </c>
      <c r="G474" s="7108" t="str">
        <f t="array" ref="G474">IFERROR(VLOOKUP(F474,Dex!$P$22:$Q$276,2,FALSE),"")</f>
        <v/>
      </c>
      <c r="H474" s="7109"/>
      <c r="I474" s="6155"/>
      <c r="J474" s="7106" t="s">
        <v>513</v>
      </c>
      <c r="K474" s="7107">
        <f t="array" ref="K474">IFERROR(VLOOKUP(J461,Dex!$B$3:$N1219,8,FALSE),"")</f>
        <v>80</v>
      </c>
      <c r="L474" s="7108" t="str">
        <f t="array" ref="L474">IFERROR(VLOOKUP(K474,Dex!$P$22:$Q$276,2,FALSE),"")</f>
        <v/>
      </c>
      <c r="M474" s="7109"/>
      <c r="N474" s="6155"/>
      <c r="O474" s="7106" t="s">
        <v>513</v>
      </c>
      <c r="P474" s="7107">
        <f t="array" ref="P474">IFERROR(VLOOKUP(O461,Dex!$B$3:$N1219,8,FALSE),"")</f>
        <v>80</v>
      </c>
      <c r="Q474" s="7108" t="str">
        <f t="array" ref="Q474">IFERROR(VLOOKUP(P474,Dex!$P$22:$Q$276,2,FALSE),"")</f>
        <v/>
      </c>
      <c r="R474" s="7109"/>
      <c r="S474" s="6155"/>
      <c r="T474" s="7106" t="s">
        <v>513</v>
      </c>
      <c r="U474" s="7107">
        <f t="array" ref="U474">IFERROR(VLOOKUP(T461,Dex!$B$3:$N1219,8,FALSE),"")</f>
        <v>75</v>
      </c>
      <c r="V474" s="7108" t="str">
        <f t="array" ref="V474">IFERROR(VLOOKUP(U474,Dex!$P$22:$Q$276,2,FALSE),"")</f>
        <v/>
      </c>
      <c r="W474" s="7109"/>
      <c r="X474" s="6155"/>
      <c r="Y474" s="7074"/>
      <c r="Z474" s="6126"/>
      <c r="AA474" s="6126"/>
      <c r="AB474" s="6134"/>
      <c r="AC474" s="6155"/>
      <c r="AD474" s="7074"/>
      <c r="AE474" s="6126"/>
      <c r="AF474" s="6126"/>
      <c r="AG474" s="6134"/>
      <c r="AH474" s="6150"/>
      <c r="AI474" s="6747"/>
    </row>
    <row r="475" ht="16.5" customHeight="1">
      <c r="A475" s="6738"/>
      <c r="B475" s="6089"/>
      <c r="C475" s="6090"/>
      <c r="D475" s="6147"/>
      <c r="E475" s="7110" t="s">
        <v>514</v>
      </c>
      <c r="F475" s="7111">
        <f t="array" ref="F475">IFERROR(VLOOKUP(E461,Dex!$B$3:$N1219,9,FALSE),"")</f>
        <v>110</v>
      </c>
      <c r="G475" s="7112" t="str">
        <f t="array" ref="G475">IFERROR(VLOOKUP(F475,Dex!$P$22:$Q$276,2,FALSE),"")</f>
        <v/>
      </c>
      <c r="H475" s="7113"/>
      <c r="I475" s="6155"/>
      <c r="J475" s="7110" t="s">
        <v>514</v>
      </c>
      <c r="K475" s="7111">
        <f t="array" ref="K475">IFERROR(VLOOKUP(J461,Dex!$B$3:$N1219,9,FALSE),"")</f>
        <v>118</v>
      </c>
      <c r="L475" s="7112" t="str">
        <f t="array" ref="L475">IFERROR(VLOOKUP(K475,Dex!$P$22:$Q$276,2,FALSE),"")</f>
        <v/>
      </c>
      <c r="M475" s="7113"/>
      <c r="N475" s="6155"/>
      <c r="O475" s="7110" t="s">
        <v>514</v>
      </c>
      <c r="P475" s="7111">
        <f t="array" ref="P475">IFERROR(VLOOKUP(O461,Dex!$B$3:$N1219,9,FALSE),"")</f>
        <v>145</v>
      </c>
      <c r="Q475" s="7112" t="str">
        <f t="array" ref="Q475">IFERROR(VLOOKUP(P475,Dex!$P$22:$Q$276,2,FALSE),"")</f>
        <v/>
      </c>
      <c r="R475" s="7113"/>
      <c r="S475" s="6155"/>
      <c r="T475" s="7110" t="s">
        <v>514</v>
      </c>
      <c r="U475" s="7111">
        <f t="array" ref="U475">IFERROR(VLOOKUP(T461,Dex!$B$3:$N1219,9,FALSE),"")</f>
        <v>117</v>
      </c>
      <c r="V475" s="7112" t="str">
        <f t="array" ref="V475">IFERROR(VLOOKUP(U475,Dex!$P$22:$Q$276,2,FALSE),"")</f>
        <v/>
      </c>
      <c r="W475" s="7113"/>
      <c r="X475" s="6155"/>
      <c r="Y475" s="7074"/>
      <c r="Z475" s="6126"/>
      <c r="AA475" s="6126"/>
      <c r="AB475" s="6134"/>
      <c r="AC475" s="6155"/>
      <c r="AD475" s="7074"/>
      <c r="AE475" s="6126"/>
      <c r="AF475" s="6126"/>
      <c r="AG475" s="6134"/>
      <c r="AH475" s="6150"/>
      <c r="AI475" s="6747"/>
    </row>
    <row r="476" ht="16.5" customHeight="1">
      <c r="A476" s="6738"/>
      <c r="B476" s="6089"/>
      <c r="C476" s="6090"/>
      <c r="D476" s="6147"/>
      <c r="E476" s="7110" t="s">
        <v>515</v>
      </c>
      <c r="F476" s="7111">
        <f t="array" ref="F476">IFERROR(VLOOKUP(E461,Dex!$B$3:$N1219,10,FALSE),"")</f>
        <v>71</v>
      </c>
      <c r="G476" s="7112" t="str">
        <f t="array" ref="G476">IFERROR(VLOOKUP(F476,Dex!$P$22:$Q$276,2,FALSE),"")</f>
        <v/>
      </c>
      <c r="H476" s="7113"/>
      <c r="I476" s="6155"/>
      <c r="J476" s="7110" t="s">
        <v>515</v>
      </c>
      <c r="K476" s="7111">
        <f t="array" ref="K476">IFERROR(VLOOKUP(J461,Dex!$B$3:$N1219,10,FALSE),"")</f>
        <v>90</v>
      </c>
      <c r="L476" s="7112" t="str">
        <f t="array" ref="L476">IFERROR(VLOOKUP(K476,Dex!$P$22:$Q$276,2,FALSE),"")</f>
        <v/>
      </c>
      <c r="M476" s="7113"/>
      <c r="N476" s="6155"/>
      <c r="O476" s="7110" t="s">
        <v>515</v>
      </c>
      <c r="P476" s="7111">
        <f t="array" ref="P476">IFERROR(VLOOKUP(O461,Dex!$B$3:$N1219,10,FALSE),"")</f>
        <v>150</v>
      </c>
      <c r="Q476" s="7112" t="str">
        <f t="array" ref="Q476">IFERROR(VLOOKUP(P476,Dex!$P$22:$Q$276,2,FALSE),"")</f>
        <v/>
      </c>
      <c r="R476" s="7113"/>
      <c r="S476" s="6155"/>
      <c r="T476" s="7110" t="s">
        <v>515</v>
      </c>
      <c r="U476" s="7111">
        <f t="array" ref="U476">IFERROR(VLOOKUP(T461,Dex!$B$3:$N1219,10,FALSE),"")</f>
        <v>65</v>
      </c>
      <c r="V476" s="7112" t="str">
        <f t="array" ref="V476">IFERROR(VLOOKUP(U476,Dex!$P$22:$Q$276,2,FALSE),"")</f>
        <v/>
      </c>
      <c r="W476" s="7113"/>
      <c r="X476" s="6155"/>
      <c r="Y476" s="7074"/>
      <c r="Z476" s="6126"/>
      <c r="AA476" s="6126"/>
      <c r="AB476" s="6134"/>
      <c r="AC476" s="6155"/>
      <c r="AD476" s="7074"/>
      <c r="AE476" s="6126"/>
      <c r="AF476" s="6126"/>
      <c r="AG476" s="6134"/>
      <c r="AH476" s="6150"/>
      <c r="AI476" s="6747"/>
    </row>
    <row r="477" ht="16.5" customHeight="1">
      <c r="A477" s="6738"/>
      <c r="B477" s="6089"/>
      <c r="C477" s="6090"/>
      <c r="D477" s="6147"/>
      <c r="E477" s="7110" t="s">
        <v>516</v>
      </c>
      <c r="F477" s="7111">
        <f t="array" ref="F477">IFERROR(VLOOKUP(E461,Dex!$B$3:$N1219,11,FALSE),"")</f>
        <v>110</v>
      </c>
      <c r="G477" s="7112" t="str">
        <f t="array" ref="G477">IFERROR(VLOOKUP(F477,Dex!$P$22:$Q$276,2,FALSE),"")</f>
        <v/>
      </c>
      <c r="H477" s="7113"/>
      <c r="I477" s="6155"/>
      <c r="J477" s="7110" t="s">
        <v>516</v>
      </c>
      <c r="K477" s="7111">
        <f t="array" ref="K477">IFERROR(VLOOKUP(J461,Dex!$B$3:$N1219,11,FALSE),"")</f>
        <v>70</v>
      </c>
      <c r="L477" s="7112" t="str">
        <f t="array" ref="L477">IFERROR(VLOOKUP(K477,Dex!$P$22:$Q$276,2,FALSE),"")</f>
        <v/>
      </c>
      <c r="M477" s="7113"/>
      <c r="N477" s="6155"/>
      <c r="O477" s="7110" t="s">
        <v>516</v>
      </c>
      <c r="P477" s="7111">
        <f t="array" ref="P477">IFERROR(VLOOKUP(O461,Dex!$B$3:$N1219,11,FALSE),"")</f>
        <v>105</v>
      </c>
      <c r="Q477" s="7112" t="str">
        <f t="array" ref="Q477">IFERROR(VLOOKUP(P477,Dex!$P$22:$Q$276,2,FALSE),"")</f>
        <v/>
      </c>
      <c r="R477" s="7113"/>
      <c r="S477" s="6155"/>
      <c r="T477" s="7110" t="s">
        <v>516</v>
      </c>
      <c r="U477" s="7111">
        <f t="array" ref="U477">IFERROR(VLOOKUP(T461,Dex!$B$3:$N1219,11,FALSE),"")</f>
        <v>55</v>
      </c>
      <c r="V477" s="7112" t="str">
        <f t="array" ref="V477">IFERROR(VLOOKUP(U477,Dex!$P$22:$Q$276,2,FALSE),"")</f>
        <v/>
      </c>
      <c r="W477" s="7113"/>
      <c r="X477" s="6155"/>
      <c r="Y477" s="7074"/>
      <c r="Z477" s="6126"/>
      <c r="AA477" s="6126"/>
      <c r="AB477" s="6134"/>
      <c r="AC477" s="6155"/>
      <c r="AD477" s="7074"/>
      <c r="AE477" s="6126"/>
      <c r="AF477" s="6126"/>
      <c r="AG477" s="6134"/>
      <c r="AH477" s="6150"/>
      <c r="AI477" s="6747"/>
    </row>
    <row r="478" ht="16.5" customHeight="1">
      <c r="A478" s="6738"/>
      <c r="B478" s="6089"/>
      <c r="C478" s="6160"/>
      <c r="D478" s="6147"/>
      <c r="E478" s="7110" t="s">
        <v>517</v>
      </c>
      <c r="F478" s="7111">
        <f t="array" ref="F478">IFERROR(VLOOKUP(E461,Dex!$B$3:$N1219,12,FALSE),"")</f>
        <v>71</v>
      </c>
      <c r="G478" s="7112" t="str">
        <f t="array" ref="G478">IFERROR(VLOOKUP(F478,Dex!$P$22:$Q$276,2,FALSE),"")</f>
        <v/>
      </c>
      <c r="H478" s="7113"/>
      <c r="I478" s="6155"/>
      <c r="J478" s="7110" t="s">
        <v>517</v>
      </c>
      <c r="K478" s="7111">
        <f t="array" ref="K478">IFERROR(VLOOKUP(J461,Dex!$B$3:$N1219,12,FALSE),"")</f>
        <v>80</v>
      </c>
      <c r="L478" s="7112" t="str">
        <f t="array" ref="L478">IFERROR(VLOOKUP(K478,Dex!$P$22:$Q$276,2,FALSE),"")</f>
        <v/>
      </c>
      <c r="M478" s="7113"/>
      <c r="N478" s="6155"/>
      <c r="O478" s="7110" t="s">
        <v>517</v>
      </c>
      <c r="P478" s="7111">
        <f t="array" ref="P478">IFERROR(VLOOKUP(O461,Dex!$B$3:$N1219,12,FALSE),"")</f>
        <v>110</v>
      </c>
      <c r="Q478" s="7112" t="str">
        <f t="array" ref="Q478">IFERROR(VLOOKUP(P478,Dex!$P$22:$Q$276,2,FALSE),"")</f>
        <v/>
      </c>
      <c r="R478" s="7113"/>
      <c r="S478" s="6155"/>
      <c r="T478" s="7110" t="s">
        <v>517</v>
      </c>
      <c r="U478" s="7111">
        <f t="array" ref="U478">IFERROR(VLOOKUP(T461,Dex!$B$3:$N1219,12,FALSE),"")</f>
        <v>65</v>
      </c>
      <c r="V478" s="7112" t="str">
        <f t="array" ref="V478">IFERROR(VLOOKUP(U478,Dex!$P$22:$Q$276,2,FALSE),"")</f>
        <v/>
      </c>
      <c r="W478" s="7113"/>
      <c r="X478" s="6155"/>
      <c r="Y478" s="7074"/>
      <c r="Z478" s="6126"/>
      <c r="AA478" s="6126"/>
      <c r="AB478" s="6134"/>
      <c r="AC478" s="6155"/>
      <c r="AD478" s="7074"/>
      <c r="AE478" s="6126"/>
      <c r="AF478" s="6126"/>
      <c r="AG478" s="6134"/>
      <c r="AH478" s="6150"/>
      <c r="AI478" s="6747"/>
    </row>
    <row r="479" ht="16.5" customHeight="1">
      <c r="A479" s="6738"/>
      <c r="B479" s="6089"/>
      <c r="C479" s="6090"/>
      <c r="D479" s="6161"/>
      <c r="E479" s="7114" t="s">
        <v>518</v>
      </c>
      <c r="F479" s="7115">
        <f t="array" ref="F479">IFERROR(VLOOKUP(E461,Dex!$B$3:$N1219,13,FALSE),"")</f>
        <v>113</v>
      </c>
      <c r="G479" s="7116" t="str">
        <f t="array" ref="G479">IFERROR(VLOOKUP(F479,Dex!$P$22:$Q$276,2,FALSE),"")</f>
        <v/>
      </c>
      <c r="H479" s="7117"/>
      <c r="I479" s="6155"/>
      <c r="J479" s="7114" t="s">
        <v>518</v>
      </c>
      <c r="K479" s="7115">
        <f t="array" ref="K479">IFERROR(VLOOKUP(J461,Dex!$B$3:$N1219,13,FALSE),"")</f>
        <v>42</v>
      </c>
      <c r="L479" s="7116" t="str">
        <f t="array" ref="L479">IFERROR(VLOOKUP(K479,Dex!$P$22:$Q$276,2,FALSE),"")</f>
        <v/>
      </c>
      <c r="M479" s="7117"/>
      <c r="N479" s="6155"/>
      <c r="O479" s="7114" t="s">
        <v>518</v>
      </c>
      <c r="P479" s="7115">
        <f t="array" ref="P479">IFERROR(VLOOKUP(O461,Dex!$B$3:$N1219,13,FALSE),"")</f>
        <v>110</v>
      </c>
      <c r="Q479" s="7116" t="str">
        <f t="array" ref="Q479">IFERROR(VLOOKUP(P479,Dex!$P$22:$Q$276,2,FALSE),"")</f>
        <v/>
      </c>
      <c r="R479" s="7117"/>
      <c r="S479" s="6155"/>
      <c r="T479" s="7114" t="s">
        <v>518</v>
      </c>
      <c r="U479" s="7115">
        <f t="array" ref="U479">IFERROR(VLOOKUP(T461,Dex!$B$3:$N1219,13,FALSE),"")</f>
        <v>110</v>
      </c>
      <c r="V479" s="7116" t="str">
        <f t="array" ref="V479">IFERROR(VLOOKUP(U479,Dex!$P$22:$Q$276,2,FALSE),"")</f>
        <v/>
      </c>
      <c r="W479" s="7117"/>
      <c r="X479" s="6155"/>
      <c r="Y479" s="7074"/>
      <c r="Z479" s="6126"/>
      <c r="AA479" s="6126"/>
      <c r="AB479" s="6134"/>
      <c r="AC479" s="6155"/>
      <c r="AD479" s="7074"/>
      <c r="AE479" s="6126"/>
      <c r="AF479" s="6126"/>
      <c r="AG479" s="6134"/>
      <c r="AH479" s="6150"/>
      <c r="AI479" s="6747"/>
    </row>
    <row r="480" ht="16.5" customHeight="1">
      <c r="A480" s="6738"/>
      <c r="B480" s="6089"/>
      <c r="C480" s="6090"/>
      <c r="D480" s="6180"/>
      <c r="E480" s="7118" t="s">
        <v>519</v>
      </c>
      <c r="F480" s="630"/>
      <c r="G480" s="631"/>
      <c r="H480" s="7119">
        <v>288.0</v>
      </c>
      <c r="I480" s="6149"/>
      <c r="J480" s="7118" t="s">
        <v>519</v>
      </c>
      <c r="K480" s="630"/>
      <c r="L480" s="631"/>
      <c r="M480" s="7119">
        <v>117.0</v>
      </c>
      <c r="N480" s="6149"/>
      <c r="O480" s="7118" t="s">
        <v>519</v>
      </c>
      <c r="P480" s="630"/>
      <c r="Q480" s="631"/>
      <c r="R480" s="7119">
        <v>278.0</v>
      </c>
      <c r="S480" s="6149"/>
      <c r="T480" s="7118" t="s">
        <v>519</v>
      </c>
      <c r="U480" s="630"/>
      <c r="V480" s="631"/>
      <c r="W480" s="7119">
        <v>281.0</v>
      </c>
      <c r="X480" s="6149"/>
      <c r="Y480" s="7074"/>
      <c r="Z480" s="6126"/>
      <c r="AA480" s="6126"/>
      <c r="AB480" s="6134"/>
      <c r="AC480" s="6149"/>
      <c r="AD480" s="7074"/>
      <c r="AE480" s="6126"/>
      <c r="AF480" s="6126"/>
      <c r="AG480" s="6134"/>
      <c r="AH480" s="6150"/>
      <c r="AI480" s="6747"/>
    </row>
    <row r="481" ht="15.0" customHeight="1">
      <c r="A481" s="6738"/>
      <c r="B481" s="7091"/>
      <c r="C481" s="6182"/>
      <c r="D481" s="6182"/>
      <c r="E481" s="6182"/>
      <c r="F481" s="6182"/>
      <c r="G481" s="6182"/>
      <c r="H481" s="6182"/>
      <c r="I481" s="6182"/>
      <c r="J481" s="6182"/>
      <c r="K481" s="6182"/>
      <c r="L481" s="6182"/>
      <c r="M481" s="6182"/>
      <c r="N481" s="6182"/>
      <c r="O481" s="7092"/>
      <c r="P481" s="7092"/>
      <c r="Q481" s="7092"/>
      <c r="R481" s="6182"/>
      <c r="S481" s="6182"/>
      <c r="T481" s="6184"/>
      <c r="U481" s="6184"/>
      <c r="V481" s="6184"/>
      <c r="W481" s="6182"/>
      <c r="X481" s="6182"/>
      <c r="Y481" s="6184"/>
      <c r="Z481" s="6184"/>
      <c r="AA481" s="6184"/>
      <c r="AB481" s="6182"/>
      <c r="AC481" s="6182"/>
      <c r="AD481" s="6182"/>
      <c r="AE481" s="6182"/>
      <c r="AF481" s="6182"/>
      <c r="AG481" s="6182"/>
      <c r="AH481" s="7093"/>
      <c r="AI481" s="6747"/>
    </row>
    <row r="482" ht="15.0" customHeight="1">
      <c r="A482" s="6738"/>
      <c r="B482" s="6080"/>
      <c r="C482" s="6081"/>
      <c r="D482" s="6081"/>
      <c r="E482" s="7069"/>
      <c r="F482" s="7069"/>
      <c r="G482" s="7069"/>
      <c r="H482" s="7069"/>
      <c r="I482" s="6081"/>
      <c r="J482" s="7069"/>
      <c r="K482" s="7069"/>
      <c r="L482" s="7069"/>
      <c r="M482" s="7069"/>
      <c r="N482" s="6081"/>
      <c r="O482" s="7070"/>
      <c r="P482" s="7070"/>
      <c r="Q482" s="7070"/>
      <c r="R482" s="7069"/>
      <c r="S482" s="6081"/>
      <c r="T482" s="7071"/>
      <c r="U482" s="7071"/>
      <c r="V482" s="7071"/>
      <c r="W482" s="7069"/>
      <c r="X482" s="6081"/>
      <c r="Y482" s="7071"/>
      <c r="Z482" s="7071"/>
      <c r="AA482" s="7071"/>
      <c r="AB482" s="7069"/>
      <c r="AC482" s="6081"/>
      <c r="AD482" s="7069"/>
      <c r="AE482" s="7069"/>
      <c r="AF482" s="7069"/>
      <c r="AG482" s="7069"/>
      <c r="AH482" s="6084"/>
      <c r="AI482" s="6747"/>
    </row>
    <row r="483" ht="96.75" customHeight="1">
      <c r="A483" s="6738"/>
      <c r="B483" s="6095"/>
      <c r="C483" s="6096" t="str">
        <f>IMAGE("https://i.ibb.co/nzhVFm2/Ketchup.png")</f>
        <v/>
      </c>
      <c r="D483" s="6097"/>
      <c r="E483" s="6098" t="str">
        <f t="array" ref="E483">IFERROR(VLOOKUP(E484,Dex!$B$3:$G1219,3,FALSE),"")</f>
        <v/>
      </c>
      <c r="F483" s="1945"/>
      <c r="G483" s="1945"/>
      <c r="H483" s="1946"/>
      <c r="I483" s="6099"/>
      <c r="J483" s="6098" t="str">
        <f t="array" ref="J483">IFERROR(VLOOKUP(J484,Dex!$B$3:$G1219,3,FALSE),"")</f>
        <v/>
      </c>
      <c r="K483" s="1945"/>
      <c r="L483" s="1945"/>
      <c r="M483" s="1946"/>
      <c r="N483" s="6099"/>
      <c r="O483" s="6098" t="str">
        <f t="array" ref="O483">IFERROR(VLOOKUP(O484,Dex!$B$3:$G1219,3,FALSE),"")</f>
        <v/>
      </c>
      <c r="P483" s="1945"/>
      <c r="Q483" s="1945"/>
      <c r="R483" s="1946"/>
      <c r="S483" s="6099"/>
      <c r="T483" s="6098" t="str">
        <f t="array" ref="T483">IFERROR(VLOOKUP(T484,Dex!$B$3:$G1219,3,FALSE),"")</f>
        <v/>
      </c>
      <c r="U483" s="1945"/>
      <c r="V483" s="1945"/>
      <c r="W483" s="1946"/>
      <c r="X483" s="6099"/>
      <c r="Y483" s="7074"/>
      <c r="Z483" s="6126"/>
      <c r="AA483" s="6126"/>
      <c r="AB483" s="6134"/>
      <c r="AC483" s="6099"/>
      <c r="AD483" s="7074"/>
      <c r="AE483" s="6126"/>
      <c r="AF483" s="6126"/>
      <c r="AG483" s="6134"/>
      <c r="AH483" s="6094"/>
      <c r="AI483" s="6747"/>
    </row>
    <row r="484" ht="18.75" customHeight="1">
      <c r="A484" s="6738"/>
      <c r="B484" s="6095"/>
      <c r="C484" s="6100" t="s">
        <v>2079</v>
      </c>
      <c r="D484" s="6101"/>
      <c r="E484" s="6102" t="s">
        <v>2020</v>
      </c>
      <c r="F484" s="6103"/>
      <c r="G484" s="6103"/>
      <c r="H484" s="6104"/>
      <c r="J484" s="6102" t="s">
        <v>283</v>
      </c>
      <c r="K484" s="6103"/>
      <c r="L484" s="6103"/>
      <c r="M484" s="6104"/>
      <c r="O484" s="6102" t="s">
        <v>1537</v>
      </c>
      <c r="P484" s="6103"/>
      <c r="Q484" s="6103"/>
      <c r="R484" s="6104"/>
      <c r="T484" s="6102" t="s">
        <v>2015</v>
      </c>
      <c r="U484" s="6103"/>
      <c r="V484" s="6103"/>
      <c r="W484" s="6104"/>
      <c r="Y484" s="7074"/>
      <c r="Z484" s="6126"/>
      <c r="AA484" s="6126"/>
      <c r="AB484" s="6134"/>
      <c r="AD484" s="7074"/>
      <c r="AE484" s="6126"/>
      <c r="AF484" s="6126"/>
      <c r="AG484" s="6134"/>
      <c r="AH484" s="6094"/>
      <c r="AI484" s="6747"/>
    </row>
    <row r="485">
      <c r="A485" s="6738"/>
      <c r="B485" s="6095"/>
      <c r="C485" s="1638"/>
      <c r="D485" s="6101"/>
      <c r="E485" s="6105" t="s">
        <v>729</v>
      </c>
      <c r="F485" s="6106"/>
      <c r="G485" s="6106"/>
      <c r="H485" s="6107"/>
      <c r="J485" s="6105" t="s">
        <v>729</v>
      </c>
      <c r="K485" s="6106"/>
      <c r="L485" s="6106"/>
      <c r="M485" s="6107"/>
      <c r="O485" s="6105" t="s">
        <v>729</v>
      </c>
      <c r="P485" s="6106"/>
      <c r="Q485" s="6106"/>
      <c r="R485" s="6107"/>
      <c r="T485" s="6105" t="s">
        <v>729</v>
      </c>
      <c r="U485" s="6106"/>
      <c r="V485" s="6106"/>
      <c r="W485" s="6107"/>
      <c r="Y485" s="7074"/>
      <c r="Z485" s="6126"/>
      <c r="AA485" s="6126"/>
      <c r="AB485" s="6134"/>
      <c r="AD485" s="7074"/>
      <c r="AE485" s="6126"/>
      <c r="AF485" s="6126"/>
      <c r="AG485" s="6134"/>
      <c r="AH485" s="6094"/>
      <c r="AI485" s="6747"/>
    </row>
    <row r="486" ht="25.5" customHeight="1">
      <c r="A486" s="6738"/>
      <c r="B486" s="6095"/>
      <c r="C486" s="1646"/>
      <c r="D486" s="6108"/>
      <c r="E486" s="6109"/>
      <c r="F486" s="6110" t="str">
        <f t="array" ref="F486">IFERROR(VLOOKUP(E484,Dex!$B$3:$H1219,5,FALSE),"")</f>
        <v/>
      </c>
      <c r="G486" s="6111" t="str">
        <f t="array" ref="G486">IFERROR(VLOOKUP(E484,Dex!$B$3:$H1219,7,FALSE),"")</f>
        <v/>
      </c>
      <c r="H486" s="6112"/>
      <c r="J486" s="6109"/>
      <c r="K486" s="6110" t="str">
        <f t="array" ref="K486">IFERROR(VLOOKUP(J484,Dex!$B$3:$H1219,5,FALSE),"")</f>
        <v/>
      </c>
      <c r="L486" s="6111" t="str">
        <f t="array" ref="L486">IFERROR(VLOOKUP(J484,Dex!$B$3:$H1219,7,FALSE),"")</f>
        <v/>
      </c>
      <c r="M486" s="6112"/>
      <c r="O486" s="6109"/>
      <c r="P486" s="6176" t="str">
        <f t="array" ref="P486">IFERROR(VLOOKUP(O484,Dex!$B$3:$H1219,5,FALSE),"")</f>
        <v/>
      </c>
      <c r="Q486" s="6177"/>
      <c r="R486" s="6112"/>
      <c r="T486" s="6109"/>
      <c r="U486" s="6110" t="str">
        <f t="array" ref="U486">IFERROR(VLOOKUP(T484,Dex!$B$3:$H1219,5,FALSE),"")</f>
        <v/>
      </c>
      <c r="V486" s="6111" t="str">
        <f t="array" ref="V486">IFERROR(VLOOKUP(T484,Dex!$B$3:$H1219,7,FALSE),"")</f>
        <v/>
      </c>
      <c r="W486" s="6112"/>
      <c r="Y486" s="7074"/>
      <c r="Z486" s="6126"/>
      <c r="AA486" s="6126"/>
      <c r="AB486" s="6134"/>
      <c r="AD486" s="7074"/>
      <c r="AE486" s="6126"/>
      <c r="AF486" s="6126"/>
      <c r="AG486" s="6134"/>
      <c r="AH486" s="6113"/>
      <c r="AI486" s="6747"/>
    </row>
    <row r="487" ht="2.25" customHeight="1">
      <c r="A487" s="6738"/>
      <c r="B487" s="6085"/>
      <c r="C487" s="6114"/>
      <c r="D487" s="6115"/>
      <c r="E487" s="6116"/>
      <c r="F487" s="6117"/>
      <c r="G487" s="6117"/>
      <c r="H487" s="6118"/>
      <c r="J487" s="6116"/>
      <c r="K487" s="6117"/>
      <c r="L487" s="6117"/>
      <c r="M487" s="6118"/>
      <c r="O487" s="6116"/>
      <c r="P487" s="6117"/>
      <c r="Q487" s="6117"/>
      <c r="R487" s="6118"/>
      <c r="T487" s="6116"/>
      <c r="U487" s="6117"/>
      <c r="V487" s="6117"/>
      <c r="W487" s="6118"/>
      <c r="Y487" s="7074"/>
      <c r="Z487" s="6126"/>
      <c r="AA487" s="6126"/>
      <c r="AB487" s="6134"/>
      <c r="AD487" s="7074"/>
      <c r="AE487" s="6126"/>
      <c r="AF487" s="6126"/>
      <c r="AG487" s="6134"/>
      <c r="AH487" s="6113"/>
      <c r="AI487" s="6747"/>
    </row>
    <row r="488" ht="20.25" customHeight="1">
      <c r="A488" s="6738"/>
      <c r="B488" s="6085"/>
      <c r="C488" s="6119"/>
      <c r="D488" s="6120"/>
      <c r="E488" s="6121" t="s">
        <v>532</v>
      </c>
      <c r="F488" s="6122"/>
      <c r="G488" s="6122"/>
      <c r="H488" s="6123"/>
      <c r="J488" s="6121" t="s">
        <v>482</v>
      </c>
      <c r="K488" s="6122"/>
      <c r="L488" s="6122"/>
      <c r="M488" s="6123"/>
      <c r="O488" s="6121" t="s">
        <v>566</v>
      </c>
      <c r="P488" s="6122"/>
      <c r="Q488" s="6122"/>
      <c r="R488" s="6123"/>
      <c r="T488" s="6121" t="s">
        <v>532</v>
      </c>
      <c r="U488" s="6122"/>
      <c r="V488" s="6122"/>
      <c r="W488" s="6123"/>
      <c r="Y488" s="7074"/>
      <c r="Z488" s="6126"/>
      <c r="AA488" s="6126"/>
      <c r="AB488" s="6134"/>
      <c r="AD488" s="7074"/>
      <c r="AE488" s="6126"/>
      <c r="AF488" s="6126"/>
      <c r="AG488" s="6134"/>
      <c r="AH488" s="6094"/>
      <c r="AI488" s="6747"/>
    </row>
    <row r="489" ht="20.25" customHeight="1">
      <c r="A489" s="6738"/>
      <c r="B489" s="6085"/>
      <c r="C489" s="6124"/>
      <c r="D489" s="6120"/>
      <c r="E489" s="6125" t="s">
        <v>2022</v>
      </c>
      <c r="F489" s="6126"/>
      <c r="G489" s="6126"/>
      <c r="H489" s="6127"/>
      <c r="J489" s="6125" t="s">
        <v>484</v>
      </c>
      <c r="K489" s="6126"/>
      <c r="L489" s="6126"/>
      <c r="M489" s="6127"/>
      <c r="O489" s="6125" t="s">
        <v>856</v>
      </c>
      <c r="P489" s="6126"/>
      <c r="Q489" s="6126"/>
      <c r="R489" s="6127"/>
      <c r="T489" s="6125" t="s">
        <v>1132</v>
      </c>
      <c r="U489" s="6126"/>
      <c r="V489" s="6126"/>
      <c r="W489" s="6127"/>
      <c r="Y489" s="7074"/>
      <c r="Z489" s="6126"/>
      <c r="AA489" s="6126"/>
      <c r="AB489" s="6134"/>
      <c r="AD489" s="7074"/>
      <c r="AE489" s="6126"/>
      <c r="AF489" s="6126"/>
      <c r="AG489" s="6134"/>
      <c r="AH489" s="6094"/>
      <c r="AI489" s="6747"/>
    </row>
    <row r="490" ht="20.25" customHeight="1">
      <c r="A490" s="6738"/>
      <c r="B490" s="6085"/>
      <c r="C490" s="6128"/>
      <c r="D490" s="6120"/>
      <c r="E490" s="6129" t="s">
        <v>1445</v>
      </c>
      <c r="F490" s="6092"/>
      <c r="G490" s="6093"/>
      <c r="H490" s="6130" t="str">
        <f>IMAGE("https://raw.githubusercontent.com/msikma/pokesprite/master/items/hold-item/choice-scarf.png",3)</f>
        <v/>
      </c>
      <c r="J490" s="6129" t="s">
        <v>733</v>
      </c>
      <c r="K490" s="6092"/>
      <c r="L490" s="6093"/>
      <c r="M490" s="6130" t="str">
        <f>IMAGE("https://raw.githubusercontent.com/msikma/pokesprite/master/items/hold-item/leftovers.png",3)</f>
        <v/>
      </c>
      <c r="O490" s="6129" t="s">
        <v>1039</v>
      </c>
      <c r="P490" s="6092"/>
      <c r="Q490" s="6093"/>
      <c r="R490" s="6130" t="str">
        <f>IMAGE("https://raw.githubusercontent.com/msikma/pokesprite/master/items/hold-item/flame-orb.png",3)</f>
        <v/>
      </c>
      <c r="T490" s="6129" t="s">
        <v>2080</v>
      </c>
      <c r="U490" s="6092"/>
      <c r="V490" s="6093"/>
      <c r="W490" s="6130" t="str">
        <f>IMAGE("https://raw.githubusercontent.com/msikma/pokesprite/master/items/hold-item/choice-band.png",3)</f>
        <v/>
      </c>
      <c r="Y490" s="7074"/>
      <c r="Z490" s="6126"/>
      <c r="AA490" s="6126"/>
      <c r="AB490" s="6134"/>
      <c r="AD490" s="7074"/>
      <c r="AE490" s="6126"/>
      <c r="AF490" s="6126"/>
      <c r="AG490" s="6134"/>
      <c r="AH490" s="6113"/>
      <c r="AI490" s="6747"/>
    </row>
    <row r="491" ht="20.25" customHeight="1">
      <c r="A491" s="6738"/>
      <c r="B491" s="6085"/>
      <c r="C491" s="6131"/>
      <c r="D491" s="6120"/>
      <c r="E491" s="6121" t="s">
        <v>1222</v>
      </c>
      <c r="F491" s="6122"/>
      <c r="G491" s="6132"/>
      <c r="H491" s="6133" t="str">
        <f>IMAGE("https://raw.githubusercontent.com/msikma/pokesprite/master/misc/types/gen8/grass.png",4,20,20)</f>
        <v/>
      </c>
      <c r="J491" s="6121" t="s">
        <v>611</v>
      </c>
      <c r="K491" s="6122"/>
      <c r="L491" s="6132"/>
      <c r="M491" s="6133" t="str">
        <f t="shared" ref="M491:M492" si="19">IMAGE("https://raw.githubusercontent.com/msikma/pokesprite/master/misc/types/gen8/electric.png",4,20,20)</f>
        <v/>
      </c>
      <c r="O491" s="6121" t="s">
        <v>511</v>
      </c>
      <c r="P491" s="6122"/>
      <c r="Q491" s="6132"/>
      <c r="R491" s="6133" t="str">
        <f>IMAGE("https://raw.githubusercontent.com/msikma/pokesprite/master/misc/types/gen8/normal.png",4,20,20)</f>
        <v/>
      </c>
      <c r="T491" s="6121" t="s">
        <v>694</v>
      </c>
      <c r="U491" s="6122"/>
      <c r="V491" s="6132"/>
      <c r="W491" s="6133" t="str">
        <f>IMAGE("https://raw.githubusercontent.com/msikma/pokesprite/master/misc/types/gen8/fire.png",4,20,20)</f>
        <v/>
      </c>
      <c r="Y491" s="7074"/>
      <c r="Z491" s="6126"/>
      <c r="AA491" s="6126"/>
      <c r="AB491" s="6134"/>
      <c r="AD491" s="7074"/>
      <c r="AE491" s="6126"/>
      <c r="AF491" s="6126"/>
      <c r="AG491" s="6134"/>
      <c r="AH491" s="6094"/>
      <c r="AI491" s="6747"/>
    </row>
    <row r="492" ht="20.25" customHeight="1">
      <c r="A492" s="6738"/>
      <c r="B492" s="6085"/>
      <c r="C492" s="6119"/>
      <c r="D492" s="6120"/>
      <c r="E492" s="6125" t="s">
        <v>583</v>
      </c>
      <c r="F492" s="6126"/>
      <c r="G492" s="6134"/>
      <c r="H492" s="6135" t="str">
        <f>IMAGE("https://raw.githubusercontent.com/msikma/pokesprite/master/misc/types/gen8/fighting.png",4,20,20)</f>
        <v/>
      </c>
      <c r="J492" s="6125" t="s">
        <v>581</v>
      </c>
      <c r="K492" s="6126"/>
      <c r="L492" s="6134"/>
      <c r="M492" s="6135" t="str">
        <f t="shared" si="19"/>
        <v/>
      </c>
      <c r="O492" s="6125" t="s">
        <v>548</v>
      </c>
      <c r="P492" s="6126"/>
      <c r="Q492" s="6134"/>
      <c r="R492" s="6135" t="str">
        <f>IMAGE("https://raw.githubusercontent.com/msikma/pokesprite/master/misc/types/gen8/fighting.png",4,20,20)</f>
        <v/>
      </c>
      <c r="T492" s="6125" t="s">
        <v>549</v>
      </c>
      <c r="U492" s="6126"/>
      <c r="V492" s="6134"/>
      <c r="W492" s="6135" t="str">
        <f>IMAGE("https://raw.githubusercontent.com/msikma/pokesprite/master/misc/types/gen8/ground.png",4,20,20)</f>
        <v/>
      </c>
      <c r="Y492" s="7074"/>
      <c r="Z492" s="6126"/>
      <c r="AA492" s="6126"/>
      <c r="AB492" s="6134"/>
      <c r="AD492" s="7074"/>
      <c r="AE492" s="6126"/>
      <c r="AF492" s="6126"/>
      <c r="AG492" s="6134"/>
      <c r="AH492" s="6094"/>
      <c r="AI492" s="6747"/>
    </row>
    <row r="493" ht="20.25" customHeight="1">
      <c r="A493" s="6738"/>
      <c r="B493" s="6085"/>
      <c r="C493" s="6119"/>
      <c r="D493" s="6120"/>
      <c r="E493" s="6125" t="s">
        <v>693</v>
      </c>
      <c r="F493" s="6126"/>
      <c r="G493" s="6134"/>
      <c r="H493" s="6135" t="str">
        <f>IMAGE("https://raw.githubusercontent.com/msikma/pokesprite/master/misc/types/gen8/flying.png",4,20,20)</f>
        <v/>
      </c>
      <c r="J493" s="6125" t="s">
        <v>646</v>
      </c>
      <c r="K493" s="6126"/>
      <c r="L493" s="6134"/>
      <c r="M493" s="6135" t="str">
        <f>IMAGE("https://raw.githubusercontent.com/msikma/pokesprite/master/misc/types/gen8/steel.png",4,20,20)</f>
        <v/>
      </c>
      <c r="O493" s="6125" t="s">
        <v>579</v>
      </c>
      <c r="P493" s="6126"/>
      <c r="Q493" s="6134"/>
      <c r="R493" s="6135" t="str">
        <f>IMAGE("https://raw.githubusercontent.com/msikma/pokesprite/master/misc/types/gen8/dark.png",4,20,20)</f>
        <v/>
      </c>
      <c r="T493" s="6125" t="s">
        <v>612</v>
      </c>
      <c r="U493" s="6126"/>
      <c r="V493" s="6134"/>
      <c r="W493" s="6135" t="str">
        <f>IMAGE("https://raw.githubusercontent.com/msikma/pokesprite/master/misc/types/gen8/bug.png",4,20,20)</f>
        <v/>
      </c>
      <c r="Y493" s="7074"/>
      <c r="Z493" s="6126"/>
      <c r="AA493" s="6126"/>
      <c r="AB493" s="6134"/>
      <c r="AD493" s="7074"/>
      <c r="AE493" s="6126"/>
      <c r="AF493" s="6126"/>
      <c r="AG493" s="6134"/>
      <c r="AH493" s="6094"/>
      <c r="AI493" s="6747"/>
    </row>
    <row r="494" ht="21.0" customHeight="1">
      <c r="A494" s="6738"/>
      <c r="B494" s="6085"/>
      <c r="C494" s="6119"/>
      <c r="D494" s="6120"/>
      <c r="E494" s="6136" t="s">
        <v>621</v>
      </c>
      <c r="F494" s="6137"/>
      <c r="G494" s="6138"/>
      <c r="H494" s="6139" t="str">
        <f>IMAGE("https://raw.githubusercontent.com/msikma/pokesprite/master/misc/types/gen8/rock.png",4,20,20)</f>
        <v/>
      </c>
      <c r="I494" s="6140"/>
      <c r="J494" s="6136" t="s">
        <v>1021</v>
      </c>
      <c r="K494" s="6137"/>
      <c r="L494" s="6138"/>
      <c r="M494" s="6139" t="str">
        <f>IMAGE("https://raw.githubusercontent.com/msikma/pokesprite/master/misc/types/gen8/rock.png",4,20,20)</f>
        <v/>
      </c>
      <c r="N494" s="6140"/>
      <c r="O494" s="6136" t="s">
        <v>584</v>
      </c>
      <c r="P494" s="6137"/>
      <c r="Q494" s="6138"/>
      <c r="R494" s="6139" t="str">
        <f>IMAGE("https://raw.githubusercontent.com/msikma/pokesprite/master/misc/types/gen8/fighting.png",4,20,20)</f>
        <v/>
      </c>
      <c r="S494" s="6140"/>
      <c r="T494" s="6136" t="s">
        <v>693</v>
      </c>
      <c r="U494" s="6137"/>
      <c r="V494" s="6138"/>
      <c r="W494" s="6139" t="str">
        <f>IMAGE("https://raw.githubusercontent.com/msikma/pokesprite/master/misc/types/gen8/flying.png",4,20,20)</f>
        <v/>
      </c>
      <c r="X494" s="6140"/>
      <c r="Y494" s="7074"/>
      <c r="Z494" s="6126"/>
      <c r="AA494" s="6126"/>
      <c r="AB494" s="6134"/>
      <c r="AC494" s="6140"/>
      <c r="AD494" s="7074"/>
      <c r="AE494" s="6126"/>
      <c r="AF494" s="6126"/>
      <c r="AG494" s="6134"/>
      <c r="AH494" s="6094"/>
      <c r="AI494" s="6747"/>
    </row>
    <row r="495" ht="3.0" customHeight="1">
      <c r="A495" s="6738"/>
      <c r="B495" s="6141"/>
      <c r="C495" s="6090"/>
      <c r="D495" s="6142"/>
      <c r="E495" s="6145"/>
      <c r="F495" s="6145"/>
      <c r="G495" s="6145"/>
      <c r="H495" s="6144"/>
      <c r="I495" s="6142"/>
      <c r="J495" s="6145"/>
      <c r="K495" s="6145"/>
      <c r="L495" s="6145"/>
      <c r="M495" s="6144"/>
      <c r="N495" s="6142"/>
      <c r="O495" s="6145"/>
      <c r="P495" s="6145"/>
      <c r="Q495" s="6145"/>
      <c r="R495" s="6144"/>
      <c r="S495" s="6142"/>
      <c r="T495" s="6145"/>
      <c r="U495" s="6145"/>
      <c r="V495" s="6145"/>
      <c r="W495" s="6144"/>
      <c r="X495" s="6142"/>
      <c r="Y495" s="7074"/>
      <c r="Z495" s="6126"/>
      <c r="AA495" s="6126"/>
      <c r="AB495" s="6134"/>
      <c r="AC495" s="6142"/>
      <c r="AD495" s="7074"/>
      <c r="AE495" s="6126"/>
      <c r="AF495" s="6126"/>
      <c r="AG495" s="6134"/>
      <c r="AH495" s="6146"/>
      <c r="AI495" s="6747"/>
    </row>
    <row r="496" ht="16.5" customHeight="1">
      <c r="A496" s="6738"/>
      <c r="B496" s="6089"/>
      <c r="C496" s="6090"/>
      <c r="D496" s="6178"/>
      <c r="E496" s="6148" t="s">
        <v>512</v>
      </c>
      <c r="F496" s="606"/>
      <c r="G496" s="606"/>
      <c r="H496" s="607"/>
      <c r="I496" s="6149"/>
      <c r="J496" s="6148" t="s">
        <v>512</v>
      </c>
      <c r="K496" s="606"/>
      <c r="L496" s="606"/>
      <c r="M496" s="607"/>
      <c r="N496" s="6149"/>
      <c r="O496" s="6148" t="s">
        <v>512</v>
      </c>
      <c r="P496" s="606"/>
      <c r="Q496" s="606"/>
      <c r="R496" s="607"/>
      <c r="S496" s="6149"/>
      <c r="T496" s="6148" t="s">
        <v>512</v>
      </c>
      <c r="U496" s="606"/>
      <c r="V496" s="606"/>
      <c r="W496" s="607"/>
      <c r="X496" s="6149"/>
      <c r="Y496" s="7074"/>
      <c r="Z496" s="6126"/>
      <c r="AA496" s="6126"/>
      <c r="AB496" s="6134"/>
      <c r="AC496" s="6149"/>
      <c r="AD496" s="7074"/>
      <c r="AE496" s="6126"/>
      <c r="AF496" s="6126"/>
      <c r="AG496" s="6134"/>
      <c r="AH496" s="6150"/>
      <c r="AI496" s="6747"/>
    </row>
    <row r="497" ht="16.5" customHeight="1">
      <c r="A497" s="6738"/>
      <c r="B497" s="6089"/>
      <c r="C497" s="6090"/>
      <c r="D497" s="6147"/>
      <c r="E497" s="6151" t="s">
        <v>513</v>
      </c>
      <c r="F497" s="6152">
        <f t="array" ref="F497">IFERROR(VLOOKUP(E484,Dex!$B$3:$N1219,8,FALSE),"")</f>
        <v>98</v>
      </c>
      <c r="G497" s="6153" t="str">
        <f t="array" ref="G497">IFERROR(VLOOKUP(F497,Dex!$P$22:$Q$276,2,FALSE),"")</f>
        <v/>
      </c>
      <c r="H497" s="6154"/>
      <c r="I497" s="6155"/>
      <c r="J497" s="6151" t="s">
        <v>513</v>
      </c>
      <c r="K497" s="6152">
        <f t="array" ref="K497">IFERROR(VLOOKUP(J484,Dex!$B$3:$N1219,8,FALSE),"")</f>
        <v>65</v>
      </c>
      <c r="L497" s="6153" t="str">
        <f t="array" ref="L497">IFERROR(VLOOKUP(K497,Dex!$P$22:$Q$276,2,FALSE),"")</f>
        <v/>
      </c>
      <c r="M497" s="6154"/>
      <c r="N497" s="6155"/>
      <c r="O497" s="6151" t="s">
        <v>513</v>
      </c>
      <c r="P497" s="6152">
        <f t="array" ref="P497">IFERROR(VLOOKUP(O484,Dex!$B$3:$N1219,8,FALSE),"")</f>
        <v>105</v>
      </c>
      <c r="Q497" s="6153" t="str">
        <f t="array" ref="Q497">IFERROR(VLOOKUP(P497,Dex!$P$22:$Q$276,2,FALSE),"")</f>
        <v/>
      </c>
      <c r="R497" s="6154"/>
      <c r="S497" s="6155"/>
      <c r="T497" s="6151" t="s">
        <v>513</v>
      </c>
      <c r="U497" s="6152">
        <f t="array" ref="U497">IFERROR(VLOOKUP(T484,Dex!$B$3:$N1219,8,FALSE),"")</f>
        <v>70</v>
      </c>
      <c r="V497" s="6153" t="str">
        <f t="array" ref="V497">IFERROR(VLOOKUP(U497,Dex!$P$22:$Q$276,2,FALSE),"")</f>
        <v/>
      </c>
      <c r="W497" s="6154"/>
      <c r="X497" s="6155"/>
      <c r="Y497" s="7074"/>
      <c r="Z497" s="6126"/>
      <c r="AA497" s="6126"/>
      <c r="AB497" s="6134"/>
      <c r="AC497" s="6155"/>
      <c r="AD497" s="7074"/>
      <c r="AE497" s="6126"/>
      <c r="AF497" s="6126"/>
      <c r="AG497" s="6134"/>
      <c r="AH497" s="6150"/>
      <c r="AI497" s="6747"/>
    </row>
    <row r="498" ht="16.5" customHeight="1">
      <c r="A498" s="6738"/>
      <c r="B498" s="6089"/>
      <c r="C498" s="6090"/>
      <c r="D498" s="6147"/>
      <c r="E498" s="6156" t="s">
        <v>514</v>
      </c>
      <c r="F498" s="6157">
        <f t="array" ref="F498">IFERROR(VLOOKUP(E484,Dex!$B$3:$N1219,9,FALSE),"")</f>
        <v>112</v>
      </c>
      <c r="G498" s="6158" t="str">
        <f t="array" ref="G498">IFERROR(VLOOKUP(F498,Dex!$P$22:$Q$276,2,FALSE),"")</f>
        <v/>
      </c>
      <c r="H498" s="6159"/>
      <c r="I498" s="6155"/>
      <c r="J498" s="6156" t="s">
        <v>514</v>
      </c>
      <c r="K498" s="6157">
        <f t="array" ref="K498">IFERROR(VLOOKUP(J484,Dex!$B$3:$N1219,9,FALSE),"")</f>
        <v>45</v>
      </c>
      <c r="L498" s="6158" t="str">
        <f t="array" ref="L498">IFERROR(VLOOKUP(K498,Dex!$P$22:$Q$276,2,FALSE),"")</f>
        <v/>
      </c>
      <c r="M498" s="6159"/>
      <c r="N498" s="6155"/>
      <c r="O498" s="6156" t="s">
        <v>514</v>
      </c>
      <c r="P498" s="6157">
        <f t="array" ref="P498">IFERROR(VLOOKUP(O484,Dex!$B$3:$N1219,9,FALSE),"")</f>
        <v>140</v>
      </c>
      <c r="Q498" s="6158" t="str">
        <f t="array" ref="Q498">IFERROR(VLOOKUP(P498,Dex!$P$22:$Q$276,2,FALSE),"")</f>
        <v/>
      </c>
      <c r="R498" s="6159"/>
      <c r="S498" s="6155"/>
      <c r="T498" s="6156" t="s">
        <v>514</v>
      </c>
      <c r="U498" s="6157">
        <f t="array" ref="U498">IFERROR(VLOOKUP(T484,Dex!$B$3:$N1219,9,FALSE),"")</f>
        <v>125</v>
      </c>
      <c r="V498" s="6158" t="str">
        <f t="array" ref="V498">IFERROR(VLOOKUP(U498,Dex!$P$22:$Q$276,2,FALSE),"")</f>
        <v/>
      </c>
      <c r="W498" s="6159"/>
      <c r="X498" s="6155"/>
      <c r="Y498" s="7074"/>
      <c r="Z498" s="6126"/>
      <c r="AA498" s="6126"/>
      <c r="AB498" s="6134"/>
      <c r="AC498" s="6155"/>
      <c r="AD498" s="7074"/>
      <c r="AE498" s="6126"/>
      <c r="AF498" s="6126"/>
      <c r="AG498" s="6134"/>
      <c r="AH498" s="6150"/>
      <c r="AI498" s="6747"/>
    </row>
    <row r="499" ht="16.5" customHeight="1">
      <c r="A499" s="6738"/>
      <c r="B499" s="6089"/>
      <c r="C499" s="6090"/>
      <c r="D499" s="6147"/>
      <c r="E499" s="6156" t="s">
        <v>515</v>
      </c>
      <c r="F499" s="6157">
        <f t="array" ref="F499">IFERROR(VLOOKUP(E484,Dex!$B$3:$N1219,10,FALSE),"")</f>
        <v>85</v>
      </c>
      <c r="G499" s="6158" t="str">
        <f t="array" ref="G499">IFERROR(VLOOKUP(F499,Dex!$P$22:$Q$276,2,FALSE),"")</f>
        <v/>
      </c>
      <c r="H499" s="6159"/>
      <c r="I499" s="6155"/>
      <c r="J499" s="6156" t="s">
        <v>515</v>
      </c>
      <c r="K499" s="6157">
        <f t="array" ref="K499">IFERROR(VLOOKUP(J484,Dex!$B$3:$N1219,10,FALSE),"")</f>
        <v>145</v>
      </c>
      <c r="L499" s="6158" t="str">
        <f t="array" ref="L499">IFERROR(VLOOKUP(K499,Dex!$P$22:$Q$276,2,FALSE),"")</f>
        <v/>
      </c>
      <c r="M499" s="6159"/>
      <c r="N499" s="6155"/>
      <c r="O499" s="6156" t="s">
        <v>515</v>
      </c>
      <c r="P499" s="6157">
        <f t="array" ref="P499">IFERROR(VLOOKUP(O484,Dex!$B$3:$N1219,10,FALSE),"")</f>
        <v>95</v>
      </c>
      <c r="Q499" s="6158" t="str">
        <f t="array" ref="Q499">IFERROR(VLOOKUP(P499,Dex!$P$22:$Q$276,2,FALSE),"")</f>
        <v/>
      </c>
      <c r="R499" s="6159"/>
      <c r="S499" s="6155"/>
      <c r="T499" s="6156" t="s">
        <v>515</v>
      </c>
      <c r="U499" s="6157">
        <f t="array" ref="U499">IFERROR(VLOOKUP(T484,Dex!$B$3:$N1219,10,FALSE),"")</f>
        <v>65</v>
      </c>
      <c r="V499" s="6158" t="str">
        <f t="array" ref="V499">IFERROR(VLOOKUP(U499,Dex!$P$22:$Q$276,2,FALSE),"")</f>
        <v/>
      </c>
      <c r="W499" s="6159"/>
      <c r="X499" s="6155"/>
      <c r="Y499" s="7074"/>
      <c r="Z499" s="6126"/>
      <c r="AA499" s="6126"/>
      <c r="AB499" s="6134"/>
      <c r="AC499" s="6155"/>
      <c r="AD499" s="7074"/>
      <c r="AE499" s="6126"/>
      <c r="AF499" s="6126"/>
      <c r="AG499" s="6134"/>
      <c r="AH499" s="6150"/>
      <c r="AI499" s="6747"/>
    </row>
    <row r="500" ht="16.5" customHeight="1">
      <c r="A500" s="6738"/>
      <c r="B500" s="6089"/>
      <c r="C500" s="6090"/>
      <c r="D500" s="6147"/>
      <c r="E500" s="6156" t="s">
        <v>516</v>
      </c>
      <c r="F500" s="6157">
        <f t="array" ref="F500">IFERROR(VLOOKUP(E484,Dex!$B$3:$N1219,11,FALSE),"")</f>
        <v>75</v>
      </c>
      <c r="G500" s="6158" t="str">
        <f t="array" ref="G500">IFERROR(VLOOKUP(F500,Dex!$P$22:$Q$276,2,FALSE),"")</f>
        <v/>
      </c>
      <c r="H500" s="6159"/>
      <c r="I500" s="6155"/>
      <c r="J500" s="6156" t="s">
        <v>516</v>
      </c>
      <c r="K500" s="6157">
        <f t="array" ref="K500">IFERROR(VLOOKUP(J484,Dex!$B$3:$N1219,11,FALSE),"")</f>
        <v>80</v>
      </c>
      <c r="L500" s="6158" t="str">
        <f t="array" ref="L500">IFERROR(VLOOKUP(K500,Dex!$P$22:$Q$276,2,FALSE),"")</f>
        <v/>
      </c>
      <c r="M500" s="6159"/>
      <c r="N500" s="6155"/>
      <c r="O500" s="6156" t="s">
        <v>516</v>
      </c>
      <c r="P500" s="6157">
        <f t="array" ref="P500">IFERROR(VLOOKUP(O484,Dex!$B$3:$N1219,11,FALSE),"")</f>
        <v>55</v>
      </c>
      <c r="Q500" s="6158" t="str">
        <f t="array" ref="Q500">IFERROR(VLOOKUP(P500,Dex!$P$22:$Q$276,2,FALSE),"")</f>
        <v/>
      </c>
      <c r="R500" s="6159"/>
      <c r="S500" s="6155"/>
      <c r="T500" s="6156" t="s">
        <v>516</v>
      </c>
      <c r="U500" s="6157">
        <f t="array" ref="U500">IFERROR(VLOOKUP(T484,Dex!$B$3:$N1219,11,FALSE),"")</f>
        <v>50</v>
      </c>
      <c r="V500" s="6158" t="str">
        <f t="array" ref="V500">IFERROR(VLOOKUP(U500,Dex!$P$22:$Q$276,2,FALSE),"")</f>
        <v/>
      </c>
      <c r="W500" s="6159"/>
      <c r="X500" s="6155"/>
      <c r="Y500" s="7074"/>
      <c r="Z500" s="6126"/>
      <c r="AA500" s="6126"/>
      <c r="AB500" s="6134"/>
      <c r="AC500" s="6155"/>
      <c r="AD500" s="7074"/>
      <c r="AE500" s="6126"/>
      <c r="AF500" s="6126"/>
      <c r="AG500" s="6134"/>
      <c r="AH500" s="6150"/>
      <c r="AI500" s="6747"/>
    </row>
    <row r="501" ht="16.5" customHeight="1">
      <c r="A501" s="6738"/>
      <c r="B501" s="6089"/>
      <c r="C501" s="6160"/>
      <c r="D501" s="6147"/>
      <c r="E501" s="6156" t="s">
        <v>517</v>
      </c>
      <c r="F501" s="6157">
        <f t="array" ref="F501">IFERROR(VLOOKUP(E484,Dex!$B$3:$N1219,12,FALSE),"")</f>
        <v>100</v>
      </c>
      <c r="G501" s="6158" t="str">
        <f t="array" ref="G501">IFERROR(VLOOKUP(F501,Dex!$P$22:$Q$276,2,FALSE),"")</f>
        <v/>
      </c>
      <c r="H501" s="6159"/>
      <c r="I501" s="6155"/>
      <c r="J501" s="6156" t="s">
        <v>517</v>
      </c>
      <c r="K501" s="6157">
        <f t="array" ref="K501">IFERROR(VLOOKUP(J484,Dex!$B$3:$N1219,12,FALSE),"")</f>
        <v>150</v>
      </c>
      <c r="L501" s="6158" t="str">
        <f t="array" ref="L501">IFERROR(VLOOKUP(K501,Dex!$P$22:$Q$276,2,FALSE),"")</f>
        <v/>
      </c>
      <c r="M501" s="6159"/>
      <c r="N501" s="6155"/>
      <c r="O501" s="6156" t="s">
        <v>517</v>
      </c>
      <c r="P501" s="6157">
        <f t="array" ref="P501">IFERROR(VLOOKUP(O484,Dex!$B$3:$N1219,12,FALSE),"")</f>
        <v>65</v>
      </c>
      <c r="Q501" s="6158" t="str">
        <f t="array" ref="Q501">IFERROR(VLOOKUP(P501,Dex!$P$22:$Q$276,2,FALSE),"")</f>
        <v/>
      </c>
      <c r="R501" s="6159"/>
      <c r="S501" s="6155"/>
      <c r="T501" s="6156" t="s">
        <v>517</v>
      </c>
      <c r="U501" s="6157">
        <f t="array" ref="U501">IFERROR(VLOOKUP(T484,Dex!$B$3:$N1219,12,FALSE),"")</f>
        <v>60</v>
      </c>
      <c r="V501" s="6158" t="str">
        <f t="array" ref="V501">IFERROR(VLOOKUP(U501,Dex!$P$22:$Q$276,2,FALSE),"")</f>
        <v/>
      </c>
      <c r="W501" s="6159"/>
      <c r="X501" s="6155"/>
      <c r="Y501" s="7074"/>
      <c r="Z501" s="6126"/>
      <c r="AA501" s="6126"/>
      <c r="AB501" s="6134"/>
      <c r="AC501" s="6155"/>
      <c r="AD501" s="7074"/>
      <c r="AE501" s="6126"/>
      <c r="AF501" s="6126"/>
      <c r="AG501" s="6134"/>
      <c r="AH501" s="6150"/>
      <c r="AI501" s="6747"/>
    </row>
    <row r="502" ht="16.5" customHeight="1">
      <c r="A502" s="6738"/>
      <c r="B502" s="6089"/>
      <c r="C502" s="6090"/>
      <c r="D502" s="6161"/>
      <c r="E502" s="6162" t="s">
        <v>518</v>
      </c>
      <c r="F502" s="6163">
        <f t="array" ref="F502">IFERROR(VLOOKUP(E484,Dex!$B$3:$N1219,13,FALSE),"")</f>
        <v>70</v>
      </c>
      <c r="G502" s="6164" t="str">
        <f t="array" ref="G502">IFERROR(VLOOKUP(F502,Dex!$P$22:$Q$276,2,FALSE),"")</f>
        <v/>
      </c>
      <c r="H502" s="6165"/>
      <c r="I502" s="6155"/>
      <c r="J502" s="6162" t="s">
        <v>518</v>
      </c>
      <c r="K502" s="6163">
        <f t="array" ref="K502">IFERROR(VLOOKUP(J484,Dex!$B$3:$N1219,13,FALSE),"")</f>
        <v>40</v>
      </c>
      <c r="L502" s="6164" t="str">
        <f t="array" ref="L502">IFERROR(VLOOKUP(K502,Dex!$P$22:$Q$276,2,FALSE),"")</f>
        <v/>
      </c>
      <c r="M502" s="6165"/>
      <c r="N502" s="6155"/>
      <c r="O502" s="6162" t="s">
        <v>518</v>
      </c>
      <c r="P502" s="6163">
        <f t="array" ref="P502">IFERROR(VLOOKUP(O484,Dex!$B$3:$N1219,13,FALSE),"")</f>
        <v>45</v>
      </c>
      <c r="Q502" s="6164" t="str">
        <f t="array" ref="Q502">IFERROR(VLOOKUP(P502,Dex!$P$22:$Q$276,2,FALSE),"")</f>
        <v/>
      </c>
      <c r="R502" s="6165"/>
      <c r="S502" s="6155"/>
      <c r="T502" s="6162" t="s">
        <v>518</v>
      </c>
      <c r="U502" s="6163">
        <f t="array" ref="U502">IFERROR(VLOOKUP(T484,Dex!$B$3:$N1219,13,FALSE),"")</f>
        <v>110</v>
      </c>
      <c r="V502" s="6164" t="str">
        <f t="array" ref="V502">IFERROR(VLOOKUP(U502,Dex!$P$22:$Q$276,2,FALSE),"")</f>
        <v/>
      </c>
      <c r="W502" s="6165"/>
      <c r="X502" s="6155"/>
      <c r="Y502" s="7074"/>
      <c r="Z502" s="6126"/>
      <c r="AA502" s="6126"/>
      <c r="AB502" s="6134"/>
      <c r="AC502" s="6155"/>
      <c r="AD502" s="7074"/>
      <c r="AE502" s="6126"/>
      <c r="AF502" s="6126"/>
      <c r="AG502" s="6134"/>
      <c r="AH502" s="6150"/>
      <c r="AI502" s="6747"/>
    </row>
    <row r="503" ht="16.5" customHeight="1">
      <c r="A503" s="6738"/>
      <c r="B503" s="6089"/>
      <c r="C503" s="6090"/>
      <c r="D503" s="6180"/>
      <c r="E503" s="6169" t="s">
        <v>519</v>
      </c>
      <c r="F503" s="635"/>
      <c r="G503" s="636"/>
      <c r="H503" s="7120">
        <v>193.0</v>
      </c>
      <c r="I503" s="6149"/>
      <c r="J503" s="6168" t="s">
        <v>519</v>
      </c>
      <c r="K503" s="630"/>
      <c r="L503" s="631"/>
      <c r="M503" s="7121">
        <v>116.0</v>
      </c>
      <c r="N503" s="6149"/>
      <c r="O503" s="6168" t="s">
        <v>519</v>
      </c>
      <c r="P503" s="630"/>
      <c r="Q503" s="631"/>
      <c r="R503" s="7121">
        <v>126.0</v>
      </c>
      <c r="S503" s="6149"/>
      <c r="T503" s="6168" t="s">
        <v>519</v>
      </c>
      <c r="U503" s="630"/>
      <c r="V503" s="631"/>
      <c r="W503" s="7121">
        <v>281.0</v>
      </c>
      <c r="X503" s="6149"/>
      <c r="Y503" s="7074"/>
      <c r="Z503" s="6126"/>
      <c r="AA503" s="6126"/>
      <c r="AB503" s="6134"/>
      <c r="AC503" s="6149"/>
      <c r="AD503" s="7074"/>
      <c r="AE503" s="6126"/>
      <c r="AF503" s="6126"/>
      <c r="AG503" s="6134"/>
      <c r="AH503" s="6150"/>
      <c r="AI503" s="6747"/>
    </row>
    <row r="504" ht="16.5" customHeight="1">
      <c r="A504" s="6738"/>
      <c r="B504" s="6089"/>
      <c r="C504" s="6090"/>
      <c r="D504" s="7122"/>
      <c r="E504" s="7123" t="s">
        <v>1449</v>
      </c>
      <c r="F504" s="7124"/>
      <c r="G504" s="7125"/>
      <c r="H504" s="6787">
        <f t="shared" ref="H504:H505" si="20">ROUNDDOWN(H503*1.5,0)</f>
        <v>289</v>
      </c>
      <c r="I504" s="7122"/>
      <c r="J504" s="6090"/>
      <c r="K504" s="6090"/>
      <c r="L504" s="6090"/>
      <c r="M504" s="6090"/>
      <c r="N504" s="6090"/>
      <c r="O504" s="6090"/>
      <c r="P504" s="6090"/>
      <c r="Q504" s="6090"/>
      <c r="R504" s="6090"/>
      <c r="S504" s="6090"/>
      <c r="T504" s="6090"/>
      <c r="U504" s="6090"/>
      <c r="V504" s="6090"/>
      <c r="W504" s="6090"/>
      <c r="X504" s="6090"/>
      <c r="Y504" s="6090"/>
      <c r="Z504" s="6090"/>
      <c r="AA504" s="6090"/>
      <c r="AB504" s="6090"/>
      <c r="AC504" s="7122"/>
      <c r="AD504" s="6171"/>
      <c r="AE504" s="6171"/>
      <c r="AF504" s="6171"/>
      <c r="AG504" s="6090"/>
      <c r="AH504" s="6150"/>
      <c r="AI504" s="6747"/>
    </row>
    <row r="505" ht="16.5" customHeight="1">
      <c r="A505" s="6738"/>
      <c r="B505" s="6089"/>
      <c r="C505" s="6090"/>
      <c r="D505" s="6090"/>
      <c r="E505" s="6173" t="s">
        <v>2081</v>
      </c>
      <c r="F505" s="643"/>
      <c r="G505" s="644"/>
      <c r="H505" s="6787">
        <f t="shared" si="20"/>
        <v>433</v>
      </c>
      <c r="I505" s="6090"/>
      <c r="J505" s="6090"/>
      <c r="K505" s="6090"/>
      <c r="L505" s="6090"/>
      <c r="M505" s="6090"/>
      <c r="N505" s="6170"/>
      <c r="O505" s="6090"/>
      <c r="P505" s="6090"/>
      <c r="Q505" s="6090"/>
      <c r="R505" s="6090"/>
      <c r="S505" s="6090"/>
      <c r="T505" s="6090"/>
      <c r="U505" s="6090"/>
      <c r="V505" s="6090"/>
      <c r="W505" s="6090"/>
      <c r="X505" s="6090"/>
      <c r="Y505" s="6171"/>
      <c r="Z505" s="6171"/>
      <c r="AA505" s="6171"/>
      <c r="AB505" s="6090"/>
      <c r="AC505" s="6090"/>
      <c r="AD505" s="6171"/>
      <c r="AE505" s="6171"/>
      <c r="AF505" s="6171"/>
      <c r="AG505" s="6090"/>
      <c r="AH505" s="6150"/>
      <c r="AI505" s="6747"/>
    </row>
    <row r="506" ht="11.25" customHeight="1">
      <c r="A506" s="6738"/>
      <c r="B506" s="7091"/>
      <c r="C506" s="6182"/>
      <c r="D506" s="6182"/>
      <c r="E506" s="6182"/>
      <c r="F506" s="6182"/>
      <c r="G506" s="6182"/>
      <c r="H506" s="6182"/>
      <c r="I506" s="6182"/>
      <c r="J506" s="6182"/>
      <c r="K506" s="6182"/>
      <c r="L506" s="6182"/>
      <c r="M506" s="6182"/>
      <c r="N506" s="6182"/>
      <c r="O506" s="7092"/>
      <c r="P506" s="7092"/>
      <c r="Q506" s="7092"/>
      <c r="R506" s="6182"/>
      <c r="S506" s="6182"/>
      <c r="T506" s="6184"/>
      <c r="U506" s="6184"/>
      <c r="V506" s="6184"/>
      <c r="W506" s="6182"/>
      <c r="X506" s="6182"/>
      <c r="Y506" s="6184"/>
      <c r="Z506" s="6184"/>
      <c r="AA506" s="6184"/>
      <c r="AB506" s="6182"/>
      <c r="AC506" s="6182"/>
      <c r="AD506" s="6182"/>
      <c r="AE506" s="6182"/>
      <c r="AF506" s="6182"/>
      <c r="AG506" s="6182"/>
      <c r="AH506" s="7093"/>
      <c r="AI506" s="6747"/>
    </row>
    <row r="507" ht="15.0" customHeight="1">
      <c r="A507" s="6738"/>
      <c r="B507" s="6080"/>
      <c r="C507" s="6081"/>
      <c r="D507" s="6081"/>
      <c r="E507" s="7069"/>
      <c r="F507" s="7069"/>
      <c r="G507" s="7069"/>
      <c r="H507" s="7069"/>
      <c r="I507" s="6081"/>
      <c r="J507" s="7069"/>
      <c r="K507" s="7069"/>
      <c r="L507" s="7069"/>
      <c r="M507" s="7069"/>
      <c r="N507" s="6081"/>
      <c r="O507" s="7070"/>
      <c r="P507" s="7070"/>
      <c r="Q507" s="7070"/>
      <c r="R507" s="7069"/>
      <c r="S507" s="6081"/>
      <c r="T507" s="7071"/>
      <c r="U507" s="7071"/>
      <c r="V507" s="7071"/>
      <c r="W507" s="7069"/>
      <c r="X507" s="6081"/>
      <c r="Y507" s="7071"/>
      <c r="Z507" s="7071"/>
      <c r="AA507" s="7071"/>
      <c r="AB507" s="7069"/>
      <c r="AC507" s="6081"/>
      <c r="AD507" s="7069"/>
      <c r="AE507" s="7069"/>
      <c r="AF507" s="7069"/>
      <c r="AG507" s="7069"/>
      <c r="AH507" s="6084"/>
      <c r="AI507" s="6747"/>
    </row>
    <row r="508" ht="96.75" customHeight="1">
      <c r="A508" s="6738"/>
      <c r="B508" s="6095"/>
      <c r="C508" s="6096" t="str">
        <f>IMAGE("https://i.ibb.co/nzhVFm2/Ketchup.png")</f>
        <v/>
      </c>
      <c r="D508" s="6097"/>
      <c r="E508" s="6098" t="str">
        <f t="array" ref="E508">IFERROR(VLOOKUP(E509,Dex!$B$3:$G1219,3,FALSE),"")</f>
        <v/>
      </c>
      <c r="F508" s="1945"/>
      <c r="G508" s="1945"/>
      <c r="H508" s="1946"/>
      <c r="I508" s="6099"/>
      <c r="J508" s="6098" t="str">
        <f t="array" ref="J508">IFERROR(VLOOKUP(J509,Dex!$B$3:$G1219,3,FALSE),"")</f>
        <v/>
      </c>
      <c r="K508" s="1945"/>
      <c r="L508" s="1945"/>
      <c r="M508" s="1946"/>
      <c r="N508" s="6099"/>
      <c r="O508" s="6098" t="str">
        <f t="array" ref="O508">IFERROR(VLOOKUP(O509,Dex!$B$3:$G1219,3,FALSE),"")</f>
        <v/>
      </c>
      <c r="P508" s="1945"/>
      <c r="Q508" s="1945"/>
      <c r="R508" s="1946"/>
      <c r="S508" s="6099"/>
      <c r="T508" s="7074"/>
      <c r="U508" s="6126"/>
      <c r="V508" s="6126"/>
      <c r="W508" s="6134"/>
      <c r="X508" s="6099"/>
      <c r="Y508" s="7074"/>
      <c r="Z508" s="6126"/>
      <c r="AA508" s="6126"/>
      <c r="AB508" s="6134"/>
      <c r="AC508" s="6099"/>
      <c r="AD508" s="7074"/>
      <c r="AE508" s="6126"/>
      <c r="AF508" s="6126"/>
      <c r="AG508" s="6134"/>
      <c r="AH508" s="6094"/>
      <c r="AI508" s="6747"/>
    </row>
    <row r="509" ht="18.75" customHeight="1">
      <c r="A509" s="6738"/>
      <c r="B509" s="6095"/>
      <c r="C509" s="6100" t="s">
        <v>2082</v>
      </c>
      <c r="D509" s="6101"/>
      <c r="E509" s="6102" t="s">
        <v>2083</v>
      </c>
      <c r="F509" s="6103"/>
      <c r="G509" s="6103"/>
      <c r="H509" s="6104"/>
      <c r="J509" s="6102" t="s">
        <v>1884</v>
      </c>
      <c r="K509" s="6103"/>
      <c r="L509" s="6103"/>
      <c r="M509" s="6104"/>
      <c r="O509" s="6102" t="s">
        <v>1129</v>
      </c>
      <c r="P509" s="6103"/>
      <c r="Q509" s="6103"/>
      <c r="R509" s="6104"/>
      <c r="T509" s="7074"/>
      <c r="U509" s="6126"/>
      <c r="V509" s="6126"/>
      <c r="W509" s="6134"/>
      <c r="Y509" s="7074"/>
      <c r="Z509" s="6126"/>
      <c r="AA509" s="6126"/>
      <c r="AB509" s="6134"/>
      <c r="AD509" s="7074"/>
      <c r="AE509" s="6126"/>
      <c r="AF509" s="6126"/>
      <c r="AG509" s="6134"/>
      <c r="AH509" s="6094"/>
      <c r="AI509" s="6747"/>
    </row>
    <row r="510">
      <c r="A510" s="6738"/>
      <c r="B510" s="6095"/>
      <c r="C510" s="1638"/>
      <c r="D510" s="6101"/>
      <c r="E510" s="6105" t="s">
        <v>729</v>
      </c>
      <c r="F510" s="6106"/>
      <c r="G510" s="6106"/>
      <c r="H510" s="6107"/>
      <c r="J510" s="6105" t="s">
        <v>729</v>
      </c>
      <c r="K510" s="6106"/>
      <c r="L510" s="6106"/>
      <c r="M510" s="6107"/>
      <c r="O510" s="6105" t="s">
        <v>729</v>
      </c>
      <c r="P510" s="6106"/>
      <c r="Q510" s="6106"/>
      <c r="R510" s="6107"/>
      <c r="T510" s="7074"/>
      <c r="U510" s="6126"/>
      <c r="V510" s="6126"/>
      <c r="W510" s="6134"/>
      <c r="Y510" s="7074"/>
      <c r="Z510" s="6126"/>
      <c r="AA510" s="6126"/>
      <c r="AB510" s="6134"/>
      <c r="AD510" s="7074"/>
      <c r="AE510" s="6126"/>
      <c r="AF510" s="6126"/>
      <c r="AG510" s="6134"/>
      <c r="AH510" s="6094"/>
      <c r="AI510" s="6747"/>
    </row>
    <row r="511" ht="25.5" customHeight="1">
      <c r="A511" s="6738"/>
      <c r="B511" s="6095"/>
      <c r="C511" s="1646"/>
      <c r="D511" s="6108"/>
      <c r="E511" s="6109"/>
      <c r="F511" s="6110" t="str">
        <f t="array" ref="F511">IFERROR(VLOOKUP(E509,Dex!$B$3:$H1219,5,FALSE),"")</f>
        <v/>
      </c>
      <c r="G511" s="6111" t="str">
        <f t="array" ref="G511">IFERROR(VLOOKUP(E509,Dex!$B$3:$H1219,7,FALSE),"")</f>
        <v/>
      </c>
      <c r="H511" s="6112"/>
      <c r="J511" s="6109"/>
      <c r="K511" s="6110" t="str">
        <f t="array" ref="K511">IFERROR(VLOOKUP(J509,Dex!$B$3:$H1219,5,FALSE),"")</f>
        <v/>
      </c>
      <c r="L511" s="6111" t="str">
        <f t="array" ref="L511">IFERROR(VLOOKUP(J509,Dex!$B$3:$H1219,7,FALSE),"")</f>
        <v/>
      </c>
      <c r="M511" s="6112"/>
      <c r="O511" s="6109"/>
      <c r="P511" s="6110" t="str">
        <f t="array" ref="P511">IFERROR(VLOOKUP(O509,Dex!$B$3:$H1219,5,FALSE),"")</f>
        <v/>
      </c>
      <c r="Q511" s="6111" t="str">
        <f t="array" ref="Q511">IFERROR(VLOOKUP(O509,Dex!$B$3:$H1219,7,FALSE),"")</f>
        <v/>
      </c>
      <c r="R511" s="6112"/>
      <c r="T511" s="7074"/>
      <c r="U511" s="6126"/>
      <c r="V511" s="6126"/>
      <c r="W511" s="6134"/>
      <c r="Y511" s="7074"/>
      <c r="Z511" s="6126"/>
      <c r="AA511" s="6126"/>
      <c r="AB511" s="6134"/>
      <c r="AD511" s="7074"/>
      <c r="AE511" s="6126"/>
      <c r="AF511" s="6126"/>
      <c r="AG511" s="6134"/>
      <c r="AH511" s="6113"/>
      <c r="AI511" s="6747"/>
    </row>
    <row r="512" ht="2.25" customHeight="1">
      <c r="A512" s="6738"/>
      <c r="B512" s="6085"/>
      <c r="C512" s="6114"/>
      <c r="D512" s="6115"/>
      <c r="E512" s="6116"/>
      <c r="F512" s="6117"/>
      <c r="G512" s="6117"/>
      <c r="H512" s="6118"/>
      <c r="J512" s="6116"/>
      <c r="K512" s="6117"/>
      <c r="L512" s="6117"/>
      <c r="M512" s="6118"/>
      <c r="O512" s="6116"/>
      <c r="P512" s="6117"/>
      <c r="Q512" s="6117"/>
      <c r="R512" s="6118"/>
      <c r="T512" s="7074"/>
      <c r="U512" s="6126"/>
      <c r="V512" s="6126"/>
      <c r="W512" s="6134"/>
      <c r="Y512" s="7074"/>
      <c r="Z512" s="6126"/>
      <c r="AA512" s="6126"/>
      <c r="AB512" s="6134"/>
      <c r="AD512" s="7074"/>
      <c r="AE512" s="6126"/>
      <c r="AF512" s="6126"/>
      <c r="AG512" s="6134"/>
      <c r="AH512" s="6113"/>
      <c r="AI512" s="6747"/>
    </row>
    <row r="513" ht="20.25" customHeight="1">
      <c r="A513" s="6738"/>
      <c r="B513" s="6085"/>
      <c r="C513" s="6119"/>
      <c r="D513" s="6120"/>
      <c r="E513" s="6121" t="s">
        <v>532</v>
      </c>
      <c r="F513" s="6122"/>
      <c r="G513" s="6122"/>
      <c r="H513" s="6123"/>
      <c r="J513" s="6121" t="s">
        <v>532</v>
      </c>
      <c r="K513" s="6122"/>
      <c r="L513" s="6122"/>
      <c r="M513" s="6123"/>
      <c r="O513" s="6121" t="s">
        <v>532</v>
      </c>
      <c r="P513" s="6122"/>
      <c r="Q513" s="6122"/>
      <c r="R513" s="6123"/>
      <c r="T513" s="7074"/>
      <c r="U513" s="6126"/>
      <c r="V513" s="6126"/>
      <c r="W513" s="6134"/>
      <c r="Y513" s="7074"/>
      <c r="Z513" s="6126"/>
      <c r="AA513" s="6126"/>
      <c r="AB513" s="6134"/>
      <c r="AD513" s="7074"/>
      <c r="AE513" s="6126"/>
      <c r="AF513" s="6126"/>
      <c r="AG513" s="6134"/>
      <c r="AH513" s="6094"/>
      <c r="AI513" s="6747"/>
    </row>
    <row r="514" ht="20.25" customHeight="1">
      <c r="A514" s="6738"/>
      <c r="B514" s="6085"/>
      <c r="C514" s="6124"/>
      <c r="D514" s="6120"/>
      <c r="E514" s="6125" t="s">
        <v>108</v>
      </c>
      <c r="F514" s="6126"/>
      <c r="G514" s="6126"/>
      <c r="H514" s="6127"/>
      <c r="J514" s="7126" t="s">
        <v>1885</v>
      </c>
      <c r="K514" s="6126"/>
      <c r="L514" s="6126"/>
      <c r="M514" s="6127"/>
      <c r="O514" s="6125" t="s">
        <v>1132</v>
      </c>
      <c r="P514" s="6126"/>
      <c r="Q514" s="6126"/>
      <c r="R514" s="6127"/>
      <c r="T514" s="7074"/>
      <c r="U514" s="6126"/>
      <c r="V514" s="6126"/>
      <c r="W514" s="6134"/>
      <c r="Y514" s="7074"/>
      <c r="Z514" s="6126"/>
      <c r="AA514" s="6126"/>
      <c r="AB514" s="6134"/>
      <c r="AD514" s="7074"/>
      <c r="AE514" s="6126"/>
      <c r="AF514" s="6126"/>
      <c r="AG514" s="6134"/>
      <c r="AH514" s="6094"/>
      <c r="AI514" s="6747"/>
    </row>
    <row r="515" ht="20.25" customHeight="1">
      <c r="A515" s="6738"/>
      <c r="B515" s="6085"/>
      <c r="C515" s="6128"/>
      <c r="D515" s="6120"/>
      <c r="E515" s="6129" t="s">
        <v>1445</v>
      </c>
      <c r="F515" s="6092"/>
      <c r="G515" s="6093"/>
      <c r="H515" s="6130" t="str">
        <f>IMAGE("https://raw.githubusercontent.com/msikma/pokesprite/master/items/hold-item/choice-scarf.png",3)</f>
        <v/>
      </c>
      <c r="J515" s="6129" t="s">
        <v>1886</v>
      </c>
      <c r="K515" s="6092"/>
      <c r="L515" s="6093"/>
      <c r="M515" s="6130" t="str">
        <f>IMAGE("https://raw.githubusercontent.com/msikma/pokesprite/master/items/mega-stone/medichamite.png",3)</f>
        <v/>
      </c>
      <c r="O515" s="6129" t="s">
        <v>573</v>
      </c>
      <c r="P515" s="6092"/>
      <c r="Q515" s="6093"/>
      <c r="R515" s="6130" t="str">
        <f>IMAGE("https://raw.githubusercontent.com/msikma/pokesprite/master/items/hold-item/focus-sash.png",3)</f>
        <v/>
      </c>
      <c r="T515" s="7074"/>
      <c r="U515" s="6126"/>
      <c r="V515" s="6126"/>
      <c r="W515" s="6134"/>
      <c r="Y515" s="7074"/>
      <c r="Z515" s="6126"/>
      <c r="AA515" s="6126"/>
      <c r="AB515" s="6134"/>
      <c r="AD515" s="7074"/>
      <c r="AE515" s="6126"/>
      <c r="AF515" s="6126"/>
      <c r="AG515" s="6134"/>
      <c r="AH515" s="6113"/>
      <c r="AI515" s="6747"/>
    </row>
    <row r="516" ht="20.25" customHeight="1">
      <c r="A516" s="6738"/>
      <c r="B516" s="6085"/>
      <c r="C516" s="6131"/>
      <c r="D516" s="6120"/>
      <c r="E516" s="6121" t="s">
        <v>1712</v>
      </c>
      <c r="F516" s="6122"/>
      <c r="G516" s="6132"/>
      <c r="H516" s="6133" t="str">
        <f>IMAGE("https://raw.githubusercontent.com/msikma/pokesprite/master/misc/types/gen8/bug.png",4,20,20)</f>
        <v/>
      </c>
      <c r="J516" s="6121" t="s">
        <v>583</v>
      </c>
      <c r="K516" s="6122"/>
      <c r="L516" s="6132"/>
      <c r="M516" s="6133" t="str">
        <f>IMAGE("https://raw.githubusercontent.com/msikma/pokesprite/master/misc/types/gen8/fighting.png",4,20,20)</f>
        <v/>
      </c>
      <c r="O516" s="6121" t="s">
        <v>219</v>
      </c>
      <c r="P516" s="6122"/>
      <c r="Q516" s="6132"/>
      <c r="R516" s="6133" t="str">
        <f>IMAGE("https://raw.githubusercontent.com/msikma/pokesprite/master/misc/types/gen8/dragon.png",4,20,20)</f>
        <v/>
      </c>
      <c r="T516" s="7074"/>
      <c r="U516" s="6126"/>
      <c r="V516" s="6126"/>
      <c r="W516" s="6134"/>
      <c r="Y516" s="7074"/>
      <c r="Z516" s="6126"/>
      <c r="AA516" s="6126"/>
      <c r="AB516" s="6134"/>
      <c r="AD516" s="7074"/>
      <c r="AE516" s="6126"/>
      <c r="AF516" s="6126"/>
      <c r="AG516" s="6134"/>
      <c r="AH516" s="6094"/>
      <c r="AI516" s="6747"/>
    </row>
    <row r="517" ht="20.25" customHeight="1">
      <c r="A517" s="6738"/>
      <c r="B517" s="6085"/>
      <c r="C517" s="6119"/>
      <c r="D517" s="6120"/>
      <c r="E517" s="6125" t="s">
        <v>583</v>
      </c>
      <c r="F517" s="6126"/>
      <c r="G517" s="6134"/>
      <c r="H517" s="6135" t="str">
        <f>IMAGE("https://raw.githubusercontent.com/msikma/pokesprite/master/misc/types/gen8/fighting.png",4,20,20)</f>
        <v/>
      </c>
      <c r="J517" s="6125" t="s">
        <v>741</v>
      </c>
      <c r="K517" s="6126"/>
      <c r="L517" s="6134"/>
      <c r="M517" s="6135" t="str">
        <f>IMAGE("https://raw.githubusercontent.com/msikma/pokesprite/master/misc/types/gen8/psychic.png",4,20,20)</f>
        <v/>
      </c>
      <c r="O517" s="6125" t="s">
        <v>1137</v>
      </c>
      <c r="P517" s="6126"/>
      <c r="Q517" s="6134"/>
      <c r="R517" s="6135" t="str">
        <f>IMAGE("https://raw.githubusercontent.com/msikma/pokesprite/master/misc/types/gen8/rock.png",4,20,20)</f>
        <v/>
      </c>
      <c r="T517" s="7074"/>
      <c r="U517" s="6126"/>
      <c r="V517" s="6126"/>
      <c r="W517" s="6134"/>
      <c r="Y517" s="7074"/>
      <c r="Z517" s="6126"/>
      <c r="AA517" s="6126"/>
      <c r="AB517" s="6134"/>
      <c r="AD517" s="7074"/>
      <c r="AE517" s="6126"/>
      <c r="AF517" s="6126"/>
      <c r="AG517" s="6134"/>
      <c r="AH517" s="6094"/>
      <c r="AI517" s="6747"/>
    </row>
    <row r="518" ht="20.25" customHeight="1">
      <c r="A518" s="6738"/>
      <c r="B518" s="6085"/>
      <c r="C518" s="6119"/>
      <c r="D518" s="6120"/>
      <c r="E518" s="6125" t="s">
        <v>549</v>
      </c>
      <c r="F518" s="6126"/>
      <c r="G518" s="6134"/>
      <c r="H518" s="6135" t="str">
        <f>IMAGE("https://raw.githubusercontent.com/msikma/pokesprite/master/misc/types/gen8/ground.png",4,20,20)</f>
        <v/>
      </c>
      <c r="J518" s="6125" t="s">
        <v>777</v>
      </c>
      <c r="K518" s="6126"/>
      <c r="L518" s="6134"/>
      <c r="M518" s="6135" t="str">
        <f>IMAGE("https://raw.githubusercontent.com/msikma/pokesprite/master/misc/types/gen8/normal.png",4,20,20)</f>
        <v/>
      </c>
      <c r="O518" s="6125" t="s">
        <v>696</v>
      </c>
      <c r="P518" s="6126"/>
      <c r="Q518" s="6134"/>
      <c r="R518" s="6135" t="str">
        <f>IMAGE("https://raw.githubusercontent.com/msikma/pokesprite/master/misc/types/gen8/dragon.png",4,20,20)</f>
        <v/>
      </c>
      <c r="T518" s="7074"/>
      <c r="U518" s="6126"/>
      <c r="V518" s="6126"/>
      <c r="W518" s="6134"/>
      <c r="Y518" s="7074"/>
      <c r="Z518" s="6126"/>
      <c r="AA518" s="6126"/>
      <c r="AB518" s="6134"/>
      <c r="AD518" s="7074"/>
      <c r="AE518" s="6126"/>
      <c r="AF518" s="6126"/>
      <c r="AG518" s="6134"/>
      <c r="AH518" s="6094"/>
      <c r="AI518" s="6747"/>
    </row>
    <row r="519" ht="21.0" customHeight="1">
      <c r="A519" s="6738"/>
      <c r="B519" s="6085"/>
      <c r="C519" s="6119"/>
      <c r="D519" s="6120"/>
      <c r="E519" s="6136" t="s">
        <v>621</v>
      </c>
      <c r="F519" s="6137"/>
      <c r="G519" s="6138"/>
      <c r="H519" s="6139" t="str">
        <f>IMAGE("https://raw.githubusercontent.com/msikma/pokesprite/master/misc/types/gen8/rock.png",4,20,20)</f>
        <v/>
      </c>
      <c r="I519" s="6140"/>
      <c r="J519" s="6136" t="s">
        <v>589</v>
      </c>
      <c r="K519" s="6137"/>
      <c r="L519" s="6138"/>
      <c r="M519" s="6139" t="str">
        <f>IMAGE("https://raw.githubusercontent.com/msikma/pokesprite/master/misc/types/gen8/ice.png",4,20,20)</f>
        <v/>
      </c>
      <c r="N519" s="6140"/>
      <c r="O519" s="6136" t="s">
        <v>583</v>
      </c>
      <c r="P519" s="6137"/>
      <c r="Q519" s="6138"/>
      <c r="R519" s="6139" t="str">
        <f>IMAGE("https://raw.githubusercontent.com/msikma/pokesprite/master/misc/types/gen8/fighting.png",4,20,20)</f>
        <v/>
      </c>
      <c r="S519" s="6140"/>
      <c r="T519" s="7074"/>
      <c r="U519" s="6126"/>
      <c r="V519" s="6126"/>
      <c r="W519" s="6134"/>
      <c r="X519" s="6140"/>
      <c r="Y519" s="7074"/>
      <c r="Z519" s="6126"/>
      <c r="AA519" s="6126"/>
      <c r="AB519" s="6134"/>
      <c r="AC519" s="6140"/>
      <c r="AD519" s="7074"/>
      <c r="AE519" s="6126"/>
      <c r="AF519" s="6126"/>
      <c r="AG519" s="6134"/>
      <c r="AH519" s="6094"/>
      <c r="AI519" s="6747"/>
    </row>
    <row r="520" ht="3.0" customHeight="1">
      <c r="A520" s="6738"/>
      <c r="B520" s="6141"/>
      <c r="C520" s="6090"/>
      <c r="D520" s="6142"/>
      <c r="E520" s="6145"/>
      <c r="F520" s="6145"/>
      <c r="G520" s="6145"/>
      <c r="H520" s="6144"/>
      <c r="I520" s="6142"/>
      <c r="J520" s="6145"/>
      <c r="K520" s="6145"/>
      <c r="L520" s="6145"/>
      <c r="M520" s="6144"/>
      <c r="N520" s="6142"/>
      <c r="O520" s="6145"/>
      <c r="P520" s="6145"/>
      <c r="Q520" s="6145"/>
      <c r="R520" s="6144"/>
      <c r="S520" s="6142"/>
      <c r="T520" s="7074"/>
      <c r="U520" s="6126"/>
      <c r="V520" s="6126"/>
      <c r="W520" s="6134"/>
      <c r="X520" s="6142"/>
      <c r="Y520" s="7074"/>
      <c r="Z520" s="6126"/>
      <c r="AA520" s="6126"/>
      <c r="AB520" s="6134"/>
      <c r="AC520" s="6142"/>
      <c r="AD520" s="7074"/>
      <c r="AE520" s="6126"/>
      <c r="AF520" s="6126"/>
      <c r="AG520" s="6134"/>
      <c r="AH520" s="6146"/>
      <c r="AI520" s="6747"/>
    </row>
    <row r="521" ht="16.5" customHeight="1">
      <c r="A521" s="6738"/>
      <c r="B521" s="6089"/>
      <c r="C521" s="6090"/>
      <c r="D521" s="6178"/>
      <c r="E521" s="6148" t="s">
        <v>512</v>
      </c>
      <c r="F521" s="606"/>
      <c r="G521" s="606"/>
      <c r="H521" s="607"/>
      <c r="I521" s="6149"/>
      <c r="J521" s="6148" t="s">
        <v>512</v>
      </c>
      <c r="K521" s="606"/>
      <c r="L521" s="606"/>
      <c r="M521" s="607"/>
      <c r="N521" s="6149"/>
      <c r="O521" s="6148" t="s">
        <v>512</v>
      </c>
      <c r="P521" s="606"/>
      <c r="Q521" s="606"/>
      <c r="R521" s="607"/>
      <c r="S521" s="6149"/>
      <c r="T521" s="7074"/>
      <c r="U521" s="6126"/>
      <c r="V521" s="6126"/>
      <c r="W521" s="6134"/>
      <c r="X521" s="6149"/>
      <c r="Y521" s="7074"/>
      <c r="Z521" s="6126"/>
      <c r="AA521" s="6126"/>
      <c r="AB521" s="6134"/>
      <c r="AC521" s="6149"/>
      <c r="AD521" s="7074"/>
      <c r="AE521" s="6126"/>
      <c r="AF521" s="6126"/>
      <c r="AG521" s="6134"/>
      <c r="AH521" s="6150"/>
      <c r="AI521" s="6747"/>
    </row>
    <row r="522" ht="16.5" customHeight="1">
      <c r="A522" s="6738"/>
      <c r="B522" s="6089"/>
      <c r="C522" s="6090"/>
      <c r="D522" s="6147"/>
      <c r="E522" s="6151" t="s">
        <v>513</v>
      </c>
      <c r="F522" s="6152">
        <f t="array" ref="F522">IFERROR(VLOOKUP(E509,Dex!$B$3:$N1219,8,FALSE),"")</f>
        <v>80</v>
      </c>
      <c r="G522" s="6153" t="str">
        <f t="array" ref="G522">IFERROR(VLOOKUP(F522,Dex!$P$22:$Q$276,2,FALSE),"")</f>
        <v/>
      </c>
      <c r="H522" s="6154"/>
      <c r="I522" s="6155"/>
      <c r="J522" s="6151" t="s">
        <v>513</v>
      </c>
      <c r="K522" s="6152">
        <f t="array" ref="K522">IFERROR(VLOOKUP(J509,Dex!$B$3:$N1219,8,FALSE),"")</f>
        <v>60</v>
      </c>
      <c r="L522" s="6153" t="str">
        <f t="array" ref="L522">IFERROR(VLOOKUP(K522,Dex!$P$22:$Q$276,2,FALSE),"")</f>
        <v/>
      </c>
      <c r="M522" s="6154"/>
      <c r="N522" s="6155"/>
      <c r="O522" s="6151" t="s">
        <v>513</v>
      </c>
      <c r="P522" s="6152">
        <f t="array" ref="P522">IFERROR(VLOOKUP(O509,Dex!$B$3:$N1219,8,FALSE),"")</f>
        <v>82</v>
      </c>
      <c r="Q522" s="6153" t="str">
        <f t="array" ref="Q522">IFERROR(VLOOKUP(P522,Dex!$P$22:$Q$276,2,FALSE),"")</f>
        <v/>
      </c>
      <c r="R522" s="6154"/>
      <c r="S522" s="6155"/>
      <c r="T522" s="7074"/>
      <c r="U522" s="6126"/>
      <c r="V522" s="6126"/>
      <c r="W522" s="6134"/>
      <c r="X522" s="6155"/>
      <c r="Y522" s="7074"/>
      <c r="Z522" s="6126"/>
      <c r="AA522" s="6126"/>
      <c r="AB522" s="6134"/>
      <c r="AC522" s="6155"/>
      <c r="AD522" s="7074"/>
      <c r="AE522" s="6126"/>
      <c r="AF522" s="6126"/>
      <c r="AG522" s="6134"/>
      <c r="AH522" s="6150"/>
      <c r="AI522" s="6747"/>
    </row>
    <row r="523" ht="16.5" customHeight="1">
      <c r="A523" s="6738"/>
      <c r="B523" s="6089"/>
      <c r="C523" s="6090"/>
      <c r="D523" s="6147"/>
      <c r="E523" s="6156" t="s">
        <v>514</v>
      </c>
      <c r="F523" s="6157">
        <f t="array" ref="F523">IFERROR(VLOOKUP(E509,Dex!$B$3:$N1219,9,FALSE),"")</f>
        <v>125</v>
      </c>
      <c r="G523" s="6158" t="str">
        <f t="array" ref="G523">IFERROR(VLOOKUP(F523,Dex!$P$22:$Q$276,2,FALSE),"")</f>
        <v/>
      </c>
      <c r="H523" s="6159"/>
      <c r="I523" s="6155"/>
      <c r="J523" s="6156" t="s">
        <v>514</v>
      </c>
      <c r="K523" s="6157">
        <f t="array" ref="K523">IFERROR(VLOOKUP(J509,Dex!$B$3:$N1219,9,FALSE),"")</f>
        <v>100</v>
      </c>
      <c r="L523" s="6158" t="str">
        <f t="array" ref="L523">IFERROR(VLOOKUP(K523,Dex!$P$22:$Q$276,2,FALSE),"")</f>
        <v/>
      </c>
      <c r="M523" s="6159"/>
      <c r="N523" s="6155"/>
      <c r="O523" s="6156" t="s">
        <v>514</v>
      </c>
      <c r="P523" s="6157">
        <f t="array" ref="P523">IFERROR(VLOOKUP(O509,Dex!$B$3:$N1219,9,FALSE),"")</f>
        <v>121</v>
      </c>
      <c r="Q523" s="6158" t="str">
        <f t="array" ref="Q523">IFERROR(VLOOKUP(P523,Dex!$P$22:$Q$276,2,FALSE),"")</f>
        <v/>
      </c>
      <c r="R523" s="6159"/>
      <c r="S523" s="6155"/>
      <c r="T523" s="7074"/>
      <c r="U523" s="6126"/>
      <c r="V523" s="6126"/>
      <c r="W523" s="6134"/>
      <c r="X523" s="6155"/>
      <c r="Y523" s="7074"/>
      <c r="Z523" s="6126"/>
      <c r="AA523" s="6126"/>
      <c r="AB523" s="6134"/>
      <c r="AC523" s="6155"/>
      <c r="AD523" s="7074"/>
      <c r="AE523" s="6126"/>
      <c r="AF523" s="6126"/>
      <c r="AG523" s="6134"/>
      <c r="AH523" s="6150"/>
      <c r="AI523" s="6747"/>
    </row>
    <row r="524" ht="16.5" customHeight="1">
      <c r="A524" s="6738"/>
      <c r="B524" s="6089"/>
      <c r="C524" s="6090"/>
      <c r="D524" s="6147"/>
      <c r="E524" s="6156" t="s">
        <v>515</v>
      </c>
      <c r="F524" s="6157">
        <f t="array" ref="F524">IFERROR(VLOOKUP(E509,Dex!$B$3:$N1219,10,FALSE),"")</f>
        <v>75</v>
      </c>
      <c r="G524" s="6158" t="str">
        <f t="array" ref="G524">IFERROR(VLOOKUP(F524,Dex!$P$22:$Q$276,2,FALSE),"")</f>
        <v/>
      </c>
      <c r="H524" s="6159"/>
      <c r="I524" s="6155"/>
      <c r="J524" s="6156" t="s">
        <v>515</v>
      </c>
      <c r="K524" s="6157">
        <f t="array" ref="K524">IFERROR(VLOOKUP(J509,Dex!$B$3:$N1219,10,FALSE),"")</f>
        <v>85</v>
      </c>
      <c r="L524" s="6158" t="str">
        <f t="array" ref="L524">IFERROR(VLOOKUP(K524,Dex!$P$22:$Q$276,2,FALSE),"")</f>
        <v/>
      </c>
      <c r="M524" s="6159"/>
      <c r="N524" s="6155"/>
      <c r="O524" s="6156" t="s">
        <v>515</v>
      </c>
      <c r="P524" s="6157">
        <f t="array" ref="P524">IFERROR(VLOOKUP(O509,Dex!$B$3:$N1219,10,FALSE),"")</f>
        <v>119</v>
      </c>
      <c r="Q524" s="6158" t="str">
        <f t="array" ref="Q524">IFERROR(VLOOKUP(P524,Dex!$P$22:$Q$276,2,FALSE),"")</f>
        <v/>
      </c>
      <c r="R524" s="6159"/>
      <c r="S524" s="6155"/>
      <c r="T524" s="7074"/>
      <c r="U524" s="6126"/>
      <c r="V524" s="6126"/>
      <c r="W524" s="6134"/>
      <c r="X524" s="6155"/>
      <c r="Y524" s="7074"/>
      <c r="Z524" s="6126"/>
      <c r="AA524" s="6126"/>
      <c r="AB524" s="6134"/>
      <c r="AC524" s="6155"/>
      <c r="AD524" s="7074"/>
      <c r="AE524" s="6126"/>
      <c r="AF524" s="6126"/>
      <c r="AG524" s="6134"/>
      <c r="AH524" s="6150"/>
      <c r="AI524" s="6747"/>
    </row>
    <row r="525" ht="16.5" customHeight="1">
      <c r="A525" s="6738"/>
      <c r="B525" s="6089"/>
      <c r="C525" s="6090"/>
      <c r="D525" s="6147"/>
      <c r="E525" s="6156" t="s">
        <v>516</v>
      </c>
      <c r="F525" s="6157">
        <f t="array" ref="F525">IFERROR(VLOOKUP(E509,Dex!$B$3:$N1219,11,FALSE),"")</f>
        <v>40</v>
      </c>
      <c r="G525" s="6158" t="str">
        <f t="array" ref="G525">IFERROR(VLOOKUP(F525,Dex!$P$22:$Q$276,2,FALSE),"")</f>
        <v/>
      </c>
      <c r="H525" s="6159"/>
      <c r="I525" s="6155"/>
      <c r="J525" s="6156" t="s">
        <v>516</v>
      </c>
      <c r="K525" s="6157">
        <f t="array" ref="K525">IFERROR(VLOOKUP(J509,Dex!$B$3:$N1219,11,FALSE),"")</f>
        <v>80</v>
      </c>
      <c r="L525" s="6158" t="str">
        <f t="array" ref="L525">IFERROR(VLOOKUP(K525,Dex!$P$22:$Q$276,2,FALSE),"")</f>
        <v/>
      </c>
      <c r="M525" s="6159"/>
      <c r="N525" s="6155"/>
      <c r="O525" s="6156" t="s">
        <v>516</v>
      </c>
      <c r="P525" s="6157">
        <f t="array" ref="P525">IFERROR(VLOOKUP(O509,Dex!$B$3:$N1219,11,FALSE),"")</f>
        <v>69</v>
      </c>
      <c r="Q525" s="6158" t="str">
        <f t="array" ref="Q525">IFERROR(VLOOKUP(P525,Dex!$P$22:$Q$276,2,FALSE),"")</f>
        <v/>
      </c>
      <c r="R525" s="6159"/>
      <c r="S525" s="6155"/>
      <c r="T525" s="7074"/>
      <c r="U525" s="6126"/>
      <c r="V525" s="6126"/>
      <c r="W525" s="6134"/>
      <c r="X525" s="6155"/>
      <c r="Y525" s="7074"/>
      <c r="Z525" s="6126"/>
      <c r="AA525" s="6126"/>
      <c r="AB525" s="6134"/>
      <c r="AC525" s="6155"/>
      <c r="AD525" s="7074"/>
      <c r="AE525" s="6126"/>
      <c r="AF525" s="6126"/>
      <c r="AG525" s="6134"/>
      <c r="AH525" s="6150"/>
      <c r="AI525" s="6747"/>
    </row>
    <row r="526" ht="16.5" customHeight="1">
      <c r="A526" s="6738"/>
      <c r="B526" s="6089"/>
      <c r="C526" s="6160"/>
      <c r="D526" s="6147"/>
      <c r="E526" s="6156" t="s">
        <v>517</v>
      </c>
      <c r="F526" s="6157">
        <f t="array" ref="F526">IFERROR(VLOOKUP(E509,Dex!$B$3:$N1219,12,FALSE),"")</f>
        <v>95</v>
      </c>
      <c r="G526" s="6158" t="str">
        <f t="array" ref="G526">IFERROR(VLOOKUP(F526,Dex!$P$22:$Q$276,2,FALSE),"")</f>
        <v/>
      </c>
      <c r="H526" s="6159"/>
      <c r="I526" s="6155"/>
      <c r="J526" s="6156" t="s">
        <v>517</v>
      </c>
      <c r="K526" s="6157">
        <f t="array" ref="K526">IFERROR(VLOOKUP(J509,Dex!$B$3:$N1219,12,FALSE),"")</f>
        <v>85</v>
      </c>
      <c r="L526" s="6158" t="str">
        <f t="array" ref="L526">IFERROR(VLOOKUP(K526,Dex!$P$22:$Q$276,2,FALSE),"")</f>
        <v/>
      </c>
      <c r="M526" s="6159"/>
      <c r="N526" s="6155"/>
      <c r="O526" s="6156" t="s">
        <v>517</v>
      </c>
      <c r="P526" s="6157">
        <f t="array" ref="P526">IFERROR(VLOOKUP(O509,Dex!$B$3:$N1219,12,FALSE),"")</f>
        <v>59</v>
      </c>
      <c r="Q526" s="6158" t="str">
        <f t="array" ref="Q526">IFERROR(VLOOKUP(P526,Dex!$P$22:$Q$276,2,FALSE),"")</f>
        <v/>
      </c>
      <c r="R526" s="6159"/>
      <c r="S526" s="6155"/>
      <c r="T526" s="7074"/>
      <c r="U526" s="6126"/>
      <c r="V526" s="6126"/>
      <c r="W526" s="6134"/>
      <c r="X526" s="6155"/>
      <c r="Y526" s="7074"/>
      <c r="Z526" s="6126"/>
      <c r="AA526" s="6126"/>
      <c r="AB526" s="6134"/>
      <c r="AC526" s="6155"/>
      <c r="AD526" s="7074"/>
      <c r="AE526" s="6126"/>
      <c r="AF526" s="6126"/>
      <c r="AG526" s="6134"/>
      <c r="AH526" s="6150"/>
      <c r="AI526" s="6747"/>
    </row>
    <row r="527" ht="16.5" customHeight="1">
      <c r="A527" s="6738"/>
      <c r="B527" s="6089"/>
      <c r="C527" s="6090"/>
      <c r="D527" s="6161"/>
      <c r="E527" s="6162" t="s">
        <v>518</v>
      </c>
      <c r="F527" s="6163">
        <f t="array" ref="F527">IFERROR(VLOOKUP(E509,Dex!$B$3:$N1219,13,FALSE),"")</f>
        <v>85</v>
      </c>
      <c r="G527" s="6166" t="str">
        <f t="array" ref="G527">IFERROR(VLOOKUP(F527,Dex!$P$22:$Q$276,2,FALSE),"")</f>
        <v/>
      </c>
      <c r="H527" s="6167"/>
      <c r="I527" s="6155"/>
      <c r="J527" s="6162" t="s">
        <v>518</v>
      </c>
      <c r="K527" s="6163">
        <f t="array" ref="K527">IFERROR(VLOOKUP(J509,Dex!$B$3:$N1219,13,FALSE),"")</f>
        <v>100</v>
      </c>
      <c r="L527" s="6164" t="str">
        <f t="array" ref="L527">IFERROR(VLOOKUP(K527,Dex!$P$22:$Q$276,2,FALSE),"")</f>
        <v/>
      </c>
      <c r="M527" s="6165"/>
      <c r="N527" s="6155"/>
      <c r="O527" s="6162" t="s">
        <v>518</v>
      </c>
      <c r="P527" s="6163">
        <f t="array" ref="P527">IFERROR(VLOOKUP(O509,Dex!$B$3:$N1219,13,FALSE),"")</f>
        <v>71</v>
      </c>
      <c r="Q527" s="6164" t="str">
        <f t="array" ref="Q527">IFERROR(VLOOKUP(P527,Dex!$P$22:$Q$276,2,FALSE),"")</f>
        <v/>
      </c>
      <c r="R527" s="6165"/>
      <c r="S527" s="6155"/>
      <c r="T527" s="7074"/>
      <c r="U527" s="6126"/>
      <c r="V527" s="6126"/>
      <c r="W527" s="6134"/>
      <c r="X527" s="6155"/>
      <c r="Y527" s="7074"/>
      <c r="Z527" s="6126"/>
      <c r="AA527" s="6126"/>
      <c r="AB527" s="6134"/>
      <c r="AC527" s="6155"/>
      <c r="AD527" s="7074"/>
      <c r="AE527" s="6126"/>
      <c r="AF527" s="6126"/>
      <c r="AG527" s="6134"/>
      <c r="AH527" s="6150"/>
      <c r="AI527" s="6747"/>
    </row>
    <row r="528" ht="16.5" customHeight="1">
      <c r="A528" s="6738"/>
      <c r="B528" s="6089"/>
      <c r="C528" s="6090"/>
      <c r="D528" s="6180"/>
      <c r="E528" s="6169" t="s">
        <v>519</v>
      </c>
      <c r="F528" s="635"/>
      <c r="G528" s="636"/>
      <c r="H528" s="7120">
        <v>226.0</v>
      </c>
      <c r="I528" s="6149"/>
      <c r="J528" s="6168" t="s">
        <v>519</v>
      </c>
      <c r="K528" s="630"/>
      <c r="L528" s="631"/>
      <c r="M528" s="7121">
        <v>259.0</v>
      </c>
      <c r="N528" s="6149"/>
      <c r="O528" s="6168" t="s">
        <v>519</v>
      </c>
      <c r="P528" s="630"/>
      <c r="Q528" s="631"/>
      <c r="R528" s="7121">
        <v>195.0</v>
      </c>
      <c r="S528" s="6149"/>
      <c r="T528" s="7074"/>
      <c r="U528" s="6126"/>
      <c r="V528" s="6126"/>
      <c r="W528" s="6134"/>
      <c r="X528" s="6149"/>
      <c r="Y528" s="7074"/>
      <c r="Z528" s="6126"/>
      <c r="AA528" s="6126"/>
      <c r="AB528" s="6134"/>
      <c r="AC528" s="6149"/>
      <c r="AD528" s="7074"/>
      <c r="AE528" s="6126"/>
      <c r="AF528" s="6126"/>
      <c r="AG528" s="6134"/>
      <c r="AH528" s="6150"/>
      <c r="AI528" s="6747"/>
    </row>
    <row r="529" ht="16.5" customHeight="1">
      <c r="A529" s="6738"/>
      <c r="B529" s="6089"/>
      <c r="C529" s="6090"/>
      <c r="D529" s="6170"/>
      <c r="E529" s="6173" t="s">
        <v>1449</v>
      </c>
      <c r="F529" s="643"/>
      <c r="G529" s="644"/>
      <c r="H529" s="6787">
        <f>ROUNDDOWN(H528*1.5,0)</f>
        <v>339</v>
      </c>
      <c r="I529" s="6090"/>
      <c r="J529" s="6171"/>
      <c r="K529" s="6171"/>
      <c r="L529" s="6171"/>
      <c r="M529" s="6090"/>
      <c r="N529" s="6170"/>
      <c r="O529" s="6171"/>
      <c r="P529" s="6171"/>
      <c r="Q529" s="6171"/>
      <c r="R529" s="6090"/>
      <c r="S529" s="6090"/>
      <c r="T529" s="6171"/>
      <c r="U529" s="6171"/>
      <c r="V529" s="6171"/>
      <c r="W529" s="6090"/>
      <c r="X529" s="6090"/>
      <c r="Y529" s="6171"/>
      <c r="Z529" s="6171"/>
      <c r="AA529" s="6171"/>
      <c r="AB529" s="6090"/>
      <c r="AC529" s="6090"/>
      <c r="AD529" s="6171"/>
      <c r="AE529" s="6171"/>
      <c r="AF529" s="6171"/>
      <c r="AG529" s="6090"/>
      <c r="AH529" s="6150"/>
      <c r="AI529" s="6747"/>
    </row>
    <row r="530" ht="11.25" customHeight="1">
      <c r="A530" s="6738"/>
      <c r="B530" s="7091"/>
      <c r="C530" s="6182"/>
      <c r="D530" s="6182"/>
      <c r="E530" s="6182"/>
      <c r="F530" s="6182"/>
      <c r="G530" s="6182"/>
      <c r="H530" s="6182"/>
      <c r="I530" s="6182"/>
      <c r="J530" s="6182"/>
      <c r="K530" s="6182"/>
      <c r="L530" s="6182"/>
      <c r="M530" s="6182"/>
      <c r="N530" s="6182"/>
      <c r="O530" s="7092"/>
      <c r="P530" s="7092"/>
      <c r="Q530" s="7092"/>
      <c r="R530" s="6182"/>
      <c r="S530" s="6182"/>
      <c r="T530" s="6184"/>
      <c r="U530" s="6184"/>
      <c r="V530" s="6184"/>
      <c r="W530" s="6182"/>
      <c r="X530" s="6182"/>
      <c r="Y530" s="6184"/>
      <c r="Z530" s="6184"/>
      <c r="AA530" s="6184"/>
      <c r="AB530" s="6182"/>
      <c r="AC530" s="6182"/>
      <c r="AD530" s="6182"/>
      <c r="AE530" s="6182"/>
      <c r="AF530" s="6182"/>
      <c r="AG530" s="6182"/>
      <c r="AH530" s="7093"/>
      <c r="AI530" s="6747"/>
    </row>
    <row r="531" ht="15.0" customHeight="1">
      <c r="A531" s="6738"/>
      <c r="B531" s="6080"/>
      <c r="C531" s="6081"/>
      <c r="D531" s="6081"/>
      <c r="E531" s="7069"/>
      <c r="F531" s="7069"/>
      <c r="G531" s="7069"/>
      <c r="H531" s="7069"/>
      <c r="I531" s="6081"/>
      <c r="J531" s="7069"/>
      <c r="K531" s="7069"/>
      <c r="L531" s="7069"/>
      <c r="M531" s="7069"/>
      <c r="N531" s="6081"/>
      <c r="O531" s="7070"/>
      <c r="P531" s="7070"/>
      <c r="Q531" s="7070"/>
      <c r="R531" s="7069"/>
      <c r="S531" s="6081"/>
      <c r="T531" s="7071"/>
      <c r="U531" s="7071"/>
      <c r="V531" s="7071"/>
      <c r="W531" s="7069"/>
      <c r="X531" s="6081"/>
      <c r="Y531" s="6083"/>
      <c r="Z531" s="6083"/>
      <c r="AA531" s="6083"/>
      <c r="AB531" s="6081"/>
      <c r="AC531" s="6081"/>
      <c r="AD531" s="7069"/>
      <c r="AE531" s="7069"/>
      <c r="AF531" s="7069"/>
      <c r="AG531" s="7069"/>
      <c r="AH531" s="6084"/>
      <c r="AI531" s="6747"/>
    </row>
    <row r="532" ht="96.75" customHeight="1">
      <c r="A532" s="6738"/>
      <c r="B532" s="6095"/>
      <c r="C532" s="7072" t="str">
        <f>IMAGE("https://i.ibb.co/3N39wW0/Crush-Girl.png")</f>
        <v/>
      </c>
      <c r="D532" s="6097"/>
      <c r="E532" s="7073" t="str">
        <f t="array" ref="E532">IFERROR(VLOOKUP(E533,Dex!$B$3:$G1219,3,FALSE),"")</f>
        <v/>
      </c>
      <c r="F532" s="1945"/>
      <c r="G532" s="1945"/>
      <c r="H532" s="1946"/>
      <c r="I532" s="6099"/>
      <c r="J532" s="7073" t="str">
        <f t="array" ref="J532">IFERROR(VLOOKUP(J533,Dex!$B$3:$G1219,3,FALSE),"")</f>
        <v/>
      </c>
      <c r="K532" s="1945"/>
      <c r="L532" s="1945"/>
      <c r="M532" s="1946"/>
      <c r="N532" s="6099"/>
      <c r="O532" s="7073" t="str">
        <f t="array" ref="O532">IFERROR(VLOOKUP(O533,Dex!$B$3:$G1219,3,FALSE),"")</f>
        <v/>
      </c>
      <c r="P532" s="1945"/>
      <c r="Q532" s="1945"/>
      <c r="R532" s="1946"/>
      <c r="S532" s="6099"/>
      <c r="T532" s="7073" t="str">
        <f t="array" ref="T532">IFERROR(VLOOKUP(T533,Dex!$B$3:$G1219,3,FALSE),"")</f>
        <v/>
      </c>
      <c r="U532" s="1945"/>
      <c r="V532" s="1945"/>
      <c r="W532" s="1946"/>
      <c r="X532" s="6099"/>
      <c r="Y532" s="7074"/>
      <c r="Z532" s="6126"/>
      <c r="AA532" s="6126"/>
      <c r="AB532" s="6134"/>
      <c r="AC532" s="7075"/>
      <c r="AD532" s="7074"/>
      <c r="AE532" s="6126"/>
      <c r="AF532" s="6126"/>
      <c r="AG532" s="6134"/>
      <c r="AH532" s="6094"/>
      <c r="AI532" s="6747"/>
    </row>
    <row r="533" ht="18.75" customHeight="1">
      <c r="A533" s="6738"/>
      <c r="B533" s="6095"/>
      <c r="C533" s="6100" t="s">
        <v>2084</v>
      </c>
      <c r="D533" s="6101"/>
      <c r="E533" s="6102" t="s">
        <v>1760</v>
      </c>
      <c r="F533" s="6103"/>
      <c r="G533" s="6103"/>
      <c r="H533" s="6104"/>
      <c r="J533" s="6102" t="s">
        <v>888</v>
      </c>
      <c r="K533" s="6103"/>
      <c r="L533" s="6103"/>
      <c r="M533" s="6104"/>
      <c r="O533" s="6102" t="s">
        <v>1535</v>
      </c>
      <c r="P533" s="6103"/>
      <c r="Q533" s="6103"/>
      <c r="R533" s="6104"/>
      <c r="T533" s="6102" t="s">
        <v>656</v>
      </c>
      <c r="U533" s="6103"/>
      <c r="V533" s="6103"/>
      <c r="W533" s="6104"/>
      <c r="Y533" s="7074"/>
      <c r="Z533" s="6126"/>
      <c r="AA533" s="6126"/>
      <c r="AB533" s="6134"/>
      <c r="AC533" s="7076"/>
      <c r="AD533" s="7074"/>
      <c r="AE533" s="6126"/>
      <c r="AF533" s="6126"/>
      <c r="AG533" s="6134"/>
      <c r="AH533" s="6094"/>
      <c r="AI533" s="6747"/>
    </row>
    <row r="534">
      <c r="A534" s="6738"/>
      <c r="B534" s="6095"/>
      <c r="C534" s="1638"/>
      <c r="D534" s="6101"/>
      <c r="E534" s="6105" t="s">
        <v>729</v>
      </c>
      <c r="F534" s="6106"/>
      <c r="G534" s="6106"/>
      <c r="H534" s="6107"/>
      <c r="J534" s="6105" t="s">
        <v>729</v>
      </c>
      <c r="K534" s="6106"/>
      <c r="L534" s="6106"/>
      <c r="M534" s="6107"/>
      <c r="O534" s="6105" t="s">
        <v>729</v>
      </c>
      <c r="P534" s="6106"/>
      <c r="Q534" s="6106"/>
      <c r="R534" s="6107"/>
      <c r="T534" s="6105" t="s">
        <v>729</v>
      </c>
      <c r="U534" s="6106"/>
      <c r="V534" s="6106"/>
      <c r="W534" s="6107"/>
      <c r="Y534" s="7074"/>
      <c r="Z534" s="6126"/>
      <c r="AA534" s="6126"/>
      <c r="AB534" s="6134"/>
      <c r="AC534" s="7076"/>
      <c r="AD534" s="7074"/>
      <c r="AE534" s="6126"/>
      <c r="AF534" s="6126"/>
      <c r="AG534" s="6134"/>
      <c r="AH534" s="6094"/>
      <c r="AI534" s="6747"/>
    </row>
    <row r="535" ht="25.5" customHeight="1">
      <c r="A535" s="6738"/>
      <c r="B535" s="6095"/>
      <c r="C535" s="1646"/>
      <c r="D535" s="6108"/>
      <c r="E535" s="6109"/>
      <c r="F535" s="6110" t="str">
        <f t="array" ref="F535">IFERROR(VLOOKUP(E533,Dex!$B$3:$H1219,5,FALSE),"")</f>
        <v/>
      </c>
      <c r="G535" s="6111" t="str">
        <f t="array" ref="G535">IFERROR(VLOOKUP(E533,Dex!$B$3:$H1219,7,FALSE),"")</f>
        <v/>
      </c>
      <c r="H535" s="6112"/>
      <c r="J535" s="6109"/>
      <c r="K535" s="6110" t="str">
        <f t="array" ref="K535">IFERROR(VLOOKUP(J533,Dex!$B$3:$H1219,5,FALSE),"")</f>
        <v/>
      </c>
      <c r="L535" s="6111" t="str">
        <f t="array" ref="L535">IFERROR(VLOOKUP(J533,Dex!$B$3:$H1219,7,FALSE),"")</f>
        <v/>
      </c>
      <c r="M535" s="6112"/>
      <c r="O535" s="6109"/>
      <c r="P535" s="6110" t="str">
        <f t="array" ref="P535">IFERROR(VLOOKUP(O533,Dex!$B$3:$H1219,5,FALSE),"")</f>
        <v/>
      </c>
      <c r="Q535" s="6111" t="str">
        <f t="array" ref="Q535">IFERROR(VLOOKUP(O533,Dex!$B$3:$H1219,7,FALSE),"")</f>
        <v/>
      </c>
      <c r="R535" s="6112"/>
      <c r="T535" s="6109"/>
      <c r="U535" s="6110" t="str">
        <f t="array" ref="U535">IFERROR(VLOOKUP(T533,Dex!$B$3:$H1219,5,FALSE),"")</f>
        <v/>
      </c>
      <c r="V535" s="6111" t="str">
        <f t="array" ref="V535">IFERROR(VLOOKUP(T533,Dex!$B$3:$H1219,7,FALSE),"")</f>
        <v/>
      </c>
      <c r="W535" s="6112"/>
      <c r="Y535" s="7074"/>
      <c r="Z535" s="6126"/>
      <c r="AA535" s="6126"/>
      <c r="AB535" s="6134"/>
      <c r="AC535" s="7076"/>
      <c r="AD535" s="7074"/>
      <c r="AE535" s="6126"/>
      <c r="AF535" s="6126"/>
      <c r="AG535" s="6134"/>
      <c r="AH535" s="6113"/>
      <c r="AI535" s="6747"/>
    </row>
    <row r="536" ht="2.25" customHeight="1">
      <c r="A536" s="6738"/>
      <c r="B536" s="6085"/>
      <c r="C536" s="6114"/>
      <c r="D536" s="6115"/>
      <c r="E536" s="6116"/>
      <c r="F536" s="6117"/>
      <c r="G536" s="6117"/>
      <c r="H536" s="6118"/>
      <c r="J536" s="6116"/>
      <c r="K536" s="6117"/>
      <c r="L536" s="6117"/>
      <c r="M536" s="6118"/>
      <c r="O536" s="6116"/>
      <c r="P536" s="6117"/>
      <c r="Q536" s="6117"/>
      <c r="R536" s="6118"/>
      <c r="T536" s="6116"/>
      <c r="U536" s="6117"/>
      <c r="V536" s="6117"/>
      <c r="W536" s="6118"/>
      <c r="Y536" s="7074"/>
      <c r="Z536" s="6126"/>
      <c r="AA536" s="6126"/>
      <c r="AB536" s="6134"/>
      <c r="AC536" s="7076"/>
      <c r="AD536" s="7074"/>
      <c r="AE536" s="6126"/>
      <c r="AF536" s="6126"/>
      <c r="AG536" s="6134"/>
      <c r="AH536" s="6113"/>
      <c r="AI536" s="6747"/>
    </row>
    <row r="537" ht="20.25" customHeight="1">
      <c r="A537" s="6738"/>
      <c r="B537" s="6085"/>
      <c r="C537" s="6119"/>
      <c r="D537" s="6120"/>
      <c r="E537" s="6121" t="s">
        <v>566</v>
      </c>
      <c r="F537" s="6122"/>
      <c r="G537" s="6122"/>
      <c r="H537" s="6123"/>
      <c r="J537" s="6121" t="s">
        <v>532</v>
      </c>
      <c r="K537" s="6122"/>
      <c r="L537" s="6122"/>
      <c r="M537" s="6123"/>
      <c r="O537" s="6121" t="s">
        <v>532</v>
      </c>
      <c r="P537" s="6122"/>
      <c r="Q537" s="6122"/>
      <c r="R537" s="6123"/>
      <c r="T537" s="6121" t="s">
        <v>564</v>
      </c>
      <c r="U537" s="6122"/>
      <c r="V537" s="6122"/>
      <c r="W537" s="6123"/>
      <c r="Y537" s="7074"/>
      <c r="Z537" s="6126"/>
      <c r="AA537" s="6126"/>
      <c r="AB537" s="6134"/>
      <c r="AC537" s="7076"/>
      <c r="AD537" s="7074"/>
      <c r="AE537" s="6126"/>
      <c r="AF537" s="6126"/>
      <c r="AG537" s="6134"/>
      <c r="AH537" s="6094"/>
      <c r="AI537" s="6747"/>
    </row>
    <row r="538">
      <c r="A538" s="6738"/>
      <c r="B538" s="6085"/>
      <c r="C538" s="6124"/>
      <c r="D538" s="6120"/>
      <c r="E538" s="6125" t="s">
        <v>826</v>
      </c>
      <c r="F538" s="6126"/>
      <c r="G538" s="6126"/>
      <c r="H538" s="6127"/>
      <c r="J538" s="6125" t="s">
        <v>2085</v>
      </c>
      <c r="K538" s="6126"/>
      <c r="L538" s="6126"/>
      <c r="M538" s="6127"/>
      <c r="O538" s="6125" t="s">
        <v>1538</v>
      </c>
      <c r="P538" s="6126"/>
      <c r="Q538" s="6126"/>
      <c r="R538" s="6127"/>
      <c r="T538" s="6125" t="s">
        <v>56</v>
      </c>
      <c r="U538" s="6126"/>
      <c r="V538" s="6126"/>
      <c r="W538" s="6127"/>
      <c r="Y538" s="7074"/>
      <c r="Z538" s="6126"/>
      <c r="AA538" s="6126"/>
      <c r="AB538" s="6134"/>
      <c r="AC538" s="7076"/>
      <c r="AD538" s="7074"/>
      <c r="AE538" s="6126"/>
      <c r="AF538" s="6126"/>
      <c r="AG538" s="6134"/>
      <c r="AH538" s="6094"/>
      <c r="AI538" s="6747"/>
    </row>
    <row r="539" ht="20.25" customHeight="1">
      <c r="A539" s="6738"/>
      <c r="B539" s="6085"/>
      <c r="C539" s="6128"/>
      <c r="D539" s="6120"/>
      <c r="E539" s="6129" t="s">
        <v>713</v>
      </c>
      <c r="F539" s="6092"/>
      <c r="G539" s="6093"/>
      <c r="H539" s="6130" t="str">
        <f>IMAGE("https://raw.githubusercontent.com/msikma/pokesprite/master/items/hold-item/assault-vest.png",3)</f>
        <v/>
      </c>
      <c r="J539" s="6129" t="s">
        <v>897</v>
      </c>
      <c r="K539" s="6092"/>
      <c r="L539" s="6093"/>
      <c r="M539" s="6130" t="str">
        <f>IMAGE("https://raw.githubusercontent.com/msikma/pokesprite/master/items/mega-stone/galladite.png",3)</f>
        <v/>
      </c>
      <c r="O539" s="6129" t="s">
        <v>1005</v>
      </c>
      <c r="P539" s="6092"/>
      <c r="Q539" s="6093"/>
      <c r="R539" s="6130" t="str">
        <f>IMAGE("https://raw.githubusercontent.com/msikma/pokesprite/master/items/hold-item/charcoal.png",3)</f>
        <v/>
      </c>
      <c r="T539" s="6129" t="s">
        <v>541</v>
      </c>
      <c r="U539" s="6092"/>
      <c r="V539" s="6093"/>
      <c r="W539" s="6130" t="str">
        <f>IMAGE("https://raw.githubusercontent.com/msikma/pokesprite/master/items/hold-item/life-orb.png",3)</f>
        <v/>
      </c>
      <c r="Y539" s="7074"/>
      <c r="Z539" s="6126"/>
      <c r="AA539" s="6126"/>
      <c r="AB539" s="6134"/>
      <c r="AC539" s="7076"/>
      <c r="AD539" s="7074"/>
      <c r="AE539" s="6126"/>
      <c r="AF539" s="6126"/>
      <c r="AG539" s="6134"/>
      <c r="AH539" s="6113"/>
      <c r="AI539" s="6747"/>
    </row>
    <row r="540" ht="20.25" customHeight="1">
      <c r="A540" s="6738"/>
      <c r="B540" s="6085"/>
      <c r="C540" s="6131"/>
      <c r="D540" s="6120"/>
      <c r="E540" s="6121" t="s">
        <v>810</v>
      </c>
      <c r="F540" s="6122"/>
      <c r="G540" s="6132"/>
      <c r="H540" s="6133" t="str">
        <f>IMAGE("https://raw.githubusercontent.com/msikma/pokesprite/master/misc/types/gen8/dark.png",4,20,20)</f>
        <v/>
      </c>
      <c r="J540" s="6121" t="s">
        <v>904</v>
      </c>
      <c r="K540" s="6122"/>
      <c r="L540" s="6132"/>
      <c r="M540" s="6133" t="str">
        <f>IMAGE("https://raw.githubusercontent.com/msikma/pokesprite/master/misc/types/gen8/psychic.png",4,20,20)</f>
        <v/>
      </c>
      <c r="O540" s="6121" t="s">
        <v>694</v>
      </c>
      <c r="P540" s="6122"/>
      <c r="Q540" s="6132"/>
      <c r="R540" s="6133" t="str">
        <f>IMAGE("https://raw.githubusercontent.com/msikma/pokesprite/master/misc/types/gen8/fire.png",4,20,20)</f>
        <v/>
      </c>
      <c r="T540" s="6121" t="s">
        <v>644</v>
      </c>
      <c r="U540" s="6122"/>
      <c r="V540" s="6132"/>
      <c r="W540" s="6133" t="str">
        <f>IMAGE("https://raw.githubusercontent.com/msikma/pokesprite/master/misc/types/gen8/ground.png",4,20,20)</f>
        <v/>
      </c>
      <c r="Y540" s="7074"/>
      <c r="Z540" s="6126"/>
      <c r="AA540" s="6126"/>
      <c r="AB540" s="6134"/>
      <c r="AC540" s="7076"/>
      <c r="AD540" s="7074"/>
      <c r="AE540" s="6126"/>
      <c r="AF540" s="6126"/>
      <c r="AG540" s="6134"/>
      <c r="AH540" s="6094"/>
      <c r="AI540" s="6747"/>
    </row>
    <row r="541" ht="20.25" customHeight="1">
      <c r="A541" s="6738"/>
      <c r="B541" s="6085"/>
      <c r="C541" s="6119"/>
      <c r="D541" s="6120"/>
      <c r="E541" s="6125" t="s">
        <v>974</v>
      </c>
      <c r="F541" s="6126"/>
      <c r="G541" s="6134"/>
      <c r="H541" s="6135" t="str">
        <f>IMAGE("https://raw.githubusercontent.com/msikma/pokesprite/master/misc/types/gen8/water.png",4,20,20)</f>
        <v/>
      </c>
      <c r="J541" s="6125" t="s">
        <v>624</v>
      </c>
      <c r="K541" s="6126"/>
      <c r="L541" s="6134"/>
      <c r="M541" s="6135" t="str">
        <f>IMAGE("https://raw.githubusercontent.com/msikma/pokesprite/master/misc/types/gen8/fighting.png",4,20,20)</f>
        <v/>
      </c>
      <c r="O541" s="6125" t="s">
        <v>925</v>
      </c>
      <c r="P541" s="6126"/>
      <c r="Q541" s="6134"/>
      <c r="R541" s="6135" t="str">
        <f>IMAGE("https://raw.githubusercontent.com/msikma/pokesprite/master/misc/types/gen8/ice.png",4,20,20)</f>
        <v/>
      </c>
      <c r="T541" s="6125" t="s">
        <v>773</v>
      </c>
      <c r="U541" s="6126"/>
      <c r="V541" s="6134"/>
      <c r="W541" s="6135" t="str">
        <f>IMAGE("https://raw.githubusercontent.com/msikma/pokesprite/master/misc/types/gen8/poison.png",4,20,20)</f>
        <v/>
      </c>
      <c r="Y541" s="7074"/>
      <c r="Z541" s="6126"/>
      <c r="AA541" s="6126"/>
      <c r="AB541" s="6134"/>
      <c r="AC541" s="7076"/>
      <c r="AD541" s="7074"/>
      <c r="AE541" s="6126"/>
      <c r="AF541" s="6126"/>
      <c r="AG541" s="6134"/>
      <c r="AH541" s="6094"/>
      <c r="AI541" s="6747"/>
    </row>
    <row r="542" ht="20.25" customHeight="1">
      <c r="A542" s="6738"/>
      <c r="B542" s="6085"/>
      <c r="C542" s="6119"/>
      <c r="D542" s="6120"/>
      <c r="E542" s="6125" t="s">
        <v>584</v>
      </c>
      <c r="F542" s="6126"/>
      <c r="G542" s="6134"/>
      <c r="H542" s="6135" t="str">
        <f t="shared" ref="H542:H543" si="21">IMAGE("https://raw.githubusercontent.com/msikma/pokesprite/master/misc/types/gen8/fighting.png",4,20,20)</f>
        <v/>
      </c>
      <c r="J542" s="6125" t="s">
        <v>287</v>
      </c>
      <c r="K542" s="6126"/>
      <c r="L542" s="6134"/>
      <c r="M542" s="6135" t="str">
        <f>IMAGE("https://raw.githubusercontent.com/msikma/pokesprite/master/misc/types/gen8/normal.png",4,20,20)</f>
        <v/>
      </c>
      <c r="O542" s="6125" t="s">
        <v>612</v>
      </c>
      <c r="P542" s="6126"/>
      <c r="Q542" s="6134"/>
      <c r="R542" s="6135" t="str">
        <f>IMAGE("https://raw.githubusercontent.com/msikma/pokesprite/master/misc/types/gen8/bug.png",4,20,20)</f>
        <v/>
      </c>
      <c r="T542" s="6125" t="s">
        <v>670</v>
      </c>
      <c r="U542" s="6126"/>
      <c r="V542" s="6134"/>
      <c r="W542" s="6135" t="str">
        <f>IMAGE("https://raw.githubusercontent.com/msikma/pokesprite/master/misc/types/gen8/ice.png",4,20,20)</f>
        <v/>
      </c>
      <c r="Y542" s="7074"/>
      <c r="Z542" s="6126"/>
      <c r="AA542" s="6126"/>
      <c r="AB542" s="6134"/>
      <c r="AC542" s="7076"/>
      <c r="AD542" s="7074"/>
      <c r="AE542" s="6126"/>
      <c r="AF542" s="6126"/>
      <c r="AG542" s="6134"/>
      <c r="AH542" s="6094"/>
      <c r="AI542" s="6747"/>
    </row>
    <row r="543" ht="21.0" customHeight="1">
      <c r="A543" s="6738"/>
      <c r="B543" s="6085"/>
      <c r="C543" s="6119"/>
      <c r="D543" s="6120"/>
      <c r="E543" s="6136" t="s">
        <v>548</v>
      </c>
      <c r="F543" s="6137"/>
      <c r="G543" s="6138"/>
      <c r="H543" s="6139" t="str">
        <f t="shared" si="21"/>
        <v/>
      </c>
      <c r="I543" s="6140"/>
      <c r="J543" s="6136" t="s">
        <v>835</v>
      </c>
      <c r="K543" s="6137"/>
      <c r="L543" s="6138"/>
      <c r="M543" s="6139" t="str">
        <f>IMAGE("https://raw.githubusercontent.com/msikma/pokesprite/master/misc/types/gen8/dark.png",4,20,20)</f>
        <v/>
      </c>
      <c r="N543" s="6140"/>
      <c r="O543" s="6136" t="s">
        <v>549</v>
      </c>
      <c r="P543" s="6137"/>
      <c r="Q543" s="6138"/>
      <c r="R543" s="6139" t="str">
        <f>IMAGE("https://raw.githubusercontent.com/msikma/pokesprite/master/misc/types/gen8/ground.png",4,20,20)</f>
        <v/>
      </c>
      <c r="S543" s="6140"/>
      <c r="T543" s="6136" t="s">
        <v>619</v>
      </c>
      <c r="U543" s="6137"/>
      <c r="V543" s="6138"/>
      <c r="W543" s="6139" t="str">
        <f>IMAGE("https://raw.githubusercontent.com/msikma/pokesprite/master/misc/types/gen8/fire.png",4,20,20)</f>
        <v/>
      </c>
      <c r="X543" s="6140"/>
      <c r="Y543" s="7074"/>
      <c r="Z543" s="6126"/>
      <c r="AA543" s="6126"/>
      <c r="AB543" s="6134"/>
      <c r="AC543" s="7077"/>
      <c r="AD543" s="7074"/>
      <c r="AE543" s="6126"/>
      <c r="AF543" s="6126"/>
      <c r="AG543" s="6134"/>
      <c r="AH543" s="6094"/>
      <c r="AI543" s="6747"/>
    </row>
    <row r="544" ht="3.0" customHeight="1">
      <c r="A544" s="6738"/>
      <c r="B544" s="6141"/>
      <c r="C544" s="6090"/>
      <c r="D544" s="6142"/>
      <c r="E544" s="6145"/>
      <c r="F544" s="6145"/>
      <c r="G544" s="6145"/>
      <c r="H544" s="6144"/>
      <c r="I544" s="6142"/>
      <c r="J544" s="6145"/>
      <c r="K544" s="6145"/>
      <c r="L544" s="6145"/>
      <c r="M544" s="6144"/>
      <c r="N544" s="6142"/>
      <c r="O544" s="6145"/>
      <c r="P544" s="6145"/>
      <c r="Q544" s="6145"/>
      <c r="R544" s="6144"/>
      <c r="S544" s="6142"/>
      <c r="T544" s="6145"/>
      <c r="U544" s="6145"/>
      <c r="V544" s="6145"/>
      <c r="W544" s="6144"/>
      <c r="X544" s="6142"/>
      <c r="Y544" s="7074"/>
      <c r="Z544" s="6126"/>
      <c r="AA544" s="6126"/>
      <c r="AB544" s="6134"/>
      <c r="AC544" s="6142"/>
      <c r="AD544" s="7074"/>
      <c r="AE544" s="6126"/>
      <c r="AF544" s="6126"/>
      <c r="AG544" s="6134"/>
      <c r="AH544" s="6146"/>
      <c r="AI544" s="6747"/>
    </row>
    <row r="545" ht="16.5" customHeight="1">
      <c r="A545" s="6738"/>
      <c r="B545" s="6089"/>
      <c r="C545" s="6090"/>
      <c r="D545" s="6178"/>
      <c r="E545" s="7078" t="s">
        <v>512</v>
      </c>
      <c r="F545" s="606"/>
      <c r="G545" s="606"/>
      <c r="H545" s="607"/>
      <c r="I545" s="6149"/>
      <c r="J545" s="7078" t="s">
        <v>512</v>
      </c>
      <c r="K545" s="606"/>
      <c r="L545" s="606"/>
      <c r="M545" s="607"/>
      <c r="N545" s="6149"/>
      <c r="O545" s="7078" t="s">
        <v>512</v>
      </c>
      <c r="P545" s="606"/>
      <c r="Q545" s="606"/>
      <c r="R545" s="607"/>
      <c r="S545" s="6149"/>
      <c r="T545" s="7078" t="s">
        <v>512</v>
      </c>
      <c r="U545" s="606"/>
      <c r="V545" s="606"/>
      <c r="W545" s="607"/>
      <c r="X545" s="6149"/>
      <c r="Y545" s="7074"/>
      <c r="Z545" s="6126"/>
      <c r="AA545" s="6126"/>
      <c r="AB545" s="6134"/>
      <c r="AC545" s="6149"/>
      <c r="AD545" s="7074"/>
      <c r="AE545" s="6126"/>
      <c r="AF545" s="6126"/>
      <c r="AG545" s="6134"/>
      <c r="AH545" s="6150"/>
      <c r="AI545" s="6747"/>
    </row>
    <row r="546" ht="16.5" customHeight="1">
      <c r="A546" s="6738"/>
      <c r="B546" s="6089"/>
      <c r="C546" s="6090"/>
      <c r="D546" s="6147"/>
      <c r="E546" s="7079" t="s">
        <v>513</v>
      </c>
      <c r="F546" s="7080">
        <f t="array" ref="F546">IFERROR(VLOOKUP(E533,Dex!$B$3:$N1219,8,FALSE),"")</f>
        <v>80</v>
      </c>
      <c r="G546" s="7081" t="str">
        <f t="array" ref="G546">IFERROR(VLOOKUP(F546,Dex!$P$22:$Q$276,2,FALSE),"")</f>
        <v/>
      </c>
      <c r="H546" s="7082"/>
      <c r="I546" s="6155"/>
      <c r="J546" s="7079" t="s">
        <v>513</v>
      </c>
      <c r="K546" s="7080">
        <f t="array" ref="K546">IFERROR(VLOOKUP(J533,Dex!$B$3:$N1219,8,FALSE),"")</f>
        <v>68</v>
      </c>
      <c r="L546" s="7081" t="str">
        <f t="array" ref="L546">IFERROR(VLOOKUP(K546,Dex!$P$22:$Q$276,2,FALSE),"")</f>
        <v/>
      </c>
      <c r="M546" s="7082"/>
      <c r="N546" s="6155"/>
      <c r="O546" s="7079" t="s">
        <v>513</v>
      </c>
      <c r="P546" s="7080">
        <f t="array" ref="P546">IFERROR(VLOOKUP(O533,Dex!$B$3:$N1219,8,FALSE),"")</f>
        <v>105</v>
      </c>
      <c r="Q546" s="7081" t="str">
        <f t="array" ref="Q546">IFERROR(VLOOKUP(P546,Dex!$P$22:$Q$276,2,FALSE),"")</f>
        <v/>
      </c>
      <c r="R546" s="7082"/>
      <c r="S546" s="6155"/>
      <c r="T546" s="7079" t="s">
        <v>513</v>
      </c>
      <c r="U546" s="7080">
        <f t="array" ref="U546">IFERROR(VLOOKUP(T533,Dex!$B$3:$N1219,8,FALSE),"")</f>
        <v>81</v>
      </c>
      <c r="V546" s="7081" t="str">
        <f t="array" ref="V546">IFERROR(VLOOKUP(U546,Dex!$P$22:$Q$276,2,FALSE),"")</f>
        <v/>
      </c>
      <c r="W546" s="7082"/>
      <c r="X546" s="6155"/>
      <c r="Y546" s="7074"/>
      <c r="Z546" s="6126"/>
      <c r="AA546" s="6126"/>
      <c r="AB546" s="6134"/>
      <c r="AC546" s="6155"/>
      <c r="AD546" s="7074"/>
      <c r="AE546" s="6126"/>
      <c r="AF546" s="6126"/>
      <c r="AG546" s="6134"/>
      <c r="AH546" s="6150"/>
      <c r="AI546" s="6747"/>
    </row>
    <row r="547" ht="16.5" customHeight="1">
      <c r="A547" s="6738"/>
      <c r="B547" s="6089"/>
      <c r="C547" s="6090"/>
      <c r="D547" s="6147"/>
      <c r="E547" s="7083" t="s">
        <v>514</v>
      </c>
      <c r="F547" s="7084">
        <f t="array" ref="F547">IFERROR(VLOOKUP(E533,Dex!$B$3:$N1219,9,FALSE),"")</f>
        <v>118</v>
      </c>
      <c r="G547" s="7085" t="str">
        <f t="array" ref="G547">IFERROR(VLOOKUP(F547,Dex!$P$22:$Q$276,2,FALSE),"")</f>
        <v/>
      </c>
      <c r="H547" s="7086"/>
      <c r="I547" s="6155"/>
      <c r="J547" s="7083" t="s">
        <v>514</v>
      </c>
      <c r="K547" s="7084">
        <f t="array" ref="K547">IFERROR(VLOOKUP(J533,Dex!$B$3:$N1219,9,FALSE),"")</f>
        <v>165</v>
      </c>
      <c r="L547" s="7085" t="str">
        <f t="array" ref="L547">IFERROR(VLOOKUP(K547,Dex!$P$22:$Q$276,2,FALSE),"")</f>
        <v/>
      </c>
      <c r="M547" s="7086"/>
      <c r="N547" s="6155"/>
      <c r="O547" s="7083" t="s">
        <v>514</v>
      </c>
      <c r="P547" s="7084">
        <f t="array" ref="P547">IFERROR(VLOOKUP(O533,Dex!$B$3:$N1219,9,FALSE),"")</f>
        <v>160</v>
      </c>
      <c r="Q547" s="7085" t="str">
        <f t="array" ref="Q547">IFERROR(VLOOKUP(P547,Dex!$P$22:$Q$276,2,FALSE),"")</f>
        <v/>
      </c>
      <c r="R547" s="7086"/>
      <c r="S547" s="6155"/>
      <c r="T547" s="7083" t="s">
        <v>514</v>
      </c>
      <c r="U547" s="7084">
        <f t="array" ref="U547">IFERROR(VLOOKUP(T533,Dex!$B$3:$N1219,9,FALSE),"")</f>
        <v>102</v>
      </c>
      <c r="V547" s="7085" t="str">
        <f t="array" ref="V547">IFERROR(VLOOKUP(U547,Dex!$P$22:$Q$276,2,FALSE),"")</f>
        <v/>
      </c>
      <c r="W547" s="7086"/>
      <c r="X547" s="6155"/>
      <c r="Y547" s="7074"/>
      <c r="Z547" s="6126"/>
      <c r="AA547" s="6126"/>
      <c r="AB547" s="6134"/>
      <c r="AC547" s="6155"/>
      <c r="AD547" s="7074"/>
      <c r="AE547" s="6126"/>
      <c r="AF547" s="6126"/>
      <c r="AG547" s="6134"/>
      <c r="AH547" s="6150"/>
      <c r="AI547" s="6747"/>
    </row>
    <row r="548" ht="16.5" customHeight="1">
      <c r="A548" s="6738"/>
      <c r="B548" s="6089"/>
      <c r="C548" s="6090"/>
      <c r="D548" s="6147"/>
      <c r="E548" s="7083" t="s">
        <v>515</v>
      </c>
      <c r="F548" s="7084">
        <f t="array" ref="F548">IFERROR(VLOOKUP(E533,Dex!$B$3:$N1219,10,FALSE),"")</f>
        <v>90</v>
      </c>
      <c r="G548" s="7085" t="str">
        <f t="array" ref="G548">IFERROR(VLOOKUP(F548,Dex!$P$22:$Q$276,2,FALSE),"")</f>
        <v/>
      </c>
      <c r="H548" s="7086"/>
      <c r="I548" s="6155"/>
      <c r="J548" s="7083" t="s">
        <v>515</v>
      </c>
      <c r="K548" s="7084">
        <f t="array" ref="K548">IFERROR(VLOOKUP(J533,Dex!$B$3:$N1219,10,FALSE),"")</f>
        <v>95</v>
      </c>
      <c r="L548" s="7085" t="str">
        <f t="array" ref="L548">IFERROR(VLOOKUP(K548,Dex!$P$22:$Q$276,2,FALSE),"")</f>
        <v/>
      </c>
      <c r="M548" s="7086"/>
      <c r="N548" s="6155"/>
      <c r="O548" s="7083" t="s">
        <v>515</v>
      </c>
      <c r="P548" s="7084">
        <f t="array" ref="P548">IFERROR(VLOOKUP(O533,Dex!$B$3:$N1219,10,FALSE),"")</f>
        <v>55</v>
      </c>
      <c r="Q548" s="7085" t="str">
        <f t="array" ref="Q548">IFERROR(VLOOKUP(P548,Dex!$P$22:$Q$276,2,FALSE),"")</f>
        <v/>
      </c>
      <c r="R548" s="7086"/>
      <c r="S548" s="6155"/>
      <c r="T548" s="7083" t="s">
        <v>515</v>
      </c>
      <c r="U548" s="7084">
        <f t="array" ref="U548">IFERROR(VLOOKUP(T533,Dex!$B$3:$N1219,10,FALSE),"")</f>
        <v>77</v>
      </c>
      <c r="V548" s="7085" t="str">
        <f t="array" ref="V548">IFERROR(VLOOKUP(U548,Dex!$P$22:$Q$276,2,FALSE),"")</f>
        <v/>
      </c>
      <c r="W548" s="7086"/>
      <c r="X548" s="6155"/>
      <c r="Y548" s="7074"/>
      <c r="Z548" s="6126"/>
      <c r="AA548" s="6126"/>
      <c r="AB548" s="6134"/>
      <c r="AC548" s="6155"/>
      <c r="AD548" s="7074"/>
      <c r="AE548" s="6126"/>
      <c r="AF548" s="6126"/>
      <c r="AG548" s="6134"/>
      <c r="AH548" s="6150"/>
      <c r="AI548" s="6747"/>
    </row>
    <row r="549" ht="16.5" customHeight="1">
      <c r="A549" s="6738"/>
      <c r="B549" s="6089"/>
      <c r="C549" s="6090"/>
      <c r="D549" s="6147"/>
      <c r="E549" s="7083" t="s">
        <v>516</v>
      </c>
      <c r="F549" s="7084">
        <f t="array" ref="F549">IFERROR(VLOOKUP(E533,Dex!$B$3:$N1219,11,FALSE),"")</f>
        <v>70</v>
      </c>
      <c r="G549" s="7085" t="str">
        <f t="array" ref="G549">IFERROR(VLOOKUP(F549,Dex!$P$22:$Q$276,2,FALSE),"")</f>
        <v/>
      </c>
      <c r="H549" s="7086"/>
      <c r="I549" s="6155"/>
      <c r="J549" s="7083" t="s">
        <v>516</v>
      </c>
      <c r="K549" s="7084">
        <f t="array" ref="K549">IFERROR(VLOOKUP(J533,Dex!$B$3:$N1219,11,FALSE),"")</f>
        <v>65</v>
      </c>
      <c r="L549" s="7085" t="str">
        <f t="array" ref="L549">IFERROR(VLOOKUP(K549,Dex!$P$22:$Q$276,2,FALSE),"")</f>
        <v/>
      </c>
      <c r="M549" s="7086"/>
      <c r="N549" s="6155"/>
      <c r="O549" s="7083" t="s">
        <v>516</v>
      </c>
      <c r="P549" s="7084">
        <f t="array" ref="P549">IFERROR(VLOOKUP(O533,Dex!$B$3:$N1219,11,FALSE),"")</f>
        <v>30</v>
      </c>
      <c r="Q549" s="7085" t="str">
        <f t="array" ref="Q549">IFERROR(VLOOKUP(P549,Dex!$P$22:$Q$276,2,FALSE),"")</f>
        <v/>
      </c>
      <c r="R549" s="7086"/>
      <c r="S549" s="6155"/>
      <c r="T549" s="7083" t="s">
        <v>516</v>
      </c>
      <c r="U549" s="7084">
        <f t="array" ref="U549">IFERROR(VLOOKUP(T533,Dex!$B$3:$N1219,11,FALSE),"")</f>
        <v>85</v>
      </c>
      <c r="V549" s="7085" t="str">
        <f t="array" ref="V549">IFERROR(VLOOKUP(U549,Dex!$P$22:$Q$276,2,FALSE),"")</f>
        <v/>
      </c>
      <c r="W549" s="7086"/>
      <c r="X549" s="6155"/>
      <c r="Y549" s="7074"/>
      <c r="Z549" s="6126"/>
      <c r="AA549" s="6126"/>
      <c r="AB549" s="6134"/>
      <c r="AC549" s="6155"/>
      <c r="AD549" s="7074"/>
      <c r="AE549" s="6126"/>
      <c r="AF549" s="6126"/>
      <c r="AG549" s="6134"/>
      <c r="AH549" s="6150"/>
      <c r="AI549" s="6747"/>
    </row>
    <row r="550" ht="16.5" customHeight="1">
      <c r="A550" s="6738"/>
      <c r="B550" s="6089"/>
      <c r="C550" s="6160"/>
      <c r="D550" s="6147"/>
      <c r="E550" s="7083" t="s">
        <v>517</v>
      </c>
      <c r="F550" s="7084">
        <f t="array" ref="F550">IFERROR(VLOOKUP(E533,Dex!$B$3:$N1219,12,FALSE),"")</f>
        <v>80</v>
      </c>
      <c r="G550" s="7085" t="str">
        <f t="array" ref="G550">IFERROR(VLOOKUP(F550,Dex!$P$22:$Q$276,2,FALSE),"")</f>
        <v/>
      </c>
      <c r="H550" s="7086"/>
      <c r="I550" s="6155"/>
      <c r="J550" s="7083" t="s">
        <v>517</v>
      </c>
      <c r="K550" s="7084">
        <f t="array" ref="K550">IFERROR(VLOOKUP(J533,Dex!$B$3:$N1219,12,FALSE),"")</f>
        <v>115</v>
      </c>
      <c r="L550" s="7085" t="str">
        <f t="array" ref="L550">IFERROR(VLOOKUP(K550,Dex!$P$22:$Q$276,2,FALSE),"")</f>
        <v/>
      </c>
      <c r="M550" s="7086"/>
      <c r="N550" s="6155"/>
      <c r="O550" s="7083" t="s">
        <v>517</v>
      </c>
      <c r="P550" s="7084">
        <f t="array" ref="P550">IFERROR(VLOOKUP(O533,Dex!$B$3:$N1219,12,FALSE),"")</f>
        <v>55</v>
      </c>
      <c r="Q550" s="7085" t="str">
        <f t="array" ref="Q550">IFERROR(VLOOKUP(P550,Dex!$P$22:$Q$276,2,FALSE),"")</f>
        <v/>
      </c>
      <c r="R550" s="7086"/>
      <c r="S550" s="6155"/>
      <c r="T550" s="7083" t="s">
        <v>517</v>
      </c>
      <c r="U550" s="7084">
        <f t="array" ref="U550">IFERROR(VLOOKUP(T533,Dex!$B$3:$N1219,12,FALSE),"")</f>
        <v>75</v>
      </c>
      <c r="V550" s="7085" t="str">
        <f t="array" ref="V550">IFERROR(VLOOKUP(U550,Dex!$P$22:$Q$276,2,FALSE),"")</f>
        <v/>
      </c>
      <c r="W550" s="7086"/>
      <c r="X550" s="6155"/>
      <c r="Y550" s="7074"/>
      <c r="Z550" s="6126"/>
      <c r="AA550" s="6126"/>
      <c r="AB550" s="6134"/>
      <c r="AC550" s="6155"/>
      <c r="AD550" s="7074"/>
      <c r="AE550" s="6126"/>
      <c r="AF550" s="6126"/>
      <c r="AG550" s="6134"/>
      <c r="AH550" s="6150"/>
      <c r="AI550" s="6747"/>
    </row>
    <row r="551" ht="16.5" customHeight="1">
      <c r="A551" s="6738"/>
      <c r="B551" s="6089"/>
      <c r="C551" s="6090"/>
      <c r="D551" s="6161"/>
      <c r="E551" s="7087" t="s">
        <v>518</v>
      </c>
      <c r="F551" s="7088">
        <f t="array" ref="F551">IFERROR(VLOOKUP(E533,Dex!$B$3:$N1219,13,FALSE),"")</f>
        <v>42</v>
      </c>
      <c r="G551" s="7085" t="str">
        <f t="array" ref="G551">IFERROR(VLOOKUP(F551,Dex!$P$22:$Q$276,2,FALSE),"")</f>
        <v/>
      </c>
      <c r="H551" s="7086"/>
      <c r="I551" s="6155"/>
      <c r="J551" s="7087" t="s">
        <v>518</v>
      </c>
      <c r="K551" s="7088">
        <f t="array" ref="K551">IFERROR(VLOOKUP(J533,Dex!$B$3:$N1219,13,FALSE),"")</f>
        <v>110</v>
      </c>
      <c r="L551" s="7085" t="str">
        <f t="array" ref="L551">IFERROR(VLOOKUP(K551,Dex!$P$22:$Q$276,2,FALSE),"")</f>
        <v/>
      </c>
      <c r="M551" s="7086"/>
      <c r="N551" s="6155"/>
      <c r="O551" s="7087" t="s">
        <v>518</v>
      </c>
      <c r="P551" s="7088">
        <f t="array" ref="P551">IFERROR(VLOOKUP(O533,Dex!$B$3:$N1219,13,FALSE),"")</f>
        <v>135</v>
      </c>
      <c r="Q551" s="7085" t="str">
        <f t="array" ref="Q551">IFERROR(VLOOKUP(P551,Dex!$P$22:$Q$276,2,FALSE),"")</f>
        <v/>
      </c>
      <c r="R551" s="7086"/>
      <c r="S551" s="6155"/>
      <c r="T551" s="7087" t="s">
        <v>518</v>
      </c>
      <c r="U551" s="7088">
        <f t="array" ref="U551">IFERROR(VLOOKUP(T533,Dex!$B$3:$N1219,13,FALSE),"")</f>
        <v>85</v>
      </c>
      <c r="V551" s="7085" t="str">
        <f t="array" ref="V551">IFERROR(VLOOKUP(U551,Dex!$P$22:$Q$276,2,FALSE),"")</f>
        <v/>
      </c>
      <c r="W551" s="7086"/>
      <c r="X551" s="6155"/>
      <c r="Y551" s="7074"/>
      <c r="Z551" s="6126"/>
      <c r="AA551" s="6126"/>
      <c r="AB551" s="6134"/>
      <c r="AC551" s="6155"/>
      <c r="AD551" s="7074"/>
      <c r="AE551" s="6126"/>
      <c r="AF551" s="6126"/>
      <c r="AG551" s="6134"/>
      <c r="AH551" s="6150"/>
      <c r="AI551" s="6747"/>
    </row>
    <row r="552" ht="16.5" customHeight="1">
      <c r="A552" s="6738"/>
      <c r="B552" s="6089"/>
      <c r="C552" s="6090"/>
      <c r="D552" s="6180"/>
      <c r="E552" s="7089" t="s">
        <v>519</v>
      </c>
      <c r="F552" s="630"/>
      <c r="G552" s="631"/>
      <c r="H552" s="7090">
        <v>120.0</v>
      </c>
      <c r="I552" s="6149"/>
      <c r="J552" s="7089" t="s">
        <v>519</v>
      </c>
      <c r="K552" s="630"/>
      <c r="L552" s="631"/>
      <c r="M552" s="7090">
        <v>281.0</v>
      </c>
      <c r="N552" s="6149"/>
      <c r="O552" s="7089" t="s">
        <v>519</v>
      </c>
      <c r="P552" s="630"/>
      <c r="Q552" s="631"/>
      <c r="R552" s="7090">
        <v>336.0</v>
      </c>
      <c r="S552" s="6149"/>
      <c r="T552" s="7089" t="s">
        <v>519</v>
      </c>
      <c r="U552" s="630"/>
      <c r="V552" s="631"/>
      <c r="W552" s="7090">
        <v>226.0</v>
      </c>
      <c r="X552" s="6149"/>
      <c r="Y552" s="7074"/>
      <c r="Z552" s="6126"/>
      <c r="AA552" s="6126"/>
      <c r="AB552" s="6134"/>
      <c r="AC552" s="6149"/>
      <c r="AD552" s="7074"/>
      <c r="AE552" s="6126"/>
      <c r="AF552" s="6126"/>
      <c r="AG552" s="6134"/>
      <c r="AH552" s="6150"/>
      <c r="AI552" s="6747"/>
    </row>
    <row r="553" ht="15.0" customHeight="1">
      <c r="A553" s="6738"/>
      <c r="B553" s="7091"/>
      <c r="C553" s="6182"/>
      <c r="D553" s="6182"/>
      <c r="E553" s="6182"/>
      <c r="F553" s="6182"/>
      <c r="G553" s="6182"/>
      <c r="H553" s="6182"/>
      <c r="I553" s="6182"/>
      <c r="J553" s="6182"/>
      <c r="K553" s="6182"/>
      <c r="L553" s="6182"/>
      <c r="M553" s="6182"/>
      <c r="N553" s="6182"/>
      <c r="O553" s="7092"/>
      <c r="P553" s="7092"/>
      <c r="Q553" s="7092"/>
      <c r="R553" s="6182"/>
      <c r="S553" s="6182"/>
      <c r="T553" s="6184"/>
      <c r="U553" s="6184"/>
      <c r="V553" s="6184"/>
      <c r="W553" s="6182"/>
      <c r="X553" s="6182"/>
      <c r="Y553" s="6184"/>
      <c r="Z553" s="6184"/>
      <c r="AA553" s="6184"/>
      <c r="AB553" s="6182"/>
      <c r="AC553" s="6182"/>
      <c r="AD553" s="6182"/>
      <c r="AE553" s="6182"/>
      <c r="AF553" s="6182"/>
      <c r="AG553" s="6182"/>
      <c r="AH553" s="7093"/>
      <c r="AI553" s="6747"/>
    </row>
    <row r="554" ht="15.0" customHeight="1">
      <c r="A554" s="6738"/>
      <c r="B554" s="6850"/>
      <c r="C554" s="6851"/>
      <c r="D554" s="6852"/>
      <c r="E554" s="6853"/>
      <c r="F554" s="6853"/>
      <c r="G554" s="6853"/>
      <c r="H554" s="6853"/>
      <c r="I554" s="6854"/>
      <c r="J554" s="6853"/>
      <c r="K554" s="6853"/>
      <c r="L554" s="6853"/>
      <c r="M554" s="6853"/>
      <c r="N554" s="6854"/>
      <c r="O554" s="6853"/>
      <c r="P554" s="6853"/>
      <c r="Q554" s="6853"/>
      <c r="R554" s="6853"/>
      <c r="S554" s="6854"/>
      <c r="T554" s="6853"/>
      <c r="U554" s="6853"/>
      <c r="V554" s="6853"/>
      <c r="W554" s="6853"/>
      <c r="X554" s="6854"/>
      <c r="Y554" s="6852"/>
      <c r="Z554" s="6852"/>
      <c r="AA554" s="6852"/>
      <c r="AB554" s="6852"/>
      <c r="AC554" s="6854"/>
      <c r="AD554" s="6852"/>
      <c r="AE554" s="6852"/>
      <c r="AF554" s="6852"/>
      <c r="AG554" s="6852"/>
      <c r="AH554" s="6855"/>
      <c r="AI554" s="6747"/>
    </row>
    <row r="555" ht="96.75" customHeight="1">
      <c r="A555" s="6738"/>
      <c r="B555" s="6856"/>
      <c r="C555" s="6857" t="str">
        <f>IMAGE("https://i.ibb.co/1Qbjwx2/SwimmerM.png")</f>
        <v/>
      </c>
      <c r="D555" s="6858"/>
      <c r="E555" s="6859" t="str">
        <f t="array" ref="E555">IFERROR(VLOOKUP(E556,Dex!$B$3:$G1219,3,FALSE),"")</f>
        <v/>
      </c>
      <c r="F555" s="1945"/>
      <c r="G555" s="1945"/>
      <c r="H555" s="1946"/>
      <c r="I555" s="6860"/>
      <c r="J555" s="6859" t="str">
        <f t="array" ref="J555">IFERROR(VLOOKUP(J556,Dex!$B$3:$G1219,3,FALSE),"")</f>
        <v/>
      </c>
      <c r="K555" s="1945"/>
      <c r="L555" s="1945"/>
      <c r="M555" s="1946"/>
      <c r="N555" s="6860"/>
      <c r="O555" s="6859" t="str">
        <f t="array" ref="O555">IFERROR(VLOOKUP(O556,Dex!$B$3:$G1219,3,FALSE),"")</f>
        <v/>
      </c>
      <c r="P555" s="1945"/>
      <c r="Q555" s="1945"/>
      <c r="R555" s="1946"/>
      <c r="S555" s="6951"/>
      <c r="T555" s="6859" t="str">
        <f t="array" ref="T555">IFERROR(VLOOKUP(T556,Dex!$B$3:$G1219,3,FALSE),"")</f>
        <v/>
      </c>
      <c r="U555" s="1945"/>
      <c r="V555" s="1945"/>
      <c r="W555" s="1946"/>
      <c r="X555" s="6861"/>
      <c r="Y555" s="6862"/>
      <c r="Z555" s="6863"/>
      <c r="AA555" s="6863"/>
      <c r="AB555" s="6864"/>
      <c r="AC555" s="6865"/>
      <c r="AD555" s="6862"/>
      <c r="AE555" s="6863"/>
      <c r="AF555" s="6863"/>
      <c r="AG555" s="6864"/>
      <c r="AH555" s="6866"/>
      <c r="AI555" s="6747"/>
    </row>
    <row r="556" ht="18.75" customHeight="1">
      <c r="A556" s="6691"/>
      <c r="B556" s="6867"/>
      <c r="C556" s="6868" t="s">
        <v>2086</v>
      </c>
      <c r="D556" s="6869"/>
      <c r="E556" s="6870" t="s">
        <v>1226</v>
      </c>
      <c r="F556" s="6871"/>
      <c r="G556" s="6871"/>
      <c r="H556" s="6872"/>
      <c r="I556" s="6860"/>
      <c r="J556" s="6870" t="s">
        <v>2087</v>
      </c>
      <c r="K556" s="6871"/>
      <c r="L556" s="6871"/>
      <c r="M556" s="6872"/>
      <c r="N556" s="6860"/>
      <c r="O556" s="6870" t="s">
        <v>912</v>
      </c>
      <c r="P556" s="6871"/>
      <c r="Q556" s="6871"/>
      <c r="R556" s="6872"/>
      <c r="S556" s="6860"/>
      <c r="T556" s="6870" t="s">
        <v>1969</v>
      </c>
      <c r="U556" s="6871"/>
      <c r="V556" s="6871"/>
      <c r="W556" s="6872"/>
      <c r="X556" s="6873"/>
      <c r="Y556" s="6874"/>
      <c r="Z556" s="6863"/>
      <c r="AA556" s="6863"/>
      <c r="AB556" s="6864"/>
      <c r="AC556" s="6875"/>
      <c r="AD556" s="6874"/>
      <c r="AE556" s="6863"/>
      <c r="AF556" s="6863"/>
      <c r="AG556" s="6864"/>
      <c r="AH556" s="6876"/>
      <c r="AI556" s="6699"/>
    </row>
    <row r="557">
      <c r="A557" s="6676"/>
      <c r="B557" s="6856"/>
      <c r="C557" s="1638"/>
      <c r="D557" s="6877"/>
      <c r="E557" s="6878" t="s">
        <v>729</v>
      </c>
      <c r="F557" s="6879"/>
      <c r="G557" s="6879"/>
      <c r="H557" s="6880"/>
      <c r="I557" s="6860"/>
      <c r="J557" s="6878" t="s">
        <v>796</v>
      </c>
      <c r="K557" s="6879"/>
      <c r="L557" s="6879"/>
      <c r="M557" s="6880"/>
      <c r="N557" s="6860"/>
      <c r="O557" s="6878" t="s">
        <v>967</v>
      </c>
      <c r="P557" s="6879"/>
      <c r="Q557" s="6879"/>
      <c r="R557" s="6880"/>
      <c r="S557" s="6951"/>
      <c r="T557" s="6878" t="s">
        <v>729</v>
      </c>
      <c r="U557" s="6879"/>
      <c r="V557" s="6879"/>
      <c r="W557" s="6880"/>
      <c r="X557" s="6861"/>
      <c r="Y557" s="6862"/>
      <c r="Z557" s="6863"/>
      <c r="AA557" s="6863"/>
      <c r="AB557" s="6864"/>
      <c r="AC557" s="6865"/>
      <c r="AD557" s="6862"/>
      <c r="AE557" s="6863"/>
      <c r="AF557" s="6863"/>
      <c r="AG557" s="6864"/>
      <c r="AH557" s="6866"/>
      <c r="AI557" s="6680"/>
    </row>
    <row r="558" ht="25.5" customHeight="1">
      <c r="A558" s="6676"/>
      <c r="B558" s="6856"/>
      <c r="C558" s="1646"/>
      <c r="D558" s="6865"/>
      <c r="E558" s="6881"/>
      <c r="F558" s="6885" t="str">
        <f t="array" ref="F558">IFERROR(VLOOKUP(E556,Dex!$B$3:$H1219,5,FALSE),"")</f>
        <v/>
      </c>
      <c r="G558" s="6886" t="str">
        <f t="array" ref="G558">IFERROR(VLOOKUP(E556,Dex!$B$3:$H1219,7,FALSE),"")</f>
        <v/>
      </c>
      <c r="H558" s="6884"/>
      <c r="I558" s="6875"/>
      <c r="J558" s="6881"/>
      <c r="K558" s="6882" t="str">
        <f t="array" ref="K558">IFERROR(VLOOKUP(J556,Dex!$B$3:$H1219,5,FALSE),"")</f>
        <v/>
      </c>
      <c r="L558" s="6883"/>
      <c r="M558" s="6884"/>
      <c r="N558" s="6875"/>
      <c r="O558" s="6881"/>
      <c r="P558" s="6885" t="str">
        <f t="array" ref="P558">IFERROR(VLOOKUP(O556,Dex!$B$3:$H1219,5,FALSE),"")</f>
        <v/>
      </c>
      <c r="Q558" s="6886" t="str">
        <f t="array" ref="Q558">IFERROR(VLOOKUP(O556,Dex!$B$3:$H1219,7,FALSE),"")</f>
        <v/>
      </c>
      <c r="R558" s="6884"/>
      <c r="S558" s="6865"/>
      <c r="T558" s="6881"/>
      <c r="U558" s="6885" t="str">
        <f t="array" ref="U558">IFERROR(VLOOKUP(T556,Dex!$B$3:$H1219,5,FALSE),"")</f>
        <v/>
      </c>
      <c r="V558" s="6886" t="str">
        <f t="array" ref="V558">IFERROR(VLOOKUP(T556,Dex!$B$3:$H1219,7,FALSE),"")</f>
        <v/>
      </c>
      <c r="W558" s="6884"/>
      <c r="X558" s="6865"/>
      <c r="Y558" s="6862"/>
      <c r="Z558" s="6863"/>
      <c r="AA558" s="6863"/>
      <c r="AB558" s="6864"/>
      <c r="AC558" s="6865"/>
      <c r="AD558" s="6862"/>
      <c r="AE558" s="6863"/>
      <c r="AF558" s="6863"/>
      <c r="AG558" s="6864"/>
      <c r="AH558" s="6866"/>
      <c r="AI558" s="6680"/>
    </row>
    <row r="559" ht="2.25" customHeight="1">
      <c r="A559" s="6676"/>
      <c r="B559" s="6856"/>
      <c r="C559" s="6887"/>
      <c r="D559" s="6865"/>
      <c r="E559" s="6888"/>
      <c r="F559" s="6889"/>
      <c r="G559" s="6889"/>
      <c r="H559" s="6890"/>
      <c r="I559" s="6875"/>
      <c r="J559" s="6888"/>
      <c r="K559" s="6889"/>
      <c r="L559" s="6889"/>
      <c r="M559" s="6890"/>
      <c r="N559" s="6875"/>
      <c r="O559" s="6888"/>
      <c r="P559" s="6889"/>
      <c r="Q559" s="6889"/>
      <c r="R559" s="6890"/>
      <c r="S559" s="6865"/>
      <c r="T559" s="6888"/>
      <c r="U559" s="6889"/>
      <c r="V559" s="6889"/>
      <c r="W559" s="6890"/>
      <c r="X559" s="6865"/>
      <c r="Y559" s="6865"/>
      <c r="Z559" s="6865"/>
      <c r="AA559" s="6865"/>
      <c r="AB559" s="6865"/>
      <c r="AC559" s="6865"/>
      <c r="AD559" s="6865"/>
      <c r="AE559" s="6865"/>
      <c r="AF559" s="6865"/>
      <c r="AG559" s="6865"/>
      <c r="AH559" s="6866"/>
      <c r="AI559" s="6680"/>
    </row>
    <row r="560" ht="20.25" customHeight="1">
      <c r="A560" s="6676"/>
      <c r="B560" s="6856"/>
      <c r="C560" s="6891"/>
      <c r="D560" s="6862"/>
      <c r="E560" s="6892" t="s">
        <v>532</v>
      </c>
      <c r="F560" s="6893"/>
      <c r="G560" s="6893"/>
      <c r="H560" s="6894"/>
      <c r="I560" s="6860"/>
      <c r="J560" s="6892" t="s">
        <v>532</v>
      </c>
      <c r="K560" s="6893"/>
      <c r="L560" s="6893"/>
      <c r="M560" s="6894"/>
      <c r="N560" s="6860"/>
      <c r="O560" s="6892" t="s">
        <v>532</v>
      </c>
      <c r="P560" s="6893"/>
      <c r="Q560" s="6893"/>
      <c r="R560" s="6894"/>
      <c r="S560" s="6951"/>
      <c r="T560" s="6892" t="s">
        <v>566</v>
      </c>
      <c r="U560" s="6893"/>
      <c r="V560" s="6893"/>
      <c r="W560" s="6894"/>
      <c r="X560" s="6861"/>
      <c r="Y560" s="6862"/>
      <c r="Z560" s="6863"/>
      <c r="AA560" s="6863"/>
      <c r="AB560" s="6864"/>
      <c r="AC560" s="6865"/>
      <c r="AD560" s="6862"/>
      <c r="AE560" s="6863"/>
      <c r="AF560" s="6863"/>
      <c r="AG560" s="6864"/>
      <c r="AH560" s="6866"/>
      <c r="AI560" s="6680"/>
    </row>
    <row r="561" ht="20.25" customHeight="1">
      <c r="A561" s="6676"/>
      <c r="B561" s="6856"/>
      <c r="C561" s="6891"/>
      <c r="D561" s="6862"/>
      <c r="E561" s="6895" t="s">
        <v>60</v>
      </c>
      <c r="F561" s="6863"/>
      <c r="G561" s="6863"/>
      <c r="H561" s="6896"/>
      <c r="I561" s="6860"/>
      <c r="J561" s="6895" t="s">
        <v>533</v>
      </c>
      <c r="K561" s="6863"/>
      <c r="L561" s="6863"/>
      <c r="M561" s="6896"/>
      <c r="N561" s="6860"/>
      <c r="O561" s="6895" t="s">
        <v>798</v>
      </c>
      <c r="P561" s="6863"/>
      <c r="Q561" s="6863"/>
      <c r="R561" s="6896"/>
      <c r="S561" s="6951"/>
      <c r="T561" s="7127" t="s">
        <v>2088</v>
      </c>
      <c r="U561" s="6863"/>
      <c r="V561" s="6863"/>
      <c r="W561" s="6896"/>
      <c r="X561" s="6861"/>
      <c r="Y561" s="6862"/>
      <c r="Z561" s="6863"/>
      <c r="AA561" s="6863"/>
      <c r="AB561" s="6864"/>
      <c r="AC561" s="6865"/>
      <c r="AD561" s="6862"/>
      <c r="AE561" s="6863"/>
      <c r="AF561" s="6863"/>
      <c r="AG561" s="6864"/>
      <c r="AH561" s="6866"/>
      <c r="AI561" s="6680"/>
    </row>
    <row r="562" ht="20.25" customHeight="1">
      <c r="A562" s="6676"/>
      <c r="B562" s="6856"/>
      <c r="C562" s="6891"/>
      <c r="D562" s="6862"/>
      <c r="E562" s="6897" t="s">
        <v>1083</v>
      </c>
      <c r="F562" s="6898"/>
      <c r="G562" s="6899"/>
      <c r="H562" s="6900" t="str">
        <f>IMAGE("https://raw.githubusercontent.com/msikma/pokesprite/master/items/berry/custap.png",3)</f>
        <v/>
      </c>
      <c r="I562" s="6874"/>
      <c r="J562" s="6897" t="s">
        <v>540</v>
      </c>
      <c r="K562" s="6898"/>
      <c r="L562" s="6899"/>
      <c r="M562" s="6900" t="str">
        <f>IMAGE("https://raw.githubusercontent.com/msikma/pokesprite/master/items/hold-item/mystic-water.png",3)</f>
        <v/>
      </c>
      <c r="N562" s="6874"/>
      <c r="O562" s="6897" t="s">
        <v>573</v>
      </c>
      <c r="P562" s="6898"/>
      <c r="Q562" s="6899"/>
      <c r="R562" s="6900" t="str">
        <f>IMAGE("https://raw.githubusercontent.com/msikma/pokesprite/master/items/hold-item/focus-sash.png",3)</f>
        <v/>
      </c>
      <c r="S562" s="6862"/>
      <c r="T562" s="6897" t="s">
        <v>1973</v>
      </c>
      <c r="U562" s="6898"/>
      <c r="V562" s="6899"/>
      <c r="W562" s="6900" t="str">
        <f>IMAGE("https://raw.githubusercontent.com/msikma/pokesprite/master/items/mega-stone/abomasite.png",3)</f>
        <v/>
      </c>
      <c r="X562" s="6865"/>
      <c r="Y562" s="6862"/>
      <c r="Z562" s="6863"/>
      <c r="AA562" s="6863"/>
      <c r="AB562" s="6864"/>
      <c r="AC562" s="6865"/>
      <c r="AD562" s="6862"/>
      <c r="AE562" s="6863"/>
      <c r="AF562" s="6863"/>
      <c r="AG562" s="6864"/>
      <c r="AH562" s="6866"/>
      <c r="AI562" s="6680"/>
    </row>
    <row r="563" ht="20.25" customHeight="1">
      <c r="A563" s="6676"/>
      <c r="B563" s="6856"/>
      <c r="C563" s="6901"/>
      <c r="D563" s="6862"/>
      <c r="E563" s="6892" t="s">
        <v>545</v>
      </c>
      <c r="F563" s="6893"/>
      <c r="G563" s="6902"/>
      <c r="H563" s="6903" t="str">
        <f>IMAGE("https://raw.githubusercontent.com/msikma/pokesprite/master/misc/types/gen8/poison.png",4,20,20)</f>
        <v/>
      </c>
      <c r="I563" s="6874"/>
      <c r="J563" s="6892" t="s">
        <v>760</v>
      </c>
      <c r="K563" s="6893"/>
      <c r="L563" s="6902"/>
      <c r="M563" s="6903" t="str">
        <f t="shared" ref="M563:M564" si="22">IMAGE("https://raw.githubusercontent.com/msikma/pokesprite/master/misc/types/gen8/water.png",4,20,20)</f>
        <v/>
      </c>
      <c r="N563" s="6874"/>
      <c r="O563" s="6892" t="s">
        <v>273</v>
      </c>
      <c r="P563" s="6893"/>
      <c r="Q563" s="6902"/>
      <c r="R563" s="6903" t="str">
        <f>IMAGE("https://raw.githubusercontent.com/msikma/pokesprite/master/misc/types/gen8/normal.png",4,20,20)</f>
        <v/>
      </c>
      <c r="S563" s="6862"/>
      <c r="T563" s="6892" t="s">
        <v>1306</v>
      </c>
      <c r="U563" s="6893"/>
      <c r="V563" s="6902"/>
      <c r="W563" s="6903" t="str">
        <f>IMAGE("https://raw.githubusercontent.com/msikma/pokesprite/master/misc/types/gen8/water.png",4,20,20)</f>
        <v/>
      </c>
      <c r="X563" s="6865"/>
      <c r="Y563" s="6862"/>
      <c r="Z563" s="6863"/>
      <c r="AA563" s="6863"/>
      <c r="AB563" s="6864"/>
      <c r="AC563" s="6865"/>
      <c r="AD563" s="6862"/>
      <c r="AE563" s="6863"/>
      <c r="AF563" s="6863"/>
      <c r="AG563" s="6864"/>
      <c r="AH563" s="6866"/>
      <c r="AI563" s="6680"/>
    </row>
    <row r="564" ht="20.25" customHeight="1">
      <c r="A564" s="6676"/>
      <c r="B564" s="6856"/>
      <c r="C564" s="6904"/>
      <c r="D564" s="6862"/>
      <c r="E564" s="6895" t="s">
        <v>1232</v>
      </c>
      <c r="F564" s="6863"/>
      <c r="G564" s="6864"/>
      <c r="H564" s="6905" t="str">
        <f>IMAGE("https://raw.githubusercontent.com/msikma/pokesprite/master/misc/types/gen8/dark.png",4,20,20)</f>
        <v/>
      </c>
      <c r="I564" s="6874"/>
      <c r="J564" s="6895" t="s">
        <v>542</v>
      </c>
      <c r="K564" s="6863"/>
      <c r="L564" s="6864"/>
      <c r="M564" s="6905" t="str">
        <f t="shared" si="22"/>
        <v/>
      </c>
      <c r="N564" s="6860"/>
      <c r="O564" s="6895" t="s">
        <v>760</v>
      </c>
      <c r="P564" s="6863"/>
      <c r="Q564" s="6864"/>
      <c r="R564" s="6905" t="str">
        <f>IMAGE("https://raw.githubusercontent.com/msikma/pokesprite/master/misc/types/gen8/water.png",4,20,20)</f>
        <v/>
      </c>
      <c r="S564" s="6862"/>
      <c r="T564" s="6895" t="s">
        <v>1974</v>
      </c>
      <c r="U564" s="6863"/>
      <c r="V564" s="6864"/>
      <c r="W564" s="6905" t="str">
        <f>IMAGE("https://raw.githubusercontent.com/msikma/pokesprite/master/misc/types/gen8/fighting.png",4,20,20)</f>
        <v/>
      </c>
      <c r="X564" s="6865"/>
      <c r="Y564" s="6862"/>
      <c r="Z564" s="6863"/>
      <c r="AA564" s="6863"/>
      <c r="AB564" s="6864"/>
      <c r="AC564" s="6865"/>
      <c r="AD564" s="6862"/>
      <c r="AE564" s="6863"/>
      <c r="AF564" s="6863"/>
      <c r="AG564" s="6864"/>
      <c r="AH564" s="6866"/>
      <c r="AI564" s="6680"/>
    </row>
    <row r="565" ht="20.25" customHeight="1">
      <c r="A565" s="6676"/>
      <c r="B565" s="6856"/>
      <c r="C565" s="6904"/>
      <c r="D565" s="6862"/>
      <c r="E565" s="6895" t="s">
        <v>204</v>
      </c>
      <c r="F565" s="6863"/>
      <c r="G565" s="6864"/>
      <c r="H565" s="6905" t="str">
        <f>IMAGE("https://raw.githubusercontent.com/msikma/pokesprite/master/misc/types/gen8/poison.png",4,20,20)</f>
        <v/>
      </c>
      <c r="I565" s="6874"/>
      <c r="J565" s="6895" t="s">
        <v>583</v>
      </c>
      <c r="K565" s="6863"/>
      <c r="L565" s="6864"/>
      <c r="M565" s="6905" t="str">
        <f>IMAGE("https://raw.githubusercontent.com/msikma/pokesprite/master/misc/types/gen8/fighting.png",4,20,20)</f>
        <v/>
      </c>
      <c r="N565" s="6860"/>
      <c r="O565" s="6895" t="s">
        <v>924</v>
      </c>
      <c r="P565" s="6863"/>
      <c r="Q565" s="6864"/>
      <c r="R565" s="6905" t="str">
        <f>IMAGE("https://raw.githubusercontent.com/msikma/pokesprite/master/misc/types/gen8/ice.png",4,20,20)</f>
        <v/>
      </c>
      <c r="S565" s="6862"/>
      <c r="T565" s="6895" t="s">
        <v>1149</v>
      </c>
      <c r="U565" s="6863"/>
      <c r="V565" s="6864"/>
      <c r="W565" s="6905" t="str">
        <f>IMAGE("https://raw.githubusercontent.com/msikma/pokesprite/master/misc/types/gen8/ice.png",4,20,20)</f>
        <v/>
      </c>
      <c r="X565" s="6865"/>
      <c r="Y565" s="6862"/>
      <c r="Z565" s="6863"/>
      <c r="AA565" s="6863"/>
      <c r="AB565" s="6864"/>
      <c r="AC565" s="6865"/>
      <c r="AD565" s="6862"/>
      <c r="AE565" s="6863"/>
      <c r="AF565" s="6863"/>
      <c r="AG565" s="6864"/>
      <c r="AH565" s="6866"/>
      <c r="AI565" s="6680"/>
    </row>
    <row r="566" ht="21.0" customHeight="1">
      <c r="A566" s="6676"/>
      <c r="B566" s="6856"/>
      <c r="C566" s="6904"/>
      <c r="D566" s="6862"/>
      <c r="E566" s="6906" t="s">
        <v>148</v>
      </c>
      <c r="F566" s="6907"/>
      <c r="G566" s="6908"/>
      <c r="H566" s="6909" t="str">
        <f>IMAGE("https://raw.githubusercontent.com/msikma/pokesprite/master/misc/types/gen8/ghost.png",4,20,20)</f>
        <v/>
      </c>
      <c r="I566" s="6874"/>
      <c r="J566" s="6906" t="s">
        <v>939</v>
      </c>
      <c r="K566" s="6907"/>
      <c r="L566" s="6908"/>
      <c r="M566" s="6909" t="str">
        <f>IMAGE("https://raw.githubusercontent.com/msikma/pokesprite/master/misc/types/gen8/psychic.png",4,20,20)</f>
        <v/>
      </c>
      <c r="N566" s="6860"/>
      <c r="O566" s="6906" t="s">
        <v>927</v>
      </c>
      <c r="P566" s="6907"/>
      <c r="Q566" s="6908"/>
      <c r="R566" s="6909" t="str">
        <f>IMAGE("https://raw.githubusercontent.com/msikma/pokesprite/master/misc/types/gen8/rock.png",4,20,20)</f>
        <v/>
      </c>
      <c r="S566" s="6862"/>
      <c r="T566" s="6906" t="s">
        <v>267</v>
      </c>
      <c r="U566" s="6907"/>
      <c r="V566" s="6908"/>
      <c r="W566" s="6909" t="str">
        <f>IMAGE("https://raw.githubusercontent.com/msikma/pokesprite/master/misc/types/gen8/rock.png",4,20,20)</f>
        <v/>
      </c>
      <c r="X566" s="6865"/>
      <c r="Y566" s="6862"/>
      <c r="Z566" s="6863"/>
      <c r="AA566" s="6863"/>
      <c r="AB566" s="6864"/>
      <c r="AC566" s="6865"/>
      <c r="AD566" s="6862"/>
      <c r="AE566" s="6863"/>
      <c r="AF566" s="6863"/>
      <c r="AG566" s="6864"/>
      <c r="AH566" s="6866"/>
      <c r="AI566" s="6680"/>
    </row>
    <row r="567" ht="3.0" customHeight="1">
      <c r="A567" s="6738"/>
      <c r="B567" s="6910"/>
      <c r="C567" s="6911"/>
      <c r="D567" s="6912"/>
      <c r="E567" s="6915"/>
      <c r="F567" s="6915"/>
      <c r="G567" s="6915"/>
      <c r="H567" s="6914"/>
      <c r="I567" s="6912"/>
      <c r="J567" s="6915"/>
      <c r="K567" s="6915"/>
      <c r="L567" s="6915"/>
      <c r="M567" s="6913"/>
      <c r="N567" s="6912"/>
      <c r="O567" s="6915"/>
      <c r="P567" s="6915"/>
      <c r="Q567" s="6915"/>
      <c r="R567" s="6914"/>
      <c r="S567" s="6914"/>
      <c r="T567" s="6915"/>
      <c r="U567" s="6915"/>
      <c r="V567" s="6915"/>
      <c r="W567" s="6914"/>
      <c r="X567" s="6912"/>
      <c r="Y567" s="6914"/>
      <c r="Z567" s="6914"/>
      <c r="AA567" s="6914"/>
      <c r="AB567" s="6914"/>
      <c r="AC567" s="6916"/>
      <c r="AD567" s="6914"/>
      <c r="AE567" s="6914"/>
      <c r="AF567" s="6914"/>
      <c r="AG567" s="6914"/>
      <c r="AH567" s="6917"/>
      <c r="AI567" s="6747"/>
    </row>
    <row r="568" ht="16.5" customHeight="1">
      <c r="A568" s="6738"/>
      <c r="B568" s="6918"/>
      <c r="C568" s="6911"/>
      <c r="D568" s="6922"/>
      <c r="E568" s="6920" t="s">
        <v>512</v>
      </c>
      <c r="F568" s="606"/>
      <c r="G568" s="606"/>
      <c r="H568" s="607"/>
      <c r="I568" s="6921"/>
      <c r="J568" s="6920" t="s">
        <v>512</v>
      </c>
      <c r="K568" s="606"/>
      <c r="L568" s="606"/>
      <c r="M568" s="607"/>
      <c r="N568" s="6922"/>
      <c r="O568" s="6920" t="s">
        <v>512</v>
      </c>
      <c r="P568" s="606"/>
      <c r="Q568" s="606"/>
      <c r="R568" s="607"/>
      <c r="S568" s="6952"/>
      <c r="T568" s="6920" t="s">
        <v>512</v>
      </c>
      <c r="U568" s="606"/>
      <c r="V568" s="606"/>
      <c r="W568" s="607"/>
      <c r="X568" s="6865"/>
      <c r="Y568" s="6865"/>
      <c r="Z568" s="6865"/>
      <c r="AA568" s="6865"/>
      <c r="AB568" s="6865"/>
      <c r="AC568" s="6865"/>
      <c r="AD568" s="6865"/>
      <c r="AE568" s="6865"/>
      <c r="AF568" s="6865"/>
      <c r="AG568" s="6923"/>
      <c r="AH568" s="6924"/>
      <c r="AI568" s="6747"/>
    </row>
    <row r="569" ht="16.5" customHeight="1">
      <c r="A569" s="6738"/>
      <c r="B569" s="6918"/>
      <c r="C569" s="6911"/>
      <c r="D569" s="6919"/>
      <c r="E569" s="6925" t="s">
        <v>513</v>
      </c>
      <c r="F569" s="6926">
        <f t="array" ref="F569">IFERROR(VLOOKUP(E556,Dex!$B$3:$N1219,8,FALSE),"")</f>
        <v>95</v>
      </c>
      <c r="G569" s="6927" t="str">
        <f t="array" ref="G569">IFERROR(VLOOKUP(F569,Dex!$P$22:$Q$276,2,FALSE),"")</f>
        <v/>
      </c>
      <c r="H569" s="6928"/>
      <c r="I569" s="6929"/>
      <c r="J569" s="6925" t="s">
        <v>513</v>
      </c>
      <c r="K569" s="6926">
        <f t="array" ref="K569">IFERROR(VLOOKUP(J556,Dex!$B$3:$N1219,8,FALSE),"")</f>
        <v>61</v>
      </c>
      <c r="L569" s="6927" t="str">
        <f t="array" ref="L569">IFERROR(VLOOKUP(K569,Dex!$P$22:$Q$276,2,FALSE),"")</f>
        <v/>
      </c>
      <c r="M569" s="6928"/>
      <c r="N569" s="6919"/>
      <c r="O569" s="6925" t="s">
        <v>513</v>
      </c>
      <c r="P569" s="6926">
        <f t="array" ref="P569">IFERROR(VLOOKUP(O556,Dex!$B$3:$N1219,8,FALSE),"")</f>
        <v>50</v>
      </c>
      <c r="Q569" s="6927" t="str">
        <f t="array" ref="Q569">IFERROR(VLOOKUP(P569,Dex!$P$22:$Q$276,2,FALSE),"")</f>
        <v/>
      </c>
      <c r="R569" s="6928"/>
      <c r="S569" s="6930"/>
      <c r="T569" s="6925" t="s">
        <v>513</v>
      </c>
      <c r="U569" s="6926">
        <f t="array" ref="U569">IFERROR(VLOOKUP(T556,Dex!$B$3:$N1219,8,FALSE),"")</f>
        <v>90</v>
      </c>
      <c r="V569" s="6927" t="str">
        <f t="array" ref="V569">IFERROR(VLOOKUP(U569,Dex!$P$22:$Q$276,2,FALSE),"")</f>
        <v/>
      </c>
      <c r="W569" s="6928"/>
      <c r="X569" s="6865"/>
      <c r="Y569" s="6865"/>
      <c r="Z569" s="6865"/>
      <c r="AA569" s="6865"/>
      <c r="AB569" s="6865"/>
      <c r="AC569" s="6865"/>
      <c r="AD569" s="6865"/>
      <c r="AE569" s="6865"/>
      <c r="AF569" s="6865"/>
      <c r="AG569" s="6923"/>
      <c r="AH569" s="6924"/>
      <c r="AI569" s="6747"/>
    </row>
    <row r="570" ht="16.5" customHeight="1">
      <c r="A570" s="6738"/>
      <c r="B570" s="6918"/>
      <c r="C570" s="6911"/>
      <c r="D570" s="6919"/>
      <c r="E570" s="6931" t="s">
        <v>514</v>
      </c>
      <c r="F570" s="6932">
        <f t="array" ref="F570">IFERROR(VLOOKUP(E556,Dex!$B$3:$N1219,9,FALSE),"")</f>
        <v>115</v>
      </c>
      <c r="G570" s="6933" t="str">
        <f t="array" ref="G570">IFERROR(VLOOKUP(F570,Dex!$P$22:$Q$276,2,FALSE),"")</f>
        <v/>
      </c>
      <c r="H570" s="6934"/>
      <c r="I570" s="6929"/>
      <c r="J570" s="6931" t="s">
        <v>514</v>
      </c>
      <c r="K570" s="6932">
        <f t="array" ref="K570">IFERROR(VLOOKUP(J556,Dex!$B$3:$N1219,9,FALSE),"")</f>
        <v>123</v>
      </c>
      <c r="L570" s="6933" t="str">
        <f t="array" ref="L570">IFERROR(VLOOKUP(K570,Dex!$P$22:$Q$276,2,FALSE),"")</f>
        <v/>
      </c>
      <c r="M570" s="6934"/>
      <c r="N570" s="6919"/>
      <c r="O570" s="6931" t="s">
        <v>514</v>
      </c>
      <c r="P570" s="6932">
        <f t="array" ref="P570">IFERROR(VLOOKUP(O556,Dex!$B$3:$N1219,9,FALSE),"")</f>
        <v>95</v>
      </c>
      <c r="Q570" s="6933" t="str">
        <f t="array" ref="Q570">IFERROR(VLOOKUP(P570,Dex!$P$22:$Q$276,2,FALSE),"")</f>
        <v/>
      </c>
      <c r="R570" s="6934"/>
      <c r="S570" s="6930"/>
      <c r="T570" s="6931" t="s">
        <v>514</v>
      </c>
      <c r="U570" s="6932">
        <f t="array" ref="U570">IFERROR(VLOOKUP(T556,Dex!$B$3:$N1219,9,FALSE),"")</f>
        <v>155</v>
      </c>
      <c r="V570" s="6933" t="str">
        <f t="array" ref="V570">IFERROR(VLOOKUP(U570,Dex!$P$22:$Q$276,2,FALSE),"")</f>
        <v/>
      </c>
      <c r="W570" s="6934"/>
      <c r="X570" s="6862"/>
      <c r="Y570" s="6863"/>
      <c r="Z570" s="6863"/>
      <c r="AA570" s="6864"/>
      <c r="AB570" s="6865"/>
      <c r="AC570" s="6862"/>
      <c r="AD570" s="6863"/>
      <c r="AE570" s="6863"/>
      <c r="AF570" s="6864"/>
      <c r="AG570" s="6923"/>
      <c r="AH570" s="6924"/>
      <c r="AI570" s="6747"/>
    </row>
    <row r="571" ht="16.5" customHeight="1">
      <c r="A571" s="6738"/>
      <c r="B571" s="6918"/>
      <c r="C571" s="6911"/>
      <c r="D571" s="6919"/>
      <c r="E571" s="6931" t="s">
        <v>515</v>
      </c>
      <c r="F571" s="6932">
        <f t="array" ref="F571">IFERROR(VLOOKUP(E556,Dex!$B$3:$N1219,10,FALSE),"")</f>
        <v>100</v>
      </c>
      <c r="G571" s="6933" t="str">
        <f t="array" ref="G571">IFERROR(VLOOKUP(F571,Dex!$P$22:$Q$276,2,FALSE),"")</f>
        <v/>
      </c>
      <c r="H571" s="6934"/>
      <c r="I571" s="6929"/>
      <c r="J571" s="6931" t="s">
        <v>515</v>
      </c>
      <c r="K571" s="6932">
        <f t="array" ref="K571">IFERROR(VLOOKUP(J556,Dex!$B$3:$N1219,10,FALSE),"")</f>
        <v>60</v>
      </c>
      <c r="L571" s="6933" t="str">
        <f t="array" ref="L571">IFERROR(VLOOKUP(K571,Dex!$P$22:$Q$276,2,FALSE),"")</f>
        <v/>
      </c>
      <c r="M571" s="6934"/>
      <c r="N571" s="6919"/>
      <c r="O571" s="6931" t="s">
        <v>515</v>
      </c>
      <c r="P571" s="6932">
        <f t="array" ref="P571">IFERROR(VLOOKUP(O556,Dex!$B$3:$N1219,10,FALSE),"")</f>
        <v>180</v>
      </c>
      <c r="Q571" s="6933" t="str">
        <f t="array" ref="Q571">IFERROR(VLOOKUP(P571,Dex!$P$22:$Q$276,2,FALSE),"")</f>
        <v/>
      </c>
      <c r="R571" s="6934"/>
      <c r="S571" s="6930"/>
      <c r="T571" s="6931" t="s">
        <v>515</v>
      </c>
      <c r="U571" s="6932">
        <f t="array" ref="U571">IFERROR(VLOOKUP(T556,Dex!$B$3:$N1219,10,FALSE),"")</f>
        <v>125</v>
      </c>
      <c r="V571" s="6933" t="str">
        <f t="array" ref="V571">IFERROR(VLOOKUP(U571,Dex!$P$22:$Q$276,2,FALSE),"")</f>
        <v/>
      </c>
      <c r="W571" s="6934"/>
      <c r="X571" s="6862"/>
      <c r="Y571" s="6863"/>
      <c r="Z571" s="6863"/>
      <c r="AA571" s="6864"/>
      <c r="AB571" s="6865"/>
      <c r="AC571" s="6862"/>
      <c r="AD571" s="6863"/>
      <c r="AE571" s="6863"/>
      <c r="AF571" s="6864"/>
      <c r="AG571" s="6923"/>
      <c r="AH571" s="6924"/>
      <c r="AI571" s="6747"/>
    </row>
    <row r="572" ht="16.5" customHeight="1">
      <c r="A572" s="6738"/>
      <c r="B572" s="6918"/>
      <c r="C572" s="6911"/>
      <c r="D572" s="6919"/>
      <c r="E572" s="6931" t="s">
        <v>516</v>
      </c>
      <c r="F572" s="6932">
        <f t="array" ref="F572">IFERROR(VLOOKUP(E556,Dex!$B$3:$N1219,11,FALSE),"")</f>
        <v>55</v>
      </c>
      <c r="G572" s="6933" t="str">
        <f t="array" ref="G572">IFERROR(VLOOKUP(F572,Dex!$P$22:$Q$276,2,FALSE),"")</f>
        <v/>
      </c>
      <c r="H572" s="6934"/>
      <c r="I572" s="6929"/>
      <c r="J572" s="6931" t="s">
        <v>516</v>
      </c>
      <c r="K572" s="6932">
        <f t="array" ref="K572">IFERROR(VLOOKUP(J556,Dex!$B$3:$N1219,11,FALSE),"")</f>
        <v>60</v>
      </c>
      <c r="L572" s="6933" t="str">
        <f t="array" ref="L572">IFERROR(VLOOKUP(K572,Dex!$P$22:$Q$276,2,FALSE),"")</f>
        <v/>
      </c>
      <c r="M572" s="6934"/>
      <c r="N572" s="6919"/>
      <c r="O572" s="6931" t="s">
        <v>516</v>
      </c>
      <c r="P572" s="6932">
        <f t="array" ref="P572">IFERROR(VLOOKUP(O556,Dex!$B$3:$N1219,11,FALSE),"")</f>
        <v>85</v>
      </c>
      <c r="Q572" s="6933" t="str">
        <f t="array" ref="Q572">IFERROR(VLOOKUP(P572,Dex!$P$22:$Q$276,2,FALSE),"")</f>
        <v/>
      </c>
      <c r="R572" s="6934"/>
      <c r="S572" s="6930"/>
      <c r="T572" s="6931" t="s">
        <v>516</v>
      </c>
      <c r="U572" s="6932">
        <f t="array" ref="U572">IFERROR(VLOOKUP(T556,Dex!$B$3:$N1219,11,FALSE),"")</f>
        <v>48</v>
      </c>
      <c r="V572" s="6933" t="str">
        <f t="array" ref="V572">IFERROR(VLOOKUP(U572,Dex!$P$22:$Q$276,2,FALSE),"")</f>
        <v/>
      </c>
      <c r="W572" s="6934"/>
      <c r="X572" s="6865"/>
      <c r="Y572" s="6865"/>
      <c r="Z572" s="6865"/>
      <c r="AA572" s="6865"/>
      <c r="AB572" s="6865"/>
      <c r="AC572" s="6862"/>
      <c r="AD572" s="6863"/>
      <c r="AE572" s="6863"/>
      <c r="AF572" s="6864"/>
      <c r="AG572" s="6923"/>
      <c r="AH572" s="6924"/>
      <c r="AI572" s="6747"/>
    </row>
    <row r="573" ht="16.5" customHeight="1">
      <c r="A573" s="6738"/>
      <c r="B573" s="6918"/>
      <c r="C573" s="6911"/>
      <c r="D573" s="6919"/>
      <c r="E573" s="6931" t="s">
        <v>517</v>
      </c>
      <c r="F573" s="6932">
        <f t="array" ref="F573">IFERROR(VLOOKUP(E556,Dex!$B$3:$N1219,12,FALSE),"")</f>
        <v>80</v>
      </c>
      <c r="G573" s="6933" t="str">
        <f t="array" ref="G573">IFERROR(VLOOKUP(F573,Dex!$P$22:$Q$276,2,FALSE),"")</f>
        <v/>
      </c>
      <c r="H573" s="6934"/>
      <c r="I573" s="6929"/>
      <c r="J573" s="6931" t="s">
        <v>517</v>
      </c>
      <c r="K573" s="6932">
        <f t="array" ref="K573">IFERROR(VLOOKUP(J556,Dex!$B$3:$N1219,12,FALSE),"")</f>
        <v>50</v>
      </c>
      <c r="L573" s="6933" t="str">
        <f t="array" ref="L573">IFERROR(VLOOKUP(K573,Dex!$P$22:$Q$276,2,FALSE),"")</f>
        <v/>
      </c>
      <c r="M573" s="6934"/>
      <c r="N573" s="6919"/>
      <c r="O573" s="6931" t="s">
        <v>517</v>
      </c>
      <c r="P573" s="6932">
        <f t="array" ref="P573">IFERROR(VLOOKUP(O556,Dex!$B$3:$N1219,12,FALSE),"")</f>
        <v>45</v>
      </c>
      <c r="Q573" s="6933" t="str">
        <f t="array" ref="Q573">IFERROR(VLOOKUP(P573,Dex!$P$22:$Q$276,2,FALSE),"")</f>
        <v/>
      </c>
      <c r="R573" s="6934"/>
      <c r="S573" s="6930"/>
      <c r="T573" s="6931" t="s">
        <v>517</v>
      </c>
      <c r="U573" s="6932">
        <f t="array" ref="U573">IFERROR(VLOOKUP(T556,Dex!$B$3:$N1219,12,FALSE),"")</f>
        <v>98</v>
      </c>
      <c r="V573" s="6933" t="str">
        <f t="array" ref="V573">IFERROR(VLOOKUP(U573,Dex!$P$22:$Q$276,2,FALSE),"")</f>
        <v/>
      </c>
      <c r="W573" s="6934"/>
      <c r="X573" s="6865"/>
      <c r="Y573" s="6865"/>
      <c r="Z573" s="6865"/>
      <c r="AA573" s="6865"/>
      <c r="AB573" s="6865"/>
      <c r="AC573" s="6862"/>
      <c r="AD573" s="6863"/>
      <c r="AE573" s="6863"/>
      <c r="AF573" s="6864"/>
      <c r="AG573" s="6923"/>
      <c r="AH573" s="6924"/>
      <c r="AI573" s="6747"/>
    </row>
    <row r="574" ht="16.5" customHeight="1">
      <c r="A574" s="6738"/>
      <c r="B574" s="6918"/>
      <c r="C574" s="6911"/>
      <c r="D574" s="6919"/>
      <c r="E574" s="6935" t="s">
        <v>518</v>
      </c>
      <c r="F574" s="6936">
        <f t="array" ref="F574">IFERROR(VLOOKUP(E556,Dex!$B$3:$N1219,13,FALSE),"")</f>
        <v>85</v>
      </c>
      <c r="G574" s="6937" t="str">
        <f t="array" ref="G574">IFERROR(VLOOKUP(F574,Dex!$P$22:$Q$276,2,FALSE),"")</f>
        <v/>
      </c>
      <c r="H574" s="6938"/>
      <c r="I574" s="6929"/>
      <c r="J574" s="6935" t="s">
        <v>518</v>
      </c>
      <c r="K574" s="6936">
        <f t="array" ref="K574">IFERROR(VLOOKUP(J556,Dex!$B$3:$N1219,13,FALSE),"")</f>
        <v>136</v>
      </c>
      <c r="L574" s="6937" t="str">
        <f t="array" ref="L574">IFERROR(VLOOKUP(K574,Dex!$P$22:$Q$276,2,FALSE),"")</f>
        <v/>
      </c>
      <c r="M574" s="6938"/>
      <c r="N574" s="6919"/>
      <c r="O574" s="6935" t="s">
        <v>518</v>
      </c>
      <c r="P574" s="6936">
        <f t="array" ref="P574">IFERROR(VLOOKUP(O556,Dex!$B$3:$N1219,13,FALSE),"")</f>
        <v>70</v>
      </c>
      <c r="Q574" s="6937" t="str">
        <f t="array" ref="Q574">IFERROR(VLOOKUP(P574,Dex!$P$22:$Q$276,2,FALSE),"")</f>
        <v/>
      </c>
      <c r="R574" s="6938"/>
      <c r="S574" s="6930"/>
      <c r="T574" s="6935" t="s">
        <v>518</v>
      </c>
      <c r="U574" s="6936">
        <f t="array" ref="U574">IFERROR(VLOOKUP(T556,Dex!$B$3:$N1219,13,FALSE),"")</f>
        <v>85</v>
      </c>
      <c r="V574" s="6937" t="str">
        <f t="array" ref="V574">IFERROR(VLOOKUP(U574,Dex!$P$22:$Q$276,2,FALSE),"")</f>
        <v/>
      </c>
      <c r="W574" s="6938"/>
      <c r="X574" s="6865"/>
      <c r="Y574" s="6862"/>
      <c r="Z574" s="6863"/>
      <c r="AA574" s="6863"/>
      <c r="AB574" s="6864"/>
      <c r="AC574" s="6862"/>
      <c r="AD574" s="6863"/>
      <c r="AE574" s="6863"/>
      <c r="AF574" s="6864"/>
      <c r="AG574" s="6865"/>
      <c r="AH574" s="6924"/>
      <c r="AI574" s="6747"/>
    </row>
    <row r="575" ht="16.5" customHeight="1">
      <c r="A575" s="6738"/>
      <c r="B575" s="6918"/>
      <c r="C575" s="6911"/>
      <c r="D575" s="6922"/>
      <c r="E575" s="6939" t="s">
        <v>519</v>
      </c>
      <c r="F575" s="630"/>
      <c r="G575" s="631"/>
      <c r="H575" s="6940">
        <v>226.0</v>
      </c>
      <c r="I575" s="6921"/>
      <c r="J575" s="6953" t="s">
        <v>519</v>
      </c>
      <c r="K575" s="635"/>
      <c r="L575" s="636"/>
      <c r="M575" s="6954">
        <v>331.0</v>
      </c>
      <c r="N575" s="6922"/>
      <c r="O575" s="6939" t="s">
        <v>519</v>
      </c>
      <c r="P575" s="630"/>
      <c r="Q575" s="631"/>
      <c r="R575" s="6940">
        <v>191.0</v>
      </c>
      <c r="S575" s="7098"/>
      <c r="T575" s="6939" t="s">
        <v>519</v>
      </c>
      <c r="U575" s="630"/>
      <c r="V575" s="631"/>
      <c r="W575" s="6940">
        <v>206.0</v>
      </c>
      <c r="X575" s="6865"/>
      <c r="Y575" s="6862"/>
      <c r="Z575" s="6863"/>
      <c r="AA575" s="6863"/>
      <c r="AB575" s="6864"/>
      <c r="AC575" s="6862"/>
      <c r="AD575" s="6863"/>
      <c r="AE575" s="6863"/>
      <c r="AF575" s="6864"/>
      <c r="AG575" s="6865"/>
      <c r="AH575" s="6924"/>
      <c r="AI575" s="6747"/>
    </row>
    <row r="576" ht="16.5" customHeight="1">
      <c r="A576" s="6738"/>
      <c r="B576" s="6955"/>
      <c r="C576" s="6956"/>
      <c r="D576" s="6957"/>
      <c r="E576" s="6958"/>
      <c r="F576" s="6958"/>
      <c r="G576" s="6958"/>
      <c r="H576" s="6911"/>
      <c r="I576" s="7099"/>
      <c r="J576" s="6961" t="s">
        <v>555</v>
      </c>
      <c r="K576" s="643"/>
      <c r="L576" s="644"/>
      <c r="M576" s="6787">
        <f>M575*2</f>
        <v>662</v>
      </c>
      <c r="N576" s="6957"/>
      <c r="O576" s="6958"/>
      <c r="P576" s="6958"/>
      <c r="Q576" s="6958"/>
      <c r="R576" s="6911"/>
      <c r="S576" s="7100"/>
      <c r="T576" s="6958"/>
      <c r="U576" s="6958"/>
      <c r="V576" s="6958"/>
      <c r="W576" s="6911"/>
      <c r="X576" s="6963"/>
      <c r="Y576" s="6963"/>
      <c r="Z576" s="6963"/>
      <c r="AA576" s="6963"/>
      <c r="AB576" s="6963"/>
      <c r="AC576" s="6963"/>
      <c r="AD576" s="6963"/>
      <c r="AE576" s="6963"/>
      <c r="AF576" s="6963"/>
      <c r="AG576" s="6963"/>
      <c r="AH576" s="6964"/>
      <c r="AI576" s="6747"/>
    </row>
    <row r="577" ht="15.0" customHeight="1">
      <c r="A577" s="6676"/>
      <c r="B577" s="6941"/>
      <c r="C577" s="6942"/>
      <c r="D577" s="6943"/>
      <c r="E577" s="6944"/>
      <c r="F577" s="6944"/>
      <c r="G577" s="6944"/>
      <c r="H577" s="6944"/>
      <c r="I577" s="6945"/>
      <c r="J577" s="6946"/>
      <c r="K577" s="6946"/>
      <c r="L577" s="6946"/>
      <c r="M577" s="6944"/>
      <c r="N577" s="6945"/>
      <c r="O577" s="6944"/>
      <c r="P577" s="6944"/>
      <c r="Q577" s="6944"/>
      <c r="R577" s="6944"/>
      <c r="S577" s="6943"/>
      <c r="T577" s="7101"/>
      <c r="U577" s="3255"/>
      <c r="V577" s="3255"/>
      <c r="W577" s="7102"/>
      <c r="X577" s="6943"/>
      <c r="Y577" s="6947"/>
      <c r="Z577" s="6948"/>
      <c r="AA577" s="6948"/>
      <c r="AB577" s="6949"/>
      <c r="AC577" s="6943"/>
      <c r="AD577" s="6943"/>
      <c r="AE577" s="6943"/>
      <c r="AF577" s="6943"/>
      <c r="AG577" s="6943"/>
      <c r="AH577" s="6950"/>
      <c r="AI577" s="6680"/>
    </row>
    <row r="578" ht="15.0" customHeight="1">
      <c r="A578" s="6738"/>
      <c r="B578" s="6850"/>
      <c r="C578" s="6851"/>
      <c r="D578" s="6852"/>
      <c r="E578" s="6853"/>
      <c r="F578" s="6853"/>
      <c r="G578" s="6853"/>
      <c r="H578" s="6853"/>
      <c r="I578" s="6854"/>
      <c r="J578" s="6853"/>
      <c r="K578" s="6853"/>
      <c r="L578" s="6853"/>
      <c r="M578" s="6853"/>
      <c r="N578" s="6854"/>
      <c r="O578" s="6853"/>
      <c r="P578" s="6853"/>
      <c r="Q578" s="6853"/>
      <c r="R578" s="6853"/>
      <c r="S578" s="6854"/>
      <c r="T578" s="6853"/>
      <c r="U578" s="6853"/>
      <c r="V578" s="6853"/>
      <c r="W578" s="6853"/>
      <c r="X578" s="6854"/>
      <c r="Y578" s="6852"/>
      <c r="Z578" s="6852"/>
      <c r="AA578" s="6852"/>
      <c r="AB578" s="6852"/>
      <c r="AC578" s="6854"/>
      <c r="AD578" s="6852"/>
      <c r="AE578" s="6852"/>
      <c r="AF578" s="6852"/>
      <c r="AG578" s="6852"/>
      <c r="AH578" s="6855"/>
      <c r="AI578" s="6747"/>
    </row>
    <row r="579" ht="96.75" customHeight="1">
      <c r="A579" s="6738"/>
      <c r="B579" s="6856"/>
      <c r="C579" s="6857" t="str">
        <f>IMAGE("https://i.ibb.co/qNMR4cv/SwimmerF.png")</f>
        <v/>
      </c>
      <c r="D579" s="6858"/>
      <c r="E579" s="6859" t="str">
        <f t="array" ref="E579">IFERROR(VLOOKUP(E580,Dex!$B$3:$G1219,3,FALSE),"")</f>
        <v/>
      </c>
      <c r="F579" s="1945"/>
      <c r="G579" s="1945"/>
      <c r="H579" s="1946"/>
      <c r="I579" s="6860"/>
      <c r="J579" s="6859" t="str">
        <f t="array" ref="J579">IFERROR(VLOOKUP(J580,Dex!$B$3:$G1219,3,FALSE),"")</f>
        <v/>
      </c>
      <c r="K579" s="1945"/>
      <c r="L579" s="1945"/>
      <c r="M579" s="1946"/>
      <c r="N579" s="6860"/>
      <c r="O579" s="6859" t="str">
        <f t="array" ref="O579">IFERROR(VLOOKUP(O580,Dex!$B$3:$G1219,3,FALSE),"")</f>
        <v/>
      </c>
      <c r="P579" s="1945"/>
      <c r="Q579" s="1945"/>
      <c r="R579" s="1946"/>
      <c r="S579" s="6951"/>
      <c r="T579" s="6859" t="str">
        <f t="array" ref="T579">IFERROR(VLOOKUP(T580,Dex!$B$3:$G1219,3,FALSE),"")</f>
        <v/>
      </c>
      <c r="U579" s="1945"/>
      <c r="V579" s="1945"/>
      <c r="W579" s="1946"/>
      <c r="X579" s="6861"/>
      <c r="Y579" s="6862"/>
      <c r="Z579" s="6863"/>
      <c r="AA579" s="6863"/>
      <c r="AB579" s="6864"/>
      <c r="AC579" s="6865"/>
      <c r="AD579" s="6862"/>
      <c r="AE579" s="6863"/>
      <c r="AF579" s="6863"/>
      <c r="AG579" s="6864"/>
      <c r="AH579" s="6866"/>
      <c r="AI579" s="6747"/>
    </row>
    <row r="580" ht="18.75" customHeight="1">
      <c r="A580" s="6691"/>
      <c r="B580" s="6867"/>
      <c r="C580" s="6868" t="s">
        <v>2089</v>
      </c>
      <c r="D580" s="6869"/>
      <c r="E580" s="6870" t="s">
        <v>1183</v>
      </c>
      <c r="F580" s="6871"/>
      <c r="G580" s="6871"/>
      <c r="H580" s="6872"/>
      <c r="I580" s="6860"/>
      <c r="J580" s="6870" t="s">
        <v>1237</v>
      </c>
      <c r="K580" s="6871"/>
      <c r="L580" s="6871"/>
      <c r="M580" s="6872"/>
      <c r="N580" s="6860"/>
      <c r="O580" s="6870" t="s">
        <v>527</v>
      </c>
      <c r="P580" s="6871"/>
      <c r="Q580" s="6871"/>
      <c r="R580" s="6872"/>
      <c r="S580" s="6860"/>
      <c r="T580" s="6870" t="s">
        <v>1504</v>
      </c>
      <c r="U580" s="6871"/>
      <c r="V580" s="6871"/>
      <c r="W580" s="6872"/>
      <c r="X580" s="6873"/>
      <c r="Y580" s="6874"/>
      <c r="Z580" s="6863"/>
      <c r="AA580" s="6863"/>
      <c r="AB580" s="6864"/>
      <c r="AC580" s="6875"/>
      <c r="AD580" s="6874"/>
      <c r="AE580" s="6863"/>
      <c r="AF580" s="6863"/>
      <c r="AG580" s="6864"/>
      <c r="AH580" s="6876"/>
      <c r="AI580" s="6699"/>
    </row>
    <row r="581">
      <c r="A581" s="6676"/>
      <c r="B581" s="6856"/>
      <c r="C581" s="1638"/>
      <c r="D581" s="6877"/>
      <c r="E581" s="6878" t="s">
        <v>729</v>
      </c>
      <c r="F581" s="6879"/>
      <c r="G581" s="6879"/>
      <c r="H581" s="6880"/>
      <c r="I581" s="6860"/>
      <c r="J581" s="6878" t="s">
        <v>967</v>
      </c>
      <c r="K581" s="6879"/>
      <c r="L581" s="6879"/>
      <c r="M581" s="6880"/>
      <c r="N581" s="6860"/>
      <c r="O581" s="6878" t="s">
        <v>967</v>
      </c>
      <c r="P581" s="6879"/>
      <c r="Q581" s="6879"/>
      <c r="R581" s="6880"/>
      <c r="S581" s="6951"/>
      <c r="T581" s="6878" t="s">
        <v>729</v>
      </c>
      <c r="U581" s="6879"/>
      <c r="V581" s="6879"/>
      <c r="W581" s="6880"/>
      <c r="X581" s="6861"/>
      <c r="Y581" s="6862"/>
      <c r="Z581" s="6863"/>
      <c r="AA581" s="6863"/>
      <c r="AB581" s="6864"/>
      <c r="AC581" s="6865"/>
      <c r="AD581" s="6862"/>
      <c r="AE581" s="6863"/>
      <c r="AF581" s="6863"/>
      <c r="AG581" s="6864"/>
      <c r="AH581" s="6866"/>
      <c r="AI581" s="6680"/>
    </row>
    <row r="582" ht="25.5" customHeight="1">
      <c r="A582" s="6676"/>
      <c r="B582" s="6856"/>
      <c r="C582" s="1646"/>
      <c r="D582" s="6865"/>
      <c r="E582" s="6881"/>
      <c r="F582" s="6882" t="str">
        <f t="array" ref="F582">IFERROR(VLOOKUP(E580,Dex!$B$3:$H1219,5,FALSE),"")</f>
        <v/>
      </c>
      <c r="G582" s="6883"/>
      <c r="H582" s="6884"/>
      <c r="I582" s="6875"/>
      <c r="J582" s="6881"/>
      <c r="K582" s="6885" t="str">
        <f t="array" ref="K582">IFERROR(VLOOKUP(J580,Dex!$B$3:$H1219,5,FALSE),"")</f>
        <v/>
      </c>
      <c r="L582" s="6886" t="str">
        <f t="array" ref="L582">IFERROR(VLOOKUP(J580,Dex!$B$3:$H1219,7,FALSE),"")</f>
        <v/>
      </c>
      <c r="M582" s="6884"/>
      <c r="N582" s="6875"/>
      <c r="O582" s="6881"/>
      <c r="P582" s="6885" t="str">
        <f t="array" ref="P582">IFERROR(VLOOKUP(O580,Dex!$B$3:$H1219,5,FALSE),"")</f>
        <v/>
      </c>
      <c r="Q582" s="6886" t="str">
        <f t="array" ref="Q582">IFERROR(VLOOKUP(O580,Dex!$B$3:$H1219,7,FALSE),"")</f>
        <v/>
      </c>
      <c r="R582" s="6884"/>
      <c r="S582" s="6865"/>
      <c r="T582" s="6881"/>
      <c r="U582" s="6885" t="str">
        <f t="array" ref="U582">IFERROR(VLOOKUP(T580,Dex!$B$3:$H1219,5,FALSE),"")</f>
        <v/>
      </c>
      <c r="V582" s="6886" t="str">
        <f t="array" ref="V582">IFERROR(VLOOKUP(T580,Dex!$B$3:$H1219,7,FALSE),"")</f>
        <v/>
      </c>
      <c r="W582" s="6884"/>
      <c r="X582" s="6865"/>
      <c r="Y582" s="6862"/>
      <c r="Z582" s="6863"/>
      <c r="AA582" s="6863"/>
      <c r="AB582" s="6864"/>
      <c r="AC582" s="6865"/>
      <c r="AD582" s="6862"/>
      <c r="AE582" s="6863"/>
      <c r="AF582" s="6863"/>
      <c r="AG582" s="6864"/>
      <c r="AH582" s="6866"/>
      <c r="AI582" s="6680"/>
    </row>
    <row r="583" ht="2.25" customHeight="1">
      <c r="A583" s="6676"/>
      <c r="B583" s="6856"/>
      <c r="C583" s="6887"/>
      <c r="D583" s="6865"/>
      <c r="E583" s="6888"/>
      <c r="F583" s="6889"/>
      <c r="G583" s="6889"/>
      <c r="H583" s="6890"/>
      <c r="I583" s="6875"/>
      <c r="J583" s="6888"/>
      <c r="K583" s="6889"/>
      <c r="L583" s="6889"/>
      <c r="M583" s="6890"/>
      <c r="N583" s="6875"/>
      <c r="O583" s="6888"/>
      <c r="P583" s="6889"/>
      <c r="Q583" s="6889"/>
      <c r="R583" s="6890"/>
      <c r="S583" s="6865"/>
      <c r="T583" s="6888"/>
      <c r="U583" s="6889"/>
      <c r="V583" s="6889"/>
      <c r="W583" s="6890"/>
      <c r="X583" s="6865"/>
      <c r="Y583" s="6865"/>
      <c r="Z583" s="6865"/>
      <c r="AA583" s="6865"/>
      <c r="AB583" s="6865"/>
      <c r="AC583" s="6865"/>
      <c r="AD583" s="6865"/>
      <c r="AE583" s="6865"/>
      <c r="AF583" s="6865"/>
      <c r="AG583" s="6865"/>
      <c r="AH583" s="6866"/>
      <c r="AI583" s="6680"/>
    </row>
    <row r="584" ht="20.25" customHeight="1">
      <c r="A584" s="6676"/>
      <c r="B584" s="6856"/>
      <c r="C584" s="6891"/>
      <c r="D584" s="6862"/>
      <c r="E584" s="6892" t="s">
        <v>564</v>
      </c>
      <c r="F584" s="6893"/>
      <c r="G584" s="6893"/>
      <c r="H584" s="6894"/>
      <c r="I584" s="6860"/>
      <c r="J584" s="6892" t="s">
        <v>531</v>
      </c>
      <c r="K584" s="6893"/>
      <c r="L584" s="6893"/>
      <c r="M584" s="6894"/>
      <c r="N584" s="6860"/>
      <c r="O584" s="6892" t="s">
        <v>564</v>
      </c>
      <c r="P584" s="6893"/>
      <c r="Q584" s="6893"/>
      <c r="R584" s="6894"/>
      <c r="S584" s="6951"/>
      <c r="T584" s="6892" t="s">
        <v>564</v>
      </c>
      <c r="U584" s="6893"/>
      <c r="V584" s="6893"/>
      <c r="W584" s="6894"/>
      <c r="X584" s="6861"/>
      <c r="Y584" s="6862"/>
      <c r="Z584" s="6863"/>
      <c r="AA584" s="6863"/>
      <c r="AB584" s="6864"/>
      <c r="AC584" s="6865"/>
      <c r="AD584" s="6862"/>
      <c r="AE584" s="6863"/>
      <c r="AF584" s="6863"/>
      <c r="AG584" s="6864"/>
      <c r="AH584" s="6866"/>
      <c r="AI584" s="6680"/>
    </row>
    <row r="585" ht="20.25" customHeight="1">
      <c r="A585" s="6676"/>
      <c r="B585" s="6856"/>
      <c r="C585" s="6891"/>
      <c r="D585" s="6862"/>
      <c r="E585" s="6895" t="s">
        <v>1172</v>
      </c>
      <c r="F585" s="6863"/>
      <c r="G585" s="6863"/>
      <c r="H585" s="6896"/>
      <c r="I585" s="6860"/>
      <c r="J585" s="6895" t="s">
        <v>84</v>
      </c>
      <c r="K585" s="6863"/>
      <c r="L585" s="6863"/>
      <c r="M585" s="6896"/>
      <c r="N585" s="6860"/>
      <c r="O585" s="6895" t="s">
        <v>1748</v>
      </c>
      <c r="P585" s="6863"/>
      <c r="Q585" s="6863"/>
      <c r="R585" s="6896"/>
      <c r="S585" s="6951"/>
      <c r="T585" s="6895" t="s">
        <v>84</v>
      </c>
      <c r="U585" s="6863"/>
      <c r="V585" s="6863"/>
      <c r="W585" s="6896"/>
      <c r="X585" s="6861"/>
      <c r="Y585" s="6862"/>
      <c r="Z585" s="6863"/>
      <c r="AA585" s="6863"/>
      <c r="AB585" s="6864"/>
      <c r="AC585" s="6865"/>
      <c r="AD585" s="6862"/>
      <c r="AE585" s="6863"/>
      <c r="AF585" s="6863"/>
      <c r="AG585" s="6864"/>
      <c r="AH585" s="6866"/>
      <c r="AI585" s="6680"/>
    </row>
    <row r="586" ht="20.25" customHeight="1">
      <c r="A586" s="6676"/>
      <c r="B586" s="6856"/>
      <c r="C586" s="6891"/>
      <c r="D586" s="6862"/>
      <c r="E586" s="6897" t="s">
        <v>1173</v>
      </c>
      <c r="F586" s="6898"/>
      <c r="G586" s="6899"/>
      <c r="H586" s="6900" t="str">
        <f>IMAGE("https://raw.githubusercontent.com/msikma/pokesprite/master/items/hold-item/scope-lens.png",3)</f>
        <v/>
      </c>
      <c r="I586" s="6874"/>
      <c r="J586" s="6897" t="s">
        <v>1230</v>
      </c>
      <c r="K586" s="6898"/>
      <c r="L586" s="6899"/>
      <c r="M586" s="6900" t="str">
        <f>IMAGE("https://raw.githubusercontent.com/msikma/pokesprite/master/items/hold-item/choice-specs.png",3)</f>
        <v/>
      </c>
      <c r="N586" s="6874"/>
      <c r="O586" s="6897" t="s">
        <v>541</v>
      </c>
      <c r="P586" s="6898"/>
      <c r="Q586" s="6899"/>
      <c r="R586" s="6900" t="str">
        <f>IMAGE("https://raw.githubusercontent.com/msikma/pokesprite/master/items/hold-item/life-orb.png",3)</f>
        <v/>
      </c>
      <c r="S586" s="6862"/>
      <c r="T586" s="6897" t="s">
        <v>541</v>
      </c>
      <c r="U586" s="6898"/>
      <c r="V586" s="6899"/>
      <c r="W586" s="6900" t="str">
        <f>IMAGE("https://raw.githubusercontent.com/msikma/pokesprite/master/items/hold-item/life-orb.png",3)</f>
        <v/>
      </c>
      <c r="X586" s="6865"/>
      <c r="Y586" s="6862"/>
      <c r="Z586" s="6863"/>
      <c r="AA586" s="6863"/>
      <c r="AB586" s="6864"/>
      <c r="AC586" s="6865"/>
      <c r="AD586" s="6862"/>
      <c r="AE586" s="6863"/>
      <c r="AF586" s="6863"/>
      <c r="AG586" s="6864"/>
      <c r="AH586" s="6866"/>
      <c r="AI586" s="6680"/>
    </row>
    <row r="587" ht="20.25" customHeight="1">
      <c r="A587" s="6676"/>
      <c r="B587" s="6856"/>
      <c r="C587" s="6901"/>
      <c r="D587" s="6862"/>
      <c r="E587" s="6892" t="s">
        <v>1190</v>
      </c>
      <c r="F587" s="6893"/>
      <c r="G587" s="6902"/>
      <c r="H587" s="6903" t="str">
        <f>IMAGE("https://raw.githubusercontent.com/msikma/pokesprite/master/misc/types/gen8/water.png",4,20,20)</f>
        <v/>
      </c>
      <c r="I587" s="6874"/>
      <c r="J587" s="6892" t="s">
        <v>617</v>
      </c>
      <c r="K587" s="6893"/>
      <c r="L587" s="6902"/>
      <c r="M587" s="6903" t="str">
        <f>IMAGE("https://raw.githubusercontent.com/msikma/pokesprite/master/misc/types/gen8/dragon.png",4,20,20)</f>
        <v/>
      </c>
      <c r="N587" s="6874"/>
      <c r="O587" s="6892" t="s">
        <v>649</v>
      </c>
      <c r="P587" s="6893"/>
      <c r="Q587" s="6902"/>
      <c r="R587" s="6903" t="str">
        <f>IMAGE("https://raw.githubusercontent.com/msikma/pokesprite/master/misc/types/gen8/water.png",4,20,20)</f>
        <v/>
      </c>
      <c r="S587" s="6862"/>
      <c r="T587" s="6892" t="s">
        <v>649</v>
      </c>
      <c r="U587" s="6893"/>
      <c r="V587" s="6902"/>
      <c r="W587" s="6903" t="str">
        <f>IMAGE("https://raw.githubusercontent.com/msikma/pokesprite/master/misc/types/gen8/water.png",4,20,20)</f>
        <v/>
      </c>
      <c r="X587" s="6865"/>
      <c r="Y587" s="6862"/>
      <c r="Z587" s="6863"/>
      <c r="AA587" s="6863"/>
      <c r="AB587" s="6864"/>
      <c r="AC587" s="6865"/>
      <c r="AD587" s="6862"/>
      <c r="AE587" s="6863"/>
      <c r="AF587" s="6863"/>
      <c r="AG587" s="6864"/>
      <c r="AH587" s="6866"/>
      <c r="AI587" s="6680"/>
    </row>
    <row r="588" ht="20.25" customHeight="1">
      <c r="A588" s="6676"/>
      <c r="B588" s="6856"/>
      <c r="C588" s="6904"/>
      <c r="D588" s="6862"/>
      <c r="E588" s="6895" t="s">
        <v>670</v>
      </c>
      <c r="F588" s="6863"/>
      <c r="G588" s="6864"/>
      <c r="H588" s="6905" t="str">
        <f>IMAGE("https://raw.githubusercontent.com/msikma/pokesprite/master/misc/types/gen8/ice.png",4,20,20)</f>
        <v/>
      </c>
      <c r="I588" s="6874"/>
      <c r="J588" s="6895" t="s">
        <v>773</v>
      </c>
      <c r="K588" s="6863"/>
      <c r="L588" s="6864"/>
      <c r="M588" s="6905" t="str">
        <f>IMAGE("https://raw.githubusercontent.com/msikma/pokesprite/master/misc/types/gen8/poison.png",4,20,20)</f>
        <v/>
      </c>
      <c r="N588" s="6860"/>
      <c r="O588" s="6895" t="s">
        <v>844</v>
      </c>
      <c r="P588" s="6863"/>
      <c r="Q588" s="6864"/>
      <c r="R588" s="6905" t="str">
        <f>IMAGE("https://raw.githubusercontent.com/msikma/pokesprite/master/misc/types/gen8/electric.png",4,20,20)</f>
        <v/>
      </c>
      <c r="S588" s="6862"/>
      <c r="T588" s="6895" t="s">
        <v>647</v>
      </c>
      <c r="U588" s="6863"/>
      <c r="V588" s="6864"/>
      <c r="W588" s="6905" t="str">
        <f>IMAGE("https://raw.githubusercontent.com/msikma/pokesprite/master/misc/types/gen8/ghost.png",4,20,20)</f>
        <v/>
      </c>
      <c r="X588" s="6865"/>
      <c r="Y588" s="6862"/>
      <c r="Z588" s="6863"/>
      <c r="AA588" s="6863"/>
      <c r="AB588" s="6864"/>
      <c r="AC588" s="6865"/>
      <c r="AD588" s="6862"/>
      <c r="AE588" s="6863"/>
      <c r="AF588" s="6863"/>
      <c r="AG588" s="6864"/>
      <c r="AH588" s="6866"/>
      <c r="AI588" s="6680"/>
    </row>
    <row r="589" ht="20.25" customHeight="1">
      <c r="A589" s="6676"/>
      <c r="B589" s="6856"/>
      <c r="C589" s="6904"/>
      <c r="D589" s="6862"/>
      <c r="E589" s="6895" t="s">
        <v>612</v>
      </c>
      <c r="F589" s="6863"/>
      <c r="G589" s="6864"/>
      <c r="H589" s="6905" t="str">
        <f>IMAGE("https://raw.githubusercontent.com/msikma/pokesprite/master/misc/types/gen8/bug.png",4,20,20)</f>
        <v/>
      </c>
      <c r="I589" s="6874"/>
      <c r="J589" s="6895" t="s">
        <v>542</v>
      </c>
      <c r="K589" s="6863"/>
      <c r="L589" s="6864"/>
      <c r="M589" s="6905" t="str">
        <f t="shared" ref="M589:M590" si="23">IMAGE("https://raw.githubusercontent.com/msikma/pokesprite/master/misc/types/gen8/water.png",4,20,20)</f>
        <v/>
      </c>
      <c r="N589" s="6860"/>
      <c r="O589" s="6895" t="s">
        <v>582</v>
      </c>
      <c r="P589" s="6863"/>
      <c r="Q589" s="6864"/>
      <c r="R589" s="6905" t="str">
        <f>IMAGE("https://raw.githubusercontent.com/msikma/pokesprite/master/misc/types/gen8/ice.png",4,20,20)</f>
        <v/>
      </c>
      <c r="S589" s="6862"/>
      <c r="T589" s="6895" t="s">
        <v>670</v>
      </c>
      <c r="U589" s="6863"/>
      <c r="V589" s="6864"/>
      <c r="W589" s="6905" t="str">
        <f>IMAGE("https://raw.githubusercontent.com/msikma/pokesprite/master/misc/types/gen8/ice.png",4,20,20)</f>
        <v/>
      </c>
      <c r="X589" s="6865"/>
      <c r="Y589" s="6862"/>
      <c r="Z589" s="6863"/>
      <c r="AA589" s="6863"/>
      <c r="AB589" s="6864"/>
      <c r="AC589" s="6865"/>
      <c r="AD589" s="6862"/>
      <c r="AE589" s="6863"/>
      <c r="AF589" s="6863"/>
      <c r="AG589" s="6864"/>
      <c r="AH589" s="6866"/>
      <c r="AI589" s="6680"/>
    </row>
    <row r="590" ht="21.0" customHeight="1">
      <c r="A590" s="6676"/>
      <c r="B590" s="6856"/>
      <c r="C590" s="6904"/>
      <c r="D590" s="6862"/>
      <c r="E590" s="6906" t="s">
        <v>553</v>
      </c>
      <c r="F590" s="6907"/>
      <c r="G590" s="6908"/>
      <c r="H590" s="6909" t="str">
        <f>IMAGE("https://raw.githubusercontent.com/msikma/pokesprite/master/misc/types/gen8/grass.png",4,20,20)</f>
        <v/>
      </c>
      <c r="I590" s="6874"/>
      <c r="J590" s="6906" t="s">
        <v>544</v>
      </c>
      <c r="K590" s="6907"/>
      <c r="L590" s="6908"/>
      <c r="M590" s="6909" t="str">
        <f t="shared" si="23"/>
        <v/>
      </c>
      <c r="N590" s="6860"/>
      <c r="O590" s="6906" t="s">
        <v>552</v>
      </c>
      <c r="P590" s="6907"/>
      <c r="Q590" s="6908"/>
      <c r="R590" s="6909" t="str">
        <f>IMAGE("https://raw.githubusercontent.com/msikma/pokesprite/master/misc/types/gen8/psychic.png",4,20,20)</f>
        <v/>
      </c>
      <c r="S590" s="6862"/>
      <c r="T590" s="6906" t="s">
        <v>542</v>
      </c>
      <c r="U590" s="6907"/>
      <c r="V590" s="6908"/>
      <c r="W590" s="6909" t="str">
        <f>IMAGE("https://raw.githubusercontent.com/msikma/pokesprite/master/misc/types/gen8/water.png",4,20,20)</f>
        <v/>
      </c>
      <c r="X590" s="6865"/>
      <c r="Y590" s="6862"/>
      <c r="Z590" s="6863"/>
      <c r="AA590" s="6863"/>
      <c r="AB590" s="6864"/>
      <c r="AC590" s="6865"/>
      <c r="AD590" s="6862"/>
      <c r="AE590" s="6863"/>
      <c r="AF590" s="6863"/>
      <c r="AG590" s="6864"/>
      <c r="AH590" s="6866"/>
      <c r="AI590" s="6680"/>
    </row>
    <row r="591" ht="3.0" customHeight="1">
      <c r="A591" s="6738"/>
      <c r="B591" s="6910"/>
      <c r="C591" s="6911"/>
      <c r="D591" s="6912"/>
      <c r="E591" s="6915"/>
      <c r="F591" s="6915"/>
      <c r="G591" s="6915"/>
      <c r="H591" s="6914"/>
      <c r="I591" s="6912"/>
      <c r="J591" s="6915"/>
      <c r="K591" s="6915"/>
      <c r="L591" s="6915"/>
      <c r="M591" s="6913"/>
      <c r="N591" s="6912"/>
      <c r="O591" s="6915"/>
      <c r="P591" s="6915"/>
      <c r="Q591" s="6915"/>
      <c r="R591" s="6914"/>
      <c r="S591" s="6914"/>
      <c r="T591" s="6915"/>
      <c r="U591" s="6915"/>
      <c r="V591" s="6915"/>
      <c r="W591" s="6914"/>
      <c r="X591" s="6912"/>
      <c r="Y591" s="6914"/>
      <c r="Z591" s="6914"/>
      <c r="AA591" s="6914"/>
      <c r="AB591" s="6914"/>
      <c r="AC591" s="6916"/>
      <c r="AD591" s="6914"/>
      <c r="AE591" s="6914"/>
      <c r="AF591" s="6914"/>
      <c r="AG591" s="6914"/>
      <c r="AH591" s="6917"/>
      <c r="AI591" s="6747"/>
    </row>
    <row r="592" ht="16.5" customHeight="1">
      <c r="A592" s="6738"/>
      <c r="B592" s="6918"/>
      <c r="C592" s="6911"/>
      <c r="D592" s="6922"/>
      <c r="E592" s="6920" t="s">
        <v>512</v>
      </c>
      <c r="F592" s="606"/>
      <c r="G592" s="606"/>
      <c r="H592" s="607"/>
      <c r="I592" s="6921"/>
      <c r="J592" s="6920" t="s">
        <v>512</v>
      </c>
      <c r="K592" s="606"/>
      <c r="L592" s="606"/>
      <c r="M592" s="607"/>
      <c r="N592" s="6922"/>
      <c r="O592" s="6920" t="s">
        <v>512</v>
      </c>
      <c r="P592" s="606"/>
      <c r="Q592" s="606"/>
      <c r="R592" s="607"/>
      <c r="S592" s="6952"/>
      <c r="T592" s="6920" t="s">
        <v>512</v>
      </c>
      <c r="U592" s="606"/>
      <c r="V592" s="606"/>
      <c r="W592" s="607"/>
      <c r="X592" s="6865"/>
      <c r="Y592" s="6865"/>
      <c r="Z592" s="6865"/>
      <c r="AA592" s="6865"/>
      <c r="AB592" s="6865"/>
      <c r="AC592" s="6865"/>
      <c r="AD592" s="6865"/>
      <c r="AE592" s="6865"/>
      <c r="AF592" s="6865"/>
      <c r="AG592" s="6923"/>
      <c r="AH592" s="6924"/>
      <c r="AI592" s="6747"/>
    </row>
    <row r="593" ht="16.5" customHeight="1">
      <c r="A593" s="6738"/>
      <c r="B593" s="6918"/>
      <c r="C593" s="6911"/>
      <c r="D593" s="6919"/>
      <c r="E593" s="6925" t="s">
        <v>513</v>
      </c>
      <c r="F593" s="6926">
        <f t="array" ref="F593">IFERROR(VLOOKUP(E580,Dex!$B$3:$N1219,8,FALSE),"")</f>
        <v>70</v>
      </c>
      <c r="G593" s="6927" t="str">
        <f t="array" ref="G593">IFERROR(VLOOKUP(F593,Dex!$P$22:$Q$276,2,FALSE),"")</f>
        <v/>
      </c>
      <c r="H593" s="6928"/>
      <c r="I593" s="6929"/>
      <c r="J593" s="6925" t="s">
        <v>513</v>
      </c>
      <c r="K593" s="6926">
        <f t="array" ref="K593">IFERROR(VLOOKUP(J580,Dex!$B$3:$N1219,8,FALSE),"")</f>
        <v>65</v>
      </c>
      <c r="L593" s="6927" t="str">
        <f t="array" ref="L593">IFERROR(VLOOKUP(K593,Dex!$P$22:$Q$276,2,FALSE),"")</f>
        <v/>
      </c>
      <c r="M593" s="6928"/>
      <c r="N593" s="6919"/>
      <c r="O593" s="6925" t="s">
        <v>513</v>
      </c>
      <c r="P593" s="6926">
        <f t="array" ref="P593">IFERROR(VLOOKUP(O580,Dex!$B$3:$N1219,8,FALSE),"")</f>
        <v>60</v>
      </c>
      <c r="Q593" s="6927" t="str">
        <f t="array" ref="Q593">IFERROR(VLOOKUP(P593,Dex!$P$22:$Q$276,2,FALSE),"")</f>
        <v/>
      </c>
      <c r="R593" s="6928"/>
      <c r="S593" s="6930"/>
      <c r="T593" s="6925" t="s">
        <v>513</v>
      </c>
      <c r="U593" s="6926">
        <f t="array" ref="U593">IFERROR(VLOOKUP(T580,Dex!$B$3:$N1219,8,FALSE),"")</f>
        <v>120</v>
      </c>
      <c r="V593" s="6927" t="str">
        <f t="array" ref="V593">IFERROR(VLOOKUP(U593,Dex!$P$22:$Q$276,2,FALSE),"")</f>
        <v/>
      </c>
      <c r="W593" s="6928"/>
      <c r="X593" s="6865"/>
      <c r="Y593" s="6865"/>
      <c r="Z593" s="6865"/>
      <c r="AA593" s="6865"/>
      <c r="AB593" s="6865"/>
      <c r="AC593" s="6865"/>
      <c r="AD593" s="6865"/>
      <c r="AE593" s="6865"/>
      <c r="AF593" s="6865"/>
      <c r="AG593" s="6923"/>
      <c r="AH593" s="6924"/>
      <c r="AI593" s="6747"/>
    </row>
    <row r="594" ht="16.5" customHeight="1">
      <c r="A594" s="6738"/>
      <c r="B594" s="6918"/>
      <c r="C594" s="6911"/>
      <c r="D594" s="6919"/>
      <c r="E594" s="6931" t="s">
        <v>514</v>
      </c>
      <c r="F594" s="6932">
        <f t="array" ref="F594">IFERROR(VLOOKUP(E580,Dex!$B$3:$N1219,9,FALSE),"")</f>
        <v>85</v>
      </c>
      <c r="G594" s="6933" t="str">
        <f t="array" ref="G594">IFERROR(VLOOKUP(F594,Dex!$P$22:$Q$276,2,FALSE),"")</f>
        <v/>
      </c>
      <c r="H594" s="6934"/>
      <c r="I594" s="6929"/>
      <c r="J594" s="6931" t="s">
        <v>514</v>
      </c>
      <c r="K594" s="6932">
        <f t="array" ref="K594">IFERROR(VLOOKUP(J580,Dex!$B$3:$N1219,9,FALSE),"")</f>
        <v>75</v>
      </c>
      <c r="L594" s="6933" t="str">
        <f t="array" ref="L594">IFERROR(VLOOKUP(K594,Dex!$P$22:$Q$276,2,FALSE),"")</f>
        <v/>
      </c>
      <c r="M594" s="6934"/>
      <c r="N594" s="6919"/>
      <c r="O594" s="6931" t="s">
        <v>514</v>
      </c>
      <c r="P594" s="6932">
        <f t="array" ref="P594">IFERROR(VLOOKUP(O580,Dex!$B$3:$N1219,9,FALSE),"")</f>
        <v>75</v>
      </c>
      <c r="Q594" s="6933" t="str">
        <f t="array" ref="Q594">IFERROR(VLOOKUP(P594,Dex!$P$22:$Q$276,2,FALSE),"")</f>
        <v/>
      </c>
      <c r="R594" s="6934"/>
      <c r="S594" s="6930"/>
      <c r="T594" s="6931" t="s">
        <v>514</v>
      </c>
      <c r="U594" s="6932">
        <f t="array" ref="U594">IFERROR(VLOOKUP(T580,Dex!$B$3:$N1219,9,FALSE),"")</f>
        <v>92</v>
      </c>
      <c r="V594" s="6933" t="str">
        <f t="array" ref="V594">IFERROR(VLOOKUP(U594,Dex!$P$22:$Q$276,2,FALSE),"")</f>
        <v/>
      </c>
      <c r="W594" s="6934"/>
      <c r="X594" s="6862"/>
      <c r="Y594" s="6863"/>
      <c r="Z594" s="6863"/>
      <c r="AA594" s="6864"/>
      <c r="AB594" s="6865"/>
      <c r="AC594" s="6862"/>
      <c r="AD594" s="6863"/>
      <c r="AE594" s="6863"/>
      <c r="AF594" s="6864"/>
      <c r="AG594" s="6923"/>
      <c r="AH594" s="6924"/>
      <c r="AI594" s="6747"/>
    </row>
    <row r="595" ht="16.5" customHeight="1">
      <c r="A595" s="6738"/>
      <c r="B595" s="6918"/>
      <c r="C595" s="6911"/>
      <c r="D595" s="6919"/>
      <c r="E595" s="6931" t="s">
        <v>515</v>
      </c>
      <c r="F595" s="6932">
        <f t="array" ref="F595">IFERROR(VLOOKUP(E580,Dex!$B$3:$N1219,10,FALSE),"")</f>
        <v>65</v>
      </c>
      <c r="G595" s="6933" t="str">
        <f t="array" ref="G595">IFERROR(VLOOKUP(F595,Dex!$P$22:$Q$276,2,FALSE),"")</f>
        <v/>
      </c>
      <c r="H595" s="6934"/>
      <c r="I595" s="6929"/>
      <c r="J595" s="6931" t="s">
        <v>515</v>
      </c>
      <c r="K595" s="6932">
        <f t="array" ref="K595">IFERROR(VLOOKUP(J580,Dex!$B$3:$N1219,10,FALSE),"")</f>
        <v>90</v>
      </c>
      <c r="L595" s="6933" t="str">
        <f t="array" ref="L595">IFERROR(VLOOKUP(K595,Dex!$P$22:$Q$276,2,FALSE),"")</f>
        <v/>
      </c>
      <c r="M595" s="6934"/>
      <c r="N595" s="6919"/>
      <c r="O595" s="6931" t="s">
        <v>515</v>
      </c>
      <c r="P595" s="6932">
        <f t="array" ref="P595">IFERROR(VLOOKUP(O580,Dex!$B$3:$N1219,10,FALSE),"")</f>
        <v>85</v>
      </c>
      <c r="Q595" s="6933" t="str">
        <f t="array" ref="Q595">IFERROR(VLOOKUP(P595,Dex!$P$22:$Q$276,2,FALSE),"")</f>
        <v/>
      </c>
      <c r="R595" s="6934"/>
      <c r="S595" s="6930"/>
      <c r="T595" s="6931" t="s">
        <v>515</v>
      </c>
      <c r="U595" s="6932">
        <f t="array" ref="U595">IFERROR(VLOOKUP(T580,Dex!$B$3:$N1219,10,FALSE),"")</f>
        <v>65</v>
      </c>
      <c r="V595" s="6933" t="str">
        <f t="array" ref="V595">IFERROR(VLOOKUP(U595,Dex!$P$22:$Q$276,2,FALSE),"")</f>
        <v/>
      </c>
      <c r="W595" s="6934"/>
      <c r="X595" s="6862"/>
      <c r="Y595" s="6863"/>
      <c r="Z595" s="6863"/>
      <c r="AA595" s="6864"/>
      <c r="AB595" s="6865"/>
      <c r="AC595" s="6862"/>
      <c r="AD595" s="6863"/>
      <c r="AE595" s="6863"/>
      <c r="AF595" s="6864"/>
      <c r="AG595" s="6923"/>
      <c r="AH595" s="6924"/>
      <c r="AI595" s="6747"/>
    </row>
    <row r="596" ht="16.5" customHeight="1">
      <c r="A596" s="6738"/>
      <c r="B596" s="6918"/>
      <c r="C596" s="6911"/>
      <c r="D596" s="6919"/>
      <c r="E596" s="6931" t="s">
        <v>516</v>
      </c>
      <c r="F596" s="6932">
        <f t="array" ref="F596">IFERROR(VLOOKUP(E580,Dex!$B$3:$N1219,11,FALSE),"")</f>
        <v>125</v>
      </c>
      <c r="G596" s="6933" t="str">
        <f t="array" ref="G596">IFERROR(VLOOKUP(F596,Dex!$P$22:$Q$276,2,FALSE),"")</f>
        <v/>
      </c>
      <c r="H596" s="6934"/>
      <c r="I596" s="6929"/>
      <c r="J596" s="6931" t="s">
        <v>516</v>
      </c>
      <c r="K596" s="6932">
        <f t="array" ref="K596">IFERROR(VLOOKUP(J580,Dex!$B$3:$N1219,11,FALSE),"")</f>
        <v>97</v>
      </c>
      <c r="L596" s="6933" t="str">
        <f t="array" ref="L596">IFERROR(VLOOKUP(K596,Dex!$P$22:$Q$276,2,FALSE),"")</f>
        <v/>
      </c>
      <c r="M596" s="6934"/>
      <c r="N596" s="6919"/>
      <c r="O596" s="6931" t="s">
        <v>516</v>
      </c>
      <c r="P596" s="6932">
        <f t="array" ref="P596">IFERROR(VLOOKUP(O580,Dex!$B$3:$N1219,11,FALSE),"")</f>
        <v>100</v>
      </c>
      <c r="Q596" s="6933" t="str">
        <f t="array" ref="Q596">IFERROR(VLOOKUP(P596,Dex!$P$22:$Q$276,2,FALSE),"")</f>
        <v/>
      </c>
      <c r="R596" s="6934"/>
      <c r="S596" s="6930"/>
      <c r="T596" s="6931" t="s">
        <v>516</v>
      </c>
      <c r="U596" s="6932">
        <f t="array" ref="U596">IFERROR(VLOOKUP(T580,Dex!$B$3:$N1219,11,FALSE),"")</f>
        <v>100</v>
      </c>
      <c r="V596" s="6933" t="str">
        <f t="array" ref="V596">IFERROR(VLOOKUP(U596,Dex!$P$22:$Q$276,2,FALSE),"")</f>
        <v/>
      </c>
      <c r="W596" s="6934"/>
      <c r="X596" s="6865"/>
      <c r="Y596" s="6865"/>
      <c r="Z596" s="6865"/>
      <c r="AA596" s="6865"/>
      <c r="AB596" s="6865"/>
      <c r="AC596" s="6862"/>
      <c r="AD596" s="6863"/>
      <c r="AE596" s="6863"/>
      <c r="AF596" s="6864"/>
      <c r="AG596" s="6923"/>
      <c r="AH596" s="6924"/>
      <c r="AI596" s="6747"/>
    </row>
    <row r="597" ht="16.5" customHeight="1">
      <c r="A597" s="6738"/>
      <c r="B597" s="6918"/>
      <c r="C597" s="6911"/>
      <c r="D597" s="6919"/>
      <c r="E597" s="6931" t="s">
        <v>517</v>
      </c>
      <c r="F597" s="6932">
        <f t="array" ref="F597">IFERROR(VLOOKUP(E580,Dex!$B$3:$N1219,12,FALSE),"")</f>
        <v>65</v>
      </c>
      <c r="G597" s="6933" t="str">
        <f t="array" ref="G597">IFERROR(VLOOKUP(F597,Dex!$P$22:$Q$276,2,FALSE),"")</f>
        <v/>
      </c>
      <c r="H597" s="6934"/>
      <c r="I597" s="6929"/>
      <c r="J597" s="6931" t="s">
        <v>517</v>
      </c>
      <c r="K597" s="6932">
        <f t="array" ref="K597">IFERROR(VLOOKUP(J580,Dex!$B$3:$N1219,12,FALSE),"")</f>
        <v>123</v>
      </c>
      <c r="L597" s="6933" t="str">
        <f t="array" ref="L597">IFERROR(VLOOKUP(K597,Dex!$P$22:$Q$276,2,FALSE),"")</f>
        <v/>
      </c>
      <c r="M597" s="6934"/>
      <c r="N597" s="6919"/>
      <c r="O597" s="6931" t="s">
        <v>517</v>
      </c>
      <c r="P597" s="6932">
        <f t="array" ref="P597">IFERROR(VLOOKUP(O580,Dex!$B$3:$N1219,12,FALSE),"")</f>
        <v>85</v>
      </c>
      <c r="Q597" s="6933" t="str">
        <f t="array" ref="Q597">IFERROR(VLOOKUP(P597,Dex!$P$22:$Q$276,2,FALSE),"")</f>
        <v/>
      </c>
      <c r="R597" s="6934"/>
      <c r="S597" s="6930"/>
      <c r="T597" s="6931" t="s">
        <v>517</v>
      </c>
      <c r="U597" s="6932">
        <f t="array" ref="U597">IFERROR(VLOOKUP(T580,Dex!$B$3:$N1219,12,FALSE),"")</f>
        <v>75</v>
      </c>
      <c r="V597" s="6933" t="str">
        <f t="array" ref="V597">IFERROR(VLOOKUP(U597,Dex!$P$22:$Q$276,2,FALSE),"")</f>
        <v/>
      </c>
      <c r="W597" s="6934"/>
      <c r="X597" s="6865"/>
      <c r="Y597" s="6865"/>
      <c r="Z597" s="6865"/>
      <c r="AA597" s="6865"/>
      <c r="AB597" s="6865"/>
      <c r="AC597" s="6862"/>
      <c r="AD597" s="6863"/>
      <c r="AE597" s="6863"/>
      <c r="AF597" s="6864"/>
      <c r="AG597" s="6923"/>
      <c r="AH597" s="6924"/>
      <c r="AI597" s="6747"/>
    </row>
    <row r="598" ht="16.5" customHeight="1">
      <c r="A598" s="6738"/>
      <c r="B598" s="6918"/>
      <c r="C598" s="6911"/>
      <c r="D598" s="6919"/>
      <c r="E598" s="6935" t="s">
        <v>518</v>
      </c>
      <c r="F598" s="6936">
        <f t="array" ref="F598">IFERROR(VLOOKUP(E580,Dex!$B$3:$N1219,13,FALSE),"")</f>
        <v>120</v>
      </c>
      <c r="G598" s="6937" t="str">
        <f t="array" ref="G598">IFERROR(VLOOKUP(F598,Dex!$P$22:$Q$276,2,FALSE),"")</f>
        <v/>
      </c>
      <c r="H598" s="6938"/>
      <c r="I598" s="6929"/>
      <c r="J598" s="6935" t="s">
        <v>518</v>
      </c>
      <c r="K598" s="6936">
        <f t="array" ref="K598">IFERROR(VLOOKUP(J580,Dex!$B$3:$N1219,13,FALSE),"")</f>
        <v>44</v>
      </c>
      <c r="L598" s="6937" t="str">
        <f t="array" ref="L598">IFERROR(VLOOKUP(K598,Dex!$P$22:$Q$276,2,FALSE),"")</f>
        <v/>
      </c>
      <c r="M598" s="6938"/>
      <c r="N598" s="6919"/>
      <c r="O598" s="6935" t="s">
        <v>518</v>
      </c>
      <c r="P598" s="6936">
        <f t="array" ref="P598">IFERROR(VLOOKUP(O580,Dex!$B$3:$N1219,13,FALSE),"")</f>
        <v>115</v>
      </c>
      <c r="Q598" s="6937" t="str">
        <f t="array" ref="Q598">IFERROR(VLOOKUP(P598,Dex!$P$22:$Q$276,2,FALSE),"")</f>
        <v/>
      </c>
      <c r="R598" s="6938"/>
      <c r="S598" s="6930"/>
      <c r="T598" s="6935" t="s">
        <v>518</v>
      </c>
      <c r="U598" s="6936">
        <f t="array" ref="U598">IFERROR(VLOOKUP(T580,Dex!$B$3:$N1219,13,FALSE),"")</f>
        <v>78</v>
      </c>
      <c r="V598" s="6937" t="str">
        <f t="array" ref="V598">IFERROR(VLOOKUP(U598,Dex!$P$22:$Q$276,2,FALSE),"")</f>
        <v/>
      </c>
      <c r="W598" s="6938"/>
      <c r="X598" s="6865"/>
      <c r="Y598" s="6862"/>
      <c r="Z598" s="6863"/>
      <c r="AA598" s="6863"/>
      <c r="AB598" s="6864"/>
      <c r="AC598" s="6862"/>
      <c r="AD598" s="6863"/>
      <c r="AE598" s="6863"/>
      <c r="AF598" s="6864"/>
      <c r="AG598" s="6865"/>
      <c r="AH598" s="6924"/>
      <c r="AI598" s="6747"/>
    </row>
    <row r="599" ht="16.5" customHeight="1">
      <c r="A599" s="6738"/>
      <c r="B599" s="6918"/>
      <c r="C599" s="6911"/>
      <c r="D599" s="6922"/>
      <c r="E599" s="6939" t="s">
        <v>519</v>
      </c>
      <c r="F599" s="630"/>
      <c r="G599" s="631"/>
      <c r="H599" s="6940">
        <v>303.0</v>
      </c>
      <c r="I599" s="6921"/>
      <c r="J599" s="6939" t="s">
        <v>519</v>
      </c>
      <c r="K599" s="630"/>
      <c r="L599" s="631"/>
      <c r="M599" s="6940">
        <v>122.0</v>
      </c>
      <c r="N599" s="6922"/>
      <c r="O599" s="6939" t="s">
        <v>519</v>
      </c>
      <c r="P599" s="630"/>
      <c r="Q599" s="631"/>
      <c r="R599" s="6940">
        <v>289.0</v>
      </c>
      <c r="S599" s="7098"/>
      <c r="T599" s="6939" t="s">
        <v>519</v>
      </c>
      <c r="U599" s="630"/>
      <c r="V599" s="631"/>
      <c r="W599" s="6940">
        <v>211.0</v>
      </c>
      <c r="X599" s="6865"/>
      <c r="Y599" s="6862"/>
      <c r="Z599" s="6863"/>
      <c r="AA599" s="6863"/>
      <c r="AB599" s="6864"/>
      <c r="AC599" s="6862"/>
      <c r="AD599" s="6863"/>
      <c r="AE599" s="6863"/>
      <c r="AF599" s="6864"/>
      <c r="AG599" s="6865"/>
      <c r="AH599" s="6924"/>
      <c r="AI599" s="6747"/>
    </row>
    <row r="600" ht="15.0" customHeight="1">
      <c r="A600" s="6738"/>
      <c r="B600" s="6941"/>
      <c r="C600" s="6942"/>
      <c r="D600" s="6943"/>
      <c r="E600" s="6946"/>
      <c r="F600" s="6946"/>
      <c r="G600" s="6946"/>
      <c r="H600" s="6944"/>
      <c r="I600" s="6945"/>
      <c r="J600" s="6946"/>
      <c r="K600" s="6946"/>
      <c r="L600" s="6946"/>
      <c r="M600" s="6944"/>
      <c r="N600" s="6945"/>
      <c r="O600" s="6946"/>
      <c r="P600" s="6946"/>
      <c r="Q600" s="6946"/>
      <c r="R600" s="6944"/>
      <c r="S600" s="6943"/>
      <c r="T600" s="7101"/>
      <c r="U600" s="3255"/>
      <c r="V600" s="3255"/>
      <c r="W600" s="7102"/>
      <c r="X600" s="6943"/>
      <c r="Y600" s="6947"/>
      <c r="Z600" s="6948"/>
      <c r="AA600" s="6948"/>
      <c r="AB600" s="6949"/>
      <c r="AC600" s="6943"/>
      <c r="AD600" s="6943"/>
      <c r="AE600" s="6943"/>
      <c r="AF600" s="6943"/>
      <c r="AG600" s="6943"/>
      <c r="AH600" s="6950"/>
      <c r="AI600" s="6747"/>
    </row>
    <row r="601" ht="15.0" customHeight="1">
      <c r="A601" s="6738"/>
      <c r="B601" s="4886"/>
      <c r="C601" s="4887"/>
      <c r="D601" s="4891"/>
      <c r="E601" s="4892"/>
      <c r="F601" s="4892"/>
      <c r="G601" s="4892"/>
      <c r="H601" s="4892"/>
      <c r="I601" s="4892"/>
      <c r="J601" s="4892"/>
      <c r="K601" s="4892"/>
      <c r="L601" s="4892"/>
      <c r="M601" s="4892"/>
      <c r="N601" s="4892"/>
      <c r="O601" s="4892"/>
      <c r="P601" s="4892"/>
      <c r="Q601" s="4892"/>
      <c r="R601" s="4892"/>
      <c r="S601" s="4891"/>
      <c r="T601" s="4891"/>
      <c r="U601" s="4891"/>
      <c r="V601" s="4891"/>
      <c r="W601" s="4891"/>
      <c r="X601" s="4891"/>
      <c r="Y601" s="4891"/>
      <c r="Z601" s="4891"/>
      <c r="AA601" s="4891"/>
      <c r="AB601" s="4891"/>
      <c r="AC601" s="4891"/>
      <c r="AD601" s="4891"/>
      <c r="AE601" s="4891"/>
      <c r="AF601" s="4891"/>
      <c r="AG601" s="4891"/>
      <c r="AH601" s="4890"/>
      <c r="AI601" s="6747"/>
    </row>
    <row r="602">
      <c r="A602" s="6738"/>
      <c r="B602" s="4893"/>
      <c r="C602" s="4894"/>
      <c r="D602" s="4895"/>
      <c r="E602" s="4896" t="s">
        <v>2090</v>
      </c>
      <c r="F602" s="4897"/>
      <c r="G602" s="4897"/>
      <c r="H602" s="4897"/>
      <c r="I602" s="4897"/>
      <c r="J602" s="4897"/>
      <c r="K602" s="4897"/>
      <c r="L602" s="4897"/>
      <c r="M602" s="4897"/>
      <c r="N602" s="4897"/>
      <c r="O602" s="4897"/>
      <c r="P602" s="4897"/>
      <c r="Q602" s="4897"/>
      <c r="R602" s="4897"/>
      <c r="S602" s="4897"/>
      <c r="T602" s="4897"/>
      <c r="U602" s="4897"/>
      <c r="V602" s="4897"/>
      <c r="W602" s="4897"/>
      <c r="X602" s="4897"/>
      <c r="Y602" s="4897"/>
      <c r="Z602" s="4897"/>
      <c r="AA602" s="4897"/>
      <c r="AB602" s="4897"/>
      <c r="AC602" s="4897"/>
      <c r="AD602" s="4897"/>
      <c r="AE602" s="4897"/>
      <c r="AF602" s="4897"/>
      <c r="AG602" s="4898"/>
      <c r="AH602" s="4899"/>
      <c r="AI602" s="6747"/>
    </row>
    <row r="603" ht="96.75" customHeight="1">
      <c r="A603" s="6738"/>
      <c r="B603" s="4900"/>
      <c r="C603" s="4901" t="str">
        <f>IMAGE("https://i.ibb.co/QpKd0mc/Fisherman.png")</f>
        <v/>
      </c>
      <c r="D603" s="4902"/>
      <c r="E603" s="4903" t="str">
        <f t="array" ref="E603">IFERROR(VLOOKUP(E604,Dex!$B$3:$G1219,3,FALSE),"")</f>
        <v/>
      </c>
      <c r="F603" s="1945"/>
      <c r="G603" s="1945"/>
      <c r="H603" s="1946"/>
      <c r="I603" s="4904"/>
      <c r="J603" s="4903" t="str">
        <f t="array" ref="J603">IFERROR(VLOOKUP(J604,Dex!$B$3:$G1219,3,FALSE),"")</f>
        <v/>
      </c>
      <c r="K603" s="1945"/>
      <c r="L603" s="1945"/>
      <c r="M603" s="1946"/>
      <c r="N603" s="4904"/>
      <c r="O603" s="4903" t="str">
        <f t="array" ref="O603">IFERROR(VLOOKUP(O604,Dex!$B$3:$G1219,3,FALSE),"")</f>
        <v/>
      </c>
      <c r="P603" s="1945"/>
      <c r="Q603" s="1945"/>
      <c r="R603" s="1946"/>
      <c r="S603" s="4904"/>
      <c r="T603" s="4903" t="str">
        <f t="array" ref="T603">IFERROR(VLOOKUP(T604,Dex!$B$3:$G1219,3,FALSE),"")</f>
        <v/>
      </c>
      <c r="U603" s="1945"/>
      <c r="V603" s="1945"/>
      <c r="W603" s="1946"/>
      <c r="X603" s="4905"/>
      <c r="Y603" s="4906"/>
      <c r="Z603" s="4907"/>
      <c r="AA603" s="4907"/>
      <c r="AB603" s="4908"/>
      <c r="AC603" s="4909"/>
      <c r="AD603" s="4906"/>
      <c r="AE603" s="4907"/>
      <c r="AF603" s="4907"/>
      <c r="AG603" s="4908"/>
      <c r="AH603" s="4890"/>
      <c r="AI603" s="6747"/>
    </row>
    <row r="604" ht="18.75" customHeight="1">
      <c r="A604" s="6738"/>
      <c r="B604" s="4910"/>
      <c r="C604" s="4911" t="s">
        <v>2091</v>
      </c>
      <c r="D604" s="4912"/>
      <c r="E604" s="4913" t="s">
        <v>1095</v>
      </c>
      <c r="F604" s="4914"/>
      <c r="G604" s="4914"/>
      <c r="H604" s="4915"/>
      <c r="J604" s="4913" t="s">
        <v>1216</v>
      </c>
      <c r="K604" s="4914"/>
      <c r="L604" s="4914"/>
      <c r="M604" s="4915"/>
      <c r="O604" s="4913" t="s">
        <v>2092</v>
      </c>
      <c r="P604" s="4914"/>
      <c r="Q604" s="4914"/>
      <c r="R604" s="4915"/>
      <c r="T604" s="4913" t="s">
        <v>601</v>
      </c>
      <c r="U604" s="4914"/>
      <c r="V604" s="4914"/>
      <c r="W604" s="4915"/>
      <c r="X604" s="4916"/>
      <c r="Y604" s="4917"/>
      <c r="Z604" s="4907"/>
      <c r="AA604" s="4907"/>
      <c r="AB604" s="4908"/>
      <c r="AC604" s="4918"/>
      <c r="AD604" s="4917"/>
      <c r="AE604" s="4907"/>
      <c r="AF604" s="4907"/>
      <c r="AG604" s="4908"/>
      <c r="AH604" s="4919"/>
      <c r="AI604" s="6747"/>
    </row>
    <row r="605">
      <c r="A605" s="6738"/>
      <c r="B605" s="4920"/>
      <c r="C605" s="1638"/>
      <c r="D605" s="4921"/>
      <c r="E605" s="4922" t="s">
        <v>729</v>
      </c>
      <c r="F605" s="4923"/>
      <c r="G605" s="4923"/>
      <c r="H605" s="4924"/>
      <c r="J605" s="4922" t="s">
        <v>796</v>
      </c>
      <c r="K605" s="4923"/>
      <c r="L605" s="4923"/>
      <c r="M605" s="4924"/>
      <c r="O605" s="4922" t="s">
        <v>729</v>
      </c>
      <c r="P605" s="4923"/>
      <c r="Q605" s="4923"/>
      <c r="R605" s="4924"/>
      <c r="T605" s="4922" t="s">
        <v>729</v>
      </c>
      <c r="U605" s="4923"/>
      <c r="V605" s="4923"/>
      <c r="W605" s="4924"/>
      <c r="X605" s="4916"/>
      <c r="Y605" s="4925"/>
      <c r="Z605" s="4907"/>
      <c r="AA605" s="4907"/>
      <c r="AB605" s="4908"/>
      <c r="AC605" s="4918"/>
      <c r="AD605" s="4925"/>
      <c r="AE605" s="4907"/>
      <c r="AF605" s="4907"/>
      <c r="AG605" s="4908"/>
      <c r="AH605" s="4926"/>
      <c r="AI605" s="6747"/>
    </row>
    <row r="606" ht="25.5" customHeight="1">
      <c r="A606" s="6738"/>
      <c r="B606" s="4900"/>
      <c r="C606" s="1646"/>
      <c r="D606" s="4927"/>
      <c r="E606" s="4928"/>
      <c r="F606" s="4929" t="str">
        <f t="array" ref="F606">IFERROR(VLOOKUP(E604,Dex!$B$3:$H1219,5,FALSE),"")</f>
        <v/>
      </c>
      <c r="G606" s="4930" t="str">
        <f t="array" ref="G606">IFERROR(VLOOKUP(E604,Dex!$B$3:$H1219,7,FALSE),"")</f>
        <v/>
      </c>
      <c r="H606" s="4931"/>
      <c r="J606" s="4928"/>
      <c r="K606" s="4929" t="str">
        <f t="array" ref="K606">IFERROR(VLOOKUP(J604,Dex!$B$3:$H1219,5,FALSE),"")</f>
        <v/>
      </c>
      <c r="L606" s="4930" t="str">
        <f t="array" ref="L606">IFERROR(VLOOKUP(J604,Dex!$B$3:$H1219,7,FALSE),"")</f>
        <v/>
      </c>
      <c r="M606" s="4931"/>
      <c r="O606" s="4928"/>
      <c r="P606" s="4929" t="str">
        <f t="array" ref="P606">IFERROR(VLOOKUP(O604,Dex!$B$3:$H1219,5,FALSE),"")</f>
        <v/>
      </c>
      <c r="Q606" s="4930" t="str">
        <f t="array" ref="Q606">IFERROR(VLOOKUP(O604,Dex!$B$3:$H1219,7,FALSE),"")</f>
        <v/>
      </c>
      <c r="R606" s="4931"/>
      <c r="T606" s="4928"/>
      <c r="U606" s="4929" t="str">
        <f t="array" ref="U606">IFERROR(VLOOKUP(T604,Dex!$B$3:$H1219,5,FALSE),"")</f>
        <v/>
      </c>
      <c r="V606" s="4930" t="str">
        <f t="array" ref="V606">IFERROR(VLOOKUP(T604,Dex!$B$3:$H1219,7,FALSE),"")</f>
        <v/>
      </c>
      <c r="W606" s="4931"/>
      <c r="X606" s="4916"/>
      <c r="Y606" s="4906"/>
      <c r="Z606" s="4907"/>
      <c r="AA606" s="4907"/>
      <c r="AB606" s="4908"/>
      <c r="AC606" s="4918"/>
      <c r="AD606" s="4906"/>
      <c r="AE606" s="4907"/>
      <c r="AF606" s="4907"/>
      <c r="AG606" s="4908"/>
      <c r="AH606" s="4890"/>
      <c r="AI606" s="6747"/>
    </row>
    <row r="607" ht="2.25" customHeight="1">
      <c r="A607" s="6738"/>
      <c r="B607" s="4932"/>
      <c r="C607" s="4933"/>
      <c r="D607" s="4934"/>
      <c r="E607" s="4935"/>
      <c r="F607" s="4936"/>
      <c r="G607" s="4936"/>
      <c r="H607" s="4937"/>
      <c r="J607" s="4935"/>
      <c r="K607" s="4936"/>
      <c r="L607" s="4936"/>
      <c r="M607" s="4937"/>
      <c r="O607" s="4935"/>
      <c r="P607" s="4936"/>
      <c r="Q607" s="4936"/>
      <c r="R607" s="4937"/>
      <c r="T607" s="4935"/>
      <c r="U607" s="4936"/>
      <c r="V607" s="4936"/>
      <c r="W607" s="4937"/>
      <c r="X607" s="4916"/>
      <c r="Y607" s="4938"/>
      <c r="Z607" s="4938"/>
      <c r="AA607" s="4938"/>
      <c r="AB607" s="4938"/>
      <c r="AC607" s="4918"/>
      <c r="AD607" s="4938"/>
      <c r="AE607" s="4938"/>
      <c r="AF607" s="4938"/>
      <c r="AG607" s="4938"/>
      <c r="AH607" s="4890"/>
      <c r="AI607" s="6747"/>
    </row>
    <row r="608" ht="20.25" customHeight="1">
      <c r="A608" s="6738"/>
      <c r="B608" s="4886"/>
      <c r="C608" s="4939"/>
      <c r="D608" s="4906"/>
      <c r="E608" s="4940" t="s">
        <v>532</v>
      </c>
      <c r="F608" s="4941"/>
      <c r="G608" s="4941"/>
      <c r="H608" s="4942"/>
      <c r="J608" s="4940" t="s">
        <v>532</v>
      </c>
      <c r="K608" s="4941"/>
      <c r="L608" s="4941"/>
      <c r="M608" s="4942"/>
      <c r="O608" s="4940" t="s">
        <v>482</v>
      </c>
      <c r="P608" s="4941"/>
      <c r="Q608" s="4941"/>
      <c r="R608" s="4942"/>
      <c r="T608" s="4940" t="s">
        <v>531</v>
      </c>
      <c r="U608" s="4941"/>
      <c r="V608" s="4941"/>
      <c r="W608" s="4942"/>
      <c r="X608" s="4916"/>
      <c r="Y608" s="4906"/>
      <c r="Z608" s="4907"/>
      <c r="AA608" s="4907"/>
      <c r="AB608" s="4908"/>
      <c r="AC608" s="4918"/>
      <c r="AD608" s="4906"/>
      <c r="AE608" s="4907"/>
      <c r="AF608" s="4907"/>
      <c r="AG608" s="4908"/>
      <c r="AH608" s="4890"/>
      <c r="AI608" s="6747"/>
    </row>
    <row r="609">
      <c r="A609" s="6738"/>
      <c r="B609" s="4886"/>
      <c r="C609" s="4939"/>
      <c r="D609" s="4906"/>
      <c r="E609" s="4943" t="s">
        <v>84</v>
      </c>
      <c r="F609" s="4907"/>
      <c r="G609" s="4907"/>
      <c r="H609" s="4944"/>
      <c r="J609" s="4943" t="s">
        <v>108</v>
      </c>
      <c r="K609" s="4907"/>
      <c r="L609" s="4907"/>
      <c r="M609" s="4944"/>
      <c r="O609" s="4943" t="s">
        <v>2093</v>
      </c>
      <c r="P609" s="4907"/>
      <c r="Q609" s="4907"/>
      <c r="R609" s="4944"/>
      <c r="T609" s="4943" t="s">
        <v>115</v>
      </c>
      <c r="U609" s="4907"/>
      <c r="V609" s="4907"/>
      <c r="W609" s="4944"/>
      <c r="X609" s="4916"/>
      <c r="Y609" s="4906"/>
      <c r="Z609" s="4907"/>
      <c r="AA609" s="4907"/>
      <c r="AB609" s="4908"/>
      <c r="AC609" s="4918"/>
      <c r="AD609" s="4906"/>
      <c r="AE609" s="4907"/>
      <c r="AF609" s="4907"/>
      <c r="AG609" s="4908"/>
      <c r="AH609" s="4890"/>
      <c r="AI609" s="6747"/>
    </row>
    <row r="610" ht="20.25" customHeight="1">
      <c r="A610" s="6738"/>
      <c r="B610" s="4886"/>
      <c r="C610" s="4939"/>
      <c r="D610" s="4906"/>
      <c r="E610" s="4945" t="s">
        <v>573</v>
      </c>
      <c r="F610" s="4897"/>
      <c r="G610" s="4898"/>
      <c r="H610" s="4946" t="str">
        <f>IMAGE("https://raw.githubusercontent.com/msikma/pokesprite/master/items/hold-item/focus-sash.png",3)</f>
        <v/>
      </c>
      <c r="J610" s="4945" t="s">
        <v>538</v>
      </c>
      <c r="K610" s="4897"/>
      <c r="L610" s="4898"/>
      <c r="M610" s="4946" t="str">
        <f>IMAGE("https://raw.githubusercontent.com/msikma/pokesprite/master/items/berry/wacan.png",3)</f>
        <v/>
      </c>
      <c r="O610" s="4945" t="s">
        <v>2094</v>
      </c>
      <c r="P610" s="4897"/>
      <c r="Q610" s="4898"/>
      <c r="R610" s="4946" t="str">
        <f>IMAGE("https://raw.githubusercontent.com/msikma/pokesprite/master/items/mega-stone/slowbronite.png",3)</f>
        <v/>
      </c>
      <c r="T610" s="4945" t="s">
        <v>1230</v>
      </c>
      <c r="U610" s="4897"/>
      <c r="V610" s="4898"/>
      <c r="W610" s="4946" t="str">
        <f>IMAGE("https://raw.githubusercontent.com/msikma/pokesprite/master/items/hold-item/choice-specs.png",3)</f>
        <v/>
      </c>
      <c r="X610" s="4916"/>
      <c r="Y610" s="4906"/>
      <c r="Z610" s="4907"/>
      <c r="AA610" s="4907"/>
      <c r="AB610" s="4908"/>
      <c r="AC610" s="4918"/>
      <c r="AD610" s="4906"/>
      <c r="AE610" s="4907"/>
      <c r="AF610" s="4907"/>
      <c r="AG610" s="4908"/>
      <c r="AH610" s="4890"/>
      <c r="AI610" s="6747"/>
    </row>
    <row r="611" ht="20.25" customHeight="1">
      <c r="A611" s="6738"/>
      <c r="B611" s="4886"/>
      <c r="C611" s="4947"/>
      <c r="D611" s="4906"/>
      <c r="E611" s="4940" t="s">
        <v>1102</v>
      </c>
      <c r="F611" s="4941"/>
      <c r="G611" s="4948"/>
      <c r="H611" s="4949" t="str">
        <f>IMAGE("https://raw.githubusercontent.com/msikma/pokesprite/master/misc/types/gen8/water.png",4,20,20)</f>
        <v/>
      </c>
      <c r="J611" s="4940" t="s">
        <v>219</v>
      </c>
      <c r="K611" s="4941"/>
      <c r="L611" s="4948"/>
      <c r="M611" s="4949" t="str">
        <f>IMAGE("https://raw.githubusercontent.com/msikma/pokesprite/master/misc/types/gen8/dragon.png",4,20,20)</f>
        <v/>
      </c>
      <c r="O611" s="4940" t="s">
        <v>544</v>
      </c>
      <c r="P611" s="4941"/>
      <c r="Q611" s="4948"/>
      <c r="R611" s="4949" t="str">
        <f>IMAGE("https://raw.githubusercontent.com/msikma/pokesprite/master/misc/types/gen8/water.png",4,20,20)</f>
        <v/>
      </c>
      <c r="T611" s="4940" t="s">
        <v>614</v>
      </c>
      <c r="U611" s="4941"/>
      <c r="V611" s="4948"/>
      <c r="W611" s="4949" t="str">
        <f>IMAGE("https://raw.githubusercontent.com/msikma/pokesprite/master/misc/types/gen8/poison.png",4,20,20)</f>
        <v/>
      </c>
      <c r="X611" s="4916"/>
      <c r="Y611" s="4906"/>
      <c r="Z611" s="4907"/>
      <c r="AA611" s="4907"/>
      <c r="AB611" s="4908"/>
      <c r="AC611" s="4918"/>
      <c r="AD611" s="4906"/>
      <c r="AE611" s="4907"/>
      <c r="AF611" s="4907"/>
      <c r="AG611" s="4908"/>
      <c r="AH611" s="4890"/>
      <c r="AI611" s="6747"/>
    </row>
    <row r="612" ht="20.25" customHeight="1">
      <c r="A612" s="6738"/>
      <c r="B612" s="4886"/>
      <c r="C612" s="4947"/>
      <c r="D612" s="4906"/>
      <c r="E612" s="4943" t="s">
        <v>2095</v>
      </c>
      <c r="F612" s="4907"/>
      <c r="G612" s="4908"/>
      <c r="H612" s="4950" t="str">
        <f>IMAGE("https://raw.githubusercontent.com/msikma/pokesprite/master/misc/types/gen8/ghost.png",4,20,20)</f>
        <v/>
      </c>
      <c r="J612" s="4943" t="s">
        <v>760</v>
      </c>
      <c r="K612" s="4907"/>
      <c r="L612" s="4908"/>
      <c r="M612" s="4950" t="str">
        <f>IMAGE("https://raw.githubusercontent.com/msikma/pokesprite/master/misc/types/gen8/water.png",4,20,20)</f>
        <v/>
      </c>
      <c r="O612" s="4943" t="s">
        <v>669</v>
      </c>
      <c r="P612" s="4907"/>
      <c r="Q612" s="4908"/>
      <c r="R612" s="4950" t="str">
        <f t="shared" ref="R612:R613" si="24">IMAGE("https://raw.githubusercontent.com/msikma/pokesprite/master/misc/types/gen8/psychic.png",4,20,20)</f>
        <v/>
      </c>
      <c r="T612" s="4943" t="s">
        <v>552</v>
      </c>
      <c r="U612" s="4907"/>
      <c r="V612" s="4908"/>
      <c r="W612" s="4950" t="str">
        <f>IMAGE("https://raw.githubusercontent.com/msikma/pokesprite/master/misc/types/gen8/psychic.png",4,20,20)</f>
        <v/>
      </c>
      <c r="X612" s="4916"/>
      <c r="Y612" s="4906"/>
      <c r="Z612" s="4907"/>
      <c r="AA612" s="4907"/>
      <c r="AB612" s="4908"/>
      <c r="AC612" s="4918"/>
      <c r="AD612" s="4906"/>
      <c r="AE612" s="4907"/>
      <c r="AF612" s="4907"/>
      <c r="AG612" s="4908"/>
      <c r="AH612" s="4890"/>
      <c r="AI612" s="6747"/>
    </row>
    <row r="613" ht="20.25" customHeight="1">
      <c r="A613" s="6738"/>
      <c r="B613" s="4886"/>
      <c r="C613" s="4947"/>
      <c r="D613" s="4906"/>
      <c r="E613" s="4943" t="s">
        <v>974</v>
      </c>
      <c r="F613" s="4907"/>
      <c r="G613" s="4908"/>
      <c r="H613" s="4950" t="str">
        <f>IMAGE("https://raw.githubusercontent.com/msikma/pokesprite/master/misc/types/gen8/water.png",4,20,20)</f>
        <v/>
      </c>
      <c r="J613" s="4943" t="s">
        <v>549</v>
      </c>
      <c r="K613" s="4907"/>
      <c r="L613" s="4908"/>
      <c r="M613" s="4950" t="str">
        <f>IMAGE("https://raw.githubusercontent.com/msikma/pokesprite/master/misc/types/gen8/ground.png",4,20,20)</f>
        <v/>
      </c>
      <c r="O613" s="4943" t="s">
        <v>170</v>
      </c>
      <c r="P613" s="4907"/>
      <c r="Q613" s="4908"/>
      <c r="R613" s="4950" t="str">
        <f t="shared" si="24"/>
        <v/>
      </c>
      <c r="T613" s="4943" t="s">
        <v>670</v>
      </c>
      <c r="U613" s="4907"/>
      <c r="V613" s="4908"/>
      <c r="W613" s="4950" t="str">
        <f>IMAGE("https://raw.githubusercontent.com/msikma/pokesprite/master/misc/types/gen8/ice.png",4,20,20)</f>
        <v/>
      </c>
      <c r="X613" s="4916"/>
      <c r="Y613" s="4906"/>
      <c r="Z613" s="4907"/>
      <c r="AA613" s="4907"/>
      <c r="AB613" s="4908"/>
      <c r="AC613" s="4918"/>
      <c r="AD613" s="4906"/>
      <c r="AE613" s="4907"/>
      <c r="AF613" s="4907"/>
      <c r="AG613" s="4908"/>
      <c r="AH613" s="4890"/>
      <c r="AI613" s="6747"/>
    </row>
    <row r="614" ht="21.0" customHeight="1">
      <c r="A614" s="6738"/>
      <c r="B614" s="4886"/>
      <c r="C614" s="4947"/>
      <c r="D614" s="4906"/>
      <c r="E614" s="4951" t="s">
        <v>1149</v>
      </c>
      <c r="F614" s="4952"/>
      <c r="G614" s="4953"/>
      <c r="H614" s="4954" t="str">
        <f>IMAGE("https://raw.githubusercontent.com/msikma/pokesprite/master/misc/types/gen8/ice.png",4,20,20)</f>
        <v/>
      </c>
      <c r="I614" s="4955"/>
      <c r="J614" s="4951" t="s">
        <v>1149</v>
      </c>
      <c r="K614" s="4952"/>
      <c r="L614" s="4953"/>
      <c r="M614" s="4954" t="str">
        <f>IMAGE("https://raw.githubusercontent.com/msikma/pokesprite/master/misc/types/gen8/ice.png",4,20,20)</f>
        <v/>
      </c>
      <c r="N614" s="4955"/>
      <c r="O614" s="4951" t="s">
        <v>507</v>
      </c>
      <c r="P614" s="4952"/>
      <c r="Q614" s="4953"/>
      <c r="R614" s="4954" t="str">
        <f>IMAGE("https://raw.githubusercontent.com/msikma/pokesprite/master/misc/types/gen8/normal.png",4,20,20)</f>
        <v/>
      </c>
      <c r="S614" s="4955"/>
      <c r="T614" s="4951" t="s">
        <v>619</v>
      </c>
      <c r="U614" s="4952"/>
      <c r="V614" s="4953"/>
      <c r="W614" s="4954" t="str">
        <f>IMAGE("https://raw.githubusercontent.com/msikma/pokesprite/master/misc/types/gen8/fire.png",4,20,20)</f>
        <v/>
      </c>
      <c r="X614" s="4956"/>
      <c r="Y614" s="4906"/>
      <c r="Z614" s="4907"/>
      <c r="AA614" s="4907"/>
      <c r="AB614" s="4908"/>
      <c r="AC614" s="4957"/>
      <c r="AD614" s="4906"/>
      <c r="AE614" s="4907"/>
      <c r="AF614" s="4907"/>
      <c r="AG614" s="4908"/>
      <c r="AH614" s="4890"/>
      <c r="AI614" s="6747"/>
    </row>
    <row r="615" ht="3.0" customHeight="1">
      <c r="A615" s="6738"/>
      <c r="B615" s="4958"/>
      <c r="C615" s="4947"/>
      <c r="D615" s="4959"/>
      <c r="E615" s="4962"/>
      <c r="F615" s="4962"/>
      <c r="G615" s="4962"/>
      <c r="H615" s="4961"/>
      <c r="I615" s="4959"/>
      <c r="J615" s="4962"/>
      <c r="K615" s="4962"/>
      <c r="L615" s="4962"/>
      <c r="M615" s="4961"/>
      <c r="N615" s="4959"/>
      <c r="O615" s="4962"/>
      <c r="P615" s="4962"/>
      <c r="Q615" s="4962"/>
      <c r="R615" s="4961"/>
      <c r="S615" s="4963"/>
      <c r="T615" s="4962"/>
      <c r="U615" s="4962"/>
      <c r="V615" s="4962"/>
      <c r="W615" s="4961"/>
      <c r="X615" s="4959"/>
      <c r="Y615" s="4959"/>
      <c r="Z615" s="4964"/>
      <c r="AA615" s="4964"/>
      <c r="AB615" s="4965"/>
      <c r="AC615" s="4965"/>
      <c r="AD615" s="4965"/>
      <c r="AE615" s="4965"/>
      <c r="AF615" s="4965"/>
      <c r="AG615" s="4965"/>
      <c r="AH615" s="4966"/>
      <c r="AI615" s="6747"/>
    </row>
    <row r="616" ht="16.5" customHeight="1">
      <c r="A616" s="6738"/>
      <c r="B616" s="4967"/>
      <c r="C616" s="4947"/>
      <c r="D616" s="4992"/>
      <c r="E616" s="4969" t="s">
        <v>512</v>
      </c>
      <c r="F616" s="606"/>
      <c r="G616" s="606"/>
      <c r="H616" s="607"/>
      <c r="I616" s="4970"/>
      <c r="J616" s="4969" t="s">
        <v>512</v>
      </c>
      <c r="K616" s="606"/>
      <c r="L616" s="606"/>
      <c r="M616" s="607"/>
      <c r="N616" s="4970"/>
      <c r="O616" s="4969" t="s">
        <v>512</v>
      </c>
      <c r="P616" s="606"/>
      <c r="Q616" s="606"/>
      <c r="R616" s="607"/>
      <c r="S616" s="7128"/>
      <c r="T616" s="4969" t="s">
        <v>512</v>
      </c>
      <c r="U616" s="606"/>
      <c r="V616" s="606"/>
      <c r="W616" s="607"/>
      <c r="X616" s="4974"/>
      <c r="Y616" s="4974"/>
      <c r="Z616" s="4972"/>
      <c r="AA616" s="4972"/>
      <c r="AB616" s="4974"/>
      <c r="AC616" s="4974"/>
      <c r="AD616" s="4974"/>
      <c r="AE616" s="4974"/>
      <c r="AF616" s="4974"/>
      <c r="AG616" s="4974"/>
      <c r="AH616" s="4975"/>
      <c r="AI616" s="6747"/>
    </row>
    <row r="617" ht="16.5" customHeight="1">
      <c r="A617" s="6738"/>
      <c r="B617" s="4967"/>
      <c r="C617" s="4947"/>
      <c r="D617" s="4968"/>
      <c r="E617" s="4976" t="s">
        <v>513</v>
      </c>
      <c r="F617" s="4977">
        <f t="array" ref="F617">IFERROR(VLOOKUP(E604,Dex!$B$3:$N1219,8,FALSE),"")</f>
        <v>120</v>
      </c>
      <c r="G617" s="4978" t="str">
        <f t="array" ref="G617">IFERROR(VLOOKUP(F617,Dex!$P$22:$Q$276,2,FALSE),"")</f>
        <v/>
      </c>
      <c r="H617" s="4979"/>
      <c r="I617" s="4980"/>
      <c r="J617" s="4976" t="s">
        <v>513</v>
      </c>
      <c r="K617" s="4977">
        <f t="array" ref="K617">IFERROR(VLOOKUP(J604,Dex!$B$3:$N1219,8,FALSE),"")</f>
        <v>95</v>
      </c>
      <c r="L617" s="4978" t="str">
        <f t="array" ref="L617">IFERROR(VLOOKUP(K617,Dex!$P$22:$Q$276,2,FALSE),"")</f>
        <v/>
      </c>
      <c r="M617" s="4979"/>
      <c r="N617" s="4981"/>
      <c r="O617" s="4976" t="s">
        <v>513</v>
      </c>
      <c r="P617" s="4977">
        <f t="array" ref="P617">IFERROR(VLOOKUP(O604,Dex!$B$3:$N1219,8,FALSE),"")</f>
        <v>95</v>
      </c>
      <c r="Q617" s="4978" t="str">
        <f t="array" ref="Q617">IFERROR(VLOOKUP(P617,Dex!$P$22:$Q$276,2,FALSE),"")</f>
        <v/>
      </c>
      <c r="R617" s="4979"/>
      <c r="S617" s="4982"/>
      <c r="T617" s="4976" t="s">
        <v>513</v>
      </c>
      <c r="U617" s="4977">
        <f t="array" ref="U617">IFERROR(VLOOKUP(T604,Dex!$B$3:$N1219,8,FALSE),"")</f>
        <v>95</v>
      </c>
      <c r="V617" s="4978" t="str">
        <f t="array" ref="V617">IFERROR(VLOOKUP(U617,Dex!$P$22:$Q$276,2,FALSE),"")</f>
        <v/>
      </c>
      <c r="W617" s="4979"/>
      <c r="X617" s="4974"/>
      <c r="Y617" s="4974"/>
      <c r="Z617" s="4972"/>
      <c r="AA617" s="4972"/>
      <c r="AB617" s="4974"/>
      <c r="AC617" s="4974"/>
      <c r="AD617" s="4974"/>
      <c r="AE617" s="4974"/>
      <c r="AF617" s="4974"/>
      <c r="AG617" s="4974"/>
      <c r="AH617" s="4975"/>
      <c r="AI617" s="6747"/>
    </row>
    <row r="618" ht="16.5" customHeight="1">
      <c r="A618" s="6738"/>
      <c r="B618" s="4967"/>
      <c r="C618" s="4947"/>
      <c r="D618" s="4968"/>
      <c r="E618" s="4984" t="s">
        <v>514</v>
      </c>
      <c r="F618" s="4985">
        <f t="array" ref="F618">IFERROR(VLOOKUP(E604,Dex!$B$3:$N1219,9,FALSE),"")</f>
        <v>112</v>
      </c>
      <c r="G618" s="4986" t="str">
        <f t="array" ref="G618">IFERROR(VLOOKUP(F618,Dex!$P$22:$Q$276,2,FALSE),"")</f>
        <v/>
      </c>
      <c r="H618" s="4987"/>
      <c r="I618" s="4980"/>
      <c r="J618" s="4984" t="s">
        <v>514</v>
      </c>
      <c r="K618" s="4985">
        <f t="array" ref="K618">IFERROR(VLOOKUP(J604,Dex!$B$3:$N1219,9,FALSE),"")</f>
        <v>125</v>
      </c>
      <c r="L618" s="4986" t="str">
        <f t="array" ref="L618">IFERROR(VLOOKUP(K618,Dex!$P$22:$Q$276,2,FALSE),"")</f>
        <v/>
      </c>
      <c r="M618" s="4987"/>
      <c r="N618" s="4981"/>
      <c r="O618" s="4984" t="s">
        <v>514</v>
      </c>
      <c r="P618" s="4985">
        <f t="array" ref="P618">IFERROR(VLOOKUP(O604,Dex!$B$3:$N1219,9,FALSE),"")</f>
        <v>75</v>
      </c>
      <c r="Q618" s="4986" t="str">
        <f t="array" ref="Q618">IFERROR(VLOOKUP(P618,Dex!$P$22:$Q$276,2,FALSE),"")</f>
        <v/>
      </c>
      <c r="R618" s="4987"/>
      <c r="S618" s="4982"/>
      <c r="T618" s="4984" t="s">
        <v>514</v>
      </c>
      <c r="U618" s="4985">
        <f t="array" ref="U618">IFERROR(VLOOKUP(T604,Dex!$B$3:$N1219,9,FALSE),"")</f>
        <v>75</v>
      </c>
      <c r="V618" s="4986" t="str">
        <f t="array" ref="V618">IFERROR(VLOOKUP(U618,Dex!$P$22:$Q$276,2,FALSE),"")</f>
        <v/>
      </c>
      <c r="W618" s="4987"/>
      <c r="X618" s="4974"/>
      <c r="Y618" s="4974"/>
      <c r="Z618" s="4972"/>
      <c r="AA618" s="4972"/>
      <c r="AB618" s="4974"/>
      <c r="AC618" s="4974"/>
      <c r="AD618" s="4974"/>
      <c r="AE618" s="4974"/>
      <c r="AF618" s="4974"/>
      <c r="AG618" s="4974"/>
      <c r="AH618" s="4975"/>
      <c r="AI618" s="6747"/>
    </row>
    <row r="619" ht="16.5" customHeight="1">
      <c r="A619" s="6738"/>
      <c r="B619" s="4967"/>
      <c r="C619" s="4947"/>
      <c r="D619" s="4968"/>
      <c r="E619" s="4984" t="s">
        <v>515</v>
      </c>
      <c r="F619" s="4985">
        <f t="array" ref="F619">IFERROR(VLOOKUP(E604,Dex!$B$3:$N1219,10,FALSE),"")</f>
        <v>65</v>
      </c>
      <c r="G619" s="4986" t="str">
        <f t="array" ref="G619">IFERROR(VLOOKUP(F619,Dex!$P$22:$Q$276,2,FALSE),"")</f>
        <v/>
      </c>
      <c r="H619" s="4987"/>
      <c r="I619" s="4980"/>
      <c r="J619" s="4984" t="s">
        <v>515</v>
      </c>
      <c r="K619" s="4985">
        <f t="array" ref="K619">IFERROR(VLOOKUP(J604,Dex!$B$3:$N1219,10,FALSE),"")</f>
        <v>79</v>
      </c>
      <c r="L619" s="4986" t="str">
        <f t="array" ref="L619">IFERROR(VLOOKUP(K619,Dex!$P$22:$Q$276,2,FALSE),"")</f>
        <v/>
      </c>
      <c r="M619" s="4987"/>
      <c r="N619" s="4981"/>
      <c r="O619" s="4984" t="s">
        <v>515</v>
      </c>
      <c r="P619" s="4985">
        <f t="array" ref="P619">IFERROR(VLOOKUP(O604,Dex!$B$3:$N1219,10,FALSE),"")</f>
        <v>180</v>
      </c>
      <c r="Q619" s="4986" t="str">
        <f t="array" ref="Q619">IFERROR(VLOOKUP(P619,Dex!$P$22:$Q$276,2,FALSE),"")</f>
        <v/>
      </c>
      <c r="R619" s="4987"/>
      <c r="S619" s="4982"/>
      <c r="T619" s="4984" t="s">
        <v>515</v>
      </c>
      <c r="U619" s="4985">
        <f t="array" ref="U619">IFERROR(VLOOKUP(T604,Dex!$B$3:$N1219,10,FALSE),"")</f>
        <v>105</v>
      </c>
      <c r="V619" s="4986" t="str">
        <f t="array" ref="V619">IFERROR(VLOOKUP(U619,Dex!$P$22:$Q$276,2,FALSE),"")</f>
        <v/>
      </c>
      <c r="W619" s="4987"/>
      <c r="X619" s="4974"/>
      <c r="Y619" s="4974"/>
      <c r="Z619" s="4972"/>
      <c r="AA619" s="4972"/>
      <c r="AB619" s="4974"/>
      <c r="AC619" s="4974"/>
      <c r="AD619" s="4974"/>
      <c r="AE619" s="4974"/>
      <c r="AF619" s="4974"/>
      <c r="AG619" s="4974"/>
      <c r="AH619" s="4975"/>
      <c r="AI619" s="6747"/>
    </row>
    <row r="620" ht="16.5" customHeight="1">
      <c r="A620" s="6738"/>
      <c r="B620" s="4967"/>
      <c r="C620" s="4947"/>
      <c r="D620" s="4968"/>
      <c r="E620" s="4984" t="s">
        <v>516</v>
      </c>
      <c r="F620" s="4985">
        <f t="array" ref="F620">IFERROR(VLOOKUP(E604,Dex!$B$3:$N1219,11,FALSE),"")</f>
        <v>80</v>
      </c>
      <c r="G620" s="4986" t="str">
        <f t="array" ref="G620">IFERROR(VLOOKUP(F620,Dex!$P$22:$Q$276,2,FALSE),"")</f>
        <v/>
      </c>
      <c r="H620" s="4987"/>
      <c r="I620" s="4980"/>
      <c r="J620" s="4984" t="s">
        <v>516</v>
      </c>
      <c r="K620" s="4985">
        <f t="array" ref="K620">IFERROR(VLOOKUP(J604,Dex!$B$3:$N1219,11,FALSE),"")</f>
        <v>60</v>
      </c>
      <c r="L620" s="4986" t="str">
        <f t="array" ref="L620">IFERROR(VLOOKUP(K620,Dex!$P$22:$Q$276,2,FALSE),"")</f>
        <v/>
      </c>
      <c r="M620" s="4987"/>
      <c r="N620" s="4981"/>
      <c r="O620" s="4984" t="s">
        <v>516</v>
      </c>
      <c r="P620" s="4985">
        <f t="array" ref="P620">IFERROR(VLOOKUP(O604,Dex!$B$3:$N1219,11,FALSE),"")</f>
        <v>130</v>
      </c>
      <c r="Q620" s="4986" t="str">
        <f t="array" ref="Q620">IFERROR(VLOOKUP(P620,Dex!$P$22:$Q$276,2,FALSE),"")</f>
        <v/>
      </c>
      <c r="R620" s="4987"/>
      <c r="S620" s="4982"/>
      <c r="T620" s="4984" t="s">
        <v>516</v>
      </c>
      <c r="U620" s="4985">
        <f t="array" ref="U620">IFERROR(VLOOKUP(T604,Dex!$B$3:$N1219,11,FALSE),"")</f>
        <v>115</v>
      </c>
      <c r="V620" s="4986" t="str">
        <f t="array" ref="V620">IFERROR(VLOOKUP(U620,Dex!$P$22:$Q$276,2,FALSE),"")</f>
        <v/>
      </c>
      <c r="W620" s="4987"/>
      <c r="X620" s="4974"/>
      <c r="Y620" s="4974"/>
      <c r="Z620" s="4972"/>
      <c r="AA620" s="4972"/>
      <c r="AB620" s="4974"/>
      <c r="AC620" s="4974"/>
      <c r="AD620" s="4974"/>
      <c r="AE620" s="4974"/>
      <c r="AF620" s="4974"/>
      <c r="AG620" s="4974"/>
      <c r="AH620" s="4975"/>
      <c r="AI620" s="6747"/>
    </row>
    <row r="621" ht="16.5" customHeight="1">
      <c r="A621" s="6738"/>
      <c r="B621" s="4967"/>
      <c r="C621" s="4947"/>
      <c r="D621" s="4968"/>
      <c r="E621" s="4984" t="s">
        <v>517</v>
      </c>
      <c r="F621" s="4985">
        <f t="array" ref="F621">IFERROR(VLOOKUP(E604,Dex!$B$3:$N1219,12,FALSE),"")</f>
        <v>75</v>
      </c>
      <c r="G621" s="4986" t="str">
        <f t="array" ref="G621">IFERROR(VLOOKUP(F621,Dex!$P$22:$Q$276,2,FALSE),"")</f>
        <v/>
      </c>
      <c r="H621" s="4987"/>
      <c r="I621" s="4980"/>
      <c r="J621" s="4984" t="s">
        <v>517</v>
      </c>
      <c r="K621" s="4985">
        <f t="array" ref="K621">IFERROR(VLOOKUP(J604,Dex!$B$3:$N1219,12,FALSE),"")</f>
        <v>100</v>
      </c>
      <c r="L621" s="4986" t="str">
        <f t="array" ref="L621">IFERROR(VLOOKUP(K621,Dex!$P$22:$Q$276,2,FALSE),"")</f>
        <v/>
      </c>
      <c r="M621" s="4987"/>
      <c r="N621" s="4981"/>
      <c r="O621" s="4984" t="s">
        <v>517</v>
      </c>
      <c r="P621" s="4985">
        <f t="array" ref="P621">IFERROR(VLOOKUP(O604,Dex!$B$3:$N1219,12,FALSE),"")</f>
        <v>80</v>
      </c>
      <c r="Q621" s="4986" t="str">
        <f t="array" ref="Q621">IFERROR(VLOOKUP(P621,Dex!$P$22:$Q$276,2,FALSE),"")</f>
        <v/>
      </c>
      <c r="R621" s="4987"/>
      <c r="S621" s="4982"/>
      <c r="T621" s="4984" t="s">
        <v>517</v>
      </c>
      <c r="U621" s="4985">
        <f t="array" ref="U621">IFERROR(VLOOKUP(T604,Dex!$B$3:$N1219,12,FALSE),"")</f>
        <v>70</v>
      </c>
      <c r="V621" s="4986" t="str">
        <f t="array" ref="V621">IFERROR(VLOOKUP(U621,Dex!$P$22:$Q$276,2,FALSE),"")</f>
        <v/>
      </c>
      <c r="W621" s="4987"/>
      <c r="X621" s="4974"/>
      <c r="Y621" s="4974"/>
      <c r="Z621" s="4972"/>
      <c r="AA621" s="4972"/>
      <c r="AB621" s="4974"/>
      <c r="AC621" s="4974"/>
      <c r="AD621" s="4974"/>
      <c r="AE621" s="4974"/>
      <c r="AF621" s="4974"/>
      <c r="AG621" s="4974"/>
      <c r="AH621" s="4975"/>
      <c r="AI621" s="6747"/>
    </row>
    <row r="622" ht="16.5" customHeight="1">
      <c r="A622" s="6738"/>
      <c r="B622" s="4967"/>
      <c r="C622" s="4947"/>
      <c r="D622" s="4968"/>
      <c r="E622" s="4990" t="s">
        <v>518</v>
      </c>
      <c r="F622" s="4991">
        <f t="array" ref="F622">IFERROR(VLOOKUP(E604,Dex!$B$3:$N1219,13,FALSE),"")</f>
        <v>78</v>
      </c>
      <c r="G622" s="4986" t="str">
        <f t="array" ref="G622">IFERROR(VLOOKUP(F622,Dex!$P$22:$Q$276,2,FALSE),"")</f>
        <v/>
      </c>
      <c r="H622" s="4987"/>
      <c r="I622" s="4980"/>
      <c r="J622" s="4990" t="s">
        <v>518</v>
      </c>
      <c r="K622" s="4991">
        <f t="array" ref="K622">IFERROR(VLOOKUP(J604,Dex!$B$3:$N1219,13,FALSE),"")</f>
        <v>81</v>
      </c>
      <c r="L622" s="4986" t="str">
        <f t="array" ref="L622">IFERROR(VLOOKUP(K622,Dex!$P$22:$Q$276,2,FALSE),"")</f>
        <v/>
      </c>
      <c r="M622" s="4987"/>
      <c r="N622" s="4981"/>
      <c r="O622" s="4990" t="s">
        <v>518</v>
      </c>
      <c r="P622" s="4991">
        <f t="array" ref="P622">IFERROR(VLOOKUP(O604,Dex!$B$3:$N1219,13,FALSE),"")</f>
        <v>30</v>
      </c>
      <c r="Q622" s="4986" t="str">
        <f t="array" ref="Q622">IFERROR(VLOOKUP(P622,Dex!$P$22:$Q$276,2,FALSE),"")</f>
        <v/>
      </c>
      <c r="R622" s="4987"/>
      <c r="S622" s="4982"/>
      <c r="T622" s="4990" t="s">
        <v>518</v>
      </c>
      <c r="U622" s="4991">
        <f t="array" ref="U622">IFERROR(VLOOKUP(T604,Dex!$B$3:$N1219,13,FALSE),"")</f>
        <v>30</v>
      </c>
      <c r="V622" s="4986" t="str">
        <f t="array" ref="V622">IFERROR(VLOOKUP(U622,Dex!$P$22:$Q$276,2,FALSE),"")</f>
        <v/>
      </c>
      <c r="W622" s="4987"/>
      <c r="X622" s="4974"/>
      <c r="Y622" s="4974"/>
      <c r="Z622" s="4972"/>
      <c r="AA622" s="4972"/>
      <c r="AB622" s="4974"/>
      <c r="AC622" s="4974"/>
      <c r="AD622" s="4974"/>
      <c r="AE622" s="4974"/>
      <c r="AF622" s="4974"/>
      <c r="AG622" s="4974"/>
      <c r="AH622" s="4975"/>
      <c r="AI622" s="6747"/>
    </row>
    <row r="623" ht="16.5" customHeight="1">
      <c r="A623" s="6738"/>
      <c r="B623" s="4967"/>
      <c r="C623" s="4947"/>
      <c r="D623" s="4992"/>
      <c r="E623" s="4993" t="s">
        <v>519</v>
      </c>
      <c r="F623" s="630"/>
      <c r="G623" s="631"/>
      <c r="H623" s="7129">
        <v>211.0</v>
      </c>
      <c r="I623" s="4970"/>
      <c r="J623" s="4993" t="s">
        <v>519</v>
      </c>
      <c r="K623" s="630"/>
      <c r="L623" s="631"/>
      <c r="M623" s="7129">
        <v>213.0</v>
      </c>
      <c r="N623" s="4970"/>
      <c r="O623" s="4993" t="s">
        <v>519</v>
      </c>
      <c r="P623" s="630"/>
      <c r="Q623" s="631"/>
      <c r="R623" s="7129">
        <v>96.0</v>
      </c>
      <c r="S623" s="7130"/>
      <c r="T623" s="4993" t="s">
        <v>519</v>
      </c>
      <c r="U623" s="630"/>
      <c r="V623" s="631"/>
      <c r="W623" s="7129">
        <v>96.0</v>
      </c>
      <c r="X623" s="4974"/>
      <c r="Y623" s="4974"/>
      <c r="Z623" s="4972"/>
      <c r="AA623" s="4972"/>
      <c r="AB623" s="4974"/>
      <c r="AC623" s="4974"/>
      <c r="AD623" s="4974"/>
      <c r="AE623" s="4974"/>
      <c r="AF623" s="4974"/>
      <c r="AG623" s="4974"/>
      <c r="AH623" s="4975"/>
      <c r="AI623" s="6747"/>
    </row>
    <row r="624" ht="15.0" customHeight="1">
      <c r="A624" s="6738"/>
      <c r="B624" s="4998"/>
      <c r="C624" s="4999"/>
      <c r="D624" s="5000"/>
      <c r="E624" s="7131"/>
      <c r="F624" s="7131"/>
      <c r="G624" s="7131"/>
      <c r="H624" s="5001"/>
      <c r="I624" s="5000"/>
      <c r="J624" s="7131"/>
      <c r="K624" s="7131"/>
      <c r="L624" s="7131"/>
      <c r="M624" s="5001"/>
      <c r="N624" s="5000"/>
      <c r="O624" s="7132"/>
      <c r="P624" s="7132"/>
      <c r="Q624" s="7132"/>
      <c r="R624" s="5000"/>
      <c r="S624" s="5000"/>
      <c r="T624" s="7132"/>
      <c r="U624" s="7132"/>
      <c r="V624" s="7132"/>
      <c r="W624" s="5000"/>
      <c r="X624" s="5000"/>
      <c r="Y624" s="5000"/>
      <c r="Z624" s="5000"/>
      <c r="AA624" s="5000"/>
      <c r="AB624" s="5000"/>
      <c r="AC624" s="5000"/>
      <c r="AD624" s="5000"/>
      <c r="AE624" s="5000"/>
      <c r="AF624" s="5000"/>
      <c r="AG624" s="5000"/>
      <c r="AH624" s="5002"/>
      <c r="AI624" s="6747"/>
    </row>
    <row r="625" ht="15.0" customHeight="1">
      <c r="A625" s="6738"/>
      <c r="B625" s="1728"/>
      <c r="C625" s="1735"/>
      <c r="D625" s="1736"/>
      <c r="E625" s="1816"/>
      <c r="F625" s="1816"/>
      <c r="G625" s="1816"/>
      <c r="H625" s="1816"/>
      <c r="I625" s="1737"/>
      <c r="J625" s="1816"/>
      <c r="K625" s="1816"/>
      <c r="L625" s="1816"/>
      <c r="M625" s="1816"/>
      <c r="N625" s="1737"/>
      <c r="O625" s="1816"/>
      <c r="P625" s="1816"/>
      <c r="Q625" s="1816"/>
      <c r="R625" s="1816"/>
      <c r="S625" s="1737"/>
      <c r="T625" s="1816"/>
      <c r="U625" s="1816"/>
      <c r="V625" s="1816"/>
      <c r="W625" s="1816"/>
      <c r="X625" s="1737"/>
      <c r="Y625" s="1816"/>
      <c r="Z625" s="1816"/>
      <c r="AA625" s="1816"/>
      <c r="AB625" s="1816"/>
      <c r="AC625" s="1737"/>
      <c r="AD625" s="1816"/>
      <c r="AE625" s="1816"/>
      <c r="AF625" s="1816"/>
      <c r="AG625" s="1816"/>
      <c r="AH625" s="1738"/>
      <c r="AI625" s="6747"/>
    </row>
    <row r="626" ht="96.75" customHeight="1">
      <c r="A626" s="6738"/>
      <c r="B626" s="1745"/>
      <c r="C626" s="1746" t="str">
        <f>IMAGE("https://i.ibb.co/Lrh0bjy/Bugsy.png")</f>
        <v/>
      </c>
      <c r="D626" s="1747"/>
      <c r="E626" s="1748" t="str">
        <f t="array" ref="E626">IFERROR(VLOOKUP(E627,Dex!$B$3:$G1219,3,FALSE),"")</f>
        <v/>
      </c>
      <c r="F626" s="539"/>
      <c r="G626" s="539"/>
      <c r="H626" s="540"/>
      <c r="I626" s="1749"/>
      <c r="J626" s="1748" t="str">
        <f t="array" ref="J626">IFERROR(VLOOKUP(J627,Dex!$B$3:$G1219,3,FALSE),"")</f>
        <v/>
      </c>
      <c r="K626" s="539"/>
      <c r="L626" s="539"/>
      <c r="M626" s="540"/>
      <c r="N626" s="1818"/>
      <c r="O626" s="1748" t="str">
        <f t="array" ref="O626">IFERROR(VLOOKUP(O627,Dex!$B$3:$G1219,3,FALSE),"")</f>
        <v/>
      </c>
      <c r="P626" s="539"/>
      <c r="Q626" s="539"/>
      <c r="R626" s="540"/>
      <c r="S626" s="1818"/>
      <c r="T626" s="1748" t="str">
        <f t="array" ref="T626">IFERROR(VLOOKUP(T627,Dex!$B$3:$G1219,3,FALSE),"")</f>
        <v/>
      </c>
      <c r="U626" s="539"/>
      <c r="V626" s="539"/>
      <c r="W626" s="540"/>
      <c r="X626" s="1818"/>
      <c r="Y626" s="1748" t="str">
        <f t="array" ref="Y626">IFERROR(VLOOKUP(Y627,Dex!$B$3:$G1219,3,FALSE),"")</f>
        <v/>
      </c>
      <c r="Z626" s="539"/>
      <c r="AA626" s="539"/>
      <c r="AB626" s="540"/>
      <c r="AC626" s="1749"/>
      <c r="AD626" s="1748" t="str">
        <f t="array" ref="AD626">IFERROR(VLOOKUP(AD627,Dex!$B$3:$G1219,3,FALSE),"")</f>
        <v/>
      </c>
      <c r="AE626" s="539"/>
      <c r="AF626" s="539"/>
      <c r="AG626" s="540"/>
      <c r="AH626" s="1734"/>
      <c r="AI626" s="6747"/>
    </row>
    <row r="627" ht="18.75" customHeight="1">
      <c r="A627" s="6738"/>
      <c r="B627" s="1751"/>
      <c r="C627" s="1752" t="s">
        <v>2096</v>
      </c>
      <c r="D627" s="1753"/>
      <c r="E627" s="1754" t="s">
        <v>2097</v>
      </c>
      <c r="F627" s="1725"/>
      <c r="G627" s="1725"/>
      <c r="H627" s="1755"/>
      <c r="J627" s="1754" t="s">
        <v>2098</v>
      </c>
      <c r="K627" s="1725"/>
      <c r="L627" s="1725"/>
      <c r="M627" s="1755"/>
      <c r="O627" s="1754" t="s">
        <v>2099</v>
      </c>
      <c r="P627" s="1725"/>
      <c r="Q627" s="1725"/>
      <c r="R627" s="1755"/>
      <c r="T627" s="1754" t="s">
        <v>950</v>
      </c>
      <c r="U627" s="1725"/>
      <c r="V627" s="1725"/>
      <c r="W627" s="1755"/>
      <c r="Y627" s="1754" t="s">
        <v>2100</v>
      </c>
      <c r="Z627" s="1725"/>
      <c r="AA627" s="1725"/>
      <c r="AB627" s="1755"/>
      <c r="AD627" s="1754" t="s">
        <v>1669</v>
      </c>
      <c r="AE627" s="1725"/>
      <c r="AF627" s="1725"/>
      <c r="AG627" s="1755"/>
      <c r="AH627" s="1756"/>
      <c r="AI627" s="6747"/>
    </row>
    <row r="628">
      <c r="A628" s="6738"/>
      <c r="B628" s="7133"/>
      <c r="C628" s="1638"/>
      <c r="D628" s="1821"/>
      <c r="E628" s="1758" t="s">
        <v>729</v>
      </c>
      <c r="F628" s="1759"/>
      <c r="G628" s="1759"/>
      <c r="H628" s="1760"/>
      <c r="J628" s="1758" t="s">
        <v>729</v>
      </c>
      <c r="K628" s="1759"/>
      <c r="L628" s="1759"/>
      <c r="M628" s="1760"/>
      <c r="O628" s="1758" t="s">
        <v>729</v>
      </c>
      <c r="P628" s="1759"/>
      <c r="Q628" s="1759"/>
      <c r="R628" s="1760"/>
      <c r="T628" s="1758" t="s">
        <v>729</v>
      </c>
      <c r="U628" s="1759"/>
      <c r="V628" s="1759"/>
      <c r="W628" s="1760"/>
      <c r="Y628" s="1758" t="s">
        <v>729</v>
      </c>
      <c r="Z628" s="1759"/>
      <c r="AA628" s="1759"/>
      <c r="AB628" s="1760"/>
      <c r="AD628" s="1758" t="s">
        <v>729</v>
      </c>
      <c r="AE628" s="1759"/>
      <c r="AF628" s="1759"/>
      <c r="AG628" s="1760"/>
      <c r="AH628" s="1822"/>
      <c r="AI628" s="6747"/>
    </row>
    <row r="629" ht="25.5" customHeight="1">
      <c r="A629" s="6738"/>
      <c r="B629" s="1728"/>
      <c r="C629" s="1646"/>
      <c r="D629" s="1761"/>
      <c r="E629" s="7134"/>
      <c r="F629" s="1763" t="str">
        <f t="array" ref="F629">IFERROR(VLOOKUP(E627,Dex!$B$3:$H1219,5,FALSE),"")</f>
        <v/>
      </c>
      <c r="G629" s="1764" t="str">
        <f t="array" ref="G629">IFERROR(VLOOKUP(E627,Dex!$B$3:$H1219,7,FALSE),"")</f>
        <v/>
      </c>
      <c r="H629" s="7135"/>
      <c r="J629" s="7134"/>
      <c r="K629" s="1763" t="str">
        <f t="array" ref="K629">IFERROR(VLOOKUP(J627,Dex!$B$3:$H1219,5,FALSE),"")</f>
        <v/>
      </c>
      <c r="L629" s="1764" t="str">
        <f t="array" ref="L629">IFERROR(VLOOKUP(J627,Dex!$B$3:$H1219,7,FALSE),"")</f>
        <v/>
      </c>
      <c r="M629" s="7135"/>
      <c r="O629" s="7134"/>
      <c r="P629" s="1763" t="str">
        <f t="array" ref="P629">IFERROR(VLOOKUP(O627,Dex!$B$3:$H1219,5,FALSE),"")</f>
        <v/>
      </c>
      <c r="Q629" s="1764" t="str">
        <f t="array" ref="Q629">IFERROR(VLOOKUP(O627,Dex!$B$3:$H1219,7,FALSE),"")</f>
        <v/>
      </c>
      <c r="R629" s="7135"/>
      <c r="T629" s="7134"/>
      <c r="U629" s="1763" t="str">
        <f t="array" ref="U629">IFERROR(VLOOKUP(T627,Dex!$B$3:$H1219,5,FALSE),"")</f>
        <v/>
      </c>
      <c r="V629" s="1764" t="str">
        <f t="array" ref="V629">IFERROR(VLOOKUP(T627,Dex!$B$3:$H1219,7,FALSE),"")</f>
        <v/>
      </c>
      <c r="W629" s="7135"/>
      <c r="Y629" s="7134"/>
      <c r="Z629" s="7136" t="str">
        <f t="array" ref="Z629">IFERROR(VLOOKUP(Y627,Dex!$B$3:$H1219,5,FALSE),"")</f>
        <v/>
      </c>
      <c r="AA629" s="7137"/>
      <c r="AB629" s="7135"/>
      <c r="AD629" s="7134"/>
      <c r="AE629" s="1763" t="str">
        <f t="array" ref="AE629">IFERROR(VLOOKUP(AD627,Dex!$B$3:$H1219,5,FALSE),"")</f>
        <v/>
      </c>
      <c r="AF629" s="1764" t="str">
        <f t="array" ref="AF629">IFERROR(VLOOKUP(AD627,Dex!$B$3:$H1219,7,FALSE),"")</f>
        <v/>
      </c>
      <c r="AG629" s="7135"/>
      <c r="AH629" s="1824"/>
      <c r="AI629" s="6747"/>
    </row>
    <row r="630" ht="2.25" customHeight="1">
      <c r="A630" s="6738"/>
      <c r="B630" s="1728"/>
      <c r="C630" s="1766"/>
      <c r="D630" s="1767"/>
      <c r="E630" s="7138"/>
      <c r="F630" s="7139"/>
      <c r="G630" s="7139"/>
      <c r="H630" s="7140"/>
      <c r="J630" s="7138"/>
      <c r="K630" s="7139"/>
      <c r="L630" s="7139"/>
      <c r="M630" s="7140"/>
      <c r="O630" s="7138"/>
      <c r="P630" s="7139"/>
      <c r="Q630" s="7139"/>
      <c r="R630" s="7140"/>
      <c r="T630" s="7138"/>
      <c r="U630" s="7139"/>
      <c r="V630" s="7139"/>
      <c r="W630" s="7140"/>
      <c r="Y630" s="7138"/>
      <c r="Z630" s="7139"/>
      <c r="AA630" s="7139"/>
      <c r="AB630" s="7140"/>
      <c r="AD630" s="7138"/>
      <c r="AE630" s="7139"/>
      <c r="AF630" s="7139"/>
      <c r="AG630" s="7140"/>
      <c r="AH630" s="1824"/>
      <c r="AI630" s="6747"/>
    </row>
    <row r="631" ht="20.25" customHeight="1">
      <c r="A631" s="6738"/>
      <c r="B631" s="1728"/>
      <c r="C631" s="1729"/>
      <c r="D631" s="1730"/>
      <c r="E631" s="1771" t="s">
        <v>1332</v>
      </c>
      <c r="F631" s="1772"/>
      <c r="G631" s="1772"/>
      <c r="H631" s="1773"/>
      <c r="J631" s="1771" t="s">
        <v>531</v>
      </c>
      <c r="K631" s="1772"/>
      <c r="L631" s="1772"/>
      <c r="M631" s="1773"/>
      <c r="O631" s="1771" t="s">
        <v>565</v>
      </c>
      <c r="P631" s="1772"/>
      <c r="Q631" s="1772"/>
      <c r="R631" s="1773"/>
      <c r="T631" s="1771" t="s">
        <v>564</v>
      </c>
      <c r="U631" s="1772"/>
      <c r="V631" s="1772"/>
      <c r="W631" s="1773"/>
      <c r="Y631" s="1771" t="s">
        <v>532</v>
      </c>
      <c r="Z631" s="1772"/>
      <c r="AA631" s="1772"/>
      <c r="AB631" s="1773"/>
      <c r="AD631" s="1771" t="s">
        <v>532</v>
      </c>
      <c r="AE631" s="1772"/>
      <c r="AF631" s="1772"/>
      <c r="AG631" s="1773"/>
      <c r="AH631" s="1734"/>
      <c r="AI631" s="6747"/>
    </row>
    <row r="632">
      <c r="A632" s="6738"/>
      <c r="B632" s="1728"/>
      <c r="C632" s="1729"/>
      <c r="D632" s="1730"/>
      <c r="E632" s="1774" t="s">
        <v>120</v>
      </c>
      <c r="F632" s="1759"/>
      <c r="G632" s="1759"/>
      <c r="H632" s="1760"/>
      <c r="J632" s="1774" t="s">
        <v>1484</v>
      </c>
      <c r="K632" s="1759"/>
      <c r="L632" s="1759"/>
      <c r="M632" s="1760"/>
      <c r="O632" s="1774" t="s">
        <v>954</v>
      </c>
      <c r="P632" s="1759"/>
      <c r="Q632" s="1759"/>
      <c r="R632" s="1760"/>
      <c r="T632" s="1774" t="s">
        <v>1246</v>
      </c>
      <c r="U632" s="1759"/>
      <c r="V632" s="1759"/>
      <c r="W632" s="1760"/>
      <c r="Y632" s="1774" t="s">
        <v>1914</v>
      </c>
      <c r="Z632" s="1759"/>
      <c r="AA632" s="1759"/>
      <c r="AB632" s="1760"/>
      <c r="AD632" s="1774" t="s">
        <v>2101</v>
      </c>
      <c r="AE632" s="1759"/>
      <c r="AF632" s="1759"/>
      <c r="AG632" s="1760"/>
      <c r="AH632" s="1734"/>
      <c r="AI632" s="6747"/>
    </row>
    <row r="633" ht="20.25" customHeight="1">
      <c r="A633" s="6738"/>
      <c r="B633" s="1728"/>
      <c r="C633" s="7141"/>
      <c r="D633" s="1730"/>
      <c r="E633" s="1775" t="s">
        <v>573</v>
      </c>
      <c r="F633" s="1742"/>
      <c r="G633" s="1743"/>
      <c r="H633" s="1776" t="str">
        <f>IMAGE("https://raw.githubusercontent.com/msikma/pokesprite/master/items/hold-item/focus-sash.png",3)</f>
        <v/>
      </c>
      <c r="J633" s="1775" t="s">
        <v>573</v>
      </c>
      <c r="K633" s="1742"/>
      <c r="L633" s="1743"/>
      <c r="M633" s="1776" t="str">
        <f>IMAGE("https://raw.githubusercontent.com/msikma/pokesprite/master/items/hold-item/focus-sash.png",3)</f>
        <v/>
      </c>
      <c r="O633" s="1775" t="s">
        <v>2102</v>
      </c>
      <c r="P633" s="1742"/>
      <c r="Q633" s="1743"/>
      <c r="R633" s="1776" t="str">
        <f>IMAGE("https://raw.githubusercontent.com/msikma/pokesprite/master/items/hold-item/douse-drive.png",3)</f>
        <v/>
      </c>
      <c r="T633" s="1775" t="s">
        <v>541</v>
      </c>
      <c r="U633" s="1742"/>
      <c r="V633" s="1743"/>
      <c r="W633" s="1776" t="str">
        <f>IMAGE("https://raw.githubusercontent.com/msikma/pokesprite/master/items/hold-item/life-orb.png",3)</f>
        <v/>
      </c>
      <c r="Y633" s="1775" t="s">
        <v>2103</v>
      </c>
      <c r="Z633" s="1742"/>
      <c r="AA633" s="1743"/>
      <c r="AB633" s="1776" t="str">
        <f>IMAGE("https://raw.githubusercontent.com/msikma/pokesprite/master/items/z-crystals/buginium-z--held.png",3)</f>
        <v/>
      </c>
      <c r="AD633" s="1775" t="s">
        <v>1673</v>
      </c>
      <c r="AE633" s="1742"/>
      <c r="AF633" s="1743"/>
      <c r="AG633" s="1776" t="str">
        <f>IMAGE("https://raw.githubusercontent.com/msikma/pokesprite/master/items/mega-stone/pinsirite.png",3)</f>
        <v/>
      </c>
      <c r="AH633" s="1824"/>
      <c r="AI633" s="6747"/>
    </row>
    <row r="634" ht="20.25" customHeight="1">
      <c r="A634" s="6738"/>
      <c r="B634" s="1728"/>
      <c r="C634" s="1729"/>
      <c r="D634" s="1730"/>
      <c r="E634" s="1771" t="s">
        <v>583</v>
      </c>
      <c r="F634" s="1772"/>
      <c r="G634" s="1772"/>
      <c r="H634" s="1777" t="str">
        <f>IMAGE("https://raw.githubusercontent.com/msikma/pokesprite/master/misc/types/gen8/fighting.png",4,20,20)</f>
        <v/>
      </c>
      <c r="J634" s="1771" t="s">
        <v>1932</v>
      </c>
      <c r="K634" s="1772"/>
      <c r="L634" s="1772"/>
      <c r="M634" s="1777" t="str">
        <f>IMAGE("https://raw.githubusercontent.com/msikma/pokesprite/master/misc/types/gen8/water.png",4,20,20)</f>
        <v/>
      </c>
      <c r="O634" s="1771" t="s">
        <v>612</v>
      </c>
      <c r="P634" s="1772"/>
      <c r="Q634" s="1772"/>
      <c r="R634" s="1777" t="str">
        <f>IMAGE("https://raw.githubusercontent.com/msikma/pokesprite/master/misc/types/gen8/bug.png",4,20,20)</f>
        <v/>
      </c>
      <c r="T634" s="1771" t="s">
        <v>547</v>
      </c>
      <c r="U634" s="1772"/>
      <c r="V634" s="1772"/>
      <c r="W634" s="1777" t="str">
        <f>IMAGE("https://raw.githubusercontent.com/msikma/pokesprite/master/misc/types/gen8/electric.png",4,20,20)</f>
        <v/>
      </c>
      <c r="Y634" s="1771" t="s">
        <v>1712</v>
      </c>
      <c r="Z634" s="1772"/>
      <c r="AA634" s="1772"/>
      <c r="AB634" s="1777" t="str">
        <f>IMAGE("https://raw.githubusercontent.com/msikma/pokesprite/master/misc/types/gen8/bug.png",4,20,20)</f>
        <v/>
      </c>
      <c r="AD634" s="1771" t="s">
        <v>1712</v>
      </c>
      <c r="AE634" s="1772"/>
      <c r="AF634" s="1772"/>
      <c r="AG634" s="1777" t="str">
        <f>IMAGE("https://raw.githubusercontent.com/msikma/pokesprite/master/misc/types/gen8/bug.png",4,20,20)</f>
        <v/>
      </c>
      <c r="AH634" s="1734"/>
      <c r="AI634" s="6747"/>
    </row>
    <row r="635" ht="20.25" customHeight="1">
      <c r="A635" s="6738"/>
      <c r="B635" s="1728"/>
      <c r="C635" s="1729"/>
      <c r="D635" s="1730"/>
      <c r="E635" s="1774" t="s">
        <v>670</v>
      </c>
      <c r="F635" s="1759"/>
      <c r="G635" s="1759"/>
      <c r="H635" s="1778" t="str">
        <f>IMAGE("https://raw.githubusercontent.com/msikma/pokesprite/master/misc/types/gen8/ice.png",4,20,20)</f>
        <v/>
      </c>
      <c r="J635" s="1774" t="s">
        <v>666</v>
      </c>
      <c r="K635" s="1759"/>
      <c r="L635" s="1759"/>
      <c r="M635" s="1778" t="str">
        <f>IMAGE("https://raw.githubusercontent.com/msikma/pokesprite/master/misc/types/gen8/dark.png",4,20,20)</f>
        <v/>
      </c>
      <c r="O635" s="1774" t="s">
        <v>2104</v>
      </c>
      <c r="P635" s="1759"/>
      <c r="Q635" s="1759"/>
      <c r="R635" s="1778" t="str">
        <f>IMAGE("https://raw.githubusercontent.com/msikma/pokesprite/master/misc/types/gen8/water.png",4,20,20)</f>
        <v/>
      </c>
      <c r="T635" s="1774" t="s">
        <v>646</v>
      </c>
      <c r="U635" s="1759"/>
      <c r="V635" s="1759"/>
      <c r="W635" s="1778" t="str">
        <f>IMAGE("https://raw.githubusercontent.com/msikma/pokesprite/master/misc/types/gen8/steel.png",4,20,20)</f>
        <v/>
      </c>
      <c r="Y635" s="1774" t="s">
        <v>549</v>
      </c>
      <c r="Z635" s="1759"/>
      <c r="AA635" s="1759"/>
      <c r="AB635" s="1778" t="str">
        <f>IMAGE("https://raw.githubusercontent.com/msikma/pokesprite/master/misc/types/gen8/ground.png",4,20,20)</f>
        <v/>
      </c>
      <c r="AD635" s="1774" t="s">
        <v>958</v>
      </c>
      <c r="AE635" s="1759"/>
      <c r="AF635" s="1759"/>
      <c r="AG635" s="1778" t="str">
        <f>IMAGE("https://raw.githubusercontent.com/msikma/pokesprite/master/misc/types/gen8/flying.png",4,20,20)</f>
        <v/>
      </c>
      <c r="AH635" s="1734"/>
      <c r="AI635" s="6747"/>
    </row>
    <row r="636" ht="20.25" customHeight="1">
      <c r="A636" s="6738"/>
      <c r="B636" s="1728"/>
      <c r="C636" s="1729"/>
      <c r="D636" s="1730"/>
      <c r="E636" s="1774" t="s">
        <v>612</v>
      </c>
      <c r="F636" s="1759"/>
      <c r="G636" s="1759"/>
      <c r="H636" s="1778" t="str">
        <f>IMAGE("https://raw.githubusercontent.com/msikma/pokesprite/master/misc/types/gen8/bug.png",4,20,20)</f>
        <v/>
      </c>
      <c r="J636" s="1774" t="s">
        <v>718</v>
      </c>
      <c r="K636" s="1759"/>
      <c r="L636" s="1759"/>
      <c r="M636" s="1778" t="str">
        <f>IMAGE("https://raw.githubusercontent.com/msikma/pokesprite/master/misc/types/gen8/fighting.png",4,20,20)</f>
        <v/>
      </c>
      <c r="O636" s="1774" t="s">
        <v>547</v>
      </c>
      <c r="P636" s="1759"/>
      <c r="Q636" s="1759"/>
      <c r="R636" s="1778" t="str">
        <f>IMAGE("https://raw.githubusercontent.com/msikma/pokesprite/master/misc/types/gen8/electric.png",4,20,20)</f>
        <v/>
      </c>
      <c r="T636" s="1774" t="s">
        <v>581</v>
      </c>
      <c r="U636" s="1759"/>
      <c r="V636" s="1759"/>
      <c r="W636" s="1778" t="str">
        <f>IMAGE("https://raw.githubusercontent.com/msikma/pokesprite/master/misc/types/gen8/electric.png",4,20,20)</f>
        <v/>
      </c>
      <c r="Y636" s="1774" t="s">
        <v>739</v>
      </c>
      <c r="Z636" s="1759"/>
      <c r="AA636" s="1759"/>
      <c r="AB636" s="1778" t="str">
        <f>IMAGE("https://raw.githubusercontent.com/msikma/pokesprite/master/misc/types/gen8/steel.png",4,20,20)</f>
        <v/>
      </c>
      <c r="AD636" s="1774" t="s">
        <v>583</v>
      </c>
      <c r="AE636" s="1759"/>
      <c r="AF636" s="1759"/>
      <c r="AG636" s="1778" t="str">
        <f>IMAGE("https://raw.githubusercontent.com/msikma/pokesprite/master/misc/types/gen8/fighting.png",4,20,20)</f>
        <v/>
      </c>
      <c r="AH636" s="1734"/>
      <c r="AI636" s="6747"/>
    </row>
    <row r="637" ht="21.0" customHeight="1">
      <c r="A637" s="6738"/>
      <c r="B637" s="1728"/>
      <c r="C637" s="1729"/>
      <c r="D637" s="1730"/>
      <c r="E637" s="1779" t="s">
        <v>1152</v>
      </c>
      <c r="F637" s="1780"/>
      <c r="G637" s="1780"/>
      <c r="H637" s="1781" t="str">
        <f>IMAGE("https://raw.githubusercontent.com/msikma/pokesprite/master/misc/types/gen8/ground.png",4,20,20)</f>
        <v/>
      </c>
      <c r="I637" s="1725"/>
      <c r="J637" s="1779" t="s">
        <v>846</v>
      </c>
      <c r="K637" s="1780"/>
      <c r="L637" s="1780"/>
      <c r="M637" s="1781" t="str">
        <f>IMAGE("https://raw.githubusercontent.com/msikma/pokesprite/master/misc/types/gen8/bug.png",4,20,20)</f>
        <v/>
      </c>
      <c r="N637" s="1725"/>
      <c r="O637" s="1779" t="s">
        <v>670</v>
      </c>
      <c r="P637" s="1780"/>
      <c r="Q637" s="1780"/>
      <c r="R637" s="1781" t="str">
        <f>IMAGE("https://raw.githubusercontent.com/msikma/pokesprite/master/misc/types/gen8/ice.png",4,20,20)</f>
        <v/>
      </c>
      <c r="S637" s="1725"/>
      <c r="T637" s="1779" t="s">
        <v>553</v>
      </c>
      <c r="U637" s="1780"/>
      <c r="V637" s="1780"/>
      <c r="W637" s="1781" t="str">
        <f>IMAGE("https://raw.githubusercontent.com/msikma/pokesprite/master/misc/types/gen8/grass.png",4,20,20)</f>
        <v/>
      </c>
      <c r="X637" s="1725"/>
      <c r="Y637" s="1779" t="s">
        <v>287</v>
      </c>
      <c r="Z637" s="1780"/>
      <c r="AA637" s="1780"/>
      <c r="AB637" s="1781" t="str">
        <f>IMAGE("https://raw.githubusercontent.com/msikma/pokesprite/master/misc/types/gen8/normal.png",4,20,20)</f>
        <v/>
      </c>
      <c r="AC637" s="1725"/>
      <c r="AD637" s="1779" t="s">
        <v>287</v>
      </c>
      <c r="AE637" s="1780"/>
      <c r="AF637" s="1780"/>
      <c r="AG637" s="1781" t="str">
        <f>IMAGE("https://raw.githubusercontent.com/msikma/pokesprite/master/misc/types/gen8/flying.png",4,20,20)</f>
        <v/>
      </c>
      <c r="AH637" s="1734"/>
      <c r="AI637" s="6747"/>
    </row>
    <row r="638" ht="3.0" customHeight="1">
      <c r="A638" s="6738"/>
      <c r="B638" s="1783"/>
      <c r="C638" s="1784"/>
      <c r="D638" s="1826"/>
      <c r="E638" s="1827"/>
      <c r="F638" s="1827"/>
      <c r="G638" s="1827"/>
      <c r="H638" s="1827"/>
      <c r="I638" s="1828"/>
      <c r="J638" s="1827"/>
      <c r="K638" s="1827"/>
      <c r="L638" s="1827"/>
      <c r="M638" s="1827"/>
      <c r="N638" s="1828"/>
      <c r="O638" s="1827"/>
      <c r="P638" s="1827"/>
      <c r="Q638" s="1827"/>
      <c r="R638" s="1827"/>
      <c r="S638" s="1828"/>
      <c r="T638" s="1827"/>
      <c r="U638" s="1827"/>
      <c r="V638" s="1827"/>
      <c r="W638" s="1827"/>
      <c r="X638" s="1828"/>
      <c r="Y638" s="1827"/>
      <c r="Z638" s="1829"/>
      <c r="AA638" s="1829"/>
      <c r="AB638" s="1830"/>
      <c r="AC638" s="1831"/>
      <c r="AD638" s="1832"/>
      <c r="AE638" s="1832"/>
      <c r="AF638" s="1832"/>
      <c r="AG638" s="1830"/>
      <c r="AH638" s="1833"/>
      <c r="AI638" s="6747"/>
    </row>
    <row r="639" ht="16.5" customHeight="1">
      <c r="A639" s="6738"/>
      <c r="B639" s="1790"/>
      <c r="C639" s="1784"/>
      <c r="D639" s="1791"/>
      <c r="E639" s="1792" t="s">
        <v>512</v>
      </c>
      <c r="F639" s="606"/>
      <c r="G639" s="606"/>
      <c r="H639" s="607"/>
      <c r="I639" s="1793"/>
      <c r="J639" s="1792" t="s">
        <v>512</v>
      </c>
      <c r="K639" s="606"/>
      <c r="L639" s="606"/>
      <c r="M639" s="607"/>
      <c r="N639" s="1793"/>
      <c r="O639" s="1792" t="s">
        <v>512</v>
      </c>
      <c r="P639" s="606"/>
      <c r="Q639" s="606"/>
      <c r="R639" s="607"/>
      <c r="S639" s="1795"/>
      <c r="T639" s="1792" t="s">
        <v>512</v>
      </c>
      <c r="U639" s="606"/>
      <c r="V639" s="606"/>
      <c r="W639" s="607"/>
      <c r="X639" s="1796"/>
      <c r="Y639" s="1792" t="s">
        <v>512</v>
      </c>
      <c r="Z639" s="606"/>
      <c r="AA639" s="606"/>
      <c r="AB639" s="607"/>
      <c r="AC639" s="1796"/>
      <c r="AD639" s="1792" t="s">
        <v>512</v>
      </c>
      <c r="AE639" s="606"/>
      <c r="AF639" s="606"/>
      <c r="AG639" s="607"/>
      <c r="AH639" s="1834"/>
      <c r="AI639" s="6747"/>
    </row>
    <row r="640" ht="15.75" customHeight="1">
      <c r="A640" s="6738"/>
      <c r="B640" s="1790"/>
      <c r="C640" s="1784"/>
      <c r="D640" s="1791"/>
      <c r="E640" s="1799" t="s">
        <v>513</v>
      </c>
      <c r="F640" s="1800">
        <f t="array" ref="F640">IFERROR(VLOOKUP(E627,Dex!$B$3:$N1219,8,FALSE),"")</f>
        <v>71</v>
      </c>
      <c r="G640" s="1801" t="str">
        <f t="array" ref="G640">IFERROR(VLOOKUP(F640,Dex!$P$22:$Q$276,2,FALSE),"")</f>
        <v/>
      </c>
      <c r="H640" s="1802"/>
      <c r="I640" s="1835"/>
      <c r="J640" s="1799" t="s">
        <v>513</v>
      </c>
      <c r="K640" s="1800">
        <f t="array" ref="K640">IFERROR(VLOOKUP(J627,Dex!$B$3:$N1219,8,FALSE),"")</f>
        <v>81</v>
      </c>
      <c r="L640" s="1801" t="str">
        <f t="array" ref="L640">IFERROR(VLOOKUP(K640,Dex!$P$22:$Q$276,2,FALSE),"")</f>
        <v/>
      </c>
      <c r="M640" s="1802"/>
      <c r="N640" s="1835"/>
      <c r="O640" s="1799" t="s">
        <v>513</v>
      </c>
      <c r="P640" s="1800">
        <f t="array" ref="P640">IFERROR(VLOOKUP(O627,Dex!$B$3:$N1219,8,FALSE),"")</f>
        <v>71</v>
      </c>
      <c r="Q640" s="1801" t="str">
        <f t="array" ref="Q640">IFERROR(VLOOKUP(P640,Dex!$P$22:$Q$276,2,FALSE),"")</f>
        <v/>
      </c>
      <c r="R640" s="1802"/>
      <c r="S640" s="1836"/>
      <c r="T640" s="1799" t="s">
        <v>513</v>
      </c>
      <c r="U640" s="1800">
        <f t="array" ref="U640">IFERROR(VLOOKUP(T627,Dex!$B$3:$N1219,8,FALSE),"")</f>
        <v>70</v>
      </c>
      <c r="V640" s="1801" t="str">
        <f t="array" ref="V640">IFERROR(VLOOKUP(U640,Dex!$P$22:$Q$276,2,FALSE),"")</f>
        <v/>
      </c>
      <c r="W640" s="1802"/>
      <c r="X640" s="1837"/>
      <c r="Y640" s="1799" t="s">
        <v>513</v>
      </c>
      <c r="Z640" s="1800">
        <f t="array" ref="Z640">IFERROR(VLOOKUP(Y627,Dex!$B$3:$N1219,8,FALSE),"")</f>
        <v>120</v>
      </c>
      <c r="AA640" s="1801" t="str">
        <f t="array" ref="AA640">IFERROR(VLOOKUP(Z640,Dex!$P$22:$Q$276,2,FALSE),"")</f>
        <v/>
      </c>
      <c r="AB640" s="1802"/>
      <c r="AC640" s="1837"/>
      <c r="AD640" s="1799" t="s">
        <v>513</v>
      </c>
      <c r="AE640" s="1800">
        <f t="array" ref="AE640">IFERROR(VLOOKUP(AD627,Dex!$B$3:$N1219,8,FALSE),"")</f>
        <v>65</v>
      </c>
      <c r="AF640" s="1801" t="str">
        <f t="array" ref="AF640">IFERROR(VLOOKUP(AE640,Dex!$P$22:$Q$276,2,FALSE),"")</f>
        <v/>
      </c>
      <c r="AG640" s="1802"/>
      <c r="AH640" s="1838"/>
      <c r="AI640" s="6747"/>
    </row>
    <row r="641" ht="15.75" customHeight="1">
      <c r="A641" s="6738"/>
      <c r="B641" s="1790"/>
      <c r="C641" s="1784"/>
      <c r="D641" s="1791"/>
      <c r="E641" s="1805" t="s">
        <v>514</v>
      </c>
      <c r="F641" s="1806">
        <f t="array" ref="F641">IFERROR(VLOOKUP(E627,Dex!$B$3:$N1219,9,FALSE),"")</f>
        <v>137</v>
      </c>
      <c r="G641" s="1807" t="str">
        <f t="array" ref="G641">IFERROR(VLOOKUP(F641,Dex!$P$22:$Q$276,2,FALSE),"")</f>
        <v/>
      </c>
      <c r="H641" s="1808"/>
      <c r="I641" s="1835"/>
      <c r="J641" s="1805" t="s">
        <v>514</v>
      </c>
      <c r="K641" s="1806">
        <f t="array" ref="K641">IFERROR(VLOOKUP(J627,Dex!$B$3:$N1219,9,FALSE),"")</f>
        <v>63</v>
      </c>
      <c r="L641" s="1807" t="str">
        <f t="array" ref="L641">IFERROR(VLOOKUP(K641,Dex!$P$22:$Q$276,2,FALSE),"")</f>
        <v/>
      </c>
      <c r="M641" s="1808"/>
      <c r="N641" s="1835"/>
      <c r="O641" s="1805" t="s">
        <v>514</v>
      </c>
      <c r="P641" s="1806">
        <f t="array" ref="P641">IFERROR(VLOOKUP(O627,Dex!$B$3:$N1219,9,FALSE),"")</f>
        <v>120</v>
      </c>
      <c r="Q641" s="1807" t="str">
        <f t="array" ref="Q641">IFERROR(VLOOKUP(P641,Dex!$P$22:$Q$276,2,FALSE),"")</f>
        <v/>
      </c>
      <c r="R641" s="1808"/>
      <c r="S641" s="1836"/>
      <c r="T641" s="1805" t="s">
        <v>514</v>
      </c>
      <c r="U641" s="1806">
        <f t="array" ref="U641">IFERROR(VLOOKUP(T627,Dex!$B$3:$N1219,9,FALSE),"")</f>
        <v>70</v>
      </c>
      <c r="V641" s="1807" t="str">
        <f t="array" ref="V641">IFERROR(VLOOKUP(U641,Dex!$P$22:$Q$276,2,FALSE),"")</f>
        <v/>
      </c>
      <c r="W641" s="1808"/>
      <c r="X641" s="1837"/>
      <c r="Y641" s="1805" t="s">
        <v>514</v>
      </c>
      <c r="Z641" s="1806">
        <f t="array" ref="Z641">IFERROR(VLOOKUP(Y627,Dex!$B$3:$N1219,9,FALSE),"")</f>
        <v>120</v>
      </c>
      <c r="AA641" s="1807" t="str">
        <f t="array" ref="AA641">IFERROR(VLOOKUP(Z641,Dex!$P$22:$Q$276,2,FALSE),"")</f>
        <v/>
      </c>
      <c r="AB641" s="1808"/>
      <c r="AC641" s="1837"/>
      <c r="AD641" s="1805" t="s">
        <v>514</v>
      </c>
      <c r="AE641" s="1806">
        <f t="array" ref="AE641">IFERROR(VLOOKUP(AD627,Dex!$B$3:$N1219,9,FALSE),"")</f>
        <v>155</v>
      </c>
      <c r="AF641" s="1807" t="str">
        <f t="array" ref="AF641">IFERROR(VLOOKUP(AE641,Dex!$P$22:$Q$276,2,FALSE),"")</f>
        <v/>
      </c>
      <c r="AG641" s="1808"/>
      <c r="AH641" s="1838"/>
      <c r="AI641" s="6747"/>
    </row>
    <row r="642" ht="15.75" customHeight="1">
      <c r="A642" s="6738"/>
      <c r="B642" s="1790"/>
      <c r="C642" s="1784"/>
      <c r="D642" s="1791"/>
      <c r="E642" s="1805" t="s">
        <v>515</v>
      </c>
      <c r="F642" s="1806">
        <f t="array" ref="F642">IFERROR(VLOOKUP(E627,Dex!$B$3:$N1219,10,FALSE),"")</f>
        <v>37</v>
      </c>
      <c r="G642" s="1807" t="str">
        <f t="array" ref="G642">IFERROR(VLOOKUP(F642,Dex!$P$22:$Q$276,2,FALSE),"")</f>
        <v/>
      </c>
      <c r="H642" s="1808"/>
      <c r="I642" s="1835"/>
      <c r="J642" s="1805" t="s">
        <v>515</v>
      </c>
      <c r="K642" s="1806">
        <f t="array" ref="K642">IFERROR(VLOOKUP(J627,Dex!$B$3:$N1219,10,FALSE),"")</f>
        <v>83</v>
      </c>
      <c r="L642" s="1807" t="str">
        <f t="array" ref="L642">IFERROR(VLOOKUP(K642,Dex!$P$22:$Q$276,2,FALSE),"")</f>
        <v/>
      </c>
      <c r="M642" s="1808"/>
      <c r="N642" s="1835"/>
      <c r="O642" s="1805" t="s">
        <v>515</v>
      </c>
      <c r="P642" s="1806">
        <f t="array" ref="P642">IFERROR(VLOOKUP(O627,Dex!$B$3:$N1219,10,FALSE),"")</f>
        <v>95</v>
      </c>
      <c r="Q642" s="1807" t="str">
        <f t="array" ref="Q642">IFERROR(VLOOKUP(P642,Dex!$P$22:$Q$276,2,FALSE),"")</f>
        <v/>
      </c>
      <c r="R642" s="1808"/>
      <c r="S642" s="1836"/>
      <c r="T642" s="1805" t="s">
        <v>515</v>
      </c>
      <c r="U642" s="1806">
        <f t="array" ref="U642">IFERROR(VLOOKUP(T627,Dex!$B$3:$N1219,10,FALSE),"")</f>
        <v>115</v>
      </c>
      <c r="V642" s="1807" t="str">
        <f t="array" ref="V642">IFERROR(VLOOKUP(U642,Dex!$P$22:$Q$276,2,FALSE),"")</f>
        <v/>
      </c>
      <c r="W642" s="1808"/>
      <c r="X642" s="1837"/>
      <c r="Y642" s="1805" t="s">
        <v>515</v>
      </c>
      <c r="Z642" s="1806">
        <f t="array" ref="Z642">IFERROR(VLOOKUP(Y627,Dex!$B$3:$N1219,10,FALSE),"")</f>
        <v>120</v>
      </c>
      <c r="AA642" s="1807" t="str">
        <f t="array" ref="AA642">IFERROR(VLOOKUP(Z642,Dex!$P$22:$Q$276,2,FALSE),"")</f>
        <v/>
      </c>
      <c r="AB642" s="1808"/>
      <c r="AC642" s="1837"/>
      <c r="AD642" s="1805" t="s">
        <v>515</v>
      </c>
      <c r="AE642" s="1806">
        <f t="array" ref="AE642">IFERROR(VLOOKUP(AD627,Dex!$B$3:$N1219,10,FALSE),"")</f>
        <v>120</v>
      </c>
      <c r="AF642" s="1807" t="str">
        <f t="array" ref="AF642">IFERROR(VLOOKUP(AE642,Dex!$P$22:$Q$276,2,FALSE),"")</f>
        <v/>
      </c>
      <c r="AG642" s="1808"/>
      <c r="AH642" s="1838"/>
      <c r="AI642" s="6747"/>
    </row>
    <row r="643" ht="15.75" customHeight="1">
      <c r="A643" s="6738"/>
      <c r="B643" s="1790"/>
      <c r="C643" s="1784"/>
      <c r="D643" s="1791"/>
      <c r="E643" s="1805" t="s">
        <v>516</v>
      </c>
      <c r="F643" s="1806">
        <f t="array" ref="F643">IFERROR(VLOOKUP(E627,Dex!$B$3:$N1219,11,FALSE),"")</f>
        <v>137</v>
      </c>
      <c r="G643" s="1807" t="str">
        <f t="array" ref="G643">IFERROR(VLOOKUP(F643,Dex!$P$22:$Q$276,2,FALSE),"")</f>
        <v/>
      </c>
      <c r="H643" s="1808"/>
      <c r="I643" s="1835"/>
      <c r="J643" s="1805" t="s">
        <v>516</v>
      </c>
      <c r="K643" s="1806">
        <f t="array" ref="K643">IFERROR(VLOOKUP(J627,Dex!$B$3:$N1219,11,FALSE),"")</f>
        <v>110</v>
      </c>
      <c r="L643" s="1807" t="str">
        <f t="array" ref="L643">IFERROR(VLOOKUP(K643,Dex!$P$22:$Q$276,2,FALSE),"")</f>
        <v/>
      </c>
      <c r="M643" s="1808"/>
      <c r="N643" s="1835"/>
      <c r="O643" s="1805" t="s">
        <v>516</v>
      </c>
      <c r="P643" s="1806">
        <f t="array" ref="P643">IFERROR(VLOOKUP(O627,Dex!$B$3:$N1219,11,FALSE),"")</f>
        <v>120</v>
      </c>
      <c r="Q643" s="1807" t="str">
        <f t="array" ref="Q643">IFERROR(VLOOKUP(P643,Dex!$P$22:$Q$276,2,FALSE),"")</f>
        <v/>
      </c>
      <c r="R643" s="1808"/>
      <c r="S643" s="1836"/>
      <c r="T643" s="1805" t="s">
        <v>516</v>
      </c>
      <c r="U643" s="1806">
        <f t="array" ref="U643">IFERROR(VLOOKUP(T627,Dex!$B$3:$N1219,11,FALSE),"")</f>
        <v>130</v>
      </c>
      <c r="V643" s="1807" t="str">
        <f t="array" ref="V643">IFERROR(VLOOKUP(U643,Dex!$P$22:$Q$276,2,FALSE),"")</f>
        <v/>
      </c>
      <c r="W643" s="1808"/>
      <c r="X643" s="1837"/>
      <c r="Y643" s="1805" t="s">
        <v>516</v>
      </c>
      <c r="Z643" s="1806">
        <f t="array" ref="Z643">IFERROR(VLOOKUP(Y627,Dex!$B$3:$N1219,11,FALSE),"")</f>
        <v>120</v>
      </c>
      <c r="AA643" s="1807" t="str">
        <f t="array" ref="AA643">IFERROR(VLOOKUP(Z643,Dex!$P$22:$Q$276,2,FALSE),"")</f>
        <v/>
      </c>
      <c r="AB643" s="1808"/>
      <c r="AC643" s="1837"/>
      <c r="AD643" s="1805" t="s">
        <v>516</v>
      </c>
      <c r="AE643" s="1806">
        <f t="array" ref="AE643">IFERROR(VLOOKUP(AD627,Dex!$B$3:$N1219,11,FALSE),"")</f>
        <v>65</v>
      </c>
      <c r="AF643" s="1807" t="str">
        <f t="array" ref="AF643">IFERROR(VLOOKUP(AE643,Dex!$P$22:$Q$276,2,FALSE),"")</f>
        <v/>
      </c>
      <c r="AG643" s="1808"/>
      <c r="AH643" s="1838"/>
      <c r="AI643" s="6747"/>
    </row>
    <row r="644" ht="15.75" customHeight="1">
      <c r="A644" s="6738"/>
      <c r="B644" s="1790"/>
      <c r="C644" s="1784"/>
      <c r="D644" s="1791"/>
      <c r="E644" s="1805" t="s">
        <v>517</v>
      </c>
      <c r="F644" s="1806">
        <f t="array" ref="F644">IFERROR(VLOOKUP(E627,Dex!$B$3:$N1219,12,FALSE),"")</f>
        <v>37</v>
      </c>
      <c r="G644" s="1807" t="str">
        <f t="array" ref="G644">IFERROR(VLOOKUP(F644,Dex!$P$22:$Q$276,2,FALSE),"")</f>
        <v/>
      </c>
      <c r="H644" s="1808"/>
      <c r="I644" s="1835"/>
      <c r="J644" s="1805" t="s">
        <v>517</v>
      </c>
      <c r="K644" s="1806">
        <f t="array" ref="K644">IFERROR(VLOOKUP(J627,Dex!$B$3:$N1219,12,FALSE),"")</f>
        <v>79</v>
      </c>
      <c r="L644" s="1807" t="str">
        <f t="array" ref="L644">IFERROR(VLOOKUP(K644,Dex!$P$22:$Q$276,2,FALSE),"")</f>
        <v/>
      </c>
      <c r="M644" s="1808"/>
      <c r="N644" s="1835"/>
      <c r="O644" s="1805" t="s">
        <v>517</v>
      </c>
      <c r="P644" s="1806">
        <f t="array" ref="P644">IFERROR(VLOOKUP(O627,Dex!$B$3:$N1219,12,FALSE),"")</f>
        <v>95</v>
      </c>
      <c r="Q644" s="1807" t="str">
        <f t="array" ref="Q644">IFERROR(VLOOKUP(P644,Dex!$P$22:$Q$276,2,FALSE),"")</f>
        <v/>
      </c>
      <c r="R644" s="1808"/>
      <c r="S644" s="1836"/>
      <c r="T644" s="1805" t="s">
        <v>517</v>
      </c>
      <c r="U644" s="1806">
        <f t="array" ref="U644">IFERROR(VLOOKUP(T627,Dex!$B$3:$N1219,12,FALSE),"")</f>
        <v>90</v>
      </c>
      <c r="V644" s="1807" t="str">
        <f t="array" ref="V644">IFERROR(VLOOKUP(U644,Dex!$P$22:$Q$276,2,FALSE),"")</f>
        <v/>
      </c>
      <c r="W644" s="1808"/>
      <c r="X644" s="1837"/>
      <c r="Y644" s="1805" t="s">
        <v>517</v>
      </c>
      <c r="Z644" s="1806">
        <f t="array" ref="Z644">IFERROR(VLOOKUP(Y627,Dex!$B$3:$N1219,12,FALSE),"")</f>
        <v>120</v>
      </c>
      <c r="AA644" s="1807" t="str">
        <f t="array" ref="AA644">IFERROR(VLOOKUP(Z644,Dex!$P$22:$Q$276,2,FALSE),"")</f>
        <v/>
      </c>
      <c r="AB644" s="1808"/>
      <c r="AC644" s="1837"/>
      <c r="AD644" s="1805" t="s">
        <v>517</v>
      </c>
      <c r="AE644" s="1806">
        <f t="array" ref="AE644">IFERROR(VLOOKUP(AD627,Dex!$B$3:$N1219,12,FALSE),"")</f>
        <v>90</v>
      </c>
      <c r="AF644" s="1807" t="str">
        <f t="array" ref="AF644">IFERROR(VLOOKUP(AE644,Dex!$P$22:$Q$276,2,FALSE),"")</f>
        <v/>
      </c>
      <c r="AG644" s="1808"/>
      <c r="AH644" s="1838"/>
      <c r="AI644" s="6747"/>
    </row>
    <row r="645" ht="15.75" customHeight="1">
      <c r="A645" s="6738"/>
      <c r="B645" s="1790"/>
      <c r="C645" s="1784"/>
      <c r="D645" s="1791"/>
      <c r="E645" s="1809" t="s">
        <v>518</v>
      </c>
      <c r="F645" s="1810">
        <f t="array" ref="F645">IFERROR(VLOOKUP(E627,Dex!$B$3:$N1219,13,FALSE),"")</f>
        <v>151</v>
      </c>
      <c r="G645" s="1811" t="str">
        <f t="array" ref="G645">IFERROR(VLOOKUP(F645,Dex!$P$22:$Q$276,2,FALSE),"")</f>
        <v/>
      </c>
      <c r="H645" s="1812"/>
      <c r="I645" s="1835"/>
      <c r="J645" s="1809" t="s">
        <v>518</v>
      </c>
      <c r="K645" s="1810">
        <f t="array" ref="K645">IFERROR(VLOOKUP(J627,Dex!$B$3:$N1219,13,FALSE),"")</f>
        <v>97</v>
      </c>
      <c r="L645" s="1811" t="str">
        <f t="array" ref="L645">IFERROR(VLOOKUP(K645,Dex!$P$22:$Q$276,2,FALSE),"")</f>
        <v/>
      </c>
      <c r="M645" s="1812"/>
      <c r="N645" s="1835"/>
      <c r="O645" s="1809" t="s">
        <v>518</v>
      </c>
      <c r="P645" s="1810">
        <f t="array" ref="P645">IFERROR(VLOOKUP(O627,Dex!$B$3:$N1219,13,FALSE),"")</f>
        <v>99</v>
      </c>
      <c r="Q645" s="1811" t="str">
        <f t="array" ref="Q645">IFERROR(VLOOKUP(P645,Dex!$P$22:$Q$276,2,FALSE),"")</f>
        <v/>
      </c>
      <c r="R645" s="1812"/>
      <c r="S645" s="1836"/>
      <c r="T645" s="1809" t="s">
        <v>518</v>
      </c>
      <c r="U645" s="1810">
        <f t="array" ref="U645">IFERROR(VLOOKUP(T627,Dex!$B$3:$N1219,13,FALSE),"")</f>
        <v>60</v>
      </c>
      <c r="V645" s="1811" t="str">
        <f t="array" ref="V645">IFERROR(VLOOKUP(U645,Dex!$P$22:$Q$276,2,FALSE),"")</f>
        <v/>
      </c>
      <c r="W645" s="1812"/>
      <c r="X645" s="1837"/>
      <c r="Y645" s="1809" t="s">
        <v>518</v>
      </c>
      <c r="Z645" s="1810">
        <f t="array" ref="Z645">IFERROR(VLOOKUP(Y627,Dex!$B$3:$N1219,13,FALSE),"")</f>
        <v>120</v>
      </c>
      <c r="AA645" s="1811" t="str">
        <f t="array" ref="AA645">IFERROR(VLOOKUP(Z645,Dex!$P$22:$Q$276,2,FALSE),"")</f>
        <v/>
      </c>
      <c r="AB645" s="1812"/>
      <c r="AC645" s="1837"/>
      <c r="AD645" s="1809" t="s">
        <v>518</v>
      </c>
      <c r="AE645" s="1810">
        <f t="array" ref="AE645">IFERROR(VLOOKUP(AD627,Dex!$B$3:$N1219,13,FALSE),"")</f>
        <v>105</v>
      </c>
      <c r="AF645" s="1811" t="str">
        <f t="array" ref="AF645">IFERROR(VLOOKUP(AE645,Dex!$P$22:$Q$276,2,FALSE),"")</f>
        <v/>
      </c>
      <c r="AG645" s="1812"/>
      <c r="AH645" s="1838"/>
      <c r="AI645" s="6747"/>
    </row>
    <row r="646" ht="16.5" customHeight="1">
      <c r="A646" s="6738"/>
      <c r="B646" s="1790"/>
      <c r="C646" s="1784"/>
      <c r="D646" s="1791"/>
      <c r="E646" s="7142" t="s">
        <v>519</v>
      </c>
      <c r="F646" s="635"/>
      <c r="G646" s="636"/>
      <c r="H646" s="7143">
        <v>371.0</v>
      </c>
      <c r="I646" s="1793"/>
      <c r="J646" s="1813" t="s">
        <v>519</v>
      </c>
      <c r="K646" s="630"/>
      <c r="L646" s="631"/>
      <c r="M646" s="7144">
        <v>230.0</v>
      </c>
      <c r="N646" s="1793"/>
      <c r="O646" s="1813" t="s">
        <v>519</v>
      </c>
      <c r="P646" s="630"/>
      <c r="Q646" s="631"/>
      <c r="R646" s="7144">
        <v>234.0</v>
      </c>
      <c r="S646" s="1795"/>
      <c r="T646" s="1813" t="s">
        <v>519</v>
      </c>
      <c r="U646" s="630"/>
      <c r="V646" s="631"/>
      <c r="W646" s="7144">
        <v>171.0</v>
      </c>
      <c r="X646" s="1796"/>
      <c r="Y646" s="1813" t="s">
        <v>519</v>
      </c>
      <c r="Z646" s="630"/>
      <c r="AA646" s="631"/>
      <c r="AB646" s="7144">
        <v>303.0</v>
      </c>
      <c r="AC646" s="1796"/>
      <c r="AD646" s="1813" t="s">
        <v>519</v>
      </c>
      <c r="AE646" s="630"/>
      <c r="AF646" s="631"/>
      <c r="AG646" s="7144">
        <v>270.0</v>
      </c>
      <c r="AH646" s="1834"/>
      <c r="AI646" s="6747"/>
    </row>
    <row r="647" ht="16.5" customHeight="1">
      <c r="A647" s="6738"/>
      <c r="B647" s="7145"/>
      <c r="C647" s="7146"/>
      <c r="D647" s="7147"/>
      <c r="E647" s="7148" t="s">
        <v>2105</v>
      </c>
      <c r="F647" s="643"/>
      <c r="G647" s="644"/>
      <c r="H647" s="6787">
        <f>ROUNDDOWN(H646*1.5,0)</f>
        <v>556</v>
      </c>
      <c r="I647" s="7149"/>
      <c r="J647" s="7150"/>
      <c r="K647" s="7150"/>
      <c r="L647" s="7150"/>
      <c r="M647" s="7146"/>
      <c r="N647" s="7149"/>
      <c r="O647" s="7150"/>
      <c r="P647" s="7150"/>
      <c r="Q647" s="7150"/>
      <c r="R647" s="7146"/>
      <c r="S647" s="7151"/>
      <c r="T647" s="7150"/>
      <c r="U647" s="7150"/>
      <c r="V647" s="7150"/>
      <c r="W647" s="7146"/>
      <c r="X647" s="7152"/>
      <c r="Y647" s="7150"/>
      <c r="Z647" s="7150"/>
      <c r="AA647" s="7150"/>
      <c r="AB647" s="7146"/>
      <c r="AC647" s="7152"/>
      <c r="AD647" s="7150"/>
      <c r="AE647" s="7150"/>
      <c r="AF647" s="7150"/>
      <c r="AG647" s="7146"/>
      <c r="AH647" s="1834"/>
      <c r="AI647" s="6747"/>
    </row>
    <row r="648" ht="15.0" customHeight="1">
      <c r="A648" s="6738"/>
      <c r="B648" s="1839"/>
      <c r="C648" s="1840"/>
      <c r="D648" s="1841"/>
      <c r="E648" s="1840"/>
      <c r="F648" s="1840"/>
      <c r="G648" s="1840"/>
      <c r="H648" s="1840"/>
      <c r="I648" s="1841"/>
      <c r="J648" s="1840"/>
      <c r="K648" s="1840"/>
      <c r="L648" s="1840"/>
      <c r="M648" s="1840"/>
      <c r="N648" s="1841"/>
      <c r="O648" s="1840"/>
      <c r="P648" s="1840"/>
      <c r="Q648" s="1840"/>
      <c r="R648" s="1840"/>
      <c r="S648" s="1841"/>
      <c r="T648" s="1840"/>
      <c r="U648" s="1840"/>
      <c r="V648" s="1840"/>
      <c r="W648" s="1840"/>
      <c r="X648" s="1841"/>
      <c r="Y648" s="1840"/>
      <c r="Z648" s="1840"/>
      <c r="AA648" s="1840"/>
      <c r="AB648" s="1840"/>
      <c r="AC648" s="1841"/>
      <c r="AD648" s="1840"/>
      <c r="AE648" s="1840"/>
      <c r="AF648" s="1840"/>
      <c r="AG648" s="1840"/>
      <c r="AH648" s="1844"/>
      <c r="AI648" s="6747"/>
    </row>
    <row r="649" ht="15.0" customHeight="1">
      <c r="A649" s="6738"/>
      <c r="B649" s="7153"/>
      <c r="C649" s="7154"/>
      <c r="D649" s="7155"/>
      <c r="E649" s="7156"/>
      <c r="F649" s="7156"/>
      <c r="G649" s="7156"/>
      <c r="H649" s="7156"/>
      <c r="I649" s="7157"/>
      <c r="J649" s="7156"/>
      <c r="K649" s="7156"/>
      <c r="L649" s="7156"/>
      <c r="M649" s="7156"/>
      <c r="N649" s="7157"/>
      <c r="O649" s="7156"/>
      <c r="P649" s="7156"/>
      <c r="Q649" s="7156"/>
      <c r="R649" s="7156"/>
      <c r="S649" s="7157"/>
      <c r="T649" s="7156"/>
      <c r="U649" s="7156"/>
      <c r="V649" s="7156"/>
      <c r="W649" s="7156"/>
      <c r="X649" s="7157"/>
      <c r="Y649" s="7157"/>
      <c r="Z649" s="7157"/>
      <c r="AA649" s="7157"/>
      <c r="AB649" s="7157"/>
      <c r="AC649" s="7157"/>
      <c r="AD649" s="7157"/>
      <c r="AE649" s="7157"/>
      <c r="AF649" s="7157"/>
      <c r="AG649" s="7157"/>
      <c r="AH649" s="7158"/>
      <c r="AI649" s="6747"/>
    </row>
    <row r="650" ht="96.75" customHeight="1">
      <c r="A650" s="6676"/>
      <c r="B650" s="7159"/>
      <c r="C650" s="7160" t="str">
        <f>IMAGE("https://i.ibb.co/3vV7Cw8/Ranger.png")</f>
        <v/>
      </c>
      <c r="D650" s="7161"/>
      <c r="E650" s="7162" t="str">
        <f t="array" ref="E650">IFERROR(VLOOKUP(E651,Dex!$B$3:$G1219,3,FALSE),"")</f>
        <v/>
      </c>
      <c r="F650" s="1945"/>
      <c r="G650" s="1945"/>
      <c r="H650" s="1946"/>
      <c r="I650" s="7163"/>
      <c r="J650" s="7162" t="str">
        <f t="array" ref="J650">IFERROR(VLOOKUP(J651,Dex!$B$3:$G1219,3,FALSE),"")</f>
        <v/>
      </c>
      <c r="K650" s="1945"/>
      <c r="L650" s="1945"/>
      <c r="M650" s="1946"/>
      <c r="N650" s="7163"/>
      <c r="O650" s="7162" t="str">
        <f t="array" ref="O650">IFERROR(VLOOKUP(O651,Dex!$B$3:$G1219,3,FALSE),"")</f>
        <v/>
      </c>
      <c r="P650" s="1945"/>
      <c r="Q650" s="1945"/>
      <c r="R650" s="1946"/>
      <c r="S650" s="7163"/>
      <c r="T650" s="7162" t="str">
        <f t="array" ref="T650">IFERROR(VLOOKUP(T651,Dex!$B$3:$G1219,3,FALSE),"")</f>
        <v/>
      </c>
      <c r="U650" s="1945"/>
      <c r="V650" s="1945"/>
      <c r="W650" s="1946"/>
      <c r="X650" s="7164"/>
      <c r="Y650" s="7165"/>
      <c r="Z650" s="7166"/>
      <c r="AA650" s="7166"/>
      <c r="AB650" s="7167"/>
      <c r="AC650" s="7168"/>
      <c r="AD650" s="7165"/>
      <c r="AE650" s="7166"/>
      <c r="AF650" s="7166"/>
      <c r="AG650" s="7167"/>
      <c r="AH650" s="7169"/>
      <c r="AI650" s="6680"/>
    </row>
    <row r="651" ht="18.75" customHeight="1">
      <c r="A651" s="6691"/>
      <c r="B651" s="7170"/>
      <c r="C651" s="7171" t="s">
        <v>2106</v>
      </c>
      <c r="D651" s="7172"/>
      <c r="E651" s="7173" t="s">
        <v>820</v>
      </c>
      <c r="F651" s="7174"/>
      <c r="G651" s="7174"/>
      <c r="H651" s="7175"/>
      <c r="I651" s="7163"/>
      <c r="J651" s="7173" t="s">
        <v>2107</v>
      </c>
      <c r="K651" s="7174"/>
      <c r="L651" s="7174"/>
      <c r="M651" s="7175"/>
      <c r="N651" s="7163"/>
      <c r="O651" s="7173" t="s">
        <v>1615</v>
      </c>
      <c r="P651" s="7174"/>
      <c r="Q651" s="7174"/>
      <c r="R651" s="7175"/>
      <c r="S651" s="7163"/>
      <c r="T651" s="7173" t="s">
        <v>768</v>
      </c>
      <c r="U651" s="7174"/>
      <c r="V651" s="7174"/>
      <c r="W651" s="7175"/>
      <c r="X651" s="7176"/>
      <c r="Y651" s="7177"/>
      <c r="Z651" s="7166"/>
      <c r="AA651" s="7166"/>
      <c r="AB651" s="7167"/>
      <c r="AC651" s="7178"/>
      <c r="AD651" s="7177"/>
      <c r="AE651" s="7166"/>
      <c r="AF651" s="7166"/>
      <c r="AG651" s="7167"/>
      <c r="AH651" s="7179"/>
      <c r="AI651" s="6699"/>
    </row>
    <row r="652">
      <c r="A652" s="6676"/>
      <c r="B652" s="7159"/>
      <c r="C652" s="1638"/>
      <c r="D652" s="7180"/>
      <c r="E652" s="7181" t="s">
        <v>729</v>
      </c>
      <c r="F652" s="7182"/>
      <c r="G652" s="7182"/>
      <c r="H652" s="7183"/>
      <c r="I652" s="7163"/>
      <c r="J652" s="7181" t="s">
        <v>967</v>
      </c>
      <c r="K652" s="7182"/>
      <c r="L652" s="7182"/>
      <c r="M652" s="7183"/>
      <c r="N652" s="7163"/>
      <c r="O652" s="7181" t="s">
        <v>967</v>
      </c>
      <c r="P652" s="7182"/>
      <c r="Q652" s="7182"/>
      <c r="R652" s="7183"/>
      <c r="S652" s="7163"/>
      <c r="T652" s="7181" t="s">
        <v>729</v>
      </c>
      <c r="U652" s="7182"/>
      <c r="V652" s="7182"/>
      <c r="W652" s="7183"/>
      <c r="X652" s="7164"/>
      <c r="Y652" s="7165"/>
      <c r="Z652" s="7166"/>
      <c r="AA652" s="7166"/>
      <c r="AB652" s="7167"/>
      <c r="AC652" s="7168"/>
      <c r="AD652" s="7165"/>
      <c r="AE652" s="7166"/>
      <c r="AF652" s="7166"/>
      <c r="AG652" s="7167"/>
      <c r="AH652" s="7169"/>
      <c r="AI652" s="6680"/>
    </row>
    <row r="653" ht="25.5" customHeight="1">
      <c r="A653" s="6676"/>
      <c r="B653" s="7159"/>
      <c r="C653" s="1646"/>
      <c r="D653" s="7168"/>
      <c r="E653" s="7184"/>
      <c r="F653" s="7185" t="str">
        <f t="array" ref="F653">IFERROR(VLOOKUP(E651,Dex!$B$3:$H1219,5,FALSE),"")</f>
        <v/>
      </c>
      <c r="G653" s="7186" t="str">
        <f t="array" ref="G653">IFERROR(VLOOKUP(E651,Dex!$B$3:$H1219,7,FALSE),"")</f>
        <v/>
      </c>
      <c r="H653" s="7187"/>
      <c r="I653" s="7178"/>
      <c r="J653" s="7184"/>
      <c r="K653" s="7188" t="str">
        <f t="array" ref="K653">IFERROR(VLOOKUP(J651,Dex!$B$3:$H1219,5,FALSE),"")</f>
        <v/>
      </c>
      <c r="L653" s="7189"/>
      <c r="M653" s="7187"/>
      <c r="N653" s="7178"/>
      <c r="O653" s="7184"/>
      <c r="P653" s="7185" t="str">
        <f t="array" ref="P653">IFERROR(VLOOKUP(O651,Dex!$B$3:$H1219,5,FALSE),"")</f>
        <v/>
      </c>
      <c r="Q653" s="7186" t="str">
        <f t="array" ref="Q653">IFERROR(VLOOKUP(O651,Dex!$B$3:$H1219,7,FALSE),"")</f>
        <v/>
      </c>
      <c r="R653" s="7187"/>
      <c r="S653" s="7178"/>
      <c r="T653" s="7184"/>
      <c r="U653" s="7188" t="str">
        <f t="array" ref="U653">IFERROR(VLOOKUP(T651,Dex!$B$3:$H1219,5,FALSE),"")</f>
        <v/>
      </c>
      <c r="V653" s="7189"/>
      <c r="W653" s="7187"/>
      <c r="X653" s="7168"/>
      <c r="Y653" s="7165"/>
      <c r="Z653" s="7166"/>
      <c r="AA653" s="7166"/>
      <c r="AB653" s="7167"/>
      <c r="AC653" s="7168"/>
      <c r="AD653" s="7165"/>
      <c r="AE653" s="7166"/>
      <c r="AF653" s="7166"/>
      <c r="AG653" s="7167"/>
      <c r="AH653" s="7169"/>
      <c r="AI653" s="6680"/>
    </row>
    <row r="654" ht="2.25" customHeight="1">
      <c r="A654" s="6676"/>
      <c r="B654" s="7159"/>
      <c r="C654" s="7190"/>
      <c r="D654" s="7168"/>
      <c r="E654" s="7191"/>
      <c r="F654" s="7192"/>
      <c r="G654" s="7192"/>
      <c r="H654" s="7193"/>
      <c r="I654" s="7178"/>
      <c r="J654" s="7191"/>
      <c r="K654" s="7192"/>
      <c r="L654" s="7192"/>
      <c r="M654" s="7193"/>
      <c r="N654" s="7178"/>
      <c r="O654" s="7191"/>
      <c r="P654" s="7192"/>
      <c r="Q654" s="7192"/>
      <c r="R654" s="7193"/>
      <c r="S654" s="7178"/>
      <c r="T654" s="7191"/>
      <c r="U654" s="7192"/>
      <c r="V654" s="7192"/>
      <c r="W654" s="7193"/>
      <c r="X654" s="7168"/>
      <c r="Y654" s="7168"/>
      <c r="Z654" s="7168"/>
      <c r="AA654" s="7168"/>
      <c r="AB654" s="7168"/>
      <c r="AC654" s="7168"/>
      <c r="AD654" s="7168"/>
      <c r="AE654" s="7168"/>
      <c r="AF654" s="7168"/>
      <c r="AG654" s="7168"/>
      <c r="AH654" s="7169"/>
      <c r="AI654" s="6680"/>
    </row>
    <row r="655" ht="20.25" customHeight="1">
      <c r="A655" s="6676"/>
      <c r="B655" s="7159"/>
      <c r="C655" s="7190"/>
      <c r="D655" s="7165"/>
      <c r="E655" s="7194" t="s">
        <v>566</v>
      </c>
      <c r="F655" s="7195"/>
      <c r="G655" s="7195"/>
      <c r="H655" s="7196"/>
      <c r="I655" s="7163"/>
      <c r="J655" s="7194" t="s">
        <v>532</v>
      </c>
      <c r="K655" s="7195"/>
      <c r="L655" s="7195"/>
      <c r="M655" s="7196"/>
      <c r="N655" s="7163"/>
      <c r="O655" s="7194" t="s">
        <v>566</v>
      </c>
      <c r="P655" s="7195"/>
      <c r="Q655" s="7195"/>
      <c r="R655" s="7196"/>
      <c r="S655" s="7163"/>
      <c r="T655" s="7194" t="s">
        <v>564</v>
      </c>
      <c r="U655" s="7195"/>
      <c r="V655" s="7195"/>
      <c r="W655" s="7196"/>
      <c r="X655" s="7164"/>
      <c r="Y655" s="7165"/>
      <c r="Z655" s="7166"/>
      <c r="AA655" s="7166"/>
      <c r="AB655" s="7167"/>
      <c r="AC655" s="7168"/>
      <c r="AD655" s="7165"/>
      <c r="AE655" s="7166"/>
      <c r="AF655" s="7166"/>
      <c r="AG655" s="7167"/>
      <c r="AH655" s="7169"/>
      <c r="AI655" s="6680"/>
    </row>
    <row r="656" ht="20.25" customHeight="1">
      <c r="A656" s="6676"/>
      <c r="B656" s="7159"/>
      <c r="C656" s="7190"/>
      <c r="D656" s="7165"/>
      <c r="E656" s="7197" t="s">
        <v>826</v>
      </c>
      <c r="F656" s="7166"/>
      <c r="G656" s="7166"/>
      <c r="H656" s="7198"/>
      <c r="I656" s="7163"/>
      <c r="J656" s="7197" t="s">
        <v>755</v>
      </c>
      <c r="K656" s="7166"/>
      <c r="L656" s="7166"/>
      <c r="M656" s="7198"/>
      <c r="N656" s="7163"/>
      <c r="O656" s="7197" t="s">
        <v>603</v>
      </c>
      <c r="P656" s="7166"/>
      <c r="Q656" s="7166"/>
      <c r="R656" s="7198"/>
      <c r="S656" s="7163"/>
      <c r="T656" s="7199" t="s">
        <v>769</v>
      </c>
      <c r="U656" s="7166"/>
      <c r="V656" s="7166"/>
      <c r="W656" s="7198"/>
      <c r="X656" s="7164"/>
      <c r="Y656" s="7165"/>
      <c r="Z656" s="7166"/>
      <c r="AA656" s="7166"/>
      <c r="AB656" s="7167"/>
      <c r="AC656" s="7168"/>
      <c r="AD656" s="7165"/>
      <c r="AE656" s="7166"/>
      <c r="AF656" s="7166"/>
      <c r="AG656" s="7167"/>
      <c r="AH656" s="7169"/>
      <c r="AI656" s="6680"/>
    </row>
    <row r="657" ht="20.25" customHeight="1">
      <c r="A657" s="6676"/>
      <c r="B657" s="7159"/>
      <c r="C657" s="7190"/>
      <c r="D657" s="7165"/>
      <c r="E657" s="7200" t="s">
        <v>713</v>
      </c>
      <c r="F657" s="7201"/>
      <c r="G657" s="7202"/>
      <c r="H657" s="7203" t="str">
        <f>IMAGE("https://raw.githubusercontent.com/msikma/pokesprite/master/items/hold-item/assault-vest.png",3)</f>
        <v/>
      </c>
      <c r="I657" s="7177"/>
      <c r="J657" s="7200" t="s">
        <v>490</v>
      </c>
      <c r="K657" s="7201"/>
      <c r="L657" s="7202"/>
      <c r="M657" s="7203" t="str">
        <f>IMAGE("https://raw.githubusercontent.com/msikma/pokesprite/master/items/berry/lum.png",3)</f>
        <v/>
      </c>
      <c r="N657" s="7177"/>
      <c r="O657" s="7200" t="s">
        <v>1083</v>
      </c>
      <c r="P657" s="7201"/>
      <c r="Q657" s="7202"/>
      <c r="R657" s="7203" t="str">
        <f>IMAGE("https://raw.githubusercontent.com/msikma/pokesprite/master/items/berry/custap.png",3)</f>
        <v/>
      </c>
      <c r="S657" s="7177"/>
      <c r="T657" s="7200" t="s">
        <v>771</v>
      </c>
      <c r="U657" s="7201"/>
      <c r="V657" s="7202"/>
      <c r="W657" s="7203" t="str">
        <f>IMAGE("https://raw.githubusercontent.com/msikma/pokesprite/master/items/mega-stone/manectite.png",3)</f>
        <v/>
      </c>
      <c r="X657" s="7168"/>
      <c r="Y657" s="7165"/>
      <c r="Z657" s="7166"/>
      <c r="AA657" s="7166"/>
      <c r="AB657" s="7167"/>
      <c r="AC657" s="7168"/>
      <c r="AD657" s="7165"/>
      <c r="AE657" s="7166"/>
      <c r="AF657" s="7166"/>
      <c r="AG657" s="7167"/>
      <c r="AH657" s="7169"/>
      <c r="AI657" s="6680"/>
    </row>
    <row r="658" ht="20.25" customHeight="1">
      <c r="A658" s="6676"/>
      <c r="B658" s="7159"/>
      <c r="C658" s="7190"/>
      <c r="D658" s="7165"/>
      <c r="E658" s="7194" t="s">
        <v>831</v>
      </c>
      <c r="F658" s="7195"/>
      <c r="G658" s="7204"/>
      <c r="H658" s="7205" t="str">
        <f>IMAGE("https://raw.githubusercontent.com/msikma/pokesprite/master/misc/types/gen8/steel.png",4,20,20)</f>
        <v/>
      </c>
      <c r="I658" s="7177"/>
      <c r="J658" s="7194" t="s">
        <v>287</v>
      </c>
      <c r="K658" s="7195"/>
      <c r="L658" s="7204"/>
      <c r="M658" s="7205" t="str">
        <f>IMAGE("https://raw.githubusercontent.com/msikma/pokesprite/master/misc/types/gen8/normal.png",4,20,20)</f>
        <v/>
      </c>
      <c r="N658" s="7177"/>
      <c r="O658" s="7194" t="s">
        <v>695</v>
      </c>
      <c r="P658" s="7195"/>
      <c r="Q658" s="7204"/>
      <c r="R658" s="7205" t="str">
        <f>IMAGE("https://raw.githubusercontent.com/msikma/pokesprite/master/misc/types/gen8/ground.png",4,20,20)</f>
        <v/>
      </c>
      <c r="S658" s="7177"/>
      <c r="T658" s="7194" t="s">
        <v>581</v>
      </c>
      <c r="U658" s="7195"/>
      <c r="V658" s="7204"/>
      <c r="W658" s="7205" t="str">
        <f>IMAGE("https://raw.githubusercontent.com/msikma/pokesprite/master/misc/types/gen8/electric.png",4,20,20)</f>
        <v/>
      </c>
      <c r="X658" s="7168"/>
      <c r="Y658" s="7165"/>
      <c r="Z658" s="7166"/>
      <c r="AA658" s="7166"/>
      <c r="AB658" s="7167"/>
      <c r="AC658" s="7168"/>
      <c r="AD658" s="7165"/>
      <c r="AE658" s="7166"/>
      <c r="AF658" s="7166"/>
      <c r="AG658" s="7167"/>
      <c r="AH658" s="7169"/>
      <c r="AI658" s="6680"/>
    </row>
    <row r="659" ht="20.25" customHeight="1">
      <c r="A659" s="6676"/>
      <c r="B659" s="7159"/>
      <c r="C659" s="7206"/>
      <c r="D659" s="7165"/>
      <c r="E659" s="7207" t="s">
        <v>612</v>
      </c>
      <c r="F659" s="7166"/>
      <c r="G659" s="7167"/>
      <c r="H659" s="7208" t="str">
        <f>IMAGE("https://raw.githubusercontent.com/msikma/pokesprite/master/misc/types/gen8/bug.png",4,20,20)</f>
        <v/>
      </c>
      <c r="I659" s="7177"/>
      <c r="J659" s="7207" t="s">
        <v>154</v>
      </c>
      <c r="K659" s="7166"/>
      <c r="L659" s="7167"/>
      <c r="M659" s="7208" t="str">
        <f>IMAGE("https://raw.githubusercontent.com/msikma/pokesprite/master/misc/types/gen8/dragon.png",4,20,20)</f>
        <v/>
      </c>
      <c r="N659" s="7177"/>
      <c r="O659" s="7207" t="s">
        <v>621</v>
      </c>
      <c r="P659" s="7166"/>
      <c r="Q659" s="7167"/>
      <c r="R659" s="7208" t="str">
        <f>IMAGE("https://raw.githubusercontent.com/msikma/pokesprite/master/misc/types/gen8/rock.png",4,20,20)</f>
        <v/>
      </c>
      <c r="S659" s="7177"/>
      <c r="T659" s="7207" t="s">
        <v>553</v>
      </c>
      <c r="U659" s="7166"/>
      <c r="V659" s="7167"/>
      <c r="W659" s="7208" t="str">
        <f>IMAGE("https://raw.githubusercontent.com/msikma/pokesprite/master/misc/types/gen8/grass.png",4,20,20)</f>
        <v/>
      </c>
      <c r="X659" s="7168"/>
      <c r="Y659" s="7165"/>
      <c r="Z659" s="7166"/>
      <c r="AA659" s="7166"/>
      <c r="AB659" s="7167"/>
      <c r="AC659" s="7168"/>
      <c r="AD659" s="7165"/>
      <c r="AE659" s="7166"/>
      <c r="AF659" s="7166"/>
      <c r="AG659" s="7167"/>
      <c r="AH659" s="7169"/>
      <c r="AI659" s="6680"/>
    </row>
    <row r="660" ht="20.25" customHeight="1">
      <c r="A660" s="6676"/>
      <c r="B660" s="7159"/>
      <c r="C660" s="7206"/>
      <c r="D660" s="7165"/>
      <c r="E660" s="7197" t="s">
        <v>803</v>
      </c>
      <c r="F660" s="7166"/>
      <c r="G660" s="7167"/>
      <c r="H660" s="7208" t="str">
        <f>IMAGE("https://raw.githubusercontent.com/msikma/pokesprite/master/misc/types/gen8/fighting.png",4,20,20)</f>
        <v/>
      </c>
      <c r="I660" s="7177"/>
      <c r="J660" s="7197" t="s">
        <v>545</v>
      </c>
      <c r="K660" s="7166"/>
      <c r="L660" s="7167"/>
      <c r="M660" s="7208" t="str">
        <f>IMAGE("https://raw.githubusercontent.com/msikma/pokesprite/master/misc/types/gen8/poison.png",4,20,20)</f>
        <v/>
      </c>
      <c r="N660" s="7177"/>
      <c r="O660" s="7197" t="s">
        <v>554</v>
      </c>
      <c r="P660" s="7166"/>
      <c r="Q660" s="7167"/>
      <c r="R660" s="7208" t="str">
        <f>IMAGE("https://raw.githubusercontent.com/msikma/pokesprite/master/misc/types/gen8/dark.png",4,20,20)</f>
        <v/>
      </c>
      <c r="S660" s="7177"/>
      <c r="T660" s="7197" t="s">
        <v>619</v>
      </c>
      <c r="U660" s="7166"/>
      <c r="V660" s="7167"/>
      <c r="W660" s="7208" t="str">
        <f>IMAGE("https://raw.githubusercontent.com/msikma/pokesprite/master/misc/types/gen8/fire.png",4,20,20)</f>
        <v/>
      </c>
      <c r="X660" s="7168"/>
      <c r="Y660" s="7165"/>
      <c r="Z660" s="7166"/>
      <c r="AA660" s="7166"/>
      <c r="AB660" s="7167"/>
      <c r="AC660" s="7168"/>
      <c r="AD660" s="7165"/>
      <c r="AE660" s="7166"/>
      <c r="AF660" s="7166"/>
      <c r="AG660" s="7167"/>
      <c r="AH660" s="7169"/>
      <c r="AI660" s="6680"/>
    </row>
    <row r="661" ht="21.0" customHeight="1">
      <c r="A661" s="6676"/>
      <c r="B661" s="7159"/>
      <c r="C661" s="7206"/>
      <c r="D661" s="7165"/>
      <c r="E661" s="7209" t="s">
        <v>744</v>
      </c>
      <c r="F661" s="7210"/>
      <c r="G661" s="7211"/>
      <c r="H661" s="7212" t="str">
        <f>IMAGE("https://raw.githubusercontent.com/msikma/pokesprite/master/misc/types/gen8/flying.png",4,20,20)</f>
        <v/>
      </c>
      <c r="I661" s="7177"/>
      <c r="J661" s="7209" t="s">
        <v>583</v>
      </c>
      <c r="K661" s="7210"/>
      <c r="L661" s="7211"/>
      <c r="M661" s="7212" t="str">
        <f>IMAGE("https://raw.githubusercontent.com/msikma/pokesprite/master/misc/types/gen8/fighting.png",4,20,20)</f>
        <v/>
      </c>
      <c r="N661" s="7177"/>
      <c r="O661" s="7209" t="s">
        <v>591</v>
      </c>
      <c r="P661" s="7210"/>
      <c r="Q661" s="7211"/>
      <c r="R661" s="7212" t="str">
        <f>IMAGE("https://raw.githubusercontent.com/msikma/pokesprite/master/misc/types/gen8/normal.png",4,20,20)</f>
        <v/>
      </c>
      <c r="S661" s="7177"/>
      <c r="T661" s="7209" t="s">
        <v>547</v>
      </c>
      <c r="U661" s="7210"/>
      <c r="V661" s="7211"/>
      <c r="W661" s="7212" t="str">
        <f>IMAGE("https://raw.githubusercontent.com/msikma/pokesprite/master/misc/types/gen8/electric.png",4,20,20)</f>
        <v/>
      </c>
      <c r="X661" s="7168"/>
      <c r="Y661" s="7165"/>
      <c r="Z661" s="7166"/>
      <c r="AA661" s="7166"/>
      <c r="AB661" s="7167"/>
      <c r="AC661" s="7168"/>
      <c r="AD661" s="7165"/>
      <c r="AE661" s="7166"/>
      <c r="AF661" s="7166"/>
      <c r="AG661" s="7167"/>
      <c r="AH661" s="7169"/>
      <c r="AI661" s="6680"/>
    </row>
    <row r="662" ht="3.0" customHeight="1">
      <c r="A662" s="6738"/>
      <c r="B662" s="7213"/>
      <c r="C662" s="7214"/>
      <c r="D662" s="7215"/>
      <c r="E662" s="7216"/>
      <c r="F662" s="7216"/>
      <c r="G662" s="7216"/>
      <c r="H662" s="7215"/>
      <c r="I662" s="7215"/>
      <c r="J662" s="7216"/>
      <c r="K662" s="7216"/>
      <c r="L662" s="7216"/>
      <c r="M662" s="7215"/>
      <c r="N662" s="7215"/>
      <c r="O662" s="7216"/>
      <c r="P662" s="7216"/>
      <c r="Q662" s="7216"/>
      <c r="R662" s="7215"/>
      <c r="S662" s="7215"/>
      <c r="T662" s="7216"/>
      <c r="U662" s="7216"/>
      <c r="V662" s="7216"/>
      <c r="W662" s="7215"/>
      <c r="X662" s="7215"/>
      <c r="Y662" s="7215"/>
      <c r="Z662" s="7217"/>
      <c r="AA662" s="7217"/>
      <c r="AB662" s="7218"/>
      <c r="AC662" s="7218"/>
      <c r="AD662" s="7218"/>
      <c r="AE662" s="7218"/>
      <c r="AF662" s="7218"/>
      <c r="AG662" s="7218"/>
      <c r="AH662" s="7219"/>
      <c r="AI662" s="6747"/>
    </row>
    <row r="663" ht="16.5" customHeight="1">
      <c r="A663" s="6738"/>
      <c r="B663" s="7220"/>
      <c r="C663" s="7214"/>
      <c r="D663" s="7221"/>
      <c r="E663" s="7222" t="s">
        <v>512</v>
      </c>
      <c r="F663" s="606"/>
      <c r="G663" s="606"/>
      <c r="H663" s="607"/>
      <c r="I663" s="7221"/>
      <c r="J663" s="7222" t="s">
        <v>512</v>
      </c>
      <c r="K663" s="606"/>
      <c r="L663" s="606"/>
      <c r="M663" s="607"/>
      <c r="N663" s="7221"/>
      <c r="O663" s="7222" t="s">
        <v>512</v>
      </c>
      <c r="P663" s="606"/>
      <c r="Q663" s="606"/>
      <c r="R663" s="607"/>
      <c r="S663" s="7223"/>
      <c r="T663" s="7222" t="s">
        <v>512</v>
      </c>
      <c r="U663" s="606"/>
      <c r="V663" s="606"/>
      <c r="W663" s="607"/>
      <c r="X663" s="7224"/>
      <c r="Y663" s="7165"/>
      <c r="Z663" s="7166"/>
      <c r="AA663" s="7166"/>
      <c r="AB663" s="7167"/>
      <c r="AC663" s="7224"/>
      <c r="AD663" s="7165"/>
      <c r="AE663" s="7166"/>
      <c r="AF663" s="7166"/>
      <c r="AG663" s="7167"/>
      <c r="AH663" s="7225"/>
      <c r="AI663" s="6747"/>
    </row>
    <row r="664" ht="15.75" customHeight="1">
      <c r="A664" s="6738"/>
      <c r="B664" s="7220"/>
      <c r="C664" s="7214"/>
      <c r="D664" s="7226"/>
      <c r="E664" s="7227" t="s">
        <v>513</v>
      </c>
      <c r="F664" s="7228">
        <f t="array" ref="F664">IFERROR(VLOOKUP(E651,Dex!$B$3:$N1219,8,FALSE),"")</f>
        <v>70</v>
      </c>
      <c r="G664" s="7229" t="str">
        <f t="array" ref="G664">IFERROR(VLOOKUP(F664,Dex!$P$22:$Q$276,2,FALSE),"")</f>
        <v/>
      </c>
      <c r="H664" s="7230"/>
      <c r="I664" s="7231"/>
      <c r="J664" s="7227" t="s">
        <v>513</v>
      </c>
      <c r="K664" s="7228">
        <f t="array" ref="K664">IFERROR(VLOOKUP(J651,Dex!$B$3:$N1219,8,FALSE),"")</f>
        <v>76</v>
      </c>
      <c r="L664" s="7229" t="str">
        <f t="array" ref="L664">IFERROR(VLOOKUP(K664,Dex!$P$22:$Q$276,2,FALSE),"")</f>
        <v/>
      </c>
      <c r="M664" s="7230"/>
      <c r="N664" s="7231"/>
      <c r="O664" s="7227" t="s">
        <v>513</v>
      </c>
      <c r="P664" s="7228">
        <f t="array" ref="P664">IFERROR(VLOOKUP(O651,Dex!$B$3:$N1219,8,FALSE),"")</f>
        <v>80</v>
      </c>
      <c r="Q664" s="7229" t="str">
        <f t="array" ref="Q664">IFERROR(VLOOKUP(P664,Dex!$P$22:$Q$276,2,FALSE),"")</f>
        <v/>
      </c>
      <c r="R664" s="7230"/>
      <c r="S664" s="7232"/>
      <c r="T664" s="7227" t="s">
        <v>513</v>
      </c>
      <c r="U664" s="7228">
        <f t="array" ref="U664">IFERROR(VLOOKUP(T651,Dex!$B$3:$N1219,8,FALSE),"")</f>
        <v>70</v>
      </c>
      <c r="V664" s="7229" t="str">
        <f t="array" ref="V664">IFERROR(VLOOKUP(U664,Dex!$P$22:$Q$276,2,FALSE),"")</f>
        <v/>
      </c>
      <c r="W664" s="7230"/>
      <c r="X664" s="7233"/>
      <c r="Y664" s="7165"/>
      <c r="Z664" s="7166"/>
      <c r="AA664" s="7166"/>
      <c r="AB664" s="7167"/>
      <c r="AC664" s="7233"/>
      <c r="AD664" s="7165"/>
      <c r="AE664" s="7166"/>
      <c r="AF664" s="7166"/>
      <c r="AG664" s="7167"/>
      <c r="AH664" s="7234"/>
      <c r="AI664" s="6747"/>
    </row>
    <row r="665" ht="15.75" customHeight="1">
      <c r="A665" s="6738"/>
      <c r="B665" s="7220"/>
      <c r="C665" s="7214"/>
      <c r="D665" s="7226"/>
      <c r="E665" s="7235" t="s">
        <v>514</v>
      </c>
      <c r="F665" s="7236">
        <f t="array" ref="F665">IFERROR(VLOOKUP(E651,Dex!$B$3:$N1219,9,FALSE),"")</f>
        <v>130</v>
      </c>
      <c r="G665" s="7237" t="str">
        <f t="array" ref="G665">IFERROR(VLOOKUP(F665,Dex!$P$22:$Q$276,2,FALSE),"")</f>
        <v/>
      </c>
      <c r="H665" s="7238"/>
      <c r="I665" s="7231"/>
      <c r="J665" s="7235" t="s">
        <v>514</v>
      </c>
      <c r="K665" s="7236">
        <f t="array" ref="K665">IFERROR(VLOOKUP(J651,Dex!$B$3:$N1219,9,FALSE),"")</f>
        <v>147</v>
      </c>
      <c r="L665" s="7237" t="str">
        <f t="array" ref="L665">IFERROR(VLOOKUP(K665,Dex!$P$22:$Q$276,2,FALSE),"")</f>
        <v/>
      </c>
      <c r="M665" s="7238"/>
      <c r="N665" s="7231"/>
      <c r="O665" s="7235" t="s">
        <v>514</v>
      </c>
      <c r="P665" s="7236">
        <f t="array" ref="P665">IFERROR(VLOOKUP(O651,Dex!$B$3:$N1219,9,FALSE),"")</f>
        <v>120</v>
      </c>
      <c r="Q665" s="7237" t="str">
        <f t="array" ref="Q665">IFERROR(VLOOKUP(P665,Dex!$P$22:$Q$276,2,FALSE),"")</f>
        <v/>
      </c>
      <c r="R665" s="7238"/>
      <c r="S665" s="7232"/>
      <c r="T665" s="7235" t="s">
        <v>514</v>
      </c>
      <c r="U665" s="7236">
        <f t="array" ref="U665">IFERROR(VLOOKUP(T651,Dex!$B$3:$N1219,9,FALSE),"")</f>
        <v>75</v>
      </c>
      <c r="V665" s="7237" t="str">
        <f t="array" ref="V665">IFERROR(VLOOKUP(U665,Dex!$P$22:$Q$276,2,FALSE),"")</f>
        <v/>
      </c>
      <c r="W665" s="7238"/>
      <c r="X665" s="7233"/>
      <c r="Y665" s="7165"/>
      <c r="Z665" s="7166"/>
      <c r="AA665" s="7166"/>
      <c r="AB665" s="7167"/>
      <c r="AC665" s="7233"/>
      <c r="AD665" s="7165"/>
      <c r="AE665" s="7166"/>
      <c r="AF665" s="7166"/>
      <c r="AG665" s="7167"/>
      <c r="AH665" s="7234"/>
      <c r="AI665" s="6747"/>
    </row>
    <row r="666" ht="15.75" customHeight="1">
      <c r="A666" s="6738"/>
      <c r="B666" s="7220"/>
      <c r="C666" s="7214"/>
      <c r="D666" s="7226"/>
      <c r="E666" s="7235" t="s">
        <v>515</v>
      </c>
      <c r="F666" s="7236">
        <f t="array" ref="F666">IFERROR(VLOOKUP(E651,Dex!$B$3:$N1219,10,FALSE),"")</f>
        <v>100</v>
      </c>
      <c r="G666" s="7237" t="str">
        <f t="array" ref="G666">IFERROR(VLOOKUP(F666,Dex!$P$22:$Q$276,2,FALSE),"")</f>
        <v/>
      </c>
      <c r="H666" s="7238"/>
      <c r="I666" s="7231"/>
      <c r="J666" s="7235" t="s">
        <v>515</v>
      </c>
      <c r="K666" s="7236">
        <f t="array" ref="K666">IFERROR(VLOOKUP(J651,Dex!$B$3:$N1219,10,FALSE),"")</f>
        <v>90</v>
      </c>
      <c r="L666" s="7237" t="str">
        <f t="array" ref="L666">IFERROR(VLOOKUP(K666,Dex!$P$22:$Q$276,2,FALSE),"")</f>
        <v/>
      </c>
      <c r="M666" s="7238"/>
      <c r="N666" s="7231"/>
      <c r="O666" s="7235" t="s">
        <v>515</v>
      </c>
      <c r="P666" s="7236">
        <f t="array" ref="P666">IFERROR(VLOOKUP(O651,Dex!$B$3:$N1219,10,FALSE),"")</f>
        <v>130</v>
      </c>
      <c r="Q666" s="7237" t="str">
        <f t="array" ref="Q666">IFERROR(VLOOKUP(P666,Dex!$P$22:$Q$276,2,FALSE),"")</f>
        <v/>
      </c>
      <c r="R666" s="7238"/>
      <c r="S666" s="7232"/>
      <c r="T666" s="7235" t="s">
        <v>515</v>
      </c>
      <c r="U666" s="7236">
        <f t="array" ref="U666">IFERROR(VLOOKUP(T651,Dex!$B$3:$N1219,10,FALSE),"")</f>
        <v>80</v>
      </c>
      <c r="V666" s="7237" t="str">
        <f t="array" ref="V666">IFERROR(VLOOKUP(U666,Dex!$P$22:$Q$276,2,FALSE),"")</f>
        <v/>
      </c>
      <c r="W666" s="7238"/>
      <c r="X666" s="7233"/>
      <c r="Y666" s="7165"/>
      <c r="Z666" s="7166"/>
      <c r="AA666" s="7166"/>
      <c r="AB666" s="7167"/>
      <c r="AC666" s="7233"/>
      <c r="AD666" s="7165"/>
      <c r="AE666" s="7166"/>
      <c r="AF666" s="7166"/>
      <c r="AG666" s="7167"/>
      <c r="AH666" s="7234"/>
      <c r="AI666" s="6747"/>
    </row>
    <row r="667" ht="15.75" customHeight="1">
      <c r="A667" s="6738"/>
      <c r="B667" s="7220"/>
      <c r="C667" s="7214"/>
      <c r="D667" s="7226"/>
      <c r="E667" s="7235" t="s">
        <v>516</v>
      </c>
      <c r="F667" s="7236">
        <f t="array" ref="F667">IFERROR(VLOOKUP(E651,Dex!$B$3:$N1219,11,FALSE),"")</f>
        <v>55</v>
      </c>
      <c r="G667" s="7237" t="str">
        <f t="array" ref="G667">IFERROR(VLOOKUP(F667,Dex!$P$22:$Q$276,2,FALSE),"")</f>
        <v/>
      </c>
      <c r="H667" s="7238"/>
      <c r="I667" s="7231"/>
      <c r="J667" s="7235" t="s">
        <v>516</v>
      </c>
      <c r="K667" s="7236">
        <f t="array" ref="K667">IFERROR(VLOOKUP(J651,Dex!$B$3:$N1219,11,FALSE),"")</f>
        <v>60</v>
      </c>
      <c r="L667" s="7237" t="str">
        <f t="array" ref="L667">IFERROR(VLOOKUP(K667,Dex!$P$22:$Q$276,2,FALSE),"")</f>
        <v/>
      </c>
      <c r="M667" s="7238"/>
      <c r="N667" s="7231"/>
      <c r="O667" s="7235" t="s">
        <v>516</v>
      </c>
      <c r="P667" s="7236">
        <f t="array" ref="P667">IFERROR(VLOOKUP(O651,Dex!$B$3:$N1219,11,FALSE),"")</f>
        <v>55</v>
      </c>
      <c r="Q667" s="7237" t="str">
        <f t="array" ref="Q667">IFERROR(VLOOKUP(P667,Dex!$P$22:$Q$276,2,FALSE),"")</f>
        <v/>
      </c>
      <c r="R667" s="7238"/>
      <c r="S667" s="7232"/>
      <c r="T667" s="7235" t="s">
        <v>516</v>
      </c>
      <c r="U667" s="7236">
        <f t="array" ref="U667">IFERROR(VLOOKUP(T651,Dex!$B$3:$N1219,11,FALSE),"")</f>
        <v>135</v>
      </c>
      <c r="V667" s="7237" t="str">
        <f t="array" ref="V667">IFERROR(VLOOKUP(U667,Dex!$P$22:$Q$276,2,FALSE),"")</f>
        <v/>
      </c>
      <c r="W667" s="7238"/>
      <c r="X667" s="7233"/>
      <c r="Y667" s="7165"/>
      <c r="Z667" s="7166"/>
      <c r="AA667" s="7166"/>
      <c r="AB667" s="7167"/>
      <c r="AC667" s="7233"/>
      <c r="AD667" s="7165"/>
      <c r="AE667" s="7166"/>
      <c r="AF667" s="7166"/>
      <c r="AG667" s="7167"/>
      <c r="AH667" s="7234"/>
      <c r="AI667" s="6747"/>
    </row>
    <row r="668" ht="15.75" customHeight="1">
      <c r="A668" s="6738"/>
      <c r="B668" s="7220"/>
      <c r="C668" s="7214"/>
      <c r="D668" s="7226"/>
      <c r="E668" s="7235" t="s">
        <v>517</v>
      </c>
      <c r="F668" s="7236">
        <f t="array" ref="F668">IFERROR(VLOOKUP(E651,Dex!$B$3:$N1219,12,FALSE),"")</f>
        <v>80</v>
      </c>
      <c r="G668" s="7237" t="str">
        <f t="array" ref="G668">IFERROR(VLOOKUP(F668,Dex!$P$22:$Q$276,2,FALSE),"")</f>
        <v/>
      </c>
      <c r="H668" s="7238"/>
      <c r="I668" s="7231"/>
      <c r="J668" s="7235" t="s">
        <v>517</v>
      </c>
      <c r="K668" s="7236">
        <f t="array" ref="K668">IFERROR(VLOOKUP(J651,Dex!$B$3:$N1219,12,FALSE),"")</f>
        <v>70</v>
      </c>
      <c r="L668" s="7237" t="str">
        <f t="array" ref="L668">IFERROR(VLOOKUP(K668,Dex!$P$22:$Q$276,2,FALSE),"")</f>
        <v/>
      </c>
      <c r="M668" s="7238"/>
      <c r="N668" s="7231"/>
      <c r="O668" s="7235" t="s">
        <v>517</v>
      </c>
      <c r="P668" s="7236">
        <f t="array" ref="P668">IFERROR(VLOOKUP(O651,Dex!$B$3:$N1219,12,FALSE),"")</f>
        <v>65</v>
      </c>
      <c r="Q668" s="7237" t="str">
        <f t="array" ref="Q668">IFERROR(VLOOKUP(P668,Dex!$P$22:$Q$276,2,FALSE),"")</f>
        <v/>
      </c>
      <c r="R668" s="7238"/>
      <c r="S668" s="7232"/>
      <c r="T668" s="7235" t="s">
        <v>517</v>
      </c>
      <c r="U668" s="7236">
        <f t="array" ref="U668">IFERROR(VLOOKUP(T651,Dex!$B$3:$N1219,12,FALSE),"")</f>
        <v>80</v>
      </c>
      <c r="V668" s="7237" t="str">
        <f t="array" ref="V668">IFERROR(VLOOKUP(U668,Dex!$P$22:$Q$276,2,FALSE),"")</f>
        <v/>
      </c>
      <c r="W668" s="7238"/>
      <c r="X668" s="7233"/>
      <c r="Y668" s="7165"/>
      <c r="Z668" s="7166"/>
      <c r="AA668" s="7166"/>
      <c r="AB668" s="7167"/>
      <c r="AC668" s="7233"/>
      <c r="AD668" s="7165"/>
      <c r="AE668" s="7166"/>
      <c r="AF668" s="7166"/>
      <c r="AG668" s="7167"/>
      <c r="AH668" s="7234"/>
      <c r="AI668" s="6747"/>
    </row>
    <row r="669" ht="15.75" customHeight="1">
      <c r="A669" s="6738"/>
      <c r="B669" s="7220"/>
      <c r="C669" s="7214"/>
      <c r="D669" s="7226"/>
      <c r="E669" s="7239" t="s">
        <v>518</v>
      </c>
      <c r="F669" s="7240">
        <f t="array" ref="F669">IFERROR(VLOOKUP(E651,Dex!$B$3:$N1219,13,FALSE),"")</f>
        <v>65</v>
      </c>
      <c r="G669" s="7241" t="str">
        <f t="array" ref="G669">IFERROR(VLOOKUP(F669,Dex!$P$22:$Q$276,2,FALSE),"")</f>
        <v/>
      </c>
      <c r="H669" s="7242"/>
      <c r="I669" s="7231"/>
      <c r="J669" s="7239" t="s">
        <v>518</v>
      </c>
      <c r="K669" s="7240">
        <f t="array" ref="K669">IFERROR(VLOOKUP(J651,Dex!$B$3:$N1219,13,FALSE),"")</f>
        <v>97</v>
      </c>
      <c r="L669" s="7241" t="str">
        <f t="array" ref="L669">IFERROR(VLOOKUP(K669,Dex!$P$22:$Q$276,2,FALSE),"")</f>
        <v/>
      </c>
      <c r="M669" s="7242"/>
      <c r="N669" s="7231"/>
      <c r="O669" s="7239" t="s">
        <v>518</v>
      </c>
      <c r="P669" s="7240">
        <f t="array" ref="P669">IFERROR(VLOOKUP(O651,Dex!$B$3:$N1219,13,FALSE),"")</f>
        <v>45</v>
      </c>
      <c r="Q669" s="7241" t="str">
        <f t="array" ref="Q669">IFERROR(VLOOKUP(P669,Dex!$P$22:$Q$276,2,FALSE),"")</f>
        <v/>
      </c>
      <c r="R669" s="7242"/>
      <c r="S669" s="7232"/>
      <c r="T669" s="7239" t="s">
        <v>518</v>
      </c>
      <c r="U669" s="7240">
        <f t="array" ref="U669">IFERROR(VLOOKUP(T651,Dex!$B$3:$N1219,13,FALSE),"")</f>
        <v>135</v>
      </c>
      <c r="V669" s="7241" t="str">
        <f t="array" ref="V669">IFERROR(VLOOKUP(U669,Dex!$P$22:$Q$276,2,FALSE),"")</f>
        <v/>
      </c>
      <c r="W669" s="7242"/>
      <c r="X669" s="7233"/>
      <c r="Y669" s="7165"/>
      <c r="Z669" s="7166"/>
      <c r="AA669" s="7166"/>
      <c r="AB669" s="7167"/>
      <c r="AC669" s="7233"/>
      <c r="AD669" s="7165"/>
      <c r="AE669" s="7166"/>
      <c r="AF669" s="7166"/>
      <c r="AG669" s="7167"/>
      <c r="AH669" s="7234"/>
      <c r="AI669" s="6747"/>
    </row>
    <row r="670" ht="16.5" customHeight="1">
      <c r="A670" s="6738"/>
      <c r="B670" s="7220"/>
      <c r="C670" s="7214"/>
      <c r="D670" s="7221"/>
      <c r="E670" s="7243" t="s">
        <v>519</v>
      </c>
      <c r="F670" s="630"/>
      <c r="G670" s="631"/>
      <c r="H670" s="7244">
        <v>166.0</v>
      </c>
      <c r="I670" s="7221"/>
      <c r="J670" s="7243" t="s">
        <v>519</v>
      </c>
      <c r="K670" s="630"/>
      <c r="L670" s="631"/>
      <c r="M670" s="7244">
        <v>249.0</v>
      </c>
      <c r="N670" s="7221"/>
      <c r="O670" s="7243" t="s">
        <v>519</v>
      </c>
      <c r="P670" s="630"/>
      <c r="Q670" s="631"/>
      <c r="R670" s="7244">
        <v>124.0</v>
      </c>
      <c r="S670" s="7223"/>
      <c r="T670" s="7243" t="s">
        <v>519</v>
      </c>
      <c r="U670" s="630"/>
      <c r="V670" s="631"/>
      <c r="W670" s="7244">
        <v>336.0</v>
      </c>
      <c r="X670" s="7224"/>
      <c r="Y670" s="7165"/>
      <c r="Z670" s="7166"/>
      <c r="AA670" s="7166"/>
      <c r="AB670" s="7167"/>
      <c r="AC670" s="7224"/>
      <c r="AD670" s="7165"/>
      <c r="AE670" s="7166"/>
      <c r="AF670" s="7166"/>
      <c r="AG670" s="7167"/>
      <c r="AH670" s="7225"/>
      <c r="AI670" s="6747"/>
    </row>
    <row r="671" ht="15.0" customHeight="1">
      <c r="A671" s="6738"/>
      <c r="B671" s="7245"/>
      <c r="C671" s="7246"/>
      <c r="D671" s="7247"/>
      <c r="E671" s="7248"/>
      <c r="F671" s="7248"/>
      <c r="G671" s="7248"/>
      <c r="H671" s="7246"/>
      <c r="I671" s="7247"/>
      <c r="J671" s="7248"/>
      <c r="K671" s="7248"/>
      <c r="L671" s="7248"/>
      <c r="M671" s="7246"/>
      <c r="N671" s="7247"/>
      <c r="O671" s="7248"/>
      <c r="P671" s="7248"/>
      <c r="Q671" s="7248"/>
      <c r="R671" s="7246"/>
      <c r="S671" s="7249"/>
      <c r="T671" s="7248"/>
      <c r="U671" s="7248"/>
      <c r="V671" s="7248"/>
      <c r="W671" s="7246"/>
      <c r="X671" s="7250"/>
      <c r="Y671" s="7246"/>
      <c r="Z671" s="7246"/>
      <c r="AA671" s="7246"/>
      <c r="AB671" s="7246"/>
      <c r="AC671" s="7250"/>
      <c r="AD671" s="7246"/>
      <c r="AE671" s="7246"/>
      <c r="AF671" s="7246"/>
      <c r="AG671" s="7246"/>
      <c r="AH671" s="7251"/>
      <c r="AI671" s="6747"/>
    </row>
    <row r="672" ht="15.0" customHeight="1">
      <c r="A672" s="6738"/>
      <c r="B672" s="7153"/>
      <c r="C672" s="7154"/>
      <c r="D672" s="7155"/>
      <c r="E672" s="7156"/>
      <c r="F672" s="7156"/>
      <c r="G672" s="7156"/>
      <c r="H672" s="7156"/>
      <c r="I672" s="7157"/>
      <c r="J672" s="7156"/>
      <c r="K672" s="7156"/>
      <c r="L672" s="7156"/>
      <c r="M672" s="7156"/>
      <c r="N672" s="7157"/>
      <c r="O672" s="7156"/>
      <c r="P672" s="7156"/>
      <c r="Q672" s="7156"/>
      <c r="R672" s="7156"/>
      <c r="S672" s="7157"/>
      <c r="T672" s="7156"/>
      <c r="U672" s="7156"/>
      <c r="V672" s="7156"/>
      <c r="W672" s="7156"/>
      <c r="X672" s="7157"/>
      <c r="Y672" s="7157"/>
      <c r="Z672" s="7157"/>
      <c r="AA672" s="7157"/>
      <c r="AB672" s="7157"/>
      <c r="AC672" s="7157"/>
      <c r="AD672" s="7157"/>
      <c r="AE672" s="7157"/>
      <c r="AF672" s="7157"/>
      <c r="AG672" s="7157"/>
      <c r="AH672" s="7158"/>
      <c r="AI672" s="6747"/>
    </row>
    <row r="673" ht="96.75" customHeight="1">
      <c r="A673" s="6676"/>
      <c r="B673" s="7159"/>
      <c r="C673" s="7160" t="str">
        <f>IMAGE("https://i.ibb.co/3vV7Cw8/Ranger.png")</f>
        <v/>
      </c>
      <c r="D673" s="7161"/>
      <c r="E673" s="7162" t="str">
        <f t="array" ref="E673">IFERROR(VLOOKUP(E674,Dex!$B$3:$G1219,3,FALSE),"")</f>
        <v/>
      </c>
      <c r="F673" s="1945"/>
      <c r="G673" s="1945"/>
      <c r="H673" s="1946"/>
      <c r="I673" s="7163"/>
      <c r="J673" s="7162" t="str">
        <f t="array" ref="J673">IFERROR(VLOOKUP(J674,Dex!$B$3:$G1219,3,FALSE),"")</f>
        <v/>
      </c>
      <c r="K673" s="1945"/>
      <c r="L673" s="1945"/>
      <c r="M673" s="1946"/>
      <c r="N673" s="7163"/>
      <c r="O673" s="7162" t="str">
        <f t="array" ref="O673">IFERROR(VLOOKUP(O674,Dex!$B$3:$G1219,3,FALSE),"")</f>
        <v/>
      </c>
      <c r="P673" s="1945"/>
      <c r="Q673" s="1945"/>
      <c r="R673" s="1946"/>
      <c r="S673" s="7163"/>
      <c r="T673" s="7162" t="str">
        <f t="array" ref="T673">IFERROR(VLOOKUP(T674,Dex!$B$3:$G1219,3,FALSE),"")</f>
        <v/>
      </c>
      <c r="U673" s="1945"/>
      <c r="V673" s="1945"/>
      <c r="W673" s="1946"/>
      <c r="X673" s="7164"/>
      <c r="Y673" s="7165"/>
      <c r="Z673" s="7166"/>
      <c r="AA673" s="7166"/>
      <c r="AB673" s="7167"/>
      <c r="AC673" s="7168"/>
      <c r="AD673" s="7165"/>
      <c r="AE673" s="7166"/>
      <c r="AF673" s="7166"/>
      <c r="AG673" s="7167"/>
      <c r="AH673" s="7169"/>
      <c r="AI673" s="6680"/>
    </row>
    <row r="674" ht="18.75" customHeight="1">
      <c r="A674" s="6691"/>
      <c r="B674" s="7170"/>
      <c r="C674" s="7171" t="s">
        <v>2108</v>
      </c>
      <c r="D674" s="7172"/>
      <c r="E674" s="7173" t="s">
        <v>1529</v>
      </c>
      <c r="F674" s="7174"/>
      <c r="G674" s="7174"/>
      <c r="H674" s="7175"/>
      <c r="I674" s="7163"/>
      <c r="J674" s="7252" t="s">
        <v>1503</v>
      </c>
      <c r="K674" s="7174"/>
      <c r="L674" s="7174"/>
      <c r="M674" s="7175"/>
      <c r="N674" s="7163"/>
      <c r="O674" s="7173" t="s">
        <v>854</v>
      </c>
      <c r="P674" s="7174"/>
      <c r="Q674" s="7174"/>
      <c r="R674" s="7175"/>
      <c r="S674" s="7163"/>
      <c r="T674" s="7173" t="s">
        <v>2109</v>
      </c>
      <c r="U674" s="7174"/>
      <c r="V674" s="7174"/>
      <c r="W674" s="7175"/>
      <c r="X674" s="7176"/>
      <c r="Y674" s="7177"/>
      <c r="Z674" s="7166"/>
      <c r="AA674" s="7166"/>
      <c r="AB674" s="7167"/>
      <c r="AC674" s="7178"/>
      <c r="AD674" s="7177"/>
      <c r="AE674" s="7166"/>
      <c r="AF674" s="7166"/>
      <c r="AG674" s="7167"/>
      <c r="AH674" s="7179"/>
      <c r="AI674" s="6699"/>
    </row>
    <row r="675">
      <c r="A675" s="6676"/>
      <c r="B675" s="7159"/>
      <c r="C675" s="1638"/>
      <c r="D675" s="7180"/>
      <c r="E675" s="7181" t="s">
        <v>729</v>
      </c>
      <c r="F675" s="7182"/>
      <c r="G675" s="7182"/>
      <c r="H675" s="7183"/>
      <c r="I675" s="7163"/>
      <c r="J675" s="7181" t="s">
        <v>967</v>
      </c>
      <c r="K675" s="7182"/>
      <c r="L675" s="7182"/>
      <c r="M675" s="7183"/>
      <c r="N675" s="7163"/>
      <c r="O675" s="7181" t="s">
        <v>729</v>
      </c>
      <c r="P675" s="7182"/>
      <c r="Q675" s="7182"/>
      <c r="R675" s="7183"/>
      <c r="S675" s="7163"/>
      <c r="T675" s="7181" t="s">
        <v>729</v>
      </c>
      <c r="U675" s="7182"/>
      <c r="V675" s="7182"/>
      <c r="W675" s="7183"/>
      <c r="X675" s="7164"/>
      <c r="Y675" s="7165"/>
      <c r="Z675" s="7166"/>
      <c r="AA675" s="7166"/>
      <c r="AB675" s="7167"/>
      <c r="AC675" s="7168"/>
      <c r="AD675" s="7165"/>
      <c r="AE675" s="7166"/>
      <c r="AF675" s="7166"/>
      <c r="AG675" s="7167"/>
      <c r="AH675" s="7169"/>
      <c r="AI675" s="6680"/>
    </row>
    <row r="676" ht="25.5" customHeight="1">
      <c r="A676" s="6676"/>
      <c r="B676" s="7159"/>
      <c r="C676" s="1646"/>
      <c r="D676" s="7168"/>
      <c r="E676" s="7184"/>
      <c r="F676" s="7185" t="str">
        <f t="array" ref="F676">IFERROR(VLOOKUP(E674,Dex!$B$3:$H1219,5,FALSE),"")</f>
        <v/>
      </c>
      <c r="G676" s="7186" t="str">
        <f t="array" ref="G676">IFERROR(VLOOKUP(E674,Dex!$B$3:$H1219,7,FALSE),"")</f>
        <v/>
      </c>
      <c r="H676" s="7187"/>
      <c r="I676" s="7178"/>
      <c r="J676" s="7184"/>
      <c r="K676" s="7185" t="str">
        <f t="array" ref="K676">IFERROR(VLOOKUP(J674,Dex!$B$3:$H1219,5,FALSE),"")</f>
        <v/>
      </c>
      <c r="L676" s="7186" t="str">
        <f t="array" ref="L676">IFERROR(VLOOKUP(J674,Dex!$B$3:$H1219,7,FALSE),"")</f>
        <v/>
      </c>
      <c r="M676" s="7187"/>
      <c r="N676" s="7178"/>
      <c r="O676" s="7184"/>
      <c r="P676" s="7185" t="str">
        <f t="array" ref="P676">IFERROR(VLOOKUP(O674,Dex!$B$3:$H1219,5,FALSE),"")</f>
        <v/>
      </c>
      <c r="Q676" s="7186" t="str">
        <f t="array" ref="Q676">IFERROR(VLOOKUP(O674,Dex!$B$3:$H1219,7,FALSE),"")</f>
        <v/>
      </c>
      <c r="R676" s="7187"/>
      <c r="S676" s="7178"/>
      <c r="T676" s="7184"/>
      <c r="U676" s="7188" t="str">
        <f t="array" ref="U676">IFERROR(VLOOKUP(T674,Dex!$B$3:$H1219,5,FALSE),"")</f>
        <v/>
      </c>
      <c r="V676" s="7189"/>
      <c r="W676" s="7187"/>
      <c r="X676" s="7168"/>
      <c r="Y676" s="7165"/>
      <c r="Z676" s="7166"/>
      <c r="AA676" s="7166"/>
      <c r="AB676" s="7167"/>
      <c r="AC676" s="7168"/>
      <c r="AD676" s="7165"/>
      <c r="AE676" s="7166"/>
      <c r="AF676" s="7166"/>
      <c r="AG676" s="7167"/>
      <c r="AH676" s="7169"/>
      <c r="AI676" s="6680"/>
    </row>
    <row r="677" ht="2.25" customHeight="1">
      <c r="A677" s="6676"/>
      <c r="B677" s="7159"/>
      <c r="C677" s="7190"/>
      <c r="D677" s="7168"/>
      <c r="E677" s="7191"/>
      <c r="F677" s="7192"/>
      <c r="G677" s="7192"/>
      <c r="H677" s="7193"/>
      <c r="I677" s="7178"/>
      <c r="J677" s="7191"/>
      <c r="K677" s="7192"/>
      <c r="L677" s="7192"/>
      <c r="M677" s="7193"/>
      <c r="N677" s="7178"/>
      <c r="O677" s="7191"/>
      <c r="P677" s="7192"/>
      <c r="Q677" s="7192"/>
      <c r="R677" s="7193"/>
      <c r="S677" s="7178"/>
      <c r="T677" s="7191"/>
      <c r="U677" s="7192"/>
      <c r="V677" s="7192"/>
      <c r="W677" s="7193"/>
      <c r="X677" s="7168"/>
      <c r="Y677" s="7168"/>
      <c r="Z677" s="7168"/>
      <c r="AA677" s="7168"/>
      <c r="AB677" s="7168"/>
      <c r="AC677" s="7168"/>
      <c r="AD677" s="7168"/>
      <c r="AE677" s="7168"/>
      <c r="AF677" s="7168"/>
      <c r="AG677" s="7168"/>
      <c r="AH677" s="7169"/>
      <c r="AI677" s="6680"/>
    </row>
    <row r="678" ht="20.25" customHeight="1">
      <c r="A678" s="6676"/>
      <c r="B678" s="7159"/>
      <c r="C678" s="7190"/>
      <c r="D678" s="7165"/>
      <c r="E678" s="7194" t="s">
        <v>564</v>
      </c>
      <c r="F678" s="7195"/>
      <c r="G678" s="7195"/>
      <c r="H678" s="7196"/>
      <c r="I678" s="7163"/>
      <c r="J678" s="7194" t="s">
        <v>532</v>
      </c>
      <c r="K678" s="7195"/>
      <c r="L678" s="7195"/>
      <c r="M678" s="7196"/>
      <c r="N678" s="7163"/>
      <c r="O678" s="7194" t="s">
        <v>532</v>
      </c>
      <c r="P678" s="7195"/>
      <c r="Q678" s="7195"/>
      <c r="R678" s="7196"/>
      <c r="S678" s="7163"/>
      <c r="T678" s="7194" t="s">
        <v>532</v>
      </c>
      <c r="U678" s="7195"/>
      <c r="V678" s="7195"/>
      <c r="W678" s="7196"/>
      <c r="X678" s="7164"/>
      <c r="Y678" s="7165"/>
      <c r="Z678" s="7166"/>
      <c r="AA678" s="7166"/>
      <c r="AB678" s="7167"/>
      <c r="AC678" s="7168"/>
      <c r="AD678" s="7165"/>
      <c r="AE678" s="7166"/>
      <c r="AF678" s="7166"/>
      <c r="AG678" s="7167"/>
      <c r="AH678" s="7169"/>
      <c r="AI678" s="6680"/>
    </row>
    <row r="679">
      <c r="A679" s="6676"/>
      <c r="B679" s="7159"/>
      <c r="C679" s="7190"/>
      <c r="D679" s="7165"/>
      <c r="E679" s="7197" t="s">
        <v>827</v>
      </c>
      <c r="F679" s="7166"/>
      <c r="G679" s="7166"/>
      <c r="H679" s="7198"/>
      <c r="I679" s="7163"/>
      <c r="J679" s="7197" t="s">
        <v>1132</v>
      </c>
      <c r="K679" s="7166"/>
      <c r="L679" s="7166"/>
      <c r="M679" s="7198"/>
      <c r="N679" s="7163"/>
      <c r="O679" s="7207" t="s">
        <v>2110</v>
      </c>
      <c r="P679" s="7166"/>
      <c r="Q679" s="7166"/>
      <c r="R679" s="7198"/>
      <c r="S679" s="7163"/>
      <c r="T679" s="7197" t="s">
        <v>56</v>
      </c>
      <c r="U679" s="7166"/>
      <c r="V679" s="7166"/>
      <c r="W679" s="7198"/>
      <c r="X679" s="7164"/>
      <c r="Y679" s="7165"/>
      <c r="Z679" s="7166"/>
      <c r="AA679" s="7166"/>
      <c r="AB679" s="7167"/>
      <c r="AC679" s="7168"/>
      <c r="AD679" s="7165"/>
      <c r="AE679" s="7166"/>
      <c r="AF679" s="7166"/>
      <c r="AG679" s="7167"/>
      <c r="AH679" s="7169"/>
      <c r="AI679" s="6680"/>
    </row>
    <row r="680" ht="20.25" customHeight="1">
      <c r="A680" s="6676"/>
      <c r="B680" s="7159"/>
      <c r="C680" s="7190"/>
      <c r="D680" s="7165"/>
      <c r="E680" s="7200" t="s">
        <v>1230</v>
      </c>
      <c r="F680" s="7201"/>
      <c r="G680" s="7202"/>
      <c r="H680" s="7203" t="str">
        <f>IMAGE("https://raw.githubusercontent.com/msikma/pokesprite/master/items/hold-item/choice-specs.png",3)</f>
        <v/>
      </c>
      <c r="I680" s="7177"/>
      <c r="J680" s="7200" t="s">
        <v>1485</v>
      </c>
      <c r="K680" s="7201"/>
      <c r="L680" s="7202"/>
      <c r="M680" s="7203" t="str">
        <f>IMAGE("https://raw.githubusercontent.com/msikma/pokesprite/master/items/hold-item/hard-stone.png",3)</f>
        <v/>
      </c>
      <c r="N680" s="7177"/>
      <c r="O680" s="7200" t="s">
        <v>860</v>
      </c>
      <c r="P680" s="7201"/>
      <c r="Q680" s="7202"/>
      <c r="R680" s="7203" t="str">
        <f>IMAGE("https://raw.githubusercontent.com/msikma/pokesprite/master/items/mega-stone/altarianite.png",3)</f>
        <v/>
      </c>
      <c r="S680" s="7177"/>
      <c r="T680" s="7200" t="s">
        <v>541</v>
      </c>
      <c r="U680" s="7201"/>
      <c r="V680" s="7202"/>
      <c r="W680" s="7203" t="str">
        <f>IMAGE("https://raw.githubusercontent.com/msikma/pokesprite/master/items/hold-item/life-orb.png",3)</f>
        <v/>
      </c>
      <c r="X680" s="7168"/>
      <c r="Y680" s="7165"/>
      <c r="Z680" s="7166"/>
      <c r="AA680" s="7166"/>
      <c r="AB680" s="7167"/>
      <c r="AC680" s="7168"/>
      <c r="AD680" s="7165"/>
      <c r="AE680" s="7166"/>
      <c r="AF680" s="7166"/>
      <c r="AG680" s="7167"/>
      <c r="AH680" s="7169"/>
      <c r="AI680" s="6680"/>
    </row>
    <row r="681" ht="20.25" customHeight="1">
      <c r="A681" s="6676"/>
      <c r="B681" s="7159"/>
      <c r="C681" s="7190"/>
      <c r="D681" s="7165"/>
      <c r="E681" s="7194" t="s">
        <v>846</v>
      </c>
      <c r="F681" s="7195"/>
      <c r="G681" s="7204"/>
      <c r="H681" s="7205" t="str">
        <f>IMAGE("https://raw.githubusercontent.com/msikma/pokesprite/master/misc/types/gen8/bug.png",4,20,20)</f>
        <v/>
      </c>
      <c r="I681" s="7177"/>
      <c r="J681" s="7194" t="s">
        <v>1137</v>
      </c>
      <c r="K681" s="7195"/>
      <c r="L681" s="7204"/>
      <c r="M681" s="7205" t="str">
        <f>IMAGE("https://raw.githubusercontent.com/msikma/pokesprite/master/misc/types/gen8/rock.png",4,20,20)</f>
        <v/>
      </c>
      <c r="N681" s="7177"/>
      <c r="O681" s="7194" t="s">
        <v>219</v>
      </c>
      <c r="P681" s="7195"/>
      <c r="Q681" s="7204"/>
      <c r="R681" s="7205" t="str">
        <f>IMAGE("https://raw.githubusercontent.com/msikma/pokesprite/master/misc/types/gen8/dragon.png",4,20,20)</f>
        <v/>
      </c>
      <c r="S681" s="7177"/>
      <c r="T681" s="7194" t="s">
        <v>845</v>
      </c>
      <c r="U681" s="7195"/>
      <c r="V681" s="7204"/>
      <c r="W681" s="7205" t="str">
        <f t="shared" ref="W681:W682" si="25">IMAGE("https://raw.githubusercontent.com/msikma/pokesprite/master/misc/types/gen8/water.png",4,20,20)</f>
        <v/>
      </c>
      <c r="X681" s="7168"/>
      <c r="Y681" s="7165"/>
      <c r="Z681" s="7166"/>
      <c r="AA681" s="7166"/>
      <c r="AB681" s="7167"/>
      <c r="AC681" s="7168"/>
      <c r="AD681" s="7165"/>
      <c r="AE681" s="7166"/>
      <c r="AF681" s="7166"/>
      <c r="AG681" s="7167"/>
      <c r="AH681" s="7169"/>
      <c r="AI681" s="6680"/>
    </row>
    <row r="682" ht="20.25" customHeight="1">
      <c r="A682" s="6676"/>
      <c r="B682" s="7159"/>
      <c r="C682" s="7206"/>
      <c r="D682" s="7165"/>
      <c r="E682" s="7207" t="s">
        <v>805</v>
      </c>
      <c r="F682" s="7166"/>
      <c r="G682" s="7167"/>
      <c r="H682" s="7208" t="str">
        <f>IMAGE("https://raw.githubusercontent.com/msikma/pokesprite/master/misc/types/gen8/flying.png",4,20,20)</f>
        <v/>
      </c>
      <c r="I682" s="7177"/>
      <c r="J682" s="7207" t="s">
        <v>694</v>
      </c>
      <c r="K682" s="7166"/>
      <c r="L682" s="7167"/>
      <c r="M682" s="7208" t="str">
        <f>IMAGE("https://raw.githubusercontent.com/msikma/pokesprite/master/misc/types/gen8/fire.png",4,20,20)</f>
        <v/>
      </c>
      <c r="N682" s="7177"/>
      <c r="O682" s="7207" t="s">
        <v>1497</v>
      </c>
      <c r="P682" s="7166"/>
      <c r="Q682" s="7167"/>
      <c r="R682" s="7208" t="str">
        <f>IMAGE("https://raw.githubusercontent.com/msikma/pokesprite/master/misc/types/gen8/fairy.png",4,20,20)</f>
        <v/>
      </c>
      <c r="S682" s="7177"/>
      <c r="T682" s="7207" t="s">
        <v>974</v>
      </c>
      <c r="U682" s="7166"/>
      <c r="V682" s="7167"/>
      <c r="W682" s="7208" t="str">
        <f t="shared" si="25"/>
        <v/>
      </c>
      <c r="X682" s="7168"/>
      <c r="Y682" s="7165"/>
      <c r="Z682" s="7166"/>
      <c r="AA682" s="7166"/>
      <c r="AB682" s="7167"/>
      <c r="AC682" s="7168"/>
      <c r="AD682" s="7165"/>
      <c r="AE682" s="7166"/>
      <c r="AF682" s="7166"/>
      <c r="AG682" s="7167"/>
      <c r="AH682" s="7169"/>
      <c r="AI682" s="6680"/>
    </row>
    <row r="683" ht="20.25" customHeight="1">
      <c r="A683" s="6676"/>
      <c r="B683" s="7159"/>
      <c r="C683" s="7206"/>
      <c r="D683" s="7165"/>
      <c r="E683" s="7197" t="s">
        <v>612</v>
      </c>
      <c r="F683" s="7166"/>
      <c r="G683" s="7167"/>
      <c r="H683" s="7208" t="str">
        <f>IMAGE("https://raw.githubusercontent.com/msikma/pokesprite/master/misc/types/gen8/bug.png",4,20,20)</f>
        <v/>
      </c>
      <c r="I683" s="7177"/>
      <c r="J683" s="7197" t="s">
        <v>1488</v>
      </c>
      <c r="K683" s="7166"/>
      <c r="L683" s="7167"/>
      <c r="M683" s="7208" t="str">
        <f>IMAGE("https://raw.githubusercontent.com/msikma/pokesprite/master/misc/types/gen8/rock.png",4,20,20)</f>
        <v/>
      </c>
      <c r="N683" s="7177"/>
      <c r="O683" s="7197" t="s">
        <v>549</v>
      </c>
      <c r="P683" s="7166"/>
      <c r="Q683" s="7167"/>
      <c r="R683" s="7208" t="str">
        <f>IMAGE("https://raw.githubusercontent.com/msikma/pokesprite/master/misc/types/gen8/ground.png",4,20,20)</f>
        <v/>
      </c>
      <c r="S683" s="7177"/>
      <c r="T683" s="7197" t="s">
        <v>762</v>
      </c>
      <c r="U683" s="7166"/>
      <c r="V683" s="7167"/>
      <c r="W683" s="7208" t="str">
        <f>IMAGE("https://raw.githubusercontent.com/msikma/pokesprite/master/misc/types/gen8/dark.png",4,20,20)</f>
        <v/>
      </c>
      <c r="X683" s="7168"/>
      <c r="Y683" s="7165"/>
      <c r="Z683" s="7166"/>
      <c r="AA683" s="7166"/>
      <c r="AB683" s="7167"/>
      <c r="AC683" s="7168"/>
      <c r="AD683" s="7165"/>
      <c r="AE683" s="7166"/>
      <c r="AF683" s="7166"/>
      <c r="AG683" s="7167"/>
      <c r="AH683" s="7169"/>
      <c r="AI683" s="6680"/>
    </row>
    <row r="684" ht="21.0" customHeight="1">
      <c r="A684" s="6676"/>
      <c r="B684" s="7159"/>
      <c r="C684" s="7206"/>
      <c r="D684" s="7165"/>
      <c r="E684" s="7209" t="s">
        <v>543</v>
      </c>
      <c r="F684" s="7210"/>
      <c r="G684" s="7211"/>
      <c r="H684" s="7212" t="str">
        <f>IMAGE("https://raw.githubusercontent.com/msikma/pokesprite/master/misc/types/gen8/grass.png",4,20,20)</f>
        <v/>
      </c>
      <c r="I684" s="7177"/>
      <c r="J684" s="7209" t="s">
        <v>583</v>
      </c>
      <c r="K684" s="7210"/>
      <c r="L684" s="7211"/>
      <c r="M684" s="7212" t="str">
        <f>IMAGE("https://raw.githubusercontent.com/msikma/pokesprite/master/misc/types/gen8/fighting.png",4,20,20)</f>
        <v/>
      </c>
      <c r="N684" s="7177"/>
      <c r="O684" s="7209" t="s">
        <v>551</v>
      </c>
      <c r="P684" s="7210"/>
      <c r="Q684" s="7211"/>
      <c r="R684" s="7212" t="str">
        <f>IMAGE("https://raw.githubusercontent.com/msikma/pokesprite/master/misc/types/gen8/flying.png",4,20,20)</f>
        <v/>
      </c>
      <c r="S684" s="7177"/>
      <c r="T684" s="7209" t="s">
        <v>589</v>
      </c>
      <c r="U684" s="7210"/>
      <c r="V684" s="7211"/>
      <c r="W684" s="7212" t="str">
        <f>IMAGE("https://raw.githubusercontent.com/msikma/pokesprite/master/misc/types/gen8/ice.png",4,20,20)</f>
        <v/>
      </c>
      <c r="X684" s="7168"/>
      <c r="Y684" s="7165"/>
      <c r="Z684" s="7166"/>
      <c r="AA684" s="7166"/>
      <c r="AB684" s="7167"/>
      <c r="AC684" s="7168"/>
      <c r="AD684" s="7165"/>
      <c r="AE684" s="7166"/>
      <c r="AF684" s="7166"/>
      <c r="AG684" s="7167"/>
      <c r="AH684" s="7169"/>
      <c r="AI684" s="6680"/>
    </row>
    <row r="685" ht="3.0" customHeight="1">
      <c r="A685" s="6738"/>
      <c r="B685" s="7213"/>
      <c r="C685" s="7214"/>
      <c r="D685" s="7215"/>
      <c r="E685" s="7216"/>
      <c r="F685" s="7216"/>
      <c r="G685" s="7216"/>
      <c r="H685" s="7215"/>
      <c r="I685" s="7215"/>
      <c r="J685" s="7216"/>
      <c r="K685" s="7216"/>
      <c r="L685" s="7216"/>
      <c r="M685" s="7215"/>
      <c r="N685" s="7215"/>
      <c r="O685" s="7216"/>
      <c r="P685" s="7216"/>
      <c r="Q685" s="7216"/>
      <c r="R685" s="7215"/>
      <c r="S685" s="7215"/>
      <c r="T685" s="7216"/>
      <c r="U685" s="7216"/>
      <c r="V685" s="7216"/>
      <c r="W685" s="7215"/>
      <c r="X685" s="7215"/>
      <c r="Y685" s="7215"/>
      <c r="Z685" s="7217"/>
      <c r="AA685" s="7217"/>
      <c r="AB685" s="7218"/>
      <c r="AC685" s="7218"/>
      <c r="AD685" s="7218"/>
      <c r="AE685" s="7218"/>
      <c r="AF685" s="7218"/>
      <c r="AG685" s="7218"/>
      <c r="AH685" s="7219"/>
      <c r="AI685" s="6747"/>
    </row>
    <row r="686" ht="16.5" customHeight="1">
      <c r="A686" s="6738"/>
      <c r="B686" s="7220"/>
      <c r="C686" s="7214"/>
      <c r="D686" s="7221"/>
      <c r="E686" s="7222" t="s">
        <v>512</v>
      </c>
      <c r="F686" s="606"/>
      <c r="G686" s="606"/>
      <c r="H686" s="607"/>
      <c r="I686" s="7221"/>
      <c r="J686" s="7222" t="s">
        <v>512</v>
      </c>
      <c r="K686" s="606"/>
      <c r="L686" s="606"/>
      <c r="M686" s="607"/>
      <c r="N686" s="7221"/>
      <c r="O686" s="7222" t="s">
        <v>512</v>
      </c>
      <c r="P686" s="606"/>
      <c r="Q686" s="606"/>
      <c r="R686" s="607"/>
      <c r="S686" s="7223"/>
      <c r="T686" s="7222" t="s">
        <v>512</v>
      </c>
      <c r="U686" s="606"/>
      <c r="V686" s="606"/>
      <c r="W686" s="607"/>
      <c r="X686" s="7224"/>
      <c r="Y686" s="7165"/>
      <c r="Z686" s="7166"/>
      <c r="AA686" s="7166"/>
      <c r="AB686" s="7167"/>
      <c r="AC686" s="7224"/>
      <c r="AD686" s="7165"/>
      <c r="AE686" s="7166"/>
      <c r="AF686" s="7166"/>
      <c r="AG686" s="7167"/>
      <c r="AH686" s="7225"/>
      <c r="AI686" s="6747"/>
    </row>
    <row r="687" ht="16.5" customHeight="1">
      <c r="A687" s="6738"/>
      <c r="B687" s="7220"/>
      <c r="C687" s="7214"/>
      <c r="D687" s="7226"/>
      <c r="E687" s="7227" t="s">
        <v>513</v>
      </c>
      <c r="F687" s="7228">
        <f t="array" ref="F687">IFERROR(VLOOKUP(E674,Dex!$B$3:$N1219,8,FALSE),"")</f>
        <v>86</v>
      </c>
      <c r="G687" s="7229" t="str">
        <f t="array" ref="G687">IFERROR(VLOOKUP(F687,Dex!$P$22:$Q$276,2,FALSE),"")</f>
        <v/>
      </c>
      <c r="H687" s="7230"/>
      <c r="I687" s="7231"/>
      <c r="J687" s="7227" t="s">
        <v>513</v>
      </c>
      <c r="K687" s="7228">
        <f t="array" ref="K687">IFERROR(VLOOKUP(J674,Dex!$B$3:$N1219,8,FALSE),"")</f>
        <v>95</v>
      </c>
      <c r="L687" s="7229" t="str">
        <f t="array" ref="L687">IFERROR(VLOOKUP(K687,Dex!$P$22:$Q$276,2,FALSE),"")</f>
        <v/>
      </c>
      <c r="M687" s="7230"/>
      <c r="N687" s="7231"/>
      <c r="O687" s="7227" t="s">
        <v>513</v>
      </c>
      <c r="P687" s="7228">
        <f t="array" ref="P687">IFERROR(VLOOKUP(O674,Dex!$B$3:$N1219,8,FALSE),"")</f>
        <v>85</v>
      </c>
      <c r="Q687" s="7229" t="str">
        <f t="array" ref="Q687">IFERROR(VLOOKUP(P687,Dex!$P$22:$Q$276,2,FALSE),"")</f>
        <v/>
      </c>
      <c r="R687" s="7230"/>
      <c r="S687" s="7232"/>
      <c r="T687" s="7227" t="s">
        <v>513</v>
      </c>
      <c r="U687" s="7228">
        <f t="array" ref="U687">IFERROR(VLOOKUP(T674,Dex!$B$3:$N1219,8,FALSE),"")</f>
        <v>85</v>
      </c>
      <c r="V687" s="7229" t="str">
        <f t="array" ref="V687">IFERROR(VLOOKUP(U687,Dex!$P$22:$Q$276,2,FALSE),"")</f>
        <v/>
      </c>
      <c r="W687" s="7230"/>
      <c r="X687" s="7233"/>
      <c r="Y687" s="7165"/>
      <c r="Z687" s="7166"/>
      <c r="AA687" s="7166"/>
      <c r="AB687" s="7167"/>
      <c r="AC687" s="7233"/>
      <c r="AD687" s="7165"/>
      <c r="AE687" s="7166"/>
      <c r="AF687" s="7166"/>
      <c r="AG687" s="7167"/>
      <c r="AH687" s="7234"/>
      <c r="AI687" s="6747"/>
    </row>
    <row r="688" ht="16.5" customHeight="1">
      <c r="A688" s="6738"/>
      <c r="B688" s="7220"/>
      <c r="C688" s="7214"/>
      <c r="D688" s="7226"/>
      <c r="E688" s="7235" t="s">
        <v>514</v>
      </c>
      <c r="F688" s="7236">
        <f t="array" ref="F688">IFERROR(VLOOKUP(E674,Dex!$B$3:$N1219,9,FALSE),"")</f>
        <v>76</v>
      </c>
      <c r="G688" s="7237" t="str">
        <f t="array" ref="G688">IFERROR(VLOOKUP(F688,Dex!$P$22:$Q$276,2,FALSE),"")</f>
        <v/>
      </c>
      <c r="H688" s="7238"/>
      <c r="I688" s="7231"/>
      <c r="J688" s="7235" t="s">
        <v>514</v>
      </c>
      <c r="K688" s="7236">
        <f t="array" ref="K688">IFERROR(VLOOKUP(J674,Dex!$B$3:$N1219,9,FALSE),"")</f>
        <v>125</v>
      </c>
      <c r="L688" s="7237" t="str">
        <f t="array" ref="L688">IFERROR(VLOOKUP(K688,Dex!$P$22:$Q$276,2,FALSE),"")</f>
        <v/>
      </c>
      <c r="M688" s="7238"/>
      <c r="N688" s="7231"/>
      <c r="O688" s="7235" t="s">
        <v>514</v>
      </c>
      <c r="P688" s="7236">
        <f t="array" ref="P688">IFERROR(VLOOKUP(O674,Dex!$B$3:$N1219,9,FALSE),"")</f>
        <v>110</v>
      </c>
      <c r="Q688" s="7237" t="str">
        <f t="array" ref="Q688">IFERROR(VLOOKUP(P688,Dex!$P$22:$Q$276,2,FALSE),"")</f>
        <v/>
      </c>
      <c r="R688" s="7238"/>
      <c r="S688" s="7232"/>
      <c r="T688" s="7235" t="s">
        <v>514</v>
      </c>
      <c r="U688" s="7236">
        <f t="array" ref="U688">IFERROR(VLOOKUP(T674,Dex!$B$3:$N1219,9,FALSE),"")</f>
        <v>105</v>
      </c>
      <c r="V688" s="7237" t="str">
        <f t="array" ref="V688">IFERROR(VLOOKUP(U688,Dex!$P$22:$Q$276,2,FALSE),"")</f>
        <v/>
      </c>
      <c r="W688" s="7238"/>
      <c r="X688" s="7233"/>
      <c r="Y688" s="7165"/>
      <c r="Z688" s="7166"/>
      <c r="AA688" s="7166"/>
      <c r="AB688" s="7167"/>
      <c r="AC688" s="7233"/>
      <c r="AD688" s="7165"/>
      <c r="AE688" s="7166"/>
      <c r="AF688" s="7166"/>
      <c r="AG688" s="7167"/>
      <c r="AH688" s="7234"/>
      <c r="AI688" s="6747"/>
    </row>
    <row r="689" ht="16.5" customHeight="1">
      <c r="A689" s="6738"/>
      <c r="B689" s="7220"/>
      <c r="C689" s="7214"/>
      <c r="D689" s="7226"/>
      <c r="E689" s="7235" t="s">
        <v>515</v>
      </c>
      <c r="F689" s="7236">
        <f t="array" ref="F689">IFERROR(VLOOKUP(E674,Dex!$B$3:$N1219,10,FALSE),"")</f>
        <v>86</v>
      </c>
      <c r="G689" s="7237" t="str">
        <f t="array" ref="G689">IFERROR(VLOOKUP(F689,Dex!$P$22:$Q$276,2,FALSE),"")</f>
        <v/>
      </c>
      <c r="H689" s="7238"/>
      <c r="I689" s="7231"/>
      <c r="J689" s="7235" t="s">
        <v>515</v>
      </c>
      <c r="K689" s="7236">
        <f t="array" ref="K689">IFERROR(VLOOKUP(J674,Dex!$B$3:$N1219,10,FALSE),"")</f>
        <v>80</v>
      </c>
      <c r="L689" s="7237" t="str">
        <f t="array" ref="L689">IFERROR(VLOOKUP(K689,Dex!$P$22:$Q$276,2,FALSE),"")</f>
        <v/>
      </c>
      <c r="M689" s="7238"/>
      <c r="N689" s="7231"/>
      <c r="O689" s="7235" t="s">
        <v>515</v>
      </c>
      <c r="P689" s="7236">
        <f t="array" ref="P689">IFERROR(VLOOKUP(O674,Dex!$B$3:$N1219,10,FALSE),"")</f>
        <v>110</v>
      </c>
      <c r="Q689" s="7237" t="str">
        <f t="array" ref="Q689">IFERROR(VLOOKUP(P689,Dex!$P$22:$Q$276,2,FALSE),"")</f>
        <v/>
      </c>
      <c r="R689" s="7238"/>
      <c r="S689" s="7232"/>
      <c r="T689" s="7235" t="s">
        <v>515</v>
      </c>
      <c r="U689" s="7236">
        <f t="array" ref="U689">IFERROR(VLOOKUP(T674,Dex!$B$3:$N1219,10,FALSE),"")</f>
        <v>100</v>
      </c>
      <c r="V689" s="7237" t="str">
        <f t="array" ref="V689">IFERROR(VLOOKUP(U689,Dex!$P$22:$Q$276,2,FALSE),"")</f>
        <v/>
      </c>
      <c r="W689" s="7238"/>
      <c r="X689" s="7233"/>
      <c r="Y689" s="7165"/>
      <c r="Z689" s="7166"/>
      <c r="AA689" s="7166"/>
      <c r="AB689" s="7167"/>
      <c r="AC689" s="7233"/>
      <c r="AD689" s="7165"/>
      <c r="AE689" s="7166"/>
      <c r="AF689" s="7166"/>
      <c r="AG689" s="7167"/>
      <c r="AH689" s="7234"/>
      <c r="AI689" s="6747"/>
    </row>
    <row r="690" ht="16.5" customHeight="1">
      <c r="A690" s="6738"/>
      <c r="B690" s="7220"/>
      <c r="C690" s="7214"/>
      <c r="D690" s="7226"/>
      <c r="E690" s="7235" t="s">
        <v>516</v>
      </c>
      <c r="F690" s="7236">
        <f t="array" ref="F690">IFERROR(VLOOKUP(E674,Dex!$B$3:$N1219,11,FALSE),"")</f>
        <v>116</v>
      </c>
      <c r="G690" s="7237" t="str">
        <f t="array" ref="G690">IFERROR(VLOOKUP(F690,Dex!$P$22:$Q$276,2,FALSE),"")</f>
        <v/>
      </c>
      <c r="H690" s="7238"/>
      <c r="I690" s="7231"/>
      <c r="J690" s="7235" t="s">
        <v>516</v>
      </c>
      <c r="K690" s="7236">
        <f t="array" ref="K690">IFERROR(VLOOKUP(J674,Dex!$B$3:$N1219,11,FALSE),"")</f>
        <v>85</v>
      </c>
      <c r="L690" s="7237" t="str">
        <f t="array" ref="L690">IFERROR(VLOOKUP(K690,Dex!$P$22:$Q$276,2,FALSE),"")</f>
        <v/>
      </c>
      <c r="M690" s="7238"/>
      <c r="N690" s="7231"/>
      <c r="O690" s="7235" t="s">
        <v>516</v>
      </c>
      <c r="P690" s="7236">
        <f t="array" ref="P690">IFERROR(VLOOKUP(O674,Dex!$B$3:$N1219,11,FALSE),"")</f>
        <v>110</v>
      </c>
      <c r="Q690" s="7237" t="str">
        <f t="array" ref="Q690">IFERROR(VLOOKUP(P690,Dex!$P$22:$Q$276,2,FALSE),"")</f>
        <v/>
      </c>
      <c r="R690" s="7238"/>
      <c r="S690" s="7232"/>
      <c r="T690" s="7235" t="s">
        <v>516</v>
      </c>
      <c r="U690" s="7236">
        <f t="array" ref="U690">IFERROR(VLOOKUP(T674,Dex!$B$3:$N1219,11,FALSE),"")</f>
        <v>79</v>
      </c>
      <c r="V690" s="7237" t="str">
        <f t="array" ref="V690">IFERROR(VLOOKUP(U690,Dex!$P$22:$Q$276,2,FALSE),"")</f>
        <v/>
      </c>
      <c r="W690" s="7238"/>
      <c r="X690" s="7233"/>
      <c r="Y690" s="7165"/>
      <c r="Z690" s="7166"/>
      <c r="AA690" s="7166"/>
      <c r="AB690" s="7167"/>
      <c r="AC690" s="7233"/>
      <c r="AD690" s="7165"/>
      <c r="AE690" s="7166"/>
      <c r="AF690" s="7166"/>
      <c r="AG690" s="7167"/>
      <c r="AH690" s="7234"/>
      <c r="AI690" s="6747"/>
    </row>
    <row r="691" ht="16.5" customHeight="1">
      <c r="A691" s="6738"/>
      <c r="B691" s="7220"/>
      <c r="C691" s="7214"/>
      <c r="D691" s="7226"/>
      <c r="E691" s="7235" t="s">
        <v>517</v>
      </c>
      <c r="F691" s="7236">
        <f t="array" ref="F691">IFERROR(VLOOKUP(E674,Dex!$B$3:$N1219,12,FALSE),"")</f>
        <v>56</v>
      </c>
      <c r="G691" s="7237" t="str">
        <f t="array" ref="G691">IFERROR(VLOOKUP(F691,Dex!$P$22:$Q$276,2,FALSE),"")</f>
        <v/>
      </c>
      <c r="H691" s="7238"/>
      <c r="I691" s="7231"/>
      <c r="J691" s="7235" t="s">
        <v>517</v>
      </c>
      <c r="K691" s="7236">
        <f t="array" ref="K691">IFERROR(VLOOKUP(J674,Dex!$B$3:$N1219,12,FALSE),"")</f>
        <v>80</v>
      </c>
      <c r="L691" s="7237" t="str">
        <f t="array" ref="L691">IFERROR(VLOOKUP(K691,Dex!$P$22:$Q$276,2,FALSE),"")</f>
        <v/>
      </c>
      <c r="M691" s="7238"/>
      <c r="N691" s="7231"/>
      <c r="O691" s="7235" t="s">
        <v>517</v>
      </c>
      <c r="P691" s="7236">
        <f t="array" ref="P691">IFERROR(VLOOKUP(O674,Dex!$B$3:$N1219,12,FALSE),"")</f>
        <v>105</v>
      </c>
      <c r="Q691" s="7237" t="str">
        <f t="array" ref="Q691">IFERROR(VLOOKUP(P691,Dex!$P$22:$Q$276,2,FALSE),"")</f>
        <v/>
      </c>
      <c r="R691" s="7238"/>
      <c r="S691" s="7232"/>
      <c r="T691" s="7235" t="s">
        <v>517</v>
      </c>
      <c r="U691" s="7236">
        <f t="array" ref="U691">IFERROR(VLOOKUP(T674,Dex!$B$3:$N1219,12,FALSE),"")</f>
        <v>83</v>
      </c>
      <c r="V691" s="7237" t="str">
        <f t="array" ref="V691">IFERROR(VLOOKUP(U691,Dex!$P$22:$Q$276,2,FALSE),"")</f>
        <v/>
      </c>
      <c r="W691" s="7238"/>
      <c r="X691" s="7233"/>
      <c r="Y691" s="7165"/>
      <c r="Z691" s="7166"/>
      <c r="AA691" s="7166"/>
      <c r="AB691" s="7167"/>
      <c r="AC691" s="7233"/>
      <c r="AD691" s="7165"/>
      <c r="AE691" s="7166"/>
      <c r="AF691" s="7166"/>
      <c r="AG691" s="7167"/>
      <c r="AH691" s="7234"/>
      <c r="AI691" s="6747"/>
    </row>
    <row r="692" ht="16.5" customHeight="1">
      <c r="A692" s="6738"/>
      <c r="B692" s="7220"/>
      <c r="C692" s="7214"/>
      <c r="D692" s="7226"/>
      <c r="E692" s="7239" t="s">
        <v>518</v>
      </c>
      <c r="F692" s="7240">
        <f t="array" ref="F692">IFERROR(VLOOKUP(E674,Dex!$B$3:$N1219,13,FALSE),"")</f>
        <v>95</v>
      </c>
      <c r="G692" s="7241" t="str">
        <f t="array" ref="G692">IFERROR(VLOOKUP(F692,Dex!$P$22:$Q$276,2,FALSE),"")</f>
        <v/>
      </c>
      <c r="H692" s="7242"/>
      <c r="I692" s="7231"/>
      <c r="J692" s="7239" t="s">
        <v>518</v>
      </c>
      <c r="K692" s="7240">
        <f t="array" ref="K692">IFERROR(VLOOKUP(J674,Dex!$B$3:$N1219,13,FALSE),"")</f>
        <v>90</v>
      </c>
      <c r="L692" s="7241" t="str">
        <f t="array" ref="L692">IFERROR(VLOOKUP(K692,Dex!$P$22:$Q$276,2,FALSE),"")</f>
        <v/>
      </c>
      <c r="M692" s="7242"/>
      <c r="N692" s="7231"/>
      <c r="O692" s="7239" t="s">
        <v>518</v>
      </c>
      <c r="P692" s="7240">
        <f t="array" ref="P692">IFERROR(VLOOKUP(O674,Dex!$B$3:$N1219,13,FALSE),"")</f>
        <v>80</v>
      </c>
      <c r="Q692" s="7241" t="str">
        <f t="array" ref="Q692">IFERROR(VLOOKUP(P692,Dex!$P$22:$Q$276,2,FALSE),"")</f>
        <v/>
      </c>
      <c r="R692" s="7242"/>
      <c r="S692" s="7232"/>
      <c r="T692" s="7239" t="s">
        <v>518</v>
      </c>
      <c r="U692" s="7240">
        <f t="array" ref="U692">IFERROR(VLOOKUP(T674,Dex!$B$3:$N1219,13,FALSE),"")</f>
        <v>78</v>
      </c>
      <c r="V692" s="7241" t="str">
        <f t="array" ref="V692">IFERROR(VLOOKUP(U692,Dex!$P$22:$Q$276,2,FALSE),"")</f>
        <v/>
      </c>
      <c r="W692" s="7242"/>
      <c r="X692" s="7233"/>
      <c r="Y692" s="7165"/>
      <c r="Z692" s="7166"/>
      <c r="AA692" s="7166"/>
      <c r="AB692" s="7167"/>
      <c r="AC692" s="7233"/>
      <c r="AD692" s="7165"/>
      <c r="AE692" s="7166"/>
      <c r="AF692" s="7166"/>
      <c r="AG692" s="7167"/>
      <c r="AH692" s="7234"/>
      <c r="AI692" s="6747"/>
    </row>
    <row r="693" ht="16.5" customHeight="1">
      <c r="A693" s="6738"/>
      <c r="B693" s="7220"/>
      <c r="C693" s="7214"/>
      <c r="D693" s="7221"/>
      <c r="E693" s="7243" t="s">
        <v>519</v>
      </c>
      <c r="F693" s="630"/>
      <c r="G693" s="631"/>
      <c r="H693" s="7244">
        <v>248.0</v>
      </c>
      <c r="I693" s="7221"/>
      <c r="J693" s="7243" t="s">
        <v>519</v>
      </c>
      <c r="K693" s="630"/>
      <c r="L693" s="631"/>
      <c r="M693" s="7244">
        <v>234.0</v>
      </c>
      <c r="N693" s="7221"/>
      <c r="O693" s="7243" t="s">
        <v>519</v>
      </c>
      <c r="P693" s="630"/>
      <c r="Q693" s="631"/>
      <c r="R693" s="7244">
        <v>215.0</v>
      </c>
      <c r="S693" s="7223"/>
      <c r="T693" s="7243" t="s">
        <v>519</v>
      </c>
      <c r="U693" s="630"/>
      <c r="V693" s="631"/>
      <c r="W693" s="7244">
        <v>211.0</v>
      </c>
      <c r="X693" s="7224"/>
      <c r="Y693" s="7165"/>
      <c r="Z693" s="7166"/>
      <c r="AA693" s="7166"/>
      <c r="AB693" s="7167"/>
      <c r="AC693" s="7224"/>
      <c r="AD693" s="7165"/>
      <c r="AE693" s="7166"/>
      <c r="AF693" s="7166"/>
      <c r="AG693" s="7167"/>
      <c r="AH693" s="7225"/>
      <c r="AI693" s="6747"/>
    </row>
    <row r="694" ht="15.0" customHeight="1">
      <c r="A694" s="6738"/>
      <c r="B694" s="7245"/>
      <c r="C694" s="7246"/>
      <c r="D694" s="7247"/>
      <c r="E694" s="7248"/>
      <c r="F694" s="7248"/>
      <c r="G694" s="7248"/>
      <c r="H694" s="7246"/>
      <c r="I694" s="7247"/>
      <c r="J694" s="7248"/>
      <c r="K694" s="7248"/>
      <c r="L694" s="7248"/>
      <c r="M694" s="7246"/>
      <c r="N694" s="7247"/>
      <c r="O694" s="7248"/>
      <c r="P694" s="7248"/>
      <c r="Q694" s="7248"/>
      <c r="R694" s="7246"/>
      <c r="S694" s="7249"/>
      <c r="T694" s="7248"/>
      <c r="U694" s="7248"/>
      <c r="V694" s="7248"/>
      <c r="W694" s="7246"/>
      <c r="X694" s="7250"/>
      <c r="Y694" s="7246"/>
      <c r="Z694" s="7246"/>
      <c r="AA694" s="7246"/>
      <c r="AB694" s="7246"/>
      <c r="AC694" s="7250"/>
      <c r="AD694" s="7246"/>
      <c r="AE694" s="7246"/>
      <c r="AF694" s="7246"/>
      <c r="AG694" s="7246"/>
      <c r="AH694" s="7251"/>
      <c r="AI694" s="6747"/>
    </row>
    <row r="695" ht="15.0" customHeight="1">
      <c r="A695" s="6738"/>
      <c r="B695" s="6080"/>
      <c r="C695" s="6081"/>
      <c r="D695" s="6081"/>
      <c r="E695" s="7069"/>
      <c r="F695" s="7069"/>
      <c r="G695" s="7069"/>
      <c r="H695" s="7069"/>
      <c r="I695" s="6081"/>
      <c r="J695" s="7069"/>
      <c r="K695" s="7069"/>
      <c r="L695" s="7069"/>
      <c r="M695" s="7069"/>
      <c r="N695" s="6081"/>
      <c r="O695" s="7070"/>
      <c r="P695" s="7070"/>
      <c r="Q695" s="7070"/>
      <c r="R695" s="7069"/>
      <c r="S695" s="6081"/>
      <c r="T695" s="7071"/>
      <c r="U695" s="7071"/>
      <c r="V695" s="7071"/>
      <c r="W695" s="7069"/>
      <c r="X695" s="6081"/>
      <c r="Y695" s="6083"/>
      <c r="Z695" s="6083"/>
      <c r="AA695" s="6083"/>
      <c r="AB695" s="6081"/>
      <c r="AC695" s="6081"/>
      <c r="AD695" s="7069"/>
      <c r="AE695" s="7069"/>
      <c r="AF695" s="7069"/>
      <c r="AG695" s="7069"/>
      <c r="AH695" s="6084"/>
      <c r="AI695" s="6747"/>
    </row>
    <row r="696" ht="96.75" customHeight="1">
      <c r="A696" s="6738"/>
      <c r="B696" s="6095"/>
      <c r="C696" s="7072" t="str">
        <f>IMAGE("https://i.ibb.co/3N39wW0/Crush-Girl.png")</f>
        <v/>
      </c>
      <c r="D696" s="6097"/>
      <c r="E696" s="7073" t="str">
        <f t="array" ref="E696">IFERROR(VLOOKUP(E697,Dex!$B$3:$G1219,3,FALSE),"")</f>
        <v/>
      </c>
      <c r="F696" s="1945"/>
      <c r="G696" s="1945"/>
      <c r="H696" s="1946"/>
      <c r="I696" s="6099"/>
      <c r="J696" s="7073" t="str">
        <f t="array" ref="J696">IFERROR(VLOOKUP(J697,Dex!$B$3:$G1219,3,FALSE),"")</f>
        <v/>
      </c>
      <c r="K696" s="1945"/>
      <c r="L696" s="1945"/>
      <c r="M696" s="1946"/>
      <c r="N696" s="6099"/>
      <c r="O696" s="7073" t="str">
        <f t="array" ref="O696">IFERROR(VLOOKUP(O697,Dex!$B$3:$G1219,3,FALSE),"")</f>
        <v/>
      </c>
      <c r="P696" s="1945"/>
      <c r="Q696" s="1945"/>
      <c r="R696" s="1946"/>
      <c r="S696" s="6099"/>
      <c r="T696" s="7073" t="str">
        <f t="array" ref="T696">IFERROR(VLOOKUP(T697,Dex!$B$3:$G1219,3,FALSE),"")</f>
        <v/>
      </c>
      <c r="U696" s="1945"/>
      <c r="V696" s="1945"/>
      <c r="W696" s="1946"/>
      <c r="X696" s="6099"/>
      <c r="Y696" s="7074"/>
      <c r="Z696" s="6126"/>
      <c r="AA696" s="6126"/>
      <c r="AB696" s="6134"/>
      <c r="AC696" s="7075"/>
      <c r="AD696" s="7074"/>
      <c r="AE696" s="6126"/>
      <c r="AF696" s="6126"/>
      <c r="AG696" s="6134"/>
      <c r="AH696" s="6094"/>
      <c r="AI696" s="6747"/>
    </row>
    <row r="697" ht="18.75" customHeight="1">
      <c r="A697" s="6738"/>
      <c r="B697" s="6095"/>
      <c r="C697" s="6100" t="s">
        <v>2111</v>
      </c>
      <c r="D697" s="6101"/>
      <c r="E697" s="6102" t="s">
        <v>2112</v>
      </c>
      <c r="F697" s="6103"/>
      <c r="G697" s="6103"/>
      <c r="H697" s="6104"/>
      <c r="J697" s="6102" t="s">
        <v>1593</v>
      </c>
      <c r="K697" s="6103"/>
      <c r="L697" s="6103"/>
      <c r="M697" s="6104"/>
      <c r="O697" s="6102" t="s">
        <v>853</v>
      </c>
      <c r="P697" s="6103"/>
      <c r="Q697" s="6103"/>
      <c r="R697" s="6104"/>
      <c r="T697" s="6102" t="s">
        <v>2033</v>
      </c>
      <c r="U697" s="6103"/>
      <c r="V697" s="6103"/>
      <c r="W697" s="6104"/>
      <c r="Y697" s="7074"/>
      <c r="Z697" s="6126"/>
      <c r="AA697" s="6126"/>
      <c r="AB697" s="6134"/>
      <c r="AC697" s="7076"/>
      <c r="AD697" s="7074"/>
      <c r="AE697" s="6126"/>
      <c r="AF697" s="6126"/>
      <c r="AG697" s="6134"/>
      <c r="AH697" s="6094"/>
      <c r="AI697" s="6747"/>
    </row>
    <row r="698">
      <c r="A698" s="6738"/>
      <c r="B698" s="6095"/>
      <c r="C698" s="1638"/>
      <c r="D698" s="6101"/>
      <c r="E698" s="6105" t="s">
        <v>729</v>
      </c>
      <c r="F698" s="6106"/>
      <c r="G698" s="6106"/>
      <c r="H698" s="6107"/>
      <c r="J698" s="6105" t="s">
        <v>729</v>
      </c>
      <c r="K698" s="6106"/>
      <c r="L698" s="6106"/>
      <c r="M698" s="6107"/>
      <c r="O698" s="6105" t="s">
        <v>729</v>
      </c>
      <c r="P698" s="6106"/>
      <c r="Q698" s="6106"/>
      <c r="R698" s="6107"/>
      <c r="T698" s="6105" t="s">
        <v>729</v>
      </c>
      <c r="U698" s="6106"/>
      <c r="V698" s="6106"/>
      <c r="W698" s="6107"/>
      <c r="Y698" s="7074"/>
      <c r="Z698" s="6126"/>
      <c r="AA698" s="6126"/>
      <c r="AB698" s="6134"/>
      <c r="AC698" s="7076"/>
      <c r="AD698" s="7074"/>
      <c r="AE698" s="6126"/>
      <c r="AF698" s="6126"/>
      <c r="AG698" s="6134"/>
      <c r="AH698" s="6094"/>
      <c r="AI698" s="6747"/>
    </row>
    <row r="699" ht="25.5" customHeight="1">
      <c r="A699" s="6738"/>
      <c r="B699" s="6095"/>
      <c r="C699" s="1646"/>
      <c r="D699" s="6108"/>
      <c r="E699" s="6109"/>
      <c r="F699" s="6176" t="str">
        <f t="array" ref="F699">IFERROR(VLOOKUP(E697,Dex!$B$3:$H1219,5,FALSE),"")</f>
        <v/>
      </c>
      <c r="G699" s="6177"/>
      <c r="H699" s="6112"/>
      <c r="J699" s="6109"/>
      <c r="K699" s="6110" t="str">
        <f t="array" ref="K699">IFERROR(VLOOKUP(J697,Dex!$B$3:$H1219,5,FALSE),"")</f>
        <v/>
      </c>
      <c r="L699" s="6111" t="str">
        <f t="array" ref="L699">IFERROR(VLOOKUP(J697,Dex!$B$3:$H1219,7,FALSE),"")</f>
        <v/>
      </c>
      <c r="M699" s="6112"/>
      <c r="O699" s="6109"/>
      <c r="P699" s="6110" t="str">
        <f t="array" ref="P699">IFERROR(VLOOKUP(O697,Dex!$B$3:$H1219,5,FALSE),"")</f>
        <v/>
      </c>
      <c r="Q699" s="6111" t="str">
        <f t="array" ref="Q699">IFERROR(VLOOKUP(O697,Dex!$B$3:$H1219,7,FALSE),"")</f>
        <v/>
      </c>
      <c r="R699" s="6112"/>
      <c r="T699" s="6109"/>
      <c r="U699" s="6110" t="str">
        <f t="array" ref="U699">IFERROR(VLOOKUP(T697,Dex!$B$3:$H1219,5,FALSE),"")</f>
        <v/>
      </c>
      <c r="V699" s="6111" t="str">
        <f t="array" ref="V699">IFERROR(VLOOKUP(T697,Dex!$B$3:$H1219,7,FALSE),"")</f>
        <v/>
      </c>
      <c r="W699" s="6112"/>
      <c r="Y699" s="7074"/>
      <c r="Z699" s="6126"/>
      <c r="AA699" s="6126"/>
      <c r="AB699" s="6134"/>
      <c r="AC699" s="7076"/>
      <c r="AD699" s="7074"/>
      <c r="AE699" s="6126"/>
      <c r="AF699" s="6126"/>
      <c r="AG699" s="6134"/>
      <c r="AH699" s="6113"/>
      <c r="AI699" s="6747"/>
    </row>
    <row r="700" ht="2.25" customHeight="1">
      <c r="A700" s="6738"/>
      <c r="B700" s="6085"/>
      <c r="C700" s="6114"/>
      <c r="D700" s="6115"/>
      <c r="E700" s="6116"/>
      <c r="F700" s="6117"/>
      <c r="G700" s="6117"/>
      <c r="H700" s="6118"/>
      <c r="J700" s="6116"/>
      <c r="K700" s="6117"/>
      <c r="L700" s="6117"/>
      <c r="M700" s="6118"/>
      <c r="O700" s="6116"/>
      <c r="P700" s="6117"/>
      <c r="Q700" s="6117"/>
      <c r="R700" s="6118"/>
      <c r="T700" s="6116"/>
      <c r="U700" s="6117"/>
      <c r="V700" s="6117"/>
      <c r="W700" s="6118"/>
      <c r="Y700" s="7074"/>
      <c r="Z700" s="6126"/>
      <c r="AA700" s="6126"/>
      <c r="AB700" s="6134"/>
      <c r="AC700" s="7076"/>
      <c r="AD700" s="7074"/>
      <c r="AE700" s="6126"/>
      <c r="AF700" s="6126"/>
      <c r="AG700" s="6134"/>
      <c r="AH700" s="6113"/>
      <c r="AI700" s="6747"/>
    </row>
    <row r="701" ht="20.25" customHeight="1">
      <c r="A701" s="6738"/>
      <c r="B701" s="6085"/>
      <c r="C701" s="6119"/>
      <c r="D701" s="6120"/>
      <c r="E701" s="6121" t="s">
        <v>566</v>
      </c>
      <c r="F701" s="6122"/>
      <c r="G701" s="6122"/>
      <c r="H701" s="6123"/>
      <c r="J701" s="6121" t="s">
        <v>532</v>
      </c>
      <c r="K701" s="6122"/>
      <c r="L701" s="6122"/>
      <c r="M701" s="6123"/>
      <c r="O701" s="6121" t="s">
        <v>532</v>
      </c>
      <c r="P701" s="6122"/>
      <c r="Q701" s="6122"/>
      <c r="R701" s="6123"/>
      <c r="T701" s="6121" t="s">
        <v>2113</v>
      </c>
      <c r="U701" s="6122"/>
      <c r="V701" s="6122"/>
      <c r="W701" s="6123"/>
      <c r="Y701" s="7074"/>
      <c r="Z701" s="6126"/>
      <c r="AA701" s="6126"/>
      <c r="AB701" s="6134"/>
      <c r="AC701" s="7076"/>
      <c r="AD701" s="7074"/>
      <c r="AE701" s="6126"/>
      <c r="AF701" s="6126"/>
      <c r="AG701" s="6134"/>
      <c r="AH701" s="6094"/>
      <c r="AI701" s="6747"/>
    </row>
    <row r="702" ht="20.25" customHeight="1">
      <c r="A702" s="6738"/>
      <c r="B702" s="6085"/>
      <c r="C702" s="6124"/>
      <c r="D702" s="6120"/>
      <c r="E702" s="6125" t="s">
        <v>857</v>
      </c>
      <c r="F702" s="6126"/>
      <c r="G702" s="6126"/>
      <c r="H702" s="6127"/>
      <c r="J702" s="6125" t="s">
        <v>486</v>
      </c>
      <c r="K702" s="6126"/>
      <c r="L702" s="6126"/>
      <c r="M702" s="6127"/>
      <c r="O702" s="6125" t="s">
        <v>857</v>
      </c>
      <c r="P702" s="6126"/>
      <c r="Q702" s="6126"/>
      <c r="R702" s="6127"/>
      <c r="T702" s="6125" t="s">
        <v>60</v>
      </c>
      <c r="U702" s="6126"/>
      <c r="V702" s="6126"/>
      <c r="W702" s="6127"/>
      <c r="Y702" s="7074"/>
      <c r="Z702" s="6126"/>
      <c r="AA702" s="6126"/>
      <c r="AB702" s="6134"/>
      <c r="AC702" s="7076"/>
      <c r="AD702" s="7074"/>
      <c r="AE702" s="6126"/>
      <c r="AF702" s="6126"/>
      <c r="AG702" s="6134"/>
      <c r="AH702" s="6094"/>
      <c r="AI702" s="6747"/>
    </row>
    <row r="703" ht="20.25" customHeight="1">
      <c r="A703" s="6738"/>
      <c r="B703" s="6085"/>
      <c r="C703" s="6128"/>
      <c r="D703" s="6120"/>
      <c r="E703" s="6129" t="s">
        <v>733</v>
      </c>
      <c r="F703" s="6092"/>
      <c r="G703" s="6093"/>
      <c r="H703" s="6130" t="str">
        <f>IMAGE("https://raw.githubusercontent.com/msikma/pokesprite/master/items/hold-item/leftovers.png",3)</f>
        <v/>
      </c>
      <c r="J703" s="6129" t="s">
        <v>540</v>
      </c>
      <c r="K703" s="6092"/>
      <c r="L703" s="6093"/>
      <c r="M703" s="6130" t="str">
        <f>IMAGE("https://raw.githubusercontent.com/msikma/pokesprite/master/items/hold-item/mystic-water.png",3)</f>
        <v/>
      </c>
      <c r="O703" s="6129" t="s">
        <v>733</v>
      </c>
      <c r="P703" s="6092"/>
      <c r="Q703" s="6093"/>
      <c r="R703" s="6130" t="str">
        <f>IMAGE("https://raw.githubusercontent.com/msikma/pokesprite/master/items/hold-item/leftovers.png",3)</f>
        <v/>
      </c>
      <c r="T703" s="6129" t="s">
        <v>920</v>
      </c>
      <c r="U703" s="6092"/>
      <c r="V703" s="6093"/>
      <c r="W703" s="6130" t="str">
        <f>IMAGE("https://raw.githubusercontent.com/msikma/pokesprite/master/items/hold-item/white-herb.png",3)</f>
        <v/>
      </c>
      <c r="Y703" s="7074"/>
      <c r="Z703" s="6126"/>
      <c r="AA703" s="6126"/>
      <c r="AB703" s="6134"/>
      <c r="AC703" s="7076"/>
      <c r="AD703" s="7074"/>
      <c r="AE703" s="6126"/>
      <c r="AF703" s="6126"/>
      <c r="AG703" s="6134"/>
      <c r="AH703" s="6113"/>
      <c r="AI703" s="6747"/>
    </row>
    <row r="704" ht="20.25" customHeight="1">
      <c r="A704" s="6738"/>
      <c r="B704" s="6085"/>
      <c r="C704" s="6131"/>
      <c r="D704" s="6120"/>
      <c r="E704" s="6121" t="s">
        <v>1040</v>
      </c>
      <c r="F704" s="6122"/>
      <c r="G704" s="6132"/>
      <c r="H704" s="6133" t="str">
        <f t="shared" ref="H704:H706" si="26">IMAGE("https://raw.githubusercontent.com/msikma/pokesprite/master/misc/types/gen8/normal.png",4,20,20)</f>
        <v/>
      </c>
      <c r="J704" s="6121" t="s">
        <v>588</v>
      </c>
      <c r="K704" s="6122"/>
      <c r="L704" s="6132"/>
      <c r="M704" s="6133" t="str">
        <f>IMAGE("https://raw.githubusercontent.com/msikma/pokesprite/master/misc/types/gen8/rock.png",4,20,20)</f>
        <v/>
      </c>
      <c r="O704" s="6121" t="s">
        <v>611</v>
      </c>
      <c r="P704" s="6122"/>
      <c r="Q704" s="6132"/>
      <c r="R704" s="6133" t="str">
        <f>IMAGE("https://raw.githubusercontent.com/msikma/pokesprite/master/misc/types/gen8/electric.png",4,20,20)</f>
        <v/>
      </c>
      <c r="T704" s="6121" t="s">
        <v>273</v>
      </c>
      <c r="U704" s="6122"/>
      <c r="V704" s="6132"/>
      <c r="W704" s="6133" t="str">
        <f>IMAGE("https://raw.githubusercontent.com/msikma/pokesprite/master/misc/types/gen8/normal.png",4,20,20)</f>
        <v/>
      </c>
      <c r="Y704" s="7074"/>
      <c r="Z704" s="6126"/>
      <c r="AA704" s="6126"/>
      <c r="AB704" s="6134"/>
      <c r="AC704" s="7076"/>
      <c r="AD704" s="7074"/>
      <c r="AE704" s="6126"/>
      <c r="AF704" s="6126"/>
      <c r="AG704" s="6134"/>
      <c r="AH704" s="6094"/>
      <c r="AI704" s="6747"/>
    </row>
    <row r="705" ht="20.25" customHeight="1">
      <c r="A705" s="6738"/>
      <c r="B705" s="6085"/>
      <c r="C705" s="6119"/>
      <c r="D705" s="6120"/>
      <c r="E705" s="6125" t="s">
        <v>1596</v>
      </c>
      <c r="F705" s="6126"/>
      <c r="G705" s="6134"/>
      <c r="H705" s="6135" t="str">
        <f t="shared" si="26"/>
        <v/>
      </c>
      <c r="J705" s="6125" t="s">
        <v>693</v>
      </c>
      <c r="K705" s="6126"/>
      <c r="L705" s="6134"/>
      <c r="M705" s="6135" t="str">
        <f>IMAGE("https://raw.githubusercontent.com/msikma/pokesprite/master/misc/types/gen8/flying.png",4,20,20)</f>
        <v/>
      </c>
      <c r="O705" s="6125" t="s">
        <v>805</v>
      </c>
      <c r="P705" s="6126"/>
      <c r="Q705" s="6134"/>
      <c r="R705" s="6135" t="str">
        <f>IMAGE("https://raw.githubusercontent.com/msikma/pokesprite/master/misc/types/gen8/flying.png",4,20,20)</f>
        <v/>
      </c>
      <c r="T705" s="6125" t="s">
        <v>760</v>
      </c>
      <c r="U705" s="6126"/>
      <c r="V705" s="6134"/>
      <c r="W705" s="6135" t="str">
        <f>IMAGE("https://raw.githubusercontent.com/msikma/pokesprite/master/misc/types/gen8/water.png",4,20,20)</f>
        <v/>
      </c>
      <c r="Y705" s="7074"/>
      <c r="Z705" s="6126"/>
      <c r="AA705" s="6126"/>
      <c r="AB705" s="6134"/>
      <c r="AC705" s="7076"/>
      <c r="AD705" s="7074"/>
      <c r="AE705" s="6126"/>
      <c r="AF705" s="6126"/>
      <c r="AG705" s="6134"/>
      <c r="AH705" s="6094"/>
      <c r="AI705" s="6747"/>
    </row>
    <row r="706" ht="20.25" customHeight="1">
      <c r="A706" s="6738"/>
      <c r="B706" s="6085"/>
      <c r="C706" s="6119"/>
      <c r="D706" s="6120"/>
      <c r="E706" s="6125" t="s">
        <v>2114</v>
      </c>
      <c r="F706" s="6126"/>
      <c r="G706" s="6134"/>
      <c r="H706" s="6135" t="str">
        <f t="shared" si="26"/>
        <v/>
      </c>
      <c r="J706" s="6125" t="s">
        <v>612</v>
      </c>
      <c r="K706" s="6126"/>
      <c r="L706" s="6134"/>
      <c r="M706" s="6135" t="str">
        <f>IMAGE("https://raw.githubusercontent.com/msikma/pokesprite/master/misc/types/gen8/bug.png",4,20,20)</f>
        <v/>
      </c>
      <c r="O706" s="6125" t="s">
        <v>2073</v>
      </c>
      <c r="P706" s="6126"/>
      <c r="Q706" s="6134"/>
      <c r="R706" s="6135" t="str">
        <f>IMAGE("https://raw.githubusercontent.com/msikma/pokesprite/master/misc/types/gen8/psychic.png",4,20,20)</f>
        <v/>
      </c>
      <c r="T706" s="6125" t="s">
        <v>939</v>
      </c>
      <c r="U706" s="6126"/>
      <c r="V706" s="6134"/>
      <c r="W706" s="6135" t="str">
        <f>IMAGE("https://raw.githubusercontent.com/msikma/pokesprite/master/misc/types/gen8/psychic.png",4,20,20)</f>
        <v/>
      </c>
      <c r="Y706" s="7074"/>
      <c r="Z706" s="6126"/>
      <c r="AA706" s="6126"/>
      <c r="AB706" s="6134"/>
      <c r="AC706" s="7076"/>
      <c r="AD706" s="7074"/>
      <c r="AE706" s="6126"/>
      <c r="AF706" s="6126"/>
      <c r="AG706" s="6134"/>
      <c r="AH706" s="6094"/>
      <c r="AI706" s="6747"/>
    </row>
    <row r="707" ht="21.0" customHeight="1">
      <c r="A707" s="6738"/>
      <c r="B707" s="6085"/>
      <c r="C707" s="6119"/>
      <c r="D707" s="6120"/>
      <c r="E707" s="6136" t="s">
        <v>741</v>
      </c>
      <c r="F707" s="6137"/>
      <c r="G707" s="6138"/>
      <c r="H707" s="6139" t="str">
        <f>IMAGE("https://raw.githubusercontent.com/msikma/pokesprite/master/misc/types/gen8/psychic.png",4,20,20)</f>
        <v/>
      </c>
      <c r="I707" s="6140"/>
      <c r="J707" s="6136" t="s">
        <v>551</v>
      </c>
      <c r="K707" s="6137"/>
      <c r="L707" s="6138"/>
      <c r="M707" s="6139" t="str">
        <f>IMAGE("https://raw.githubusercontent.com/msikma/pokesprite/master/misc/types/gen8/flying.png",4,20,20)</f>
        <v/>
      </c>
      <c r="N707" s="6140"/>
      <c r="O707" s="6136" t="s">
        <v>619</v>
      </c>
      <c r="P707" s="6137"/>
      <c r="Q707" s="6138"/>
      <c r="R707" s="6139" t="str">
        <f>IMAGE("https://raw.githubusercontent.com/msikma/pokesprite/master/misc/types/gen8/fire.png",4,20,20)</f>
        <v/>
      </c>
      <c r="S707" s="6140"/>
      <c r="T707" s="6136" t="s">
        <v>670</v>
      </c>
      <c r="U707" s="6137"/>
      <c r="V707" s="6138"/>
      <c r="W707" s="6139" t="str">
        <f>IMAGE("https://raw.githubusercontent.com/msikma/pokesprite/master/misc/types/gen8/ice.png",4,20,20)</f>
        <v/>
      </c>
      <c r="X707" s="6140"/>
      <c r="Y707" s="7074"/>
      <c r="Z707" s="6126"/>
      <c r="AA707" s="6126"/>
      <c r="AB707" s="6134"/>
      <c r="AC707" s="7077"/>
      <c r="AD707" s="7074"/>
      <c r="AE707" s="6126"/>
      <c r="AF707" s="6126"/>
      <c r="AG707" s="6134"/>
      <c r="AH707" s="6094"/>
      <c r="AI707" s="6747"/>
    </row>
    <row r="708" ht="3.0" customHeight="1">
      <c r="A708" s="6738"/>
      <c r="B708" s="6141"/>
      <c r="C708" s="6090"/>
      <c r="D708" s="6142"/>
      <c r="E708" s="6145"/>
      <c r="F708" s="6145"/>
      <c r="G708" s="6145"/>
      <c r="H708" s="6144"/>
      <c r="I708" s="6142"/>
      <c r="J708" s="6145"/>
      <c r="K708" s="6145"/>
      <c r="L708" s="6145"/>
      <c r="M708" s="6144"/>
      <c r="N708" s="6142"/>
      <c r="O708" s="6145"/>
      <c r="P708" s="6145"/>
      <c r="Q708" s="6145"/>
      <c r="R708" s="6144"/>
      <c r="S708" s="6142"/>
      <c r="T708" s="6145"/>
      <c r="U708" s="6145"/>
      <c r="V708" s="6145"/>
      <c r="W708" s="6144"/>
      <c r="X708" s="6142"/>
      <c r="Y708" s="7074"/>
      <c r="Z708" s="6126"/>
      <c r="AA708" s="6126"/>
      <c r="AB708" s="6134"/>
      <c r="AC708" s="6142"/>
      <c r="AD708" s="7074"/>
      <c r="AE708" s="6126"/>
      <c r="AF708" s="6126"/>
      <c r="AG708" s="6134"/>
      <c r="AH708" s="6146"/>
      <c r="AI708" s="6747"/>
    </row>
    <row r="709" ht="16.5" customHeight="1">
      <c r="A709" s="6738"/>
      <c r="B709" s="6089"/>
      <c r="C709" s="6090"/>
      <c r="D709" s="6178"/>
      <c r="E709" s="7078" t="s">
        <v>512</v>
      </c>
      <c r="F709" s="606"/>
      <c r="G709" s="606"/>
      <c r="H709" s="607"/>
      <c r="I709" s="6149"/>
      <c r="J709" s="7078" t="s">
        <v>512</v>
      </c>
      <c r="K709" s="606"/>
      <c r="L709" s="606"/>
      <c r="M709" s="607"/>
      <c r="N709" s="6149"/>
      <c r="O709" s="7078" t="s">
        <v>512</v>
      </c>
      <c r="P709" s="606"/>
      <c r="Q709" s="606"/>
      <c r="R709" s="607"/>
      <c r="S709" s="6149"/>
      <c r="T709" s="7078" t="s">
        <v>512</v>
      </c>
      <c r="U709" s="606"/>
      <c r="V709" s="606"/>
      <c r="W709" s="607"/>
      <c r="X709" s="6149"/>
      <c r="Y709" s="7074"/>
      <c r="Z709" s="6126"/>
      <c r="AA709" s="6126"/>
      <c r="AB709" s="6134"/>
      <c r="AC709" s="6149"/>
      <c r="AD709" s="7074"/>
      <c r="AE709" s="6126"/>
      <c r="AF709" s="6126"/>
      <c r="AG709" s="6134"/>
      <c r="AH709" s="6150"/>
      <c r="AI709" s="6747"/>
    </row>
    <row r="710" ht="16.5" customHeight="1">
      <c r="A710" s="6738"/>
      <c r="B710" s="6089"/>
      <c r="C710" s="6090"/>
      <c r="D710" s="6147"/>
      <c r="E710" s="7079" t="s">
        <v>513</v>
      </c>
      <c r="F710" s="7080">
        <f t="array" ref="F710">IFERROR(VLOOKUP(E697,Dex!$B$3:$N1219,8,FALSE),"")</f>
        <v>125</v>
      </c>
      <c r="G710" s="7081" t="str">
        <f t="array" ref="G710">IFERROR(VLOOKUP(F710,Dex!$P$22:$Q$276,2,FALSE),"")</f>
        <v/>
      </c>
      <c r="H710" s="7082"/>
      <c r="I710" s="6155"/>
      <c r="J710" s="7079" t="s">
        <v>513</v>
      </c>
      <c r="K710" s="7080">
        <f t="array" ref="K710">IFERROR(VLOOKUP(J697,Dex!$B$3:$N1219,8,FALSE),"")</f>
        <v>75</v>
      </c>
      <c r="L710" s="7081" t="str">
        <f t="array" ref="L710">IFERROR(VLOOKUP(K710,Dex!$P$22:$Q$276,2,FALSE),"")</f>
        <v/>
      </c>
      <c r="M710" s="7082"/>
      <c r="N710" s="6155"/>
      <c r="O710" s="7079" t="s">
        <v>513</v>
      </c>
      <c r="P710" s="7080">
        <f t="array" ref="P710">IFERROR(VLOOKUP(O697,Dex!$B$3:$N1219,8,FALSE),"")</f>
        <v>85</v>
      </c>
      <c r="Q710" s="7081" t="str">
        <f t="array" ref="Q710">IFERROR(VLOOKUP(P710,Dex!$P$22:$Q$276,2,FALSE),"")</f>
        <v/>
      </c>
      <c r="R710" s="7082"/>
      <c r="S710" s="6155"/>
      <c r="T710" s="7079" t="s">
        <v>513</v>
      </c>
      <c r="U710" s="7080">
        <f t="array" ref="U710">IFERROR(VLOOKUP(T697,Dex!$B$3:$N1219,8,FALSE),"")</f>
        <v>55</v>
      </c>
      <c r="V710" s="7081" t="str">
        <f t="array" ref="V710">IFERROR(VLOOKUP(U710,Dex!$P$22:$Q$276,2,FALSE),"")</f>
        <v/>
      </c>
      <c r="W710" s="7082"/>
      <c r="X710" s="6155"/>
      <c r="Y710" s="7074"/>
      <c r="Z710" s="6126"/>
      <c r="AA710" s="6126"/>
      <c r="AB710" s="6134"/>
      <c r="AC710" s="6155"/>
      <c r="AD710" s="7074"/>
      <c r="AE710" s="6126"/>
      <c r="AF710" s="6126"/>
      <c r="AG710" s="6134"/>
      <c r="AH710" s="6150"/>
      <c r="AI710" s="6747"/>
    </row>
    <row r="711" ht="16.5" customHeight="1">
      <c r="A711" s="6738"/>
      <c r="B711" s="6089"/>
      <c r="C711" s="6090"/>
      <c r="D711" s="6147"/>
      <c r="E711" s="7083" t="s">
        <v>514</v>
      </c>
      <c r="F711" s="7084">
        <f t="array" ref="F711">IFERROR(VLOOKUP(E697,Dex!$B$3:$N1219,9,FALSE),"")</f>
        <v>100</v>
      </c>
      <c r="G711" s="7085" t="str">
        <f t="array" ref="G711">IFERROR(VLOOKUP(F711,Dex!$P$22:$Q$276,2,FALSE),"")</f>
        <v/>
      </c>
      <c r="H711" s="7086"/>
      <c r="I711" s="6155"/>
      <c r="J711" s="7083" t="s">
        <v>514</v>
      </c>
      <c r="K711" s="7084">
        <f t="array" ref="K711">IFERROR(VLOOKUP(J697,Dex!$B$3:$N1219,9,FALSE),"")</f>
        <v>140</v>
      </c>
      <c r="L711" s="7085" t="str">
        <f t="array" ref="L711">IFERROR(VLOOKUP(K711,Dex!$P$22:$Q$276,2,FALSE),"")</f>
        <v/>
      </c>
      <c r="M711" s="7086"/>
      <c r="N711" s="6155"/>
      <c r="O711" s="7083" t="s">
        <v>514</v>
      </c>
      <c r="P711" s="7084">
        <f t="array" ref="P711">IFERROR(VLOOKUP(O697,Dex!$B$3:$N1219,9,FALSE),"")</f>
        <v>50</v>
      </c>
      <c r="Q711" s="7085" t="str">
        <f t="array" ref="Q711">IFERROR(VLOOKUP(P711,Dex!$P$22:$Q$276,2,FALSE),"")</f>
        <v/>
      </c>
      <c r="R711" s="7086"/>
      <c r="S711" s="6155"/>
      <c r="T711" s="7083" t="s">
        <v>514</v>
      </c>
      <c r="U711" s="7084">
        <f t="array" ref="U711">IFERROR(VLOOKUP(T697,Dex!$B$3:$N1219,9,FALSE),"")</f>
        <v>104</v>
      </c>
      <c r="V711" s="7085" t="str">
        <f t="array" ref="V711">IFERROR(VLOOKUP(U711,Dex!$P$22:$Q$276,2,FALSE),"")</f>
        <v/>
      </c>
      <c r="W711" s="7086"/>
      <c r="X711" s="6155"/>
      <c r="Y711" s="7074"/>
      <c r="Z711" s="6126"/>
      <c r="AA711" s="6126"/>
      <c r="AB711" s="6134"/>
      <c r="AC711" s="6155"/>
      <c r="AD711" s="7074"/>
      <c r="AE711" s="6126"/>
      <c r="AF711" s="6126"/>
      <c r="AG711" s="6134"/>
      <c r="AH711" s="6150"/>
      <c r="AI711" s="6747"/>
    </row>
    <row r="712" ht="16.5" customHeight="1">
      <c r="A712" s="6738"/>
      <c r="B712" s="6089"/>
      <c r="C712" s="6090"/>
      <c r="D712" s="6147"/>
      <c r="E712" s="7083" t="s">
        <v>515</v>
      </c>
      <c r="F712" s="7084">
        <f t="array" ref="F712">IFERROR(VLOOKUP(E697,Dex!$B$3:$N1219,10,FALSE),"")</f>
        <v>80</v>
      </c>
      <c r="G712" s="7085" t="str">
        <f t="array" ref="G712">IFERROR(VLOOKUP(F712,Dex!$P$22:$Q$276,2,FALSE),"")</f>
        <v/>
      </c>
      <c r="H712" s="7086"/>
      <c r="I712" s="6155"/>
      <c r="J712" s="7083" t="s">
        <v>515</v>
      </c>
      <c r="K712" s="7084">
        <f t="array" ref="K712">IFERROR(VLOOKUP(J697,Dex!$B$3:$N1219,10,FALSE),"")</f>
        <v>65</v>
      </c>
      <c r="L712" s="7085" t="str">
        <f t="array" ref="L712">IFERROR(VLOOKUP(K712,Dex!$P$22:$Q$276,2,FALSE),"")</f>
        <v/>
      </c>
      <c r="M712" s="7086"/>
      <c r="N712" s="6155"/>
      <c r="O712" s="7083" t="s">
        <v>515</v>
      </c>
      <c r="P712" s="7084">
        <f t="array" ref="P712">IFERROR(VLOOKUP(O697,Dex!$B$3:$N1219,10,FALSE),"")</f>
        <v>95</v>
      </c>
      <c r="Q712" s="7085" t="str">
        <f t="array" ref="Q712">IFERROR(VLOOKUP(P712,Dex!$P$22:$Q$276,2,FALSE),"")</f>
        <v/>
      </c>
      <c r="R712" s="7086"/>
      <c r="S712" s="6155"/>
      <c r="T712" s="7083" t="s">
        <v>515</v>
      </c>
      <c r="U712" s="7084">
        <f t="array" ref="U712">IFERROR(VLOOKUP(T697,Dex!$B$3:$N1219,10,FALSE),"")</f>
        <v>105</v>
      </c>
      <c r="V712" s="7085" t="str">
        <f t="array" ref="V712">IFERROR(VLOOKUP(U712,Dex!$P$22:$Q$276,2,FALSE),"")</f>
        <v/>
      </c>
      <c r="W712" s="7086"/>
      <c r="X712" s="6155"/>
      <c r="Y712" s="7074"/>
      <c r="Z712" s="6126"/>
      <c r="AA712" s="6126"/>
      <c r="AB712" s="6134"/>
      <c r="AC712" s="6155"/>
      <c r="AD712" s="7074"/>
      <c r="AE712" s="6126"/>
      <c r="AF712" s="6126"/>
      <c r="AG712" s="6134"/>
      <c r="AH712" s="6150"/>
      <c r="AI712" s="6747"/>
    </row>
    <row r="713" ht="16.5" customHeight="1">
      <c r="A713" s="6738"/>
      <c r="B713" s="6089"/>
      <c r="C713" s="6090"/>
      <c r="D713" s="6147"/>
      <c r="E713" s="7083" t="s">
        <v>516</v>
      </c>
      <c r="F713" s="7084">
        <f t="array" ref="F713">IFERROR(VLOOKUP(E697,Dex!$B$3:$N1219,11,FALSE),"")</f>
        <v>85</v>
      </c>
      <c r="G713" s="7085" t="str">
        <f t="array" ref="G713">IFERROR(VLOOKUP(F713,Dex!$P$22:$Q$276,2,FALSE),"")</f>
        <v/>
      </c>
      <c r="H713" s="7086"/>
      <c r="I713" s="6155"/>
      <c r="J713" s="7083" t="s">
        <v>516</v>
      </c>
      <c r="K713" s="7084">
        <f t="array" ref="K713">IFERROR(VLOOKUP(J697,Dex!$B$3:$N1219,11,FALSE),"")</f>
        <v>112</v>
      </c>
      <c r="L713" s="7085" t="str">
        <f t="array" ref="L713">IFERROR(VLOOKUP(K713,Dex!$P$22:$Q$276,2,FALSE),"")</f>
        <v/>
      </c>
      <c r="M713" s="7086"/>
      <c r="N713" s="6155"/>
      <c r="O713" s="7083" t="s">
        <v>516</v>
      </c>
      <c r="P713" s="7084">
        <f t="array" ref="P713">IFERROR(VLOOKUP(O697,Dex!$B$3:$N1219,11,FALSE),"")</f>
        <v>120</v>
      </c>
      <c r="Q713" s="7085" t="str">
        <f t="array" ref="Q713">IFERROR(VLOOKUP(P713,Dex!$P$22:$Q$276,2,FALSE),"")</f>
        <v/>
      </c>
      <c r="R713" s="7086"/>
      <c r="S713" s="6155"/>
      <c r="T713" s="7083" t="s">
        <v>516</v>
      </c>
      <c r="U713" s="7084">
        <f t="array" ref="U713">IFERROR(VLOOKUP(T697,Dex!$B$3:$N1219,11,FALSE),"")</f>
        <v>94</v>
      </c>
      <c r="V713" s="7085" t="str">
        <f t="array" ref="V713">IFERROR(VLOOKUP(U713,Dex!$P$22:$Q$276,2,FALSE),"")</f>
        <v/>
      </c>
      <c r="W713" s="7086"/>
      <c r="X713" s="6155"/>
      <c r="Y713" s="7074"/>
      <c r="Z713" s="6126"/>
      <c r="AA713" s="6126"/>
      <c r="AB713" s="6134"/>
      <c r="AC713" s="6155"/>
      <c r="AD713" s="7074"/>
      <c r="AE713" s="6126"/>
      <c r="AF713" s="6126"/>
      <c r="AG713" s="6134"/>
      <c r="AH713" s="6150"/>
      <c r="AI713" s="6747"/>
    </row>
    <row r="714" ht="16.5" customHeight="1">
      <c r="A714" s="6738"/>
      <c r="B714" s="6089"/>
      <c r="C714" s="6160"/>
      <c r="D714" s="6147"/>
      <c r="E714" s="7083" t="s">
        <v>517</v>
      </c>
      <c r="F714" s="7084">
        <f t="array" ref="F714">IFERROR(VLOOKUP(E697,Dex!$B$3:$N1219,12,FALSE),"")</f>
        <v>75</v>
      </c>
      <c r="G714" s="7085" t="str">
        <f t="array" ref="G714">IFERROR(VLOOKUP(F714,Dex!$P$22:$Q$276,2,FALSE),"")</f>
        <v/>
      </c>
      <c r="H714" s="7086"/>
      <c r="I714" s="6155"/>
      <c r="J714" s="7083" t="s">
        <v>517</v>
      </c>
      <c r="K714" s="7084">
        <f t="array" ref="K714">IFERROR(VLOOKUP(J697,Dex!$B$3:$N1219,12,FALSE),"")</f>
        <v>65</v>
      </c>
      <c r="L714" s="7085" t="str">
        <f t="array" ref="L714">IFERROR(VLOOKUP(K714,Dex!$P$22:$Q$276,2,FALSE),"")</f>
        <v/>
      </c>
      <c r="M714" s="7086"/>
      <c r="N714" s="6155"/>
      <c r="O714" s="7083" t="s">
        <v>517</v>
      </c>
      <c r="P714" s="7084">
        <f t="array" ref="P714">IFERROR(VLOOKUP(O697,Dex!$B$3:$N1219,12,FALSE),"")</f>
        <v>115</v>
      </c>
      <c r="Q714" s="7085" t="str">
        <f t="array" ref="Q714">IFERROR(VLOOKUP(P714,Dex!$P$22:$Q$276,2,FALSE),"")</f>
        <v/>
      </c>
      <c r="R714" s="7086"/>
      <c r="S714" s="6155"/>
      <c r="T714" s="7083" t="s">
        <v>517</v>
      </c>
      <c r="U714" s="7084">
        <f t="array" ref="U714">IFERROR(VLOOKUP(T697,Dex!$B$3:$N1219,12,FALSE),"")</f>
        <v>75</v>
      </c>
      <c r="V714" s="7085" t="str">
        <f t="array" ref="V714">IFERROR(VLOOKUP(U714,Dex!$P$22:$Q$276,2,FALSE),"")</f>
        <v/>
      </c>
      <c r="W714" s="7086"/>
      <c r="X714" s="6155"/>
      <c r="Y714" s="7074"/>
      <c r="Z714" s="6126"/>
      <c r="AA714" s="6126"/>
      <c r="AB714" s="6134"/>
      <c r="AC714" s="6155"/>
      <c r="AD714" s="7074"/>
      <c r="AE714" s="6126"/>
      <c r="AF714" s="6126"/>
      <c r="AG714" s="6134"/>
      <c r="AH714" s="6150"/>
      <c r="AI714" s="6747"/>
    </row>
    <row r="715" ht="16.5" customHeight="1">
      <c r="A715" s="6738"/>
      <c r="B715" s="6089"/>
      <c r="C715" s="6090"/>
      <c r="D715" s="6161"/>
      <c r="E715" s="7087" t="s">
        <v>518</v>
      </c>
      <c r="F715" s="7088">
        <f t="array" ref="F715">IFERROR(VLOOKUP(E697,Dex!$B$3:$N1219,13,FALSE),"")</f>
        <v>55</v>
      </c>
      <c r="G715" s="7085" t="str">
        <f t="array" ref="G715">IFERROR(VLOOKUP(F715,Dex!$P$22:$Q$276,2,FALSE),"")</f>
        <v/>
      </c>
      <c r="H715" s="7086"/>
      <c r="I715" s="6155"/>
      <c r="J715" s="7087" t="s">
        <v>518</v>
      </c>
      <c r="K715" s="7088">
        <f t="array" ref="K715">IFERROR(VLOOKUP(J697,Dex!$B$3:$N1219,13,FALSE),"")</f>
        <v>110</v>
      </c>
      <c r="L715" s="7085" t="str">
        <f t="array" ref="L715">IFERROR(VLOOKUP(K715,Dex!$P$22:$Q$276,2,FALSE),"")</f>
        <v/>
      </c>
      <c r="M715" s="7086"/>
      <c r="N715" s="6155"/>
      <c r="O715" s="7087" t="s">
        <v>518</v>
      </c>
      <c r="P715" s="7088">
        <f t="array" ref="P715">IFERROR(VLOOKUP(O697,Dex!$B$3:$N1219,13,FALSE),"")</f>
        <v>80</v>
      </c>
      <c r="Q715" s="7085" t="str">
        <f t="array" ref="Q715">IFERROR(VLOOKUP(P715,Dex!$P$22:$Q$276,2,FALSE),"")</f>
        <v/>
      </c>
      <c r="R715" s="7086"/>
      <c r="S715" s="6155"/>
      <c r="T715" s="7087" t="s">
        <v>518</v>
      </c>
      <c r="U715" s="7088">
        <f t="array" ref="U715">IFERROR(VLOOKUP(T697,Dex!$B$3:$N1219,13,FALSE),"")</f>
        <v>52</v>
      </c>
      <c r="V715" s="7085" t="str">
        <f t="array" ref="V715">IFERROR(VLOOKUP(U715,Dex!$P$22:$Q$276,2,FALSE),"")</f>
        <v/>
      </c>
      <c r="W715" s="7086"/>
      <c r="X715" s="6155"/>
      <c r="Y715" s="7074"/>
      <c r="Z715" s="6126"/>
      <c r="AA715" s="6126"/>
      <c r="AB715" s="6134"/>
      <c r="AC715" s="6155"/>
      <c r="AD715" s="7074"/>
      <c r="AE715" s="6126"/>
      <c r="AF715" s="6126"/>
      <c r="AG715" s="6134"/>
      <c r="AH715" s="6150"/>
      <c r="AI715" s="6747"/>
    </row>
    <row r="716" ht="16.5" customHeight="1">
      <c r="A716" s="6738"/>
      <c r="B716" s="6089"/>
      <c r="C716" s="6090"/>
      <c r="D716" s="6180"/>
      <c r="E716" s="7089" t="s">
        <v>519</v>
      </c>
      <c r="F716" s="630"/>
      <c r="G716" s="631"/>
      <c r="H716" s="7090">
        <v>146.0</v>
      </c>
      <c r="I716" s="6149"/>
      <c r="J716" s="7089" t="s">
        <v>519</v>
      </c>
      <c r="K716" s="630"/>
      <c r="L716" s="631"/>
      <c r="M716" s="7090">
        <v>281.0</v>
      </c>
      <c r="N716" s="6149"/>
      <c r="O716" s="7089" t="s">
        <v>519</v>
      </c>
      <c r="P716" s="630"/>
      <c r="Q716" s="631"/>
      <c r="R716" s="7090">
        <v>215.0</v>
      </c>
      <c r="S716" s="6149"/>
      <c r="T716" s="7089" t="s">
        <v>519</v>
      </c>
      <c r="U716" s="630"/>
      <c r="V716" s="631"/>
      <c r="W716" s="7090">
        <v>140.0</v>
      </c>
      <c r="X716" s="6149"/>
      <c r="Y716" s="7074"/>
      <c r="Z716" s="6126"/>
      <c r="AA716" s="6126"/>
      <c r="AB716" s="6134"/>
      <c r="AC716" s="6149"/>
      <c r="AD716" s="7074"/>
      <c r="AE716" s="6126"/>
      <c r="AF716" s="6126"/>
      <c r="AG716" s="6134"/>
      <c r="AH716" s="6150"/>
      <c r="AI716" s="6747"/>
    </row>
    <row r="717" ht="15.0" customHeight="1">
      <c r="A717" s="6738"/>
      <c r="B717" s="7091"/>
      <c r="C717" s="6182"/>
      <c r="D717" s="6182"/>
      <c r="E717" s="6182"/>
      <c r="F717" s="6182"/>
      <c r="G717" s="6182"/>
      <c r="H717" s="6182"/>
      <c r="I717" s="6182"/>
      <c r="J717" s="6182"/>
      <c r="K717" s="6182"/>
      <c r="L717" s="6182"/>
      <c r="M717" s="6182"/>
      <c r="N717" s="6182"/>
      <c r="O717" s="7092"/>
      <c r="P717" s="7092"/>
      <c r="Q717" s="7092"/>
      <c r="R717" s="6182"/>
      <c r="S717" s="6182"/>
      <c r="T717" s="6184"/>
      <c r="U717" s="6184"/>
      <c r="V717" s="6184"/>
      <c r="W717" s="6182"/>
      <c r="X717" s="6182"/>
      <c r="Y717" s="6184"/>
      <c r="Z717" s="6184"/>
      <c r="AA717" s="6184"/>
      <c r="AB717" s="6182"/>
      <c r="AC717" s="6182"/>
      <c r="AD717" s="6182"/>
      <c r="AE717" s="6182"/>
      <c r="AF717" s="6182"/>
      <c r="AG717" s="6182"/>
      <c r="AH717" s="7093"/>
      <c r="AI717" s="6747"/>
    </row>
    <row r="718" ht="15.0" customHeight="1">
      <c r="A718" s="6738"/>
      <c r="B718" s="3253"/>
      <c r="C718" s="3254"/>
      <c r="D718" s="3254"/>
      <c r="E718" s="3258"/>
      <c r="F718" s="3258"/>
      <c r="G718" s="3258"/>
      <c r="H718" s="3258"/>
      <c r="I718" s="3259"/>
      <c r="J718" s="3258"/>
      <c r="K718" s="3258"/>
      <c r="L718" s="3258"/>
      <c r="M718" s="3258"/>
      <c r="N718" s="3259"/>
      <c r="O718" s="3258"/>
      <c r="P718" s="3258"/>
      <c r="Q718" s="3258"/>
      <c r="R718" s="3258"/>
      <c r="S718" s="3259"/>
      <c r="T718" s="3258"/>
      <c r="U718" s="3258"/>
      <c r="V718" s="3258"/>
      <c r="W718" s="3258"/>
      <c r="X718" s="3254"/>
      <c r="Y718" s="3308"/>
      <c r="Z718" s="3308"/>
      <c r="AA718" s="3308"/>
      <c r="AB718" s="3308"/>
      <c r="AC718" s="3254"/>
      <c r="AD718" s="3308"/>
      <c r="AE718" s="3308"/>
      <c r="AF718" s="3308"/>
      <c r="AG718" s="3308"/>
      <c r="AH718" s="3257"/>
      <c r="AI718" s="6747"/>
    </row>
    <row r="719" ht="96.75" customHeight="1">
      <c r="A719" s="6738"/>
      <c r="B719" s="3253"/>
      <c r="C719" s="3081" t="str">
        <f>IMAGE("https://i.ibb.co/qgT6ZFT/Ariana.png")</f>
        <v/>
      </c>
      <c r="D719" s="3260"/>
      <c r="E719" s="3083" t="str">
        <f t="array" ref="E719">IFERROR(VLOOKUP(E720,Dex!$B$3:$G1219,3,FALSE),"")</f>
        <v/>
      </c>
      <c r="F719" s="1945"/>
      <c r="G719" s="1945"/>
      <c r="H719" s="1946"/>
      <c r="I719" s="3261"/>
      <c r="J719" s="3083" t="str">
        <f t="array" ref="J719">IFERROR(VLOOKUP(J720,Dex!$B$3:$G1219,3,FALSE),"")</f>
        <v/>
      </c>
      <c r="K719" s="1945"/>
      <c r="L719" s="1945"/>
      <c r="M719" s="1946"/>
      <c r="N719" s="3261"/>
      <c r="O719" s="3083" t="str">
        <f t="array" ref="O719">IFERROR(VLOOKUP(O720,Dex!$B$3:$G1219,3,FALSE),"")</f>
        <v/>
      </c>
      <c r="P719" s="1945"/>
      <c r="Q719" s="1945"/>
      <c r="R719" s="1946"/>
      <c r="S719" s="3261"/>
      <c r="T719" s="3083" t="str">
        <f t="array" ref="T719">IFERROR(VLOOKUP(T720,Dex!$B$3:$G1219,3,FALSE),"")</f>
        <v/>
      </c>
      <c r="U719" s="1945"/>
      <c r="V719" s="1945"/>
      <c r="W719" s="1946"/>
      <c r="X719" s="7253"/>
      <c r="Y719" s="3083" t="str">
        <f t="array" ref="Y719">IFERROR(VLOOKUP(Y720,Dex!$B$3:$G1219,3,FALSE),"")</f>
        <v/>
      </c>
      <c r="Z719" s="1945"/>
      <c r="AA719" s="1945"/>
      <c r="AB719" s="1946"/>
      <c r="AC719" s="7253"/>
      <c r="AD719" s="3083" t="str">
        <f t="array" ref="AD719">IFERROR(VLOOKUP(AD720,Dex!$B$3:$G1219,3,FALSE),"")</f>
        <v/>
      </c>
      <c r="AE719" s="1945"/>
      <c r="AF719" s="1945"/>
      <c r="AG719" s="1946"/>
      <c r="AH719" s="7254"/>
      <c r="AI719" s="6747"/>
    </row>
    <row r="720" ht="18.75" customHeight="1">
      <c r="A720" s="6738"/>
      <c r="B720" s="3253"/>
      <c r="C720" s="3265" t="s">
        <v>2115</v>
      </c>
      <c r="D720" s="3266"/>
      <c r="E720" s="3090" t="s">
        <v>1620</v>
      </c>
      <c r="F720" s="3091"/>
      <c r="G720" s="3091"/>
      <c r="H720" s="3092"/>
      <c r="I720" s="3266"/>
      <c r="J720" s="3090" t="s">
        <v>1634</v>
      </c>
      <c r="K720" s="3091"/>
      <c r="L720" s="3091"/>
      <c r="M720" s="3092"/>
      <c r="N720" s="3266"/>
      <c r="O720" s="3090" t="s">
        <v>1660</v>
      </c>
      <c r="P720" s="3091"/>
      <c r="Q720" s="3091"/>
      <c r="R720" s="3092"/>
      <c r="S720" s="3266"/>
      <c r="T720" s="3090" t="s">
        <v>1328</v>
      </c>
      <c r="U720" s="3091"/>
      <c r="V720" s="3091"/>
      <c r="W720" s="3092"/>
      <c r="Y720" s="3090" t="s">
        <v>1940</v>
      </c>
      <c r="Z720" s="3091"/>
      <c r="AA720" s="3091"/>
      <c r="AB720" s="3092"/>
      <c r="AD720" s="3090" t="s">
        <v>1252</v>
      </c>
      <c r="AE720" s="3091"/>
      <c r="AF720" s="3091"/>
      <c r="AG720" s="3092"/>
      <c r="AH720" s="7254"/>
      <c r="AI720" s="6747"/>
    </row>
    <row r="721">
      <c r="A721" s="6738"/>
      <c r="B721" s="3253"/>
      <c r="C721" s="556"/>
      <c r="D721" s="3270"/>
      <c r="E721" s="3271" t="s">
        <v>729</v>
      </c>
      <c r="F721" s="3098"/>
      <c r="G721" s="3098"/>
      <c r="H721" s="3099"/>
      <c r="I721" s="3266"/>
      <c r="J721" s="3271" t="s">
        <v>729</v>
      </c>
      <c r="K721" s="3098"/>
      <c r="L721" s="3098"/>
      <c r="M721" s="3099"/>
      <c r="N721" s="3266"/>
      <c r="O721" s="3271" t="s">
        <v>729</v>
      </c>
      <c r="P721" s="3098"/>
      <c r="Q721" s="3098"/>
      <c r="R721" s="3099"/>
      <c r="S721" s="3266"/>
      <c r="T721" s="3271" t="s">
        <v>729</v>
      </c>
      <c r="U721" s="3098"/>
      <c r="V721" s="3098"/>
      <c r="W721" s="3099"/>
      <c r="Y721" s="3271" t="s">
        <v>729</v>
      </c>
      <c r="Z721" s="3098"/>
      <c r="AA721" s="3098"/>
      <c r="AB721" s="3099"/>
      <c r="AD721" s="3271" t="s">
        <v>729</v>
      </c>
      <c r="AE721" s="3098"/>
      <c r="AF721" s="3098"/>
      <c r="AG721" s="3099"/>
      <c r="AH721" s="7254"/>
      <c r="AI721" s="6747"/>
    </row>
    <row r="722" ht="25.5" customHeight="1">
      <c r="A722" s="6738"/>
      <c r="B722" s="3253"/>
      <c r="C722" s="3280"/>
      <c r="D722" s="3263"/>
      <c r="E722" s="3104"/>
      <c r="F722" s="3105" t="str">
        <f t="array" ref="F722">IFERROR(VLOOKUP(E720,Dex!$B$3:$H1219,5,FALSE),"")</f>
        <v/>
      </c>
      <c r="G722" s="3106" t="str">
        <f t="array" ref="G722">IFERROR(VLOOKUP(E720,Dex!$B$3:$H1219,7,FALSE),"")</f>
        <v/>
      </c>
      <c r="H722" s="3107"/>
      <c r="I722" s="3268"/>
      <c r="J722" s="3104"/>
      <c r="K722" s="3105" t="str">
        <f t="array" ref="K722">IFERROR(VLOOKUP(J720,Dex!$B$3:$H1219,5,FALSE),"")</f>
        <v/>
      </c>
      <c r="L722" s="3106" t="str">
        <f t="array" ref="L722">IFERROR(VLOOKUP(J720,Dex!$B$3:$H1219,7,FALSE),"")</f>
        <v/>
      </c>
      <c r="M722" s="3107"/>
      <c r="N722" s="3268"/>
      <c r="O722" s="3104"/>
      <c r="P722" s="3105" t="str">
        <f t="array" ref="P722">IFERROR(VLOOKUP(O720,Dex!$B$3:$H1219,5,FALSE),"")</f>
        <v/>
      </c>
      <c r="Q722" s="3106" t="str">
        <f t="array" ref="Q722">IFERROR(VLOOKUP(O720,Dex!$B$3:$H1219,7,FALSE),"")</f>
        <v/>
      </c>
      <c r="R722" s="3107"/>
      <c r="S722" s="3268"/>
      <c r="T722" s="3104"/>
      <c r="U722" s="3105" t="str">
        <f t="array" ref="U722">IFERROR(VLOOKUP(T720,Dex!$B$3:$H1219,5,FALSE),"")</f>
        <v/>
      </c>
      <c r="V722" s="3106" t="str">
        <f t="array" ref="V722">IFERROR(VLOOKUP(T720,Dex!$B$3:$H1219,7,FALSE),"")</f>
        <v/>
      </c>
      <c r="W722" s="3107"/>
      <c r="Y722" s="3104"/>
      <c r="Z722" s="3274" t="str">
        <f t="array" ref="Z722">IFERROR(VLOOKUP(Y720,Dex!$B$3:$H1219,5,FALSE),"")</f>
        <v/>
      </c>
      <c r="AA722" s="3275"/>
      <c r="AB722" s="3107"/>
      <c r="AD722" s="3104"/>
      <c r="AE722" s="3105" t="str">
        <f t="array" ref="AE722">IFERROR(VLOOKUP(AD720,Dex!$B$3:$H1219,5,FALSE),"")</f>
        <v/>
      </c>
      <c r="AF722" s="3106" t="str">
        <f t="array" ref="AF722">IFERROR(VLOOKUP(AD720,Dex!$B$3:$H1219,7,FALSE),"")</f>
        <v/>
      </c>
      <c r="AG722" s="3107"/>
      <c r="AH722" s="3257"/>
      <c r="AI722" s="6747"/>
    </row>
    <row r="723" ht="2.25" customHeight="1">
      <c r="A723" s="6738"/>
      <c r="B723" s="3253"/>
      <c r="C723" s="3280"/>
      <c r="D723" s="3263"/>
      <c r="E723" s="3109"/>
      <c r="F723" s="3110"/>
      <c r="G723" s="3110"/>
      <c r="H723" s="3111"/>
      <c r="I723" s="3268"/>
      <c r="J723" s="3109"/>
      <c r="K723" s="3110"/>
      <c r="L723" s="3110"/>
      <c r="M723" s="3111"/>
      <c r="N723" s="3268"/>
      <c r="O723" s="3109"/>
      <c r="P723" s="3110"/>
      <c r="Q723" s="3110"/>
      <c r="R723" s="3111"/>
      <c r="S723" s="3268"/>
      <c r="T723" s="3109"/>
      <c r="U723" s="3110"/>
      <c r="V723" s="3110"/>
      <c r="W723" s="3111"/>
      <c r="Y723" s="3109"/>
      <c r="Z723" s="3110"/>
      <c r="AA723" s="3110"/>
      <c r="AB723" s="3111"/>
      <c r="AD723" s="3109"/>
      <c r="AE723" s="3110"/>
      <c r="AF723" s="3110"/>
      <c r="AG723" s="3111"/>
      <c r="AH723" s="3257"/>
      <c r="AI723" s="6747"/>
    </row>
    <row r="724" ht="20.25" customHeight="1">
      <c r="A724" s="6738"/>
      <c r="B724" s="3253"/>
      <c r="C724" s="3280"/>
      <c r="D724" s="3263"/>
      <c r="E724" s="3114" t="s">
        <v>532</v>
      </c>
      <c r="F724" s="3115"/>
      <c r="G724" s="3115"/>
      <c r="H724" s="3116"/>
      <c r="I724" s="3278"/>
      <c r="J724" s="3114" t="s">
        <v>565</v>
      </c>
      <c r="K724" s="3115"/>
      <c r="L724" s="3115"/>
      <c r="M724" s="3116"/>
      <c r="N724" s="3278"/>
      <c r="O724" s="3114" t="s">
        <v>532</v>
      </c>
      <c r="P724" s="3115"/>
      <c r="Q724" s="3115"/>
      <c r="R724" s="3116"/>
      <c r="S724" s="3278"/>
      <c r="T724" s="3114" t="s">
        <v>564</v>
      </c>
      <c r="U724" s="3115"/>
      <c r="V724" s="3115"/>
      <c r="W724" s="3116"/>
      <c r="Y724" s="3114" t="s">
        <v>532</v>
      </c>
      <c r="Z724" s="3115"/>
      <c r="AA724" s="3115"/>
      <c r="AB724" s="3116"/>
      <c r="AD724" s="3114" t="s">
        <v>566</v>
      </c>
      <c r="AE724" s="3115"/>
      <c r="AF724" s="3115"/>
      <c r="AG724" s="3116"/>
      <c r="AH724" s="7254"/>
      <c r="AI724" s="6747"/>
    </row>
    <row r="725">
      <c r="A725" s="6738"/>
      <c r="B725" s="3253"/>
      <c r="C725" s="3279"/>
      <c r="D725" s="3263"/>
      <c r="E725" s="3118" t="s">
        <v>2116</v>
      </c>
      <c r="F725" s="3119"/>
      <c r="G725" s="3119"/>
      <c r="H725" s="3120"/>
      <c r="I725" s="3278"/>
      <c r="J725" s="3118" t="s">
        <v>781</v>
      </c>
      <c r="K725" s="3119"/>
      <c r="L725" s="3119"/>
      <c r="M725" s="3120"/>
      <c r="N725" s="3278"/>
      <c r="O725" s="3118" t="s">
        <v>1662</v>
      </c>
      <c r="P725" s="3119"/>
      <c r="Q725" s="3119"/>
      <c r="R725" s="3120"/>
      <c r="S725" s="3278"/>
      <c r="T725" s="3118" t="s">
        <v>76</v>
      </c>
      <c r="U725" s="3119"/>
      <c r="V725" s="3119"/>
      <c r="W725" s="3120"/>
      <c r="Y725" s="3118" t="s">
        <v>1941</v>
      </c>
      <c r="Z725" s="3119"/>
      <c r="AA725" s="3119"/>
      <c r="AB725" s="3120"/>
      <c r="AD725" s="3118" t="s">
        <v>2117</v>
      </c>
      <c r="AE725" s="3119"/>
      <c r="AF725" s="3119"/>
      <c r="AG725" s="3120"/>
      <c r="AH725" s="7254"/>
      <c r="AI725" s="6747"/>
    </row>
    <row r="726" ht="20.25" customHeight="1">
      <c r="A726" s="6738"/>
      <c r="B726" s="3253"/>
      <c r="C726" s="3269"/>
      <c r="D726" s="3263"/>
      <c r="E726" s="3121" t="s">
        <v>1622</v>
      </c>
      <c r="F726" s="3122"/>
      <c r="G726" s="3123"/>
      <c r="H726" s="3124" t="str">
        <f>IMAGE("https://raw.githubusercontent.com/msikma/pokesprite/master/items/mega-stone/lopunnite.png",3)</f>
        <v/>
      </c>
      <c r="I726" s="3268"/>
      <c r="J726" s="3121" t="s">
        <v>1743</v>
      </c>
      <c r="K726" s="3122"/>
      <c r="L726" s="3123"/>
      <c r="M726" s="3124" t="str">
        <f>IMAGE("https://raw.githubusercontent.com/msikma/pokesprite/master/items/z-crystals/waterium-z--held.png",3)</f>
        <v/>
      </c>
      <c r="N726" s="3268"/>
      <c r="O726" s="3121" t="s">
        <v>490</v>
      </c>
      <c r="P726" s="3122"/>
      <c r="Q726" s="3123"/>
      <c r="R726" s="3124" t="str">
        <f>IMAGE("https://raw.githubusercontent.com/msikma/pokesprite/master/items/berry/lum.png",3)</f>
        <v/>
      </c>
      <c r="S726" s="3268"/>
      <c r="T726" s="3121" t="s">
        <v>541</v>
      </c>
      <c r="U726" s="3122"/>
      <c r="V726" s="3123"/>
      <c r="W726" s="3124" t="str">
        <f>IMAGE("https://raw.githubusercontent.com/msikma/pokesprite/master/items/hold-item/life-orb.png",3)</f>
        <v/>
      </c>
      <c r="Y726" s="3121" t="s">
        <v>712</v>
      </c>
      <c r="Z726" s="3122"/>
      <c r="AA726" s="3123"/>
      <c r="AB726" s="3124" t="str">
        <f>IMAGE("https://raw.githubusercontent.com/msikma/pokesprite/master/items/hold-item/power-herb.png",3)</f>
        <v/>
      </c>
      <c r="AD726" s="3121" t="s">
        <v>1260</v>
      </c>
      <c r="AE726" s="3122"/>
      <c r="AF726" s="3123"/>
      <c r="AG726" s="3124" t="str">
        <f>IMAGE("https://raw.githubusercontent.com/msikma/pokesprite/master/items/mega-stone/mawilite.png",3)</f>
        <v/>
      </c>
      <c r="AH726" s="3257"/>
      <c r="AI726" s="6747"/>
    </row>
    <row r="727" ht="20.25" customHeight="1">
      <c r="A727" s="6738"/>
      <c r="B727" s="3253"/>
      <c r="C727" s="3277"/>
      <c r="D727" s="3263"/>
      <c r="E727" s="3114" t="s">
        <v>777</v>
      </c>
      <c r="F727" s="3115"/>
      <c r="G727" s="3126"/>
      <c r="H727" s="3127" t="str">
        <f t="shared" ref="H727:H728" si="27">IMAGE("https://raw.githubusercontent.com/msikma/pokesprite/master/misc/types/gen8/normal.png",4,20,20)</f>
        <v/>
      </c>
      <c r="I727" s="3268"/>
      <c r="J727" s="3114" t="s">
        <v>649</v>
      </c>
      <c r="K727" s="3115"/>
      <c r="L727" s="3126"/>
      <c r="M727" s="3127" t="str">
        <f>IMAGE("https://raw.githubusercontent.com/msikma/pokesprite/master/misc/types/gen8/water.png",4,20,20)</f>
        <v/>
      </c>
      <c r="N727" s="3268"/>
      <c r="O727" s="3114" t="s">
        <v>219</v>
      </c>
      <c r="P727" s="3115"/>
      <c r="Q727" s="3126"/>
      <c r="R727" s="3127" t="str">
        <f>IMAGE("https://raw.githubusercontent.com/msikma/pokesprite/master/misc/types/gen8/dragon.png",4,20,20)</f>
        <v/>
      </c>
      <c r="S727" s="3268"/>
      <c r="T727" s="3114" t="s">
        <v>1710</v>
      </c>
      <c r="U727" s="3115"/>
      <c r="V727" s="3126"/>
      <c r="W727" s="3127" t="str">
        <f>IMAGE("https://raw.githubusercontent.com/msikma/pokesprite/master/misc/types/gen8/fire.png",4,20,20)</f>
        <v/>
      </c>
      <c r="Y727" s="3114" t="s">
        <v>230</v>
      </c>
      <c r="Z727" s="3115"/>
      <c r="AA727" s="3126"/>
      <c r="AB727" s="3127" t="str">
        <f t="shared" ref="AB727:AB728" si="28">IMAGE("https://raw.githubusercontent.com/msikma/pokesprite/master/misc/types/gen8/fairy.png",4,20,20)</f>
        <v/>
      </c>
      <c r="AD727" s="3114" t="s">
        <v>739</v>
      </c>
      <c r="AE727" s="3115"/>
      <c r="AF727" s="3126"/>
      <c r="AG727" s="3127" t="str">
        <f>IMAGE("https://raw.githubusercontent.com/msikma/pokesprite/master/misc/types/gen8/steel.png",4,20,20)</f>
        <v/>
      </c>
      <c r="AH727" s="3257"/>
      <c r="AI727" s="6747"/>
    </row>
    <row r="728" ht="20.25" customHeight="1">
      <c r="A728" s="6738"/>
      <c r="B728" s="3253"/>
      <c r="C728" s="3280"/>
      <c r="D728" s="3263"/>
      <c r="E728" s="3118" t="s">
        <v>928</v>
      </c>
      <c r="F728" s="3119"/>
      <c r="G728" s="3129"/>
      <c r="H728" s="3130" t="str">
        <f t="shared" si="27"/>
        <v/>
      </c>
      <c r="I728" s="3268"/>
      <c r="J728" s="3118" t="s">
        <v>670</v>
      </c>
      <c r="K728" s="3119"/>
      <c r="L728" s="3129"/>
      <c r="M728" s="3130" t="str">
        <f>IMAGE("https://raw.githubusercontent.com/msikma/pokesprite/master/misc/types/gen8/ice.png",4,20,20)</f>
        <v/>
      </c>
      <c r="N728" s="3268"/>
      <c r="O728" s="3118" t="s">
        <v>744</v>
      </c>
      <c r="P728" s="3119"/>
      <c r="Q728" s="3129"/>
      <c r="R728" s="3130" t="str">
        <f>IMAGE("https://raw.githubusercontent.com/msikma/pokesprite/master/misc/types/gen8/flying.png",4,20,20)</f>
        <v/>
      </c>
      <c r="S728" s="3268"/>
      <c r="T728" s="3118" t="s">
        <v>552</v>
      </c>
      <c r="U728" s="3119"/>
      <c r="V728" s="3129"/>
      <c r="W728" s="3130" t="str">
        <f>IMAGE("https://raw.githubusercontent.com/msikma/pokesprite/master/misc/types/gen8/psychic.png",4,20,20)</f>
        <v/>
      </c>
      <c r="Y728" s="3118" t="s">
        <v>641</v>
      </c>
      <c r="Z728" s="3119"/>
      <c r="AA728" s="3129"/>
      <c r="AB728" s="3130" t="str">
        <f t="shared" si="28"/>
        <v/>
      </c>
      <c r="AD728" s="3118" t="s">
        <v>959</v>
      </c>
      <c r="AE728" s="3119"/>
      <c r="AF728" s="3129"/>
      <c r="AG728" s="3130" t="str">
        <f>IMAGE("https://raw.githubusercontent.com/msikma/pokesprite/master/misc/types/gen8/fairy.png",4,20,20)</f>
        <v/>
      </c>
      <c r="AH728" s="3257"/>
      <c r="AI728" s="6747"/>
    </row>
    <row r="729" ht="20.25" customHeight="1">
      <c r="A729" s="6738"/>
      <c r="B729" s="3253"/>
      <c r="C729" s="3280"/>
      <c r="D729" s="3263"/>
      <c r="E729" s="3118" t="s">
        <v>583</v>
      </c>
      <c r="F729" s="3119"/>
      <c r="G729" s="3129"/>
      <c r="H729" s="3130" t="str">
        <f>IMAGE("https://raw.githubusercontent.com/msikma/pokesprite/master/misc/types/gen8/fighting.png",4,20,20)</f>
        <v/>
      </c>
      <c r="I729" s="3268"/>
      <c r="J729" s="3118" t="s">
        <v>1231</v>
      </c>
      <c r="K729" s="3119"/>
      <c r="L729" s="3129"/>
      <c r="M729" s="3130" t="str">
        <f>IMAGE("https://raw.githubusercontent.com/msikma/pokesprite/master/misc/types/gen8/poison.png",4,20,20)</f>
        <v/>
      </c>
      <c r="N729" s="3268"/>
      <c r="O729" s="3118" t="s">
        <v>549</v>
      </c>
      <c r="P729" s="3119"/>
      <c r="Q729" s="3129"/>
      <c r="R729" s="3130" t="str">
        <f>IMAGE("https://raw.githubusercontent.com/msikma/pokesprite/master/misc/types/gen8/ground.png",4,20,20)</f>
        <v/>
      </c>
      <c r="S729" s="3268"/>
      <c r="T729" s="3118" t="s">
        <v>742</v>
      </c>
      <c r="U729" s="3119"/>
      <c r="V729" s="3129"/>
      <c r="W729" s="3130" t="str">
        <f>IMAGE("https://raw.githubusercontent.com/msikma/pokesprite/master/misc/types/gen8/grass.png",4,20,20)</f>
        <v/>
      </c>
      <c r="Y729" s="3118" t="s">
        <v>547</v>
      </c>
      <c r="Z729" s="3119"/>
      <c r="AA729" s="3129"/>
      <c r="AB729" s="3130" t="str">
        <f>IMAGE("https://raw.githubusercontent.com/msikma/pokesprite/master/misc/types/gen8/electric.png",4,20,20)</f>
        <v/>
      </c>
      <c r="AD729" s="3118" t="s">
        <v>579</v>
      </c>
      <c r="AE729" s="3119"/>
      <c r="AF729" s="3129"/>
      <c r="AG729" s="3130" t="str">
        <f>IMAGE("https://raw.githubusercontent.com/msikma/pokesprite/master/misc/types/gen8/dark.png",4,20,20)</f>
        <v/>
      </c>
      <c r="AH729" s="3257"/>
      <c r="AI729" s="6747"/>
    </row>
    <row r="730" ht="21.0" customHeight="1">
      <c r="A730" s="6738"/>
      <c r="B730" s="3253"/>
      <c r="C730" s="3280"/>
      <c r="D730" s="3263"/>
      <c r="E730" s="3133" t="s">
        <v>612</v>
      </c>
      <c r="F730" s="3134"/>
      <c r="G730" s="3135"/>
      <c r="H730" s="3136" t="str">
        <f>IMAGE("https://raw.githubusercontent.com/msikma/pokesprite/master/misc/types/gen8/bug.png",4,20,20)</f>
        <v/>
      </c>
      <c r="I730" s="3268"/>
      <c r="J730" s="3133" t="s">
        <v>612</v>
      </c>
      <c r="K730" s="3134"/>
      <c r="L730" s="3135"/>
      <c r="M730" s="3136" t="str">
        <f>IMAGE("https://raw.githubusercontent.com/msikma/pokesprite/master/misc/types/gen8/bug.png",4,20,20)</f>
        <v/>
      </c>
      <c r="N730" s="3268"/>
      <c r="O730" s="3133" t="s">
        <v>1020</v>
      </c>
      <c r="P730" s="3134"/>
      <c r="Q730" s="3135"/>
      <c r="R730" s="3136" t="str">
        <f>IMAGE("https://raw.githubusercontent.com/msikma/pokesprite/master/misc/types/gen8/fire.png",4,20,20)</f>
        <v/>
      </c>
      <c r="S730" s="3268"/>
      <c r="T730" s="3133" t="s">
        <v>2118</v>
      </c>
      <c r="U730" s="3134"/>
      <c r="V730" s="3135"/>
      <c r="W730" s="3136" t="str">
        <f>IMAGE("https://raw.githubusercontent.com/msikma/pokesprite/master/misc/types/gen8/fairy.png",4,20,20)</f>
        <v/>
      </c>
      <c r="X730" s="7255"/>
      <c r="Y730" s="3133" t="s">
        <v>786</v>
      </c>
      <c r="Z730" s="3134"/>
      <c r="AA730" s="3135"/>
      <c r="AB730" s="3136" t="str">
        <f>IMAGE("https://raw.githubusercontent.com/msikma/pokesprite/master/misc/types/gen8/fairy.png",4,20,20)</f>
        <v/>
      </c>
      <c r="AC730" s="7255"/>
      <c r="AD730" s="3133" t="s">
        <v>504</v>
      </c>
      <c r="AE730" s="3134"/>
      <c r="AF730" s="3135"/>
      <c r="AG730" s="3136" t="str">
        <f>IMAGE("https://raw.githubusercontent.com/msikma/pokesprite/master/misc/types/gen8/electric.png",4,20,20)</f>
        <v/>
      </c>
      <c r="AH730" s="3257"/>
      <c r="AI730" s="6747"/>
    </row>
    <row r="731" ht="3.0" customHeight="1">
      <c r="A731" s="6738"/>
      <c r="B731" s="3282"/>
      <c r="C731" s="3283"/>
      <c r="D731" s="3284"/>
      <c r="E731" s="3285"/>
      <c r="F731" s="3285"/>
      <c r="G731" s="3285"/>
      <c r="H731" s="3285"/>
      <c r="I731" s="3284"/>
      <c r="J731" s="3285"/>
      <c r="K731" s="3285"/>
      <c r="L731" s="3285"/>
      <c r="M731" s="3285"/>
      <c r="N731" s="3284"/>
      <c r="O731" s="3285"/>
      <c r="P731" s="3285"/>
      <c r="Q731" s="3285"/>
      <c r="R731" s="3285"/>
      <c r="S731" s="3284"/>
      <c r="T731" s="3285"/>
      <c r="U731" s="3285"/>
      <c r="V731" s="3285"/>
      <c r="W731" s="3285"/>
      <c r="X731" s="3284"/>
      <c r="Y731" s="3285"/>
      <c r="Z731" s="3285"/>
      <c r="AA731" s="3285"/>
      <c r="AB731" s="3285"/>
      <c r="AC731" s="3287"/>
      <c r="AD731" s="3285"/>
      <c r="AE731" s="3285"/>
      <c r="AF731" s="3285"/>
      <c r="AG731" s="3285"/>
      <c r="AH731" s="3288"/>
      <c r="AI731" s="6747"/>
    </row>
    <row r="732" ht="16.5" customHeight="1">
      <c r="A732" s="6738"/>
      <c r="B732" s="3289"/>
      <c r="C732" s="3283"/>
      <c r="D732" s="3290"/>
      <c r="E732" s="3150" t="s">
        <v>512</v>
      </c>
      <c r="F732" s="606"/>
      <c r="G732" s="606"/>
      <c r="H732" s="607"/>
      <c r="I732" s="3291"/>
      <c r="J732" s="3150" t="s">
        <v>512</v>
      </c>
      <c r="K732" s="606"/>
      <c r="L732" s="606"/>
      <c r="M732" s="607"/>
      <c r="N732" s="3291"/>
      <c r="O732" s="3150" t="s">
        <v>512</v>
      </c>
      <c r="P732" s="606"/>
      <c r="Q732" s="606"/>
      <c r="R732" s="607"/>
      <c r="S732" s="3291"/>
      <c r="T732" s="3150" t="s">
        <v>512</v>
      </c>
      <c r="U732" s="606"/>
      <c r="V732" s="606"/>
      <c r="W732" s="607"/>
      <c r="X732" s="7256"/>
      <c r="Y732" s="3150" t="s">
        <v>512</v>
      </c>
      <c r="Z732" s="606"/>
      <c r="AA732" s="606"/>
      <c r="AB732" s="607"/>
      <c r="AC732" s="7257"/>
      <c r="AD732" s="3150" t="s">
        <v>512</v>
      </c>
      <c r="AE732" s="606"/>
      <c r="AF732" s="606"/>
      <c r="AG732" s="607"/>
      <c r="AH732" s="3294"/>
      <c r="AI732" s="6747"/>
    </row>
    <row r="733" ht="16.5" customHeight="1">
      <c r="A733" s="6738"/>
      <c r="B733" s="3289"/>
      <c r="C733" s="3283"/>
      <c r="D733" s="3290"/>
      <c r="E733" s="3155" t="s">
        <v>513</v>
      </c>
      <c r="F733" s="3156">
        <f t="array" ref="F733">IFERROR(VLOOKUP(E720,Dex!$B$3:$N1219,8,FALSE),"")</f>
        <v>65</v>
      </c>
      <c r="G733" s="3295" t="str">
        <f t="array" ref="G733">IFERROR(VLOOKUP(F733,Dex!$P$22:$Q$276,2,FALSE),"")</f>
        <v/>
      </c>
      <c r="H733" s="3296"/>
      <c r="I733" s="3291"/>
      <c r="J733" s="3155" t="s">
        <v>513</v>
      </c>
      <c r="K733" s="3156">
        <f t="array" ref="K733">IFERROR(VLOOKUP(J720,Dex!$B$3:$N1219,8,FALSE),"")</f>
        <v>72</v>
      </c>
      <c r="L733" s="3295" t="str">
        <f t="array" ref="L733">IFERROR(VLOOKUP(K733,Dex!$P$22:$Q$276,2,FALSE),"")</f>
        <v/>
      </c>
      <c r="M733" s="3296"/>
      <c r="N733" s="3291"/>
      <c r="O733" s="3155" t="s">
        <v>513</v>
      </c>
      <c r="P733" s="3156">
        <f t="array" ref="P733">IFERROR(VLOOKUP(O720,Dex!$B$3:$N1219,8,FALSE),"")</f>
        <v>91</v>
      </c>
      <c r="Q733" s="3295" t="str">
        <f t="array" ref="Q733">IFERROR(VLOOKUP(P733,Dex!$P$22:$Q$276,2,FALSE),"")</f>
        <v/>
      </c>
      <c r="R733" s="3296"/>
      <c r="S733" s="3291"/>
      <c r="T733" s="3155" t="s">
        <v>513</v>
      </c>
      <c r="U733" s="3156">
        <f t="array" ref="U733">IFERROR(VLOOKUP(T720,Dex!$B$3:$N1219,8,FALSE),"")</f>
        <v>75</v>
      </c>
      <c r="V733" s="3295" t="str">
        <f t="array" ref="V733">IFERROR(VLOOKUP(U733,Dex!$P$22:$Q$276,2,FALSE),"")</f>
        <v/>
      </c>
      <c r="W733" s="3296"/>
      <c r="X733" s="3292"/>
      <c r="Y733" s="3155" t="s">
        <v>513</v>
      </c>
      <c r="Z733" s="3156">
        <f t="array" ref="Z733">IFERROR(VLOOKUP(Y720,Dex!$B$3:$N1219,8,FALSE),"")</f>
        <v>126</v>
      </c>
      <c r="AA733" s="3295" t="str">
        <f t="array" ref="AA733">IFERROR(VLOOKUP(Z733,Dex!$P$22:$Q$276,2,FALSE),"")</f>
        <v/>
      </c>
      <c r="AB733" s="3296"/>
      <c r="AC733" s="3293"/>
      <c r="AD733" s="3155" t="s">
        <v>513</v>
      </c>
      <c r="AE733" s="3156">
        <f t="array" ref="AE733">IFERROR(VLOOKUP(AD720,Dex!$B$3:$N1219,8,FALSE),"")</f>
        <v>50</v>
      </c>
      <c r="AF733" s="3295" t="str">
        <f t="array" ref="AF733">IFERROR(VLOOKUP(AE733,Dex!$P$22:$Q$276,2,FALSE),"")</f>
        <v/>
      </c>
      <c r="AG733" s="3296"/>
      <c r="AH733" s="3294"/>
      <c r="AI733" s="6747"/>
    </row>
    <row r="734" ht="16.5" customHeight="1">
      <c r="A734" s="6738"/>
      <c r="B734" s="3289"/>
      <c r="C734" s="3283"/>
      <c r="D734" s="3290"/>
      <c r="E734" s="3161" t="s">
        <v>514</v>
      </c>
      <c r="F734" s="3162">
        <f t="array" ref="F734">IFERROR(VLOOKUP(E720,Dex!$B$3:$N1219,9,FALSE),"")</f>
        <v>136</v>
      </c>
      <c r="G734" s="3163" t="str">
        <f t="array" ref="G734">IFERROR(VLOOKUP(F734,Dex!$P$22:$Q$276,2,FALSE),"")</f>
        <v/>
      </c>
      <c r="H734" s="3164"/>
      <c r="I734" s="3291"/>
      <c r="J734" s="3161" t="s">
        <v>514</v>
      </c>
      <c r="K734" s="3162">
        <f t="array" ref="K734">IFERROR(VLOOKUP(J720,Dex!$B$3:$N1219,9,FALSE),"")</f>
        <v>95</v>
      </c>
      <c r="L734" s="3163" t="str">
        <f t="array" ref="L734">IFERROR(VLOOKUP(K734,Dex!$P$22:$Q$276,2,FALSE),"")</f>
        <v/>
      </c>
      <c r="M734" s="3164"/>
      <c r="N734" s="3291"/>
      <c r="O734" s="3161" t="s">
        <v>514</v>
      </c>
      <c r="P734" s="3162">
        <f t="array" ref="P734">IFERROR(VLOOKUP(O720,Dex!$B$3:$N1219,9,FALSE),"")</f>
        <v>134</v>
      </c>
      <c r="Q734" s="3163" t="str">
        <f t="array" ref="Q734">IFERROR(VLOOKUP(P734,Dex!$P$22:$Q$276,2,FALSE),"")</f>
        <v/>
      </c>
      <c r="R734" s="3164"/>
      <c r="S734" s="3291"/>
      <c r="T734" s="3161" t="s">
        <v>514</v>
      </c>
      <c r="U734" s="3162">
        <f t="array" ref="U734">IFERROR(VLOOKUP(T720,Dex!$B$3:$N1219,9,FALSE),"")</f>
        <v>69</v>
      </c>
      <c r="V734" s="3163" t="str">
        <f t="array" ref="V734">IFERROR(VLOOKUP(U734,Dex!$P$22:$Q$276,2,FALSE),"")</f>
        <v/>
      </c>
      <c r="W734" s="3164"/>
      <c r="X734" s="3292"/>
      <c r="Y734" s="3161" t="s">
        <v>514</v>
      </c>
      <c r="Z734" s="3162">
        <f t="array" ref="Z734">IFERROR(VLOOKUP(Y720,Dex!$B$3:$N1219,9,FALSE),"")</f>
        <v>131</v>
      </c>
      <c r="AA734" s="3163" t="str">
        <f t="array" ref="AA734">IFERROR(VLOOKUP(Z734,Dex!$P$22:$Q$276,2,FALSE),"")</f>
        <v/>
      </c>
      <c r="AB734" s="3164"/>
      <c r="AC734" s="3293"/>
      <c r="AD734" s="3161" t="s">
        <v>514</v>
      </c>
      <c r="AE734" s="3162">
        <f t="array" ref="AE734">IFERROR(VLOOKUP(AD720,Dex!$B$3:$N1219,9,FALSE),"")</f>
        <v>105</v>
      </c>
      <c r="AF734" s="3163" t="str">
        <f t="array" ref="AF734">IFERROR(VLOOKUP(AE734,Dex!$P$22:$Q$276,2,FALSE),"")</f>
        <v/>
      </c>
      <c r="AG734" s="3164"/>
      <c r="AH734" s="3294"/>
      <c r="AI734" s="6747"/>
    </row>
    <row r="735" ht="16.5" customHeight="1">
      <c r="A735" s="6738"/>
      <c r="B735" s="3289"/>
      <c r="C735" s="3283"/>
      <c r="D735" s="3290"/>
      <c r="E735" s="3161" t="s">
        <v>515</v>
      </c>
      <c r="F735" s="3162">
        <f t="array" ref="F735">IFERROR(VLOOKUP(E720,Dex!$B$3:$N1219,10,FALSE),"")</f>
        <v>94</v>
      </c>
      <c r="G735" s="3163" t="str">
        <f t="array" ref="G735">IFERROR(VLOOKUP(F735,Dex!$P$22:$Q$276,2,FALSE),"")</f>
        <v/>
      </c>
      <c r="H735" s="3164"/>
      <c r="I735" s="3291"/>
      <c r="J735" s="3161" t="s">
        <v>515</v>
      </c>
      <c r="K735" s="3162">
        <f t="array" ref="K735">IFERROR(VLOOKUP(J720,Dex!$B$3:$N1219,10,FALSE),"")</f>
        <v>67</v>
      </c>
      <c r="L735" s="3163" t="str">
        <f t="array" ref="L735">IFERROR(VLOOKUP(K735,Dex!$P$22:$Q$276,2,FALSE),"")</f>
        <v/>
      </c>
      <c r="M735" s="3164"/>
      <c r="N735" s="3291"/>
      <c r="O735" s="3161" t="s">
        <v>515</v>
      </c>
      <c r="P735" s="3162">
        <f t="array" ref="P735">IFERROR(VLOOKUP(O720,Dex!$B$3:$N1219,10,FALSE),"")</f>
        <v>95</v>
      </c>
      <c r="Q735" s="3163" t="str">
        <f t="array" ref="Q735">IFERROR(VLOOKUP(P735,Dex!$P$22:$Q$276,2,FALSE),"")</f>
        <v/>
      </c>
      <c r="R735" s="3164"/>
      <c r="S735" s="3291"/>
      <c r="T735" s="3161" t="s">
        <v>515</v>
      </c>
      <c r="U735" s="3162">
        <f t="array" ref="U735">IFERROR(VLOOKUP(T720,Dex!$B$3:$N1219,10,FALSE),"")</f>
        <v>72</v>
      </c>
      <c r="V735" s="3163" t="str">
        <f t="array" ref="V735">IFERROR(VLOOKUP(U735,Dex!$P$22:$Q$276,2,FALSE),"")</f>
        <v/>
      </c>
      <c r="W735" s="3164"/>
      <c r="X735" s="3292"/>
      <c r="Y735" s="3161" t="s">
        <v>515</v>
      </c>
      <c r="Z735" s="3162">
        <f t="array" ref="Z735">IFERROR(VLOOKUP(Y720,Dex!$B$3:$N1219,10,FALSE),"")</f>
        <v>95</v>
      </c>
      <c r="AA735" s="3163" t="str">
        <f t="array" ref="AA735">IFERROR(VLOOKUP(Z735,Dex!$P$22:$Q$276,2,FALSE),"")</f>
        <v/>
      </c>
      <c r="AB735" s="3164"/>
      <c r="AC735" s="3293"/>
      <c r="AD735" s="3161" t="s">
        <v>515</v>
      </c>
      <c r="AE735" s="3162">
        <f t="array" ref="AE735">IFERROR(VLOOKUP(AD720,Dex!$B$3:$N1219,10,FALSE),"")</f>
        <v>125</v>
      </c>
      <c r="AF735" s="3163" t="str">
        <f t="array" ref="AF735">IFERROR(VLOOKUP(AE735,Dex!$P$22:$Q$276,2,FALSE),"")</f>
        <v/>
      </c>
      <c r="AG735" s="3164"/>
      <c r="AH735" s="3294"/>
      <c r="AI735" s="6747"/>
    </row>
    <row r="736" ht="16.5" customHeight="1">
      <c r="A736" s="6738"/>
      <c r="B736" s="3289"/>
      <c r="C736" s="3283"/>
      <c r="D736" s="3290"/>
      <c r="E736" s="3161" t="s">
        <v>516</v>
      </c>
      <c r="F736" s="3162">
        <f t="array" ref="F736">IFERROR(VLOOKUP(E720,Dex!$B$3:$N1219,11,FALSE),"")</f>
        <v>54</v>
      </c>
      <c r="G736" s="3163" t="str">
        <f t="array" ref="G736">IFERROR(VLOOKUP(F736,Dex!$P$22:$Q$276,2,FALSE),"")</f>
        <v/>
      </c>
      <c r="H736" s="3164"/>
      <c r="I736" s="3291"/>
      <c r="J736" s="3161" t="s">
        <v>516</v>
      </c>
      <c r="K736" s="3162">
        <f t="array" ref="K736">IFERROR(VLOOKUP(J720,Dex!$B$3:$N1219,11,FALSE),"")</f>
        <v>103</v>
      </c>
      <c r="L736" s="3163" t="str">
        <f t="array" ref="L736">IFERROR(VLOOKUP(K736,Dex!$P$22:$Q$276,2,FALSE),"")</f>
        <v/>
      </c>
      <c r="M736" s="3164"/>
      <c r="N736" s="3291"/>
      <c r="O736" s="3161" t="s">
        <v>516</v>
      </c>
      <c r="P736" s="3162">
        <f t="array" ref="P736">IFERROR(VLOOKUP(O720,Dex!$B$3:$N1219,11,FALSE),"")</f>
        <v>100</v>
      </c>
      <c r="Q736" s="3163" t="str">
        <f t="array" ref="Q736">IFERROR(VLOOKUP(P736,Dex!$P$22:$Q$276,2,FALSE),"")</f>
        <v/>
      </c>
      <c r="R736" s="3164"/>
      <c r="S736" s="3291"/>
      <c r="T736" s="3161" t="s">
        <v>516</v>
      </c>
      <c r="U736" s="3162">
        <f t="array" ref="U736">IFERROR(VLOOKUP(T720,Dex!$B$3:$N1219,11,FALSE),"")</f>
        <v>114</v>
      </c>
      <c r="V736" s="3163" t="str">
        <f t="array" ref="V736">IFERROR(VLOOKUP(U736,Dex!$P$22:$Q$276,2,FALSE),"")</f>
        <v/>
      </c>
      <c r="W736" s="3164"/>
      <c r="X736" s="3292"/>
      <c r="Y736" s="3161" t="s">
        <v>516</v>
      </c>
      <c r="Z736" s="3162">
        <f t="array" ref="Z736">IFERROR(VLOOKUP(Y720,Dex!$B$3:$N1219,11,FALSE),"")</f>
        <v>131</v>
      </c>
      <c r="AA736" s="3163" t="str">
        <f t="array" ref="AA736">IFERROR(VLOOKUP(Z736,Dex!$P$22:$Q$276,2,FALSE),"")</f>
        <v/>
      </c>
      <c r="AB736" s="3164"/>
      <c r="AC736" s="3293"/>
      <c r="AD736" s="3161" t="s">
        <v>516</v>
      </c>
      <c r="AE736" s="3162">
        <f t="array" ref="AE736">IFERROR(VLOOKUP(AD720,Dex!$B$3:$N1219,11,FALSE),"")</f>
        <v>55</v>
      </c>
      <c r="AF736" s="3163" t="str">
        <f t="array" ref="AF736">IFERROR(VLOOKUP(AE736,Dex!$P$22:$Q$276,2,FALSE),"")</f>
        <v/>
      </c>
      <c r="AG736" s="3164"/>
      <c r="AH736" s="3294"/>
      <c r="AI736" s="6747"/>
    </row>
    <row r="737" ht="16.5" customHeight="1">
      <c r="A737" s="6738"/>
      <c r="B737" s="3289"/>
      <c r="C737" s="3283"/>
      <c r="D737" s="3290"/>
      <c r="E737" s="3161" t="s">
        <v>517</v>
      </c>
      <c r="F737" s="3162">
        <f t="array" ref="F737">IFERROR(VLOOKUP(E720,Dex!$B$3:$N1219,12,FALSE),"")</f>
        <v>96</v>
      </c>
      <c r="G737" s="3163" t="str">
        <f t="array" ref="G737">IFERROR(VLOOKUP(F737,Dex!$P$22:$Q$276,2,FALSE),"")</f>
        <v/>
      </c>
      <c r="H737" s="3164"/>
      <c r="I737" s="3291"/>
      <c r="J737" s="3161" t="s">
        <v>517</v>
      </c>
      <c r="K737" s="3162">
        <f t="array" ref="K737">IFERROR(VLOOKUP(J720,Dex!$B$3:$N1219,12,FALSE),"")</f>
        <v>71</v>
      </c>
      <c r="L737" s="3163" t="str">
        <f t="array" ref="L737">IFERROR(VLOOKUP(K737,Dex!$P$22:$Q$276,2,FALSE),"")</f>
        <v/>
      </c>
      <c r="M737" s="3164"/>
      <c r="N737" s="3291"/>
      <c r="O737" s="3161" t="s">
        <v>517</v>
      </c>
      <c r="P737" s="3162">
        <f t="array" ref="P737">IFERROR(VLOOKUP(O720,Dex!$B$3:$N1219,12,FALSE),"")</f>
        <v>100</v>
      </c>
      <c r="Q737" s="3163" t="str">
        <f t="array" ref="Q737">IFERROR(VLOOKUP(P737,Dex!$P$22:$Q$276,2,FALSE),"")</f>
        <v/>
      </c>
      <c r="R737" s="3164"/>
      <c r="S737" s="3291"/>
      <c r="T737" s="3161" t="s">
        <v>517</v>
      </c>
      <c r="U737" s="3162">
        <f t="array" ref="U737">IFERROR(VLOOKUP(T720,Dex!$B$3:$N1219,12,FALSE),"")</f>
        <v>100</v>
      </c>
      <c r="V737" s="3163" t="str">
        <f t="array" ref="V737">IFERROR(VLOOKUP(U737,Dex!$P$22:$Q$276,2,FALSE),"")</f>
        <v/>
      </c>
      <c r="W737" s="3164"/>
      <c r="X737" s="3292"/>
      <c r="Y737" s="3161" t="s">
        <v>517</v>
      </c>
      <c r="Z737" s="3162">
        <f t="array" ref="Z737">IFERROR(VLOOKUP(Y720,Dex!$B$3:$N1219,12,FALSE),"")</f>
        <v>98</v>
      </c>
      <c r="AA737" s="3163" t="str">
        <f t="array" ref="AA737">IFERROR(VLOOKUP(Z737,Dex!$P$22:$Q$276,2,FALSE),"")</f>
        <v/>
      </c>
      <c r="AB737" s="3164"/>
      <c r="AC737" s="3293"/>
      <c r="AD737" s="3161" t="s">
        <v>517</v>
      </c>
      <c r="AE737" s="3162">
        <f t="array" ref="AE737">IFERROR(VLOOKUP(AD720,Dex!$B$3:$N1219,12,FALSE),"")</f>
        <v>95</v>
      </c>
      <c r="AF737" s="3163" t="str">
        <f t="array" ref="AF737">IFERROR(VLOOKUP(AE737,Dex!$P$22:$Q$276,2,FALSE),"")</f>
        <v/>
      </c>
      <c r="AG737" s="3164"/>
      <c r="AH737" s="3294"/>
      <c r="AI737" s="6747"/>
    </row>
    <row r="738" ht="15.75" customHeight="1">
      <c r="A738" s="6738"/>
      <c r="B738" s="3289"/>
      <c r="C738" s="3283"/>
      <c r="D738" s="3290"/>
      <c r="E738" s="3165" t="s">
        <v>518</v>
      </c>
      <c r="F738" s="3166">
        <f t="array" ref="F738">IFERROR(VLOOKUP(E720,Dex!$B$3:$N1219,13,FALSE),"")</f>
        <v>135</v>
      </c>
      <c r="G738" s="3167" t="str">
        <f t="array" ref="G738">IFERROR(VLOOKUP(F738,Dex!$P$22:$Q$276,2,FALSE),"")</f>
        <v/>
      </c>
      <c r="H738" s="3168"/>
      <c r="I738" s="3291"/>
      <c r="J738" s="3165" t="s">
        <v>518</v>
      </c>
      <c r="K738" s="3166">
        <f t="array" ref="K738">IFERROR(VLOOKUP(J720,Dex!$B$3:$N1219,13,FALSE),"")</f>
        <v>122</v>
      </c>
      <c r="L738" s="3167" t="str">
        <f t="array" ref="L738">IFERROR(VLOOKUP(K738,Dex!$P$22:$Q$276,2,FALSE),"")</f>
        <v/>
      </c>
      <c r="M738" s="3168"/>
      <c r="N738" s="3291"/>
      <c r="O738" s="3165" t="s">
        <v>518</v>
      </c>
      <c r="P738" s="3166">
        <f t="array" ref="P738">IFERROR(VLOOKUP(O720,Dex!$B$3:$N1219,13,FALSE),"")</f>
        <v>80</v>
      </c>
      <c r="Q738" s="3167" t="str">
        <f t="array" ref="Q738">IFERROR(VLOOKUP(P738,Dex!$P$22:$Q$276,2,FALSE),"")</f>
        <v/>
      </c>
      <c r="R738" s="3168"/>
      <c r="S738" s="3291"/>
      <c r="T738" s="3165" t="s">
        <v>518</v>
      </c>
      <c r="U738" s="3166">
        <f t="array" ref="U738">IFERROR(VLOOKUP(T720,Dex!$B$3:$N1219,13,FALSE),"")</f>
        <v>104</v>
      </c>
      <c r="V738" s="3167" t="str">
        <f t="array" ref="V738">IFERROR(VLOOKUP(U738,Dex!$P$22:$Q$276,2,FALSE),"")</f>
        <v/>
      </c>
      <c r="W738" s="3168"/>
      <c r="X738" s="3292"/>
      <c r="Y738" s="3165" t="s">
        <v>518</v>
      </c>
      <c r="Z738" s="3166">
        <f t="array" ref="Z738">IFERROR(VLOOKUP(Y720,Dex!$B$3:$N1219,13,FALSE),"")</f>
        <v>99</v>
      </c>
      <c r="AA738" s="3167" t="str">
        <f t="array" ref="AA738">IFERROR(VLOOKUP(Z738,Dex!$P$22:$Q$276,2,FALSE),"")</f>
        <v/>
      </c>
      <c r="AB738" s="3168"/>
      <c r="AC738" s="3293"/>
      <c r="AD738" s="3165" t="s">
        <v>518</v>
      </c>
      <c r="AE738" s="3166">
        <f t="array" ref="AE738">IFERROR(VLOOKUP(AD720,Dex!$B$3:$N1219,13,FALSE),"")</f>
        <v>50</v>
      </c>
      <c r="AF738" s="3167" t="str">
        <f t="array" ref="AF738">IFERROR(VLOOKUP(AE738,Dex!$P$22:$Q$276,2,FALSE),"")</f>
        <v/>
      </c>
      <c r="AG738" s="3168"/>
      <c r="AH738" s="3294"/>
      <c r="AI738" s="6747"/>
    </row>
    <row r="739" ht="16.5" customHeight="1">
      <c r="A739" s="6738"/>
      <c r="B739" s="3289"/>
      <c r="C739" s="3283"/>
      <c r="D739" s="3290"/>
      <c r="E739" s="3169" t="s">
        <v>519</v>
      </c>
      <c r="F739" s="630"/>
      <c r="G739" s="631"/>
      <c r="H739" s="7258">
        <v>336.0</v>
      </c>
      <c r="I739" s="3291"/>
      <c r="J739" s="3169" t="s">
        <v>519</v>
      </c>
      <c r="K739" s="630"/>
      <c r="L739" s="631"/>
      <c r="M739" s="7258">
        <v>308.0</v>
      </c>
      <c r="N739" s="3291"/>
      <c r="O739" s="3169" t="s">
        <v>519</v>
      </c>
      <c r="P739" s="630"/>
      <c r="Q739" s="631"/>
      <c r="R739" s="7258">
        <v>215.0</v>
      </c>
      <c r="S739" s="3291"/>
      <c r="T739" s="3169" t="s">
        <v>519</v>
      </c>
      <c r="U739" s="630"/>
      <c r="V739" s="631"/>
      <c r="W739" s="7258">
        <v>268.0</v>
      </c>
      <c r="X739" s="7256"/>
      <c r="Y739" s="7259" t="s">
        <v>519</v>
      </c>
      <c r="Z739" s="6198"/>
      <c r="AA739" s="6199"/>
      <c r="AB739" s="7260">
        <v>257.0</v>
      </c>
      <c r="AC739" s="7257"/>
      <c r="AD739" s="3169" t="s">
        <v>519</v>
      </c>
      <c r="AE739" s="630"/>
      <c r="AF739" s="631"/>
      <c r="AG739" s="7258">
        <v>136.0</v>
      </c>
      <c r="AH739" s="3294"/>
      <c r="AI739" s="6747"/>
    </row>
    <row r="740" ht="16.5" customHeight="1">
      <c r="A740" s="6738"/>
      <c r="B740" s="3300"/>
      <c r="C740" s="7261"/>
      <c r="D740" s="3301"/>
      <c r="E740" s="7261"/>
      <c r="F740" s="7261"/>
      <c r="G740" s="7261"/>
      <c r="H740" s="7261"/>
      <c r="I740" s="3302"/>
      <c r="J740" s="7261"/>
      <c r="K740" s="7261"/>
      <c r="L740" s="7261"/>
      <c r="M740" s="7261"/>
      <c r="N740" s="3302"/>
      <c r="O740" s="7261"/>
      <c r="P740" s="7261"/>
      <c r="Q740" s="7261"/>
      <c r="R740" s="7261"/>
      <c r="S740" s="3302"/>
      <c r="T740" s="7261"/>
      <c r="U740" s="7261"/>
      <c r="V740" s="7261"/>
      <c r="W740" s="7261"/>
      <c r="X740" s="7262"/>
      <c r="Y740" s="3303" t="s">
        <v>1947</v>
      </c>
      <c r="Z740" s="3304"/>
      <c r="AA740" s="3305"/>
      <c r="AB740" s="6317">
        <f>AB739*2</f>
        <v>514</v>
      </c>
      <c r="AC740" s="7263"/>
      <c r="AD740" s="7261"/>
      <c r="AE740" s="7261"/>
      <c r="AF740" s="7261"/>
      <c r="AG740" s="7261"/>
      <c r="AH740" s="3309"/>
      <c r="AI740" s="6747"/>
    </row>
    <row r="741" ht="15.0" customHeight="1">
      <c r="A741" s="6738"/>
      <c r="B741" s="3310"/>
      <c r="C741" s="3311"/>
      <c r="D741" s="3312"/>
      <c r="E741" s="3311"/>
      <c r="F741" s="3311"/>
      <c r="G741" s="3311"/>
      <c r="H741" s="3311"/>
      <c r="I741" s="3312"/>
      <c r="J741" s="3311"/>
      <c r="K741" s="3311"/>
      <c r="L741" s="3311"/>
      <c r="M741" s="3311"/>
      <c r="N741" s="3312"/>
      <c r="O741" s="3311"/>
      <c r="P741" s="3311"/>
      <c r="Q741" s="3311"/>
      <c r="R741" s="3311"/>
      <c r="S741" s="3312"/>
      <c r="T741" s="3311"/>
      <c r="U741" s="3311"/>
      <c r="V741" s="3311"/>
      <c r="W741" s="3311"/>
      <c r="X741" s="3312"/>
      <c r="Y741" s="7264"/>
      <c r="Z741" s="7264"/>
      <c r="AA741" s="7264"/>
      <c r="AB741" s="3311"/>
      <c r="AC741" s="3312"/>
      <c r="AD741" s="3311"/>
      <c r="AE741" s="3311"/>
      <c r="AF741" s="3311"/>
      <c r="AG741" s="3311"/>
      <c r="AH741" s="3316"/>
      <c r="AI741" s="6747"/>
    </row>
    <row r="742" ht="15.0" customHeight="1">
      <c r="A742" s="6738"/>
      <c r="B742" s="2732"/>
      <c r="C742" s="7265"/>
      <c r="D742" s="2734"/>
      <c r="E742" s="2735"/>
      <c r="F742" s="2735"/>
      <c r="G742" s="2735"/>
      <c r="H742" s="2735"/>
      <c r="I742" s="2734"/>
      <c r="J742" s="2735"/>
      <c r="K742" s="2735"/>
      <c r="L742" s="2735"/>
      <c r="M742" s="2735"/>
      <c r="N742" s="2734"/>
      <c r="O742" s="2735"/>
      <c r="P742" s="2735"/>
      <c r="Q742" s="2735"/>
      <c r="R742" s="2735"/>
      <c r="S742" s="2734"/>
      <c r="T742" s="2734"/>
      <c r="U742" s="2734"/>
      <c r="V742" s="2734"/>
      <c r="W742" s="2734"/>
      <c r="X742" s="2734"/>
      <c r="Y742" s="2734"/>
      <c r="Z742" s="2734"/>
      <c r="AA742" s="2734"/>
      <c r="AB742" s="2734"/>
      <c r="AC742" s="2734"/>
      <c r="AD742" s="2734"/>
      <c r="AE742" s="2734"/>
      <c r="AF742" s="2734"/>
      <c r="AG742" s="2734"/>
      <c r="AH742" s="2736"/>
      <c r="AI742" s="6747"/>
    </row>
    <row r="743">
      <c r="A743" s="6738"/>
      <c r="B743" s="7266"/>
      <c r="C743" s="7267"/>
      <c r="D743" s="7268"/>
      <c r="E743" s="7269" t="s">
        <v>2119</v>
      </c>
      <c r="F743" s="2789"/>
      <c r="G743" s="2789"/>
      <c r="H743" s="2789"/>
      <c r="I743" s="2789"/>
      <c r="J743" s="2789"/>
      <c r="K743" s="2789"/>
      <c r="L743" s="2789"/>
      <c r="M743" s="2789"/>
      <c r="N743" s="2789"/>
      <c r="O743" s="2789"/>
      <c r="P743" s="2789"/>
      <c r="Q743" s="2789"/>
      <c r="R743" s="2789"/>
      <c r="S743" s="2789"/>
      <c r="T743" s="2789"/>
      <c r="U743" s="2789"/>
      <c r="V743" s="2789"/>
      <c r="W743" s="2789"/>
      <c r="X743" s="2789"/>
      <c r="Y743" s="2789"/>
      <c r="Z743" s="2789"/>
      <c r="AA743" s="2789"/>
      <c r="AB743" s="2789"/>
      <c r="AC743" s="2789"/>
      <c r="AD743" s="2789"/>
      <c r="AE743" s="2789"/>
      <c r="AF743" s="2789"/>
      <c r="AG743" s="2789"/>
      <c r="AH743" s="7270"/>
      <c r="AI743" s="6747"/>
    </row>
    <row r="744" ht="96.75" customHeight="1">
      <c r="A744" s="6738"/>
      <c r="B744" s="2738"/>
      <c r="C744" s="7271" t="str">
        <f>IMAGE("https://i.ibb.co/xhnkr2Z/Archer.png")</f>
        <v/>
      </c>
      <c r="D744" s="2740"/>
      <c r="E744" s="7272" t="str">
        <f t="array" ref="E744">IFERROR(VLOOKUP(E745,Dex!$B$3:$G1219,3,FALSE),"")</f>
        <v/>
      </c>
      <c r="F744" s="606"/>
      <c r="G744" s="606"/>
      <c r="H744" s="4452"/>
      <c r="I744" s="2740"/>
      <c r="J744" s="7272" t="str">
        <f t="array" ref="J744">IFERROR(VLOOKUP(J745,Dex!$B$3:$G1219,3,FALSE),"")</f>
        <v/>
      </c>
      <c r="K744" s="606"/>
      <c r="L744" s="606"/>
      <c r="M744" s="4452"/>
      <c r="N744" s="2740"/>
      <c r="O744" s="7272" t="str">
        <f t="array" ref="O744">IFERROR(VLOOKUP(O745,Dex!$B$3:$G1219,3,FALSE),"")</f>
        <v/>
      </c>
      <c r="P744" s="606"/>
      <c r="Q744" s="606"/>
      <c r="R744" s="4452"/>
      <c r="S744" s="2742"/>
      <c r="T744" s="7272" t="str">
        <f t="array" ref="T744">IFERROR(VLOOKUP(T745,Dex!$B$3:$G1219,3,FALSE),"")</f>
        <v/>
      </c>
      <c r="U744" s="606"/>
      <c r="V744" s="606"/>
      <c r="W744" s="4452"/>
      <c r="X744" s="2742"/>
      <c r="Y744" s="7272" t="str">
        <f t="array" ref="Y744">IFERROR(VLOOKUP(Y745,Dex!$B$3:$G1219,3,FALSE),"")</f>
        <v/>
      </c>
      <c r="Z744" s="606"/>
      <c r="AA744" s="606"/>
      <c r="AB744" s="4452"/>
      <c r="AC744" s="2742"/>
      <c r="AD744" s="7272" t="str">
        <f t="array" ref="AD744">IFERROR(VLOOKUP(AD745,Dex!$B$3:$G1219,3,FALSE),"")</f>
        <v/>
      </c>
      <c r="AE744" s="606"/>
      <c r="AF744" s="606"/>
      <c r="AG744" s="4452"/>
      <c r="AH744" s="7273"/>
      <c r="AI744" s="6747"/>
    </row>
    <row r="745" ht="18.75" customHeight="1">
      <c r="A745" s="6738"/>
      <c r="B745" s="2748"/>
      <c r="C745" s="2749" t="s">
        <v>2120</v>
      </c>
      <c r="D745" s="2750"/>
      <c r="E745" s="2751" t="s">
        <v>1181</v>
      </c>
      <c r="F745" s="2752"/>
      <c r="G745" s="2752"/>
      <c r="H745" s="2753"/>
      <c r="I745" s="2750"/>
      <c r="J745" s="2751" t="s">
        <v>1600</v>
      </c>
      <c r="K745" s="2752"/>
      <c r="L745" s="2752"/>
      <c r="M745" s="2753"/>
      <c r="N745" s="2750"/>
      <c r="O745" s="2751" t="s">
        <v>725</v>
      </c>
      <c r="P745" s="2752"/>
      <c r="Q745" s="2752"/>
      <c r="R745" s="2753"/>
      <c r="T745" s="2751" t="s">
        <v>1557</v>
      </c>
      <c r="U745" s="2752"/>
      <c r="V745" s="2752"/>
      <c r="W745" s="2753"/>
      <c r="Y745" s="2751" t="s">
        <v>1344</v>
      </c>
      <c r="Z745" s="2752"/>
      <c r="AA745" s="2752"/>
      <c r="AB745" s="2753"/>
      <c r="AD745" s="2751" t="s">
        <v>1255</v>
      </c>
      <c r="AE745" s="2752"/>
      <c r="AF745" s="2752"/>
      <c r="AG745" s="2753"/>
      <c r="AH745" s="7274"/>
      <c r="AI745" s="6747"/>
    </row>
    <row r="746" ht="18.75" customHeight="1">
      <c r="A746" s="6738"/>
      <c r="B746" s="2759"/>
      <c r="C746" s="556"/>
      <c r="D746" s="2760"/>
      <c r="E746" s="2761" t="s">
        <v>729</v>
      </c>
      <c r="F746" s="2762"/>
      <c r="G746" s="2762"/>
      <c r="H746" s="2763"/>
      <c r="I746" s="2750"/>
      <c r="J746" s="2761" t="s">
        <v>729</v>
      </c>
      <c r="K746" s="2762"/>
      <c r="L746" s="2762"/>
      <c r="M746" s="2763"/>
      <c r="N746" s="2750"/>
      <c r="O746" s="2761" t="s">
        <v>729</v>
      </c>
      <c r="P746" s="2762"/>
      <c r="Q746" s="2762"/>
      <c r="R746" s="2763"/>
      <c r="T746" s="2761" t="s">
        <v>729</v>
      </c>
      <c r="U746" s="2762"/>
      <c r="V746" s="2762"/>
      <c r="W746" s="2763"/>
      <c r="Y746" s="2761" t="s">
        <v>729</v>
      </c>
      <c r="Z746" s="2762"/>
      <c r="AA746" s="2762"/>
      <c r="AB746" s="2763"/>
      <c r="AD746" s="2761" t="s">
        <v>729</v>
      </c>
      <c r="AE746" s="2762"/>
      <c r="AF746" s="2762"/>
      <c r="AG746" s="2763"/>
      <c r="AH746" s="7275"/>
      <c r="AI746" s="6747"/>
    </row>
    <row r="747" ht="25.5" customHeight="1">
      <c r="A747" s="6738"/>
      <c r="B747" s="2767"/>
      <c r="C747" s="2768"/>
      <c r="D747" s="2744"/>
      <c r="E747" s="2769"/>
      <c r="F747" s="2770" t="str">
        <f t="array" ref="F747">IFERROR(VLOOKUP(E745,Dex!$B$3:$H1219,5,FALSE),"")</f>
        <v/>
      </c>
      <c r="G747" s="2771" t="str">
        <f t="array" ref="G747">IFERROR(VLOOKUP(E745,Dex!$B$3:$H1219,7,FALSE),"")</f>
        <v/>
      </c>
      <c r="H747" s="2772"/>
      <c r="I747" s="2755"/>
      <c r="J747" s="2769"/>
      <c r="K747" s="2770" t="str">
        <f t="array" ref="K747">IFERROR(VLOOKUP(J745,Dex!$B$3:$H1219,5,FALSE),"")</f>
        <v/>
      </c>
      <c r="L747" s="2771" t="str">
        <f t="array" ref="L747">IFERROR(VLOOKUP(J745,Dex!$B$3:$H1219,7,FALSE),"")</f>
        <v/>
      </c>
      <c r="M747" s="2772"/>
      <c r="N747" s="2755"/>
      <c r="O747" s="2769"/>
      <c r="P747" s="2770" t="str">
        <f t="array" ref="P747">IFERROR(VLOOKUP(O745,Dex!$B$3:$H1219,5,FALSE),"")</f>
        <v/>
      </c>
      <c r="Q747" s="2771" t="str">
        <f t="array" ref="Q747">IFERROR(VLOOKUP(O745,Dex!$B$3:$H1219,7,FALSE),"")</f>
        <v/>
      </c>
      <c r="R747" s="2772"/>
      <c r="T747" s="2769"/>
      <c r="U747" s="2770" t="str">
        <f t="array" ref="U747">IFERROR(VLOOKUP(T745,Dex!$B$3:$H1219,5,FALSE),"")</f>
        <v/>
      </c>
      <c r="V747" s="2771" t="str">
        <f t="array" ref="V747">IFERROR(VLOOKUP(T745,Dex!$B$3:$H1219,7,FALSE),"")</f>
        <v/>
      </c>
      <c r="W747" s="2772"/>
      <c r="Y747" s="2769"/>
      <c r="Z747" s="2770" t="str">
        <f t="array" ref="Z747">IFERROR(VLOOKUP(Y745,Dex!$B$3:$H1219,5,FALSE),"")</f>
        <v/>
      </c>
      <c r="AA747" s="2771" t="str">
        <f t="array" ref="AA747">IFERROR(VLOOKUP(Y745,Dex!$B$3:$H1219,7,FALSE),"")</f>
        <v/>
      </c>
      <c r="AB747" s="2772"/>
      <c r="AD747" s="2769"/>
      <c r="AE747" s="2770" t="str">
        <f t="array" ref="AE747">IFERROR(VLOOKUP(AD745,Dex!$B$3:$H1219,5,FALSE),"")</f>
        <v/>
      </c>
      <c r="AF747" s="2771" t="str">
        <f t="array" ref="AF747">IFERROR(VLOOKUP(AD745,Dex!$B$3:$H1219,7,FALSE),"")</f>
        <v/>
      </c>
      <c r="AG747" s="2772"/>
      <c r="AH747" s="2747"/>
      <c r="AI747" s="6747"/>
    </row>
    <row r="748" ht="2.25" customHeight="1">
      <c r="A748" s="6738"/>
      <c r="B748" s="2767"/>
      <c r="C748" s="2775"/>
      <c r="D748" s="2744"/>
      <c r="E748" s="2776"/>
      <c r="F748" s="2777"/>
      <c r="G748" s="2777"/>
      <c r="H748" s="2778"/>
      <c r="I748" s="2755"/>
      <c r="J748" s="2776"/>
      <c r="K748" s="2777"/>
      <c r="L748" s="2777"/>
      <c r="M748" s="2778"/>
      <c r="N748" s="2755"/>
      <c r="O748" s="2776"/>
      <c r="P748" s="2777"/>
      <c r="Q748" s="2777"/>
      <c r="R748" s="2778"/>
      <c r="T748" s="2776"/>
      <c r="U748" s="2777"/>
      <c r="V748" s="2777"/>
      <c r="W748" s="2778"/>
      <c r="Y748" s="2776"/>
      <c r="Z748" s="2777"/>
      <c r="AA748" s="2777"/>
      <c r="AB748" s="2778"/>
      <c r="AD748" s="2776"/>
      <c r="AE748" s="2777"/>
      <c r="AF748" s="2777"/>
      <c r="AG748" s="2778"/>
      <c r="AH748" s="2747"/>
      <c r="AI748" s="6747"/>
    </row>
    <row r="749" ht="20.25" customHeight="1">
      <c r="A749" s="6738"/>
      <c r="B749" s="2767"/>
      <c r="C749" s="2780"/>
      <c r="D749" s="2744"/>
      <c r="E749" s="2781" t="s">
        <v>532</v>
      </c>
      <c r="F749" s="2782"/>
      <c r="G749" s="2782"/>
      <c r="H749" s="2783"/>
      <c r="I749" s="2784"/>
      <c r="J749" s="2781" t="s">
        <v>564</v>
      </c>
      <c r="K749" s="2782"/>
      <c r="L749" s="2782"/>
      <c r="M749" s="2783"/>
      <c r="N749" s="2784"/>
      <c r="O749" s="2781" t="s">
        <v>707</v>
      </c>
      <c r="P749" s="2782"/>
      <c r="Q749" s="2782"/>
      <c r="R749" s="2783"/>
      <c r="T749" s="2781" t="s">
        <v>564</v>
      </c>
      <c r="U749" s="2782"/>
      <c r="V749" s="2782"/>
      <c r="W749" s="2783"/>
      <c r="Y749" s="2781" t="s">
        <v>565</v>
      </c>
      <c r="Z749" s="2782"/>
      <c r="AA749" s="2782"/>
      <c r="AB749" s="2783"/>
      <c r="AD749" s="2781" t="s">
        <v>564</v>
      </c>
      <c r="AE749" s="2782"/>
      <c r="AF749" s="2782"/>
      <c r="AG749" s="2783"/>
      <c r="AH749" s="7273"/>
      <c r="AI749" s="6747"/>
    </row>
    <row r="750">
      <c r="A750" s="6738"/>
      <c r="B750" s="2767"/>
      <c r="C750" s="2785"/>
      <c r="D750" s="2744"/>
      <c r="E750" s="2786" t="s">
        <v>1132</v>
      </c>
      <c r="F750" s="2745"/>
      <c r="G750" s="2745"/>
      <c r="H750" s="2787"/>
      <c r="I750" s="2784"/>
      <c r="J750" s="2786" t="s">
        <v>980</v>
      </c>
      <c r="K750" s="2745"/>
      <c r="L750" s="2745"/>
      <c r="M750" s="2787"/>
      <c r="N750" s="2784"/>
      <c r="O750" s="2786" t="s">
        <v>730</v>
      </c>
      <c r="P750" s="2745"/>
      <c r="Q750" s="2745"/>
      <c r="R750" s="2787"/>
      <c r="T750" s="2786" t="s">
        <v>81</v>
      </c>
      <c r="U750" s="2745"/>
      <c r="V750" s="2745"/>
      <c r="W750" s="2787"/>
      <c r="Y750" s="2786" t="s">
        <v>2121</v>
      </c>
      <c r="Z750" s="2745"/>
      <c r="AA750" s="2745"/>
      <c r="AB750" s="2787"/>
      <c r="AD750" s="2786" t="s">
        <v>2122</v>
      </c>
      <c r="AE750" s="2745"/>
      <c r="AF750" s="2745"/>
      <c r="AG750" s="2787"/>
      <c r="AH750" s="7273"/>
      <c r="AI750" s="6747"/>
    </row>
    <row r="751" ht="20.25" customHeight="1">
      <c r="A751" s="6738"/>
      <c r="B751" s="2767"/>
      <c r="C751" s="2775"/>
      <c r="D751" s="2744"/>
      <c r="E751" s="2788" t="s">
        <v>1052</v>
      </c>
      <c r="F751" s="2789"/>
      <c r="G751" s="2790"/>
      <c r="H751" s="2791" t="str">
        <f>IMAGE("https://raw.githubusercontent.com/msikma/pokesprite/master/items/hold-item/sharp-beak.png",3)</f>
        <v/>
      </c>
      <c r="I751" s="2755"/>
      <c r="J751" s="2788" t="s">
        <v>573</v>
      </c>
      <c r="K751" s="2789"/>
      <c r="L751" s="2790"/>
      <c r="M751" s="2791" t="str">
        <f>IMAGE("https://raw.githubusercontent.com/msikma/pokesprite/master/items/hold-item/focus-sash.png",3)</f>
        <v/>
      </c>
      <c r="N751" s="2755"/>
      <c r="O751" s="2788" t="s">
        <v>1944</v>
      </c>
      <c r="P751" s="2789"/>
      <c r="Q751" s="2790"/>
      <c r="R751" s="2791" t="str">
        <f>IMAGE("https://raw.githubusercontent.com/msikma/pokesprite/master/items/z-crystals/groundium-z--held.png",3)</f>
        <v/>
      </c>
      <c r="T751" s="2788" t="s">
        <v>493</v>
      </c>
      <c r="U751" s="2789"/>
      <c r="V751" s="2790"/>
      <c r="W751" s="2791" t="str">
        <f>IMAGE("https://raw.githubusercontent.com/msikma/pokesprite/master/items/hold-item/air-balloon.png",3)</f>
        <v/>
      </c>
      <c r="Y751" s="2788" t="s">
        <v>1346</v>
      </c>
      <c r="Z751" s="2789"/>
      <c r="AA751" s="2790"/>
      <c r="AB751" s="2791" t="str">
        <f>IMAGE("https://raw.githubusercontent.com/msikma/pokesprite/master/items/mega-stone/salamencite.png",3)</f>
        <v/>
      </c>
      <c r="AD751" s="2788" t="s">
        <v>1262</v>
      </c>
      <c r="AE751" s="2789"/>
      <c r="AF751" s="2790"/>
      <c r="AG751" s="2791" t="str">
        <f>IMAGE("https://raw.githubusercontent.com/msikma/pokesprite/master/items/mega-stone/houndoominite.png",3)</f>
        <v/>
      </c>
      <c r="AH751" s="2747"/>
      <c r="AI751" s="6747"/>
    </row>
    <row r="752" ht="20.25" customHeight="1">
      <c r="A752" s="6738"/>
      <c r="B752" s="2767"/>
      <c r="C752" s="2780"/>
      <c r="D752" s="2744"/>
      <c r="E752" s="2781" t="s">
        <v>693</v>
      </c>
      <c r="F752" s="2782"/>
      <c r="G752" s="2792"/>
      <c r="H752" s="2793" t="str">
        <f>IMAGE("https://raw.githubusercontent.com/msikma/pokesprite/master/misc/types/gen8/flying.png",4,20,20)</f>
        <v/>
      </c>
      <c r="I752" s="2755"/>
      <c r="J752" s="2781" t="s">
        <v>610</v>
      </c>
      <c r="K752" s="2782"/>
      <c r="L752" s="2792"/>
      <c r="M752" s="2793" t="str">
        <f>IMAGE("https://raw.githubusercontent.com/msikma/pokesprite/master/misc/types/gen8/normal.png",4,20,20)</f>
        <v/>
      </c>
      <c r="N752" s="2755"/>
      <c r="O752" s="2781" t="s">
        <v>736</v>
      </c>
      <c r="P752" s="2782"/>
      <c r="Q752" s="2792"/>
      <c r="R752" s="2793" t="str">
        <f>IMAGE("https://raw.githubusercontent.com/msikma/pokesprite/master/misc/types/gen8/ground.png",4,20,20)</f>
        <v/>
      </c>
      <c r="T752" s="2781" t="s">
        <v>184</v>
      </c>
      <c r="U752" s="2782"/>
      <c r="V752" s="2792"/>
      <c r="W752" s="2793" t="str">
        <f>IMAGE("https://raw.githubusercontent.com/msikma/pokesprite/master/misc/types/gen8/normal.png",4,20,20)</f>
        <v/>
      </c>
      <c r="Y752" s="2781" t="s">
        <v>928</v>
      </c>
      <c r="Z752" s="2782"/>
      <c r="AA752" s="2792"/>
      <c r="AB752" s="2793" t="str">
        <f>IMAGE("https://raw.githubusercontent.com/msikma/pokesprite/master/misc/types/gen8/flying.png",4,20,20)</f>
        <v/>
      </c>
      <c r="AD752" s="2781" t="s">
        <v>1313</v>
      </c>
      <c r="AE752" s="2782"/>
      <c r="AF752" s="2792"/>
      <c r="AG752" s="2793" t="str">
        <f>IMAGE("https://raw.githubusercontent.com/msikma/pokesprite/master/misc/types/gen8/dark.png",4,20,20)</f>
        <v/>
      </c>
      <c r="AH752" s="2747"/>
      <c r="AI752" s="6747"/>
    </row>
    <row r="753" ht="20.25" customHeight="1">
      <c r="A753" s="6738"/>
      <c r="B753" s="2767"/>
      <c r="C753" s="2794"/>
      <c r="D753" s="2744"/>
      <c r="E753" s="2786" t="s">
        <v>621</v>
      </c>
      <c r="F753" s="2745"/>
      <c r="G753" s="2746"/>
      <c r="H753" s="2795" t="str">
        <f>IMAGE("https://raw.githubusercontent.com/msikma/pokesprite/master/misc/types/gen8/rock.png",4,20,20)</f>
        <v/>
      </c>
      <c r="I753" s="2755"/>
      <c r="J753" s="2786" t="s">
        <v>547</v>
      </c>
      <c r="K753" s="2745"/>
      <c r="L753" s="2746"/>
      <c r="M753" s="2795" t="str">
        <f>IMAGE("https://raw.githubusercontent.com/msikma/pokesprite/master/misc/types/gen8/electric.png",4,20,20)</f>
        <v/>
      </c>
      <c r="N753" s="2755"/>
      <c r="O753" s="2786" t="s">
        <v>958</v>
      </c>
      <c r="P753" s="2745"/>
      <c r="Q753" s="2746"/>
      <c r="R753" s="2795" t="str">
        <f t="shared" ref="R753:R754" si="29">IMAGE("https://raw.githubusercontent.com/msikma/pokesprite/master/misc/types/gen8/normal.png",4,20,20)</f>
        <v/>
      </c>
      <c r="T753" s="2786" t="s">
        <v>619</v>
      </c>
      <c r="U753" s="2745"/>
      <c r="V753" s="2746"/>
      <c r="W753" s="2795" t="str">
        <f>IMAGE("https://raw.githubusercontent.com/msikma/pokesprite/master/misc/types/gen8/fire.png",4,20,20)</f>
        <v/>
      </c>
      <c r="Y753" s="2786" t="s">
        <v>619</v>
      </c>
      <c r="Z753" s="2745"/>
      <c r="AA753" s="2746"/>
      <c r="AB753" s="2795" t="str">
        <f>IMAGE("https://raw.githubusercontent.com/msikma/pokesprite/master/misc/types/gen8/fire.png",4,20,20)</f>
        <v/>
      </c>
      <c r="AD753" s="2786" t="s">
        <v>1211</v>
      </c>
      <c r="AE753" s="2745"/>
      <c r="AF753" s="2746"/>
      <c r="AG753" s="2795" t="str">
        <f>IMAGE("https://raw.githubusercontent.com/msikma/pokesprite/master/misc/types/gen8/fire.png",4,20,20)</f>
        <v/>
      </c>
      <c r="AH753" s="2747"/>
      <c r="AI753" s="6747"/>
    </row>
    <row r="754" ht="20.25" customHeight="1">
      <c r="A754" s="6738"/>
      <c r="B754" s="2767"/>
      <c r="C754" s="2794"/>
      <c r="D754" s="2744"/>
      <c r="E754" s="2786" t="s">
        <v>695</v>
      </c>
      <c r="F754" s="2745"/>
      <c r="G754" s="2746"/>
      <c r="H754" s="2795" t="str">
        <f>IMAGE("https://raw.githubusercontent.com/msikma/pokesprite/master/misc/types/gen8/ground.png",4,20,20)</f>
        <v/>
      </c>
      <c r="I754" s="2755"/>
      <c r="J754" s="2786" t="s">
        <v>742</v>
      </c>
      <c r="K754" s="2745"/>
      <c r="L754" s="2746"/>
      <c r="M754" s="2795" t="str">
        <f>IMAGE("https://raw.githubusercontent.com/msikma/pokesprite/master/misc/types/gen8/grass.png",4,20,20)</f>
        <v/>
      </c>
      <c r="N754" s="2755"/>
      <c r="O754" s="2786" t="s">
        <v>1596</v>
      </c>
      <c r="P754" s="2745"/>
      <c r="Q754" s="2746"/>
      <c r="R754" s="2795" t="str">
        <f t="shared" si="29"/>
        <v/>
      </c>
      <c r="T754" s="2786" t="s">
        <v>646</v>
      </c>
      <c r="U754" s="2745"/>
      <c r="V754" s="2746"/>
      <c r="W754" s="2795" t="str">
        <f>IMAGE("https://raw.githubusercontent.com/msikma/pokesprite/master/misc/types/gen8/steel.png",4,20,20)</f>
        <v/>
      </c>
      <c r="Y754" s="2786" t="s">
        <v>551</v>
      </c>
      <c r="Z754" s="2745"/>
      <c r="AA754" s="2746"/>
      <c r="AB754" s="2795" t="str">
        <f>IMAGE("https://raw.githubusercontent.com/msikma/pokesprite/master/misc/types/gen8/flying.png",4,20,20)</f>
        <v/>
      </c>
      <c r="AD754" s="2786" t="s">
        <v>614</v>
      </c>
      <c r="AE754" s="2745"/>
      <c r="AF754" s="2746"/>
      <c r="AG754" s="2795" t="str">
        <f>IMAGE("https://raw.githubusercontent.com/msikma/pokesprite/master/misc/types/gen8/poison.png",4,20,20)</f>
        <v/>
      </c>
      <c r="AH754" s="2747"/>
      <c r="AI754" s="6747"/>
    </row>
    <row r="755" ht="21.0" customHeight="1">
      <c r="A755" s="6738"/>
      <c r="B755" s="2767"/>
      <c r="C755" s="2794"/>
      <c r="D755" s="2744"/>
      <c r="E755" s="2796" t="s">
        <v>975</v>
      </c>
      <c r="F755" s="2797"/>
      <c r="G755" s="2798"/>
      <c r="H755" s="2799" t="str">
        <f>IMAGE("https://raw.githubusercontent.com/msikma/pokesprite/master/misc/types/gen8/fire.png",4,20,20)</f>
        <v/>
      </c>
      <c r="I755" s="2755"/>
      <c r="J755" s="2796" t="s">
        <v>699</v>
      </c>
      <c r="K755" s="2797"/>
      <c r="L755" s="2798"/>
      <c r="M755" s="2799" t="str">
        <f>IMAGE("https://raw.githubusercontent.com/msikma/pokesprite/master/misc/types/gen8/fire.png",4,20,20)</f>
        <v/>
      </c>
      <c r="N755" s="2755"/>
      <c r="O755" s="2796" t="s">
        <v>219</v>
      </c>
      <c r="P755" s="2797"/>
      <c r="Q755" s="2798"/>
      <c r="R755" s="2799" t="str">
        <f>IMAGE("https://raw.githubusercontent.com/msikma/pokesprite/master/misc/types/gen8/dragon.png",4,20,20)</f>
        <v/>
      </c>
      <c r="S755" s="2800"/>
      <c r="T755" s="2796" t="s">
        <v>644</v>
      </c>
      <c r="U755" s="2797"/>
      <c r="V755" s="2798"/>
      <c r="W755" s="2799" t="str">
        <f>IMAGE("https://raw.githubusercontent.com/msikma/pokesprite/master/misc/types/gen8/ground.png",4,20,20)</f>
        <v/>
      </c>
      <c r="X755" s="2800"/>
      <c r="Y755" s="2796" t="s">
        <v>184</v>
      </c>
      <c r="Z755" s="2797"/>
      <c r="AA755" s="2798"/>
      <c r="AB755" s="2799" t="str">
        <f>IMAGE("https://raw.githubusercontent.com/msikma/pokesprite/master/misc/types/gen8/normal.png",4,20,20)</f>
        <v/>
      </c>
      <c r="AC755" s="2800"/>
      <c r="AD755" s="2796" t="s">
        <v>692</v>
      </c>
      <c r="AE755" s="2797"/>
      <c r="AF755" s="2798"/>
      <c r="AG755" s="2799" t="str">
        <f>IMAGE("https://raw.githubusercontent.com/msikma/pokesprite/master/misc/types/gen8/grass.png",4,20,20)</f>
        <v/>
      </c>
      <c r="AH755" s="2747"/>
      <c r="AI755" s="6747"/>
    </row>
    <row r="756" ht="3.0" customHeight="1">
      <c r="A756" s="6738"/>
      <c r="B756" s="2803"/>
      <c r="C756" s="2804"/>
      <c r="D756" s="2805"/>
      <c r="E756" s="2806"/>
      <c r="F756" s="2806"/>
      <c r="G756" s="2806"/>
      <c r="H756" s="2806"/>
      <c r="I756" s="2805"/>
      <c r="J756" s="2806"/>
      <c r="K756" s="2806"/>
      <c r="L756" s="2806"/>
      <c r="M756" s="2806"/>
      <c r="N756" s="2805"/>
      <c r="O756" s="2806"/>
      <c r="P756" s="2806"/>
      <c r="Q756" s="2806"/>
      <c r="R756" s="2806"/>
      <c r="S756" s="2807"/>
      <c r="T756" s="2806"/>
      <c r="U756" s="2806"/>
      <c r="V756" s="2806"/>
      <c r="W756" s="2806"/>
      <c r="X756" s="2805"/>
      <c r="Y756" s="2806"/>
      <c r="Z756" s="2806"/>
      <c r="AA756" s="2806"/>
      <c r="AB756" s="2806"/>
      <c r="AC756" s="2808"/>
      <c r="AD756" s="2806"/>
      <c r="AE756" s="2806"/>
      <c r="AF756" s="2806"/>
      <c r="AG756" s="2806"/>
      <c r="AH756" s="2809"/>
      <c r="AI756" s="6747"/>
    </row>
    <row r="757" ht="16.5" customHeight="1">
      <c r="A757" s="6738"/>
      <c r="B757" s="2812"/>
      <c r="C757" s="2804"/>
      <c r="D757" s="2813"/>
      <c r="E757" s="2814" t="s">
        <v>512</v>
      </c>
      <c r="F757" s="606"/>
      <c r="G757" s="606"/>
      <c r="H757" s="607"/>
      <c r="I757" s="2815"/>
      <c r="J757" s="2814" t="s">
        <v>512</v>
      </c>
      <c r="K757" s="606"/>
      <c r="L757" s="606"/>
      <c r="M757" s="607"/>
      <c r="N757" s="2815"/>
      <c r="O757" s="2814" t="s">
        <v>512</v>
      </c>
      <c r="P757" s="606"/>
      <c r="Q757" s="606"/>
      <c r="R757" s="607"/>
      <c r="S757" s="2817"/>
      <c r="T757" s="2814" t="s">
        <v>512</v>
      </c>
      <c r="U757" s="606"/>
      <c r="V757" s="606"/>
      <c r="W757" s="607"/>
      <c r="X757" s="2837"/>
      <c r="Y757" s="2814" t="s">
        <v>512</v>
      </c>
      <c r="Z757" s="606"/>
      <c r="AA757" s="606"/>
      <c r="AB757" s="607"/>
      <c r="AC757" s="2837"/>
      <c r="AD757" s="2814" t="s">
        <v>512</v>
      </c>
      <c r="AE757" s="606"/>
      <c r="AF757" s="606"/>
      <c r="AG757" s="607"/>
      <c r="AH757" s="2821"/>
      <c r="AI757" s="6747"/>
    </row>
    <row r="758" ht="16.5" customHeight="1">
      <c r="A758" s="6738"/>
      <c r="B758" s="2812"/>
      <c r="C758" s="2804"/>
      <c r="D758" s="2813"/>
      <c r="E758" s="2822" t="s">
        <v>513</v>
      </c>
      <c r="F758" s="2823">
        <f t="array" ref="F758">IFERROR(VLOOKUP(E745,Dex!$B$3:$N1219,8,FALSE),"")</f>
        <v>80</v>
      </c>
      <c r="G758" s="2824" t="str">
        <f t="array" ref="G758">IFERROR(VLOOKUP(F758,Dex!$P$22:$Q$276,2,FALSE),"")</f>
        <v/>
      </c>
      <c r="H758" s="2825"/>
      <c r="I758" s="2815"/>
      <c r="J758" s="2822" t="s">
        <v>513</v>
      </c>
      <c r="K758" s="2823">
        <f t="array" ref="K758">IFERROR(VLOOKUP(J745,Dex!$B$3:$N1219,8,FALSE),"")</f>
        <v>62</v>
      </c>
      <c r="L758" s="2824" t="str">
        <f t="array" ref="L758">IFERROR(VLOOKUP(K758,Dex!$P$22:$Q$276,2,FALSE),"")</f>
        <v/>
      </c>
      <c r="M758" s="2825"/>
      <c r="N758" s="2815"/>
      <c r="O758" s="2822" t="s">
        <v>513</v>
      </c>
      <c r="P758" s="2823">
        <f t="array" ref="P758">IFERROR(VLOOKUP(O745,Dex!$B$3:$N1219,8,FALSE),"")</f>
        <v>216</v>
      </c>
      <c r="Q758" s="2824" t="str">
        <f t="array" ref="Q758">IFERROR(VLOOKUP(P758,Dex!$P$22:$Q$276,2,FALSE),"")</f>
        <v/>
      </c>
      <c r="R758" s="2825"/>
      <c r="S758" s="2826"/>
      <c r="T758" s="2822" t="s">
        <v>513</v>
      </c>
      <c r="U758" s="2823">
        <f t="array" ref="U758">IFERROR(VLOOKUP(T745,Dex!$B$3:$N1219,8,FALSE),"")</f>
        <v>91</v>
      </c>
      <c r="V758" s="2824" t="str">
        <f t="array" ref="V758">IFERROR(VLOOKUP(U758,Dex!$P$22:$Q$276,2,FALSE),"")</f>
        <v/>
      </c>
      <c r="W758" s="2825"/>
      <c r="X758" s="2820"/>
      <c r="Y758" s="2822" t="s">
        <v>513</v>
      </c>
      <c r="Z758" s="2823">
        <f t="array" ref="Z758">IFERROR(VLOOKUP(Y745,Dex!$B$3:$N1219,8,FALSE),"")</f>
        <v>95</v>
      </c>
      <c r="AA758" s="2824" t="str">
        <f t="array" ref="AA758">IFERROR(VLOOKUP(Z758,Dex!$P$22:$Q$276,2,FALSE),"")</f>
        <v/>
      </c>
      <c r="AB758" s="2825"/>
      <c r="AC758" s="2820"/>
      <c r="AD758" s="2822" t="s">
        <v>513</v>
      </c>
      <c r="AE758" s="2823">
        <f t="array" ref="AE758">IFERROR(VLOOKUP(AD745,Dex!$B$3:$N1219,8,FALSE),"")</f>
        <v>75</v>
      </c>
      <c r="AF758" s="2824" t="str">
        <f t="array" ref="AF758">IFERROR(VLOOKUP(AE758,Dex!$P$22:$Q$276,2,FALSE),"")</f>
        <v/>
      </c>
      <c r="AG758" s="2825"/>
      <c r="AH758" s="2821"/>
      <c r="AI758" s="6747"/>
    </row>
    <row r="759" ht="16.5" customHeight="1">
      <c r="A759" s="6738"/>
      <c r="B759" s="2812"/>
      <c r="C759" s="2804"/>
      <c r="D759" s="2813"/>
      <c r="E759" s="2827" t="s">
        <v>514</v>
      </c>
      <c r="F759" s="2828">
        <f t="array" ref="F759">IFERROR(VLOOKUP(E745,Dex!$B$3:$N1219,9,FALSE),"")</f>
        <v>105</v>
      </c>
      <c r="G759" s="2829" t="str">
        <f t="array" ref="G759">IFERROR(VLOOKUP(F759,Dex!$P$22:$Q$276,2,FALSE),"")</f>
        <v/>
      </c>
      <c r="H759" s="2830"/>
      <c r="I759" s="2815"/>
      <c r="J759" s="2827" t="s">
        <v>514</v>
      </c>
      <c r="K759" s="2828">
        <f t="array" ref="K759">IFERROR(VLOOKUP(J745,Dex!$B$3:$N1219,9,FALSE),"")</f>
        <v>55</v>
      </c>
      <c r="L759" s="2829" t="str">
        <f t="array" ref="L759">IFERROR(VLOOKUP(K759,Dex!$P$22:$Q$276,2,FALSE),"")</f>
        <v/>
      </c>
      <c r="M759" s="2830"/>
      <c r="N759" s="2815"/>
      <c r="O759" s="2827" t="s">
        <v>514</v>
      </c>
      <c r="P759" s="2828">
        <f t="array" ref="P759">IFERROR(VLOOKUP(O745,Dex!$B$3:$N1219,9,FALSE),"")</f>
        <v>100</v>
      </c>
      <c r="Q759" s="2829" t="str">
        <f t="array" ref="Q759">IFERROR(VLOOKUP(P759,Dex!$P$22:$Q$276,2,FALSE),"")</f>
        <v/>
      </c>
      <c r="R759" s="2830"/>
      <c r="S759" s="2826"/>
      <c r="T759" s="2827" t="s">
        <v>514</v>
      </c>
      <c r="U759" s="2828">
        <f t="array" ref="U759">IFERROR(VLOOKUP(T745,Dex!$B$3:$N1219,9,FALSE),"")</f>
        <v>90</v>
      </c>
      <c r="V759" s="2829" t="str">
        <f t="array" ref="V759">IFERROR(VLOOKUP(U759,Dex!$P$22:$Q$276,2,FALSE),"")</f>
        <v/>
      </c>
      <c r="W759" s="2830"/>
      <c r="X759" s="2820"/>
      <c r="Y759" s="2827" t="s">
        <v>514</v>
      </c>
      <c r="Z759" s="2828">
        <f t="array" ref="Z759">IFERROR(VLOOKUP(Y745,Dex!$B$3:$N1219,9,FALSE),"")</f>
        <v>145</v>
      </c>
      <c r="AA759" s="2829" t="str">
        <f t="array" ref="AA759">IFERROR(VLOOKUP(Z759,Dex!$P$22:$Q$276,2,FALSE),"")</f>
        <v/>
      </c>
      <c r="AB759" s="2830"/>
      <c r="AC759" s="2820"/>
      <c r="AD759" s="2827" t="s">
        <v>514</v>
      </c>
      <c r="AE759" s="2828">
        <f t="array" ref="AE759">IFERROR(VLOOKUP(AD745,Dex!$B$3:$N1219,9,FALSE),"")</f>
        <v>110</v>
      </c>
      <c r="AF759" s="2829" t="str">
        <f t="array" ref="AF759">IFERROR(VLOOKUP(AE759,Dex!$P$22:$Q$276,2,FALSE),"")</f>
        <v/>
      </c>
      <c r="AG759" s="2830"/>
      <c r="AH759" s="2821"/>
      <c r="AI759" s="6747"/>
    </row>
    <row r="760" ht="16.5" customHeight="1">
      <c r="A760" s="6738"/>
      <c r="B760" s="2812"/>
      <c r="C760" s="2804"/>
      <c r="D760" s="2813"/>
      <c r="E760" s="2827" t="s">
        <v>515</v>
      </c>
      <c r="F760" s="2828">
        <f t="array" ref="F760">IFERROR(VLOOKUP(E745,Dex!$B$3:$N1219,10,FALSE),"")</f>
        <v>65</v>
      </c>
      <c r="G760" s="2829" t="str">
        <f t="array" ref="G760">IFERROR(VLOOKUP(F760,Dex!$P$22:$Q$276,2,FALSE),"")</f>
        <v/>
      </c>
      <c r="H760" s="2830"/>
      <c r="I760" s="2815"/>
      <c r="J760" s="2827" t="s">
        <v>515</v>
      </c>
      <c r="K760" s="2828">
        <f t="array" ref="K760">IFERROR(VLOOKUP(J745,Dex!$B$3:$N1219,10,FALSE),"")</f>
        <v>52</v>
      </c>
      <c r="L760" s="2829" t="str">
        <f t="array" ref="L760">IFERROR(VLOOKUP(K760,Dex!$P$22:$Q$276,2,FALSE),"")</f>
        <v/>
      </c>
      <c r="M760" s="2830"/>
      <c r="N760" s="2815"/>
      <c r="O760" s="2827" t="s">
        <v>515</v>
      </c>
      <c r="P760" s="2828">
        <f t="array" ref="P760">IFERROR(VLOOKUP(O745,Dex!$B$3:$N1219,10,FALSE),"")</f>
        <v>121</v>
      </c>
      <c r="Q760" s="2829" t="str">
        <f t="array" ref="Q760">IFERROR(VLOOKUP(P760,Dex!$P$22:$Q$276,2,FALSE),"")</f>
        <v/>
      </c>
      <c r="R760" s="2830"/>
      <c r="S760" s="2826"/>
      <c r="T760" s="2827" t="s">
        <v>515</v>
      </c>
      <c r="U760" s="2828">
        <f t="array" ref="U760">IFERROR(VLOOKUP(T745,Dex!$B$3:$N1219,10,FALSE),"")</f>
        <v>106</v>
      </c>
      <c r="V760" s="2829" t="str">
        <f t="array" ref="V760">IFERROR(VLOOKUP(U760,Dex!$P$22:$Q$276,2,FALSE),"")</f>
        <v/>
      </c>
      <c r="W760" s="2830"/>
      <c r="X760" s="2820"/>
      <c r="Y760" s="2827" t="s">
        <v>515</v>
      </c>
      <c r="Z760" s="2828">
        <f t="array" ref="Z760">IFERROR(VLOOKUP(Y745,Dex!$B$3:$N1219,10,FALSE),"")</f>
        <v>130</v>
      </c>
      <c r="AA760" s="2829" t="str">
        <f t="array" ref="AA760">IFERROR(VLOOKUP(Z760,Dex!$P$22:$Q$276,2,FALSE),"")</f>
        <v/>
      </c>
      <c r="AB760" s="2830"/>
      <c r="AC760" s="2820"/>
      <c r="AD760" s="2827" t="s">
        <v>515</v>
      </c>
      <c r="AE760" s="2828">
        <f t="array" ref="AE760">IFERROR(VLOOKUP(AD745,Dex!$B$3:$N1219,10,FALSE),"")</f>
        <v>90</v>
      </c>
      <c r="AF760" s="2829" t="str">
        <f t="array" ref="AF760">IFERROR(VLOOKUP(AE760,Dex!$P$22:$Q$276,2,FALSE),"")</f>
        <v/>
      </c>
      <c r="AG760" s="2830"/>
      <c r="AH760" s="2821"/>
      <c r="AI760" s="6747"/>
    </row>
    <row r="761" ht="16.5" customHeight="1">
      <c r="A761" s="6738"/>
      <c r="B761" s="2812"/>
      <c r="C761" s="2804"/>
      <c r="D761" s="2813"/>
      <c r="E761" s="2827" t="s">
        <v>516</v>
      </c>
      <c r="F761" s="2828">
        <f t="array" ref="F761">IFERROR(VLOOKUP(E745,Dex!$B$3:$N1219,11,FALSE),"")</f>
        <v>60</v>
      </c>
      <c r="G761" s="2829" t="str">
        <f t="array" ref="G761">IFERROR(VLOOKUP(F761,Dex!$P$22:$Q$276,2,FALSE),"")</f>
        <v/>
      </c>
      <c r="H761" s="2830"/>
      <c r="I761" s="2815"/>
      <c r="J761" s="2827" t="s">
        <v>516</v>
      </c>
      <c r="K761" s="2828">
        <f t="array" ref="K761">IFERROR(VLOOKUP(J745,Dex!$B$3:$N1219,11,FALSE),"")</f>
        <v>109</v>
      </c>
      <c r="L761" s="2829" t="str">
        <f t="array" ref="L761">IFERROR(VLOOKUP(K761,Dex!$P$22:$Q$276,2,FALSE),"")</f>
        <v/>
      </c>
      <c r="M761" s="2830"/>
      <c r="N761" s="2815"/>
      <c r="O761" s="2827" t="s">
        <v>516</v>
      </c>
      <c r="P761" s="2828">
        <f t="array" ref="P761">IFERROR(VLOOKUP(O745,Dex!$B$3:$N1219,11,FALSE),"")</f>
        <v>91</v>
      </c>
      <c r="Q761" s="2829" t="str">
        <f t="array" ref="Q761">IFERROR(VLOOKUP(P761,Dex!$P$22:$Q$276,2,FALSE),"")</f>
        <v/>
      </c>
      <c r="R761" s="2830"/>
      <c r="S761" s="2826"/>
      <c r="T761" s="2827" t="s">
        <v>516</v>
      </c>
      <c r="U761" s="2828">
        <f t="array" ref="U761">IFERROR(VLOOKUP(T745,Dex!$B$3:$N1219,11,FALSE),"")</f>
        <v>130</v>
      </c>
      <c r="V761" s="2829" t="str">
        <f t="array" ref="V761">IFERROR(VLOOKUP(U761,Dex!$P$22:$Q$276,2,FALSE),"")</f>
        <v/>
      </c>
      <c r="W761" s="2830"/>
      <c r="X761" s="2820"/>
      <c r="Y761" s="2827" t="s">
        <v>516</v>
      </c>
      <c r="Z761" s="2828">
        <f t="array" ref="Z761">IFERROR(VLOOKUP(Y745,Dex!$B$3:$N1219,11,FALSE),"")</f>
        <v>120</v>
      </c>
      <c r="AA761" s="2829" t="str">
        <f t="array" ref="AA761">IFERROR(VLOOKUP(Z761,Dex!$P$22:$Q$276,2,FALSE),"")</f>
        <v/>
      </c>
      <c r="AB761" s="2830"/>
      <c r="AC761" s="2820"/>
      <c r="AD761" s="2827" t="s">
        <v>516</v>
      </c>
      <c r="AE761" s="2828">
        <f t="array" ref="AE761">IFERROR(VLOOKUP(AD745,Dex!$B$3:$N1219,11,FALSE),"")</f>
        <v>140</v>
      </c>
      <c r="AF761" s="2829" t="str">
        <f t="array" ref="AF761">IFERROR(VLOOKUP(AE761,Dex!$P$22:$Q$276,2,FALSE),"")</f>
        <v/>
      </c>
      <c r="AG761" s="2830"/>
      <c r="AH761" s="2821"/>
      <c r="AI761" s="6747"/>
    </row>
    <row r="762" ht="16.5" customHeight="1">
      <c r="A762" s="6738"/>
      <c r="B762" s="2812"/>
      <c r="C762" s="2804"/>
      <c r="D762" s="2813"/>
      <c r="E762" s="2827" t="s">
        <v>517</v>
      </c>
      <c r="F762" s="2828">
        <f t="array" ref="F762">IFERROR(VLOOKUP(E745,Dex!$B$3:$N1219,12,FALSE),"")</f>
        <v>75</v>
      </c>
      <c r="G762" s="2829" t="str">
        <f t="array" ref="G762">IFERROR(VLOOKUP(F762,Dex!$P$22:$Q$276,2,FALSE),"")</f>
        <v/>
      </c>
      <c r="H762" s="2830"/>
      <c r="I762" s="2815"/>
      <c r="J762" s="2827" t="s">
        <v>517</v>
      </c>
      <c r="K762" s="2828">
        <f t="array" ref="K762">IFERROR(VLOOKUP(J745,Dex!$B$3:$N1219,12,FALSE),"")</f>
        <v>94</v>
      </c>
      <c r="L762" s="2829" t="str">
        <f t="array" ref="L762">IFERROR(VLOOKUP(K762,Dex!$P$22:$Q$276,2,FALSE),"")</f>
        <v/>
      </c>
      <c r="M762" s="2830"/>
      <c r="N762" s="2815"/>
      <c r="O762" s="2827" t="s">
        <v>517</v>
      </c>
      <c r="P762" s="2828">
        <f t="array" ref="P762">IFERROR(VLOOKUP(O745,Dex!$B$3:$N1219,12,FALSE),"")</f>
        <v>95</v>
      </c>
      <c r="Q762" s="2829" t="str">
        <f t="array" ref="Q762">IFERROR(VLOOKUP(P762,Dex!$P$22:$Q$276,2,FALSE),"")</f>
        <v/>
      </c>
      <c r="R762" s="2830"/>
      <c r="S762" s="2826"/>
      <c r="T762" s="2827" t="s">
        <v>517</v>
      </c>
      <c r="U762" s="2828">
        <f t="array" ref="U762">IFERROR(VLOOKUP(T745,Dex!$B$3:$N1219,12,FALSE),"")</f>
        <v>106</v>
      </c>
      <c r="V762" s="2829" t="str">
        <f t="array" ref="V762">IFERROR(VLOOKUP(U762,Dex!$P$22:$Q$276,2,FALSE),"")</f>
        <v/>
      </c>
      <c r="W762" s="2830"/>
      <c r="X762" s="2820"/>
      <c r="Y762" s="2827" t="s">
        <v>517</v>
      </c>
      <c r="Z762" s="2828">
        <f t="array" ref="Z762">IFERROR(VLOOKUP(Y745,Dex!$B$3:$N1219,12,FALSE),"")</f>
        <v>90</v>
      </c>
      <c r="AA762" s="2829" t="str">
        <f t="array" ref="AA762">IFERROR(VLOOKUP(Z762,Dex!$P$22:$Q$276,2,FALSE),"")</f>
        <v/>
      </c>
      <c r="AB762" s="2830"/>
      <c r="AC762" s="2820"/>
      <c r="AD762" s="2827" t="s">
        <v>517</v>
      </c>
      <c r="AE762" s="2828">
        <f t="array" ref="AE762">IFERROR(VLOOKUP(AD745,Dex!$B$3:$N1219,12,FALSE),"")</f>
        <v>90</v>
      </c>
      <c r="AF762" s="2829" t="str">
        <f t="array" ref="AF762">IFERROR(VLOOKUP(AE762,Dex!$P$22:$Q$276,2,FALSE),"")</f>
        <v/>
      </c>
      <c r="AG762" s="2830"/>
      <c r="AH762" s="2821"/>
      <c r="AI762" s="6747"/>
    </row>
    <row r="763" ht="15.75" customHeight="1">
      <c r="A763" s="6738"/>
      <c r="B763" s="2812"/>
      <c r="C763" s="2804"/>
      <c r="D763" s="2813"/>
      <c r="E763" s="2831" t="s">
        <v>518</v>
      </c>
      <c r="F763" s="2832">
        <f t="array" ref="F763">IFERROR(VLOOKUP(E745,Dex!$B$3:$N1219,13,FALSE),"")</f>
        <v>130</v>
      </c>
      <c r="G763" s="2833" t="str">
        <f t="array" ref="G763">IFERROR(VLOOKUP(F763,Dex!$P$22:$Q$276,2,FALSE),"")</f>
        <v/>
      </c>
      <c r="H763" s="2834"/>
      <c r="I763" s="2815"/>
      <c r="J763" s="2831" t="s">
        <v>518</v>
      </c>
      <c r="K763" s="2832">
        <f t="array" ref="K763">IFERROR(VLOOKUP(J745,Dex!$B$3:$N1219,13,FALSE),"")</f>
        <v>109</v>
      </c>
      <c r="L763" s="2833" t="str">
        <f t="array" ref="L763">IFERROR(VLOOKUP(K763,Dex!$P$22:$Q$276,2,FALSE),"")</f>
        <v/>
      </c>
      <c r="M763" s="2834"/>
      <c r="N763" s="2815"/>
      <c r="O763" s="2831" t="s">
        <v>518</v>
      </c>
      <c r="P763" s="2832">
        <f t="array" ref="P763">IFERROR(VLOOKUP(O745,Dex!$B$3:$N1219,13,FALSE),"")</f>
        <v>85</v>
      </c>
      <c r="Q763" s="2833" t="str">
        <f t="array" ref="Q763">IFERROR(VLOOKUP(P763,Dex!$P$22:$Q$276,2,FALSE),"")</f>
        <v/>
      </c>
      <c r="R763" s="2834"/>
      <c r="S763" s="2826"/>
      <c r="T763" s="2831" t="s">
        <v>518</v>
      </c>
      <c r="U763" s="2832">
        <f t="array" ref="U763">IFERROR(VLOOKUP(T745,Dex!$B$3:$N1219,13,FALSE),"")</f>
        <v>77</v>
      </c>
      <c r="V763" s="2833" t="str">
        <f t="array" ref="V763">IFERROR(VLOOKUP(U763,Dex!$P$22:$Q$276,2,FALSE),"")</f>
        <v/>
      </c>
      <c r="W763" s="2834"/>
      <c r="X763" s="2820"/>
      <c r="Y763" s="2831" t="s">
        <v>518</v>
      </c>
      <c r="Z763" s="2832">
        <f t="array" ref="Z763">IFERROR(VLOOKUP(Y745,Dex!$B$3:$N1219,13,FALSE),"")</f>
        <v>120</v>
      </c>
      <c r="AA763" s="2833" t="str">
        <f t="array" ref="AA763">IFERROR(VLOOKUP(Z763,Dex!$P$22:$Q$276,2,FALSE),"")</f>
        <v/>
      </c>
      <c r="AB763" s="2834"/>
      <c r="AC763" s="2820"/>
      <c r="AD763" s="2831" t="s">
        <v>518</v>
      </c>
      <c r="AE763" s="2832">
        <f t="array" ref="AE763">IFERROR(VLOOKUP(AD745,Dex!$B$3:$N1219,13,FALSE),"")</f>
        <v>115</v>
      </c>
      <c r="AF763" s="2833" t="str">
        <f t="array" ref="AF763">IFERROR(VLOOKUP(AE763,Dex!$P$22:$Q$276,2,FALSE),"")</f>
        <v/>
      </c>
      <c r="AG763" s="2834"/>
      <c r="AH763" s="2821"/>
      <c r="AI763" s="6747"/>
    </row>
    <row r="764" ht="16.5" customHeight="1">
      <c r="A764" s="6738"/>
      <c r="B764" s="2812"/>
      <c r="C764" s="2804"/>
      <c r="D764" s="2813"/>
      <c r="E764" s="2835" t="s">
        <v>519</v>
      </c>
      <c r="F764" s="630"/>
      <c r="G764" s="631"/>
      <c r="H764" s="7276">
        <v>325.0</v>
      </c>
      <c r="I764" s="2815"/>
      <c r="J764" s="2835" t="s">
        <v>519</v>
      </c>
      <c r="K764" s="630"/>
      <c r="L764" s="631"/>
      <c r="M764" s="7276">
        <v>279.0</v>
      </c>
      <c r="N764" s="2815"/>
      <c r="O764" s="2835" t="s">
        <v>519</v>
      </c>
      <c r="P764" s="630"/>
      <c r="Q764" s="631"/>
      <c r="R764" s="7276">
        <v>206.0</v>
      </c>
      <c r="S764" s="2836"/>
      <c r="T764" s="2835" t="s">
        <v>519</v>
      </c>
      <c r="U764" s="630"/>
      <c r="V764" s="631"/>
      <c r="W764" s="7276">
        <v>209.0</v>
      </c>
      <c r="X764" s="2837"/>
      <c r="Y764" s="2835" t="s">
        <v>519</v>
      </c>
      <c r="Z764" s="630"/>
      <c r="AA764" s="631"/>
      <c r="AB764" s="7276">
        <v>303.0</v>
      </c>
      <c r="AC764" s="2837"/>
      <c r="AD764" s="2835" t="s">
        <v>519</v>
      </c>
      <c r="AE764" s="630"/>
      <c r="AF764" s="631"/>
      <c r="AG764" s="7276">
        <v>292.0</v>
      </c>
      <c r="AH764" s="2821"/>
      <c r="AI764" s="6747"/>
    </row>
    <row r="765" ht="15.0" customHeight="1">
      <c r="A765" s="6738"/>
      <c r="B765" s="2838"/>
      <c r="C765" s="2839"/>
      <c r="D765" s="2840"/>
      <c r="E765" s="2841"/>
      <c r="F765" s="2841"/>
      <c r="G765" s="2841"/>
      <c r="H765" s="2841"/>
      <c r="I765" s="2840"/>
      <c r="J765" s="2841"/>
      <c r="K765" s="2841"/>
      <c r="L765" s="2841"/>
      <c r="M765" s="2841"/>
      <c r="N765" s="2840"/>
      <c r="O765" s="2841"/>
      <c r="P765" s="2841"/>
      <c r="Q765" s="2841"/>
      <c r="R765" s="2841"/>
      <c r="S765" s="2840"/>
      <c r="T765" s="2842"/>
      <c r="U765" s="2842"/>
      <c r="V765" s="2842"/>
      <c r="W765" s="2840"/>
      <c r="X765" s="2840"/>
      <c r="Y765" s="2842"/>
      <c r="Z765" s="2842"/>
      <c r="AA765" s="2842"/>
      <c r="AB765" s="2840"/>
      <c r="AC765" s="2840"/>
      <c r="AD765" s="2842"/>
      <c r="AE765" s="2842"/>
      <c r="AF765" s="2842"/>
      <c r="AG765" s="2840"/>
      <c r="AH765" s="2843"/>
      <c r="AI765" s="6747"/>
    </row>
    <row r="766" ht="15.0" customHeight="1">
      <c r="A766" s="6738"/>
      <c r="B766" s="1845"/>
      <c r="C766" s="1846"/>
      <c r="D766" s="1847"/>
      <c r="E766" s="1848"/>
      <c r="F766" s="1848"/>
      <c r="G766" s="1848"/>
      <c r="H766" s="1848"/>
      <c r="I766" s="1847"/>
      <c r="J766" s="1848"/>
      <c r="K766" s="1848"/>
      <c r="L766" s="1848"/>
      <c r="M766" s="1848"/>
      <c r="N766" s="1847"/>
      <c r="O766" s="1848"/>
      <c r="P766" s="1848"/>
      <c r="Q766" s="1848"/>
      <c r="R766" s="1848"/>
      <c r="S766" s="1847"/>
      <c r="T766" s="1848"/>
      <c r="U766" s="1848"/>
      <c r="V766" s="1848"/>
      <c r="W766" s="1848"/>
      <c r="X766" s="1847"/>
      <c r="Y766" s="1848"/>
      <c r="Z766" s="1848"/>
      <c r="AA766" s="1848"/>
      <c r="AB766" s="1848"/>
      <c r="AC766" s="1847"/>
      <c r="AD766" s="1847"/>
      <c r="AE766" s="1847"/>
      <c r="AF766" s="1847"/>
      <c r="AG766" s="1847"/>
      <c r="AH766" s="1849"/>
      <c r="AI766" s="6747"/>
    </row>
    <row r="767">
      <c r="A767" s="6738"/>
      <c r="B767" s="7277"/>
      <c r="C767" s="7278"/>
      <c r="D767" s="7279"/>
      <c r="E767" s="1852" t="s">
        <v>2123</v>
      </c>
      <c r="F767" s="1853"/>
      <c r="G767" s="1853"/>
      <c r="H767" s="1853"/>
      <c r="I767" s="1853"/>
      <c r="J767" s="1853"/>
      <c r="K767" s="1853"/>
      <c r="L767" s="1853"/>
      <c r="M767" s="1853"/>
      <c r="N767" s="1853"/>
      <c r="O767" s="1853"/>
      <c r="P767" s="1853"/>
      <c r="Q767" s="1853"/>
      <c r="R767" s="1853"/>
      <c r="S767" s="1853"/>
      <c r="T767" s="1853"/>
      <c r="U767" s="1853"/>
      <c r="V767" s="1853"/>
      <c r="W767" s="1853"/>
      <c r="X767" s="1853"/>
      <c r="Y767" s="1853"/>
      <c r="Z767" s="1853"/>
      <c r="AA767" s="1853"/>
      <c r="AB767" s="1853"/>
      <c r="AC767" s="1853"/>
      <c r="AD767" s="1853"/>
      <c r="AE767" s="1853"/>
      <c r="AF767" s="1853"/>
      <c r="AG767" s="1853"/>
      <c r="AH767" s="1849"/>
      <c r="AI767" s="6747"/>
    </row>
    <row r="768">
      <c r="A768" s="6738"/>
      <c r="B768" s="1877"/>
      <c r="C768" s="7278"/>
      <c r="D768" s="7280"/>
      <c r="E768" s="7281" t="s">
        <v>2124</v>
      </c>
      <c r="F768" s="1853"/>
      <c r="G768" s="1853"/>
      <c r="H768" s="1853"/>
      <c r="I768" s="1853"/>
      <c r="J768" s="1853"/>
      <c r="K768" s="1853"/>
      <c r="L768" s="1853"/>
      <c r="M768" s="1853"/>
      <c r="N768" s="1853"/>
      <c r="O768" s="1853"/>
      <c r="P768" s="1853"/>
      <c r="Q768" s="1853"/>
      <c r="R768" s="1853"/>
      <c r="S768" s="1853"/>
      <c r="T768" s="1853"/>
      <c r="U768" s="1853"/>
      <c r="V768" s="1853"/>
      <c r="W768" s="1853"/>
      <c r="X768" s="1853"/>
      <c r="Y768" s="1853"/>
      <c r="Z768" s="1853"/>
      <c r="AA768" s="1853"/>
      <c r="AB768" s="1853"/>
      <c r="AC768" s="1853"/>
      <c r="AD768" s="1853"/>
      <c r="AE768" s="1853"/>
      <c r="AF768" s="1853"/>
      <c r="AG768" s="1854"/>
      <c r="AH768" s="7282"/>
      <c r="AI768" s="6747"/>
    </row>
    <row r="769" ht="96.75" customHeight="1">
      <c r="A769" s="6738"/>
      <c r="B769" s="1855"/>
      <c r="C769" s="1856" t="str">
        <f>IMAGE("https://i.ibb.co/JtgmCkX/Whitney.png")</f>
        <v/>
      </c>
      <c r="D769" s="1857"/>
      <c r="E769" s="1858" t="str">
        <f t="array" ref="E769">IFERROR(VLOOKUP(E770,Dex!$B$3:$G1219,3,FALSE),"")</f>
        <v/>
      </c>
      <c r="F769" s="1859"/>
      <c r="G769" s="1859"/>
      <c r="H769" s="1860"/>
      <c r="I769" s="1857"/>
      <c r="J769" s="1858" t="str">
        <f t="array" ref="J769">IFERROR(VLOOKUP(J770,Dex!$B$3:$G1219,3,FALSE),"")</f>
        <v/>
      </c>
      <c r="K769" s="1859"/>
      <c r="L769" s="1859"/>
      <c r="M769" s="1860"/>
      <c r="N769" s="1857"/>
      <c r="O769" s="1858" t="str">
        <f t="array" ref="O769">IFERROR(VLOOKUP(O770,Dex!$B$3:$G1219,3,FALSE),"")</f>
        <v/>
      </c>
      <c r="P769" s="1859"/>
      <c r="Q769" s="1859"/>
      <c r="R769" s="1860"/>
      <c r="S769" s="1857"/>
      <c r="T769" s="1858" t="str">
        <f t="array" ref="T769">IFERROR(VLOOKUP(T770,Dex!$B$3:$G1219,3,FALSE),"")</f>
        <v/>
      </c>
      <c r="U769" s="1859"/>
      <c r="V769" s="1859"/>
      <c r="W769" s="1860"/>
      <c r="X769" s="1857"/>
      <c r="Y769" s="1858" t="str">
        <f t="array" ref="Y769">IFERROR(VLOOKUP(Y770,Dex!$B$3:$G1219,3,FALSE),"")</f>
        <v/>
      </c>
      <c r="Z769" s="1859"/>
      <c r="AA769" s="1859"/>
      <c r="AB769" s="1860"/>
      <c r="AC769" s="1861"/>
      <c r="AD769" s="1858" t="str">
        <f t="array" ref="AD769">IFERROR(VLOOKUP(AD770,Dex!$B$3:$G1219,3,FALSE),"")</f>
        <v/>
      </c>
      <c r="AE769" s="1859"/>
      <c r="AF769" s="1859"/>
      <c r="AG769" s="1860"/>
      <c r="AH769" s="1862"/>
      <c r="AI769" s="6747"/>
    </row>
    <row r="770" ht="18.75" customHeight="1">
      <c r="A770" s="6738"/>
      <c r="B770" s="1863"/>
      <c r="C770" s="7283" t="s">
        <v>2125</v>
      </c>
      <c r="D770" s="1865"/>
      <c r="E770" s="1866" t="s">
        <v>2126</v>
      </c>
      <c r="F770" s="1867"/>
      <c r="G770" s="1867"/>
      <c r="H770" s="1868"/>
      <c r="I770" s="1865"/>
      <c r="J770" s="1866" t="s">
        <v>2127</v>
      </c>
      <c r="K770" s="1867"/>
      <c r="L770" s="1867"/>
      <c r="M770" s="1868"/>
      <c r="N770" s="1865"/>
      <c r="O770" s="1866" t="s">
        <v>1267</v>
      </c>
      <c r="P770" s="1867"/>
      <c r="Q770" s="1867"/>
      <c r="R770" s="1868"/>
      <c r="S770" s="1865"/>
      <c r="T770" s="1866" t="s">
        <v>2128</v>
      </c>
      <c r="U770" s="1867"/>
      <c r="V770" s="1867"/>
      <c r="W770" s="1868"/>
      <c r="X770" s="1865"/>
      <c r="Y770" s="1866" t="s">
        <v>2129</v>
      </c>
      <c r="Z770" s="1867"/>
      <c r="AA770" s="1867"/>
      <c r="AB770" s="1868"/>
      <c r="AD770" s="1866" t="s">
        <v>2130</v>
      </c>
      <c r="AE770" s="1867"/>
      <c r="AF770" s="1867"/>
      <c r="AG770" s="1868"/>
      <c r="AH770" s="1869"/>
      <c r="AI770" s="6747"/>
    </row>
    <row r="771">
      <c r="A771" s="6738"/>
      <c r="B771" s="1870"/>
      <c r="C771" s="556"/>
      <c r="D771" s="1871"/>
      <c r="E771" s="1872" t="s">
        <v>729</v>
      </c>
      <c r="F771" s="1873"/>
      <c r="G771" s="1873"/>
      <c r="H771" s="1874"/>
      <c r="I771" s="1875"/>
      <c r="J771" s="1872" t="s">
        <v>729</v>
      </c>
      <c r="K771" s="1873"/>
      <c r="L771" s="1873"/>
      <c r="M771" s="1874"/>
      <c r="N771" s="1875"/>
      <c r="O771" s="1872" t="s">
        <v>729</v>
      </c>
      <c r="P771" s="1873"/>
      <c r="Q771" s="1873"/>
      <c r="R771" s="1874"/>
      <c r="S771" s="1875"/>
      <c r="T771" s="1872" t="s">
        <v>729</v>
      </c>
      <c r="U771" s="1873"/>
      <c r="V771" s="1873"/>
      <c r="W771" s="1874"/>
      <c r="X771" s="1875"/>
      <c r="Y771" s="1872" t="s">
        <v>729</v>
      </c>
      <c r="Z771" s="1873"/>
      <c r="AA771" s="1873"/>
      <c r="AB771" s="1874"/>
      <c r="AD771" s="1872" t="s">
        <v>729</v>
      </c>
      <c r="AE771" s="1873"/>
      <c r="AF771" s="1873"/>
      <c r="AG771" s="1874"/>
      <c r="AH771" s="1876"/>
      <c r="AI771" s="6747"/>
    </row>
    <row r="772" ht="25.5" customHeight="1">
      <c r="A772" s="6738"/>
      <c r="B772" s="1877"/>
      <c r="C772" s="7284"/>
      <c r="D772" s="1886"/>
      <c r="E772" s="1879"/>
      <c r="F772" s="7285" t="str">
        <f t="array" ref="F772">IFERROR(VLOOKUP(E770,Dex!$B$3:$H1219,5,FALSE),"")</f>
        <v/>
      </c>
      <c r="G772" s="7286"/>
      <c r="H772" s="1882"/>
      <c r="I772" s="1883"/>
      <c r="J772" s="1879"/>
      <c r="K772" s="7285" t="str">
        <f t="array" ref="K772">IFERROR(VLOOKUP(J770,Dex!$B$3:$H1219,5,FALSE),"")</f>
        <v/>
      </c>
      <c r="L772" s="7286"/>
      <c r="M772" s="1882"/>
      <c r="N772" s="1883"/>
      <c r="O772" s="1879"/>
      <c r="P772" s="7285" t="str">
        <f t="array" ref="P772">IFERROR(VLOOKUP(O770,Dex!$B$3:$H1219,5,FALSE),"")</f>
        <v/>
      </c>
      <c r="Q772" s="7286"/>
      <c r="R772" s="1882"/>
      <c r="S772" s="1883"/>
      <c r="T772" s="1879"/>
      <c r="U772" s="1880" t="str">
        <f t="array" ref="U772">IFERROR(VLOOKUP(T770,Dex!$B$3:$H1219,5,FALSE),"")</f>
        <v/>
      </c>
      <c r="V772" s="1881" t="str">
        <f t="array" ref="V772">IFERROR(VLOOKUP(T770,Dex!$B$3:$H1219,7,FALSE),"")</f>
        <v/>
      </c>
      <c r="W772" s="1882"/>
      <c r="X772" s="1883"/>
      <c r="Y772" s="1879"/>
      <c r="Z772" s="1880" t="str">
        <f t="array" ref="Z772">IFERROR(VLOOKUP(Y770,Dex!$B$3:$H1219,5,FALSE),"")</f>
        <v/>
      </c>
      <c r="AA772" s="1881" t="str">
        <f t="array" ref="AA772">IFERROR(VLOOKUP(Y770,Dex!$B$3:$H1219,7,FALSE),"")</f>
        <v/>
      </c>
      <c r="AB772" s="1882"/>
      <c r="AD772" s="1879"/>
      <c r="AE772" s="1880" t="str">
        <f t="array" ref="AE772">IFERROR(VLOOKUP(AD770,Dex!$B$3:$H1219,5,FALSE),"")</f>
        <v/>
      </c>
      <c r="AF772" s="1881" t="str">
        <f t="array" ref="AF772">IFERROR(VLOOKUP(AD770,Dex!$B$3:$H1219,7,FALSE),"")</f>
        <v/>
      </c>
      <c r="AG772" s="1882"/>
      <c r="AH772" s="1884"/>
      <c r="AI772" s="6747"/>
    </row>
    <row r="773" ht="2.25" customHeight="1">
      <c r="A773" s="6738"/>
      <c r="B773" s="1877"/>
      <c r="C773" s="1897"/>
      <c r="D773" s="1886"/>
      <c r="E773" s="1887"/>
      <c r="F773" s="1888"/>
      <c r="G773" s="1888"/>
      <c r="H773" s="1889"/>
      <c r="I773" s="1883"/>
      <c r="J773" s="1887"/>
      <c r="K773" s="1888"/>
      <c r="L773" s="1888"/>
      <c r="M773" s="1889"/>
      <c r="N773" s="1883"/>
      <c r="O773" s="1887"/>
      <c r="P773" s="1888"/>
      <c r="Q773" s="1888"/>
      <c r="R773" s="1889"/>
      <c r="S773" s="1883"/>
      <c r="T773" s="1887"/>
      <c r="U773" s="1888"/>
      <c r="V773" s="1888"/>
      <c r="W773" s="1889"/>
      <c r="X773" s="1883"/>
      <c r="Y773" s="1887"/>
      <c r="Z773" s="1888"/>
      <c r="AA773" s="1888"/>
      <c r="AB773" s="1889"/>
      <c r="AD773" s="1887"/>
      <c r="AE773" s="1888"/>
      <c r="AF773" s="1888"/>
      <c r="AG773" s="1889"/>
      <c r="AH773" s="1884"/>
      <c r="AI773" s="6747"/>
    </row>
    <row r="774" ht="20.25" customHeight="1">
      <c r="A774" s="6738"/>
      <c r="B774" s="1877"/>
      <c r="C774" s="1900"/>
      <c r="D774" s="1886"/>
      <c r="E774" s="1891" t="s">
        <v>532</v>
      </c>
      <c r="F774" s="1892"/>
      <c r="G774" s="1892"/>
      <c r="H774" s="1893"/>
      <c r="I774" s="1894"/>
      <c r="J774" s="1891" t="s">
        <v>532</v>
      </c>
      <c r="K774" s="1892"/>
      <c r="L774" s="1892"/>
      <c r="M774" s="1893"/>
      <c r="N774" s="1894"/>
      <c r="O774" s="1891" t="s">
        <v>564</v>
      </c>
      <c r="P774" s="1892"/>
      <c r="Q774" s="1892"/>
      <c r="R774" s="1893"/>
      <c r="S774" s="1894"/>
      <c r="T774" s="1891" t="s">
        <v>564</v>
      </c>
      <c r="U774" s="1892"/>
      <c r="V774" s="1892"/>
      <c r="W774" s="1893"/>
      <c r="X774" s="1894"/>
      <c r="Y774" s="1891" t="s">
        <v>480</v>
      </c>
      <c r="Z774" s="1892"/>
      <c r="AA774" s="1892"/>
      <c r="AB774" s="1893"/>
      <c r="AD774" s="1891" t="s">
        <v>707</v>
      </c>
      <c r="AE774" s="1892"/>
      <c r="AF774" s="1892"/>
      <c r="AG774" s="1893"/>
      <c r="AH774" s="1862"/>
      <c r="AI774" s="6747"/>
    </row>
    <row r="775" ht="20.25" customHeight="1">
      <c r="A775" s="6738"/>
      <c r="B775" s="1877"/>
      <c r="C775" s="1895"/>
      <c r="D775" s="1886"/>
      <c r="E775" s="1896" t="s">
        <v>1468</v>
      </c>
      <c r="F775" s="1873"/>
      <c r="G775" s="1873"/>
      <c r="H775" s="1874"/>
      <c r="I775" s="1894"/>
      <c r="J775" s="1896" t="s">
        <v>1081</v>
      </c>
      <c r="K775" s="1873"/>
      <c r="L775" s="1873"/>
      <c r="M775" s="1874"/>
      <c r="N775" s="1894"/>
      <c r="O775" s="1896" t="s">
        <v>605</v>
      </c>
      <c r="P775" s="1873"/>
      <c r="Q775" s="1873"/>
      <c r="R775" s="1874"/>
      <c r="S775" s="1894"/>
      <c r="T775" s="1896" t="s">
        <v>2131</v>
      </c>
      <c r="U775" s="1873"/>
      <c r="V775" s="1873"/>
      <c r="W775" s="1874"/>
      <c r="X775" s="1894"/>
      <c r="Y775" s="1896" t="s">
        <v>856</v>
      </c>
      <c r="Z775" s="1873"/>
      <c r="AA775" s="1873"/>
      <c r="AB775" s="1874"/>
      <c r="AD775" s="7287" t="s">
        <v>2132</v>
      </c>
      <c r="AE775" s="1873"/>
      <c r="AF775" s="1873"/>
      <c r="AG775" s="1874"/>
      <c r="AH775" s="1862"/>
      <c r="AI775" s="6747"/>
    </row>
    <row r="776" ht="20.25" customHeight="1">
      <c r="A776" s="6738"/>
      <c r="B776" s="1877"/>
      <c r="C776" s="1897"/>
      <c r="D776" s="1886"/>
      <c r="E776" s="1898" t="s">
        <v>573</v>
      </c>
      <c r="F776" s="1853"/>
      <c r="G776" s="1854"/>
      <c r="H776" s="1899" t="str">
        <f>IMAGE("https://raw.githubusercontent.com/msikma/pokesprite/master/items/hold-item/focus-sash.png",3)</f>
        <v/>
      </c>
      <c r="I776" s="1883"/>
      <c r="J776" s="1898" t="s">
        <v>2133</v>
      </c>
      <c r="K776" s="1853"/>
      <c r="L776" s="1854"/>
      <c r="M776" s="1899" t="str">
        <f>IMAGE("https://raw.githubusercontent.com/msikma/pokesprite/master/items/berry/kasib.png",3)</f>
        <v/>
      </c>
      <c r="N776" s="1883"/>
      <c r="O776" s="1898" t="s">
        <v>1445</v>
      </c>
      <c r="P776" s="1853"/>
      <c r="Q776" s="1854"/>
      <c r="R776" s="1899" t="str">
        <f>IMAGE("https://raw.githubusercontent.com/msikma/pokesprite/master/items/hold-item/choice-scarf.png",3)</f>
        <v/>
      </c>
      <c r="S776" s="1883"/>
      <c r="T776" s="1898" t="s">
        <v>573</v>
      </c>
      <c r="U776" s="1853"/>
      <c r="V776" s="1854"/>
      <c r="W776" s="1899" t="str">
        <f>IMAGE("https://raw.githubusercontent.com/msikma/pokesprite/master/items/hold-item/focus-sash.png",3)</f>
        <v/>
      </c>
      <c r="X776" s="1883"/>
      <c r="Y776" s="1898" t="s">
        <v>713</v>
      </c>
      <c r="Z776" s="1853"/>
      <c r="AA776" s="1854"/>
      <c r="AB776" s="1899" t="str">
        <f>IMAGE("https://raw.githubusercontent.com/msikma/pokesprite/master/items/hold-item/assault-vest.png",3)</f>
        <v/>
      </c>
      <c r="AD776" s="1898" t="s">
        <v>2134</v>
      </c>
      <c r="AE776" s="1853"/>
      <c r="AF776" s="1854"/>
      <c r="AG776" s="1899" t="str">
        <f>IMAGE("https://raw.githubusercontent.com/msikma/pokesprite/master/items/mega-stone/galladite.png",3)</f>
        <v/>
      </c>
      <c r="AH776" s="1884"/>
      <c r="AI776" s="6747"/>
    </row>
    <row r="777" ht="20.25" customHeight="1">
      <c r="A777" s="6738"/>
      <c r="B777" s="1877"/>
      <c r="C777" s="1900"/>
      <c r="D777" s="1886"/>
      <c r="E777" s="1891" t="s">
        <v>511</v>
      </c>
      <c r="F777" s="1892"/>
      <c r="G777" s="1892"/>
      <c r="H777" s="1901" t="str">
        <f>IMAGE("https://raw.githubusercontent.com/msikma/pokesprite/master/misc/types/gen8/normal.png",4,20,20)</f>
        <v/>
      </c>
      <c r="I777" s="1883"/>
      <c r="J777" s="1891" t="s">
        <v>1040</v>
      </c>
      <c r="K777" s="1892"/>
      <c r="L777" s="1892"/>
      <c r="M777" s="1901" t="str">
        <f>IMAGE("https://raw.githubusercontent.com/msikma/pokesprite/master/misc/types/gen8/normal.png",4,20,20)</f>
        <v/>
      </c>
      <c r="N777" s="1883"/>
      <c r="O777" s="1891" t="s">
        <v>610</v>
      </c>
      <c r="P777" s="1892"/>
      <c r="Q777" s="1892"/>
      <c r="R777" s="1901" t="str">
        <f>IMAGE("https://raw.githubusercontent.com/msikma/pokesprite/master/misc/types/gen8/normal.png",4,20,20)</f>
        <v/>
      </c>
      <c r="S777" s="1883"/>
      <c r="T777" s="1891" t="s">
        <v>647</v>
      </c>
      <c r="U777" s="1892"/>
      <c r="V777" s="1892"/>
      <c r="W777" s="1901" t="str">
        <f>IMAGE("https://raw.githubusercontent.com/msikma/pokesprite/master/misc/types/gen8/ghost.png",4,20,20)</f>
        <v/>
      </c>
      <c r="X777" s="1883"/>
      <c r="Y777" s="1891" t="s">
        <v>511</v>
      </c>
      <c r="Z777" s="1892"/>
      <c r="AA777" s="1892"/>
      <c r="AB777" s="1901" t="str">
        <f>IMAGE("https://raw.githubusercontent.com/msikma/pokesprite/master/misc/types/gen8/normal.png",4,20,20)</f>
        <v/>
      </c>
      <c r="AD777" s="1891" t="s">
        <v>208</v>
      </c>
      <c r="AE777" s="1892"/>
      <c r="AF777" s="1892"/>
      <c r="AG777" s="1901" t="str">
        <f>IMAGE("https://raw.githubusercontent.com/msikma/pokesprite/master/misc/types/gen8/ghost.png",4,20,20)</f>
        <v/>
      </c>
      <c r="AH777" s="1884"/>
      <c r="AI777" s="6747"/>
    </row>
    <row r="778" ht="20.25" customHeight="1">
      <c r="A778" s="6738"/>
      <c r="B778" s="1877"/>
      <c r="C778" s="1890"/>
      <c r="D778" s="1886"/>
      <c r="E778" s="1896" t="s">
        <v>583</v>
      </c>
      <c r="F778" s="1873"/>
      <c r="G778" s="1873"/>
      <c r="H778" s="1902" t="str">
        <f>IMAGE("https://raw.githubusercontent.com/msikma/pokesprite/master/misc/types/gen8/fighting.png",4,20,20)</f>
        <v/>
      </c>
      <c r="I778" s="1883"/>
      <c r="J778" s="1896" t="s">
        <v>611</v>
      </c>
      <c r="K778" s="1873"/>
      <c r="L778" s="1873"/>
      <c r="M778" s="1902" t="str">
        <f>IMAGE("https://raw.githubusercontent.com/msikma/pokesprite/master/misc/types/gen8/electric.png",4,20,20)</f>
        <v/>
      </c>
      <c r="N778" s="1883"/>
      <c r="O778" s="1896" t="s">
        <v>1165</v>
      </c>
      <c r="P778" s="1873"/>
      <c r="Q778" s="1873"/>
      <c r="R778" s="1874"/>
      <c r="S778" s="1894"/>
      <c r="T778" s="1896" t="s">
        <v>743</v>
      </c>
      <c r="U778" s="1873"/>
      <c r="V778" s="1873"/>
      <c r="W778" s="1902" t="str">
        <f>IMAGE("https://raw.githubusercontent.com/msikma/pokesprite/master/misc/types/gen8/normal.png",4,20,20)</f>
        <v/>
      </c>
      <c r="X778" s="1883"/>
      <c r="Y778" s="1896" t="s">
        <v>549</v>
      </c>
      <c r="Z778" s="1873"/>
      <c r="AA778" s="1873"/>
      <c r="AB778" s="1902" t="str">
        <f>IMAGE("https://raw.githubusercontent.com/msikma/pokesprite/master/misc/types/gen8/ground.png",4,20,20)</f>
        <v/>
      </c>
      <c r="AD778" s="1896" t="s">
        <v>738</v>
      </c>
      <c r="AE778" s="1873"/>
      <c r="AF778" s="1873"/>
      <c r="AG778" s="1902" t="str">
        <f>IMAGE("https://raw.githubusercontent.com/msikma/pokesprite/master/misc/types/gen8/psychic.png",4,20,20)</f>
        <v/>
      </c>
      <c r="AH778" s="1884"/>
      <c r="AI778" s="6747"/>
    </row>
    <row r="779" ht="20.25" customHeight="1">
      <c r="A779" s="6738"/>
      <c r="B779" s="1877"/>
      <c r="C779" s="1890"/>
      <c r="D779" s="1886"/>
      <c r="E779" s="1896" t="s">
        <v>806</v>
      </c>
      <c r="F779" s="1873"/>
      <c r="G779" s="1873"/>
      <c r="H779" s="1902" t="str">
        <f t="shared" ref="H779:H780" si="30">IMAGE("https://raw.githubusercontent.com/msikma/pokesprite/master/misc/types/gen8/normal.png",4,20,20)</f>
        <v/>
      </c>
      <c r="I779" s="1883"/>
      <c r="J779" s="1896" t="s">
        <v>191</v>
      </c>
      <c r="K779" s="1873"/>
      <c r="L779" s="1873"/>
      <c r="M779" s="1902" t="str">
        <f>IMAGE("https://raw.githubusercontent.com/msikma/pokesprite/master/misc/types/gen8/rock.png",4,20,20)</f>
        <v/>
      </c>
      <c r="N779" s="1883"/>
      <c r="O779" s="1896" t="s">
        <v>1165</v>
      </c>
      <c r="P779" s="1873"/>
      <c r="Q779" s="1873"/>
      <c r="R779" s="1874"/>
      <c r="S779" s="1894"/>
      <c r="T779" s="1896" t="s">
        <v>619</v>
      </c>
      <c r="U779" s="1873"/>
      <c r="V779" s="1873"/>
      <c r="W779" s="1902" t="str">
        <f>IMAGE("https://raw.githubusercontent.com/msikma/pokesprite/master/misc/types/gen8/fire.png",4,20,20)</f>
        <v/>
      </c>
      <c r="X779" s="1883"/>
      <c r="Y779" s="1896" t="s">
        <v>554</v>
      </c>
      <c r="Z779" s="1873"/>
      <c r="AA779" s="1873"/>
      <c r="AB779" s="1902" t="str">
        <f>IMAGE("https://raw.githubusercontent.com/msikma/pokesprite/master/misc/types/gen8/dark.png",4,20,20)</f>
        <v/>
      </c>
      <c r="AD779" s="1896" t="s">
        <v>698</v>
      </c>
      <c r="AE779" s="1873"/>
      <c r="AF779" s="1873"/>
      <c r="AG779" s="1902" t="str">
        <f t="shared" ref="AG779:AG780" si="31">IMAGE("https://raw.githubusercontent.com/msikma/pokesprite/master/misc/types/gen8/normal.png",4,20,20)</f>
        <v/>
      </c>
      <c r="AH779" s="1884"/>
      <c r="AI779" s="6747"/>
    </row>
    <row r="780" ht="21.0" customHeight="1">
      <c r="A780" s="6738"/>
      <c r="B780" s="1877"/>
      <c r="C780" s="1890"/>
      <c r="D780" s="1886"/>
      <c r="E780" s="1903" t="s">
        <v>777</v>
      </c>
      <c r="F780" s="1904"/>
      <c r="G780" s="1904"/>
      <c r="H780" s="1905" t="str">
        <f t="shared" si="30"/>
        <v/>
      </c>
      <c r="I780" s="1883"/>
      <c r="J780" s="1903" t="s">
        <v>1394</v>
      </c>
      <c r="K780" s="1904"/>
      <c r="L780" s="1904"/>
      <c r="M780" s="1905" t="str">
        <f>IMAGE("https://raw.githubusercontent.com/msikma/pokesprite/master/misc/types/gen8/normal.png",4,20,20)</f>
        <v/>
      </c>
      <c r="N780" s="1883"/>
      <c r="O780" s="1903" t="s">
        <v>1165</v>
      </c>
      <c r="P780" s="1904"/>
      <c r="Q780" s="1904"/>
      <c r="R780" s="7288"/>
      <c r="S780" s="1894"/>
      <c r="T780" s="1903" t="s">
        <v>612</v>
      </c>
      <c r="U780" s="1904"/>
      <c r="V780" s="1904"/>
      <c r="W780" s="1905" t="str">
        <f>IMAGE("https://raw.githubusercontent.com/msikma/pokesprite/master/misc/types/gen8/bug.png",4,20,20)</f>
        <v/>
      </c>
      <c r="X780" s="1883"/>
      <c r="Y780" s="1903" t="s">
        <v>1682</v>
      </c>
      <c r="Z780" s="1904"/>
      <c r="AA780" s="1904"/>
      <c r="AB780" s="1905" t="str">
        <f>IMAGE("https://raw.githubusercontent.com/msikma/pokesprite/master/misc/types/gen8/ghost.png",4,20,20)</f>
        <v/>
      </c>
      <c r="AC780" s="1867"/>
      <c r="AD780" s="1903" t="s">
        <v>1040</v>
      </c>
      <c r="AE780" s="1904"/>
      <c r="AF780" s="1904"/>
      <c r="AG780" s="1905" t="str">
        <f t="shared" si="31"/>
        <v/>
      </c>
      <c r="AH780" s="1884"/>
      <c r="AI780" s="6747"/>
    </row>
    <row r="781" ht="3.0" customHeight="1">
      <c r="A781" s="6738"/>
      <c r="B781" s="1906"/>
      <c r="C781" s="1851"/>
      <c r="D781" s="1907"/>
      <c r="E781" s="1908"/>
      <c r="F781" s="1908"/>
      <c r="G781" s="1908"/>
      <c r="H781" s="1908"/>
      <c r="I781" s="1907"/>
      <c r="J781" s="1908"/>
      <c r="K781" s="1908"/>
      <c r="L781" s="1908"/>
      <c r="M781" s="1908"/>
      <c r="N781" s="1907"/>
      <c r="O781" s="1908"/>
      <c r="P781" s="1908"/>
      <c r="Q781" s="1908"/>
      <c r="R781" s="1908"/>
      <c r="S781" s="1907"/>
      <c r="T781" s="1908"/>
      <c r="U781" s="1908"/>
      <c r="V781" s="1908"/>
      <c r="W781" s="1908"/>
      <c r="X781" s="1907"/>
      <c r="Y781" s="1908"/>
      <c r="Z781" s="1909"/>
      <c r="AA781" s="1909"/>
      <c r="AB781" s="1910"/>
      <c r="AC781" s="1911"/>
      <c r="AD781" s="1908"/>
      <c r="AE781" s="1909"/>
      <c r="AF781" s="1909"/>
      <c r="AG781" s="1910"/>
      <c r="AH781" s="1912"/>
      <c r="AI781" s="6747"/>
    </row>
    <row r="782" ht="16.5" customHeight="1">
      <c r="A782" s="6738"/>
      <c r="B782" s="1850"/>
      <c r="C782" s="1851"/>
      <c r="D782" s="1913"/>
      <c r="E782" s="1914" t="s">
        <v>512</v>
      </c>
      <c r="F782" s="606"/>
      <c r="G782" s="606"/>
      <c r="H782" s="607"/>
      <c r="I782" s="1913"/>
      <c r="J782" s="1914" t="s">
        <v>512</v>
      </c>
      <c r="K782" s="606"/>
      <c r="L782" s="606"/>
      <c r="M782" s="607"/>
      <c r="N782" s="1913"/>
      <c r="O782" s="1914" t="s">
        <v>512</v>
      </c>
      <c r="P782" s="606"/>
      <c r="Q782" s="606"/>
      <c r="R782" s="607"/>
      <c r="S782" s="1913"/>
      <c r="T782" s="1914" t="s">
        <v>512</v>
      </c>
      <c r="U782" s="606"/>
      <c r="V782" s="606"/>
      <c r="W782" s="607"/>
      <c r="X782" s="1913"/>
      <c r="Y782" s="1914" t="s">
        <v>512</v>
      </c>
      <c r="Z782" s="606"/>
      <c r="AA782" s="606"/>
      <c r="AB782" s="607"/>
      <c r="AC782" s="1915"/>
      <c r="AD782" s="1914" t="s">
        <v>512</v>
      </c>
      <c r="AE782" s="606"/>
      <c r="AF782" s="606"/>
      <c r="AG782" s="607"/>
      <c r="AH782" s="1916"/>
      <c r="AI782" s="6747"/>
    </row>
    <row r="783" ht="16.5" customHeight="1">
      <c r="A783" s="6738"/>
      <c r="B783" s="1850"/>
      <c r="C783" s="1851"/>
      <c r="D783" s="1913"/>
      <c r="E783" s="1917" t="s">
        <v>513</v>
      </c>
      <c r="F783" s="1918">
        <f t="array" ref="F783">IFERROR(VLOOKUP(E770,Dex!$B$3:$N1219,8,FALSE),"")</f>
        <v>73</v>
      </c>
      <c r="G783" s="1919" t="str">
        <f t="array" ref="G783">IFERROR(VLOOKUP(F783,Dex!$P$22:$Q$276,2,FALSE),"")</f>
        <v/>
      </c>
      <c r="H783" s="1920"/>
      <c r="I783" s="1913"/>
      <c r="J783" s="1917" t="s">
        <v>513</v>
      </c>
      <c r="K783" s="1918">
        <f t="array" ref="K783">IFERROR(VLOOKUP(J770,Dex!$B$3:$N1219,8,FALSE),"")</f>
        <v>95</v>
      </c>
      <c r="L783" s="1919" t="str">
        <f t="array" ref="L783">IFERROR(VLOOKUP(K783,Dex!$P$22:$Q$276,2,FALSE),"")</f>
        <v/>
      </c>
      <c r="M783" s="1920"/>
      <c r="N783" s="1913"/>
      <c r="O783" s="1917" t="s">
        <v>513</v>
      </c>
      <c r="P783" s="1918">
        <f t="array" ref="P783">IFERROR(VLOOKUP(O770,Dex!$B$3:$N1219,8,FALSE),"")</f>
        <v>104</v>
      </c>
      <c r="Q783" s="1919" t="str">
        <f t="array" ref="Q783">IFERROR(VLOOKUP(P783,Dex!$P$22:$Q$276,2,FALSE),"")</f>
        <v/>
      </c>
      <c r="R783" s="1920"/>
      <c r="S783" s="1913"/>
      <c r="T783" s="1917" t="s">
        <v>513</v>
      </c>
      <c r="U783" s="1918">
        <f t="array" ref="U783">IFERROR(VLOOKUP(T770,Dex!$B$3:$N1219,8,FALSE),"")</f>
        <v>55</v>
      </c>
      <c r="V783" s="1919" t="str">
        <f t="array" ref="V783">IFERROR(VLOOKUP(U783,Dex!$P$22:$Q$276,2,FALSE),"")</f>
        <v/>
      </c>
      <c r="W783" s="1920"/>
      <c r="X783" s="1913"/>
      <c r="Y783" s="1917" t="s">
        <v>513</v>
      </c>
      <c r="Z783" s="1918">
        <f t="array" ref="Z783">IFERROR(VLOOKUP(Y770,Dex!$B$3:$N1219,8,FALSE),"")</f>
        <v>130</v>
      </c>
      <c r="AA783" s="1919" t="str">
        <f t="array" ref="AA783">IFERROR(VLOOKUP(Z783,Dex!$P$22:$Q$276,2,FALSE),"")</f>
        <v/>
      </c>
      <c r="AB783" s="1920"/>
      <c r="AC783" s="1921"/>
      <c r="AD783" s="1917" t="s">
        <v>513</v>
      </c>
      <c r="AE783" s="1918">
        <f t="array" ref="AE783">IFERROR(VLOOKUP(AD770,Dex!$B$3:$N1219,8,FALSE),"")</f>
        <v>160</v>
      </c>
      <c r="AF783" s="1919" t="str">
        <f t="array" ref="AF783">IFERROR(VLOOKUP(AE783,Dex!$P$22:$Q$276,2,FALSE),"")</f>
        <v/>
      </c>
      <c r="AG783" s="1920"/>
      <c r="AH783" s="1916"/>
      <c r="AI783" s="6747"/>
    </row>
    <row r="784" ht="16.5" customHeight="1">
      <c r="A784" s="6738"/>
      <c r="B784" s="1850"/>
      <c r="C784" s="1851"/>
      <c r="D784" s="1913"/>
      <c r="E784" s="1922" t="s">
        <v>514</v>
      </c>
      <c r="F784" s="1923">
        <f t="array" ref="F784">IFERROR(VLOOKUP(E770,Dex!$B$3:$N1219,9,FALSE),"")</f>
        <v>115</v>
      </c>
      <c r="G784" s="1924" t="str">
        <f t="array" ref="G784">IFERROR(VLOOKUP(F784,Dex!$P$22:$Q$276,2,FALSE),"")</f>
        <v/>
      </c>
      <c r="H784" s="1925"/>
      <c r="I784" s="1913"/>
      <c r="J784" s="1922" t="s">
        <v>514</v>
      </c>
      <c r="K784" s="1923">
        <f t="array" ref="K784">IFERROR(VLOOKUP(J770,Dex!$B$3:$N1219,9,FALSE),"")</f>
        <v>85</v>
      </c>
      <c r="L784" s="1924" t="str">
        <f t="array" ref="L784">IFERROR(VLOOKUP(K784,Dex!$P$22:$Q$276,2,FALSE),"")</f>
        <v/>
      </c>
      <c r="M784" s="1925"/>
      <c r="N784" s="1913"/>
      <c r="O784" s="1922" t="s">
        <v>514</v>
      </c>
      <c r="P784" s="1923">
        <f t="array" ref="P784">IFERROR(VLOOKUP(O770,Dex!$B$3:$N1219,9,FALSE),"")</f>
        <v>81</v>
      </c>
      <c r="Q784" s="1924" t="str">
        <f t="array" ref="Q784">IFERROR(VLOOKUP(P784,Dex!$P$22:$Q$276,2,FALSE),"")</f>
        <v/>
      </c>
      <c r="R784" s="1925"/>
      <c r="S784" s="1913"/>
      <c r="T784" s="1922" t="s">
        <v>514</v>
      </c>
      <c r="U784" s="1923">
        <f t="array" ref="U784">IFERROR(VLOOKUP(T770,Dex!$B$3:$N1219,9,FALSE),"")</f>
        <v>100</v>
      </c>
      <c r="V784" s="1924" t="str">
        <f t="array" ref="V784">IFERROR(VLOOKUP(U784,Dex!$P$22:$Q$276,2,FALSE),"")</f>
        <v/>
      </c>
      <c r="W784" s="1925"/>
      <c r="X784" s="1913"/>
      <c r="Y784" s="1922" t="s">
        <v>514</v>
      </c>
      <c r="Z784" s="1923">
        <f t="array" ref="Z784">IFERROR(VLOOKUP(Y770,Dex!$B$3:$N1219,9,FALSE),"")</f>
        <v>140</v>
      </c>
      <c r="AA784" s="1924" t="str">
        <f t="array" ref="AA784">IFERROR(VLOOKUP(Z784,Dex!$P$22:$Q$276,2,FALSE),"")</f>
        <v/>
      </c>
      <c r="AB784" s="1925"/>
      <c r="AC784" s="1921"/>
      <c r="AD784" s="1922" t="s">
        <v>514</v>
      </c>
      <c r="AE784" s="1923">
        <f t="array" ref="AE784">IFERROR(VLOOKUP(AD770,Dex!$B$3:$N1219,9,FALSE),"")</f>
        <v>160</v>
      </c>
      <c r="AF784" s="1924" t="str">
        <f t="array" ref="AF784">IFERROR(VLOOKUP(AE784,Dex!$P$22:$Q$276,2,FALSE),"")</f>
        <v/>
      </c>
      <c r="AG784" s="1925"/>
      <c r="AH784" s="1916"/>
      <c r="AI784" s="6747"/>
    </row>
    <row r="785" ht="16.5" customHeight="1">
      <c r="A785" s="6738"/>
      <c r="B785" s="1850"/>
      <c r="C785" s="1851"/>
      <c r="D785" s="1913"/>
      <c r="E785" s="1922" t="s">
        <v>515</v>
      </c>
      <c r="F785" s="1923">
        <f t="array" ref="F785">IFERROR(VLOOKUP(E770,Dex!$B$3:$N1219,10,FALSE),"")</f>
        <v>70</v>
      </c>
      <c r="G785" s="1924" t="str">
        <f t="array" ref="G785">IFERROR(VLOOKUP(F785,Dex!$P$22:$Q$276,2,FALSE),"")</f>
        <v/>
      </c>
      <c r="H785" s="1925"/>
      <c r="I785" s="1913"/>
      <c r="J785" s="1922" t="s">
        <v>515</v>
      </c>
      <c r="K785" s="1923">
        <f t="array" ref="K785">IFERROR(VLOOKUP(J770,Dex!$B$3:$N1219,10,FALSE),"")</f>
        <v>105</v>
      </c>
      <c r="L785" s="1924" t="str">
        <f t="array" ref="L785">IFERROR(VLOOKUP(K785,Dex!$P$22:$Q$276,2,FALSE),"")</f>
        <v/>
      </c>
      <c r="M785" s="1925"/>
      <c r="N785" s="1913"/>
      <c r="O785" s="1922" t="s">
        <v>515</v>
      </c>
      <c r="P785" s="1923">
        <f t="array" ref="P785">IFERROR(VLOOKUP(O770,Dex!$B$3:$N1219,10,FALSE),"")</f>
        <v>63</v>
      </c>
      <c r="Q785" s="1924" t="str">
        <f t="array" ref="Q785">IFERROR(VLOOKUP(P785,Dex!$P$22:$Q$276,2,FALSE),"")</f>
        <v/>
      </c>
      <c r="R785" s="1925"/>
      <c r="S785" s="1913"/>
      <c r="T785" s="1922" t="s">
        <v>515</v>
      </c>
      <c r="U785" s="1923">
        <f t="array" ref="U785">IFERROR(VLOOKUP(T770,Dex!$B$3:$N1219,10,FALSE),"")</f>
        <v>60</v>
      </c>
      <c r="V785" s="1924" t="str">
        <f t="array" ref="V785">IFERROR(VLOOKUP(U785,Dex!$P$22:$Q$276,2,FALSE),"")</f>
        <v/>
      </c>
      <c r="W785" s="1925"/>
      <c r="X785" s="1913"/>
      <c r="Y785" s="1922" t="s">
        <v>515</v>
      </c>
      <c r="Z785" s="1923">
        <f t="array" ref="Z785">IFERROR(VLOOKUP(Y770,Dex!$B$3:$N1219,10,FALSE),"")</f>
        <v>105</v>
      </c>
      <c r="AA785" s="1924" t="str">
        <f t="array" ref="AA785">IFERROR(VLOOKUP(Z785,Dex!$P$22:$Q$276,2,FALSE),"")</f>
        <v/>
      </c>
      <c r="AB785" s="1925"/>
      <c r="AC785" s="1921"/>
      <c r="AD785" s="1922" t="s">
        <v>515</v>
      </c>
      <c r="AE785" s="1923">
        <f t="array" ref="AE785">IFERROR(VLOOKUP(AD770,Dex!$B$3:$N1219,10,FALSE),"")</f>
        <v>85</v>
      </c>
      <c r="AF785" s="1924" t="str">
        <f t="array" ref="AF785">IFERROR(VLOOKUP(AE785,Dex!$P$22:$Q$276,2,FALSE),"")</f>
        <v/>
      </c>
      <c r="AG785" s="1925"/>
      <c r="AH785" s="1916"/>
      <c r="AI785" s="6747"/>
    </row>
    <row r="786" ht="16.5" customHeight="1">
      <c r="A786" s="6738"/>
      <c r="B786" s="1850"/>
      <c r="C786" s="1851"/>
      <c r="D786" s="1913"/>
      <c r="E786" s="1922" t="s">
        <v>516</v>
      </c>
      <c r="F786" s="1923">
        <f t="array" ref="F786">IFERROR(VLOOKUP(E770,Dex!$B$3:$N1219,11,FALSE),"")</f>
        <v>60</v>
      </c>
      <c r="G786" s="1924" t="str">
        <f t="array" ref="G786">IFERROR(VLOOKUP(F786,Dex!$P$22:$Q$276,2,FALSE),"")</f>
        <v/>
      </c>
      <c r="H786" s="1925"/>
      <c r="I786" s="1913"/>
      <c r="J786" s="1922" t="s">
        <v>516</v>
      </c>
      <c r="K786" s="1923">
        <f t="array" ref="K786">IFERROR(VLOOKUP(J770,Dex!$B$3:$N1219,11,FALSE),"")</f>
        <v>40</v>
      </c>
      <c r="L786" s="1924" t="str">
        <f t="array" ref="L786">IFERROR(VLOOKUP(K786,Dex!$P$22:$Q$276,2,FALSE),"")</f>
        <v/>
      </c>
      <c r="M786" s="1925"/>
      <c r="N786" s="1913"/>
      <c r="O786" s="1922" t="s">
        <v>516</v>
      </c>
      <c r="P786" s="1923">
        <f t="array" ref="P786">IFERROR(VLOOKUP(O770,Dex!$B$3:$N1219,11,FALSE),"")</f>
        <v>91</v>
      </c>
      <c r="Q786" s="1924" t="str">
        <f t="array" ref="Q786">IFERROR(VLOOKUP(P786,Dex!$P$22:$Q$276,2,FALSE),"")</f>
        <v/>
      </c>
      <c r="R786" s="1925"/>
      <c r="S786" s="1913"/>
      <c r="T786" s="1922" t="s">
        <v>516</v>
      </c>
      <c r="U786" s="1923">
        <f t="array" ref="U786">IFERROR(VLOOKUP(T770,Dex!$B$3:$N1219,11,FALSE),"")</f>
        <v>125</v>
      </c>
      <c r="V786" s="1924" t="str">
        <f t="array" ref="V786">IFERROR(VLOOKUP(U786,Dex!$P$22:$Q$276,2,FALSE),"")</f>
        <v/>
      </c>
      <c r="W786" s="1925"/>
      <c r="X786" s="1913"/>
      <c r="Y786" s="1922" t="s">
        <v>516</v>
      </c>
      <c r="Z786" s="1923">
        <f t="array" ref="Z786">IFERROR(VLOOKUP(Y770,Dex!$B$3:$N1219,11,FALSE),"")</f>
        <v>45</v>
      </c>
      <c r="AA786" s="1924" t="str">
        <f t="array" ref="AA786">IFERROR(VLOOKUP(Z786,Dex!$P$22:$Q$276,2,FALSE),"")</f>
        <v/>
      </c>
      <c r="AB786" s="1925"/>
      <c r="AC786" s="1921"/>
      <c r="AD786" s="1922" t="s">
        <v>516</v>
      </c>
      <c r="AE786" s="1923">
        <f t="array" ref="AE786">IFERROR(VLOOKUP(AD770,Dex!$B$3:$N1219,11,FALSE),"")</f>
        <v>80</v>
      </c>
      <c r="AF786" s="1924" t="str">
        <f t="array" ref="AF786">IFERROR(VLOOKUP(AE786,Dex!$P$22:$Q$276,2,FALSE),"")</f>
        <v/>
      </c>
      <c r="AG786" s="1925"/>
      <c r="AH786" s="1916"/>
      <c r="AI786" s="6747"/>
    </row>
    <row r="787" ht="16.5" customHeight="1">
      <c r="A787" s="6738"/>
      <c r="B787" s="1850"/>
      <c r="C787" s="1851"/>
      <c r="D787" s="1913"/>
      <c r="E787" s="1922" t="s">
        <v>517</v>
      </c>
      <c r="F787" s="1923">
        <f t="array" ref="F787">IFERROR(VLOOKUP(E770,Dex!$B$3:$N1219,12,FALSE),"")</f>
        <v>70</v>
      </c>
      <c r="G787" s="1924" t="str">
        <f t="array" ref="G787">IFERROR(VLOOKUP(F787,Dex!$P$22:$Q$276,2,FALSE),"")</f>
        <v/>
      </c>
      <c r="H787" s="1925"/>
      <c r="I787" s="1913"/>
      <c r="J787" s="1922" t="s">
        <v>517</v>
      </c>
      <c r="K787" s="1923">
        <f t="array" ref="K787">IFERROR(VLOOKUP(J770,Dex!$B$3:$N1219,12,FALSE),"")</f>
        <v>70</v>
      </c>
      <c r="L787" s="1924" t="str">
        <f t="array" ref="L787">IFERROR(VLOOKUP(K787,Dex!$P$22:$Q$276,2,FALSE),"")</f>
        <v/>
      </c>
      <c r="M787" s="1925"/>
      <c r="N787" s="1913"/>
      <c r="O787" s="1922" t="s">
        <v>517</v>
      </c>
      <c r="P787" s="1923">
        <f t="array" ref="P787">IFERROR(VLOOKUP(O770,Dex!$B$3:$N1219,12,FALSE),"")</f>
        <v>73</v>
      </c>
      <c r="Q787" s="1924" t="str">
        <f t="array" ref="Q787">IFERROR(VLOOKUP(P787,Dex!$P$22:$Q$276,2,FALSE),"")</f>
        <v/>
      </c>
      <c r="R787" s="1925"/>
      <c r="S787" s="1913"/>
      <c r="T787" s="1922" t="s">
        <v>517</v>
      </c>
      <c r="U787" s="1923">
        <f t="array" ref="U787">IFERROR(VLOOKUP(T770,Dex!$B$3:$N1219,12,FALSE),"")</f>
        <v>60</v>
      </c>
      <c r="V787" s="1924" t="str">
        <f t="array" ref="V787">IFERROR(VLOOKUP(U787,Dex!$P$22:$Q$276,2,FALSE),"")</f>
        <v/>
      </c>
      <c r="W787" s="1925"/>
      <c r="X787" s="1913"/>
      <c r="Y787" s="1922" t="s">
        <v>517</v>
      </c>
      <c r="Z787" s="1923">
        <f t="array" ref="Z787">IFERROR(VLOOKUP(Y770,Dex!$B$3:$N1219,12,FALSE),"")</f>
        <v>80</v>
      </c>
      <c r="AA787" s="1924" t="str">
        <f t="array" ref="AA787">IFERROR(VLOOKUP(Z787,Dex!$P$22:$Q$276,2,FALSE),"")</f>
        <v/>
      </c>
      <c r="AB787" s="1925"/>
      <c r="AC787" s="1921"/>
      <c r="AD787" s="1922" t="s">
        <v>517</v>
      </c>
      <c r="AE787" s="1923">
        <f t="array" ref="AE787">IFERROR(VLOOKUP(AD770,Dex!$B$3:$N1219,12,FALSE),"")</f>
        <v>125</v>
      </c>
      <c r="AF787" s="1924" t="str">
        <f t="array" ref="AF787">IFERROR(VLOOKUP(AE787,Dex!$P$22:$Q$276,2,FALSE),"")</f>
        <v/>
      </c>
      <c r="AG787" s="1925"/>
      <c r="AH787" s="1916"/>
      <c r="AI787" s="6747"/>
    </row>
    <row r="788" ht="15.75" customHeight="1">
      <c r="A788" s="6738"/>
      <c r="B788" s="1850"/>
      <c r="C788" s="1851"/>
      <c r="D788" s="1913"/>
      <c r="E788" s="1926" t="s">
        <v>518</v>
      </c>
      <c r="F788" s="1927">
        <f t="array" ref="F788">IFERROR(VLOOKUP(E770,Dex!$B$3:$N1219,13,FALSE),"")</f>
        <v>100</v>
      </c>
      <c r="G788" s="1928" t="str">
        <f t="array" ref="G788">IFERROR(VLOOKUP(F788,Dex!$P$22:$Q$276,2,FALSE),"")</f>
        <v/>
      </c>
      <c r="H788" s="1929"/>
      <c r="I788" s="1913"/>
      <c r="J788" s="1926" t="s">
        <v>518</v>
      </c>
      <c r="K788" s="1927">
        <f t="array" ref="K788">IFERROR(VLOOKUP(J770,Dex!$B$3:$N1219,13,FALSE),"")</f>
        <v>100</v>
      </c>
      <c r="L788" s="1928" t="str">
        <f t="array" ref="L788">IFERROR(VLOOKUP(K788,Dex!$P$22:$Q$276,2,FALSE),"")</f>
        <v/>
      </c>
      <c r="M788" s="1929"/>
      <c r="N788" s="1913"/>
      <c r="O788" s="1926" t="s">
        <v>518</v>
      </c>
      <c r="P788" s="1927">
        <f t="array" ref="P788">IFERROR(VLOOKUP(O770,Dex!$B$3:$N1219,13,FALSE),"")</f>
        <v>73</v>
      </c>
      <c r="Q788" s="1928" t="str">
        <f t="array" ref="Q788">IFERROR(VLOOKUP(P788,Dex!$P$22:$Q$276,2,FALSE),"")</f>
        <v/>
      </c>
      <c r="R788" s="1929"/>
      <c r="S788" s="1913"/>
      <c r="T788" s="1926" t="s">
        <v>518</v>
      </c>
      <c r="U788" s="1927">
        <f t="array" ref="U788">IFERROR(VLOOKUP(T770,Dex!$B$3:$N1219,13,FALSE),"")</f>
        <v>110</v>
      </c>
      <c r="V788" s="1928" t="str">
        <f t="array" ref="V788">IFERROR(VLOOKUP(U788,Dex!$P$22:$Q$276,2,FALSE),"")</f>
        <v/>
      </c>
      <c r="W788" s="1929"/>
      <c r="X788" s="1913"/>
      <c r="Y788" s="1926" t="s">
        <v>518</v>
      </c>
      <c r="Z788" s="1927">
        <f t="array" ref="Z788">IFERROR(VLOOKUP(Y770,Dex!$B$3:$N1219,13,FALSE),"")</f>
        <v>50</v>
      </c>
      <c r="AA788" s="1928" t="str">
        <f t="array" ref="AA788">IFERROR(VLOOKUP(Z788,Dex!$P$22:$Q$276,2,FALSE),"")</f>
        <v/>
      </c>
      <c r="AB788" s="1929"/>
      <c r="AC788" s="1921"/>
      <c r="AD788" s="1926" t="s">
        <v>518</v>
      </c>
      <c r="AE788" s="1927">
        <f t="array" ref="AE788">IFERROR(VLOOKUP(AD770,Dex!$B$3:$N1219,13,FALSE),"")</f>
        <v>30</v>
      </c>
      <c r="AF788" s="1928" t="str">
        <f t="array" ref="AF788">IFERROR(VLOOKUP(AE788,Dex!$P$22:$Q$276,2,FALSE),"")</f>
        <v/>
      </c>
      <c r="AG788" s="1929"/>
      <c r="AH788" s="1916"/>
      <c r="AI788" s="6747"/>
    </row>
    <row r="789" ht="16.5" customHeight="1">
      <c r="A789" s="6738"/>
      <c r="B789" s="1850"/>
      <c r="C789" s="1851"/>
      <c r="D789" s="1913"/>
      <c r="E789" s="1930" t="s">
        <v>519</v>
      </c>
      <c r="F789" s="630"/>
      <c r="G789" s="631"/>
      <c r="H789" s="7289">
        <v>259.0</v>
      </c>
      <c r="I789" s="1913"/>
      <c r="J789" s="1930" t="s">
        <v>519</v>
      </c>
      <c r="K789" s="630"/>
      <c r="L789" s="631"/>
      <c r="M789" s="7289">
        <v>259.0</v>
      </c>
      <c r="N789" s="1913"/>
      <c r="O789" s="7290" t="s">
        <v>519</v>
      </c>
      <c r="P789" s="635"/>
      <c r="Q789" s="636"/>
      <c r="R789" s="7291">
        <v>200.0</v>
      </c>
      <c r="S789" s="1913"/>
      <c r="T789" s="1930" t="s">
        <v>519</v>
      </c>
      <c r="U789" s="630"/>
      <c r="V789" s="631"/>
      <c r="W789" s="7289">
        <v>281.0</v>
      </c>
      <c r="X789" s="1913"/>
      <c r="Y789" s="1930" t="s">
        <v>519</v>
      </c>
      <c r="Z789" s="630"/>
      <c r="AA789" s="631"/>
      <c r="AB789" s="7289">
        <v>136.0</v>
      </c>
      <c r="AC789" s="1915"/>
      <c r="AD789" s="1930" t="s">
        <v>519</v>
      </c>
      <c r="AE789" s="630"/>
      <c r="AF789" s="631"/>
      <c r="AG789" s="7289">
        <v>96.0</v>
      </c>
      <c r="AH789" s="1916"/>
      <c r="AI789" s="6747"/>
    </row>
    <row r="790" ht="16.5" customHeight="1">
      <c r="A790" s="6738"/>
      <c r="B790" s="7292"/>
      <c r="C790" s="7293"/>
      <c r="D790" s="7294"/>
      <c r="E790" s="7295"/>
      <c r="F790" s="7295"/>
      <c r="G790" s="7295"/>
      <c r="H790" s="7293"/>
      <c r="I790" s="7294"/>
      <c r="J790" s="7295"/>
      <c r="K790" s="7295"/>
      <c r="L790" s="7295"/>
      <c r="M790" s="7293"/>
      <c r="N790" s="7294"/>
      <c r="O790" s="7296" t="s">
        <v>1449</v>
      </c>
      <c r="P790" s="643"/>
      <c r="Q790" s="644"/>
      <c r="R790" s="6787">
        <f>ROUNDDOWN(R789*1.5,0)</f>
        <v>300</v>
      </c>
      <c r="S790" s="7294"/>
      <c r="T790" s="7295"/>
      <c r="U790" s="7295"/>
      <c r="V790" s="7295"/>
      <c r="W790" s="7293"/>
      <c r="X790" s="7294"/>
      <c r="Y790" s="7295"/>
      <c r="Z790" s="7295"/>
      <c r="AA790" s="7295"/>
      <c r="AB790" s="7293"/>
      <c r="AC790" s="7297"/>
      <c r="AD790" s="7295"/>
      <c r="AE790" s="7295"/>
      <c r="AF790" s="7295"/>
      <c r="AG790" s="7293"/>
      <c r="AH790" s="7298"/>
      <c r="AI790" s="6747"/>
    </row>
    <row r="791" ht="15.0" customHeight="1">
      <c r="A791" s="6738"/>
      <c r="B791" s="1931"/>
      <c r="C791" s="1932"/>
      <c r="D791" s="1933"/>
      <c r="E791" s="1932"/>
      <c r="F791" s="1932"/>
      <c r="G791" s="1932"/>
      <c r="H791" s="1932"/>
      <c r="I791" s="1933"/>
      <c r="J791" s="1932"/>
      <c r="K791" s="1932"/>
      <c r="L791" s="1932"/>
      <c r="M791" s="1932"/>
      <c r="N791" s="1933"/>
      <c r="O791" s="1934"/>
      <c r="P791" s="1934"/>
      <c r="Q791" s="1934"/>
      <c r="R791" s="1934"/>
      <c r="S791" s="1933"/>
      <c r="T791" s="1932"/>
      <c r="U791" s="1932"/>
      <c r="V791" s="1932"/>
      <c r="W791" s="1932"/>
      <c r="X791" s="1933"/>
      <c r="Y791" s="1932"/>
      <c r="Z791" s="1932"/>
      <c r="AA791" s="1932"/>
      <c r="AB791" s="1932"/>
      <c r="AC791" s="1933"/>
      <c r="AD791" s="1932"/>
      <c r="AE791" s="1932"/>
      <c r="AF791" s="1932"/>
      <c r="AG791" s="1932"/>
      <c r="AH791" s="1935"/>
      <c r="AI791" s="6747"/>
    </row>
    <row r="792" ht="15.0" customHeight="1">
      <c r="A792" s="6738"/>
      <c r="B792" s="3567"/>
      <c r="C792" s="3568"/>
      <c r="D792" s="3569"/>
      <c r="E792" s="3570"/>
      <c r="F792" s="3570"/>
      <c r="G792" s="3570"/>
      <c r="H792" s="3570"/>
      <c r="I792" s="3569"/>
      <c r="J792" s="3570"/>
      <c r="K792" s="3570"/>
      <c r="L792" s="3570"/>
      <c r="M792" s="3570"/>
      <c r="N792" s="3569"/>
      <c r="O792" s="3570"/>
      <c r="P792" s="3570"/>
      <c r="Q792" s="3570"/>
      <c r="R792" s="3570"/>
      <c r="S792" s="3569"/>
      <c r="T792" s="3570"/>
      <c r="U792" s="3570"/>
      <c r="V792" s="3570"/>
      <c r="W792" s="3570"/>
      <c r="X792" s="3569"/>
      <c r="Y792" s="3570"/>
      <c r="Z792" s="3570"/>
      <c r="AA792" s="3570"/>
      <c r="AB792" s="3570"/>
      <c r="AC792" s="3569"/>
      <c r="AD792" s="3570"/>
      <c r="AE792" s="3570"/>
      <c r="AF792" s="3570"/>
      <c r="AG792" s="3570"/>
      <c r="AH792" s="3571"/>
      <c r="AI792" s="6747"/>
    </row>
    <row r="793" ht="96.75" customHeight="1">
      <c r="A793" s="6738"/>
      <c r="B793" s="3572"/>
      <c r="C793" s="3573" t="str">
        <f>IMAGE("https://i.ibb.co/TKBZjnF/Ace-Trainer-M.png")</f>
        <v/>
      </c>
      <c r="D793" s="3574"/>
      <c r="E793" s="3575" t="str">
        <f t="array" ref="E793">IFERROR(VLOOKUP(E794,Dex!$B$3:$G1219,3,FALSE),"")</f>
        <v/>
      </c>
      <c r="F793" s="606"/>
      <c r="G793" s="606"/>
      <c r="H793" s="607"/>
      <c r="I793" s="3576"/>
      <c r="J793" s="3575" t="str">
        <f t="array" ref="J793">IFERROR(VLOOKUP(J794,Dex!$B$3:$G1219,3,FALSE),"")</f>
        <v/>
      </c>
      <c r="K793" s="606"/>
      <c r="L793" s="606"/>
      <c r="M793" s="607"/>
      <c r="N793" s="4583"/>
      <c r="O793" s="3575" t="str">
        <f t="array" ref="O793">IFERROR(VLOOKUP(O794,Dex!$B$3:$G1219,3,FALSE),"")</f>
        <v/>
      </c>
      <c r="P793" s="606"/>
      <c r="Q793" s="606"/>
      <c r="R793" s="607"/>
      <c r="S793" s="4584"/>
      <c r="T793" s="3575" t="str">
        <f t="array" ref="T793">IFERROR(VLOOKUP(T794,Dex!$B$3:$G1219,3,FALSE),"")</f>
        <v/>
      </c>
      <c r="U793" s="606"/>
      <c r="V793" s="606"/>
      <c r="W793" s="607"/>
      <c r="X793" s="4583"/>
      <c r="Y793" s="3575" t="str">
        <f t="array" ref="Y793">IFERROR(VLOOKUP(Y794,Dex!$B$3:$G1219,3,FALSE),"")</f>
        <v/>
      </c>
      <c r="Z793" s="606"/>
      <c r="AA793" s="606"/>
      <c r="AB793" s="607"/>
      <c r="AC793" s="4584"/>
      <c r="AD793" s="3575" t="str">
        <f t="array" ref="AD793">IFERROR(VLOOKUP(AD794,Dex!$B$3:$G1219,3,FALSE),"")</f>
        <v/>
      </c>
      <c r="AE793" s="606"/>
      <c r="AF793" s="606"/>
      <c r="AG793" s="607"/>
      <c r="AH793" s="5740"/>
      <c r="AI793" s="6747"/>
    </row>
    <row r="794" ht="18.75" customHeight="1">
      <c r="A794" s="6738"/>
      <c r="B794" s="5745"/>
      <c r="C794" s="6841" t="s">
        <v>2135</v>
      </c>
      <c r="D794" s="5747"/>
      <c r="E794" s="3587" t="s">
        <v>1213</v>
      </c>
      <c r="F794" s="3588"/>
      <c r="G794" s="3588"/>
      <c r="H794" s="3589"/>
      <c r="J794" s="3587" t="s">
        <v>599</v>
      </c>
      <c r="K794" s="3588"/>
      <c r="L794" s="3588"/>
      <c r="M794" s="3589"/>
      <c r="O794" s="3587" t="s">
        <v>1214</v>
      </c>
      <c r="P794" s="3588"/>
      <c r="Q794" s="3588"/>
      <c r="R794" s="3589"/>
      <c r="T794" s="3587" t="s">
        <v>1080</v>
      </c>
      <c r="U794" s="3588"/>
      <c r="V794" s="3588"/>
      <c r="W794" s="3589"/>
      <c r="Y794" s="3587" t="s">
        <v>1634</v>
      </c>
      <c r="Z794" s="3588"/>
      <c r="AA794" s="3588"/>
      <c r="AB794" s="3589"/>
      <c r="AD794" s="3587" t="s">
        <v>1183</v>
      </c>
      <c r="AE794" s="3588"/>
      <c r="AF794" s="3588"/>
      <c r="AG794" s="3589"/>
      <c r="AH794" s="5741"/>
      <c r="AI794" s="6747"/>
    </row>
    <row r="795">
      <c r="A795" s="6738"/>
      <c r="B795" s="5751"/>
      <c r="C795" s="3095"/>
      <c r="D795" s="5752"/>
      <c r="E795" s="3596" t="s">
        <v>729</v>
      </c>
      <c r="F795" s="3597"/>
      <c r="G795" s="3597"/>
      <c r="H795" s="3598"/>
      <c r="J795" s="3596" t="s">
        <v>729</v>
      </c>
      <c r="K795" s="3597"/>
      <c r="L795" s="3597"/>
      <c r="M795" s="3598"/>
      <c r="O795" s="3596" t="s">
        <v>729</v>
      </c>
      <c r="P795" s="3597"/>
      <c r="Q795" s="3597"/>
      <c r="R795" s="3598"/>
      <c r="T795" s="3596" t="s">
        <v>729</v>
      </c>
      <c r="U795" s="3597"/>
      <c r="V795" s="3597"/>
      <c r="W795" s="3598"/>
      <c r="Y795" s="3596" t="s">
        <v>729</v>
      </c>
      <c r="Z795" s="3597"/>
      <c r="AA795" s="3597"/>
      <c r="AB795" s="3598"/>
      <c r="AD795" s="3596" t="s">
        <v>729</v>
      </c>
      <c r="AE795" s="3597"/>
      <c r="AF795" s="3597"/>
      <c r="AG795" s="3598"/>
      <c r="AH795" s="5742"/>
      <c r="AI795" s="6747"/>
    </row>
    <row r="796" ht="25.5" customHeight="1">
      <c r="A796" s="6738"/>
      <c r="B796" s="5756"/>
      <c r="C796" s="3095"/>
      <c r="D796" s="5757"/>
      <c r="E796" s="3601"/>
      <c r="F796" s="4588" t="str">
        <f t="array" ref="F796">IFERROR(VLOOKUP(E794,Dex!$B$3:$H1219,5,FALSE),"")</f>
        <v/>
      </c>
      <c r="G796" s="4589" t="str">
        <f t="array" ref="G796">IFERROR(VLOOKUP(E794,Dex!$B$3:$H1219,7,FALSE),"")</f>
        <v/>
      </c>
      <c r="H796" s="3604"/>
      <c r="J796" s="3601"/>
      <c r="K796" s="4588" t="str">
        <f t="array" ref="K796">IFERROR(VLOOKUP(J794,Dex!$B$3:$H1219,5,FALSE),"")</f>
        <v/>
      </c>
      <c r="L796" s="4589" t="str">
        <f t="array" ref="L796">IFERROR(VLOOKUP(J794,Dex!$B$3:$H1219,7,FALSE),"")</f>
        <v/>
      </c>
      <c r="M796" s="3604"/>
      <c r="O796" s="3601"/>
      <c r="P796" s="4588" t="str">
        <f t="array" ref="P796">IFERROR(VLOOKUP(O794,Dex!$B$3:$H1219,5,FALSE),"")</f>
        <v/>
      </c>
      <c r="Q796" s="4589" t="str">
        <f t="array" ref="Q796">IFERROR(VLOOKUP(O794,Dex!$B$3:$H1219,7,FALSE),"")</f>
        <v/>
      </c>
      <c r="R796" s="3604"/>
      <c r="T796" s="3601"/>
      <c r="U796" s="4588" t="str">
        <f t="array" ref="U796">IFERROR(VLOOKUP(T794,Dex!$B$3:$H1219,5,FALSE),"")</f>
        <v/>
      </c>
      <c r="V796" s="4589" t="str">
        <f t="array" ref="V796">IFERROR(VLOOKUP(T794,Dex!$B$3:$H1219,7,FALSE),"")</f>
        <v/>
      </c>
      <c r="W796" s="3604"/>
      <c r="Y796" s="3601"/>
      <c r="Z796" s="4588" t="str">
        <f t="array" ref="Z796">IFERROR(VLOOKUP(Y794,Dex!$B$3:$H1219,5,FALSE),"")</f>
        <v/>
      </c>
      <c r="AA796" s="4589" t="str">
        <f t="array" ref="AA796">IFERROR(VLOOKUP(Y794,Dex!$B$3:$H1219,7,FALSE),"")</f>
        <v/>
      </c>
      <c r="AB796" s="3604"/>
      <c r="AD796" s="3601"/>
      <c r="AE796" s="3602" t="str">
        <f t="array" ref="AE796">IFERROR(VLOOKUP(AD794,Dex!$B$3:$H1219,5,FALSE),"")</f>
        <v/>
      </c>
      <c r="AF796" s="3603"/>
      <c r="AG796" s="3604"/>
      <c r="AH796" s="3583"/>
      <c r="AI796" s="6747"/>
    </row>
    <row r="797" ht="2.25" customHeight="1">
      <c r="A797" s="6738"/>
      <c r="B797" s="5756"/>
      <c r="C797" s="3095"/>
      <c r="D797" s="5757"/>
      <c r="E797" s="3606"/>
      <c r="F797" s="3607"/>
      <c r="G797" s="3607"/>
      <c r="H797" s="3608"/>
      <c r="J797" s="3606"/>
      <c r="K797" s="3607"/>
      <c r="L797" s="3607"/>
      <c r="M797" s="3608"/>
      <c r="O797" s="3606"/>
      <c r="P797" s="3607"/>
      <c r="Q797" s="3607"/>
      <c r="R797" s="3608"/>
      <c r="T797" s="3606"/>
      <c r="U797" s="3607"/>
      <c r="V797" s="3607"/>
      <c r="W797" s="3608"/>
      <c r="Y797" s="3606"/>
      <c r="Z797" s="3607"/>
      <c r="AA797" s="3607"/>
      <c r="AB797" s="3608"/>
      <c r="AD797" s="3606"/>
      <c r="AE797" s="3607"/>
      <c r="AF797" s="3607"/>
      <c r="AG797" s="3608"/>
      <c r="AH797" s="3583"/>
      <c r="AI797" s="6747"/>
    </row>
    <row r="798" ht="20.25" customHeight="1">
      <c r="A798" s="6738"/>
      <c r="B798" s="5756"/>
      <c r="C798" s="3112"/>
      <c r="D798" s="5757"/>
      <c r="E798" s="3610" t="s">
        <v>532</v>
      </c>
      <c r="F798" s="3611"/>
      <c r="G798" s="3611"/>
      <c r="H798" s="3612"/>
      <c r="J798" s="3610" t="s">
        <v>532</v>
      </c>
      <c r="K798" s="3611"/>
      <c r="L798" s="3611"/>
      <c r="M798" s="3612"/>
      <c r="O798" s="3610" t="s">
        <v>532</v>
      </c>
      <c r="P798" s="3611"/>
      <c r="Q798" s="3611"/>
      <c r="R798" s="3612"/>
      <c r="T798" s="3610" t="s">
        <v>532</v>
      </c>
      <c r="U798" s="3611"/>
      <c r="V798" s="3611"/>
      <c r="W798" s="3612"/>
      <c r="Y798" s="3610" t="s">
        <v>480</v>
      </c>
      <c r="Z798" s="3611"/>
      <c r="AA798" s="3611"/>
      <c r="AB798" s="3612"/>
      <c r="AD798" s="3610" t="s">
        <v>564</v>
      </c>
      <c r="AE798" s="3611"/>
      <c r="AF798" s="3611"/>
      <c r="AG798" s="3612"/>
      <c r="AH798" s="5740"/>
      <c r="AI798" s="6747"/>
    </row>
    <row r="799">
      <c r="A799" s="6738"/>
      <c r="B799" s="3572"/>
      <c r="C799" s="6842"/>
      <c r="D799" s="3574"/>
      <c r="E799" s="3614" t="s">
        <v>1018</v>
      </c>
      <c r="F799" s="3579"/>
      <c r="G799" s="3579"/>
      <c r="H799" s="3615"/>
      <c r="J799" s="3614" t="s">
        <v>2136</v>
      </c>
      <c r="K799" s="3579"/>
      <c r="L799" s="3579"/>
      <c r="M799" s="3615"/>
      <c r="O799" s="3614" t="s">
        <v>1132</v>
      </c>
      <c r="P799" s="3579"/>
      <c r="Q799" s="3579"/>
      <c r="R799" s="3615"/>
      <c r="T799" s="3614" t="s">
        <v>2137</v>
      </c>
      <c r="U799" s="3579"/>
      <c r="V799" s="3579"/>
      <c r="W799" s="3615"/>
      <c r="Y799" s="3614" t="s">
        <v>781</v>
      </c>
      <c r="Z799" s="3579"/>
      <c r="AA799" s="3579"/>
      <c r="AB799" s="3615"/>
      <c r="AD799" s="3614" t="s">
        <v>1172</v>
      </c>
      <c r="AE799" s="3579"/>
      <c r="AF799" s="3579"/>
      <c r="AG799" s="3615"/>
      <c r="AH799" s="5740"/>
      <c r="AI799" s="6747"/>
    </row>
    <row r="800" ht="20.25" customHeight="1">
      <c r="A800" s="6738"/>
      <c r="B800" s="3572"/>
      <c r="C800" s="3592"/>
      <c r="D800" s="3574"/>
      <c r="E800" s="3616" t="s">
        <v>573</v>
      </c>
      <c r="F800" s="3617"/>
      <c r="G800" s="3618"/>
      <c r="H800" s="3619" t="str">
        <f>IMAGE("https://raw.githubusercontent.com/msikma/pokesprite/master/items/hold-item/focus-sash.png",3)</f>
        <v/>
      </c>
      <c r="J800" s="3616" t="s">
        <v>608</v>
      </c>
      <c r="K800" s="3617"/>
      <c r="L800" s="3618"/>
      <c r="M800" s="3619" t="str">
        <f>IMAGE("https://raw.githubusercontent.com/msikma/pokesprite/master/items/mega-stone/sceptilite.png",3)</f>
        <v/>
      </c>
      <c r="O800" s="3616" t="s">
        <v>1114</v>
      </c>
      <c r="P800" s="3617"/>
      <c r="Q800" s="3618"/>
      <c r="R800" s="3619" t="str">
        <f>IMAGE("https://raw.githubusercontent.com/msikma/pokesprite/master/items/berry/yache.png",3)</f>
        <v/>
      </c>
      <c r="T800" s="3616" t="s">
        <v>1085</v>
      </c>
      <c r="U800" s="3617"/>
      <c r="V800" s="3618"/>
      <c r="W800" s="3619" t="str">
        <f>IMAGE("https://raw.githubusercontent.com/msikma/pokesprite/master/items/mega-stone/blazikenite.png",3)</f>
        <v/>
      </c>
      <c r="Y800" s="3616" t="s">
        <v>541</v>
      </c>
      <c r="Z800" s="3617"/>
      <c r="AA800" s="3618"/>
      <c r="AB800" s="3619" t="str">
        <f>IMAGE("https://raw.githubusercontent.com/msikma/pokesprite/master/items/hold-item/life-orb.png",3)</f>
        <v/>
      </c>
      <c r="AD800" s="3616" t="s">
        <v>1173</v>
      </c>
      <c r="AE800" s="3617"/>
      <c r="AF800" s="3618"/>
      <c r="AG800" s="3619" t="str">
        <f>IMAGE("https://raw.githubusercontent.com/msikma/pokesprite/master/items/hold-item/scope-lens.png",3)</f>
        <v/>
      </c>
      <c r="AH800" s="3583"/>
      <c r="AI800" s="6747"/>
    </row>
    <row r="801" ht="20.25" customHeight="1">
      <c r="A801" s="6738"/>
      <c r="B801" s="3572"/>
      <c r="C801" s="3620"/>
      <c r="D801" s="3574"/>
      <c r="E801" s="3610" t="s">
        <v>1221</v>
      </c>
      <c r="F801" s="3611"/>
      <c r="G801" s="3621"/>
      <c r="H801" s="3622" t="str">
        <f>IMAGE("https://raw.githubusercontent.com/msikma/pokesprite/master/misc/types/gen8/fire.png",4,20,20)</f>
        <v/>
      </c>
      <c r="J801" s="3610" t="s">
        <v>287</v>
      </c>
      <c r="K801" s="3611"/>
      <c r="L801" s="3621"/>
      <c r="M801" s="3622" t="str">
        <f>IMAGE("https://raw.githubusercontent.com/msikma/pokesprite/master/misc/types/gen8/normal.png",4,20,20)</f>
        <v/>
      </c>
      <c r="O801" s="3610" t="s">
        <v>273</v>
      </c>
      <c r="P801" s="3611"/>
      <c r="Q801" s="3621"/>
      <c r="R801" s="3622" t="str">
        <f>IMAGE("https://raw.githubusercontent.com/msikma/pokesprite/master/misc/types/gen8/normal.png",4,20,20)</f>
        <v/>
      </c>
      <c r="T801" s="3610" t="s">
        <v>583</v>
      </c>
      <c r="U801" s="3611"/>
      <c r="V801" s="3621"/>
      <c r="W801" s="3622" t="str">
        <f>IMAGE("https://raw.githubusercontent.com/msikma/pokesprite/master/misc/types/gen8/fighting.png",4,20,20)</f>
        <v/>
      </c>
      <c r="Y801" s="3610" t="s">
        <v>2138</v>
      </c>
      <c r="Z801" s="3611"/>
      <c r="AA801" s="3621"/>
      <c r="AB801" s="3622" t="str">
        <f>IMAGE("https://raw.githubusercontent.com/msikma/pokesprite/master/misc/types/gen8/water.png",4,20,20)</f>
        <v/>
      </c>
      <c r="AD801" s="3610" t="s">
        <v>1190</v>
      </c>
      <c r="AE801" s="3611"/>
      <c r="AF801" s="3621"/>
      <c r="AG801" s="3622" t="str">
        <f>IMAGE("https://raw.githubusercontent.com/msikma/pokesprite/master/misc/types/gen8/water.png",4,20,20)</f>
        <v/>
      </c>
      <c r="AH801" s="3583"/>
      <c r="AI801" s="6747"/>
    </row>
    <row r="802" ht="20.25" customHeight="1">
      <c r="A802" s="6738"/>
      <c r="B802" s="3572"/>
      <c r="C802" s="3605"/>
      <c r="D802" s="3574"/>
      <c r="E802" s="3614" t="s">
        <v>583</v>
      </c>
      <c r="F802" s="3579"/>
      <c r="G802" s="3580"/>
      <c r="H802" s="3623" t="str">
        <f>IMAGE("https://raw.githubusercontent.com/msikma/pokesprite/master/misc/types/gen8/fighting.png",4,20,20)</f>
        <v/>
      </c>
      <c r="J802" s="3614" t="s">
        <v>499</v>
      </c>
      <c r="K802" s="3579"/>
      <c r="L802" s="3580"/>
      <c r="M802" s="3623" t="str">
        <f>IMAGE("https://raw.githubusercontent.com/msikma/pokesprite/master/misc/types/gen8/grass.png",4,20,20)</f>
        <v/>
      </c>
      <c r="O802" s="3614" t="s">
        <v>1222</v>
      </c>
      <c r="P802" s="3579"/>
      <c r="Q802" s="3580"/>
      <c r="R802" s="3623" t="str">
        <f>IMAGE("https://raw.githubusercontent.com/msikma/pokesprite/master/misc/types/gen8/grass.png",4,20,20)</f>
        <v/>
      </c>
      <c r="T802" s="3614" t="s">
        <v>694</v>
      </c>
      <c r="U802" s="3579"/>
      <c r="V802" s="3580"/>
      <c r="W802" s="3623" t="str">
        <f>IMAGE("https://raw.githubusercontent.com/msikma/pokesprite/master/misc/types/gen8/fire.png",4,20,20)</f>
        <v/>
      </c>
      <c r="Y802" s="3614" t="s">
        <v>1313</v>
      </c>
      <c r="Z802" s="3579"/>
      <c r="AA802" s="3580"/>
      <c r="AB802" s="3623" t="str">
        <f>IMAGE("https://raw.githubusercontent.com/msikma/pokesprite/master/misc/types/gen8/dark.png",4,20,20)</f>
        <v/>
      </c>
      <c r="AD802" s="3614" t="s">
        <v>670</v>
      </c>
      <c r="AE802" s="3579"/>
      <c r="AF802" s="3580"/>
      <c r="AG802" s="3623" t="str">
        <f>IMAGE("https://raw.githubusercontent.com/msikma/pokesprite/master/misc/types/gen8/ice.png",4,20,20)</f>
        <v/>
      </c>
      <c r="AH802" s="3583"/>
      <c r="AI802" s="6747"/>
    </row>
    <row r="803" ht="20.25" customHeight="1">
      <c r="A803" s="6738"/>
      <c r="B803" s="3572"/>
      <c r="C803" s="3605"/>
      <c r="D803" s="3574"/>
      <c r="E803" s="3614" t="s">
        <v>504</v>
      </c>
      <c r="F803" s="3579"/>
      <c r="G803" s="3580"/>
      <c r="H803" s="3623" t="str">
        <f>IMAGE("https://raw.githubusercontent.com/msikma/pokesprite/master/misc/types/gen8/electric.png",4,20,20)</f>
        <v/>
      </c>
      <c r="J803" s="3614" t="s">
        <v>154</v>
      </c>
      <c r="K803" s="3579"/>
      <c r="L803" s="3580"/>
      <c r="M803" s="3623" t="str">
        <f>IMAGE("https://raw.githubusercontent.com/msikma/pokesprite/master/misc/types/gen8/dragon.png",4,20,20)</f>
        <v/>
      </c>
      <c r="O803" s="3614" t="s">
        <v>695</v>
      </c>
      <c r="P803" s="3579"/>
      <c r="Q803" s="3580"/>
      <c r="R803" s="3623" t="str">
        <f>IMAGE("https://raw.githubusercontent.com/msikma/pokesprite/master/misc/types/gen8/ground.png",4,20,20)</f>
        <v/>
      </c>
      <c r="T803" s="3614" t="s">
        <v>579</v>
      </c>
      <c r="U803" s="3579"/>
      <c r="V803" s="3580"/>
      <c r="W803" s="3623" t="str">
        <f>IMAGE("https://raw.githubusercontent.com/msikma/pokesprite/master/misc/types/gen8/dark.png",4,20,20)</f>
        <v/>
      </c>
      <c r="Y803" s="3614" t="s">
        <v>670</v>
      </c>
      <c r="Z803" s="3579"/>
      <c r="AA803" s="3580"/>
      <c r="AB803" s="3623" t="str">
        <f>IMAGE("https://raw.githubusercontent.com/msikma/pokesprite/master/misc/types/gen8/ice.png",4,20,20)</f>
        <v/>
      </c>
      <c r="AD803" s="3614" t="s">
        <v>553</v>
      </c>
      <c r="AE803" s="3579"/>
      <c r="AF803" s="3580"/>
      <c r="AG803" s="3623" t="str">
        <f>IMAGE("https://raw.githubusercontent.com/msikma/pokesprite/master/misc/types/gen8/grass.png",4,20,20)</f>
        <v/>
      </c>
      <c r="AH803" s="3583"/>
      <c r="AI803" s="6747"/>
    </row>
    <row r="804" ht="21.0" customHeight="1">
      <c r="A804" s="6738"/>
      <c r="B804" s="3572"/>
      <c r="C804" s="3605"/>
      <c r="D804" s="3574"/>
      <c r="E804" s="3624" t="s">
        <v>191</v>
      </c>
      <c r="F804" s="3625"/>
      <c r="G804" s="3626"/>
      <c r="H804" s="3627" t="str">
        <f>IMAGE("https://raw.githubusercontent.com/msikma/pokesprite/master/misc/types/gen8/rock.png",4,20,20)</f>
        <v/>
      </c>
      <c r="I804" s="3628"/>
      <c r="J804" s="3624" t="s">
        <v>498</v>
      </c>
      <c r="K804" s="3625"/>
      <c r="L804" s="3626"/>
      <c r="M804" s="3627" t="str">
        <f>IMAGE("https://raw.githubusercontent.com/msikma/pokesprite/master/misc/types/gen8/rock.png",4,20,20)</f>
        <v/>
      </c>
      <c r="N804" s="3628"/>
      <c r="O804" s="3624" t="s">
        <v>1137</v>
      </c>
      <c r="P804" s="3625"/>
      <c r="Q804" s="3626"/>
      <c r="R804" s="3627" t="str">
        <f>IMAGE("https://raw.githubusercontent.com/msikma/pokesprite/master/misc/types/gen8/rock.png",4,20,20)</f>
        <v/>
      </c>
      <c r="S804" s="3628"/>
      <c r="T804" s="3624" t="s">
        <v>612</v>
      </c>
      <c r="U804" s="3625"/>
      <c r="V804" s="3626"/>
      <c r="W804" s="3627" t="str">
        <f>IMAGE("https://raw.githubusercontent.com/msikma/pokesprite/master/misc/types/gen8/bug.png",4,20,20)</f>
        <v/>
      </c>
      <c r="X804" s="3628"/>
      <c r="Y804" s="3624" t="s">
        <v>612</v>
      </c>
      <c r="Z804" s="3625"/>
      <c r="AA804" s="3626"/>
      <c r="AB804" s="3627" t="str">
        <f>IMAGE("https://raw.githubusercontent.com/msikma/pokesprite/master/misc/types/gen8/bug.png",4,20,20)</f>
        <v/>
      </c>
      <c r="AC804" s="3628"/>
      <c r="AD804" s="3624" t="s">
        <v>612</v>
      </c>
      <c r="AE804" s="3625"/>
      <c r="AF804" s="3626"/>
      <c r="AG804" s="3627" t="str">
        <f>IMAGE("https://raw.githubusercontent.com/msikma/pokesprite/master/misc/types/gen8/bug.png",4,20,20)</f>
        <v/>
      </c>
      <c r="AH804" s="3583"/>
      <c r="AI804" s="6747"/>
    </row>
    <row r="805" ht="3.0" customHeight="1">
      <c r="A805" s="6738"/>
      <c r="B805" s="3630"/>
      <c r="C805" s="3631"/>
      <c r="D805" s="3632"/>
      <c r="E805" s="3634"/>
      <c r="F805" s="3634"/>
      <c r="G805" s="3634"/>
      <c r="H805" s="3633"/>
      <c r="I805" s="3632"/>
      <c r="J805" s="3634"/>
      <c r="K805" s="3634"/>
      <c r="L805" s="3634"/>
      <c r="M805" s="3633"/>
      <c r="N805" s="3632"/>
      <c r="O805" s="3634"/>
      <c r="P805" s="3634"/>
      <c r="Q805" s="3634"/>
      <c r="R805" s="3633"/>
      <c r="S805" s="3635"/>
      <c r="T805" s="3634"/>
      <c r="U805" s="3634"/>
      <c r="V805" s="3634"/>
      <c r="W805" s="3633"/>
      <c r="X805" s="3632"/>
      <c r="Y805" s="3634"/>
      <c r="Z805" s="3634"/>
      <c r="AA805" s="3634"/>
      <c r="AB805" s="3633"/>
      <c r="AC805" s="3637"/>
      <c r="AD805" s="3634"/>
      <c r="AE805" s="3634"/>
      <c r="AF805" s="3634"/>
      <c r="AG805" s="3633"/>
      <c r="AH805" s="3638"/>
      <c r="AI805" s="6747"/>
    </row>
    <row r="806" ht="16.5" customHeight="1">
      <c r="A806" s="6738"/>
      <c r="B806" s="3639"/>
      <c r="C806" s="3631"/>
      <c r="D806" s="4590"/>
      <c r="E806" s="3641" t="s">
        <v>512</v>
      </c>
      <c r="F806" s="606"/>
      <c r="G806" s="606"/>
      <c r="H806" s="607"/>
      <c r="I806" s="3642"/>
      <c r="J806" s="3641" t="s">
        <v>512</v>
      </c>
      <c r="K806" s="606"/>
      <c r="L806" s="606"/>
      <c r="M806" s="607"/>
      <c r="N806" s="4590"/>
      <c r="O806" s="3641" t="s">
        <v>512</v>
      </c>
      <c r="P806" s="606"/>
      <c r="Q806" s="606"/>
      <c r="R806" s="607"/>
      <c r="S806" s="4591"/>
      <c r="T806" s="3641" t="s">
        <v>512</v>
      </c>
      <c r="U806" s="606"/>
      <c r="V806" s="606"/>
      <c r="W806" s="607"/>
      <c r="X806" s="4592"/>
      <c r="Y806" s="3641" t="s">
        <v>512</v>
      </c>
      <c r="Z806" s="606"/>
      <c r="AA806" s="606"/>
      <c r="AB806" s="607"/>
      <c r="AC806" s="4592"/>
      <c r="AD806" s="3641" t="s">
        <v>512</v>
      </c>
      <c r="AE806" s="606"/>
      <c r="AF806" s="606"/>
      <c r="AG806" s="607"/>
      <c r="AH806" s="3645"/>
      <c r="AI806" s="6747"/>
    </row>
    <row r="807" ht="16.5" customHeight="1">
      <c r="A807" s="6738"/>
      <c r="B807" s="3639"/>
      <c r="C807" s="3631"/>
      <c r="D807" s="3640"/>
      <c r="E807" s="3646" t="s">
        <v>513</v>
      </c>
      <c r="F807" s="3647">
        <f t="array" ref="F807">IFERROR(VLOOKUP(E794,Dex!$B$3:$N1219,8,FALSE),"")</f>
        <v>76</v>
      </c>
      <c r="G807" s="3648" t="str">
        <f t="array" ref="G807">IFERROR(VLOOKUP(F807,Dex!$P$22:$Q$276,2,FALSE),"")</f>
        <v/>
      </c>
      <c r="H807" s="3649"/>
      <c r="I807" s="3650"/>
      <c r="J807" s="3646" t="s">
        <v>513</v>
      </c>
      <c r="K807" s="3647">
        <f t="array" ref="K807">IFERROR(VLOOKUP(J794,Dex!$B$3:$N1219,8,FALSE),"")</f>
        <v>70</v>
      </c>
      <c r="L807" s="3648" t="str">
        <f t="array" ref="L807">IFERROR(VLOOKUP(K807,Dex!$P$22:$Q$276,2,FALSE),"")</f>
        <v/>
      </c>
      <c r="M807" s="3649"/>
      <c r="N807" s="3640"/>
      <c r="O807" s="3646" t="s">
        <v>513</v>
      </c>
      <c r="P807" s="3647">
        <f t="array" ref="P807">IFERROR(VLOOKUP(O794,Dex!$B$3:$N1219,8,FALSE),"")</f>
        <v>95</v>
      </c>
      <c r="Q807" s="3648" t="str">
        <f t="array" ref="Q807">IFERROR(VLOOKUP(P807,Dex!$P$22:$Q$276,2,FALSE),"")</f>
        <v/>
      </c>
      <c r="R807" s="3649"/>
      <c r="S807" s="3644"/>
      <c r="T807" s="3646" t="s">
        <v>513</v>
      </c>
      <c r="U807" s="3647">
        <f t="array" ref="U807">IFERROR(VLOOKUP(T794,Dex!$B$3:$N1219,8,FALSE),"")</f>
        <v>80</v>
      </c>
      <c r="V807" s="3648" t="str">
        <f t="array" ref="V807">IFERROR(VLOOKUP(U807,Dex!$P$22:$Q$276,2,FALSE),"")</f>
        <v/>
      </c>
      <c r="W807" s="3649"/>
      <c r="X807" s="3644"/>
      <c r="Y807" s="3646" t="s">
        <v>513</v>
      </c>
      <c r="Z807" s="3647">
        <f t="array" ref="Z807">IFERROR(VLOOKUP(Y794,Dex!$B$3:$N1219,8,FALSE),"")</f>
        <v>72</v>
      </c>
      <c r="AA807" s="3648" t="str">
        <f t="array" ref="AA807">IFERROR(VLOOKUP(Z807,Dex!$P$22:$Q$276,2,FALSE),"")</f>
        <v/>
      </c>
      <c r="AB807" s="3649"/>
      <c r="AC807" s="3644"/>
      <c r="AD807" s="3646" t="s">
        <v>513</v>
      </c>
      <c r="AE807" s="3647">
        <f t="array" ref="AE807">IFERROR(VLOOKUP(AD794,Dex!$B$3:$N1219,8,FALSE),"")</f>
        <v>70</v>
      </c>
      <c r="AF807" s="3648" t="str">
        <f t="array" ref="AF807">IFERROR(VLOOKUP(AE807,Dex!$P$22:$Q$276,2,FALSE),"")</f>
        <v/>
      </c>
      <c r="AG807" s="3649"/>
      <c r="AH807" s="3645"/>
      <c r="AI807" s="6747"/>
    </row>
    <row r="808" ht="16.5" customHeight="1">
      <c r="A808" s="6738"/>
      <c r="B808" s="3639"/>
      <c r="C808" s="3631"/>
      <c r="D808" s="3640"/>
      <c r="E808" s="3652" t="s">
        <v>514</v>
      </c>
      <c r="F808" s="3653">
        <f t="array" ref="F808">IFERROR(VLOOKUP(E794,Dex!$B$3:$N1219,9,FALSE),"")</f>
        <v>110</v>
      </c>
      <c r="G808" s="3654" t="str">
        <f t="array" ref="G808">IFERROR(VLOOKUP(F808,Dex!$P$22:$Q$276,2,FALSE),"")</f>
        <v/>
      </c>
      <c r="H808" s="3655"/>
      <c r="I808" s="3650"/>
      <c r="J808" s="3652" t="s">
        <v>514</v>
      </c>
      <c r="K808" s="3653">
        <f t="array" ref="K808">IFERROR(VLOOKUP(J794,Dex!$B$3:$N1219,9,FALSE),"")</f>
        <v>135</v>
      </c>
      <c r="L808" s="3654" t="str">
        <f t="array" ref="L808">IFERROR(VLOOKUP(K808,Dex!$P$22:$Q$276,2,FALSE),"")</f>
        <v/>
      </c>
      <c r="M808" s="3655"/>
      <c r="N808" s="3640"/>
      <c r="O808" s="3652" t="s">
        <v>514</v>
      </c>
      <c r="P808" s="3653">
        <f t="array" ref="P808">IFERROR(VLOOKUP(O794,Dex!$B$3:$N1219,9,FALSE),"")</f>
        <v>109</v>
      </c>
      <c r="Q808" s="3654" t="str">
        <f t="array" ref="Q808">IFERROR(VLOOKUP(P808,Dex!$P$22:$Q$276,2,FALSE),"")</f>
        <v/>
      </c>
      <c r="R808" s="3655"/>
      <c r="S808" s="3644"/>
      <c r="T808" s="3652" t="s">
        <v>514</v>
      </c>
      <c r="U808" s="3653">
        <f t="array" ref="U808">IFERROR(VLOOKUP(T794,Dex!$B$3:$N1219,9,FALSE),"")</f>
        <v>160</v>
      </c>
      <c r="V808" s="3654" t="str">
        <f t="array" ref="V808">IFERROR(VLOOKUP(U808,Dex!$P$22:$Q$276,2,FALSE),"")</f>
        <v/>
      </c>
      <c r="W808" s="3655"/>
      <c r="X808" s="3644"/>
      <c r="Y808" s="3652" t="s">
        <v>514</v>
      </c>
      <c r="Z808" s="3653">
        <f t="array" ref="Z808">IFERROR(VLOOKUP(Y794,Dex!$B$3:$N1219,9,FALSE),"")</f>
        <v>95</v>
      </c>
      <c r="AA808" s="3654" t="str">
        <f t="array" ref="AA808">IFERROR(VLOOKUP(Z808,Dex!$P$22:$Q$276,2,FALSE),"")</f>
        <v/>
      </c>
      <c r="AB808" s="3655"/>
      <c r="AC808" s="3644"/>
      <c r="AD808" s="3652" t="s">
        <v>514</v>
      </c>
      <c r="AE808" s="3653">
        <f t="array" ref="AE808">IFERROR(VLOOKUP(AD794,Dex!$B$3:$N1219,9,FALSE),"")</f>
        <v>85</v>
      </c>
      <c r="AF808" s="3654" t="str">
        <f t="array" ref="AF808">IFERROR(VLOOKUP(AE808,Dex!$P$22:$Q$276,2,FALSE),"")</f>
        <v/>
      </c>
      <c r="AG808" s="3655"/>
      <c r="AH808" s="3645"/>
      <c r="AI808" s="6747"/>
    </row>
    <row r="809" ht="16.5" customHeight="1">
      <c r="A809" s="6738"/>
      <c r="B809" s="3639"/>
      <c r="C809" s="3631"/>
      <c r="D809" s="3640"/>
      <c r="E809" s="3652" t="s">
        <v>515</v>
      </c>
      <c r="F809" s="3653">
        <f t="array" ref="F809">IFERROR(VLOOKUP(E794,Dex!$B$3:$N1219,10,FALSE),"")</f>
        <v>71</v>
      </c>
      <c r="G809" s="3654" t="str">
        <f t="array" ref="G809">IFERROR(VLOOKUP(F809,Dex!$P$22:$Q$276,2,FALSE),"")</f>
        <v/>
      </c>
      <c r="H809" s="3655"/>
      <c r="I809" s="3650"/>
      <c r="J809" s="3652" t="s">
        <v>515</v>
      </c>
      <c r="K809" s="3653">
        <f t="array" ref="K809">IFERROR(VLOOKUP(J794,Dex!$B$3:$N1219,10,FALSE),"")</f>
        <v>75</v>
      </c>
      <c r="L809" s="3654" t="str">
        <f t="array" ref="L809">IFERROR(VLOOKUP(K809,Dex!$P$22:$Q$276,2,FALSE),"")</f>
        <v/>
      </c>
      <c r="M809" s="3655"/>
      <c r="N809" s="3640"/>
      <c r="O809" s="3652" t="s">
        <v>515</v>
      </c>
      <c r="P809" s="3653">
        <f t="array" ref="P809">IFERROR(VLOOKUP(O794,Dex!$B$3:$N1219,10,FALSE),"")</f>
        <v>105</v>
      </c>
      <c r="Q809" s="3654" t="str">
        <f t="array" ref="Q809">IFERROR(VLOOKUP(P809,Dex!$P$22:$Q$276,2,FALSE),"")</f>
        <v/>
      </c>
      <c r="R809" s="3655"/>
      <c r="S809" s="3644"/>
      <c r="T809" s="3652" t="s">
        <v>515</v>
      </c>
      <c r="U809" s="3653">
        <f t="array" ref="U809">IFERROR(VLOOKUP(T794,Dex!$B$3:$N1219,10,FALSE),"")</f>
        <v>80</v>
      </c>
      <c r="V809" s="3654" t="str">
        <f t="array" ref="V809">IFERROR(VLOOKUP(U809,Dex!$P$22:$Q$276,2,FALSE),"")</f>
        <v/>
      </c>
      <c r="W809" s="3655"/>
      <c r="X809" s="3644"/>
      <c r="Y809" s="3652" t="s">
        <v>515</v>
      </c>
      <c r="Z809" s="3653">
        <f t="array" ref="Z809">IFERROR(VLOOKUP(Y794,Dex!$B$3:$N1219,10,FALSE),"")</f>
        <v>67</v>
      </c>
      <c r="AA809" s="3654" t="str">
        <f t="array" ref="AA809">IFERROR(VLOOKUP(Z809,Dex!$P$22:$Q$276,2,FALSE),"")</f>
        <v/>
      </c>
      <c r="AB809" s="3655"/>
      <c r="AC809" s="3644"/>
      <c r="AD809" s="3652" t="s">
        <v>515</v>
      </c>
      <c r="AE809" s="3653">
        <f t="array" ref="AE809">IFERROR(VLOOKUP(AD794,Dex!$B$3:$N1219,10,FALSE),"")</f>
        <v>65</v>
      </c>
      <c r="AF809" s="3654" t="str">
        <f t="array" ref="AF809">IFERROR(VLOOKUP(AE809,Dex!$P$22:$Q$276,2,FALSE),"")</f>
        <v/>
      </c>
      <c r="AG809" s="3655"/>
      <c r="AH809" s="3645"/>
      <c r="AI809" s="6747"/>
    </row>
    <row r="810" ht="16.5" customHeight="1">
      <c r="A810" s="6738"/>
      <c r="B810" s="3639"/>
      <c r="C810" s="3631"/>
      <c r="D810" s="3640"/>
      <c r="E810" s="3652" t="s">
        <v>516</v>
      </c>
      <c r="F810" s="3653">
        <f t="array" ref="F810">IFERROR(VLOOKUP(E794,Dex!$B$3:$N1219,11,FALSE),"")</f>
        <v>110</v>
      </c>
      <c r="G810" s="3654" t="str">
        <f t="array" ref="G810">IFERROR(VLOOKUP(F810,Dex!$P$22:$Q$276,2,FALSE),"")</f>
        <v/>
      </c>
      <c r="H810" s="3655"/>
      <c r="I810" s="3650"/>
      <c r="J810" s="3652" t="s">
        <v>516</v>
      </c>
      <c r="K810" s="3653">
        <f t="array" ref="K810">IFERROR(VLOOKUP(J794,Dex!$B$3:$N1219,11,FALSE),"")</f>
        <v>110</v>
      </c>
      <c r="L810" s="3654" t="str">
        <f t="array" ref="L810">IFERROR(VLOOKUP(K810,Dex!$P$22:$Q$276,2,FALSE),"")</f>
        <v/>
      </c>
      <c r="M810" s="3655"/>
      <c r="N810" s="3640"/>
      <c r="O810" s="3652" t="s">
        <v>516</v>
      </c>
      <c r="P810" s="3653">
        <f t="array" ref="P810">IFERROR(VLOOKUP(O794,Dex!$B$3:$N1219,11,FALSE),"")</f>
        <v>75</v>
      </c>
      <c r="Q810" s="3654" t="str">
        <f t="array" ref="Q810">IFERROR(VLOOKUP(P810,Dex!$P$22:$Q$276,2,FALSE),"")</f>
        <v/>
      </c>
      <c r="R810" s="3655"/>
      <c r="S810" s="3644"/>
      <c r="T810" s="3652" t="s">
        <v>516</v>
      </c>
      <c r="U810" s="3653">
        <f t="array" ref="U810">IFERROR(VLOOKUP(T794,Dex!$B$3:$N1219,11,FALSE),"")</f>
        <v>130</v>
      </c>
      <c r="V810" s="3654" t="str">
        <f t="array" ref="V810">IFERROR(VLOOKUP(U810,Dex!$P$22:$Q$276,2,FALSE),"")</f>
        <v/>
      </c>
      <c r="W810" s="3655"/>
      <c r="X810" s="3644"/>
      <c r="Y810" s="3652" t="s">
        <v>516</v>
      </c>
      <c r="Z810" s="3653">
        <f t="array" ref="Z810">IFERROR(VLOOKUP(Y794,Dex!$B$3:$N1219,11,FALSE),"")</f>
        <v>103</v>
      </c>
      <c r="AA810" s="3654" t="str">
        <f t="array" ref="AA810">IFERROR(VLOOKUP(Z810,Dex!$P$22:$Q$276,2,FALSE),"")</f>
        <v/>
      </c>
      <c r="AB810" s="3655"/>
      <c r="AC810" s="3644"/>
      <c r="AD810" s="3652" t="s">
        <v>516</v>
      </c>
      <c r="AE810" s="3653">
        <f t="array" ref="AE810">IFERROR(VLOOKUP(AD794,Dex!$B$3:$N1219,11,FALSE),"")</f>
        <v>125</v>
      </c>
      <c r="AF810" s="3654" t="str">
        <f t="array" ref="AF810">IFERROR(VLOOKUP(AE810,Dex!$P$22:$Q$276,2,FALSE),"")</f>
        <v/>
      </c>
      <c r="AG810" s="3655"/>
      <c r="AH810" s="3645"/>
      <c r="AI810" s="6747"/>
    </row>
    <row r="811" ht="16.5" customHeight="1">
      <c r="A811" s="6738"/>
      <c r="B811" s="3639"/>
      <c r="C811" s="3631"/>
      <c r="D811" s="3640"/>
      <c r="E811" s="3652" t="s">
        <v>517</v>
      </c>
      <c r="F811" s="3653">
        <f t="array" ref="F811">IFERROR(VLOOKUP(E794,Dex!$B$3:$N1219,12,FALSE),"")</f>
        <v>71</v>
      </c>
      <c r="G811" s="3654" t="str">
        <f t="array" ref="G811">IFERROR(VLOOKUP(F811,Dex!$P$22:$Q$276,2,FALSE),"")</f>
        <v/>
      </c>
      <c r="H811" s="3655"/>
      <c r="I811" s="3650"/>
      <c r="J811" s="3652" t="s">
        <v>517</v>
      </c>
      <c r="K811" s="3653">
        <f t="array" ref="K811">IFERROR(VLOOKUP(J794,Dex!$B$3:$N1219,12,FALSE),"")</f>
        <v>85</v>
      </c>
      <c r="L811" s="3654" t="str">
        <f t="array" ref="L811">IFERROR(VLOOKUP(K811,Dex!$P$22:$Q$276,2,FALSE),"")</f>
        <v/>
      </c>
      <c r="M811" s="3655"/>
      <c r="N811" s="3640"/>
      <c r="O811" s="3652" t="s">
        <v>517</v>
      </c>
      <c r="P811" s="3653">
        <f t="array" ref="P811">IFERROR(VLOOKUP(O794,Dex!$B$3:$N1219,12,FALSE),"")</f>
        <v>85</v>
      </c>
      <c r="Q811" s="3654" t="str">
        <f t="array" ref="Q811">IFERROR(VLOOKUP(P811,Dex!$P$22:$Q$276,2,FALSE),"")</f>
        <v/>
      </c>
      <c r="R811" s="3655"/>
      <c r="S811" s="3644"/>
      <c r="T811" s="3652" t="s">
        <v>517</v>
      </c>
      <c r="U811" s="3653">
        <f t="array" ref="U811">IFERROR(VLOOKUP(T794,Dex!$B$3:$N1219,12,FALSE),"")</f>
        <v>80</v>
      </c>
      <c r="V811" s="3654" t="str">
        <f t="array" ref="V811">IFERROR(VLOOKUP(U811,Dex!$P$22:$Q$276,2,FALSE),"")</f>
        <v/>
      </c>
      <c r="W811" s="3655"/>
      <c r="X811" s="3644"/>
      <c r="Y811" s="3652" t="s">
        <v>517</v>
      </c>
      <c r="Z811" s="3653">
        <f t="array" ref="Z811">IFERROR(VLOOKUP(Y794,Dex!$B$3:$N1219,12,FALSE),"")</f>
        <v>71</v>
      </c>
      <c r="AA811" s="3654" t="str">
        <f t="array" ref="AA811">IFERROR(VLOOKUP(Z811,Dex!$P$22:$Q$276,2,FALSE),"")</f>
        <v/>
      </c>
      <c r="AB811" s="3655"/>
      <c r="AC811" s="3644"/>
      <c r="AD811" s="3652" t="s">
        <v>517</v>
      </c>
      <c r="AE811" s="3653">
        <f t="array" ref="AE811">IFERROR(VLOOKUP(AD794,Dex!$B$3:$N1219,12,FALSE),"")</f>
        <v>65</v>
      </c>
      <c r="AF811" s="3654" t="str">
        <f t="array" ref="AF811">IFERROR(VLOOKUP(AE811,Dex!$P$22:$Q$276,2,FALSE),"")</f>
        <v/>
      </c>
      <c r="AG811" s="3655"/>
      <c r="AH811" s="3645"/>
      <c r="AI811" s="6747"/>
    </row>
    <row r="812" ht="16.5" customHeight="1">
      <c r="A812" s="6738"/>
      <c r="B812" s="3639"/>
      <c r="C812" s="3631"/>
      <c r="D812" s="3640"/>
      <c r="E812" s="3658" t="s">
        <v>518</v>
      </c>
      <c r="F812" s="3659">
        <f t="array" ref="F812">IFERROR(VLOOKUP(E794,Dex!$B$3:$N1219,13,FALSE),"")</f>
        <v>113</v>
      </c>
      <c r="G812" s="3660" t="str">
        <f t="array" ref="G812">IFERROR(VLOOKUP(F812,Dex!$P$22:$Q$276,2,FALSE),"")</f>
        <v/>
      </c>
      <c r="H812" s="3661"/>
      <c r="I812" s="3650"/>
      <c r="J812" s="3658" t="s">
        <v>518</v>
      </c>
      <c r="K812" s="3659">
        <f t="array" ref="K812">IFERROR(VLOOKUP(J794,Dex!$B$3:$N1219,13,FALSE),"")</f>
        <v>145</v>
      </c>
      <c r="L812" s="3660" t="str">
        <f t="array" ref="L812">IFERROR(VLOOKUP(K812,Dex!$P$22:$Q$276,2,FALSE),"")</f>
        <v/>
      </c>
      <c r="M812" s="3661"/>
      <c r="N812" s="3640"/>
      <c r="O812" s="3658" t="s">
        <v>518</v>
      </c>
      <c r="P812" s="3659">
        <f t="array" ref="P812">IFERROR(VLOOKUP(O794,Dex!$B$3:$N1219,13,FALSE),"")</f>
        <v>56</v>
      </c>
      <c r="Q812" s="3660" t="str">
        <f t="array" ref="Q812">IFERROR(VLOOKUP(P812,Dex!$P$22:$Q$276,2,FALSE),"")</f>
        <v/>
      </c>
      <c r="R812" s="3661"/>
      <c r="S812" s="3644"/>
      <c r="T812" s="3658" t="s">
        <v>518</v>
      </c>
      <c r="U812" s="3659">
        <f t="array" ref="U812">IFERROR(VLOOKUP(T794,Dex!$B$3:$N1219,13,FALSE),"")</f>
        <v>100</v>
      </c>
      <c r="V812" s="5477" t="str">
        <f t="array" ref="V812">IFERROR(VLOOKUP(U812,Dex!$P$22:$Q$276,2,FALSE),"")</f>
        <v/>
      </c>
      <c r="W812" s="5478"/>
      <c r="X812" s="3644"/>
      <c r="Y812" s="3658" t="s">
        <v>518</v>
      </c>
      <c r="Z812" s="3659">
        <f t="array" ref="Z812">IFERROR(VLOOKUP(Y794,Dex!$B$3:$N1219,13,FALSE),"")</f>
        <v>122</v>
      </c>
      <c r="AA812" s="5477" t="str">
        <f t="array" ref="AA812">IFERROR(VLOOKUP(Z812,Dex!$P$22:$Q$276,2,FALSE),"")</f>
        <v/>
      </c>
      <c r="AB812" s="5478"/>
      <c r="AC812" s="3644"/>
      <c r="AD812" s="3658" t="s">
        <v>518</v>
      </c>
      <c r="AE812" s="3659">
        <f t="array" ref="AE812">IFERROR(VLOOKUP(AD794,Dex!$B$3:$N1219,13,FALSE),"")</f>
        <v>120</v>
      </c>
      <c r="AF812" s="3660" t="str">
        <f t="array" ref="AF812">IFERROR(VLOOKUP(AE812,Dex!$P$22:$Q$276,2,FALSE),"")</f>
        <v/>
      </c>
      <c r="AG812" s="3661"/>
      <c r="AH812" s="3645"/>
      <c r="AI812" s="6747"/>
    </row>
    <row r="813" ht="16.5" customHeight="1">
      <c r="A813" s="6738"/>
      <c r="B813" s="3639"/>
      <c r="C813" s="3631"/>
      <c r="D813" s="4590"/>
      <c r="E813" s="3662" t="s">
        <v>519</v>
      </c>
      <c r="F813" s="630"/>
      <c r="G813" s="631"/>
      <c r="H813" s="6843">
        <v>288.0</v>
      </c>
      <c r="I813" s="3642"/>
      <c r="J813" s="3662" t="s">
        <v>519</v>
      </c>
      <c r="K813" s="630"/>
      <c r="L813" s="631"/>
      <c r="M813" s="6843">
        <v>358.0</v>
      </c>
      <c r="N813" s="4590"/>
      <c r="O813" s="3662" t="s">
        <v>519</v>
      </c>
      <c r="P813" s="630"/>
      <c r="Q813" s="631"/>
      <c r="R813" s="6843">
        <v>162.0</v>
      </c>
      <c r="S813" s="4592"/>
      <c r="T813" s="4593" t="s">
        <v>519</v>
      </c>
      <c r="U813" s="635"/>
      <c r="V813" s="636"/>
      <c r="W813" s="6844">
        <v>259.0</v>
      </c>
      <c r="X813" s="4592"/>
      <c r="Y813" s="3662" t="s">
        <v>519</v>
      </c>
      <c r="Z813" s="630"/>
      <c r="AA813" s="631"/>
      <c r="AB813" s="6843">
        <v>280.0</v>
      </c>
      <c r="AC813" s="4592"/>
      <c r="AD813" s="3662" t="s">
        <v>519</v>
      </c>
      <c r="AE813" s="630"/>
      <c r="AF813" s="631"/>
      <c r="AG813" s="6843">
        <v>303.0</v>
      </c>
      <c r="AH813" s="3645"/>
      <c r="AI813" s="6747"/>
    </row>
    <row r="814" ht="16.5" customHeight="1">
      <c r="A814" s="6738"/>
      <c r="B814" s="4594"/>
      <c r="C814" s="5479"/>
      <c r="D814" s="5480"/>
      <c r="E814" s="5481"/>
      <c r="F814" s="5481"/>
      <c r="G814" s="5481"/>
      <c r="H814" s="5479"/>
      <c r="I814" s="5482"/>
      <c r="J814" s="5481"/>
      <c r="K814" s="5481"/>
      <c r="L814" s="5481"/>
      <c r="M814" s="5479"/>
      <c r="N814" s="5480"/>
      <c r="O814" s="5481"/>
      <c r="P814" s="5481"/>
      <c r="Q814" s="5481"/>
      <c r="R814" s="5479"/>
      <c r="S814" s="4598"/>
      <c r="T814" s="4597" t="s">
        <v>2139</v>
      </c>
      <c r="U814" s="643"/>
      <c r="V814" s="644"/>
      <c r="W814" s="6787">
        <f>ROUNDDOWN(W813*1.5,0)</f>
        <v>388</v>
      </c>
      <c r="X814" s="4598"/>
      <c r="Y814" s="5481"/>
      <c r="Z814" s="5481"/>
      <c r="AA814" s="5481"/>
      <c r="AB814" s="5479"/>
      <c r="AC814" s="4598"/>
      <c r="AD814" s="5481"/>
      <c r="AE814" s="5481"/>
      <c r="AF814" s="5481"/>
      <c r="AG814" s="5479"/>
      <c r="AH814" s="4600"/>
      <c r="AI814" s="6747"/>
    </row>
    <row r="815" ht="15.0" customHeight="1">
      <c r="A815" s="6738"/>
      <c r="B815" s="3663"/>
      <c r="C815" s="3664"/>
      <c r="D815" s="3665"/>
      <c r="E815" s="3666"/>
      <c r="F815" s="3666"/>
      <c r="G815" s="3666"/>
      <c r="H815" s="3667"/>
      <c r="I815" s="3667"/>
      <c r="J815" s="3666"/>
      <c r="K815" s="3666"/>
      <c r="L815" s="3666"/>
      <c r="M815" s="3667"/>
      <c r="N815" s="3669"/>
      <c r="O815" s="3670"/>
      <c r="P815" s="3670"/>
      <c r="Q815" s="3671"/>
      <c r="R815" s="3671"/>
      <c r="S815" s="3671"/>
      <c r="T815" s="5738"/>
      <c r="U815" s="5738"/>
      <c r="V815" s="5739"/>
      <c r="W815" s="3671"/>
      <c r="X815" s="3669"/>
      <c r="Y815" s="3670"/>
      <c r="Z815" s="3670"/>
      <c r="AA815" s="3671"/>
      <c r="AB815" s="3671"/>
      <c r="AC815" s="3672"/>
      <c r="AD815" s="3670"/>
      <c r="AE815" s="3670"/>
      <c r="AF815" s="3671"/>
      <c r="AG815" s="3671"/>
      <c r="AH815" s="3673"/>
      <c r="AI815" s="6747"/>
    </row>
    <row r="816" ht="18.75" customHeight="1">
      <c r="A816" s="6738"/>
      <c r="B816" s="4602"/>
      <c r="C816" s="4603"/>
      <c r="D816" s="4603"/>
      <c r="E816" s="7299"/>
      <c r="F816" s="7299"/>
      <c r="G816" s="7299"/>
      <c r="H816" s="7299"/>
      <c r="I816" s="4603"/>
      <c r="J816" s="7299"/>
      <c r="K816" s="7299"/>
      <c r="L816" s="7299"/>
      <c r="M816" s="7299"/>
      <c r="N816" s="4603"/>
      <c r="O816" s="7299"/>
      <c r="P816" s="7299"/>
      <c r="Q816" s="7299"/>
      <c r="R816" s="7299"/>
      <c r="S816" s="4603"/>
      <c r="T816" s="7299"/>
      <c r="U816" s="7299"/>
      <c r="V816" s="7299"/>
      <c r="W816" s="7299"/>
      <c r="X816" s="4603"/>
      <c r="Y816" s="7299"/>
      <c r="Z816" s="7299"/>
      <c r="AA816" s="7299"/>
      <c r="AB816" s="7299"/>
      <c r="AC816" s="4603"/>
      <c r="AD816" s="7299"/>
      <c r="AE816" s="7299"/>
      <c r="AF816" s="7299"/>
      <c r="AG816" s="7299"/>
      <c r="AH816" s="4604"/>
      <c r="AI816" s="6747"/>
    </row>
    <row r="817" ht="96.75" customHeight="1">
      <c r="A817" s="6676"/>
      <c r="B817" s="4610"/>
      <c r="C817" s="4611" t="str">
        <f>IMAGE("https://i.ibb.co/DDVMpxR/Channeler.png")</f>
        <v/>
      </c>
      <c r="D817" s="4612"/>
      <c r="E817" s="4613" t="str">
        <f t="array" ref="E817">IFERROR(VLOOKUP(E818,Dex!$B$3:$G1219,3,FALSE),"")</f>
        <v/>
      </c>
      <c r="F817" s="1945"/>
      <c r="G817" s="1945"/>
      <c r="H817" s="1946"/>
      <c r="I817" s="4614"/>
      <c r="J817" s="4613" t="str">
        <f t="array" ref="J817">IFERROR(VLOOKUP(J818,Dex!$B$3:$G1219,3,FALSE),"")</f>
        <v/>
      </c>
      <c r="K817" s="1945"/>
      <c r="L817" s="1945"/>
      <c r="M817" s="1946"/>
      <c r="N817" s="4614"/>
      <c r="O817" s="4613" t="str">
        <f t="array" ref="O817">IFERROR(VLOOKUP(O818,Dex!$B$3:$G1219,3,FALSE),"")</f>
        <v/>
      </c>
      <c r="P817" s="1945"/>
      <c r="Q817" s="1945"/>
      <c r="R817" s="1946"/>
      <c r="S817" s="4614"/>
      <c r="T817" s="4613" t="str">
        <f t="array" ref="T817">IFERROR(VLOOKUP(T818,Dex!$B$3:$G1219,3,FALSE),"")</f>
        <v/>
      </c>
      <c r="U817" s="1945"/>
      <c r="V817" s="1945"/>
      <c r="W817" s="1946"/>
      <c r="X817" s="4614"/>
      <c r="Y817" s="4613" t="str">
        <f t="array" ref="Y817">IFERROR(VLOOKUP(Y818,Dex!$B$3:$G1219,3,FALSE),"")</f>
        <v/>
      </c>
      <c r="Z817" s="1945"/>
      <c r="AA817" s="1945"/>
      <c r="AB817" s="1946"/>
      <c r="AC817" s="4614"/>
      <c r="AD817" s="4613" t="str">
        <f t="array" ref="AD817">IFERROR(VLOOKUP(AD818,Dex!$B$3:$G1219,3,FALSE),"")</f>
        <v/>
      </c>
      <c r="AE817" s="1945"/>
      <c r="AF817" s="1945"/>
      <c r="AG817" s="1946"/>
      <c r="AH817" s="4631"/>
      <c r="AI817" s="6680"/>
    </row>
    <row r="818" ht="18.75" customHeight="1">
      <c r="A818" s="6691"/>
      <c r="B818" s="4620"/>
      <c r="C818" s="4621" t="s">
        <v>2140</v>
      </c>
      <c r="D818" s="4622"/>
      <c r="E818" s="4623" t="s">
        <v>59</v>
      </c>
      <c r="F818" s="4624"/>
      <c r="G818" s="4624"/>
      <c r="H818" s="4625"/>
      <c r="I818" s="4614"/>
      <c r="J818" s="4623" t="s">
        <v>2141</v>
      </c>
      <c r="K818" s="4624"/>
      <c r="L818" s="4624"/>
      <c r="M818" s="4625"/>
      <c r="N818" s="4614"/>
      <c r="O818" s="4623" t="s">
        <v>2128</v>
      </c>
      <c r="P818" s="4624"/>
      <c r="Q818" s="4624"/>
      <c r="R818" s="4625"/>
      <c r="S818" s="4614"/>
      <c r="T818" s="4623" t="s">
        <v>884</v>
      </c>
      <c r="U818" s="4624"/>
      <c r="V818" s="4624"/>
      <c r="W818" s="4625"/>
      <c r="X818" s="4614"/>
      <c r="Y818" s="4623" t="s">
        <v>1122</v>
      </c>
      <c r="Z818" s="4624"/>
      <c r="AA818" s="4624"/>
      <c r="AB818" s="4625"/>
      <c r="AC818" s="4614"/>
      <c r="AD818" s="4623" t="s">
        <v>1732</v>
      </c>
      <c r="AE818" s="4624"/>
      <c r="AF818" s="4624"/>
      <c r="AG818" s="4625"/>
      <c r="AH818" s="4626"/>
      <c r="AI818" s="6699"/>
    </row>
    <row r="819">
      <c r="A819" s="6676"/>
      <c r="B819" s="4610"/>
      <c r="C819" s="1638"/>
      <c r="D819" s="4627"/>
      <c r="E819" s="4628" t="s">
        <v>729</v>
      </c>
      <c r="F819" s="4629"/>
      <c r="G819" s="4629"/>
      <c r="H819" s="4630"/>
      <c r="I819" s="4614"/>
      <c r="J819" s="4628" t="s">
        <v>729</v>
      </c>
      <c r="K819" s="4629"/>
      <c r="L819" s="4629"/>
      <c r="M819" s="4630"/>
      <c r="N819" s="4614"/>
      <c r="O819" s="4628" t="s">
        <v>729</v>
      </c>
      <c r="P819" s="4629"/>
      <c r="Q819" s="4629"/>
      <c r="R819" s="4630"/>
      <c r="S819" s="4614"/>
      <c r="T819" s="4628" t="s">
        <v>729</v>
      </c>
      <c r="U819" s="4629"/>
      <c r="V819" s="4629"/>
      <c r="W819" s="4630"/>
      <c r="X819" s="4614"/>
      <c r="Y819" s="4628" t="s">
        <v>729</v>
      </c>
      <c r="Z819" s="4629"/>
      <c r="AA819" s="4629"/>
      <c r="AB819" s="4630"/>
      <c r="AC819" s="4614"/>
      <c r="AD819" s="4628" t="s">
        <v>729</v>
      </c>
      <c r="AE819" s="4629"/>
      <c r="AF819" s="4629"/>
      <c r="AG819" s="4630"/>
      <c r="AH819" s="4631"/>
      <c r="AI819" s="6680"/>
    </row>
    <row r="820" ht="25.5" customHeight="1">
      <c r="A820" s="6676"/>
      <c r="B820" s="4610"/>
      <c r="C820" s="1646"/>
      <c r="D820" s="4632"/>
      <c r="E820" s="4633"/>
      <c r="F820" s="4634" t="str">
        <f t="array" ref="F820">IFERROR(VLOOKUP(E818,Dex!$B$3:$H1219,5,FALSE),"")</f>
        <v/>
      </c>
      <c r="G820" s="4635" t="str">
        <f t="array" ref="G820">IFERROR(VLOOKUP(E818,Dex!$B$3:$H1219,7,FALSE),"")</f>
        <v/>
      </c>
      <c r="H820" s="4636"/>
      <c r="I820" s="4637"/>
      <c r="J820" s="4633"/>
      <c r="K820" s="4638" t="str">
        <f t="array" ref="K820">IFERROR(VLOOKUP(J818,Dex!$B$3:$H1219,5,FALSE),"")</f>
        <v/>
      </c>
      <c r="L820" s="4639"/>
      <c r="M820" s="4636"/>
      <c r="N820" s="4637"/>
      <c r="O820" s="4633"/>
      <c r="P820" s="4634" t="str">
        <f t="array" ref="P820">IFERROR(VLOOKUP(O818,Dex!$B$3:$H1219,5,FALSE),"")</f>
        <v/>
      </c>
      <c r="Q820" s="4635" t="str">
        <f t="array" ref="Q820">IFERROR(VLOOKUP(O818,Dex!$B$3:$H1219,7,FALSE),"")</f>
        <v/>
      </c>
      <c r="R820" s="4636"/>
      <c r="S820" s="4637"/>
      <c r="T820" s="4633"/>
      <c r="U820" s="4634" t="str">
        <f t="array" ref="U820">IFERROR(VLOOKUP(T818,Dex!$B$3:$H1219,5,FALSE),"")</f>
        <v/>
      </c>
      <c r="V820" s="4635" t="str">
        <f t="array" ref="V820">IFERROR(VLOOKUP(T818,Dex!$B$3:$H1219,7,FALSE),"")</f>
        <v/>
      </c>
      <c r="W820" s="4636"/>
      <c r="X820" s="4637"/>
      <c r="Y820" s="4633"/>
      <c r="Z820" s="4634" t="str">
        <f t="array" ref="Z820">IFERROR(VLOOKUP(Y818,Dex!$B$3:$H1219,5,FALSE),"")</f>
        <v/>
      </c>
      <c r="AA820" s="4635" t="str">
        <f t="array" ref="AA820">IFERROR(VLOOKUP(Y818,Dex!$B$3:$H1219,7,FALSE),"")</f>
        <v/>
      </c>
      <c r="AB820" s="4636"/>
      <c r="AC820" s="4637"/>
      <c r="AD820" s="4633"/>
      <c r="AE820" s="4634" t="str">
        <f t="array" ref="AE820">IFERROR(VLOOKUP(AD818,Dex!$B$3:$H1219,5,FALSE),"")</f>
        <v/>
      </c>
      <c r="AF820" s="4635" t="str">
        <f t="array" ref="AF820">IFERROR(VLOOKUP(AD818,Dex!$B$3:$H1219,7,FALSE),"")</f>
        <v/>
      </c>
      <c r="AG820" s="4636"/>
      <c r="AH820" s="4619"/>
      <c r="AI820" s="6680"/>
    </row>
    <row r="821" ht="2.25" customHeight="1">
      <c r="A821" s="6676"/>
      <c r="B821" s="4610"/>
      <c r="C821" s="4640"/>
      <c r="D821" s="4632"/>
      <c r="E821" s="4641"/>
      <c r="F821" s="4642"/>
      <c r="G821" s="4642"/>
      <c r="H821" s="4643"/>
      <c r="I821" s="4637"/>
      <c r="J821" s="4641"/>
      <c r="K821" s="4642"/>
      <c r="L821" s="4642"/>
      <c r="M821" s="4643"/>
      <c r="N821" s="4637"/>
      <c r="O821" s="4641"/>
      <c r="P821" s="4642"/>
      <c r="Q821" s="4642"/>
      <c r="R821" s="4643"/>
      <c r="S821" s="4637"/>
      <c r="T821" s="4641"/>
      <c r="U821" s="4642"/>
      <c r="V821" s="4642"/>
      <c r="W821" s="4643"/>
      <c r="X821" s="4637"/>
      <c r="Y821" s="4641"/>
      <c r="Z821" s="4642"/>
      <c r="AA821" s="4642"/>
      <c r="AB821" s="4643"/>
      <c r="AC821" s="4637"/>
      <c r="AD821" s="4641"/>
      <c r="AE821" s="4642"/>
      <c r="AF821" s="4642"/>
      <c r="AG821" s="4643"/>
      <c r="AH821" s="4619"/>
      <c r="AI821" s="6680"/>
    </row>
    <row r="822" ht="20.25" customHeight="1">
      <c r="A822" s="6676"/>
      <c r="B822" s="4610"/>
      <c r="C822" s="4644"/>
      <c r="D822" s="4645"/>
      <c r="E822" s="4646" t="s">
        <v>532</v>
      </c>
      <c r="F822" s="4647"/>
      <c r="G822" s="4647"/>
      <c r="H822" s="4648"/>
      <c r="I822" s="4614"/>
      <c r="J822" s="4646" t="s">
        <v>564</v>
      </c>
      <c r="K822" s="4647"/>
      <c r="L822" s="4647"/>
      <c r="M822" s="4648"/>
      <c r="N822" s="4614"/>
      <c r="O822" s="4646" t="s">
        <v>565</v>
      </c>
      <c r="P822" s="4647"/>
      <c r="Q822" s="4647"/>
      <c r="R822" s="4648"/>
      <c r="S822" s="4614"/>
      <c r="T822" s="4646" t="s">
        <v>532</v>
      </c>
      <c r="U822" s="4647"/>
      <c r="V822" s="4647"/>
      <c r="W822" s="4648"/>
      <c r="X822" s="4614"/>
      <c r="Y822" s="4646" t="s">
        <v>564</v>
      </c>
      <c r="Z822" s="4647"/>
      <c r="AA822" s="4647"/>
      <c r="AB822" s="4648"/>
      <c r="AC822" s="4614"/>
      <c r="AD822" s="4646" t="s">
        <v>532</v>
      </c>
      <c r="AE822" s="4647"/>
      <c r="AF822" s="4647"/>
      <c r="AG822" s="4648"/>
      <c r="AH822" s="4631"/>
      <c r="AI822" s="6680"/>
    </row>
    <row r="823">
      <c r="A823" s="6676"/>
      <c r="B823" s="4610"/>
      <c r="C823" s="4644"/>
      <c r="D823" s="4645"/>
      <c r="E823" s="4649" t="s">
        <v>109</v>
      </c>
      <c r="F823" s="4617"/>
      <c r="G823" s="4617"/>
      <c r="H823" s="4650"/>
      <c r="I823" s="4614"/>
      <c r="J823" s="4649" t="s">
        <v>1184</v>
      </c>
      <c r="K823" s="4617"/>
      <c r="L823" s="4617"/>
      <c r="M823" s="4650"/>
      <c r="N823" s="4614"/>
      <c r="O823" s="4649" t="s">
        <v>2131</v>
      </c>
      <c r="P823" s="4617"/>
      <c r="Q823" s="4617"/>
      <c r="R823" s="4650"/>
      <c r="S823" s="4614"/>
      <c r="T823" s="4649" t="s">
        <v>1762</v>
      </c>
      <c r="U823" s="4617"/>
      <c r="V823" s="4617"/>
      <c r="W823" s="4650"/>
      <c r="X823" s="4614"/>
      <c r="Y823" s="4649" t="s">
        <v>484</v>
      </c>
      <c r="Z823" s="4617"/>
      <c r="AA823" s="4617"/>
      <c r="AB823" s="4650"/>
      <c r="AC823" s="4614"/>
      <c r="AD823" s="4649" t="s">
        <v>2142</v>
      </c>
      <c r="AE823" s="4617"/>
      <c r="AF823" s="4617"/>
      <c r="AG823" s="4650"/>
      <c r="AH823" s="4631"/>
      <c r="AI823" s="6680"/>
    </row>
    <row r="824" ht="20.25" customHeight="1">
      <c r="A824" s="6676"/>
      <c r="B824" s="4610"/>
      <c r="C824" s="4644"/>
      <c r="D824" s="4645"/>
      <c r="E824" s="4651" t="s">
        <v>870</v>
      </c>
      <c r="F824" s="4608"/>
      <c r="G824" s="4609"/>
      <c r="H824" s="4652" t="str">
        <f>IMAGE("https://raw.githubusercontent.com/msikma/pokesprite/master/items/berry/chople.png",3)</f>
        <v/>
      </c>
      <c r="I824" s="4653"/>
      <c r="J824" s="4651" t="s">
        <v>573</v>
      </c>
      <c r="K824" s="4608"/>
      <c r="L824" s="4609"/>
      <c r="M824" s="4652" t="str">
        <f>IMAGE("https://raw.githubusercontent.com/msikma/pokesprite/master/items/hold-item/focus-sash.png",3)</f>
        <v/>
      </c>
      <c r="N824" s="4653"/>
      <c r="O824" s="4651" t="s">
        <v>1445</v>
      </c>
      <c r="P824" s="4608"/>
      <c r="Q824" s="4609"/>
      <c r="R824" s="4652" t="str">
        <f>IMAGE("https://raw.githubusercontent.com/msikma/pokesprite/master/items/hold-item/choice-scarf.png",3)</f>
        <v/>
      </c>
      <c r="S824" s="4653"/>
      <c r="T824" s="4651" t="s">
        <v>541</v>
      </c>
      <c r="U824" s="4608"/>
      <c r="V824" s="4609"/>
      <c r="W824" s="4652" t="str">
        <f>IMAGE("https://raw.githubusercontent.com/msikma/pokesprite/master/items/hold-item/life-orb.png",3)</f>
        <v/>
      </c>
      <c r="X824" s="4653"/>
      <c r="Y824" s="4651" t="s">
        <v>541</v>
      </c>
      <c r="Z824" s="4608"/>
      <c r="AA824" s="4609"/>
      <c r="AB824" s="4652" t="str">
        <f>IMAGE("https://raw.githubusercontent.com/msikma/pokesprite/master/items/hold-item/life-orb.png",3)</f>
        <v/>
      </c>
      <c r="AC824" s="4653"/>
      <c r="AD824" s="4651" t="s">
        <v>1737</v>
      </c>
      <c r="AE824" s="4608"/>
      <c r="AF824" s="4609"/>
      <c r="AG824" s="4652" t="str">
        <f>IMAGE("https://raw.githubusercontent.com/msikma/pokesprite/master/items/mega-stone/absolite.png",3)</f>
        <v/>
      </c>
      <c r="AH824" s="4619"/>
      <c r="AI824" s="6680"/>
    </row>
    <row r="825" ht="20.25" customHeight="1">
      <c r="A825" s="6676"/>
      <c r="B825" s="4610"/>
      <c r="C825" s="4654"/>
      <c r="D825" s="4645"/>
      <c r="E825" s="4646" t="s">
        <v>191</v>
      </c>
      <c r="F825" s="4647"/>
      <c r="G825" s="4655"/>
      <c r="H825" s="4656" t="str">
        <f t="shared" ref="H825:H826" si="32">IMAGE("https://raw.githubusercontent.com/msikma/pokesprite/master/misc/types/gen8/rock.png",4,20,20)</f>
        <v/>
      </c>
      <c r="I825" s="4653"/>
      <c r="J825" s="4646" t="s">
        <v>1313</v>
      </c>
      <c r="K825" s="4647"/>
      <c r="L825" s="4655"/>
      <c r="M825" s="4656" t="str">
        <f t="shared" ref="M825:M827" si="33">IMAGE("https://raw.githubusercontent.com/msikma/pokesprite/master/misc/types/gen8/dark.png",4,20,20)</f>
        <v/>
      </c>
      <c r="N825" s="4653"/>
      <c r="O825" s="4646" t="s">
        <v>612</v>
      </c>
      <c r="P825" s="4647"/>
      <c r="Q825" s="4655"/>
      <c r="R825" s="4656" t="str">
        <f>IMAGE("https://raw.githubusercontent.com/msikma/pokesprite/master/misc/types/gen8/bug.png",4,20,20)</f>
        <v/>
      </c>
      <c r="S825" s="4653"/>
      <c r="T825" s="4646" t="s">
        <v>545</v>
      </c>
      <c r="U825" s="4647"/>
      <c r="V825" s="4655"/>
      <c r="W825" s="4656" t="str">
        <f>IMAGE("https://raw.githubusercontent.com/msikma/pokesprite/master/misc/types/gen8/poison.png",4,20,20)</f>
        <v/>
      </c>
      <c r="X825" s="4653"/>
      <c r="Y825" s="4646" t="s">
        <v>1313</v>
      </c>
      <c r="Z825" s="4647"/>
      <c r="AA825" s="4655"/>
      <c r="AB825" s="4656" t="str">
        <f>IMAGE("https://raw.githubusercontent.com/msikma/pokesprite/master/misc/types/gen8/dark.png",4,20,20)</f>
        <v/>
      </c>
      <c r="AC825" s="4653"/>
      <c r="AD825" s="4646" t="s">
        <v>835</v>
      </c>
      <c r="AE825" s="4647"/>
      <c r="AF825" s="4655"/>
      <c r="AG825" s="4656" t="str">
        <f t="shared" ref="AG825:AG826" si="34">IMAGE("https://raw.githubusercontent.com/msikma/pokesprite/master/misc/types/gen8/dark.png",4,20,20)</f>
        <v/>
      </c>
      <c r="AH825" s="4619"/>
      <c r="AI825" s="6680"/>
    </row>
    <row r="826" ht="20.25" customHeight="1">
      <c r="A826" s="6676"/>
      <c r="B826" s="4610"/>
      <c r="C826" s="4657"/>
      <c r="D826" s="4645"/>
      <c r="E826" s="4649" t="s">
        <v>621</v>
      </c>
      <c r="F826" s="4617"/>
      <c r="G826" s="4618"/>
      <c r="H826" s="4658" t="str">
        <f t="shared" si="32"/>
        <v/>
      </c>
      <c r="I826" s="4653"/>
      <c r="J826" s="4649" t="s">
        <v>259</v>
      </c>
      <c r="K826" s="4617"/>
      <c r="L826" s="4618"/>
      <c r="M826" s="4658" t="str">
        <f t="shared" si="33"/>
        <v/>
      </c>
      <c r="N826" s="4653"/>
      <c r="O826" s="4649" t="s">
        <v>928</v>
      </c>
      <c r="P826" s="4617"/>
      <c r="Q826" s="4618"/>
      <c r="R826" s="4658" t="str">
        <f>IMAGE("https://raw.githubusercontent.com/msikma/pokesprite/master/misc/types/gen8/normal.png",4,20,20)</f>
        <v/>
      </c>
      <c r="S826" s="4653"/>
      <c r="T826" s="4649" t="s">
        <v>583</v>
      </c>
      <c r="U826" s="4617"/>
      <c r="V826" s="4618"/>
      <c r="W826" s="4658" t="str">
        <f>IMAGE("https://raw.githubusercontent.com/msikma/pokesprite/master/misc/types/gen8/fighting.png",4,20,20)</f>
        <v/>
      </c>
      <c r="X826" s="4653"/>
      <c r="Y826" s="4649" t="s">
        <v>617</v>
      </c>
      <c r="Z826" s="4617"/>
      <c r="AA826" s="4618"/>
      <c r="AB826" s="4658" t="str">
        <f>IMAGE("https://raw.githubusercontent.com/msikma/pokesprite/master/misc/types/gen8/dragon.png",4,20,20)</f>
        <v/>
      </c>
      <c r="AC826" s="4653"/>
      <c r="AD826" s="4649" t="s">
        <v>554</v>
      </c>
      <c r="AE826" s="4617"/>
      <c r="AF826" s="4618"/>
      <c r="AG826" s="4658" t="str">
        <f t="shared" si="34"/>
        <v/>
      </c>
      <c r="AH826" s="4619"/>
      <c r="AI826" s="6680"/>
    </row>
    <row r="827" ht="20.25" customHeight="1">
      <c r="A827" s="6676"/>
      <c r="B827" s="4610"/>
      <c r="C827" s="4657"/>
      <c r="D827" s="4645"/>
      <c r="E827" s="4649" t="s">
        <v>579</v>
      </c>
      <c r="F827" s="4617"/>
      <c r="G827" s="4618"/>
      <c r="H827" s="4658" t="str">
        <f>IMAGE("https://raw.githubusercontent.com/msikma/pokesprite/master/misc/types/gen8/dark.png",4,20,20)</f>
        <v/>
      </c>
      <c r="I827" s="4653"/>
      <c r="J827" s="4649" t="s">
        <v>1188</v>
      </c>
      <c r="K827" s="4617"/>
      <c r="L827" s="4618"/>
      <c r="M827" s="4658" t="str">
        <f t="shared" si="33"/>
        <v/>
      </c>
      <c r="N827" s="4653"/>
      <c r="O827" s="4649" t="s">
        <v>647</v>
      </c>
      <c r="P827" s="4617"/>
      <c r="Q827" s="4618"/>
      <c r="R827" s="4658" t="str">
        <f>IMAGE("https://raw.githubusercontent.com/msikma/pokesprite/master/misc/types/gen8/ghost.png",4,20,20)</f>
        <v/>
      </c>
      <c r="S827" s="4653"/>
      <c r="T827" s="4649" t="s">
        <v>621</v>
      </c>
      <c r="U827" s="4617"/>
      <c r="V827" s="4618"/>
      <c r="W827" s="4658" t="str">
        <f>IMAGE("https://raw.githubusercontent.com/msikma/pokesprite/master/misc/types/gen8/rock.png",4,20,20)</f>
        <v/>
      </c>
      <c r="X827" s="4653"/>
      <c r="Y827" s="4649" t="s">
        <v>590</v>
      </c>
      <c r="Z827" s="4617"/>
      <c r="AA827" s="4618"/>
      <c r="AB827" s="4658" t="str">
        <f>IMAGE("https://raw.githubusercontent.com/msikma/pokesprite/master/misc/types/gen8/fighting.png",4,20,20)</f>
        <v/>
      </c>
      <c r="AC827" s="4653"/>
      <c r="AD827" s="4649" t="s">
        <v>904</v>
      </c>
      <c r="AE827" s="4617"/>
      <c r="AF827" s="4618"/>
      <c r="AG827" s="4658" t="str">
        <f>IMAGE("https://raw.githubusercontent.com/msikma/pokesprite/master/misc/types/gen8/psychic.png",4,20,20)</f>
        <v/>
      </c>
      <c r="AH827" s="4619"/>
      <c r="AI827" s="6680"/>
    </row>
    <row r="828" ht="21.0" customHeight="1">
      <c r="A828" s="6676"/>
      <c r="B828" s="4610"/>
      <c r="C828" s="4657"/>
      <c r="D828" s="4645"/>
      <c r="E828" s="4659" t="s">
        <v>1020</v>
      </c>
      <c r="F828" s="4660"/>
      <c r="G828" s="4661"/>
      <c r="H828" s="4662" t="str">
        <f>IMAGE("https://raw.githubusercontent.com/msikma/pokesprite/master/misc/types/gen8/fire.png",4,20,20)</f>
        <v/>
      </c>
      <c r="I828" s="4653"/>
      <c r="J828" s="4659" t="s">
        <v>590</v>
      </c>
      <c r="K828" s="4660"/>
      <c r="L828" s="4661"/>
      <c r="M828" s="4662" t="str">
        <f>IMAGE("https://raw.githubusercontent.com/msikma/pokesprite/master/misc/types/gen8/fighting.png",4,20,20)</f>
        <v/>
      </c>
      <c r="N828" s="4653"/>
      <c r="O828" s="4659" t="s">
        <v>579</v>
      </c>
      <c r="P828" s="4660"/>
      <c r="Q828" s="4661"/>
      <c r="R828" s="4662" t="str">
        <f>IMAGE("https://raw.githubusercontent.com/msikma/pokesprite/master/misc/types/gen8/dark.png",4,20,20)</f>
        <v/>
      </c>
      <c r="S828" s="4653"/>
      <c r="T828" s="4659" t="s">
        <v>549</v>
      </c>
      <c r="U828" s="4660"/>
      <c r="V828" s="4661"/>
      <c r="W828" s="4662" t="str">
        <f>IMAGE("https://raw.githubusercontent.com/msikma/pokesprite/master/misc/types/gen8/ground.png",4,20,20)</f>
        <v/>
      </c>
      <c r="X828" s="4653"/>
      <c r="Y828" s="4659" t="s">
        <v>644</v>
      </c>
      <c r="Z828" s="4660"/>
      <c r="AA828" s="4661"/>
      <c r="AB828" s="4662" t="str">
        <f>IMAGE("https://raw.githubusercontent.com/msikma/pokesprite/master/misc/types/gen8/ground.png",4,20,20)</f>
        <v/>
      </c>
      <c r="AC828" s="4653"/>
      <c r="AD828" s="4659" t="s">
        <v>959</v>
      </c>
      <c r="AE828" s="4660"/>
      <c r="AF828" s="4661"/>
      <c r="AG828" s="4662" t="str">
        <f>IMAGE("https://raw.githubusercontent.com/msikma/pokesprite/master/misc/types/gen8/fairy.png",4,20,20)</f>
        <v/>
      </c>
      <c r="AH828" s="4619"/>
      <c r="AI828" s="6680"/>
    </row>
    <row r="829" ht="3.0" customHeight="1">
      <c r="A829" s="6738"/>
      <c r="B829" s="4663"/>
      <c r="C829" s="4606"/>
      <c r="D829" s="4664"/>
      <c r="E829" s="4667"/>
      <c r="F829" s="4667"/>
      <c r="G829" s="4667"/>
      <c r="H829" s="4666"/>
      <c r="I829" s="4664"/>
      <c r="J829" s="4667"/>
      <c r="K829" s="4667"/>
      <c r="L829" s="4667"/>
      <c r="M829" s="4666"/>
      <c r="N829" s="4664"/>
      <c r="O829" s="4667"/>
      <c r="P829" s="4667"/>
      <c r="Q829" s="4667"/>
      <c r="R829" s="4666"/>
      <c r="S829" s="4666"/>
      <c r="T829" s="4667"/>
      <c r="U829" s="4667"/>
      <c r="V829" s="4667"/>
      <c r="W829" s="4666"/>
      <c r="X829" s="4664"/>
      <c r="Y829" s="4667"/>
      <c r="Z829" s="4667"/>
      <c r="AA829" s="4667"/>
      <c r="AB829" s="4666"/>
      <c r="AC829" s="4668"/>
      <c r="AD829" s="4667"/>
      <c r="AE829" s="4667"/>
      <c r="AF829" s="4667"/>
      <c r="AG829" s="4666"/>
      <c r="AH829" s="4669"/>
      <c r="AI829" s="6747"/>
    </row>
    <row r="830" ht="16.5" customHeight="1">
      <c r="A830" s="6738"/>
      <c r="B830" s="4605"/>
      <c r="C830" s="4606"/>
      <c r="D830" s="4673"/>
      <c r="E830" s="4671" t="s">
        <v>512</v>
      </c>
      <c r="F830" s="606"/>
      <c r="G830" s="606"/>
      <c r="H830" s="607"/>
      <c r="I830" s="4672"/>
      <c r="J830" s="4671" t="s">
        <v>512</v>
      </c>
      <c r="K830" s="606"/>
      <c r="L830" s="606"/>
      <c r="M830" s="607"/>
      <c r="N830" s="4673"/>
      <c r="O830" s="4671" t="s">
        <v>512</v>
      </c>
      <c r="P830" s="606"/>
      <c r="Q830" s="606"/>
      <c r="R830" s="607"/>
      <c r="S830" s="4674"/>
      <c r="T830" s="4671" t="s">
        <v>512</v>
      </c>
      <c r="U830" s="606"/>
      <c r="V830" s="606"/>
      <c r="W830" s="607"/>
      <c r="X830" s="4675"/>
      <c r="Y830" s="4671" t="s">
        <v>512</v>
      </c>
      <c r="Z830" s="606"/>
      <c r="AA830" s="606"/>
      <c r="AB830" s="607"/>
      <c r="AC830" s="4675"/>
      <c r="AD830" s="4671" t="s">
        <v>512</v>
      </c>
      <c r="AE830" s="606"/>
      <c r="AF830" s="606"/>
      <c r="AG830" s="607"/>
      <c r="AH830" s="4676"/>
      <c r="AI830" s="6747"/>
    </row>
    <row r="831" ht="16.5" customHeight="1">
      <c r="A831" s="6738"/>
      <c r="B831" s="4605"/>
      <c r="C831" s="4606"/>
      <c r="D831" s="4670"/>
      <c r="E831" s="4677" t="s">
        <v>513</v>
      </c>
      <c r="F831" s="4678">
        <f t="array" ref="F831">IFERROR(VLOOKUP(E818,Dex!$B$3:$N1219,8,FALSE),"")</f>
        <v>100</v>
      </c>
      <c r="G831" s="4679" t="str">
        <f t="array" ref="G831">IFERROR(VLOOKUP(F831,Dex!$P$22:$Q$276,2,FALSE),"")</f>
        <v/>
      </c>
      <c r="H831" s="4680"/>
      <c r="I831" s="4681"/>
      <c r="J831" s="4677" t="s">
        <v>513</v>
      </c>
      <c r="K831" s="4678">
        <f t="array" ref="K831">IFERROR(VLOOKUP(J818,Dex!$B$3:$N1219,8,FALSE),"")</f>
        <v>70</v>
      </c>
      <c r="L831" s="4679" t="str">
        <f t="array" ref="L831">IFERROR(VLOOKUP(K831,Dex!$P$22:$Q$276,2,FALSE),"")</f>
        <v/>
      </c>
      <c r="M831" s="4680"/>
      <c r="N831" s="4670"/>
      <c r="O831" s="4677" t="s">
        <v>513</v>
      </c>
      <c r="P831" s="4678">
        <f t="array" ref="P831">IFERROR(VLOOKUP(O818,Dex!$B$3:$N1219,8,FALSE),"")</f>
        <v>55</v>
      </c>
      <c r="Q831" s="4679" t="str">
        <f t="array" ref="Q831">IFERROR(VLOOKUP(P831,Dex!$P$22:$Q$276,2,FALSE),"")</f>
        <v/>
      </c>
      <c r="R831" s="4680"/>
      <c r="S831" s="4682"/>
      <c r="T831" s="4677" t="s">
        <v>513</v>
      </c>
      <c r="U831" s="4678">
        <f t="array" ref="U831">IFERROR(VLOOKUP(T818,Dex!$B$3:$N1219,8,FALSE),"")</f>
        <v>80</v>
      </c>
      <c r="V831" s="4679" t="str">
        <f t="array" ref="V831">IFERROR(VLOOKUP(U831,Dex!$P$22:$Q$276,2,FALSE),"")</f>
        <v/>
      </c>
      <c r="W831" s="4680"/>
      <c r="X831" s="4682"/>
      <c r="Y831" s="4677" t="s">
        <v>513</v>
      </c>
      <c r="Z831" s="4678">
        <f t="array" ref="Z831">IFERROR(VLOOKUP(Y818,Dex!$B$3:$N1219,8,FALSE),"")</f>
        <v>92</v>
      </c>
      <c r="AA831" s="4679" t="str">
        <f t="array" ref="AA831">IFERROR(VLOOKUP(Z831,Dex!$P$22:$Q$276,2,FALSE),"")</f>
        <v/>
      </c>
      <c r="AB831" s="4680"/>
      <c r="AC831" s="4682"/>
      <c r="AD831" s="4677" t="s">
        <v>513</v>
      </c>
      <c r="AE831" s="4678">
        <f t="array" ref="AE831">IFERROR(VLOOKUP(AD818,Dex!$B$3:$N1219,8,FALSE),"")</f>
        <v>65</v>
      </c>
      <c r="AF831" s="4679" t="str">
        <f t="array" ref="AF831">IFERROR(VLOOKUP(AE831,Dex!$P$22:$Q$276,2,FALSE),"")</f>
        <v/>
      </c>
      <c r="AG831" s="4680"/>
      <c r="AH831" s="4676"/>
      <c r="AI831" s="6747"/>
    </row>
    <row r="832" ht="16.5" customHeight="1">
      <c r="A832" s="6738"/>
      <c r="B832" s="4605"/>
      <c r="C832" s="4606"/>
      <c r="D832" s="4670"/>
      <c r="E832" s="4683" t="s">
        <v>514</v>
      </c>
      <c r="F832" s="4684">
        <f t="array" ref="F832">IFERROR(VLOOKUP(E818,Dex!$B$3:$N1219,9,FALSE),"")</f>
        <v>134</v>
      </c>
      <c r="G832" s="4685" t="str">
        <f t="array" ref="G832">IFERROR(VLOOKUP(F832,Dex!$P$22:$Q$276,2,FALSE),"")</f>
        <v/>
      </c>
      <c r="H832" s="4686"/>
      <c r="I832" s="4681"/>
      <c r="J832" s="4683" t="s">
        <v>514</v>
      </c>
      <c r="K832" s="4684">
        <f t="array" ref="K832">IFERROR(VLOOKUP(J818,Dex!$B$3:$N1219,9,FALSE),"")</f>
        <v>90</v>
      </c>
      <c r="L832" s="4685" t="str">
        <f t="array" ref="L832">IFERROR(VLOOKUP(K832,Dex!$P$22:$Q$276,2,FALSE),"")</f>
        <v/>
      </c>
      <c r="M832" s="4686"/>
      <c r="N832" s="4670"/>
      <c r="O832" s="4683" t="s">
        <v>514</v>
      </c>
      <c r="P832" s="4684">
        <f t="array" ref="P832">IFERROR(VLOOKUP(O818,Dex!$B$3:$N1219,9,FALSE),"")</f>
        <v>100</v>
      </c>
      <c r="Q832" s="4685" t="str">
        <f t="array" ref="Q832">IFERROR(VLOOKUP(P832,Dex!$P$22:$Q$276,2,FALSE),"")</f>
        <v/>
      </c>
      <c r="R832" s="4686"/>
      <c r="S832" s="4682"/>
      <c r="T832" s="4683" t="s">
        <v>514</v>
      </c>
      <c r="U832" s="4684">
        <f t="array" ref="U832">IFERROR(VLOOKUP(T818,Dex!$B$3:$N1219,9,FALSE),"")</f>
        <v>130</v>
      </c>
      <c r="V832" s="4685" t="str">
        <f t="array" ref="V832">IFERROR(VLOOKUP(U832,Dex!$P$22:$Q$276,2,FALSE),"")</f>
        <v/>
      </c>
      <c r="W832" s="4686"/>
      <c r="X832" s="4682"/>
      <c r="Y832" s="4683" t="s">
        <v>514</v>
      </c>
      <c r="Z832" s="4684">
        <f t="array" ref="Z832">IFERROR(VLOOKUP(Y818,Dex!$B$3:$N1219,9,FALSE),"")</f>
        <v>105</v>
      </c>
      <c r="AA832" s="4685" t="str">
        <f t="array" ref="AA832">IFERROR(VLOOKUP(Z832,Dex!$P$22:$Q$276,2,FALSE),"")</f>
        <v/>
      </c>
      <c r="AB832" s="4686"/>
      <c r="AC832" s="4682"/>
      <c r="AD832" s="4683" t="s">
        <v>514</v>
      </c>
      <c r="AE832" s="4684">
        <f t="array" ref="AE832">IFERROR(VLOOKUP(AD818,Dex!$B$3:$N1219,9,FALSE),"")</f>
        <v>150</v>
      </c>
      <c r="AF832" s="4685" t="str">
        <f t="array" ref="AF832">IFERROR(VLOOKUP(AE832,Dex!$P$22:$Q$276,2,FALSE),"")</f>
        <v/>
      </c>
      <c r="AG832" s="4686"/>
      <c r="AH832" s="4676"/>
      <c r="AI832" s="6747"/>
    </row>
    <row r="833" ht="16.5" customHeight="1">
      <c r="A833" s="6738"/>
      <c r="B833" s="4605"/>
      <c r="C833" s="4606"/>
      <c r="D833" s="4670"/>
      <c r="E833" s="4683" t="s">
        <v>515</v>
      </c>
      <c r="F833" s="4684">
        <f t="array" ref="F833">IFERROR(VLOOKUP(E818,Dex!$B$3:$N1219,10,FALSE),"")</f>
        <v>110</v>
      </c>
      <c r="G833" s="4685" t="str">
        <f t="array" ref="G833">IFERROR(VLOOKUP(F833,Dex!$P$22:$Q$276,2,FALSE),"")</f>
        <v/>
      </c>
      <c r="H833" s="4686"/>
      <c r="I833" s="4681"/>
      <c r="J833" s="4683" t="s">
        <v>515</v>
      </c>
      <c r="K833" s="4684">
        <f t="array" ref="K833">IFERROR(VLOOKUP(J818,Dex!$B$3:$N1219,10,FALSE),"")</f>
        <v>90</v>
      </c>
      <c r="L833" s="4685" t="str">
        <f t="array" ref="L833">IFERROR(VLOOKUP(K833,Dex!$P$22:$Q$276,2,FALSE),"")</f>
        <v/>
      </c>
      <c r="M833" s="4686"/>
      <c r="N833" s="4670"/>
      <c r="O833" s="4683" t="s">
        <v>515</v>
      </c>
      <c r="P833" s="4684">
        <f t="array" ref="P833">IFERROR(VLOOKUP(O818,Dex!$B$3:$N1219,10,FALSE),"")</f>
        <v>60</v>
      </c>
      <c r="Q833" s="4685" t="str">
        <f t="array" ref="Q833">IFERROR(VLOOKUP(P833,Dex!$P$22:$Q$276,2,FALSE),"")</f>
        <v/>
      </c>
      <c r="R833" s="4686"/>
      <c r="S833" s="4682"/>
      <c r="T833" s="4683" t="s">
        <v>515</v>
      </c>
      <c r="U833" s="4684">
        <f t="array" ref="U833">IFERROR(VLOOKUP(T818,Dex!$B$3:$N1219,10,FALSE),"")</f>
        <v>60</v>
      </c>
      <c r="V833" s="4685" t="str">
        <f t="array" ref="V833">IFERROR(VLOOKUP(U833,Dex!$P$22:$Q$276,2,FALSE),"")</f>
        <v/>
      </c>
      <c r="W833" s="4686"/>
      <c r="X833" s="4682"/>
      <c r="Y833" s="4683" t="s">
        <v>515</v>
      </c>
      <c r="Z833" s="4684">
        <f t="array" ref="Z833">IFERROR(VLOOKUP(Y818,Dex!$B$3:$N1219,10,FALSE),"")</f>
        <v>90</v>
      </c>
      <c r="AA833" s="4685" t="str">
        <f t="array" ref="AA833">IFERROR(VLOOKUP(Z833,Dex!$P$22:$Q$276,2,FALSE),"")</f>
        <v/>
      </c>
      <c r="AB833" s="4686"/>
      <c r="AC833" s="4682"/>
      <c r="AD833" s="4683" t="s">
        <v>515</v>
      </c>
      <c r="AE833" s="4684">
        <f t="array" ref="AE833">IFERROR(VLOOKUP(AD818,Dex!$B$3:$N1219,10,FALSE),"")</f>
        <v>60</v>
      </c>
      <c r="AF833" s="4685" t="str">
        <f t="array" ref="AF833">IFERROR(VLOOKUP(AE833,Dex!$P$22:$Q$276,2,FALSE),"")</f>
        <v/>
      </c>
      <c r="AG833" s="4686"/>
      <c r="AH833" s="4676"/>
      <c r="AI833" s="6747"/>
    </row>
    <row r="834" ht="16.5" customHeight="1">
      <c r="A834" s="6738"/>
      <c r="B834" s="4605"/>
      <c r="C834" s="4606"/>
      <c r="D834" s="4670"/>
      <c r="E834" s="4683" t="s">
        <v>516</v>
      </c>
      <c r="F834" s="4684">
        <f t="array" ref="F834">IFERROR(VLOOKUP(E818,Dex!$B$3:$N1219,11,FALSE),"")</f>
        <v>95</v>
      </c>
      <c r="G834" s="4685" t="str">
        <f t="array" ref="G834">IFERROR(VLOOKUP(F834,Dex!$P$22:$Q$276,2,FALSE),"")</f>
        <v/>
      </c>
      <c r="H834" s="4686"/>
      <c r="I834" s="4681"/>
      <c r="J834" s="4683" t="s">
        <v>516</v>
      </c>
      <c r="K834" s="4684">
        <f t="array" ref="K834">IFERROR(VLOOKUP(J818,Dex!$B$3:$N1219,11,FALSE),"")</f>
        <v>135</v>
      </c>
      <c r="L834" s="4685" t="str">
        <f t="array" ref="L834">IFERROR(VLOOKUP(K834,Dex!$P$22:$Q$276,2,FALSE),"")</f>
        <v/>
      </c>
      <c r="M834" s="4686"/>
      <c r="N834" s="4670"/>
      <c r="O834" s="4683" t="s">
        <v>516</v>
      </c>
      <c r="P834" s="4684">
        <f t="array" ref="P834">IFERROR(VLOOKUP(O818,Dex!$B$3:$N1219,11,FALSE),"")</f>
        <v>125</v>
      </c>
      <c r="Q834" s="4685" t="str">
        <f t="array" ref="Q834">IFERROR(VLOOKUP(P834,Dex!$P$22:$Q$276,2,FALSE),"")</f>
        <v/>
      </c>
      <c r="R834" s="4686"/>
      <c r="S834" s="4682"/>
      <c r="T834" s="4683" t="s">
        <v>516</v>
      </c>
      <c r="U834" s="4684">
        <f t="array" ref="U834">IFERROR(VLOOKUP(T818,Dex!$B$3:$N1219,11,FALSE),"")</f>
        <v>40</v>
      </c>
      <c r="V834" s="4685" t="str">
        <f t="array" ref="V834">IFERROR(VLOOKUP(U834,Dex!$P$22:$Q$276,2,FALSE),"")</f>
        <v/>
      </c>
      <c r="W834" s="4686"/>
      <c r="X834" s="4682"/>
      <c r="Y834" s="4683" t="s">
        <v>516</v>
      </c>
      <c r="Z834" s="4684">
        <f t="array" ref="Z834">IFERROR(VLOOKUP(Y818,Dex!$B$3:$N1219,11,FALSE),"")</f>
        <v>125</v>
      </c>
      <c r="AA834" s="4685" t="str">
        <f t="array" ref="AA834">IFERROR(VLOOKUP(Z834,Dex!$P$22:$Q$276,2,FALSE),"")</f>
        <v/>
      </c>
      <c r="AB834" s="4686"/>
      <c r="AC834" s="4682"/>
      <c r="AD834" s="4683" t="s">
        <v>516</v>
      </c>
      <c r="AE834" s="4684">
        <f t="array" ref="AE834">IFERROR(VLOOKUP(AD818,Dex!$B$3:$N1219,11,FALSE),"")</f>
        <v>115</v>
      </c>
      <c r="AF834" s="4685" t="str">
        <f t="array" ref="AF834">IFERROR(VLOOKUP(AE834,Dex!$P$22:$Q$276,2,FALSE),"")</f>
        <v/>
      </c>
      <c r="AG834" s="4686"/>
      <c r="AH834" s="4676"/>
      <c r="AI834" s="6747"/>
    </row>
    <row r="835" ht="16.5" customHeight="1">
      <c r="A835" s="6738"/>
      <c r="B835" s="4605"/>
      <c r="C835" s="4606"/>
      <c r="D835" s="4670"/>
      <c r="E835" s="4683" t="s">
        <v>517</v>
      </c>
      <c r="F835" s="4684">
        <f t="array" ref="F835">IFERROR(VLOOKUP(E818,Dex!$B$3:$N1219,12,FALSE),"")</f>
        <v>100</v>
      </c>
      <c r="G835" s="4685" t="str">
        <f t="array" ref="G835">IFERROR(VLOOKUP(F835,Dex!$P$22:$Q$276,2,FALSE),"")</f>
        <v/>
      </c>
      <c r="H835" s="4686"/>
      <c r="I835" s="4681"/>
      <c r="J835" s="4683" t="s">
        <v>517</v>
      </c>
      <c r="K835" s="4684">
        <f t="array" ref="K835">IFERROR(VLOOKUP(J818,Dex!$B$3:$N1219,12,FALSE),"")</f>
        <v>90</v>
      </c>
      <c r="L835" s="4685" t="str">
        <f t="array" ref="L835">IFERROR(VLOOKUP(K835,Dex!$P$22:$Q$276,2,FALSE),"")</f>
        <v/>
      </c>
      <c r="M835" s="4686"/>
      <c r="N835" s="4670"/>
      <c r="O835" s="4683" t="s">
        <v>517</v>
      </c>
      <c r="P835" s="4684">
        <f t="array" ref="P835">IFERROR(VLOOKUP(O818,Dex!$B$3:$N1219,12,FALSE),"")</f>
        <v>60</v>
      </c>
      <c r="Q835" s="4685" t="str">
        <f t="array" ref="Q835">IFERROR(VLOOKUP(P835,Dex!$P$22:$Q$276,2,FALSE),"")</f>
        <v/>
      </c>
      <c r="R835" s="4686"/>
      <c r="S835" s="4682"/>
      <c r="T835" s="4683" t="s">
        <v>517</v>
      </c>
      <c r="U835" s="4684">
        <f t="array" ref="U835">IFERROR(VLOOKUP(T818,Dex!$B$3:$N1219,12,FALSE),"")</f>
        <v>80</v>
      </c>
      <c r="V835" s="4685" t="str">
        <f t="array" ref="V835">IFERROR(VLOOKUP(U835,Dex!$P$22:$Q$276,2,FALSE),"")</f>
        <v/>
      </c>
      <c r="W835" s="4686"/>
      <c r="X835" s="4682"/>
      <c r="Y835" s="4683" t="s">
        <v>517</v>
      </c>
      <c r="Z835" s="4684">
        <f t="array" ref="Z835">IFERROR(VLOOKUP(Y818,Dex!$B$3:$N1219,12,FALSE),"")</f>
        <v>90</v>
      </c>
      <c r="AA835" s="4685" t="str">
        <f t="array" ref="AA835">IFERROR(VLOOKUP(Z835,Dex!$P$22:$Q$276,2,FALSE),"")</f>
        <v/>
      </c>
      <c r="AB835" s="4686"/>
      <c r="AC835" s="4682"/>
      <c r="AD835" s="4683" t="s">
        <v>517</v>
      </c>
      <c r="AE835" s="4684">
        <f t="array" ref="AE835">IFERROR(VLOOKUP(AD818,Dex!$B$3:$N1219,12,FALSE),"")</f>
        <v>60</v>
      </c>
      <c r="AF835" s="4685" t="str">
        <f t="array" ref="AF835">IFERROR(VLOOKUP(AE835,Dex!$P$22:$Q$276,2,FALSE),"")</f>
        <v/>
      </c>
      <c r="AG835" s="4686"/>
      <c r="AH835" s="4676"/>
      <c r="AI835" s="6747"/>
    </row>
    <row r="836" ht="16.5" customHeight="1">
      <c r="A836" s="6738"/>
      <c r="B836" s="4605"/>
      <c r="C836" s="4606"/>
      <c r="D836" s="4670"/>
      <c r="E836" s="4687" t="s">
        <v>518</v>
      </c>
      <c r="F836" s="4688">
        <f t="array" ref="F836">IFERROR(VLOOKUP(E818,Dex!$B$3:$N1219,13,FALSE),"")</f>
        <v>61</v>
      </c>
      <c r="G836" s="4685" t="str">
        <f t="array" ref="G836">IFERROR(VLOOKUP(F836,Dex!$P$22:$Q$276,2,FALSE),"")</f>
        <v/>
      </c>
      <c r="H836" s="4686"/>
      <c r="I836" s="4681"/>
      <c r="J836" s="4687" t="s">
        <v>518</v>
      </c>
      <c r="K836" s="4688">
        <f t="array" ref="K836">IFERROR(VLOOKUP(J818,Dex!$B$3:$N1219,13,FALSE),"")</f>
        <v>125</v>
      </c>
      <c r="L836" s="4685" t="str">
        <f t="array" ref="L836">IFERROR(VLOOKUP(K836,Dex!$P$22:$Q$276,2,FALSE),"")</f>
        <v/>
      </c>
      <c r="M836" s="4686"/>
      <c r="N836" s="4670"/>
      <c r="O836" s="4687" t="s">
        <v>518</v>
      </c>
      <c r="P836" s="4688">
        <f t="array" ref="P836">IFERROR(VLOOKUP(O818,Dex!$B$3:$N1219,13,FALSE),"")</f>
        <v>110</v>
      </c>
      <c r="Q836" s="4685" t="str">
        <f t="array" ref="Q836">IFERROR(VLOOKUP(P836,Dex!$P$22:$Q$276,2,FALSE),"")</f>
        <v/>
      </c>
      <c r="R836" s="4686"/>
      <c r="S836" s="4682"/>
      <c r="T836" s="4687" t="s">
        <v>518</v>
      </c>
      <c r="U836" s="4688">
        <f t="array" ref="U836">IFERROR(VLOOKUP(T818,Dex!$B$3:$N1219,13,FALSE),"")</f>
        <v>120</v>
      </c>
      <c r="V836" s="4685" t="str">
        <f t="array" ref="V836">IFERROR(VLOOKUP(U836,Dex!$P$22:$Q$276,2,FALSE),"")</f>
        <v/>
      </c>
      <c r="W836" s="4686"/>
      <c r="X836" s="4682"/>
      <c r="Y836" s="4687" t="s">
        <v>518</v>
      </c>
      <c r="Z836" s="4688">
        <f t="array" ref="Z836">IFERROR(VLOOKUP(Y818,Dex!$B$3:$N1219,13,FALSE),"")</f>
        <v>98</v>
      </c>
      <c r="AA836" s="4685" t="str">
        <f t="array" ref="AA836">IFERROR(VLOOKUP(Z836,Dex!$P$22:$Q$276,2,FALSE),"")</f>
        <v/>
      </c>
      <c r="AB836" s="4686"/>
      <c r="AC836" s="4682"/>
      <c r="AD836" s="4687" t="s">
        <v>518</v>
      </c>
      <c r="AE836" s="4688">
        <f t="array" ref="AE836">IFERROR(VLOOKUP(AD818,Dex!$B$3:$N1219,13,FALSE),"")</f>
        <v>115</v>
      </c>
      <c r="AF836" s="4685" t="str">
        <f t="array" ref="AF836">IFERROR(VLOOKUP(AE836,Dex!$P$22:$Q$276,2,FALSE),"")</f>
        <v/>
      </c>
      <c r="AG836" s="4686"/>
      <c r="AH836" s="4676"/>
      <c r="AI836" s="6747"/>
    </row>
    <row r="837" ht="16.5" customHeight="1">
      <c r="A837" s="6738"/>
      <c r="B837" s="4605"/>
      <c r="C837" s="4606"/>
      <c r="D837" s="4673"/>
      <c r="E837" s="4689" t="s">
        <v>519</v>
      </c>
      <c r="F837" s="630"/>
      <c r="G837" s="631"/>
      <c r="H837" s="7300">
        <v>173.0</v>
      </c>
      <c r="I837" s="4672"/>
      <c r="J837" s="4689" t="s">
        <v>519</v>
      </c>
      <c r="K837" s="630"/>
      <c r="L837" s="631"/>
      <c r="M837" s="7300">
        <v>314.0</v>
      </c>
      <c r="N837" s="4673"/>
      <c r="O837" s="4690" t="s">
        <v>519</v>
      </c>
      <c r="P837" s="635"/>
      <c r="Q837" s="636"/>
      <c r="R837" s="7301">
        <v>281.0</v>
      </c>
      <c r="S837" s="4675"/>
      <c r="T837" s="4689" t="s">
        <v>519</v>
      </c>
      <c r="U837" s="630"/>
      <c r="V837" s="631"/>
      <c r="W837" s="7300">
        <v>303.0</v>
      </c>
      <c r="X837" s="4675"/>
      <c r="Y837" s="4689" t="s">
        <v>519</v>
      </c>
      <c r="Z837" s="630"/>
      <c r="AA837" s="631"/>
      <c r="AB837" s="7300">
        <v>255.0</v>
      </c>
      <c r="AC837" s="4675"/>
      <c r="AD837" s="4689" t="s">
        <v>519</v>
      </c>
      <c r="AE837" s="630"/>
      <c r="AF837" s="631"/>
      <c r="AG837" s="7300">
        <v>292.0</v>
      </c>
      <c r="AH837" s="4676"/>
      <c r="AI837" s="6747"/>
    </row>
    <row r="838" ht="16.5" customHeight="1">
      <c r="A838" s="6738"/>
      <c r="B838" s="4605"/>
      <c r="C838" s="4606"/>
      <c r="D838" s="4670"/>
      <c r="E838" s="4691"/>
      <c r="F838" s="4691"/>
      <c r="G838" s="4691"/>
      <c r="H838" s="4606"/>
      <c r="I838" s="4681"/>
      <c r="J838" s="4691"/>
      <c r="K838" s="4691"/>
      <c r="L838" s="4691"/>
      <c r="M838" s="4606"/>
      <c r="N838" s="4673"/>
      <c r="O838" s="4692" t="s">
        <v>1449</v>
      </c>
      <c r="P838" s="643"/>
      <c r="Q838" s="644"/>
      <c r="R838" s="6787">
        <f>ROUNDDOWN(R837*1.5,0)</f>
        <v>421</v>
      </c>
      <c r="S838" s="4682"/>
      <c r="T838" s="4691"/>
      <c r="U838" s="4691"/>
      <c r="V838" s="4691"/>
      <c r="W838" s="4606"/>
      <c r="X838" s="4682"/>
      <c r="Y838" s="4691"/>
      <c r="Z838" s="4691"/>
      <c r="AA838" s="4691"/>
      <c r="AB838" s="4606"/>
      <c r="AC838" s="4682"/>
      <c r="AD838" s="4691"/>
      <c r="AE838" s="4691"/>
      <c r="AF838" s="4691"/>
      <c r="AG838" s="4606"/>
      <c r="AH838" s="4676"/>
      <c r="AI838" s="6747"/>
    </row>
    <row r="839" ht="15.0" customHeight="1">
      <c r="A839" s="6738"/>
      <c r="B839" s="4693"/>
      <c r="C839" s="4694"/>
      <c r="D839" s="4695"/>
      <c r="E839" s="4696"/>
      <c r="F839" s="4696"/>
      <c r="G839" s="4696"/>
      <c r="H839" s="4696"/>
      <c r="I839" s="4695"/>
      <c r="J839" s="4696"/>
      <c r="K839" s="4696"/>
      <c r="L839" s="4696"/>
      <c r="M839" s="4696"/>
      <c r="N839" s="4695"/>
      <c r="O839" s="7302"/>
      <c r="P839" s="7302"/>
      <c r="Q839" s="7302"/>
      <c r="R839" s="4696"/>
      <c r="S839" s="4695"/>
      <c r="T839" s="4696"/>
      <c r="U839" s="4696"/>
      <c r="V839" s="4696"/>
      <c r="W839" s="4696"/>
      <c r="X839" s="4695"/>
      <c r="Y839" s="4696"/>
      <c r="Z839" s="4696"/>
      <c r="AA839" s="4696"/>
      <c r="AB839" s="4696"/>
      <c r="AC839" s="4695"/>
      <c r="AD839" s="4696"/>
      <c r="AE839" s="4696"/>
      <c r="AF839" s="4696"/>
      <c r="AG839" s="4696"/>
      <c r="AH839" s="4697"/>
      <c r="AI839" s="6747"/>
    </row>
    <row r="840" ht="15.0" customHeight="1">
      <c r="A840" s="6738"/>
      <c r="B840" s="5288"/>
      <c r="C840" s="5289"/>
      <c r="D840" s="5289"/>
      <c r="E840" s="7303"/>
      <c r="F840" s="7303"/>
      <c r="G840" s="7303"/>
      <c r="H840" s="7303"/>
      <c r="I840" s="5289"/>
      <c r="J840" s="7303"/>
      <c r="K840" s="7303"/>
      <c r="L840" s="7303"/>
      <c r="M840" s="7303"/>
      <c r="N840" s="5289"/>
      <c r="O840" s="5289"/>
      <c r="P840" s="5289"/>
      <c r="Q840" s="5289"/>
      <c r="R840" s="5289"/>
      <c r="S840" s="5289"/>
      <c r="T840" s="5289"/>
      <c r="U840" s="5289"/>
      <c r="V840" s="5289"/>
      <c r="W840" s="5289"/>
      <c r="X840" s="5289"/>
      <c r="Y840" s="5289"/>
      <c r="Z840" s="5289"/>
      <c r="AA840" s="5289"/>
      <c r="AB840" s="5289"/>
      <c r="AC840" s="5289"/>
      <c r="AD840" s="5289"/>
      <c r="AE840" s="5289"/>
      <c r="AF840" s="5289"/>
      <c r="AG840" s="5289"/>
      <c r="AH840" s="5290"/>
      <c r="AI840" s="6747"/>
    </row>
    <row r="841" ht="96.75" customHeight="1">
      <c r="A841" s="6738"/>
      <c r="B841" s="2358"/>
      <c r="C841" s="5295" t="str">
        <f>IMAGE("https://i.ibb.co/qsQbp4Z/Biker.png")</f>
        <v/>
      </c>
      <c r="D841" s="2343"/>
      <c r="E841" s="5296" t="str">
        <f t="array" ref="E841">IFERROR(VLOOKUP(E842,Dex!$B$3:$G1219,3,FALSE),"")</f>
        <v/>
      </c>
      <c r="F841" s="1945"/>
      <c r="G841" s="1945"/>
      <c r="H841" s="1946"/>
      <c r="I841" s="2343"/>
      <c r="J841" s="5296" t="str">
        <f t="array" ref="J841">IFERROR(VLOOKUP(J842,Dex!$B$3:$G1219,3,FALSE),"")</f>
        <v/>
      </c>
      <c r="K841" s="1945"/>
      <c r="L841" s="1945"/>
      <c r="M841" s="1946"/>
      <c r="N841" s="2343"/>
      <c r="O841" s="2329"/>
      <c r="P841" s="2332"/>
      <c r="Q841" s="2332"/>
      <c r="R841" s="420"/>
      <c r="S841" s="2343"/>
      <c r="T841" s="2329"/>
      <c r="U841" s="2332"/>
      <c r="V841" s="2332"/>
      <c r="W841" s="420"/>
      <c r="X841" s="2344"/>
      <c r="Y841" s="2329"/>
      <c r="Z841" s="2332"/>
      <c r="AA841" s="2332"/>
      <c r="AB841" s="420"/>
      <c r="AC841" s="2345"/>
      <c r="AD841" s="2329"/>
      <c r="AE841" s="2332"/>
      <c r="AF841" s="2332"/>
      <c r="AG841" s="420"/>
      <c r="AH841" s="2334"/>
      <c r="AI841" s="6747"/>
    </row>
    <row r="842" ht="18.75" customHeight="1">
      <c r="A842" s="6738"/>
      <c r="B842" s="2419"/>
      <c r="C842" s="5297" t="s">
        <v>2143</v>
      </c>
      <c r="E842" s="2351" t="s">
        <v>1226</v>
      </c>
      <c r="F842" s="2352"/>
      <c r="G842" s="2352"/>
      <c r="H842" s="2353"/>
      <c r="J842" s="2351" t="s">
        <v>864</v>
      </c>
      <c r="K842" s="2352"/>
      <c r="L842" s="2352"/>
      <c r="M842" s="2353"/>
      <c r="O842" s="2354"/>
      <c r="P842" s="2332"/>
      <c r="Q842" s="2332"/>
      <c r="R842" s="420"/>
      <c r="T842" s="2354"/>
      <c r="U842" s="2332"/>
      <c r="V842" s="2332"/>
      <c r="W842" s="420"/>
      <c r="Y842" s="2354"/>
      <c r="Z842" s="2332"/>
      <c r="AA842" s="2332"/>
      <c r="AB842" s="420"/>
      <c r="AC842" s="302"/>
      <c r="AD842" s="2354"/>
      <c r="AE842" s="2332"/>
      <c r="AF842" s="2332"/>
      <c r="AG842" s="420"/>
      <c r="AH842" s="2356"/>
      <c r="AI842" s="6747"/>
    </row>
    <row r="843">
      <c r="A843" s="6738"/>
      <c r="B843" s="5298"/>
      <c r="C843" s="1646"/>
      <c r="E843" s="2360" t="s">
        <v>967</v>
      </c>
      <c r="F843" s="2361"/>
      <c r="G843" s="2361"/>
      <c r="H843" s="2362"/>
      <c r="J843" s="2360" t="s">
        <v>729</v>
      </c>
      <c r="K843" s="2361"/>
      <c r="L843" s="2361"/>
      <c r="M843" s="2362"/>
      <c r="O843" s="2758"/>
      <c r="P843" s="2332"/>
      <c r="Q843" s="2332"/>
      <c r="R843" s="420"/>
      <c r="T843" s="2758"/>
      <c r="U843" s="2332"/>
      <c r="V843" s="2332"/>
      <c r="W843" s="420"/>
      <c r="Y843" s="2758"/>
      <c r="Z843" s="2332"/>
      <c r="AA843" s="2332"/>
      <c r="AB843" s="420"/>
      <c r="AC843" s="302"/>
      <c r="AD843" s="2758"/>
      <c r="AE843" s="2332"/>
      <c r="AF843" s="2332"/>
      <c r="AG843" s="420"/>
      <c r="AH843" s="5299"/>
      <c r="AI843" s="6747"/>
    </row>
    <row r="844" ht="25.5" customHeight="1">
      <c r="A844" s="6738"/>
      <c r="B844" s="2358"/>
      <c r="C844" s="3442"/>
      <c r="E844" s="2365"/>
      <c r="F844" s="2369" t="str">
        <f t="array" ref="F844">IFERROR(VLOOKUP(E842,Dex!$B$3:$H1219,5,FALSE),"")</f>
        <v/>
      </c>
      <c r="G844" s="2370" t="str">
        <f t="array" ref="G844">IFERROR(VLOOKUP(E842,Dex!$B$3:$H1219,7,FALSE),"")</f>
        <v/>
      </c>
      <c r="H844" s="2368"/>
      <c r="J844" s="2365"/>
      <c r="K844" s="2366" t="str">
        <f t="array" ref="K844">IFERROR(VLOOKUP(J842,Dex!$B$3:$H1219,5,FALSE),"")</f>
        <v/>
      </c>
      <c r="L844" s="2367"/>
      <c r="M844" s="2368"/>
      <c r="O844" s="2329"/>
      <c r="P844" s="2332"/>
      <c r="Q844" s="2332"/>
      <c r="R844" s="420"/>
      <c r="T844" s="2329"/>
      <c r="U844" s="2332"/>
      <c r="V844" s="2332"/>
      <c r="W844" s="420"/>
      <c r="Y844" s="2329"/>
      <c r="Z844" s="2332"/>
      <c r="AA844" s="2332"/>
      <c r="AB844" s="420"/>
      <c r="AC844" s="302"/>
      <c r="AD844" s="2329"/>
      <c r="AE844" s="2332"/>
      <c r="AF844" s="2332"/>
      <c r="AG844" s="420"/>
      <c r="AH844" s="2334"/>
      <c r="AI844" s="6747"/>
    </row>
    <row r="845" ht="2.25" customHeight="1">
      <c r="A845" s="6738"/>
      <c r="B845" s="2358"/>
      <c r="C845" s="2396"/>
      <c r="E845" s="2371"/>
      <c r="F845" s="2372"/>
      <c r="G845" s="2372"/>
      <c r="H845" s="2373"/>
      <c r="J845" s="2371"/>
      <c r="K845" s="2372"/>
      <c r="L845" s="2372"/>
      <c r="M845" s="2373"/>
      <c r="O845" s="2374"/>
      <c r="P845" s="2374"/>
      <c r="Q845" s="2374"/>
      <c r="R845" s="2374"/>
      <c r="T845" s="2374"/>
      <c r="U845" s="2374"/>
      <c r="V845" s="2374"/>
      <c r="W845" s="2374"/>
      <c r="Y845" s="2374"/>
      <c r="Z845" s="2374"/>
      <c r="AA845" s="2374"/>
      <c r="AB845" s="2374"/>
      <c r="AC845" s="302"/>
      <c r="AD845" s="2374"/>
      <c r="AE845" s="2374"/>
      <c r="AF845" s="2374"/>
      <c r="AG845" s="2374"/>
      <c r="AH845" s="2334"/>
      <c r="AI845" s="6747"/>
    </row>
    <row r="846" ht="20.25" customHeight="1">
      <c r="A846" s="6738"/>
      <c r="B846" s="2327"/>
      <c r="C846" s="5300"/>
      <c r="E846" s="2376" t="s">
        <v>532</v>
      </c>
      <c r="F846" s="2377"/>
      <c r="G846" s="2377"/>
      <c r="H846" s="2378"/>
      <c r="J846" s="2376" t="s">
        <v>566</v>
      </c>
      <c r="K846" s="2377"/>
      <c r="L846" s="2377"/>
      <c r="M846" s="2378"/>
      <c r="O846" s="2329"/>
      <c r="P846" s="2332"/>
      <c r="Q846" s="2332"/>
      <c r="R846" s="420"/>
      <c r="T846" s="2329"/>
      <c r="U846" s="2332"/>
      <c r="V846" s="2332"/>
      <c r="W846" s="420"/>
      <c r="Y846" s="2329"/>
      <c r="Z846" s="2332"/>
      <c r="AA846" s="2332"/>
      <c r="AB846" s="420"/>
      <c r="AC846" s="302"/>
      <c r="AD846" s="2329"/>
      <c r="AE846" s="2332"/>
      <c r="AF846" s="2332"/>
      <c r="AG846" s="420"/>
      <c r="AH846" s="2334"/>
      <c r="AI846" s="6747"/>
    </row>
    <row r="847" ht="20.25" customHeight="1">
      <c r="A847" s="6738"/>
      <c r="B847" s="2327"/>
      <c r="C847" s="2328"/>
      <c r="E847" s="2380" t="s">
        <v>60</v>
      </c>
      <c r="F847" s="2332"/>
      <c r="G847" s="2332"/>
      <c r="H847" s="2381"/>
      <c r="J847" s="2380" t="s">
        <v>709</v>
      </c>
      <c r="K847" s="2332"/>
      <c r="L847" s="2332"/>
      <c r="M847" s="2381"/>
      <c r="O847" s="2329"/>
      <c r="P847" s="2332"/>
      <c r="Q847" s="2332"/>
      <c r="R847" s="420"/>
      <c r="T847" s="2329"/>
      <c r="U847" s="2332"/>
      <c r="V847" s="2332"/>
      <c r="W847" s="420"/>
      <c r="Y847" s="2329"/>
      <c r="Z847" s="2332"/>
      <c r="AA847" s="2332"/>
      <c r="AB847" s="420"/>
      <c r="AC847" s="302"/>
      <c r="AD847" s="2329"/>
      <c r="AE847" s="2332"/>
      <c r="AF847" s="2332"/>
      <c r="AG847" s="420"/>
      <c r="AH847" s="2334"/>
      <c r="AI847" s="6747"/>
    </row>
    <row r="848" ht="20.25" customHeight="1">
      <c r="A848" s="6738"/>
      <c r="B848" s="2327"/>
      <c r="C848" s="2328"/>
      <c r="E848" s="2382" t="s">
        <v>2144</v>
      </c>
      <c r="F848" s="2383"/>
      <c r="G848" s="5293"/>
      <c r="H848" s="5301" t="str">
        <f>IMAGE("https://raw.githubusercontent.com/msikma/pokesprite/master/items/gem/dark.png",3)</f>
        <v/>
      </c>
      <c r="J848" s="2382" t="s">
        <v>871</v>
      </c>
      <c r="K848" s="2383"/>
      <c r="L848" s="5293"/>
      <c r="M848" s="5301" t="str">
        <f>IMAGE("https://raw.githubusercontent.com/msikma/pokesprite/master/items/evo-item/reaper-cloth.png",3)</f>
        <v/>
      </c>
      <c r="O848" s="2329"/>
      <c r="P848" s="2332"/>
      <c r="Q848" s="2332"/>
      <c r="R848" s="420"/>
      <c r="T848" s="2329"/>
      <c r="U848" s="2332"/>
      <c r="V848" s="2332"/>
      <c r="W848" s="420"/>
      <c r="Y848" s="2329"/>
      <c r="Z848" s="2332"/>
      <c r="AA848" s="2332"/>
      <c r="AB848" s="420"/>
      <c r="AC848" s="302"/>
      <c r="AD848" s="2329"/>
      <c r="AE848" s="2332"/>
      <c r="AF848" s="2332"/>
      <c r="AG848" s="420"/>
      <c r="AH848" s="2334"/>
      <c r="AI848" s="6747"/>
    </row>
    <row r="849" ht="20.25" customHeight="1">
      <c r="A849" s="6738"/>
      <c r="B849" s="2327"/>
      <c r="C849" s="2396"/>
      <c r="E849" s="2376" t="s">
        <v>579</v>
      </c>
      <c r="F849" s="2377"/>
      <c r="G849" s="2386"/>
      <c r="H849" s="5302" t="str">
        <f>IMAGE("https://raw.githubusercontent.com/msikma/pokesprite/master/misc/types/gen8/dark.png",4,20,20)</f>
        <v/>
      </c>
      <c r="J849" s="2376" t="s">
        <v>874</v>
      </c>
      <c r="K849" s="2377"/>
      <c r="L849" s="2386"/>
      <c r="M849" s="5302" t="str">
        <f>IMAGE("https://raw.githubusercontent.com/msikma/pokesprite/master/misc/types/gen8/ghost.png",4,20,20)</f>
        <v/>
      </c>
      <c r="O849" s="2329"/>
      <c r="P849" s="2332"/>
      <c r="Q849" s="2332"/>
      <c r="R849" s="420"/>
      <c r="T849" s="2329"/>
      <c r="U849" s="2332"/>
      <c r="V849" s="2332"/>
      <c r="W849" s="420"/>
      <c r="Y849" s="2329"/>
      <c r="Z849" s="2332"/>
      <c r="AA849" s="2332"/>
      <c r="AB849" s="420"/>
      <c r="AC849" s="302"/>
      <c r="AD849" s="2329"/>
      <c r="AE849" s="2332"/>
      <c r="AF849" s="2332"/>
      <c r="AG849" s="420"/>
      <c r="AH849" s="2334"/>
      <c r="AI849" s="6747"/>
    </row>
    <row r="850" ht="20.25" customHeight="1">
      <c r="A850" s="6738"/>
      <c r="B850" s="2327"/>
      <c r="C850" s="2396"/>
      <c r="E850" s="2380" t="s">
        <v>1231</v>
      </c>
      <c r="F850" s="2332"/>
      <c r="G850" s="420"/>
      <c r="H850" s="5303" t="str">
        <f>IMAGE("https://raw.githubusercontent.com/msikma/pokesprite/master/misc/types/gen8/poison.png",4,20,20)</f>
        <v/>
      </c>
      <c r="J850" s="2380" t="s">
        <v>876</v>
      </c>
      <c r="K850" s="2332"/>
      <c r="L850" s="420"/>
      <c r="M850" s="5303" t="str">
        <f>IMAGE("https://raw.githubusercontent.com/msikma/pokesprite/master/misc/types/gen8/fighting.png",4,20,20)</f>
        <v/>
      </c>
      <c r="O850" s="2329"/>
      <c r="P850" s="2332"/>
      <c r="Q850" s="2332"/>
      <c r="R850" s="420"/>
      <c r="T850" s="2329"/>
      <c r="U850" s="2332"/>
      <c r="V850" s="2332"/>
      <c r="W850" s="420"/>
      <c r="Y850" s="2329"/>
      <c r="Z850" s="2332"/>
      <c r="AA850" s="2332"/>
      <c r="AB850" s="420"/>
      <c r="AC850" s="302"/>
      <c r="AD850" s="2329"/>
      <c r="AE850" s="2332"/>
      <c r="AF850" s="2332"/>
      <c r="AG850" s="420"/>
      <c r="AH850" s="2334"/>
      <c r="AI850" s="6747"/>
    </row>
    <row r="851" ht="20.25" customHeight="1">
      <c r="A851" s="6738"/>
      <c r="B851" s="2327"/>
      <c r="C851" s="2396"/>
      <c r="E851" s="2380" t="s">
        <v>760</v>
      </c>
      <c r="F851" s="2332"/>
      <c r="G851" s="420"/>
      <c r="H851" s="5303" t="str">
        <f>IMAGE("https://raw.githubusercontent.com/msikma/pokesprite/master/misc/types/gen8/water.png",4,20,20)</f>
        <v/>
      </c>
      <c r="J851" s="2380" t="s">
        <v>875</v>
      </c>
      <c r="K851" s="2332"/>
      <c r="L851" s="420"/>
      <c r="M851" s="5303" t="str">
        <f>IMAGE("https://raw.githubusercontent.com/msikma/pokesprite/master/misc/types/gen8/ghost.png",4,20,20)</f>
        <v/>
      </c>
      <c r="O851" s="2329"/>
      <c r="P851" s="2332"/>
      <c r="Q851" s="2332"/>
      <c r="R851" s="420"/>
      <c r="T851" s="2329"/>
      <c r="U851" s="2332"/>
      <c r="V851" s="2332"/>
      <c r="W851" s="420"/>
      <c r="Y851" s="2329"/>
      <c r="Z851" s="2332"/>
      <c r="AA851" s="2332"/>
      <c r="AB851" s="420"/>
      <c r="AC851" s="302"/>
      <c r="AD851" s="2329"/>
      <c r="AE851" s="2332"/>
      <c r="AF851" s="2332"/>
      <c r="AG851" s="420"/>
      <c r="AH851" s="2334"/>
      <c r="AI851" s="6747"/>
    </row>
    <row r="852" ht="21.0" customHeight="1">
      <c r="A852" s="6738"/>
      <c r="B852" s="2327"/>
      <c r="C852" s="2396"/>
      <c r="D852" s="2393"/>
      <c r="E852" s="2389" t="s">
        <v>611</v>
      </c>
      <c r="F852" s="2390"/>
      <c r="G852" s="2391"/>
      <c r="H852" s="5304" t="str">
        <f>IMAGE("https://raw.githubusercontent.com/msikma/pokesprite/master/misc/types/gen8/electric.png",4,20,20)</f>
        <v/>
      </c>
      <c r="I852" s="2393"/>
      <c r="J852" s="2389" t="s">
        <v>589</v>
      </c>
      <c r="K852" s="2390"/>
      <c r="L852" s="2391"/>
      <c r="M852" s="5304" t="str">
        <f>IMAGE("https://raw.githubusercontent.com/msikma/pokesprite/master/misc/types/gen8/ice.png",4,20,20)</f>
        <v/>
      </c>
      <c r="N852" s="2393"/>
      <c r="O852" s="2329"/>
      <c r="P852" s="2332"/>
      <c r="Q852" s="2332"/>
      <c r="R852" s="420"/>
      <c r="S852" s="2393"/>
      <c r="T852" s="2329"/>
      <c r="U852" s="2332"/>
      <c r="V852" s="2332"/>
      <c r="W852" s="420"/>
      <c r="X852" s="2393"/>
      <c r="Y852" s="2329"/>
      <c r="Z852" s="2332"/>
      <c r="AA852" s="2332"/>
      <c r="AB852" s="420"/>
      <c r="AC852" s="510"/>
      <c r="AD852" s="2329"/>
      <c r="AE852" s="2332"/>
      <c r="AF852" s="2332"/>
      <c r="AG852" s="420"/>
      <c r="AH852" s="2334"/>
      <c r="AI852" s="6747"/>
    </row>
    <row r="853" ht="3.0" customHeight="1">
      <c r="A853" s="6738"/>
      <c r="B853" s="2395"/>
      <c r="C853" s="2396"/>
      <c r="D853" s="2397"/>
      <c r="E853" s="5307"/>
      <c r="F853" s="5307"/>
      <c r="G853" s="5307"/>
      <c r="H853" s="5306"/>
      <c r="I853" s="2397"/>
      <c r="J853" s="5307"/>
      <c r="K853" s="5307"/>
      <c r="L853" s="5307"/>
      <c r="M853" s="5306"/>
      <c r="N853" s="2397"/>
      <c r="O853" s="2400"/>
      <c r="P853" s="2400"/>
      <c r="Q853" s="2400"/>
      <c r="R853" s="2400"/>
      <c r="S853" s="2397"/>
      <c r="T853" s="2400"/>
      <c r="U853" s="2400"/>
      <c r="V853" s="2400"/>
      <c r="W853" s="2400"/>
      <c r="X853" s="2397"/>
      <c r="Y853" s="2400"/>
      <c r="Z853" s="2400"/>
      <c r="AA853" s="2400"/>
      <c r="AB853" s="2400"/>
      <c r="AC853" s="2400"/>
      <c r="AD853" s="2400"/>
      <c r="AE853" s="2400"/>
      <c r="AF853" s="2400"/>
      <c r="AG853" s="2400"/>
      <c r="AH853" s="2401"/>
      <c r="AI853" s="6747"/>
    </row>
    <row r="854" ht="16.5" customHeight="1">
      <c r="A854" s="6738"/>
      <c r="B854" s="2403"/>
      <c r="C854" s="2396"/>
      <c r="D854" s="5309"/>
      <c r="E854" s="5310" t="s">
        <v>512</v>
      </c>
      <c r="F854" s="606"/>
      <c r="G854" s="606"/>
      <c r="H854" s="607"/>
      <c r="I854" s="5309"/>
      <c r="J854" s="5310" t="s">
        <v>512</v>
      </c>
      <c r="K854" s="606"/>
      <c r="L854" s="606"/>
      <c r="M854" s="607"/>
      <c r="N854" s="5309"/>
      <c r="O854" s="2409"/>
      <c r="P854" s="2409"/>
      <c r="Q854" s="2409"/>
      <c r="R854" s="2409"/>
      <c r="S854" s="2409"/>
      <c r="T854" s="2409"/>
      <c r="U854" s="2409"/>
      <c r="V854" s="2409"/>
      <c r="W854" s="2409"/>
      <c r="X854" s="5311"/>
      <c r="Y854" s="2409"/>
      <c r="Z854" s="2409"/>
      <c r="AA854" s="2409"/>
      <c r="AB854" s="2409"/>
      <c r="AC854" s="2409"/>
      <c r="AD854" s="2409"/>
      <c r="AE854" s="2409"/>
      <c r="AF854" s="2409"/>
      <c r="AG854" s="2409"/>
      <c r="AH854" s="2410"/>
      <c r="AI854" s="6747"/>
    </row>
    <row r="855" ht="16.5" customHeight="1">
      <c r="A855" s="6738"/>
      <c r="B855" s="2403"/>
      <c r="C855" s="2396"/>
      <c r="D855" s="5312"/>
      <c r="E855" s="5313" t="s">
        <v>513</v>
      </c>
      <c r="F855" s="5314">
        <f t="array" ref="F855">IFERROR(VLOOKUP(E842,Dex!$B$3:$N1219,8,FALSE),"")</f>
        <v>95</v>
      </c>
      <c r="G855" s="5315" t="str">
        <f t="array" ref="G855">IFERROR(VLOOKUP(F855,Dex!$P$22:$Q$276,2,FALSE),"")</f>
        <v/>
      </c>
      <c r="H855" s="5316"/>
      <c r="I855" s="5312"/>
      <c r="J855" s="5313" t="s">
        <v>513</v>
      </c>
      <c r="K855" s="5314">
        <f t="array" ref="K855">IFERROR(VLOOKUP(J842,Dex!$B$3:$N1219,8,FALSE),"")</f>
        <v>45</v>
      </c>
      <c r="L855" s="5315" t="str">
        <f t="array" ref="L855">IFERROR(VLOOKUP(K855,Dex!$P$22:$Q$276,2,FALSE),"")</f>
        <v/>
      </c>
      <c r="M855" s="5316"/>
      <c r="N855" s="5312"/>
      <c r="O855" s="2409"/>
      <c r="P855" s="2409"/>
      <c r="Q855" s="2409"/>
      <c r="R855" s="2409"/>
      <c r="S855" s="2409"/>
      <c r="T855" s="2409"/>
      <c r="U855" s="2409"/>
      <c r="V855" s="2409"/>
      <c r="W855" s="2409"/>
      <c r="X855" s="5317"/>
      <c r="Y855" s="2409"/>
      <c r="Z855" s="2409"/>
      <c r="AA855" s="2409"/>
      <c r="AB855" s="2409"/>
      <c r="AC855" s="2409"/>
      <c r="AD855" s="2409"/>
      <c r="AE855" s="2409"/>
      <c r="AF855" s="2409"/>
      <c r="AG855" s="2409"/>
      <c r="AH855" s="2410"/>
      <c r="AI855" s="6747"/>
    </row>
    <row r="856" ht="16.5" customHeight="1">
      <c r="A856" s="6738"/>
      <c r="B856" s="2403"/>
      <c r="C856" s="2396"/>
      <c r="D856" s="5312"/>
      <c r="E856" s="5318" t="s">
        <v>514</v>
      </c>
      <c r="F856" s="5319">
        <f t="array" ref="F856">IFERROR(VLOOKUP(E842,Dex!$B$3:$N1219,9,FALSE),"")</f>
        <v>115</v>
      </c>
      <c r="G856" s="5320" t="str">
        <f t="array" ref="G856">IFERROR(VLOOKUP(F856,Dex!$P$22:$Q$276,2,FALSE),"")</f>
        <v/>
      </c>
      <c r="H856" s="5321"/>
      <c r="I856" s="5312"/>
      <c r="J856" s="5318" t="s">
        <v>514</v>
      </c>
      <c r="K856" s="5319">
        <f t="array" ref="K856">IFERROR(VLOOKUP(J842,Dex!$B$3:$N1219,9,FALSE),"")</f>
        <v>100</v>
      </c>
      <c r="L856" s="5320" t="str">
        <f t="array" ref="L856">IFERROR(VLOOKUP(K856,Dex!$P$22:$Q$276,2,FALSE),"")</f>
        <v/>
      </c>
      <c r="M856" s="5321"/>
      <c r="N856" s="5312"/>
      <c r="O856" s="2409"/>
      <c r="P856" s="2409"/>
      <c r="Q856" s="2409"/>
      <c r="R856" s="2409"/>
      <c r="S856" s="2409"/>
      <c r="T856" s="2409"/>
      <c r="U856" s="2409"/>
      <c r="V856" s="2409"/>
      <c r="W856" s="2409"/>
      <c r="X856" s="5317"/>
      <c r="Y856" s="2409"/>
      <c r="Z856" s="2409"/>
      <c r="AA856" s="2409"/>
      <c r="AB856" s="2409"/>
      <c r="AC856" s="2409"/>
      <c r="AD856" s="2409"/>
      <c r="AE856" s="2409"/>
      <c r="AF856" s="2409"/>
      <c r="AG856" s="2409"/>
      <c r="AH856" s="2410"/>
      <c r="AI856" s="6747"/>
    </row>
    <row r="857" ht="16.5" customHeight="1">
      <c r="A857" s="6738"/>
      <c r="B857" s="2403"/>
      <c r="C857" s="2396"/>
      <c r="D857" s="5312"/>
      <c r="E857" s="5318" t="s">
        <v>515</v>
      </c>
      <c r="F857" s="5319">
        <f t="array" ref="F857">IFERROR(VLOOKUP(E842,Dex!$B$3:$N1219,10,FALSE),"")</f>
        <v>100</v>
      </c>
      <c r="G857" s="5320" t="str">
        <f t="array" ref="G857">IFERROR(VLOOKUP(F857,Dex!$P$22:$Q$276,2,FALSE),"")</f>
        <v/>
      </c>
      <c r="H857" s="5321"/>
      <c r="I857" s="5312"/>
      <c r="J857" s="5318" t="s">
        <v>515</v>
      </c>
      <c r="K857" s="5319">
        <f t="array" ref="K857">IFERROR(VLOOKUP(J842,Dex!$B$3:$N1219,10,FALSE),"")</f>
        <v>135</v>
      </c>
      <c r="L857" s="5320" t="str">
        <f t="array" ref="L857">IFERROR(VLOOKUP(K857,Dex!$P$22:$Q$276,2,FALSE),"")</f>
        <v/>
      </c>
      <c r="M857" s="5321"/>
      <c r="N857" s="5312"/>
      <c r="O857" s="2409"/>
      <c r="P857" s="2409"/>
      <c r="Q857" s="2409"/>
      <c r="R857" s="2409"/>
      <c r="S857" s="2409"/>
      <c r="T857" s="2409"/>
      <c r="U857" s="2409"/>
      <c r="V857" s="2409"/>
      <c r="W857" s="2409"/>
      <c r="X857" s="5317"/>
      <c r="Y857" s="2409"/>
      <c r="Z857" s="2409"/>
      <c r="AA857" s="2409"/>
      <c r="AB857" s="2409"/>
      <c r="AC857" s="2409"/>
      <c r="AD857" s="2409"/>
      <c r="AE857" s="2409"/>
      <c r="AF857" s="2409"/>
      <c r="AG857" s="2409"/>
      <c r="AH857" s="2410"/>
      <c r="AI857" s="6747"/>
    </row>
    <row r="858" ht="16.5" customHeight="1">
      <c r="A858" s="6738"/>
      <c r="B858" s="2403"/>
      <c r="C858" s="2396"/>
      <c r="D858" s="5312"/>
      <c r="E858" s="5318" t="s">
        <v>516</v>
      </c>
      <c r="F858" s="5319">
        <f t="array" ref="F858">IFERROR(VLOOKUP(E842,Dex!$B$3:$N1219,11,FALSE),"")</f>
        <v>55</v>
      </c>
      <c r="G858" s="5320" t="str">
        <f t="array" ref="G858">IFERROR(VLOOKUP(F858,Dex!$P$22:$Q$276,2,FALSE),"")</f>
        <v/>
      </c>
      <c r="H858" s="5321"/>
      <c r="I858" s="5312"/>
      <c r="J858" s="5318" t="s">
        <v>516</v>
      </c>
      <c r="K858" s="5319">
        <f t="array" ref="K858">IFERROR(VLOOKUP(J842,Dex!$B$3:$N1219,11,FALSE),"")</f>
        <v>65</v>
      </c>
      <c r="L858" s="5320" t="str">
        <f t="array" ref="L858">IFERROR(VLOOKUP(K858,Dex!$P$22:$Q$276,2,FALSE),"")</f>
        <v/>
      </c>
      <c r="M858" s="5321"/>
      <c r="N858" s="5312"/>
      <c r="O858" s="2409"/>
      <c r="P858" s="2409"/>
      <c r="Q858" s="2409"/>
      <c r="R858" s="2409"/>
      <c r="S858" s="2409"/>
      <c r="T858" s="2409"/>
      <c r="U858" s="2409"/>
      <c r="V858" s="2409"/>
      <c r="W858" s="2409"/>
      <c r="X858" s="5317"/>
      <c r="Y858" s="2409"/>
      <c r="Z858" s="2409"/>
      <c r="AA858" s="2409"/>
      <c r="AB858" s="2409"/>
      <c r="AC858" s="2409"/>
      <c r="AD858" s="2409"/>
      <c r="AE858" s="2409"/>
      <c r="AF858" s="2409"/>
      <c r="AG858" s="2409"/>
      <c r="AH858" s="2410"/>
      <c r="AI858" s="6747"/>
    </row>
    <row r="859" ht="16.5" customHeight="1">
      <c r="A859" s="6738"/>
      <c r="B859" s="2403"/>
      <c r="C859" s="2396"/>
      <c r="D859" s="5312"/>
      <c r="E859" s="5318" t="s">
        <v>517</v>
      </c>
      <c r="F859" s="5319">
        <f t="array" ref="F859">IFERROR(VLOOKUP(E842,Dex!$B$3:$N1219,12,FALSE),"")</f>
        <v>80</v>
      </c>
      <c r="G859" s="5320" t="str">
        <f t="array" ref="G859">IFERROR(VLOOKUP(F859,Dex!$P$22:$Q$276,2,FALSE),"")</f>
        <v/>
      </c>
      <c r="H859" s="5321"/>
      <c r="I859" s="5312"/>
      <c r="J859" s="5318" t="s">
        <v>517</v>
      </c>
      <c r="K859" s="5319">
        <f t="array" ref="K859">IFERROR(VLOOKUP(J842,Dex!$B$3:$N1219,12,FALSE),"")</f>
        <v>135</v>
      </c>
      <c r="L859" s="5320" t="str">
        <f t="array" ref="L859">IFERROR(VLOOKUP(K859,Dex!$P$22:$Q$276,2,FALSE),"")</f>
        <v/>
      </c>
      <c r="M859" s="5321"/>
      <c r="N859" s="5312"/>
      <c r="O859" s="2409"/>
      <c r="P859" s="2409"/>
      <c r="Q859" s="2409"/>
      <c r="R859" s="2409"/>
      <c r="S859" s="2409"/>
      <c r="T859" s="2409"/>
      <c r="U859" s="2409"/>
      <c r="V859" s="2409"/>
      <c r="W859" s="2409"/>
      <c r="X859" s="5317"/>
      <c r="Y859" s="2409"/>
      <c r="Z859" s="2409"/>
      <c r="AA859" s="2409"/>
      <c r="AB859" s="2409"/>
      <c r="AC859" s="2409"/>
      <c r="AD859" s="2409"/>
      <c r="AE859" s="2409"/>
      <c r="AF859" s="2409"/>
      <c r="AG859" s="2409"/>
      <c r="AH859" s="2410"/>
      <c r="AI859" s="6747"/>
    </row>
    <row r="860" ht="16.5" customHeight="1">
      <c r="A860" s="6738"/>
      <c r="B860" s="2403"/>
      <c r="C860" s="2396"/>
      <c r="D860" s="5312"/>
      <c r="E860" s="5322" t="s">
        <v>518</v>
      </c>
      <c r="F860" s="5323">
        <f t="array" ref="F860">IFERROR(VLOOKUP(E842,Dex!$B$3:$N1219,13,FALSE),"")</f>
        <v>85</v>
      </c>
      <c r="G860" s="5320" t="str">
        <f t="array" ref="G860">IFERROR(VLOOKUP(F860,Dex!$P$22:$Q$276,2,FALSE),"")</f>
        <v/>
      </c>
      <c r="H860" s="5321"/>
      <c r="I860" s="5312"/>
      <c r="J860" s="5322" t="s">
        <v>518</v>
      </c>
      <c r="K860" s="5323">
        <f t="array" ref="K860">IFERROR(VLOOKUP(J842,Dex!$B$3:$N1219,13,FALSE),"")</f>
        <v>45</v>
      </c>
      <c r="L860" s="5320" t="str">
        <f t="array" ref="L860">IFERROR(VLOOKUP(K860,Dex!$P$22:$Q$276,2,FALSE),"")</f>
        <v/>
      </c>
      <c r="M860" s="5321"/>
      <c r="N860" s="5312"/>
      <c r="O860" s="2409"/>
      <c r="P860" s="2409"/>
      <c r="Q860" s="2409"/>
      <c r="R860" s="2409"/>
      <c r="S860" s="2409"/>
      <c r="T860" s="2409"/>
      <c r="U860" s="2409"/>
      <c r="V860" s="2409"/>
      <c r="W860" s="2409"/>
      <c r="X860" s="5317"/>
      <c r="Y860" s="2409"/>
      <c r="Z860" s="2409"/>
      <c r="AA860" s="2409"/>
      <c r="AB860" s="2409"/>
      <c r="AC860" s="2409"/>
      <c r="AD860" s="2409"/>
      <c r="AE860" s="2409"/>
      <c r="AF860" s="2409"/>
      <c r="AG860" s="2409"/>
      <c r="AH860" s="2410"/>
      <c r="AI860" s="6747"/>
    </row>
    <row r="861" ht="16.5" customHeight="1">
      <c r="A861" s="6738"/>
      <c r="B861" s="2403"/>
      <c r="C861" s="2396"/>
      <c r="D861" s="5309"/>
      <c r="E861" s="5324" t="s">
        <v>519</v>
      </c>
      <c r="F861" s="630"/>
      <c r="G861" s="631"/>
      <c r="H861" s="7304">
        <v>223.0</v>
      </c>
      <c r="I861" s="5309"/>
      <c r="J861" s="5324" t="s">
        <v>519</v>
      </c>
      <c r="K861" s="630"/>
      <c r="L861" s="631"/>
      <c r="M861" s="7304">
        <v>126.0</v>
      </c>
      <c r="N861" s="5309"/>
      <c r="O861" s="2409"/>
      <c r="P861" s="2409"/>
      <c r="Q861" s="2409"/>
      <c r="R861" s="2409"/>
      <c r="S861" s="2409"/>
      <c r="T861" s="2409"/>
      <c r="U861" s="2409"/>
      <c r="V861" s="2409"/>
      <c r="W861" s="2409"/>
      <c r="X861" s="5311"/>
      <c r="Y861" s="2409"/>
      <c r="Z861" s="2409"/>
      <c r="AA861" s="2409"/>
      <c r="AB861" s="2409"/>
      <c r="AC861" s="2409"/>
      <c r="AD861" s="2409"/>
      <c r="AE861" s="2409"/>
      <c r="AF861" s="2409"/>
      <c r="AG861" s="2409"/>
      <c r="AH861" s="2410"/>
      <c r="AI861" s="6747"/>
    </row>
    <row r="862" ht="15.0" customHeight="1">
      <c r="A862" s="6738"/>
      <c r="B862" s="2440"/>
      <c r="C862" s="2441"/>
      <c r="D862" s="5331"/>
      <c r="E862" s="5332"/>
      <c r="F862" s="5332"/>
      <c r="G862" s="5332"/>
      <c r="H862" s="5332"/>
      <c r="I862" s="5331"/>
      <c r="J862" s="5332"/>
      <c r="K862" s="5332"/>
      <c r="L862" s="5332"/>
      <c r="M862" s="5332"/>
      <c r="N862" s="5331"/>
      <c r="O862" s="5332"/>
      <c r="P862" s="5332"/>
      <c r="Q862" s="5332"/>
      <c r="R862" s="5332"/>
      <c r="S862" s="5331"/>
      <c r="T862" s="5332"/>
      <c r="U862" s="5332"/>
      <c r="V862" s="5332"/>
      <c r="W862" s="5332"/>
      <c r="X862" s="2442"/>
      <c r="Y862" s="2442"/>
      <c r="Z862" s="2442"/>
      <c r="AA862" s="2442"/>
      <c r="AB862" s="2442"/>
      <c r="AC862" s="2442"/>
      <c r="AD862" s="2442"/>
      <c r="AE862" s="2442"/>
      <c r="AF862" s="2442"/>
      <c r="AG862" s="2442"/>
      <c r="AH862" s="2445"/>
      <c r="AI862" s="6747"/>
    </row>
    <row r="863" ht="15.0" customHeight="1">
      <c r="A863" s="6738"/>
      <c r="B863" s="5288"/>
      <c r="C863" s="5289"/>
      <c r="D863" s="5289"/>
      <c r="E863" s="7303"/>
      <c r="F863" s="7303"/>
      <c r="G863" s="7303"/>
      <c r="H863" s="7303"/>
      <c r="I863" s="5289"/>
      <c r="J863" s="7303"/>
      <c r="K863" s="7303"/>
      <c r="L863" s="7303"/>
      <c r="M863" s="7303"/>
      <c r="N863" s="5289"/>
      <c r="O863" s="5289"/>
      <c r="P863" s="5289"/>
      <c r="Q863" s="5289"/>
      <c r="R863" s="5289"/>
      <c r="S863" s="5289"/>
      <c r="T863" s="5289"/>
      <c r="U863" s="5289"/>
      <c r="V863" s="5289"/>
      <c r="W863" s="5289"/>
      <c r="X863" s="5289"/>
      <c r="Y863" s="5289"/>
      <c r="Z863" s="5289"/>
      <c r="AA863" s="5289"/>
      <c r="AB863" s="5289"/>
      <c r="AC863" s="5289"/>
      <c r="AD863" s="5289"/>
      <c r="AE863" s="5289"/>
      <c r="AF863" s="5289"/>
      <c r="AG863" s="5289"/>
      <c r="AH863" s="5290"/>
      <c r="AI863" s="6747"/>
    </row>
    <row r="864">
      <c r="A864" s="6738"/>
      <c r="B864" s="2327"/>
      <c r="C864" s="5291"/>
      <c r="D864" s="2346"/>
      <c r="E864" s="5292" t="s">
        <v>2145</v>
      </c>
      <c r="F864" s="2383"/>
      <c r="G864" s="2383"/>
      <c r="H864" s="2383"/>
      <c r="I864" s="2383"/>
      <c r="J864" s="2383"/>
      <c r="K864" s="2383"/>
      <c r="L864" s="2383"/>
      <c r="M864" s="2383"/>
      <c r="N864" s="2383"/>
      <c r="O864" s="2383"/>
      <c r="P864" s="2383"/>
      <c r="Q864" s="2383"/>
      <c r="R864" s="2383"/>
      <c r="S864" s="2383"/>
      <c r="T864" s="2383"/>
      <c r="U864" s="2383"/>
      <c r="V864" s="2383"/>
      <c r="W864" s="2383"/>
      <c r="X864" s="2383"/>
      <c r="Y864" s="2383"/>
      <c r="Z864" s="2383"/>
      <c r="AA864" s="2383"/>
      <c r="AB864" s="2383"/>
      <c r="AC864" s="2383"/>
      <c r="AD864" s="2383"/>
      <c r="AE864" s="2383"/>
      <c r="AF864" s="2383"/>
      <c r="AG864" s="5293"/>
      <c r="AH864" s="5294"/>
      <c r="AI864" s="6747"/>
    </row>
    <row r="865" ht="96.75" customHeight="1">
      <c r="A865" s="6738"/>
      <c r="B865" s="2358"/>
      <c r="C865" s="5295" t="str">
        <f>IMAGE("https://i.ibb.co/qsQbp4Z/Biker.png")</f>
        <v/>
      </c>
      <c r="D865" s="2343"/>
      <c r="E865" s="5296" t="str">
        <f t="array" ref="E865">IFERROR(VLOOKUP(E866,Dex!$B$3:$G1219,3,FALSE),"")</f>
        <v/>
      </c>
      <c r="F865" s="1945"/>
      <c r="G865" s="1945"/>
      <c r="H865" s="1946"/>
      <c r="I865" s="2343"/>
      <c r="J865" s="5296" t="str">
        <f t="array" ref="J865">IFERROR(VLOOKUP(J866,Dex!$B$3:$G1219,3,FALSE),"")</f>
        <v/>
      </c>
      <c r="K865" s="1945"/>
      <c r="L865" s="1945"/>
      <c r="M865" s="1946"/>
      <c r="N865" s="2343"/>
      <c r="O865" s="5296" t="str">
        <f t="array" ref="O865">IFERROR(VLOOKUP(O866,Dex!$B$3:$G1219,3,FALSE),"")</f>
        <v/>
      </c>
      <c r="P865" s="1945"/>
      <c r="Q865" s="1945"/>
      <c r="R865" s="1946"/>
      <c r="S865" s="2343"/>
      <c r="T865" s="2329"/>
      <c r="U865" s="2332"/>
      <c r="V865" s="2332"/>
      <c r="W865" s="420"/>
      <c r="X865" s="2344"/>
      <c r="Y865" s="2329"/>
      <c r="Z865" s="2332"/>
      <c r="AA865" s="2332"/>
      <c r="AB865" s="420"/>
      <c r="AC865" s="2345"/>
      <c r="AD865" s="2329"/>
      <c r="AE865" s="2332"/>
      <c r="AF865" s="2332"/>
      <c r="AG865" s="420"/>
      <c r="AH865" s="2334"/>
      <c r="AI865" s="6747"/>
    </row>
    <row r="866" ht="18.75" customHeight="1">
      <c r="A866" s="6738"/>
      <c r="B866" s="2419"/>
      <c r="C866" s="5297" t="s">
        <v>2146</v>
      </c>
      <c r="E866" s="2351" t="s">
        <v>1298</v>
      </c>
      <c r="F866" s="2352"/>
      <c r="G866" s="2352"/>
      <c r="H866" s="2353"/>
      <c r="J866" s="2351" t="s">
        <v>1687</v>
      </c>
      <c r="K866" s="2352"/>
      <c r="L866" s="2352"/>
      <c r="M866" s="2353"/>
      <c r="O866" s="2351" t="s">
        <v>819</v>
      </c>
      <c r="P866" s="2352"/>
      <c r="Q866" s="2352"/>
      <c r="R866" s="2353"/>
      <c r="T866" s="2354"/>
      <c r="U866" s="2332"/>
      <c r="V866" s="2332"/>
      <c r="W866" s="420"/>
      <c r="Y866" s="2354"/>
      <c r="Z866" s="2332"/>
      <c r="AA866" s="2332"/>
      <c r="AB866" s="420"/>
      <c r="AC866" s="302"/>
      <c r="AD866" s="2354"/>
      <c r="AE866" s="2332"/>
      <c r="AF866" s="2332"/>
      <c r="AG866" s="420"/>
      <c r="AH866" s="2356"/>
      <c r="AI866" s="6747"/>
    </row>
    <row r="867">
      <c r="A867" s="6738"/>
      <c r="B867" s="5298"/>
      <c r="C867" s="1646"/>
      <c r="E867" s="2360" t="s">
        <v>796</v>
      </c>
      <c r="F867" s="2361"/>
      <c r="G867" s="2361"/>
      <c r="H867" s="2362"/>
      <c r="J867" s="2360" t="s">
        <v>729</v>
      </c>
      <c r="K867" s="2361"/>
      <c r="L867" s="2361"/>
      <c r="M867" s="2362"/>
      <c r="O867" s="2360" t="s">
        <v>967</v>
      </c>
      <c r="P867" s="2361"/>
      <c r="Q867" s="2361"/>
      <c r="R867" s="2362"/>
      <c r="T867" s="2758"/>
      <c r="U867" s="2332"/>
      <c r="V867" s="2332"/>
      <c r="W867" s="420"/>
      <c r="Y867" s="2758"/>
      <c r="Z867" s="2332"/>
      <c r="AA867" s="2332"/>
      <c r="AB867" s="420"/>
      <c r="AC867" s="302"/>
      <c r="AD867" s="2758"/>
      <c r="AE867" s="2332"/>
      <c r="AF867" s="2332"/>
      <c r="AG867" s="420"/>
      <c r="AH867" s="5299"/>
      <c r="AI867" s="6747"/>
    </row>
    <row r="868" ht="25.5" customHeight="1">
      <c r="A868" s="6738"/>
      <c r="B868" s="2358"/>
      <c r="C868" s="3442"/>
      <c r="E868" s="2365"/>
      <c r="F868" s="2369" t="str">
        <f t="array" ref="F868">IFERROR(VLOOKUP(E866,Dex!$B$3:$H1219,5,FALSE),"")</f>
        <v/>
      </c>
      <c r="G868" s="2370" t="str">
        <f t="array" ref="G868">IFERROR(VLOOKUP(E866,Dex!$B$3:$H1219,7,FALSE),"")</f>
        <v/>
      </c>
      <c r="H868" s="2368"/>
      <c r="J868" s="2365"/>
      <c r="K868" s="2369" t="str">
        <f t="array" ref="K868">IFERROR(VLOOKUP(J866,Dex!$B$3:$H1219,5,FALSE),"")</f>
        <v/>
      </c>
      <c r="L868" s="2370" t="str">
        <f t="array" ref="L868">IFERROR(VLOOKUP(J866,Dex!$B$3:$H1219,7,FALSE),"")</f>
        <v/>
      </c>
      <c r="M868" s="2368"/>
      <c r="O868" s="2365"/>
      <c r="P868" s="2369" t="str">
        <f t="array" ref="P868">IFERROR(VLOOKUP(O866,Dex!$B$3:$H1219,5,FALSE),"")</f>
        <v/>
      </c>
      <c r="Q868" s="2370" t="str">
        <f t="array" ref="Q868">IFERROR(VLOOKUP(O866,Dex!$B$3:$H1219,7,FALSE),"")</f>
        <v/>
      </c>
      <c r="R868" s="2368"/>
      <c r="T868" s="2329"/>
      <c r="U868" s="2332"/>
      <c r="V868" s="2332"/>
      <c r="W868" s="420"/>
      <c r="Y868" s="2329"/>
      <c r="Z868" s="2332"/>
      <c r="AA868" s="2332"/>
      <c r="AB868" s="420"/>
      <c r="AC868" s="302"/>
      <c r="AD868" s="2329"/>
      <c r="AE868" s="2332"/>
      <c r="AF868" s="2332"/>
      <c r="AG868" s="420"/>
      <c r="AH868" s="2334"/>
      <c r="AI868" s="6747"/>
    </row>
    <row r="869" ht="2.25" customHeight="1">
      <c r="A869" s="6738"/>
      <c r="B869" s="2358"/>
      <c r="C869" s="2396"/>
      <c r="E869" s="2371"/>
      <c r="F869" s="2372"/>
      <c r="G869" s="2372"/>
      <c r="H869" s="2373"/>
      <c r="J869" s="2371"/>
      <c r="K869" s="2372"/>
      <c r="L869" s="2372"/>
      <c r="M869" s="2373"/>
      <c r="O869" s="2371"/>
      <c r="P869" s="2372"/>
      <c r="Q869" s="2372"/>
      <c r="R869" s="2373"/>
      <c r="T869" s="2374"/>
      <c r="U869" s="2374"/>
      <c r="V869" s="2374"/>
      <c r="W869" s="2374"/>
      <c r="Y869" s="2374"/>
      <c r="Z869" s="2374"/>
      <c r="AA869" s="2374"/>
      <c r="AB869" s="2374"/>
      <c r="AC869" s="302"/>
      <c r="AD869" s="2374"/>
      <c r="AE869" s="2374"/>
      <c r="AF869" s="2374"/>
      <c r="AG869" s="2374"/>
      <c r="AH869" s="2334"/>
      <c r="AI869" s="6747"/>
    </row>
    <row r="870" ht="20.25" customHeight="1">
      <c r="A870" s="6738"/>
      <c r="B870" s="2327"/>
      <c r="C870" s="5300"/>
      <c r="E870" s="2376" t="s">
        <v>707</v>
      </c>
      <c r="F870" s="2377"/>
      <c r="G870" s="2377"/>
      <c r="H870" s="2378"/>
      <c r="J870" s="2376" t="s">
        <v>532</v>
      </c>
      <c r="K870" s="2377"/>
      <c r="L870" s="2377"/>
      <c r="M870" s="2378"/>
      <c r="O870" s="2376" t="s">
        <v>532</v>
      </c>
      <c r="P870" s="2377"/>
      <c r="Q870" s="2377"/>
      <c r="R870" s="2378"/>
      <c r="T870" s="2329"/>
      <c r="U870" s="2332"/>
      <c r="V870" s="2332"/>
      <c r="W870" s="420"/>
      <c r="Y870" s="2329"/>
      <c r="Z870" s="2332"/>
      <c r="AA870" s="2332"/>
      <c r="AB870" s="420"/>
      <c r="AC870" s="302"/>
      <c r="AD870" s="2329"/>
      <c r="AE870" s="2332"/>
      <c r="AF870" s="2332"/>
      <c r="AG870" s="420"/>
      <c r="AH870" s="2334"/>
      <c r="AI870" s="6747"/>
    </row>
    <row r="871" ht="20.25" customHeight="1">
      <c r="A871" s="6738"/>
      <c r="B871" s="2327"/>
      <c r="C871" s="2328"/>
      <c r="E871" s="2380" t="s">
        <v>1239</v>
      </c>
      <c r="F871" s="2332"/>
      <c r="G871" s="2332"/>
      <c r="H871" s="2381"/>
      <c r="J871" s="2380" t="s">
        <v>827</v>
      </c>
      <c r="K871" s="2332"/>
      <c r="L871" s="2332"/>
      <c r="M871" s="2381"/>
      <c r="O871" s="2380" t="s">
        <v>826</v>
      </c>
      <c r="P871" s="2332"/>
      <c r="Q871" s="2332"/>
      <c r="R871" s="2381"/>
      <c r="T871" s="2329"/>
      <c r="U871" s="2332"/>
      <c r="V871" s="2332"/>
      <c r="W871" s="420"/>
      <c r="Y871" s="2329"/>
      <c r="Z871" s="2332"/>
      <c r="AA871" s="2332"/>
      <c r="AB871" s="420"/>
      <c r="AC871" s="302"/>
      <c r="AD871" s="2329"/>
      <c r="AE871" s="2332"/>
      <c r="AF871" s="2332"/>
      <c r="AG871" s="420"/>
      <c r="AH871" s="2334"/>
      <c r="AI871" s="6747"/>
    </row>
    <row r="872" ht="20.25" customHeight="1">
      <c r="A872" s="6738"/>
      <c r="B872" s="2327"/>
      <c r="C872" s="2328"/>
      <c r="E872" s="2382" t="s">
        <v>1303</v>
      </c>
      <c r="F872" s="2383"/>
      <c r="G872" s="5293"/>
      <c r="H872" s="5301" t="str">
        <f>IMAGE("https://raw.githubusercontent.com/msikma/pokesprite/master/items/hold-item/light-clay.png",3)</f>
        <v/>
      </c>
      <c r="J872" s="2382" t="s">
        <v>1944</v>
      </c>
      <c r="K872" s="2383"/>
      <c r="L872" s="5293"/>
      <c r="M872" s="5301" t="str">
        <f>IMAGE("https://raw.githubusercontent.com/msikma/pokesprite/master/items/z-crystals/groundium-z--held.png",3)</f>
        <v/>
      </c>
      <c r="O872" s="2382" t="s">
        <v>1616</v>
      </c>
      <c r="P872" s="2383"/>
      <c r="Q872" s="5293"/>
      <c r="R872" s="5301" t="str">
        <f>IMAGE("https://raw.githubusercontent.com/msikma/pokesprite/master/items/gem/rock.png",3)</f>
        <v/>
      </c>
      <c r="T872" s="2329"/>
      <c r="U872" s="2332"/>
      <c r="V872" s="2332"/>
      <c r="W872" s="420"/>
      <c r="Y872" s="2329"/>
      <c r="Z872" s="2332"/>
      <c r="AA872" s="2332"/>
      <c r="AB872" s="420"/>
      <c r="AC872" s="302"/>
      <c r="AD872" s="2329"/>
      <c r="AE872" s="2332"/>
      <c r="AF872" s="2332"/>
      <c r="AG872" s="420"/>
      <c r="AH872" s="2334"/>
      <c r="AI872" s="6747"/>
    </row>
    <row r="873" ht="20.25" customHeight="1">
      <c r="A873" s="6738"/>
      <c r="B873" s="2327"/>
      <c r="C873" s="2396"/>
      <c r="E873" s="2376" t="s">
        <v>1305</v>
      </c>
      <c r="F873" s="2377"/>
      <c r="G873" s="2386"/>
      <c r="H873" s="5302" t="str">
        <f t="shared" ref="H873:H874" si="35">IMAGE("https://raw.githubusercontent.com/msikma/pokesprite/master/misc/types/gen8/psychic.png",4,20,20)</f>
        <v/>
      </c>
      <c r="J873" s="2376" t="s">
        <v>695</v>
      </c>
      <c r="K873" s="2377"/>
      <c r="L873" s="2386"/>
      <c r="M873" s="5302" t="str">
        <f>IMAGE("https://raw.githubusercontent.com/msikma/pokesprite/master/misc/types/gen8/ground.png",4,20,20)</f>
        <v/>
      </c>
      <c r="O873" s="2376" t="s">
        <v>1488</v>
      </c>
      <c r="P873" s="2377"/>
      <c r="Q873" s="2386"/>
      <c r="R873" s="5302" t="str">
        <f>IMAGE("https://raw.githubusercontent.com/msikma/pokesprite/master/misc/types/gen8/rock.png",4,20,20)</f>
        <v/>
      </c>
      <c r="T873" s="2329"/>
      <c r="U873" s="2332"/>
      <c r="V873" s="2332"/>
      <c r="W873" s="420"/>
      <c r="Y873" s="2329"/>
      <c r="Z873" s="2332"/>
      <c r="AA873" s="2332"/>
      <c r="AB873" s="420"/>
      <c r="AC873" s="302"/>
      <c r="AD873" s="2329"/>
      <c r="AE873" s="2332"/>
      <c r="AF873" s="2332"/>
      <c r="AG873" s="420"/>
      <c r="AH873" s="2334"/>
      <c r="AI873" s="6747"/>
    </row>
    <row r="874" ht="20.25" customHeight="1">
      <c r="A874" s="6738"/>
      <c r="B874" s="2327"/>
      <c r="C874" s="2396"/>
      <c r="E874" s="2380" t="s">
        <v>1307</v>
      </c>
      <c r="F874" s="2332"/>
      <c r="G874" s="420"/>
      <c r="H874" s="5303" t="str">
        <f t="shared" si="35"/>
        <v/>
      </c>
      <c r="J874" s="2380" t="s">
        <v>696</v>
      </c>
      <c r="K874" s="2332"/>
      <c r="L874" s="420"/>
      <c r="M874" s="5303" t="str">
        <f>IMAGE("https://raw.githubusercontent.com/msikma/pokesprite/master/misc/types/gen8/dragon.png",4,20,20)</f>
        <v/>
      </c>
      <c r="O874" s="2380" t="s">
        <v>612</v>
      </c>
      <c r="P874" s="2332"/>
      <c r="Q874" s="420"/>
      <c r="R874" s="5303" t="str">
        <f>IMAGE("https://raw.githubusercontent.com/msikma/pokesprite/master/misc/types/gen8/bug.png",4,20,20)</f>
        <v/>
      </c>
      <c r="T874" s="2329"/>
      <c r="U874" s="2332"/>
      <c r="V874" s="2332"/>
      <c r="W874" s="420"/>
      <c r="Y874" s="2329"/>
      <c r="Z874" s="2332"/>
      <c r="AA874" s="2332"/>
      <c r="AB874" s="420"/>
      <c r="AC874" s="302"/>
      <c r="AD874" s="2329"/>
      <c r="AE874" s="2332"/>
      <c r="AF874" s="2332"/>
      <c r="AG874" s="420"/>
      <c r="AH874" s="2334"/>
      <c r="AI874" s="6747"/>
    </row>
    <row r="875" ht="20.25" customHeight="1">
      <c r="A875" s="6738"/>
      <c r="B875" s="2327"/>
      <c r="C875" s="2396"/>
      <c r="E875" s="2380" t="s">
        <v>611</v>
      </c>
      <c r="F875" s="2332"/>
      <c r="G875" s="420"/>
      <c r="H875" s="5303" t="str">
        <f>IMAGE("https://raw.githubusercontent.com/msikma/pokesprite/master/misc/types/gen8/electric.png",4,20,20)</f>
        <v/>
      </c>
      <c r="J875" s="2380" t="s">
        <v>612</v>
      </c>
      <c r="K875" s="2332"/>
      <c r="L875" s="420"/>
      <c r="M875" s="5303" t="str">
        <f>IMAGE("https://raw.githubusercontent.com/msikma/pokesprite/master/misc/types/gen8/bug.png",4,20,20)</f>
        <v/>
      </c>
      <c r="O875" s="2380" t="s">
        <v>583</v>
      </c>
      <c r="P875" s="2332"/>
      <c r="Q875" s="420"/>
      <c r="R875" s="5303" t="str">
        <f>IMAGE("https://raw.githubusercontent.com/msikma/pokesprite/master/misc/types/gen8/fighting.png",4,20,20)</f>
        <v/>
      </c>
      <c r="T875" s="2329"/>
      <c r="U875" s="2332"/>
      <c r="V875" s="2332"/>
      <c r="W875" s="420"/>
      <c r="Y875" s="2329"/>
      <c r="Z875" s="2332"/>
      <c r="AA875" s="2332"/>
      <c r="AB875" s="420"/>
      <c r="AC875" s="302"/>
      <c r="AD875" s="2329"/>
      <c r="AE875" s="2332"/>
      <c r="AF875" s="2332"/>
      <c r="AG875" s="420"/>
      <c r="AH875" s="2334"/>
      <c r="AI875" s="6747"/>
    </row>
    <row r="876" ht="21.0" customHeight="1">
      <c r="A876" s="6738"/>
      <c r="B876" s="2327"/>
      <c r="C876" s="2396"/>
      <c r="D876" s="2393"/>
      <c r="E876" s="2389" t="s">
        <v>1308</v>
      </c>
      <c r="F876" s="2390"/>
      <c r="G876" s="2391"/>
      <c r="H876" s="5304" t="str">
        <f>IMAGE("https://raw.githubusercontent.com/msikma/pokesprite/master/misc/types/gen8/fairy.png",4,20,20)</f>
        <v/>
      </c>
      <c r="I876" s="2393"/>
      <c r="J876" s="2389" t="s">
        <v>1020</v>
      </c>
      <c r="K876" s="2390"/>
      <c r="L876" s="2391"/>
      <c r="M876" s="5304" t="str">
        <f>IMAGE("https://raw.githubusercontent.com/msikma/pokesprite/master/misc/types/gen8/fire.png",4,20,20)</f>
        <v/>
      </c>
      <c r="N876" s="2393"/>
      <c r="O876" s="2389" t="s">
        <v>621</v>
      </c>
      <c r="P876" s="2390"/>
      <c r="Q876" s="2391"/>
      <c r="R876" s="5304" t="str">
        <f>IMAGE("https://raw.githubusercontent.com/msikma/pokesprite/master/misc/types/gen8/rock.png",4,20,20)</f>
        <v/>
      </c>
      <c r="S876" s="2393"/>
      <c r="T876" s="2329"/>
      <c r="U876" s="2332"/>
      <c r="V876" s="2332"/>
      <c r="W876" s="420"/>
      <c r="X876" s="2393"/>
      <c r="Y876" s="2329"/>
      <c r="Z876" s="2332"/>
      <c r="AA876" s="2332"/>
      <c r="AB876" s="420"/>
      <c r="AC876" s="510"/>
      <c r="AD876" s="2329"/>
      <c r="AE876" s="2332"/>
      <c r="AF876" s="2332"/>
      <c r="AG876" s="420"/>
      <c r="AH876" s="2334"/>
      <c r="AI876" s="6747"/>
    </row>
    <row r="877" ht="3.0" customHeight="1">
      <c r="A877" s="6738"/>
      <c r="B877" s="2395"/>
      <c r="C877" s="2396"/>
      <c r="D877" s="2397"/>
      <c r="E877" s="5307"/>
      <c r="F877" s="5307"/>
      <c r="G877" s="5307"/>
      <c r="H877" s="5306"/>
      <c r="I877" s="2397"/>
      <c r="J877" s="5307"/>
      <c r="K877" s="5307"/>
      <c r="L877" s="5307"/>
      <c r="M877" s="5306"/>
      <c r="N877" s="2397"/>
      <c r="O877" s="5307"/>
      <c r="P877" s="5307"/>
      <c r="Q877" s="5307"/>
      <c r="R877" s="5306"/>
      <c r="S877" s="2397"/>
      <c r="T877" s="2400"/>
      <c r="U877" s="2400"/>
      <c r="V877" s="2400"/>
      <c r="W877" s="2400"/>
      <c r="X877" s="2397"/>
      <c r="Y877" s="2400"/>
      <c r="Z877" s="2400"/>
      <c r="AA877" s="2400"/>
      <c r="AB877" s="2400"/>
      <c r="AC877" s="2400"/>
      <c r="AD877" s="2400"/>
      <c r="AE877" s="2400"/>
      <c r="AF877" s="2400"/>
      <c r="AG877" s="2400"/>
      <c r="AH877" s="2401"/>
      <c r="AI877" s="6747"/>
    </row>
    <row r="878" ht="16.5" customHeight="1">
      <c r="A878" s="6738"/>
      <c r="B878" s="2403"/>
      <c r="C878" s="2396"/>
      <c r="D878" s="5309"/>
      <c r="E878" s="5310" t="s">
        <v>512</v>
      </c>
      <c r="F878" s="606"/>
      <c r="G878" s="606"/>
      <c r="H878" s="607"/>
      <c r="I878" s="5309"/>
      <c r="J878" s="5310" t="s">
        <v>512</v>
      </c>
      <c r="K878" s="606"/>
      <c r="L878" s="606"/>
      <c r="M878" s="607"/>
      <c r="N878" s="5309"/>
      <c r="O878" s="5310" t="s">
        <v>512</v>
      </c>
      <c r="P878" s="606"/>
      <c r="Q878" s="606"/>
      <c r="R878" s="607"/>
      <c r="S878" s="2409"/>
      <c r="T878" s="2409"/>
      <c r="U878" s="2409"/>
      <c r="V878" s="2409"/>
      <c r="W878" s="2409"/>
      <c r="X878" s="5311"/>
      <c r="Y878" s="2409"/>
      <c r="Z878" s="2409"/>
      <c r="AA878" s="2409"/>
      <c r="AB878" s="2409"/>
      <c r="AC878" s="2409"/>
      <c r="AD878" s="2409"/>
      <c r="AE878" s="2409"/>
      <c r="AF878" s="2409"/>
      <c r="AG878" s="2409"/>
      <c r="AH878" s="2410"/>
      <c r="AI878" s="6747"/>
    </row>
    <row r="879" ht="16.5" customHeight="1">
      <c r="A879" s="6738"/>
      <c r="B879" s="2403"/>
      <c r="C879" s="2396"/>
      <c r="D879" s="5312"/>
      <c r="E879" s="5313" t="s">
        <v>513</v>
      </c>
      <c r="F879" s="5314">
        <f t="array" ref="F879">IFERROR(VLOOKUP(E866,Dex!$B$3:$N1219,8,FALSE),"")</f>
        <v>95</v>
      </c>
      <c r="G879" s="5315" t="str">
        <f t="array" ref="G879">IFERROR(VLOOKUP(F879,Dex!$P$22:$Q$276,2,FALSE),"")</f>
        <v/>
      </c>
      <c r="H879" s="5316"/>
      <c r="I879" s="5312"/>
      <c r="J879" s="5313" t="s">
        <v>513</v>
      </c>
      <c r="K879" s="5314">
        <f t="array" ref="K879">IFERROR(VLOOKUP(J866,Dex!$B$3:$N1219,8,FALSE),"")</f>
        <v>100</v>
      </c>
      <c r="L879" s="5315" t="str">
        <f t="array" ref="L879">IFERROR(VLOOKUP(K879,Dex!$P$22:$Q$276,2,FALSE),"")</f>
        <v/>
      </c>
      <c r="M879" s="5316"/>
      <c r="N879" s="5312"/>
      <c r="O879" s="5313" t="s">
        <v>513</v>
      </c>
      <c r="P879" s="5314">
        <f t="array" ref="P879">IFERROR(VLOOKUP(O866,Dex!$B$3:$N1219,8,FALSE),"")</f>
        <v>85</v>
      </c>
      <c r="Q879" s="5315" t="str">
        <f t="array" ref="Q879">IFERROR(VLOOKUP(P879,Dex!$P$22:$Q$276,2,FALSE),"")</f>
        <v/>
      </c>
      <c r="R879" s="5316"/>
      <c r="S879" s="2409"/>
      <c r="T879" s="2409"/>
      <c r="U879" s="2409"/>
      <c r="V879" s="2409"/>
      <c r="W879" s="2409"/>
      <c r="X879" s="5317"/>
      <c r="Y879" s="2409"/>
      <c r="Z879" s="2409"/>
      <c r="AA879" s="2409"/>
      <c r="AB879" s="2409"/>
      <c r="AC879" s="2409"/>
      <c r="AD879" s="2409"/>
      <c r="AE879" s="2409"/>
      <c r="AF879" s="2409"/>
      <c r="AG879" s="2409"/>
      <c r="AH879" s="2410"/>
      <c r="AI879" s="6747"/>
    </row>
    <row r="880" ht="16.5" customHeight="1">
      <c r="A880" s="6738"/>
      <c r="B880" s="2403"/>
      <c r="C880" s="2396"/>
      <c r="D880" s="5312"/>
      <c r="E880" s="5318" t="s">
        <v>514</v>
      </c>
      <c r="F880" s="5319">
        <f t="array" ref="F880">IFERROR(VLOOKUP(E866,Dex!$B$3:$N1219,9,FALSE),"")</f>
        <v>120</v>
      </c>
      <c r="G880" s="5320" t="str">
        <f t="array" ref="G880">IFERROR(VLOOKUP(F880,Dex!$P$22:$Q$276,2,FALSE),"")</f>
        <v/>
      </c>
      <c r="H880" s="5321"/>
      <c r="I880" s="5312"/>
      <c r="J880" s="5318" t="s">
        <v>514</v>
      </c>
      <c r="K880" s="5319">
        <f t="array" ref="K880">IFERROR(VLOOKUP(J866,Dex!$B$3:$N1219,9,FALSE),"")</f>
        <v>100</v>
      </c>
      <c r="L880" s="5320" t="str">
        <f t="array" ref="L880">IFERROR(VLOOKUP(K880,Dex!$P$22:$Q$276,2,FALSE),"")</f>
        <v/>
      </c>
      <c r="M880" s="5321"/>
      <c r="N880" s="5312"/>
      <c r="O880" s="5318" t="s">
        <v>514</v>
      </c>
      <c r="P880" s="5319">
        <f t="array" ref="P880">IFERROR(VLOOKUP(O866,Dex!$B$3:$N1219,9,FALSE),"")</f>
        <v>135</v>
      </c>
      <c r="Q880" s="5320" t="str">
        <f t="array" ref="Q880">IFERROR(VLOOKUP(P880,Dex!$P$22:$Q$276,2,FALSE),"")</f>
        <v/>
      </c>
      <c r="R880" s="5321"/>
      <c r="S880" s="2409"/>
      <c r="T880" s="2409"/>
      <c r="U880" s="2409"/>
      <c r="V880" s="2409"/>
      <c r="W880" s="2409"/>
      <c r="X880" s="5317"/>
      <c r="Y880" s="2409"/>
      <c r="Z880" s="2409"/>
      <c r="AA880" s="2409"/>
      <c r="AB880" s="2409"/>
      <c r="AC880" s="2409"/>
      <c r="AD880" s="2409"/>
      <c r="AE880" s="2409"/>
      <c r="AF880" s="2409"/>
      <c r="AG880" s="2409"/>
      <c r="AH880" s="2410"/>
      <c r="AI880" s="6747"/>
    </row>
    <row r="881" ht="16.5" customHeight="1">
      <c r="A881" s="6738"/>
      <c r="B881" s="2403"/>
      <c r="C881" s="2396"/>
      <c r="D881" s="5312"/>
      <c r="E881" s="5318" t="s">
        <v>515</v>
      </c>
      <c r="F881" s="5319">
        <f t="array" ref="F881">IFERROR(VLOOKUP(E866,Dex!$B$3:$N1219,10,FALSE),"")</f>
        <v>65</v>
      </c>
      <c r="G881" s="5320" t="str">
        <f t="array" ref="G881">IFERROR(VLOOKUP(F881,Dex!$P$22:$Q$276,2,FALSE),"")</f>
        <v/>
      </c>
      <c r="H881" s="5321"/>
      <c r="I881" s="5312"/>
      <c r="J881" s="5318" t="s">
        <v>515</v>
      </c>
      <c r="K881" s="5319">
        <f t="array" ref="K881">IFERROR(VLOOKUP(J866,Dex!$B$3:$N1219,10,FALSE),"")</f>
        <v>80</v>
      </c>
      <c r="L881" s="5320" t="str">
        <f t="array" ref="L881">IFERROR(VLOOKUP(K881,Dex!$P$22:$Q$276,2,FALSE),"")</f>
        <v/>
      </c>
      <c r="M881" s="5321"/>
      <c r="N881" s="5312"/>
      <c r="O881" s="5318" t="s">
        <v>515</v>
      </c>
      <c r="P881" s="5319">
        <f t="array" ref="P881">IFERROR(VLOOKUP(O866,Dex!$B$3:$N1219,10,FALSE),"")</f>
        <v>95</v>
      </c>
      <c r="Q881" s="5320" t="str">
        <f t="array" ref="Q881">IFERROR(VLOOKUP(P881,Dex!$P$22:$Q$276,2,FALSE),"")</f>
        <v/>
      </c>
      <c r="R881" s="5321"/>
      <c r="S881" s="2409"/>
      <c r="T881" s="2409"/>
      <c r="U881" s="2409"/>
      <c r="V881" s="2409"/>
      <c r="W881" s="2409"/>
      <c r="X881" s="5317"/>
      <c r="Y881" s="2409"/>
      <c r="Z881" s="2409"/>
      <c r="AA881" s="2409"/>
      <c r="AB881" s="2409"/>
      <c r="AC881" s="2409"/>
      <c r="AD881" s="2409"/>
      <c r="AE881" s="2409"/>
      <c r="AF881" s="2409"/>
      <c r="AG881" s="2409"/>
      <c r="AH881" s="2410"/>
      <c r="AI881" s="6747"/>
    </row>
    <row r="882" ht="16.5" customHeight="1">
      <c r="A882" s="6738"/>
      <c r="B882" s="2403"/>
      <c r="C882" s="2396"/>
      <c r="D882" s="5312"/>
      <c r="E882" s="5318" t="s">
        <v>516</v>
      </c>
      <c r="F882" s="5319">
        <f t="array" ref="F882">IFERROR(VLOOKUP(E866,Dex!$B$3:$N1219,11,FALSE),"")</f>
        <v>95</v>
      </c>
      <c r="G882" s="5320" t="str">
        <f t="array" ref="G882">IFERROR(VLOOKUP(F882,Dex!$P$22:$Q$276,2,FALSE),"")</f>
        <v/>
      </c>
      <c r="H882" s="5321"/>
      <c r="I882" s="5312"/>
      <c r="J882" s="5318" t="s">
        <v>516</v>
      </c>
      <c r="K882" s="5319">
        <f t="array" ref="K882">IFERROR(VLOOKUP(J866,Dex!$B$3:$N1219,11,FALSE),"")</f>
        <v>100</v>
      </c>
      <c r="L882" s="5320" t="str">
        <f t="array" ref="L882">IFERROR(VLOOKUP(K882,Dex!$P$22:$Q$276,2,FALSE),"")</f>
        <v/>
      </c>
      <c r="M882" s="5321"/>
      <c r="N882" s="5312"/>
      <c r="O882" s="5318" t="s">
        <v>516</v>
      </c>
      <c r="P882" s="5319">
        <f t="array" ref="P882">IFERROR(VLOOKUP(O866,Dex!$B$3:$N1219,11,FALSE),"")</f>
        <v>30</v>
      </c>
      <c r="Q882" s="5320" t="str">
        <f t="array" ref="Q882">IFERROR(VLOOKUP(P882,Dex!$P$22:$Q$276,2,FALSE),"")</f>
        <v/>
      </c>
      <c r="R882" s="5321"/>
      <c r="S882" s="2409"/>
      <c r="T882" s="2409"/>
      <c r="U882" s="2409"/>
      <c r="V882" s="2409"/>
      <c r="W882" s="2409"/>
      <c r="X882" s="5317"/>
      <c r="Y882" s="2409"/>
      <c r="Z882" s="2409"/>
      <c r="AA882" s="2409"/>
      <c r="AB882" s="2409"/>
      <c r="AC882" s="2409"/>
      <c r="AD882" s="2409"/>
      <c r="AE882" s="2409"/>
      <c r="AF882" s="2409"/>
      <c r="AG882" s="2409"/>
      <c r="AH882" s="2410"/>
      <c r="AI882" s="6747"/>
    </row>
    <row r="883" ht="16.5" customHeight="1">
      <c r="A883" s="6738"/>
      <c r="B883" s="2403"/>
      <c r="C883" s="2396"/>
      <c r="D883" s="5312"/>
      <c r="E883" s="5318" t="s">
        <v>517</v>
      </c>
      <c r="F883" s="5319">
        <f t="array" ref="F883">IFERROR(VLOOKUP(E866,Dex!$B$3:$N1219,12,FALSE),"")</f>
        <v>75</v>
      </c>
      <c r="G883" s="5320" t="str">
        <f t="array" ref="G883">IFERROR(VLOOKUP(F883,Dex!$P$22:$Q$276,2,FALSE),"")</f>
        <v/>
      </c>
      <c r="H883" s="5321"/>
      <c r="I883" s="5312"/>
      <c r="J883" s="5318" t="s">
        <v>517</v>
      </c>
      <c r="K883" s="5319">
        <f t="array" ref="K883">IFERROR(VLOOKUP(J866,Dex!$B$3:$N1219,12,FALSE),"")</f>
        <v>80</v>
      </c>
      <c r="L883" s="5320" t="str">
        <f t="array" ref="L883">IFERROR(VLOOKUP(K883,Dex!$P$22:$Q$276,2,FALSE),"")</f>
        <v/>
      </c>
      <c r="M883" s="5321"/>
      <c r="N883" s="5312"/>
      <c r="O883" s="5318" t="s">
        <v>517</v>
      </c>
      <c r="P883" s="5319">
        <f t="array" ref="P883">IFERROR(VLOOKUP(O866,Dex!$B$3:$N1219,12,FALSE),"")</f>
        <v>70</v>
      </c>
      <c r="Q883" s="5320" t="str">
        <f t="array" ref="Q883">IFERROR(VLOOKUP(P883,Dex!$P$22:$Q$276,2,FALSE),"")</f>
        <v/>
      </c>
      <c r="R883" s="5321"/>
      <c r="S883" s="2409"/>
      <c r="T883" s="2409"/>
      <c r="U883" s="2409"/>
      <c r="V883" s="2409"/>
      <c r="W883" s="2409"/>
      <c r="X883" s="5317"/>
      <c r="Y883" s="2409"/>
      <c r="Z883" s="2409"/>
      <c r="AA883" s="2409"/>
      <c r="AB883" s="2409"/>
      <c r="AC883" s="2409"/>
      <c r="AD883" s="2409"/>
      <c r="AE883" s="2409"/>
      <c r="AF883" s="2409"/>
      <c r="AG883" s="2409"/>
      <c r="AH883" s="2410"/>
      <c r="AI883" s="6747"/>
    </row>
    <row r="884" ht="16.5" customHeight="1">
      <c r="A884" s="6738"/>
      <c r="B884" s="2403"/>
      <c r="C884" s="2396"/>
      <c r="D884" s="5312"/>
      <c r="E884" s="5322" t="s">
        <v>518</v>
      </c>
      <c r="F884" s="5323">
        <f t="array" ref="F884">IFERROR(VLOOKUP(E866,Dex!$B$3:$N1219,13,FALSE),"")</f>
        <v>60</v>
      </c>
      <c r="G884" s="5320" t="str">
        <f t="array" ref="G884">IFERROR(VLOOKUP(F884,Dex!$P$22:$Q$276,2,FALSE),"")</f>
        <v/>
      </c>
      <c r="H884" s="5321"/>
      <c r="I884" s="5312"/>
      <c r="J884" s="5322" t="s">
        <v>518</v>
      </c>
      <c r="K884" s="5323">
        <f t="array" ref="K884">IFERROR(VLOOKUP(J866,Dex!$B$3:$N1219,13,FALSE),"")</f>
        <v>100</v>
      </c>
      <c r="L884" s="5320" t="str">
        <f t="array" ref="L884">IFERROR(VLOOKUP(K884,Dex!$P$22:$Q$276,2,FALSE),"")</f>
        <v/>
      </c>
      <c r="M884" s="5321"/>
      <c r="N884" s="5312"/>
      <c r="O884" s="5322" t="s">
        <v>518</v>
      </c>
      <c r="P884" s="5323">
        <f t="array" ref="P884">IFERROR(VLOOKUP(O866,Dex!$B$3:$N1219,13,FALSE),"")</f>
        <v>85</v>
      </c>
      <c r="Q884" s="5320" t="str">
        <f t="array" ref="Q884">IFERROR(VLOOKUP(P884,Dex!$P$22:$Q$276,2,FALSE),"")</f>
        <v/>
      </c>
      <c r="R884" s="5321"/>
      <c r="S884" s="2409"/>
      <c r="T884" s="2409"/>
      <c r="U884" s="2409"/>
      <c r="V884" s="2409"/>
      <c r="W884" s="2409"/>
      <c r="X884" s="5317"/>
      <c r="Y884" s="2409"/>
      <c r="Z884" s="2409"/>
      <c r="AA884" s="2409"/>
      <c r="AB884" s="2409"/>
      <c r="AC884" s="2409"/>
      <c r="AD884" s="2409"/>
      <c r="AE884" s="2409"/>
      <c r="AF884" s="2409"/>
      <c r="AG884" s="2409"/>
      <c r="AH884" s="2410"/>
      <c r="AI884" s="6747"/>
    </row>
    <row r="885" ht="16.5" customHeight="1">
      <c r="A885" s="6738"/>
      <c r="B885" s="2403"/>
      <c r="C885" s="2396"/>
      <c r="D885" s="5309"/>
      <c r="E885" s="5324" t="s">
        <v>519</v>
      </c>
      <c r="F885" s="630"/>
      <c r="G885" s="631"/>
      <c r="H885" s="7304">
        <v>152.0</v>
      </c>
      <c r="I885" s="5309"/>
      <c r="J885" s="5324" t="s">
        <v>519</v>
      </c>
      <c r="K885" s="630"/>
      <c r="L885" s="631"/>
      <c r="M885" s="7304">
        <v>259.0</v>
      </c>
      <c r="N885" s="5309"/>
      <c r="O885" s="5324" t="s">
        <v>519</v>
      </c>
      <c r="P885" s="630"/>
      <c r="Q885" s="631"/>
      <c r="R885" s="7304">
        <v>223.0</v>
      </c>
      <c r="S885" s="2409"/>
      <c r="T885" s="2409"/>
      <c r="U885" s="2409"/>
      <c r="V885" s="2409"/>
      <c r="W885" s="2409"/>
      <c r="X885" s="5311"/>
      <c r="Y885" s="2409"/>
      <c r="Z885" s="2409"/>
      <c r="AA885" s="2409"/>
      <c r="AB885" s="2409"/>
      <c r="AC885" s="2409"/>
      <c r="AD885" s="2409"/>
      <c r="AE885" s="2409"/>
      <c r="AF885" s="2409"/>
      <c r="AG885" s="2409"/>
      <c r="AH885" s="2410"/>
      <c r="AI885" s="6747"/>
    </row>
    <row r="886" ht="15.0" customHeight="1">
      <c r="A886" s="6738"/>
      <c r="B886" s="2440"/>
      <c r="C886" s="2441"/>
      <c r="D886" s="5331"/>
      <c r="E886" s="5332"/>
      <c r="F886" s="5332"/>
      <c r="G886" s="5332"/>
      <c r="H886" s="5332"/>
      <c r="I886" s="5331"/>
      <c r="J886" s="5332"/>
      <c r="K886" s="5332"/>
      <c r="L886" s="5332"/>
      <c r="M886" s="5332"/>
      <c r="N886" s="5331"/>
      <c r="O886" s="5332"/>
      <c r="P886" s="5332"/>
      <c r="Q886" s="5332"/>
      <c r="R886" s="5332"/>
      <c r="S886" s="5331"/>
      <c r="T886" s="5332"/>
      <c r="U886" s="5332"/>
      <c r="V886" s="5332"/>
      <c r="W886" s="5332"/>
      <c r="X886" s="2442"/>
      <c r="Y886" s="2442"/>
      <c r="Z886" s="2442"/>
      <c r="AA886" s="2442"/>
      <c r="AB886" s="2442"/>
      <c r="AC886" s="2442"/>
      <c r="AD886" s="2442"/>
      <c r="AE886" s="2442"/>
      <c r="AF886" s="2442"/>
      <c r="AG886" s="2442"/>
      <c r="AH886" s="2445"/>
      <c r="AI886" s="6747"/>
    </row>
    <row r="887" ht="15.0" customHeight="1">
      <c r="A887" s="6738"/>
      <c r="B887" s="5288"/>
      <c r="C887" s="5289"/>
      <c r="D887" s="5289"/>
      <c r="E887" s="7303"/>
      <c r="F887" s="7303"/>
      <c r="G887" s="7303"/>
      <c r="H887" s="7303"/>
      <c r="I887" s="5289"/>
      <c r="J887" s="7303"/>
      <c r="K887" s="7303"/>
      <c r="L887" s="7303"/>
      <c r="M887" s="7303"/>
      <c r="N887" s="5289"/>
      <c r="O887" s="7303"/>
      <c r="P887" s="7303"/>
      <c r="Q887" s="7303"/>
      <c r="R887" s="7303"/>
      <c r="S887" s="5289"/>
      <c r="T887" s="5289"/>
      <c r="U887" s="5289"/>
      <c r="V887" s="5289"/>
      <c r="W887" s="5289"/>
      <c r="X887" s="5289"/>
      <c r="Y887" s="5289"/>
      <c r="Z887" s="5289"/>
      <c r="AA887" s="5289"/>
      <c r="AB887" s="5289"/>
      <c r="AC887" s="5289"/>
      <c r="AD887" s="5289"/>
      <c r="AE887" s="5289"/>
      <c r="AF887" s="5289"/>
      <c r="AG887" s="5289"/>
      <c r="AH887" s="5290"/>
      <c r="AI887" s="6747"/>
    </row>
    <row r="888" ht="96.75" customHeight="1">
      <c r="A888" s="6738"/>
      <c r="B888" s="2358"/>
      <c r="C888" s="5295" t="str">
        <f>IMAGE("https://i.ibb.co/qsQbp4Z/Biker.png")</f>
        <v/>
      </c>
      <c r="D888" s="2343"/>
      <c r="E888" s="5296" t="str">
        <f t="array" ref="E888">IFERROR(VLOOKUP(E889,Dex!$B$3:$G1219,3,FALSE),"")</f>
        <v/>
      </c>
      <c r="F888" s="1945"/>
      <c r="G888" s="1945"/>
      <c r="H888" s="1946"/>
      <c r="I888" s="2343"/>
      <c r="J888" s="5296" t="str">
        <f t="array" ref="J888">IFERROR(VLOOKUP(J889,Dex!$B$3:$G1219,3,FALSE),"")</f>
        <v/>
      </c>
      <c r="K888" s="1945"/>
      <c r="L888" s="1945"/>
      <c r="M888" s="1946"/>
      <c r="N888" s="2343"/>
      <c r="O888" s="5296" t="str">
        <f t="array" ref="O888">IFERROR(VLOOKUP(O889,Dex!$B$3:$G1219,3,FALSE),"")</f>
        <v/>
      </c>
      <c r="P888" s="1945"/>
      <c r="Q888" s="1945"/>
      <c r="R888" s="1946"/>
      <c r="S888" s="2343"/>
      <c r="T888" s="2329"/>
      <c r="U888" s="2332"/>
      <c r="V888" s="2332"/>
      <c r="W888" s="420"/>
      <c r="X888" s="2344"/>
      <c r="Y888" s="2329"/>
      <c r="Z888" s="2332"/>
      <c r="AA888" s="2332"/>
      <c r="AB888" s="420"/>
      <c r="AC888" s="2345"/>
      <c r="AD888" s="2329"/>
      <c r="AE888" s="2332"/>
      <c r="AF888" s="2332"/>
      <c r="AG888" s="420"/>
      <c r="AH888" s="2334"/>
      <c r="AI888" s="6747"/>
    </row>
    <row r="889" ht="18.75" customHeight="1">
      <c r="A889" s="6738"/>
      <c r="B889" s="2419"/>
      <c r="C889" s="5297" t="s">
        <v>2147</v>
      </c>
      <c r="E889" s="2351" t="s">
        <v>2148</v>
      </c>
      <c r="F889" s="2352"/>
      <c r="G889" s="2352"/>
      <c r="H889" s="2353"/>
      <c r="J889" s="2351" t="s">
        <v>1505</v>
      </c>
      <c r="K889" s="2352"/>
      <c r="L889" s="2352"/>
      <c r="M889" s="2353"/>
      <c r="O889" s="2351" t="s">
        <v>1301</v>
      </c>
      <c r="P889" s="2352"/>
      <c r="Q889" s="2352"/>
      <c r="R889" s="2353"/>
      <c r="T889" s="2354"/>
      <c r="U889" s="2332"/>
      <c r="V889" s="2332"/>
      <c r="W889" s="420"/>
      <c r="Y889" s="2354"/>
      <c r="Z889" s="2332"/>
      <c r="AA889" s="2332"/>
      <c r="AB889" s="420"/>
      <c r="AC889" s="302"/>
      <c r="AD889" s="2354"/>
      <c r="AE889" s="2332"/>
      <c r="AF889" s="2332"/>
      <c r="AG889" s="420"/>
      <c r="AH889" s="2356"/>
      <c r="AI889" s="6747"/>
    </row>
    <row r="890">
      <c r="A890" s="6738"/>
      <c r="B890" s="5298"/>
      <c r="C890" s="1646"/>
      <c r="E890" s="2360" t="s">
        <v>796</v>
      </c>
      <c r="F890" s="2361"/>
      <c r="G890" s="2361"/>
      <c r="H890" s="2362"/>
      <c r="J890" s="2360" t="s">
        <v>967</v>
      </c>
      <c r="K890" s="2361"/>
      <c r="L890" s="2361"/>
      <c r="M890" s="2362"/>
      <c r="O890" s="2360" t="s">
        <v>729</v>
      </c>
      <c r="P890" s="2361"/>
      <c r="Q890" s="2361"/>
      <c r="R890" s="2362"/>
      <c r="T890" s="2758"/>
      <c r="U890" s="2332"/>
      <c r="V890" s="2332"/>
      <c r="W890" s="420"/>
      <c r="Y890" s="2758"/>
      <c r="Z890" s="2332"/>
      <c r="AA890" s="2332"/>
      <c r="AB890" s="420"/>
      <c r="AC890" s="302"/>
      <c r="AD890" s="2758"/>
      <c r="AE890" s="2332"/>
      <c r="AF890" s="2332"/>
      <c r="AG890" s="420"/>
      <c r="AH890" s="5299"/>
      <c r="AI890" s="6747"/>
    </row>
    <row r="891" ht="25.5" customHeight="1">
      <c r="A891" s="6738"/>
      <c r="B891" s="2358"/>
      <c r="C891" s="3442"/>
      <c r="E891" s="2365"/>
      <c r="F891" s="2369" t="str">
        <f t="array" ref="F891">IFERROR(VLOOKUP(E889,Dex!$B$3:$H1219,5,FALSE),"")</f>
        <v/>
      </c>
      <c r="G891" s="2370" t="str">
        <f t="array" ref="G891">IFERROR(VLOOKUP(E889,Dex!$B$3:$H1219,7,FALSE),"")</f>
        <v/>
      </c>
      <c r="H891" s="2368"/>
      <c r="J891" s="2365"/>
      <c r="K891" s="2369" t="str">
        <f t="array" ref="K891">IFERROR(VLOOKUP(J889,Dex!$B$3:$H1219,5,FALSE),"")</f>
        <v/>
      </c>
      <c r="L891" s="2370" t="str">
        <f t="array" ref="L891">IFERROR(VLOOKUP(J889,Dex!$B$3:$H1219,7,FALSE),"")</f>
        <v/>
      </c>
      <c r="M891" s="2368"/>
      <c r="O891" s="2365"/>
      <c r="P891" s="2369" t="str">
        <f t="array" ref="P891">IFERROR(VLOOKUP(O889,Dex!$B$3:$H1219,5,FALSE),"")</f>
        <v/>
      </c>
      <c r="Q891" s="2370" t="str">
        <f t="array" ref="Q891">IFERROR(VLOOKUP(O889,Dex!$B$3:$H1219,7,FALSE),"")</f>
        <v/>
      </c>
      <c r="R891" s="2368"/>
      <c r="T891" s="2329"/>
      <c r="U891" s="2332"/>
      <c r="V891" s="2332"/>
      <c r="W891" s="420"/>
      <c r="Y891" s="2329"/>
      <c r="Z891" s="2332"/>
      <c r="AA891" s="2332"/>
      <c r="AB891" s="420"/>
      <c r="AC891" s="302"/>
      <c r="AD891" s="2329"/>
      <c r="AE891" s="2332"/>
      <c r="AF891" s="2332"/>
      <c r="AG891" s="420"/>
      <c r="AH891" s="2334"/>
      <c r="AI891" s="6747"/>
    </row>
    <row r="892" ht="2.25" customHeight="1">
      <c r="A892" s="6738"/>
      <c r="B892" s="2358"/>
      <c r="C892" s="2396"/>
      <c r="E892" s="2371"/>
      <c r="F892" s="2372"/>
      <c r="G892" s="2372"/>
      <c r="H892" s="2373"/>
      <c r="J892" s="2371"/>
      <c r="K892" s="2372"/>
      <c r="L892" s="2372"/>
      <c r="M892" s="2373"/>
      <c r="O892" s="2371"/>
      <c r="P892" s="2372"/>
      <c r="Q892" s="2372"/>
      <c r="R892" s="2373"/>
      <c r="T892" s="2374"/>
      <c r="U892" s="2374"/>
      <c r="V892" s="2374"/>
      <c r="W892" s="2374"/>
      <c r="Y892" s="2374"/>
      <c r="Z892" s="2374"/>
      <c r="AA892" s="2374"/>
      <c r="AB892" s="2374"/>
      <c r="AC892" s="302"/>
      <c r="AD892" s="2374"/>
      <c r="AE892" s="2374"/>
      <c r="AF892" s="2374"/>
      <c r="AG892" s="2374"/>
      <c r="AH892" s="2334"/>
      <c r="AI892" s="6747"/>
    </row>
    <row r="893" ht="20.25" customHeight="1">
      <c r="A893" s="6738"/>
      <c r="B893" s="2327"/>
      <c r="C893" s="5300"/>
      <c r="E893" s="2376" t="s">
        <v>566</v>
      </c>
      <c r="F893" s="2377"/>
      <c r="G893" s="2377"/>
      <c r="H893" s="2378"/>
      <c r="J893" s="2376" t="s">
        <v>531</v>
      </c>
      <c r="K893" s="2377"/>
      <c r="L893" s="2377"/>
      <c r="M893" s="2378"/>
      <c r="O893" s="2376" t="s">
        <v>532</v>
      </c>
      <c r="P893" s="2377"/>
      <c r="Q893" s="2377"/>
      <c r="R893" s="2378"/>
      <c r="T893" s="2329"/>
      <c r="U893" s="2332"/>
      <c r="V893" s="2332"/>
      <c r="W893" s="420"/>
      <c r="Y893" s="2329"/>
      <c r="Z893" s="2332"/>
      <c r="AA893" s="2332"/>
      <c r="AB893" s="420"/>
      <c r="AC893" s="302"/>
      <c r="AD893" s="2329"/>
      <c r="AE893" s="2332"/>
      <c r="AF893" s="2332"/>
      <c r="AG893" s="420"/>
      <c r="AH893" s="2334"/>
      <c r="AI893" s="6747"/>
    </row>
    <row r="894">
      <c r="A894" s="6738"/>
      <c r="B894" s="2327"/>
      <c r="C894" s="2328"/>
      <c r="E894" s="2380" t="s">
        <v>826</v>
      </c>
      <c r="F894" s="2332"/>
      <c r="G894" s="2332"/>
      <c r="H894" s="2381"/>
      <c r="J894" s="2380" t="s">
        <v>56</v>
      </c>
      <c r="K894" s="2332"/>
      <c r="L894" s="2332"/>
      <c r="M894" s="2381"/>
      <c r="O894" s="2380" t="s">
        <v>2149</v>
      </c>
      <c r="P894" s="2332"/>
      <c r="Q894" s="2332"/>
      <c r="R894" s="2381"/>
      <c r="T894" s="2329"/>
      <c r="U894" s="2332"/>
      <c r="V894" s="2332"/>
      <c r="W894" s="420"/>
      <c r="Y894" s="2329"/>
      <c r="Z894" s="2332"/>
      <c r="AA894" s="2332"/>
      <c r="AB894" s="420"/>
      <c r="AC894" s="302"/>
      <c r="AD894" s="2329"/>
      <c r="AE894" s="2332"/>
      <c r="AF894" s="2332"/>
      <c r="AG894" s="420"/>
      <c r="AH894" s="2334"/>
      <c r="AI894" s="6747"/>
    </row>
    <row r="895" ht="20.25" customHeight="1">
      <c r="A895" s="6738"/>
      <c r="B895" s="2327"/>
      <c r="C895" s="2328"/>
      <c r="E895" s="2382" t="s">
        <v>573</v>
      </c>
      <c r="F895" s="2383"/>
      <c r="G895" s="5293"/>
      <c r="H895" s="5301" t="str">
        <f>IMAGE("https://raw.githubusercontent.com/msikma/pokesprite/master/items/hold-item/focus-sash.png",3)</f>
        <v/>
      </c>
      <c r="J895" s="2382" t="s">
        <v>541</v>
      </c>
      <c r="K895" s="2383"/>
      <c r="L895" s="5293"/>
      <c r="M895" s="5301" t="str">
        <f>IMAGE("https://raw.githubusercontent.com/msikma/pokesprite/master/items/hold-item/life-orb.png",3)</f>
        <v/>
      </c>
      <c r="O895" s="2382" t="s">
        <v>1304</v>
      </c>
      <c r="P895" s="2383"/>
      <c r="Q895" s="5293"/>
      <c r="R895" s="5301" t="str">
        <f>IMAGE("https://raw.githubusercontent.com/msikma/pokesprite/master/items/mega-stone/sharpedonite.png",3)</f>
        <v/>
      </c>
      <c r="T895" s="2329"/>
      <c r="U895" s="2332"/>
      <c r="V895" s="2332"/>
      <c r="W895" s="420"/>
      <c r="Y895" s="2329"/>
      <c r="Z895" s="2332"/>
      <c r="AA895" s="2332"/>
      <c r="AB895" s="420"/>
      <c r="AC895" s="302"/>
      <c r="AD895" s="2329"/>
      <c r="AE895" s="2332"/>
      <c r="AF895" s="2332"/>
      <c r="AG895" s="420"/>
      <c r="AH895" s="2334"/>
      <c r="AI895" s="6747"/>
    </row>
    <row r="896" ht="20.25" customHeight="1">
      <c r="A896" s="6738"/>
      <c r="B896" s="2327"/>
      <c r="C896" s="2396"/>
      <c r="E896" s="2376" t="s">
        <v>927</v>
      </c>
      <c r="F896" s="2377"/>
      <c r="G896" s="2386"/>
      <c r="H896" s="5302" t="str">
        <f>IMAGE("https://raw.githubusercontent.com/msikma/pokesprite/master/misc/types/gen8/rock.png",4,20,20)</f>
        <v/>
      </c>
      <c r="J896" s="2376" t="s">
        <v>546</v>
      </c>
      <c r="K896" s="2377"/>
      <c r="L896" s="2386"/>
      <c r="M896" s="5302" t="str">
        <f>IMAGE("https://raw.githubusercontent.com/msikma/pokesprite/master/misc/types/gen8/flying.png",4,20,20)</f>
        <v/>
      </c>
      <c r="O896" s="2376" t="s">
        <v>184</v>
      </c>
      <c r="P896" s="2377"/>
      <c r="Q896" s="2386"/>
      <c r="R896" s="5302" t="str">
        <f>IMAGE("https://raw.githubusercontent.com/msikma/pokesprite/master/misc/types/gen8/normal.png",4,20,20)</f>
        <v/>
      </c>
      <c r="T896" s="2329"/>
      <c r="U896" s="2332"/>
      <c r="V896" s="2332"/>
      <c r="W896" s="420"/>
      <c r="Y896" s="2329"/>
      <c r="Z896" s="2332"/>
      <c r="AA896" s="2332"/>
      <c r="AB896" s="420"/>
      <c r="AC896" s="302"/>
      <c r="AD896" s="2329"/>
      <c r="AE896" s="2332"/>
      <c r="AF896" s="2332"/>
      <c r="AG896" s="420"/>
      <c r="AH896" s="2334"/>
      <c r="AI896" s="6747"/>
    </row>
    <row r="897" ht="20.25" customHeight="1">
      <c r="A897" s="6738"/>
      <c r="B897" s="2327"/>
      <c r="C897" s="2396"/>
      <c r="E897" s="2380" t="s">
        <v>924</v>
      </c>
      <c r="F897" s="2332"/>
      <c r="G897" s="420"/>
      <c r="H897" s="5303" t="str">
        <f>IMAGE("https://raw.githubusercontent.com/msikma/pokesprite/master/misc/types/gen8/ice.png",4,20,20)</f>
        <v/>
      </c>
      <c r="J897" s="2380" t="s">
        <v>669</v>
      </c>
      <c r="K897" s="2332"/>
      <c r="L897" s="420"/>
      <c r="M897" s="5303" t="str">
        <f>IMAGE("https://raw.githubusercontent.com/msikma/pokesprite/master/misc/types/gen8/psychic.png",4,20,20)</f>
        <v/>
      </c>
      <c r="O897" s="2380" t="s">
        <v>938</v>
      </c>
      <c r="P897" s="2332"/>
      <c r="Q897" s="420"/>
      <c r="R897" s="5303" t="str">
        <f>IMAGE("https://raw.githubusercontent.com/msikma/pokesprite/master/misc/types/gen8/water.png",4,20,20)</f>
        <v/>
      </c>
      <c r="T897" s="2329"/>
      <c r="U897" s="2332"/>
      <c r="V897" s="2332"/>
      <c r="W897" s="420"/>
      <c r="Y897" s="2329"/>
      <c r="Z897" s="2332"/>
      <c r="AA897" s="2332"/>
      <c r="AB897" s="420"/>
      <c r="AC897" s="302"/>
      <c r="AD897" s="2329"/>
      <c r="AE897" s="2332"/>
      <c r="AF897" s="2332"/>
      <c r="AG897" s="420"/>
      <c r="AH897" s="2334"/>
      <c r="AI897" s="6747"/>
    </row>
    <row r="898" ht="20.25" customHeight="1">
      <c r="A898" s="6738"/>
      <c r="B898" s="2327"/>
      <c r="C898" s="2396"/>
      <c r="E898" s="2380" t="s">
        <v>695</v>
      </c>
      <c r="F898" s="2332"/>
      <c r="G898" s="420"/>
      <c r="H898" s="5303" t="str">
        <f>IMAGE("https://raw.githubusercontent.com/msikma/pokesprite/master/misc/types/gen8/ground.png",4,20,20)</f>
        <v/>
      </c>
      <c r="J898" s="2380" t="s">
        <v>1243</v>
      </c>
      <c r="K898" s="2332"/>
      <c r="L898" s="420"/>
      <c r="M898" s="5303" t="str">
        <f>IMAGE("https://raw.githubusercontent.com/msikma/pokesprite/master/misc/types/gen8/fire.png",4,20,20)</f>
        <v/>
      </c>
      <c r="O898" s="2380" t="s">
        <v>762</v>
      </c>
      <c r="P898" s="2332"/>
      <c r="Q898" s="420"/>
      <c r="R898" s="5303" t="str">
        <f>IMAGE("https://raw.githubusercontent.com/msikma/pokesprite/master/misc/types/gen8/dark.png",4,20,20)</f>
        <v/>
      </c>
      <c r="T898" s="2329"/>
      <c r="U898" s="2332"/>
      <c r="V898" s="2332"/>
      <c r="W898" s="420"/>
      <c r="Y898" s="2329"/>
      <c r="Z898" s="2332"/>
      <c r="AA898" s="2332"/>
      <c r="AB898" s="420"/>
      <c r="AC898" s="302"/>
      <c r="AD898" s="2329"/>
      <c r="AE898" s="2332"/>
      <c r="AF898" s="2332"/>
      <c r="AG898" s="420"/>
      <c r="AH898" s="2334"/>
      <c r="AI898" s="6747"/>
    </row>
    <row r="899" ht="21.0" customHeight="1">
      <c r="A899" s="6738"/>
      <c r="B899" s="2327"/>
      <c r="C899" s="2396"/>
      <c r="D899" s="2393"/>
      <c r="E899" s="2389" t="s">
        <v>1282</v>
      </c>
      <c r="F899" s="2390"/>
      <c r="G899" s="2391"/>
      <c r="H899" s="5304" t="str">
        <f>IMAGE("https://raw.githubusercontent.com/msikma/pokesprite/master/misc/types/gen8/ice.png",4,20,20)</f>
        <v/>
      </c>
      <c r="I899" s="2393"/>
      <c r="J899" s="2389" t="s">
        <v>551</v>
      </c>
      <c r="K899" s="2390"/>
      <c r="L899" s="2391"/>
      <c r="M899" s="5304" t="str">
        <f>IMAGE("https://raw.githubusercontent.com/msikma/pokesprite/master/misc/types/gen8/flying.png",4,20,20)</f>
        <v/>
      </c>
      <c r="N899" s="2393"/>
      <c r="O899" s="2389" t="s">
        <v>583</v>
      </c>
      <c r="P899" s="2390"/>
      <c r="Q899" s="2391"/>
      <c r="R899" s="5304" t="str">
        <f>IMAGE("https://raw.githubusercontent.com/msikma/pokesprite/master/misc/types/gen8/fighting.png",4,20,20)</f>
        <v/>
      </c>
      <c r="S899" s="2393"/>
      <c r="T899" s="2329"/>
      <c r="U899" s="2332"/>
      <c r="V899" s="2332"/>
      <c r="W899" s="420"/>
      <c r="X899" s="2393"/>
      <c r="Y899" s="2329"/>
      <c r="Z899" s="2332"/>
      <c r="AA899" s="2332"/>
      <c r="AB899" s="420"/>
      <c r="AC899" s="510"/>
      <c r="AD899" s="2329"/>
      <c r="AE899" s="2332"/>
      <c r="AF899" s="2332"/>
      <c r="AG899" s="420"/>
      <c r="AH899" s="2334"/>
      <c r="AI899" s="6747"/>
    </row>
    <row r="900" ht="3.0" customHeight="1">
      <c r="A900" s="6738"/>
      <c r="B900" s="2395"/>
      <c r="C900" s="2396"/>
      <c r="D900" s="2397"/>
      <c r="E900" s="5307"/>
      <c r="F900" s="5307"/>
      <c r="G900" s="5307"/>
      <c r="H900" s="5306"/>
      <c r="I900" s="2397"/>
      <c r="J900" s="5307"/>
      <c r="K900" s="5307"/>
      <c r="L900" s="5307"/>
      <c r="M900" s="5306"/>
      <c r="N900" s="2397"/>
      <c r="O900" s="5307"/>
      <c r="P900" s="5307"/>
      <c r="Q900" s="5307"/>
      <c r="R900" s="5306"/>
      <c r="S900" s="2397"/>
      <c r="T900" s="2400"/>
      <c r="U900" s="2400"/>
      <c r="V900" s="2400"/>
      <c r="W900" s="2400"/>
      <c r="X900" s="2397"/>
      <c r="Y900" s="2400"/>
      <c r="Z900" s="2400"/>
      <c r="AA900" s="2400"/>
      <c r="AB900" s="2400"/>
      <c r="AC900" s="2400"/>
      <c r="AD900" s="2400"/>
      <c r="AE900" s="2400"/>
      <c r="AF900" s="2400"/>
      <c r="AG900" s="2400"/>
      <c r="AH900" s="2401"/>
      <c r="AI900" s="6747"/>
    </row>
    <row r="901" ht="16.5" customHeight="1">
      <c r="A901" s="6738"/>
      <c r="B901" s="2403"/>
      <c r="C901" s="2396"/>
      <c r="D901" s="5309"/>
      <c r="E901" s="5310" t="s">
        <v>512</v>
      </c>
      <c r="F901" s="606"/>
      <c r="G901" s="606"/>
      <c r="H901" s="607"/>
      <c r="I901" s="5309"/>
      <c r="J901" s="5310" t="s">
        <v>512</v>
      </c>
      <c r="K901" s="606"/>
      <c r="L901" s="606"/>
      <c r="M901" s="607"/>
      <c r="N901" s="5309"/>
      <c r="O901" s="5310" t="s">
        <v>512</v>
      </c>
      <c r="P901" s="606"/>
      <c r="Q901" s="606"/>
      <c r="R901" s="607"/>
      <c r="S901" s="2409"/>
      <c r="T901" s="2409"/>
      <c r="U901" s="2409"/>
      <c r="V901" s="2409"/>
      <c r="W901" s="2409"/>
      <c r="X901" s="5311"/>
      <c r="Y901" s="2409"/>
      <c r="Z901" s="2409"/>
      <c r="AA901" s="2409"/>
      <c r="AB901" s="2409"/>
      <c r="AC901" s="2409"/>
      <c r="AD901" s="2409"/>
      <c r="AE901" s="2409"/>
      <c r="AF901" s="2409"/>
      <c r="AG901" s="2409"/>
      <c r="AH901" s="2410"/>
      <c r="AI901" s="6747"/>
    </row>
    <row r="902" ht="16.5" customHeight="1">
      <c r="A902" s="6738"/>
      <c r="B902" s="2403"/>
      <c r="C902" s="2396"/>
      <c r="D902" s="5312"/>
      <c r="E902" s="5313" t="s">
        <v>513</v>
      </c>
      <c r="F902" s="5314">
        <f t="array" ref="F902">IFERROR(VLOOKUP(E889,Dex!$B$3:$N1219,8,FALSE),"")</f>
        <v>100</v>
      </c>
      <c r="G902" s="5315" t="str">
        <f t="array" ref="G902">IFERROR(VLOOKUP(F902,Dex!$P$22:$Q$276,2,FALSE),"")</f>
        <v/>
      </c>
      <c r="H902" s="5316"/>
      <c r="I902" s="5312"/>
      <c r="J902" s="5313" t="s">
        <v>513</v>
      </c>
      <c r="K902" s="5314">
        <f t="array" ref="K902">IFERROR(VLOOKUP(J889,Dex!$B$3:$N1219,8,FALSE),"")</f>
        <v>115</v>
      </c>
      <c r="L902" s="5315" t="str">
        <f t="array" ref="L902">IFERROR(VLOOKUP(K902,Dex!$P$22:$Q$276,2,FALSE),"")</f>
        <v/>
      </c>
      <c r="M902" s="5316"/>
      <c r="N902" s="5312"/>
      <c r="O902" s="5313" t="s">
        <v>513</v>
      </c>
      <c r="P902" s="5314">
        <f t="array" ref="P902">IFERROR(VLOOKUP(O889,Dex!$B$3:$N1219,8,FALSE),"")</f>
        <v>70</v>
      </c>
      <c r="Q902" s="5315" t="str">
        <f t="array" ref="Q902">IFERROR(VLOOKUP(P902,Dex!$P$22:$Q$276,2,FALSE),"")</f>
        <v/>
      </c>
      <c r="R902" s="5316"/>
      <c r="S902" s="2409"/>
      <c r="T902" s="2409"/>
      <c r="U902" s="2409"/>
      <c r="V902" s="2409"/>
      <c r="W902" s="2409"/>
      <c r="X902" s="5317"/>
      <c r="Y902" s="2409"/>
      <c r="Z902" s="2409"/>
      <c r="AA902" s="2409"/>
      <c r="AB902" s="2409"/>
      <c r="AC902" s="2409"/>
      <c r="AD902" s="2409"/>
      <c r="AE902" s="2409"/>
      <c r="AF902" s="2409"/>
      <c r="AG902" s="2409"/>
      <c r="AH902" s="2410"/>
      <c r="AI902" s="6747"/>
    </row>
    <row r="903" ht="16.5" customHeight="1">
      <c r="A903" s="6738"/>
      <c r="B903" s="2403"/>
      <c r="C903" s="2396"/>
      <c r="D903" s="5312"/>
      <c r="E903" s="5318" t="s">
        <v>514</v>
      </c>
      <c r="F903" s="5319">
        <f t="array" ref="F903">IFERROR(VLOOKUP(E889,Dex!$B$3:$N1219,9,FALSE),"")</f>
        <v>132</v>
      </c>
      <c r="G903" s="5320" t="str">
        <f t="array" ref="G903">IFERROR(VLOOKUP(F903,Dex!$P$22:$Q$276,2,FALSE),"")</f>
        <v/>
      </c>
      <c r="H903" s="5321"/>
      <c r="I903" s="5312"/>
      <c r="J903" s="5318" t="s">
        <v>514</v>
      </c>
      <c r="K903" s="5319">
        <f t="array" ref="K903">IFERROR(VLOOKUP(J889,Dex!$B$3:$N1219,9,FALSE),"")</f>
        <v>58</v>
      </c>
      <c r="L903" s="5320" t="str">
        <f t="array" ref="L903">IFERROR(VLOOKUP(K903,Dex!$P$22:$Q$276,2,FALSE),"")</f>
        <v/>
      </c>
      <c r="M903" s="5321"/>
      <c r="N903" s="5312"/>
      <c r="O903" s="5318" t="s">
        <v>514</v>
      </c>
      <c r="P903" s="5319">
        <f t="array" ref="P903">IFERROR(VLOOKUP(O889,Dex!$B$3:$N1219,9,FALSE),"")</f>
        <v>140</v>
      </c>
      <c r="Q903" s="5320" t="str">
        <f t="array" ref="Q903">IFERROR(VLOOKUP(P903,Dex!$P$22:$Q$276,2,FALSE),"")</f>
        <v/>
      </c>
      <c r="R903" s="5321"/>
      <c r="S903" s="2409"/>
      <c r="T903" s="2409"/>
      <c r="U903" s="2409"/>
      <c r="V903" s="2409"/>
      <c r="W903" s="2409"/>
      <c r="X903" s="5317"/>
      <c r="Y903" s="2409"/>
      <c r="Z903" s="2409"/>
      <c r="AA903" s="2409"/>
      <c r="AB903" s="2409"/>
      <c r="AC903" s="2409"/>
      <c r="AD903" s="2409"/>
      <c r="AE903" s="2409"/>
      <c r="AF903" s="2409"/>
      <c r="AG903" s="2409"/>
      <c r="AH903" s="2410"/>
      <c r="AI903" s="6747"/>
    </row>
    <row r="904" ht="16.5" customHeight="1">
      <c r="A904" s="6738"/>
      <c r="B904" s="2403"/>
      <c r="C904" s="2396"/>
      <c r="D904" s="5312"/>
      <c r="E904" s="5318" t="s">
        <v>515</v>
      </c>
      <c r="F904" s="5319">
        <f t="array" ref="F904">IFERROR(VLOOKUP(E889,Dex!$B$3:$N1219,10,FALSE),"")</f>
        <v>184</v>
      </c>
      <c r="G904" s="5320" t="str">
        <f t="array" ref="G904">IFERROR(VLOOKUP(F904,Dex!$P$22:$Q$276,2,FALSE),"")</f>
        <v/>
      </c>
      <c r="H904" s="5321"/>
      <c r="I904" s="5312"/>
      <c r="J904" s="5318" t="s">
        <v>515</v>
      </c>
      <c r="K904" s="5319">
        <f t="array" ref="K904">IFERROR(VLOOKUP(J889,Dex!$B$3:$N1219,10,FALSE),"")</f>
        <v>80</v>
      </c>
      <c r="L904" s="5320" t="str">
        <f t="array" ref="L904">IFERROR(VLOOKUP(K904,Dex!$P$22:$Q$276,2,FALSE),"")</f>
        <v/>
      </c>
      <c r="M904" s="5321"/>
      <c r="N904" s="5312"/>
      <c r="O904" s="5318" t="s">
        <v>515</v>
      </c>
      <c r="P904" s="5319">
        <f t="array" ref="P904">IFERROR(VLOOKUP(O889,Dex!$B$3:$N1219,10,FALSE),"")</f>
        <v>70</v>
      </c>
      <c r="Q904" s="5320" t="str">
        <f t="array" ref="Q904">IFERROR(VLOOKUP(P904,Dex!$P$22:$Q$276,2,FALSE),"")</f>
        <v/>
      </c>
      <c r="R904" s="5321"/>
      <c r="S904" s="2409"/>
      <c r="T904" s="2409"/>
      <c r="U904" s="2409"/>
      <c r="V904" s="2409"/>
      <c r="W904" s="2409"/>
      <c r="X904" s="5317"/>
      <c r="Y904" s="2409"/>
      <c r="Z904" s="2409"/>
      <c r="AA904" s="2409"/>
      <c r="AB904" s="2409"/>
      <c r="AC904" s="2409"/>
      <c r="AD904" s="2409"/>
      <c r="AE904" s="2409"/>
      <c r="AF904" s="2409"/>
      <c r="AG904" s="2409"/>
      <c r="AH904" s="2410"/>
      <c r="AI904" s="6747"/>
    </row>
    <row r="905" ht="16.5" customHeight="1">
      <c r="A905" s="6738"/>
      <c r="B905" s="2403"/>
      <c r="C905" s="2396"/>
      <c r="D905" s="5312"/>
      <c r="E905" s="5318" t="s">
        <v>516</v>
      </c>
      <c r="F905" s="5319">
        <f t="array" ref="F905">IFERROR(VLOOKUP(E889,Dex!$B$3:$N1219,11,FALSE),"")</f>
        <v>34</v>
      </c>
      <c r="G905" s="5320" t="str">
        <f t="array" ref="G905">IFERROR(VLOOKUP(F905,Dex!$P$22:$Q$276,2,FALSE),"")</f>
        <v/>
      </c>
      <c r="H905" s="5321"/>
      <c r="I905" s="5312"/>
      <c r="J905" s="5318" t="s">
        <v>516</v>
      </c>
      <c r="K905" s="5319">
        <f t="array" ref="K905">IFERROR(VLOOKUP(J889,Dex!$B$3:$N1219,11,FALSE),"")</f>
        <v>112</v>
      </c>
      <c r="L905" s="5320" t="str">
        <f t="array" ref="L905">IFERROR(VLOOKUP(K905,Dex!$P$22:$Q$276,2,FALSE),"")</f>
        <v/>
      </c>
      <c r="M905" s="5321"/>
      <c r="N905" s="5312"/>
      <c r="O905" s="5318" t="s">
        <v>516</v>
      </c>
      <c r="P905" s="5319">
        <f t="array" ref="P905">IFERROR(VLOOKUP(O889,Dex!$B$3:$N1219,11,FALSE),"")</f>
        <v>110</v>
      </c>
      <c r="Q905" s="5320" t="str">
        <f t="array" ref="Q905">IFERROR(VLOOKUP(P905,Dex!$P$22:$Q$276,2,FALSE),"")</f>
        <v/>
      </c>
      <c r="R905" s="5321"/>
      <c r="S905" s="2409"/>
      <c r="T905" s="2409"/>
      <c r="U905" s="2409"/>
      <c r="V905" s="2409"/>
      <c r="W905" s="2409"/>
      <c r="X905" s="5317"/>
      <c r="Y905" s="2409"/>
      <c r="Z905" s="2409"/>
      <c r="AA905" s="2409"/>
      <c r="AB905" s="2409"/>
      <c r="AC905" s="2409"/>
      <c r="AD905" s="2409"/>
      <c r="AE905" s="2409"/>
      <c r="AF905" s="2409"/>
      <c r="AG905" s="2409"/>
      <c r="AH905" s="2410"/>
      <c r="AI905" s="6747"/>
    </row>
    <row r="906" ht="16.5" customHeight="1">
      <c r="A906" s="6738"/>
      <c r="B906" s="2403"/>
      <c r="C906" s="2396"/>
      <c r="D906" s="5312"/>
      <c r="E906" s="5318" t="s">
        <v>517</v>
      </c>
      <c r="F906" s="5319">
        <f t="array" ref="F906">IFERROR(VLOOKUP(E889,Dex!$B$3:$N1219,12,FALSE),"")</f>
        <v>36</v>
      </c>
      <c r="G906" s="5320" t="str">
        <f t="array" ref="G906">IFERROR(VLOOKUP(F906,Dex!$P$22:$Q$276,2,FALSE),"")</f>
        <v/>
      </c>
      <c r="H906" s="5321"/>
      <c r="I906" s="5312"/>
      <c r="J906" s="5318" t="s">
        <v>517</v>
      </c>
      <c r="K906" s="5319">
        <f t="array" ref="K906">IFERROR(VLOOKUP(J889,Dex!$B$3:$N1219,12,FALSE),"")</f>
        <v>80</v>
      </c>
      <c r="L906" s="5320" t="str">
        <f t="array" ref="L906">IFERROR(VLOOKUP(K906,Dex!$P$22:$Q$276,2,FALSE),"")</f>
        <v/>
      </c>
      <c r="M906" s="5321"/>
      <c r="N906" s="5312"/>
      <c r="O906" s="5318" t="s">
        <v>517</v>
      </c>
      <c r="P906" s="5319">
        <f t="array" ref="P906">IFERROR(VLOOKUP(O889,Dex!$B$3:$N1219,12,FALSE),"")</f>
        <v>65</v>
      </c>
      <c r="Q906" s="5320" t="str">
        <f t="array" ref="Q906">IFERROR(VLOOKUP(P906,Dex!$P$22:$Q$276,2,FALSE),"")</f>
        <v/>
      </c>
      <c r="R906" s="5321"/>
      <c r="S906" s="2409"/>
      <c r="T906" s="2409"/>
      <c r="U906" s="2409"/>
      <c r="V906" s="2409"/>
      <c r="W906" s="2409"/>
      <c r="X906" s="5317"/>
      <c r="Y906" s="2409"/>
      <c r="Z906" s="2409"/>
      <c r="AA906" s="2409"/>
      <c r="AB906" s="2409"/>
      <c r="AC906" s="2409"/>
      <c r="AD906" s="2409"/>
      <c r="AE906" s="2409"/>
      <c r="AF906" s="2409"/>
      <c r="AG906" s="2409"/>
      <c r="AH906" s="2410"/>
      <c r="AI906" s="6747"/>
    </row>
    <row r="907" ht="16.5" customHeight="1">
      <c r="A907" s="6738"/>
      <c r="B907" s="2403"/>
      <c r="C907" s="2396"/>
      <c r="D907" s="5312"/>
      <c r="E907" s="5322" t="s">
        <v>518</v>
      </c>
      <c r="F907" s="5323">
        <f t="array" ref="F907">IFERROR(VLOOKUP(E889,Dex!$B$3:$N1219,13,FALSE),"")</f>
        <v>38</v>
      </c>
      <c r="G907" s="5320" t="str">
        <f t="array" ref="G907">IFERROR(VLOOKUP(F907,Dex!$P$22:$Q$276,2,FALSE),"")</f>
        <v/>
      </c>
      <c r="H907" s="5321"/>
      <c r="I907" s="5312"/>
      <c r="J907" s="5322" t="s">
        <v>518</v>
      </c>
      <c r="K907" s="5323">
        <f t="array" ref="K907">IFERROR(VLOOKUP(J889,Dex!$B$3:$N1219,13,FALSE),"")</f>
        <v>65</v>
      </c>
      <c r="L907" s="5320" t="str">
        <f t="array" ref="L907">IFERROR(VLOOKUP(K907,Dex!$P$22:$Q$276,2,FALSE),"")</f>
        <v/>
      </c>
      <c r="M907" s="5321"/>
      <c r="N907" s="5312"/>
      <c r="O907" s="5322" t="s">
        <v>518</v>
      </c>
      <c r="P907" s="5323">
        <f t="array" ref="P907">IFERROR(VLOOKUP(O889,Dex!$B$3:$N1219,13,FALSE),"")</f>
        <v>105</v>
      </c>
      <c r="Q907" s="5320" t="str">
        <f t="array" ref="Q907">IFERROR(VLOOKUP(P907,Dex!$P$22:$Q$276,2,FALSE),"")</f>
        <v/>
      </c>
      <c r="R907" s="5321"/>
      <c r="S907" s="2409"/>
      <c r="T907" s="2409"/>
      <c r="U907" s="2409"/>
      <c r="V907" s="2409"/>
      <c r="W907" s="2409"/>
      <c r="X907" s="5317"/>
      <c r="Y907" s="2409"/>
      <c r="Z907" s="2409"/>
      <c r="AA907" s="2409"/>
      <c r="AB907" s="2409"/>
      <c r="AC907" s="2409"/>
      <c r="AD907" s="2409"/>
      <c r="AE907" s="2409"/>
      <c r="AF907" s="2409"/>
      <c r="AG907" s="2409"/>
      <c r="AH907" s="2410"/>
      <c r="AI907" s="6747"/>
    </row>
    <row r="908" ht="16.5" customHeight="1">
      <c r="A908" s="6738"/>
      <c r="B908" s="2403"/>
      <c r="C908" s="2396"/>
      <c r="D908" s="5309"/>
      <c r="E908" s="5324" t="s">
        <v>519</v>
      </c>
      <c r="F908" s="630"/>
      <c r="G908" s="631"/>
      <c r="H908" s="7304">
        <v>90.0</v>
      </c>
      <c r="I908" s="5309"/>
      <c r="J908" s="5324" t="s">
        <v>519</v>
      </c>
      <c r="K908" s="630"/>
      <c r="L908" s="631"/>
      <c r="M908" s="7304">
        <v>164.0</v>
      </c>
      <c r="N908" s="5309"/>
      <c r="O908" s="5325" t="s">
        <v>519</v>
      </c>
      <c r="P908" s="635"/>
      <c r="Q908" s="7305"/>
      <c r="R908" s="7306">
        <v>270.0</v>
      </c>
      <c r="S908" s="2409"/>
      <c r="T908" s="2409"/>
      <c r="U908" s="2409"/>
      <c r="V908" s="2409"/>
      <c r="W908" s="2409"/>
      <c r="X908" s="5311"/>
      <c r="Y908" s="2409"/>
      <c r="Z908" s="2409"/>
      <c r="AA908" s="2409"/>
      <c r="AB908" s="2409"/>
      <c r="AC908" s="2409"/>
      <c r="AD908" s="2409"/>
      <c r="AE908" s="2409"/>
      <c r="AF908" s="2409"/>
      <c r="AG908" s="2409"/>
      <c r="AH908" s="2410"/>
      <c r="AI908" s="6747"/>
    </row>
    <row r="909" ht="16.5" customHeight="1">
      <c r="A909" s="6738"/>
      <c r="B909" s="6666"/>
      <c r="C909" s="6667"/>
      <c r="D909" s="7307"/>
      <c r="E909" s="5328"/>
      <c r="F909" s="5328"/>
      <c r="G909" s="5328"/>
      <c r="H909" s="2396"/>
      <c r="I909" s="7307"/>
      <c r="J909" s="5328"/>
      <c r="K909" s="5328"/>
      <c r="L909" s="5328"/>
      <c r="M909" s="2396"/>
      <c r="N909" s="7307"/>
      <c r="O909" s="5327" t="s">
        <v>2139</v>
      </c>
      <c r="P909" s="643"/>
      <c r="Q909" s="7308"/>
      <c r="R909" s="6787">
        <f>ROUNDDOWN(R908*1.5,0)</f>
        <v>405</v>
      </c>
      <c r="S909" s="6660"/>
      <c r="T909" s="2409"/>
      <c r="U909" s="5317"/>
      <c r="V909" s="2409"/>
      <c r="W909" s="2409"/>
      <c r="X909" s="2409"/>
      <c r="Y909" s="2409"/>
      <c r="Z909" s="6660"/>
      <c r="AA909" s="6660"/>
      <c r="AB909" s="6660"/>
      <c r="AC909" s="6660"/>
      <c r="AD909" s="6660"/>
      <c r="AE909" s="6660"/>
      <c r="AF909" s="6660"/>
      <c r="AG909" s="6660"/>
      <c r="AH909" s="2584"/>
      <c r="AI909" s="6747"/>
    </row>
    <row r="910" ht="15.0" customHeight="1">
      <c r="A910" s="6738"/>
      <c r="B910" s="2440"/>
      <c r="C910" s="2441"/>
      <c r="D910" s="5331"/>
      <c r="E910" s="5332"/>
      <c r="F910" s="5332"/>
      <c r="G910" s="5332"/>
      <c r="H910" s="5332"/>
      <c r="I910" s="5331"/>
      <c r="J910" s="5332"/>
      <c r="K910" s="5332"/>
      <c r="L910" s="5332"/>
      <c r="M910" s="5332"/>
      <c r="N910" s="5331"/>
      <c r="O910" s="5332"/>
      <c r="P910" s="5332"/>
      <c r="Q910" s="5332"/>
      <c r="R910" s="5332"/>
      <c r="S910" s="5331"/>
      <c r="T910" s="5332"/>
      <c r="U910" s="5332"/>
      <c r="V910" s="5332"/>
      <c r="W910" s="5332"/>
      <c r="X910" s="5331"/>
      <c r="Y910" s="2442"/>
      <c r="Z910" s="2442"/>
      <c r="AA910" s="2442"/>
      <c r="AB910" s="2442"/>
      <c r="AC910" s="2442"/>
      <c r="AD910" s="2442"/>
      <c r="AE910" s="2442"/>
      <c r="AF910" s="2442"/>
      <c r="AG910" s="2442"/>
      <c r="AH910" s="2445"/>
      <c r="AI910" s="6747"/>
    </row>
    <row r="911" ht="15.0" customHeight="1">
      <c r="A911" s="6738"/>
      <c r="B911" s="5288"/>
      <c r="C911" s="5289"/>
      <c r="D911" s="5289"/>
      <c r="E911" s="7303"/>
      <c r="F911" s="7303"/>
      <c r="G911" s="7303"/>
      <c r="H911" s="7303"/>
      <c r="I911" s="5289"/>
      <c r="J911" s="7303"/>
      <c r="K911" s="7303"/>
      <c r="L911" s="7303"/>
      <c r="M911" s="7303"/>
      <c r="N911" s="5289"/>
      <c r="O911" s="7303"/>
      <c r="P911" s="7303"/>
      <c r="Q911" s="7303"/>
      <c r="R911" s="7303"/>
      <c r="S911" s="5289"/>
      <c r="T911" s="7303"/>
      <c r="U911" s="7303"/>
      <c r="V911" s="7303"/>
      <c r="W911" s="7303"/>
      <c r="X911" s="5289"/>
      <c r="Y911" s="5289"/>
      <c r="Z911" s="5289"/>
      <c r="AA911" s="5289"/>
      <c r="AB911" s="5289"/>
      <c r="AC911" s="5289"/>
      <c r="AD911" s="5289"/>
      <c r="AE911" s="5289"/>
      <c r="AF911" s="5289"/>
      <c r="AG911" s="5289"/>
      <c r="AH911" s="5290"/>
      <c r="AI911" s="6747"/>
    </row>
    <row r="912" ht="96.75" customHeight="1">
      <c r="A912" s="6738"/>
      <c r="B912" s="2358"/>
      <c r="C912" s="5295" t="str">
        <f>IMAGE("https://i.ibb.co/Wv3HtLh/CueBall.png")</f>
        <v/>
      </c>
      <c r="D912" s="2343"/>
      <c r="E912" s="5296" t="str">
        <f t="array" ref="E912">IFERROR(VLOOKUP(E913,Dex!$B$3:$G1219,3,FALSE),"")</f>
        <v/>
      </c>
      <c r="F912" s="1945"/>
      <c r="G912" s="1945"/>
      <c r="H912" s="1946"/>
      <c r="I912" s="2343"/>
      <c r="J912" s="5296" t="str">
        <f t="array" ref="J912">IFERROR(VLOOKUP(J913,Dex!$B$3:$G1219,3,FALSE),"")</f>
        <v/>
      </c>
      <c r="K912" s="1945"/>
      <c r="L912" s="1945"/>
      <c r="M912" s="1946"/>
      <c r="N912" s="2343"/>
      <c r="O912" s="5296" t="str">
        <f t="array" ref="O912">IFERROR(VLOOKUP(O913,Dex!$B$3:$G1219,3,FALSE),"")</f>
        <v/>
      </c>
      <c r="P912" s="1945"/>
      <c r="Q912" s="1945"/>
      <c r="R912" s="1946"/>
      <c r="S912" s="2343"/>
      <c r="T912" s="5296" t="str">
        <f t="array" ref="T912">IFERROR(VLOOKUP(T913,Dex!$B$3:$G1219,3,FALSE),"")</f>
        <v/>
      </c>
      <c r="U912" s="1945"/>
      <c r="V912" s="1945"/>
      <c r="W912" s="1946"/>
      <c r="X912" s="2344"/>
      <c r="Y912" s="2329"/>
      <c r="Z912" s="2332"/>
      <c r="AA912" s="2332"/>
      <c r="AB912" s="420"/>
      <c r="AC912" s="2345"/>
      <c r="AD912" s="2329"/>
      <c r="AE912" s="2332"/>
      <c r="AF912" s="2332"/>
      <c r="AG912" s="420"/>
      <c r="AH912" s="2334"/>
      <c r="AI912" s="6747"/>
    </row>
    <row r="913" ht="18.75" customHeight="1">
      <c r="A913" s="6738"/>
      <c r="B913" s="2419"/>
      <c r="C913" s="5297" t="s">
        <v>2150</v>
      </c>
      <c r="E913" s="2351" t="s">
        <v>1594</v>
      </c>
      <c r="F913" s="2352"/>
      <c r="G913" s="2352"/>
      <c r="H913" s="2353"/>
      <c r="J913" s="7309" t="s">
        <v>2151</v>
      </c>
      <c r="K913" s="2352"/>
      <c r="L913" s="2352"/>
      <c r="M913" s="2353"/>
      <c r="O913" s="2351" t="s">
        <v>1968</v>
      </c>
      <c r="P913" s="2352"/>
      <c r="Q913" s="2352"/>
      <c r="R913" s="2353"/>
      <c r="T913" s="2351" t="s">
        <v>598</v>
      </c>
      <c r="U913" s="2352"/>
      <c r="V913" s="2352"/>
      <c r="W913" s="2353"/>
      <c r="Y913" s="2354"/>
      <c r="Z913" s="2332"/>
      <c r="AA913" s="2332"/>
      <c r="AB913" s="420"/>
      <c r="AC913" s="302"/>
      <c r="AD913" s="2354"/>
      <c r="AE913" s="2332"/>
      <c r="AF913" s="2332"/>
      <c r="AG913" s="420"/>
      <c r="AH913" s="2356"/>
      <c r="AI913" s="6747"/>
    </row>
    <row r="914">
      <c r="A914" s="6738"/>
      <c r="B914" s="5298"/>
      <c r="C914" s="1646"/>
      <c r="E914" s="2360" t="s">
        <v>729</v>
      </c>
      <c r="F914" s="2361"/>
      <c r="G914" s="2361"/>
      <c r="H914" s="2362"/>
      <c r="J914" s="2360" t="s">
        <v>729</v>
      </c>
      <c r="K914" s="2361"/>
      <c r="L914" s="2361"/>
      <c r="M914" s="2362"/>
      <c r="O914" s="2360" t="s">
        <v>729</v>
      </c>
      <c r="P914" s="2361"/>
      <c r="Q914" s="2361"/>
      <c r="R914" s="2362"/>
      <c r="T914" s="2360" t="s">
        <v>729</v>
      </c>
      <c r="U914" s="2361"/>
      <c r="V914" s="2361"/>
      <c r="W914" s="2362"/>
      <c r="Y914" s="2758"/>
      <c r="Z914" s="2332"/>
      <c r="AA914" s="2332"/>
      <c r="AB914" s="420"/>
      <c r="AC914" s="302"/>
      <c r="AD914" s="2758"/>
      <c r="AE914" s="2332"/>
      <c r="AF914" s="2332"/>
      <c r="AG914" s="420"/>
      <c r="AH914" s="5299"/>
      <c r="AI914" s="6747"/>
    </row>
    <row r="915" ht="25.5" customHeight="1">
      <c r="A915" s="6738"/>
      <c r="B915" s="2358"/>
      <c r="C915" s="3442"/>
      <c r="E915" s="2365"/>
      <c r="F915" s="2369" t="str">
        <f t="array" ref="F915">IFERROR(VLOOKUP(E913,Dex!$B$3:$H1219,5,FALSE),"")</f>
        <v/>
      </c>
      <c r="G915" s="2370" t="str">
        <f t="array" ref="G915">IFERROR(VLOOKUP(E913,Dex!$B$3:$H1219,7,FALSE),"")</f>
        <v/>
      </c>
      <c r="H915" s="2368"/>
      <c r="J915" s="2365"/>
      <c r="K915" s="2369" t="str">
        <f t="array" ref="K915">IFERROR(VLOOKUP(J913,Dex!$B$3:$H1219,5,FALSE),"")</f>
        <v/>
      </c>
      <c r="L915" s="2370" t="str">
        <f t="array" ref="L915">IFERROR(VLOOKUP(J913,Dex!$B$3:$H1219,7,FALSE),"")</f>
        <v/>
      </c>
      <c r="M915" s="2368"/>
      <c r="O915" s="2365"/>
      <c r="P915" s="2369" t="str">
        <f t="array" ref="P915">IFERROR(VLOOKUP(O913,Dex!$B$3:$H1219,5,FALSE),"")</f>
        <v/>
      </c>
      <c r="Q915" s="2370" t="str">
        <f t="array" ref="Q915">IFERROR(VLOOKUP(O913,Dex!$B$3:$H1219,7,FALSE),"")</f>
        <v/>
      </c>
      <c r="R915" s="2368"/>
      <c r="T915" s="2365"/>
      <c r="U915" s="2369" t="str">
        <f t="array" ref="U915">IFERROR(VLOOKUP(T913,Dex!$B$3:$H1219,5,FALSE),"")</f>
        <v/>
      </c>
      <c r="V915" s="2370" t="str">
        <f t="array" ref="V915">IFERROR(VLOOKUP(T913,Dex!$B$3:$H1219,7,FALSE),"")</f>
        <v/>
      </c>
      <c r="W915" s="2368"/>
      <c r="Y915" s="2329"/>
      <c r="Z915" s="2332"/>
      <c r="AA915" s="2332"/>
      <c r="AB915" s="420"/>
      <c r="AC915" s="302"/>
      <c r="AD915" s="2329"/>
      <c r="AE915" s="2332"/>
      <c r="AF915" s="2332"/>
      <c r="AG915" s="420"/>
      <c r="AH915" s="2334"/>
      <c r="AI915" s="6747"/>
    </row>
    <row r="916" ht="2.25" customHeight="1">
      <c r="A916" s="6738"/>
      <c r="B916" s="2358"/>
      <c r="C916" s="2396"/>
      <c r="E916" s="2371"/>
      <c r="F916" s="2372"/>
      <c r="G916" s="2372"/>
      <c r="H916" s="2373"/>
      <c r="J916" s="2371"/>
      <c r="K916" s="2372"/>
      <c r="L916" s="2372"/>
      <c r="M916" s="2373"/>
      <c r="O916" s="2371"/>
      <c r="P916" s="2372"/>
      <c r="Q916" s="2372"/>
      <c r="R916" s="2373"/>
      <c r="T916" s="2371"/>
      <c r="U916" s="2372"/>
      <c r="V916" s="2372"/>
      <c r="W916" s="2373"/>
      <c r="Y916" s="2374"/>
      <c r="Z916" s="2374"/>
      <c r="AA916" s="2374"/>
      <c r="AB916" s="2374"/>
      <c r="AC916" s="302"/>
      <c r="AD916" s="2374"/>
      <c r="AE916" s="2374"/>
      <c r="AF916" s="2374"/>
      <c r="AG916" s="2374"/>
      <c r="AH916" s="2334"/>
      <c r="AI916" s="6747"/>
    </row>
    <row r="917" ht="20.25" customHeight="1">
      <c r="A917" s="6738"/>
      <c r="B917" s="2327"/>
      <c r="C917" s="5300"/>
      <c r="E917" s="2376" t="s">
        <v>532</v>
      </c>
      <c r="F917" s="2377"/>
      <c r="G917" s="2377"/>
      <c r="H917" s="2378"/>
      <c r="J917" s="2376" t="s">
        <v>532</v>
      </c>
      <c r="K917" s="2377"/>
      <c r="L917" s="2377"/>
      <c r="M917" s="2378"/>
      <c r="O917" s="2376" t="s">
        <v>531</v>
      </c>
      <c r="P917" s="2377"/>
      <c r="Q917" s="2377"/>
      <c r="R917" s="2378"/>
      <c r="T917" s="2376" t="s">
        <v>532</v>
      </c>
      <c r="U917" s="2377"/>
      <c r="V917" s="2377"/>
      <c r="W917" s="2378"/>
      <c r="Y917" s="2329"/>
      <c r="Z917" s="2332"/>
      <c r="AA917" s="2332"/>
      <c r="AB917" s="420"/>
      <c r="AC917" s="302"/>
      <c r="AD917" s="2329"/>
      <c r="AE917" s="2332"/>
      <c r="AF917" s="2332"/>
      <c r="AG917" s="420"/>
      <c r="AH917" s="2334"/>
      <c r="AI917" s="6747"/>
    </row>
    <row r="918">
      <c r="A918" s="6738"/>
      <c r="B918" s="2327"/>
      <c r="C918" s="2328"/>
      <c r="E918" s="2380" t="s">
        <v>1483</v>
      </c>
      <c r="F918" s="2332"/>
      <c r="G918" s="2332"/>
      <c r="H918" s="2381"/>
      <c r="J918" s="2380" t="s">
        <v>2152</v>
      </c>
      <c r="K918" s="2332"/>
      <c r="L918" s="2332"/>
      <c r="M918" s="2381"/>
      <c r="O918" s="2380" t="s">
        <v>1559</v>
      </c>
      <c r="P918" s="2332"/>
      <c r="Q918" s="2332"/>
      <c r="R918" s="2381"/>
      <c r="T918" s="2380" t="s">
        <v>569</v>
      </c>
      <c r="U918" s="2332"/>
      <c r="V918" s="2332"/>
      <c r="W918" s="2381"/>
      <c r="Y918" s="2329"/>
      <c r="Z918" s="2332"/>
      <c r="AA918" s="2332"/>
      <c r="AB918" s="420"/>
      <c r="AC918" s="302"/>
      <c r="AD918" s="2329"/>
      <c r="AE918" s="2332"/>
      <c r="AF918" s="2332"/>
      <c r="AG918" s="420"/>
      <c r="AH918" s="2334"/>
      <c r="AI918" s="6747"/>
    </row>
    <row r="919" ht="20.25" customHeight="1">
      <c r="A919" s="6738"/>
      <c r="B919" s="2327"/>
      <c r="C919" s="2328"/>
      <c r="E919" s="2382" t="s">
        <v>638</v>
      </c>
      <c r="F919" s="2383"/>
      <c r="G919" s="5293"/>
      <c r="H919" s="5301" t="str">
        <f>IMAGE("https://raw.githubusercontent.com/msikma/pokesprite/master/items/z-crystals/fightinium-z--held.png",3)</f>
        <v/>
      </c>
      <c r="J919" s="2382" t="s">
        <v>1709</v>
      </c>
      <c r="K919" s="2383"/>
      <c r="L919" s="5293"/>
      <c r="M919" s="5301" t="str">
        <f>IMAGE("https://raw.githubusercontent.com/msikma/pokesprite/master/items/mega-stone/charizardite-y.png",3)</f>
        <v/>
      </c>
      <c r="O919" s="2382" t="s">
        <v>713</v>
      </c>
      <c r="P919" s="2383"/>
      <c r="Q919" s="5293"/>
      <c r="R919" s="5301" t="str">
        <f>IMAGE("https://raw.githubusercontent.com/msikma/pokesprite/master/items/hold-item/assault-vest.png",3)</f>
        <v/>
      </c>
      <c r="T919" s="2382" t="s">
        <v>1084</v>
      </c>
      <c r="U919" s="2383"/>
      <c r="V919" s="5293"/>
      <c r="W919" s="5301" t="str">
        <f>IMAGE("https://raw.githubusercontent.com/msikma/pokesprite/master/items/gem/flying.png",3)</f>
        <v/>
      </c>
      <c r="Y919" s="2329"/>
      <c r="Z919" s="2332"/>
      <c r="AA919" s="2332"/>
      <c r="AB919" s="420"/>
      <c r="AC919" s="302"/>
      <c r="AD919" s="2329"/>
      <c r="AE919" s="2332"/>
      <c r="AF919" s="2332"/>
      <c r="AG919" s="420"/>
      <c r="AH919" s="2334"/>
      <c r="AI919" s="6747"/>
    </row>
    <row r="920" ht="20.25" customHeight="1">
      <c r="A920" s="6738"/>
      <c r="B920" s="2327"/>
      <c r="C920" s="2396"/>
      <c r="E920" s="2376" t="s">
        <v>583</v>
      </c>
      <c r="F920" s="2377"/>
      <c r="G920" s="2386"/>
      <c r="H920" s="5302" t="str">
        <f>IMAGE("https://raw.githubusercontent.com/msikma/pokesprite/master/misc/types/gen8/fighting.png",4,20,20)</f>
        <v/>
      </c>
      <c r="J920" s="2376" t="s">
        <v>549</v>
      </c>
      <c r="K920" s="2377"/>
      <c r="L920" s="2386"/>
      <c r="M920" s="5302" t="str">
        <f>IMAGE("https://raw.githubusercontent.com/msikma/pokesprite/master/misc/types/gen8/ground.png",4,20,20)</f>
        <v/>
      </c>
      <c r="O920" s="2376" t="s">
        <v>585</v>
      </c>
      <c r="P920" s="2377"/>
      <c r="Q920" s="2386"/>
      <c r="R920" s="5302" t="str">
        <f>IMAGE("https://raw.githubusercontent.com/msikma/pokesprite/master/misc/types/gen8/dragon.png",4,20,20)</f>
        <v/>
      </c>
      <c r="T920" s="2376" t="s">
        <v>287</v>
      </c>
      <c r="U920" s="2377"/>
      <c r="V920" s="2386"/>
      <c r="W920" s="5302" t="str">
        <f>IMAGE("https://raw.githubusercontent.com/msikma/pokesprite/master/misc/types/gen8/normal.png",4,20,20)</f>
        <v/>
      </c>
      <c r="Y920" s="2329"/>
      <c r="Z920" s="2332"/>
      <c r="AA920" s="2332"/>
      <c r="AB920" s="420"/>
      <c r="AC920" s="302"/>
      <c r="AD920" s="2329"/>
      <c r="AE920" s="2332"/>
      <c r="AF920" s="2332"/>
      <c r="AG920" s="420"/>
      <c r="AH920" s="2334"/>
      <c r="AI920" s="6747"/>
    </row>
    <row r="921" ht="20.25" customHeight="1">
      <c r="A921" s="6738"/>
      <c r="B921" s="2327"/>
      <c r="C921" s="2396"/>
      <c r="E921" s="2380" t="s">
        <v>694</v>
      </c>
      <c r="F921" s="2332"/>
      <c r="G921" s="420"/>
      <c r="H921" s="5303" t="str">
        <f>IMAGE("https://raw.githubusercontent.com/msikma/pokesprite/master/misc/types/gen8/fire.png",4,20,20)</f>
        <v/>
      </c>
      <c r="J921" s="2380" t="s">
        <v>1324</v>
      </c>
      <c r="K921" s="2332"/>
      <c r="L921" s="420"/>
      <c r="M921" s="5303" t="str">
        <f>IMAGE("https://raw.githubusercontent.com/msikma/pokesprite/master/misc/types/gen8/bug.png",4,20,20)</f>
        <v/>
      </c>
      <c r="O921" s="2380" t="s">
        <v>646</v>
      </c>
      <c r="P921" s="2332"/>
      <c r="Q921" s="420"/>
      <c r="R921" s="5303" t="str">
        <f>IMAGE("https://raw.githubusercontent.com/msikma/pokesprite/master/misc/types/gen8/steel.png",4,20,20)</f>
        <v/>
      </c>
      <c r="T921" s="2380" t="s">
        <v>613</v>
      </c>
      <c r="U921" s="2332"/>
      <c r="V921" s="420"/>
      <c r="W921" s="5303" t="str">
        <f t="shared" ref="W921:W922" si="36">IMAGE("https://raw.githubusercontent.com/msikma/pokesprite/master/misc/types/gen8/flying.png",4,20,20)</f>
        <v/>
      </c>
      <c r="Y921" s="2329"/>
      <c r="Z921" s="2332"/>
      <c r="AA921" s="2332"/>
      <c r="AB921" s="420"/>
      <c r="AC921" s="302"/>
      <c r="AD921" s="2329"/>
      <c r="AE921" s="2332"/>
      <c r="AF921" s="2332"/>
      <c r="AG921" s="420"/>
      <c r="AH921" s="2334"/>
      <c r="AI921" s="6747"/>
    </row>
    <row r="922" ht="20.25" customHeight="1">
      <c r="A922" s="6738"/>
      <c r="B922" s="2327"/>
      <c r="C922" s="2396"/>
      <c r="E922" s="2380" t="s">
        <v>1137</v>
      </c>
      <c r="F922" s="2332"/>
      <c r="G922" s="420"/>
      <c r="H922" s="5303" t="str">
        <f>IMAGE("https://raw.githubusercontent.com/msikma/pokesprite/master/misc/types/gen8/rock.png",4,20,20)</f>
        <v/>
      </c>
      <c r="J922" s="2380" t="s">
        <v>192</v>
      </c>
      <c r="K922" s="2332"/>
      <c r="L922" s="420"/>
      <c r="M922" s="5303" t="str">
        <f>IMAGE("https://raw.githubusercontent.com/msikma/pokesprite/master/misc/types/gen8/poison.png",4,20,20)</f>
        <v/>
      </c>
      <c r="O922" s="2380" t="s">
        <v>619</v>
      </c>
      <c r="P922" s="2332"/>
      <c r="Q922" s="420"/>
      <c r="R922" s="5303" t="str">
        <f>IMAGE("https://raw.githubusercontent.com/msikma/pokesprite/master/misc/types/gen8/fire.png",4,20,20)</f>
        <v/>
      </c>
      <c r="T922" s="2380" t="s">
        <v>693</v>
      </c>
      <c r="U922" s="2332"/>
      <c r="V922" s="420"/>
      <c r="W922" s="5303" t="str">
        <f t="shared" si="36"/>
        <v/>
      </c>
      <c r="Y922" s="2329"/>
      <c r="Z922" s="2332"/>
      <c r="AA922" s="2332"/>
      <c r="AB922" s="420"/>
      <c r="AC922" s="302"/>
      <c r="AD922" s="2329"/>
      <c r="AE922" s="2332"/>
      <c r="AF922" s="2332"/>
      <c r="AG922" s="420"/>
      <c r="AH922" s="2334"/>
      <c r="AI922" s="6747"/>
    </row>
    <row r="923" ht="21.0" customHeight="1">
      <c r="A923" s="6738"/>
      <c r="B923" s="2327"/>
      <c r="C923" s="2396"/>
      <c r="D923" s="2393"/>
      <c r="E923" s="2389" t="s">
        <v>905</v>
      </c>
      <c r="F923" s="2390"/>
      <c r="G923" s="2391"/>
      <c r="H923" s="5304" t="str">
        <f>IMAGE("https://raw.githubusercontent.com/msikma/pokesprite/master/misc/types/gen8/electric.png",4,20,20)</f>
        <v/>
      </c>
      <c r="I923" s="2393"/>
      <c r="J923" s="2389" t="s">
        <v>621</v>
      </c>
      <c r="K923" s="2390"/>
      <c r="L923" s="2391"/>
      <c r="M923" s="5304" t="str">
        <f>IMAGE("https://raw.githubusercontent.com/msikma/pokesprite/master/misc/types/gen8/rock.png",4,20,20)</f>
        <v/>
      </c>
      <c r="N923" s="2393"/>
      <c r="O923" s="2389" t="s">
        <v>614</v>
      </c>
      <c r="P923" s="2390"/>
      <c r="Q923" s="2391"/>
      <c r="R923" s="5304" t="str">
        <f>IMAGE("https://raw.githubusercontent.com/msikma/pokesprite/master/misc/types/gen8/poison.png",4,20,20)</f>
        <v/>
      </c>
      <c r="S923" s="2393"/>
      <c r="T923" s="2389" t="s">
        <v>1232</v>
      </c>
      <c r="U923" s="2390"/>
      <c r="V923" s="2391"/>
      <c r="W923" s="5304" t="str">
        <f>IMAGE("https://raw.githubusercontent.com/msikma/pokesprite/master/misc/types/gen8/dark.png",4,20,20)</f>
        <v/>
      </c>
      <c r="X923" s="2393"/>
      <c r="Y923" s="2329"/>
      <c r="Z923" s="2332"/>
      <c r="AA923" s="2332"/>
      <c r="AB923" s="420"/>
      <c r="AC923" s="510"/>
      <c r="AD923" s="2329"/>
      <c r="AE923" s="2332"/>
      <c r="AF923" s="2332"/>
      <c r="AG923" s="420"/>
      <c r="AH923" s="2334"/>
      <c r="AI923" s="6747"/>
    </row>
    <row r="924" ht="3.0" customHeight="1">
      <c r="A924" s="6738"/>
      <c r="B924" s="2395"/>
      <c r="C924" s="2396"/>
      <c r="D924" s="2397"/>
      <c r="E924" s="5307"/>
      <c r="F924" s="5307"/>
      <c r="G924" s="5307"/>
      <c r="H924" s="5306"/>
      <c r="I924" s="2397"/>
      <c r="J924" s="5307"/>
      <c r="K924" s="5307"/>
      <c r="L924" s="5307"/>
      <c r="M924" s="5306"/>
      <c r="N924" s="2397"/>
      <c r="O924" s="5307"/>
      <c r="P924" s="5307"/>
      <c r="Q924" s="5307"/>
      <c r="R924" s="5306"/>
      <c r="S924" s="2397"/>
      <c r="T924" s="5307"/>
      <c r="U924" s="5307"/>
      <c r="V924" s="5307"/>
      <c r="W924" s="5306"/>
      <c r="X924" s="2397"/>
      <c r="Y924" s="2400"/>
      <c r="Z924" s="2400"/>
      <c r="AA924" s="2400"/>
      <c r="AB924" s="2400"/>
      <c r="AC924" s="2400"/>
      <c r="AD924" s="2400"/>
      <c r="AE924" s="2400"/>
      <c r="AF924" s="2400"/>
      <c r="AG924" s="2400"/>
      <c r="AH924" s="2401"/>
      <c r="AI924" s="6747"/>
    </row>
    <row r="925" ht="16.5" customHeight="1">
      <c r="A925" s="6738"/>
      <c r="B925" s="2403"/>
      <c r="C925" s="2396"/>
      <c r="D925" s="5309"/>
      <c r="E925" s="5310" t="s">
        <v>512</v>
      </c>
      <c r="F925" s="606"/>
      <c r="G925" s="606"/>
      <c r="H925" s="607"/>
      <c r="I925" s="5309"/>
      <c r="J925" s="5310" t="s">
        <v>512</v>
      </c>
      <c r="K925" s="606"/>
      <c r="L925" s="606"/>
      <c r="M925" s="607"/>
      <c r="N925" s="5309"/>
      <c r="O925" s="5310" t="s">
        <v>512</v>
      </c>
      <c r="P925" s="606"/>
      <c r="Q925" s="606"/>
      <c r="R925" s="607"/>
      <c r="S925" s="2566"/>
      <c r="T925" s="5310" t="s">
        <v>512</v>
      </c>
      <c r="U925" s="606"/>
      <c r="V925" s="606"/>
      <c r="W925" s="607"/>
      <c r="X925" s="5311"/>
      <c r="Y925" s="2409"/>
      <c r="Z925" s="2409"/>
      <c r="AA925" s="2409"/>
      <c r="AB925" s="2409"/>
      <c r="AC925" s="2409"/>
      <c r="AD925" s="2409"/>
      <c r="AE925" s="2409"/>
      <c r="AF925" s="2409"/>
      <c r="AG925" s="2409"/>
      <c r="AH925" s="2410"/>
      <c r="AI925" s="6747"/>
    </row>
    <row r="926" ht="16.5" customHeight="1">
      <c r="A926" s="6738"/>
      <c r="B926" s="2403"/>
      <c r="C926" s="2396"/>
      <c r="D926" s="5312"/>
      <c r="E926" s="5313" t="s">
        <v>513</v>
      </c>
      <c r="F926" s="5314">
        <f t="array" ref="F926">IFERROR(VLOOKUP(E913,Dex!$B$3:$N1219,8,FALSE),"")</f>
        <v>110</v>
      </c>
      <c r="G926" s="5315" t="str">
        <f t="array" ref="G926">IFERROR(VLOOKUP(F926,Dex!$P$22:$Q$276,2,FALSE),"")</f>
        <v/>
      </c>
      <c r="H926" s="5316"/>
      <c r="I926" s="5312"/>
      <c r="J926" s="5313" t="s">
        <v>513</v>
      </c>
      <c r="K926" s="5314">
        <f t="array" ref="K926">IFERROR(VLOOKUP(J913,Dex!$B$3:$N1219,8,FALSE),"")</f>
        <v>100</v>
      </c>
      <c r="L926" s="5315" t="str">
        <f t="array" ref="L926">IFERROR(VLOOKUP(K926,Dex!$P$22:$Q$276,2,FALSE),"")</f>
        <v/>
      </c>
      <c r="M926" s="5316"/>
      <c r="N926" s="5312"/>
      <c r="O926" s="5313" t="s">
        <v>513</v>
      </c>
      <c r="P926" s="5314">
        <f t="array" ref="P926">IFERROR(VLOOKUP(O913,Dex!$B$3:$N1219,8,FALSE),"")</f>
        <v>80</v>
      </c>
      <c r="Q926" s="5315" t="str">
        <f t="array" ref="Q926">IFERROR(VLOOKUP(P926,Dex!$P$22:$Q$276,2,FALSE),"")</f>
        <v/>
      </c>
      <c r="R926" s="5316"/>
      <c r="S926" s="2409"/>
      <c r="T926" s="5313" t="s">
        <v>513</v>
      </c>
      <c r="U926" s="5314">
        <f t="array" ref="U926">IFERROR(VLOOKUP(T913,Dex!$B$3:$N1219,8,FALSE),"")</f>
        <v>78</v>
      </c>
      <c r="V926" s="5315" t="str">
        <f t="array" ref="V926">IFERROR(VLOOKUP(U926,Dex!$P$22:$Q$276,2,FALSE),"")</f>
        <v/>
      </c>
      <c r="W926" s="5316"/>
      <c r="X926" s="5317"/>
      <c r="Y926" s="2409"/>
      <c r="Z926" s="2409"/>
      <c r="AA926" s="2409"/>
      <c r="AB926" s="2409"/>
      <c r="AC926" s="2409"/>
      <c r="AD926" s="2409"/>
      <c r="AE926" s="2409"/>
      <c r="AF926" s="2409"/>
      <c r="AG926" s="2409"/>
      <c r="AH926" s="2410"/>
      <c r="AI926" s="6747"/>
    </row>
    <row r="927" ht="16.5" customHeight="1">
      <c r="A927" s="6738"/>
      <c r="B927" s="2403"/>
      <c r="C927" s="2396"/>
      <c r="D927" s="5312"/>
      <c r="E927" s="5318" t="s">
        <v>514</v>
      </c>
      <c r="F927" s="5319">
        <f t="array" ref="F927">IFERROR(VLOOKUP(E913,Dex!$B$3:$N1219,9,FALSE),"")</f>
        <v>123</v>
      </c>
      <c r="G927" s="5320" t="str">
        <f t="array" ref="G927">IFERROR(VLOOKUP(F927,Dex!$P$22:$Q$276,2,FALSE),"")</f>
        <v/>
      </c>
      <c r="H927" s="5321"/>
      <c r="I927" s="5312"/>
      <c r="J927" s="5318" t="s">
        <v>514</v>
      </c>
      <c r="K927" s="5319">
        <f t="array" ref="K927">IFERROR(VLOOKUP(J913,Dex!$B$3:$N1219,9,FALSE),"")</f>
        <v>150</v>
      </c>
      <c r="L927" s="5320" t="str">
        <f t="array" ref="L927">IFERROR(VLOOKUP(K927,Dex!$P$22:$Q$276,2,FALSE),"")</f>
        <v/>
      </c>
      <c r="M927" s="5321"/>
      <c r="N927" s="5312"/>
      <c r="O927" s="5318" t="s">
        <v>514</v>
      </c>
      <c r="P927" s="5319">
        <f t="array" ref="P927">IFERROR(VLOOKUP(O913,Dex!$B$3:$N1219,9,FALSE),"")</f>
        <v>100</v>
      </c>
      <c r="Q927" s="5320" t="str">
        <f t="array" ref="Q927">IFERROR(VLOOKUP(P927,Dex!$P$22:$Q$276,2,FALSE),"")</f>
        <v/>
      </c>
      <c r="R927" s="5321"/>
      <c r="S927" s="2409"/>
      <c r="T927" s="5318" t="s">
        <v>514</v>
      </c>
      <c r="U927" s="5319">
        <f t="array" ref="U927">IFERROR(VLOOKUP(T913,Dex!$B$3:$N1219,9,FALSE),"")</f>
        <v>92</v>
      </c>
      <c r="V927" s="5320" t="str">
        <f t="array" ref="V927">IFERROR(VLOOKUP(U927,Dex!$P$22:$Q$276,2,FALSE),"")</f>
        <v/>
      </c>
      <c r="W927" s="5321"/>
      <c r="X927" s="5317"/>
      <c r="Y927" s="2409"/>
      <c r="Z927" s="2409"/>
      <c r="AA927" s="2409"/>
      <c r="AB927" s="2409"/>
      <c r="AC927" s="2409"/>
      <c r="AD927" s="2409"/>
      <c r="AE927" s="2409"/>
      <c r="AF927" s="2409"/>
      <c r="AG927" s="2409"/>
      <c r="AH927" s="2410"/>
      <c r="AI927" s="6747"/>
    </row>
    <row r="928" ht="16.5" customHeight="1">
      <c r="A928" s="6738"/>
      <c r="B928" s="2403"/>
      <c r="C928" s="2396"/>
      <c r="D928" s="5312"/>
      <c r="E928" s="5318" t="s">
        <v>515</v>
      </c>
      <c r="F928" s="5319">
        <f t="array" ref="F928">IFERROR(VLOOKUP(E913,Dex!$B$3:$N1219,10,FALSE),"")</f>
        <v>65</v>
      </c>
      <c r="G928" s="5320" t="str">
        <f t="array" ref="G928">IFERROR(VLOOKUP(F928,Dex!$P$22:$Q$276,2,FALSE),"")</f>
        <v/>
      </c>
      <c r="H928" s="5321"/>
      <c r="I928" s="5312"/>
      <c r="J928" s="5318" t="s">
        <v>515</v>
      </c>
      <c r="K928" s="5319">
        <f t="array" ref="K928">IFERROR(VLOOKUP(J913,Dex!$B$3:$N1219,10,FALSE),"")</f>
        <v>80</v>
      </c>
      <c r="L928" s="5320" t="str">
        <f t="array" ref="L928">IFERROR(VLOOKUP(K928,Dex!$P$22:$Q$276,2,FALSE),"")</f>
        <v/>
      </c>
      <c r="M928" s="5321"/>
      <c r="N928" s="5312"/>
      <c r="O928" s="5318" t="s">
        <v>515</v>
      </c>
      <c r="P928" s="5319">
        <f t="array" ref="P928">IFERROR(VLOOKUP(O913,Dex!$B$3:$N1219,10,FALSE),"")</f>
        <v>100</v>
      </c>
      <c r="Q928" s="5320" t="str">
        <f t="array" ref="Q928">IFERROR(VLOOKUP(P928,Dex!$P$22:$Q$276,2,FALSE),"")</f>
        <v/>
      </c>
      <c r="R928" s="5321"/>
      <c r="S928" s="2409"/>
      <c r="T928" s="5318" t="s">
        <v>515</v>
      </c>
      <c r="U928" s="5319">
        <f t="array" ref="U928">IFERROR(VLOOKUP(T913,Dex!$B$3:$N1219,10,FALSE),"")</f>
        <v>75</v>
      </c>
      <c r="V928" s="5320" t="str">
        <f t="array" ref="V928">IFERROR(VLOOKUP(U928,Dex!$P$22:$Q$276,2,FALSE),"")</f>
        <v/>
      </c>
      <c r="W928" s="5321"/>
      <c r="X928" s="5317"/>
      <c r="Y928" s="2409"/>
      <c r="Z928" s="2409"/>
      <c r="AA928" s="2409"/>
      <c r="AB928" s="2409"/>
      <c r="AC928" s="2409"/>
      <c r="AD928" s="2409"/>
      <c r="AE928" s="2409"/>
      <c r="AF928" s="2409"/>
      <c r="AG928" s="2409"/>
      <c r="AH928" s="2410"/>
      <c r="AI928" s="6747"/>
    </row>
    <row r="929" ht="16.5" customHeight="1">
      <c r="A929" s="6738"/>
      <c r="B929" s="2403"/>
      <c r="C929" s="2396"/>
      <c r="D929" s="5312"/>
      <c r="E929" s="5318" t="s">
        <v>516</v>
      </c>
      <c r="F929" s="5319">
        <f t="array" ref="F929">IFERROR(VLOOKUP(E913,Dex!$B$3:$N1219,11,FALSE),"")</f>
        <v>100</v>
      </c>
      <c r="G929" s="5320" t="str">
        <f t="array" ref="G929">IFERROR(VLOOKUP(F929,Dex!$P$22:$Q$276,2,FALSE),"")</f>
        <v/>
      </c>
      <c r="H929" s="5321"/>
      <c r="I929" s="5312"/>
      <c r="J929" s="5318" t="s">
        <v>516</v>
      </c>
      <c r="K929" s="5319">
        <f t="array" ref="K929">IFERROR(VLOOKUP(J913,Dex!$B$3:$N1219,11,FALSE),"")</f>
        <v>75</v>
      </c>
      <c r="L929" s="5320" t="str">
        <f t="array" ref="L929">IFERROR(VLOOKUP(K929,Dex!$P$22:$Q$276,2,FALSE),"")</f>
        <v/>
      </c>
      <c r="M929" s="5321"/>
      <c r="N929" s="5312"/>
      <c r="O929" s="5318" t="s">
        <v>516</v>
      </c>
      <c r="P929" s="5319">
        <f t="array" ref="P929">IFERROR(VLOOKUP(O913,Dex!$B$3:$N1219,11,FALSE),"")</f>
        <v>110</v>
      </c>
      <c r="Q929" s="5320" t="str">
        <f t="array" ref="Q929">IFERROR(VLOOKUP(P929,Dex!$P$22:$Q$276,2,FALSE),"")</f>
        <v/>
      </c>
      <c r="R929" s="5321"/>
      <c r="S929" s="2409"/>
      <c r="T929" s="5318" t="s">
        <v>516</v>
      </c>
      <c r="U929" s="5319">
        <f t="array" ref="U929">IFERROR(VLOOKUP(T913,Dex!$B$3:$N1219,11,FALSE),"")</f>
        <v>74</v>
      </c>
      <c r="V929" s="5320" t="str">
        <f t="array" ref="V929">IFERROR(VLOOKUP(U929,Dex!$P$22:$Q$276,2,FALSE),"")</f>
        <v/>
      </c>
      <c r="W929" s="5321"/>
      <c r="X929" s="5317"/>
      <c r="Y929" s="2409"/>
      <c r="Z929" s="2409"/>
      <c r="AA929" s="2409"/>
      <c r="AB929" s="2409"/>
      <c r="AC929" s="2409"/>
      <c r="AD929" s="2409"/>
      <c r="AE929" s="2409"/>
      <c r="AF929" s="2409"/>
      <c r="AG929" s="2409"/>
      <c r="AH929" s="2410"/>
      <c r="AI929" s="6747"/>
    </row>
    <row r="930" ht="16.5" customHeight="1">
      <c r="A930" s="6738"/>
      <c r="B930" s="2403"/>
      <c r="C930" s="2396"/>
      <c r="D930" s="5312"/>
      <c r="E930" s="5318" t="s">
        <v>517</v>
      </c>
      <c r="F930" s="5319">
        <f t="array" ref="F930">IFERROR(VLOOKUP(E913,Dex!$B$3:$N1219,12,FALSE),"")</f>
        <v>65</v>
      </c>
      <c r="G930" s="5320" t="str">
        <f t="array" ref="G930">IFERROR(VLOOKUP(F930,Dex!$P$22:$Q$276,2,FALSE),"")</f>
        <v/>
      </c>
      <c r="H930" s="5321"/>
      <c r="I930" s="5312"/>
      <c r="J930" s="5318" t="s">
        <v>517</v>
      </c>
      <c r="K930" s="5319">
        <f t="array" ref="K930">IFERROR(VLOOKUP(J913,Dex!$B$3:$N1219,12,FALSE),"")</f>
        <v>100</v>
      </c>
      <c r="L930" s="5320" t="str">
        <f t="array" ref="L930">IFERROR(VLOOKUP(K930,Dex!$P$22:$Q$276,2,FALSE),"")</f>
        <v/>
      </c>
      <c r="M930" s="5321"/>
      <c r="N930" s="5312"/>
      <c r="O930" s="5318" t="s">
        <v>517</v>
      </c>
      <c r="P930" s="5319">
        <f t="array" ref="P930">IFERROR(VLOOKUP(O913,Dex!$B$3:$N1219,12,FALSE),"")</f>
        <v>150</v>
      </c>
      <c r="Q930" s="5320" t="str">
        <f t="array" ref="Q930">IFERROR(VLOOKUP(P930,Dex!$P$22:$Q$276,2,FALSE),"")</f>
        <v/>
      </c>
      <c r="R930" s="5321"/>
      <c r="S930" s="2409"/>
      <c r="T930" s="5318" t="s">
        <v>517</v>
      </c>
      <c r="U930" s="5319">
        <f t="array" ref="U930">IFERROR(VLOOKUP(T913,Dex!$B$3:$N1219,12,FALSE),"")</f>
        <v>63</v>
      </c>
      <c r="V930" s="5320" t="str">
        <f t="array" ref="V930">IFERROR(VLOOKUP(U930,Dex!$P$22:$Q$276,2,FALSE),"")</f>
        <v/>
      </c>
      <c r="W930" s="5321"/>
      <c r="X930" s="5317"/>
      <c r="Y930" s="2409"/>
      <c r="Z930" s="2409"/>
      <c r="AA930" s="2409"/>
      <c r="AB930" s="2409"/>
      <c r="AC930" s="2409"/>
      <c r="AD930" s="2409"/>
      <c r="AE930" s="2409"/>
      <c r="AF930" s="2409"/>
      <c r="AG930" s="2409"/>
      <c r="AH930" s="2410"/>
      <c r="AI930" s="6747"/>
    </row>
    <row r="931" ht="16.5" customHeight="1">
      <c r="A931" s="6738"/>
      <c r="B931" s="2403"/>
      <c r="C931" s="2396"/>
      <c r="D931" s="5312"/>
      <c r="E931" s="5322" t="s">
        <v>518</v>
      </c>
      <c r="F931" s="5323">
        <f t="array" ref="F931">IFERROR(VLOOKUP(E913,Dex!$B$3:$N1219,13,FALSE),"")</f>
        <v>65</v>
      </c>
      <c r="G931" s="5320" t="str">
        <f t="array" ref="G931">IFERROR(VLOOKUP(F931,Dex!$P$22:$Q$276,2,FALSE),"")</f>
        <v/>
      </c>
      <c r="H931" s="5321"/>
      <c r="I931" s="5312"/>
      <c r="J931" s="5322" t="s">
        <v>518</v>
      </c>
      <c r="K931" s="5323">
        <f t="array" ref="K931">IFERROR(VLOOKUP(J913,Dex!$B$3:$N1219,13,FALSE),"")</f>
        <v>120</v>
      </c>
      <c r="L931" s="5320" t="str">
        <f t="array" ref="L931">IFERROR(VLOOKUP(K931,Dex!$P$22:$Q$276,2,FALSE),"")</f>
        <v/>
      </c>
      <c r="M931" s="5321"/>
      <c r="N931" s="5312"/>
      <c r="O931" s="5322" t="s">
        <v>518</v>
      </c>
      <c r="P931" s="5323">
        <f t="array" ref="P931">IFERROR(VLOOKUP(O913,Dex!$B$3:$N1219,13,FALSE),"")</f>
        <v>60</v>
      </c>
      <c r="Q931" s="5320" t="str">
        <f t="array" ref="Q931">IFERROR(VLOOKUP(P931,Dex!$P$22:$Q$276,2,FALSE),"")</f>
        <v/>
      </c>
      <c r="R931" s="5321"/>
      <c r="S931" s="2409"/>
      <c r="T931" s="5322" t="s">
        <v>518</v>
      </c>
      <c r="U931" s="5323">
        <f t="array" ref="U931">IFERROR(VLOOKUP(T913,Dex!$B$3:$N1219,13,FALSE),"")</f>
        <v>118</v>
      </c>
      <c r="V931" s="5320" t="str">
        <f t="array" ref="V931">IFERROR(VLOOKUP(U931,Dex!$P$22:$Q$276,2,FALSE),"")</f>
        <v/>
      </c>
      <c r="W931" s="5321"/>
      <c r="X931" s="5317"/>
      <c r="Y931" s="2409"/>
      <c r="Z931" s="2409"/>
      <c r="AA931" s="2409"/>
      <c r="AB931" s="2409"/>
      <c r="AC931" s="2409"/>
      <c r="AD931" s="2409"/>
      <c r="AE931" s="2409"/>
      <c r="AF931" s="2409"/>
      <c r="AG931" s="2409"/>
      <c r="AH931" s="2410"/>
      <c r="AI931" s="6747"/>
    </row>
    <row r="932" ht="16.5" customHeight="1">
      <c r="A932" s="6738"/>
      <c r="B932" s="2403"/>
      <c r="C932" s="2396"/>
      <c r="D932" s="5309"/>
      <c r="E932" s="5325" t="s">
        <v>519</v>
      </c>
      <c r="F932" s="635"/>
      <c r="G932" s="636"/>
      <c r="H932" s="7310">
        <v>182.0</v>
      </c>
      <c r="I932" s="5309"/>
      <c r="J932" s="5324" t="s">
        <v>519</v>
      </c>
      <c r="K932" s="630"/>
      <c r="L932" s="631"/>
      <c r="M932" s="7304">
        <v>303.0</v>
      </c>
      <c r="N932" s="5309"/>
      <c r="O932" s="5324" t="s">
        <v>519</v>
      </c>
      <c r="P932" s="630"/>
      <c r="Q932" s="631"/>
      <c r="R932" s="7304">
        <v>156.0</v>
      </c>
      <c r="S932" s="2566"/>
      <c r="T932" s="5325" t="s">
        <v>519</v>
      </c>
      <c r="U932" s="635"/>
      <c r="V932" s="636"/>
      <c r="W932" s="7310">
        <v>299.0</v>
      </c>
      <c r="X932" s="5311"/>
      <c r="Y932" s="2409"/>
      <c r="Z932" s="2409"/>
      <c r="AA932" s="2409"/>
      <c r="AB932" s="2409"/>
      <c r="AC932" s="2409"/>
      <c r="AD932" s="2409"/>
      <c r="AE932" s="2409"/>
      <c r="AF932" s="2409"/>
      <c r="AG932" s="2409"/>
      <c r="AH932" s="2410"/>
      <c r="AI932" s="6747"/>
    </row>
    <row r="933" ht="16.5" customHeight="1">
      <c r="A933" s="6738"/>
      <c r="B933" s="6666"/>
      <c r="C933" s="6667"/>
      <c r="D933" s="7307"/>
      <c r="E933" s="5327" t="s">
        <v>1489</v>
      </c>
      <c r="F933" s="643"/>
      <c r="G933" s="644"/>
      <c r="H933" s="6787">
        <f>ROUNDDOWN(H932*1.5,0)</f>
        <v>273</v>
      </c>
      <c r="I933" s="7307"/>
      <c r="J933" s="7311"/>
      <c r="K933" s="7311"/>
      <c r="L933" s="7311"/>
      <c r="M933" s="6667"/>
      <c r="N933" s="7307"/>
      <c r="O933" s="7311"/>
      <c r="P933" s="7311"/>
      <c r="Q933" s="7311"/>
      <c r="R933" s="6667"/>
      <c r="S933" s="6660"/>
      <c r="T933" s="5327" t="s">
        <v>594</v>
      </c>
      <c r="U933" s="643"/>
      <c r="V933" s="644"/>
      <c r="W933" s="6787">
        <f>W932*2</f>
        <v>598</v>
      </c>
      <c r="X933" s="2578"/>
      <c r="Y933" s="6660"/>
      <c r="Z933" s="6660"/>
      <c r="AA933" s="6660"/>
      <c r="AB933" s="6660"/>
      <c r="AC933" s="6660"/>
      <c r="AD933" s="6660"/>
      <c r="AE933" s="6660"/>
      <c r="AF933" s="6660"/>
      <c r="AG933" s="6660"/>
      <c r="AH933" s="2584"/>
      <c r="AI933" s="6747"/>
    </row>
    <row r="934" ht="15.0" customHeight="1">
      <c r="A934" s="6738"/>
      <c r="B934" s="2440"/>
      <c r="C934" s="2441"/>
      <c r="D934" s="5331"/>
      <c r="E934" s="5332"/>
      <c r="F934" s="5332"/>
      <c r="G934" s="5332"/>
      <c r="H934" s="5332"/>
      <c r="I934" s="5331"/>
      <c r="J934" s="2441"/>
      <c r="K934" s="2441"/>
      <c r="L934" s="2441"/>
      <c r="M934" s="2441"/>
      <c r="N934" s="5331"/>
      <c r="O934" s="2441"/>
      <c r="P934" s="2441"/>
      <c r="Q934" s="2441"/>
      <c r="R934" s="2441"/>
      <c r="S934" s="5331"/>
      <c r="T934" s="2441"/>
      <c r="U934" s="2441"/>
      <c r="V934" s="2441"/>
      <c r="W934" s="2441"/>
      <c r="X934" s="2442"/>
      <c r="Y934" s="2442"/>
      <c r="Z934" s="2442"/>
      <c r="AA934" s="2442"/>
      <c r="AB934" s="2442"/>
      <c r="AC934" s="2442"/>
      <c r="AD934" s="2442"/>
      <c r="AE934" s="2442"/>
      <c r="AF934" s="2442"/>
      <c r="AG934" s="2442"/>
      <c r="AH934" s="2445"/>
      <c r="AI934" s="6747"/>
    </row>
    <row r="935" ht="15.0" customHeight="1">
      <c r="A935" s="6738"/>
      <c r="B935" s="7312"/>
      <c r="C935" s="7313"/>
      <c r="D935" s="7313"/>
      <c r="E935" s="7313"/>
      <c r="F935" s="7313"/>
      <c r="G935" s="7313"/>
      <c r="H935" s="7313"/>
      <c r="I935" s="7313"/>
      <c r="J935" s="7313"/>
      <c r="K935" s="7313"/>
      <c r="L935" s="7313"/>
      <c r="M935" s="7313"/>
      <c r="N935" s="7313"/>
      <c r="O935" s="7313"/>
      <c r="P935" s="7313"/>
      <c r="Q935" s="7313"/>
      <c r="R935" s="7313"/>
      <c r="S935" s="7313"/>
      <c r="T935" s="7313"/>
      <c r="U935" s="7313"/>
      <c r="V935" s="7313"/>
      <c r="W935" s="7313"/>
      <c r="X935" s="7313"/>
      <c r="Y935" s="7313"/>
      <c r="Z935" s="7313"/>
      <c r="AA935" s="7313"/>
      <c r="AB935" s="7313"/>
      <c r="AC935" s="7313"/>
      <c r="AD935" s="7313"/>
      <c r="AE935" s="7313"/>
      <c r="AF935" s="7313"/>
      <c r="AG935" s="7313"/>
      <c r="AH935" s="7314"/>
      <c r="AI935" s="6747"/>
    </row>
    <row r="936">
      <c r="A936" s="6676"/>
      <c r="B936" s="7315"/>
      <c r="C936" s="7316"/>
      <c r="D936" s="7317"/>
      <c r="E936" s="7318" t="s">
        <v>2153</v>
      </c>
      <c r="F936" s="7319"/>
      <c r="G936" s="7319"/>
      <c r="H936" s="7319"/>
      <c r="I936" s="7319"/>
      <c r="J936" s="7319"/>
      <c r="K936" s="7319"/>
      <c r="L936" s="7319"/>
      <c r="M936" s="7319"/>
      <c r="N936" s="7319"/>
      <c r="O936" s="7319"/>
      <c r="P936" s="7319"/>
      <c r="Q936" s="7319"/>
      <c r="R936" s="7319"/>
      <c r="S936" s="7319"/>
      <c r="T936" s="7319"/>
      <c r="U936" s="7319"/>
      <c r="V936" s="7319"/>
      <c r="W936" s="7319"/>
      <c r="X936" s="7319"/>
      <c r="Y936" s="7319"/>
      <c r="Z936" s="7319"/>
      <c r="AA936" s="7319"/>
      <c r="AB936" s="7319"/>
      <c r="AC936" s="7319"/>
      <c r="AD936" s="7319"/>
      <c r="AE936" s="7319"/>
      <c r="AF936" s="7319"/>
      <c r="AG936" s="7320"/>
      <c r="AH936" s="7321"/>
      <c r="AI936" s="6680"/>
    </row>
    <row r="937" ht="96.75" customHeight="1">
      <c r="A937" s="6676"/>
      <c r="B937" s="7315"/>
      <c r="C937" s="7322" t="str">
        <f>IMAGE("https://i.ibb.co/nQz85bj/Twins.png")</f>
        <v/>
      </c>
      <c r="D937" s="7323"/>
      <c r="E937" s="7324" t="str">
        <f t="array" ref="E937">IFERROR(VLOOKUP(E938,Dex!$B$3:$G1219,3,FALSE),"")</f>
        <v/>
      </c>
      <c r="F937" s="1945"/>
      <c r="G937" s="1945"/>
      <c r="H937" s="1946"/>
      <c r="I937" s="7325"/>
      <c r="J937" s="7324" t="str">
        <f t="array" ref="J937">IFERROR(VLOOKUP(J938,Dex!$B$3:$G1219,3,FALSE),"")</f>
        <v/>
      </c>
      <c r="K937" s="1945"/>
      <c r="L937" s="1945"/>
      <c r="M937" s="1946"/>
      <c r="N937" s="7325"/>
      <c r="O937" s="7324" t="str">
        <f t="array" ref="O937">IFERROR(VLOOKUP(O938,Dex!$B$3:$G1219,3,FALSE),"")</f>
        <v/>
      </c>
      <c r="P937" s="1945"/>
      <c r="Q937" s="1945"/>
      <c r="R937" s="1946"/>
      <c r="S937" s="7325"/>
      <c r="T937" s="7324" t="str">
        <f t="array" ref="T937">IFERROR(VLOOKUP(T938,Dex!$B$3:$G1219,3,FALSE),"")</f>
        <v/>
      </c>
      <c r="U937" s="1945"/>
      <c r="V937" s="1945"/>
      <c r="W937" s="1946"/>
      <c r="X937" s="7325"/>
      <c r="Y937" s="7324" t="str">
        <f t="array" ref="Y937">IFERROR(VLOOKUP(Y938,Dex!$B$3:$G1219,3,FALSE),"")</f>
        <v/>
      </c>
      <c r="Z937" s="1945"/>
      <c r="AA937" s="1945"/>
      <c r="AB937" s="1946"/>
      <c r="AC937" s="7325"/>
      <c r="AD937" s="7324" t="str">
        <f t="array" ref="AD937">IFERROR(VLOOKUP(AD938,Dex!$B$3:$G1219,3,FALSE),"")</f>
        <v/>
      </c>
      <c r="AE937" s="1945"/>
      <c r="AF937" s="1945"/>
      <c r="AG937" s="1946"/>
      <c r="AH937" s="7326"/>
      <c r="AI937" s="6680"/>
    </row>
    <row r="938" ht="18.75" customHeight="1">
      <c r="A938" s="6691"/>
      <c r="B938" s="7327"/>
      <c r="C938" s="7328" t="s">
        <v>2154</v>
      </c>
      <c r="D938" s="7329"/>
      <c r="E938" s="7330" t="s">
        <v>1131</v>
      </c>
      <c r="F938" s="7331"/>
      <c r="G938" s="7331"/>
      <c r="H938" s="7332"/>
      <c r="I938" s="7325"/>
      <c r="J938" s="7330" t="s">
        <v>1435</v>
      </c>
      <c r="K938" s="7331"/>
      <c r="L938" s="7331"/>
      <c r="M938" s="7332"/>
      <c r="N938" s="7325"/>
      <c r="O938" s="7330" t="s">
        <v>1370</v>
      </c>
      <c r="P938" s="7331"/>
      <c r="Q938" s="7331"/>
      <c r="R938" s="7332"/>
      <c r="S938" s="7325"/>
      <c r="T938" s="7330" t="s">
        <v>2155</v>
      </c>
      <c r="U938" s="7331"/>
      <c r="V938" s="7331"/>
      <c r="W938" s="7332"/>
      <c r="X938" s="7325"/>
      <c r="Y938" s="7330" t="s">
        <v>2156</v>
      </c>
      <c r="Z938" s="7331"/>
      <c r="AA938" s="7331"/>
      <c r="AB938" s="7332"/>
      <c r="AC938" s="7325"/>
      <c r="AD938" s="7330" t="s">
        <v>1032</v>
      </c>
      <c r="AE938" s="7331"/>
      <c r="AF938" s="7331"/>
      <c r="AG938" s="7332"/>
      <c r="AH938" s="7333"/>
      <c r="AI938" s="6699"/>
    </row>
    <row r="939">
      <c r="A939" s="6676"/>
      <c r="B939" s="7315"/>
      <c r="C939" s="1638"/>
      <c r="D939" s="7334"/>
      <c r="E939" s="7335" t="s">
        <v>729</v>
      </c>
      <c r="F939" s="7336"/>
      <c r="G939" s="7336"/>
      <c r="H939" s="7337"/>
      <c r="I939" s="7325"/>
      <c r="J939" s="7335" t="s">
        <v>967</v>
      </c>
      <c r="K939" s="7336"/>
      <c r="L939" s="7336"/>
      <c r="M939" s="7337"/>
      <c r="N939" s="7325"/>
      <c r="O939" s="7335" t="s">
        <v>729</v>
      </c>
      <c r="P939" s="7336"/>
      <c r="Q939" s="7336"/>
      <c r="R939" s="7337"/>
      <c r="S939" s="7325"/>
      <c r="T939" s="7335" t="s">
        <v>729</v>
      </c>
      <c r="U939" s="7336"/>
      <c r="V939" s="7336"/>
      <c r="W939" s="7337"/>
      <c r="X939" s="7325"/>
      <c r="Y939" s="7335" t="s">
        <v>729</v>
      </c>
      <c r="Z939" s="7336"/>
      <c r="AA939" s="7336"/>
      <c r="AB939" s="7337"/>
      <c r="AC939" s="7325"/>
      <c r="AD939" s="7335" t="s">
        <v>729</v>
      </c>
      <c r="AE939" s="7336"/>
      <c r="AF939" s="7336"/>
      <c r="AG939" s="7337"/>
      <c r="AH939" s="7326"/>
      <c r="AI939" s="6680"/>
    </row>
    <row r="940" ht="25.5" customHeight="1">
      <c r="A940" s="6676"/>
      <c r="B940" s="7315"/>
      <c r="C940" s="1646"/>
      <c r="D940" s="7317"/>
      <c r="E940" s="7338"/>
      <c r="F940" s="7339" t="str">
        <f t="array" ref="F940">IFERROR(VLOOKUP(E938,Dex!$B$3:$H1219,5,FALSE),"")</f>
        <v/>
      </c>
      <c r="G940" s="7340" t="str">
        <f t="array" ref="G940">IFERROR(VLOOKUP(E938,Dex!$B$3:$H1219,7,FALSE),"")</f>
        <v/>
      </c>
      <c r="H940" s="7341"/>
      <c r="I940" s="7342"/>
      <c r="J940" s="7338"/>
      <c r="K940" s="7339" t="str">
        <f t="array" ref="K940">IFERROR(VLOOKUP(J938,Dex!$B$3:$H1219,5,FALSE),"")</f>
        <v/>
      </c>
      <c r="L940" s="7340" t="str">
        <f t="array" ref="L940">IFERROR(VLOOKUP(J938,Dex!$B$3:$H1219,7,FALSE),"")</f>
        <v/>
      </c>
      <c r="M940" s="7341"/>
      <c r="N940" s="7342"/>
      <c r="O940" s="7338"/>
      <c r="P940" s="7339" t="str">
        <f t="array" ref="P940">IFERROR(VLOOKUP(O938,Dex!$B$3:$H1219,5,FALSE),"")</f>
        <v/>
      </c>
      <c r="Q940" s="7340" t="str">
        <f t="array" ref="Q940">IFERROR(VLOOKUP(O938,Dex!$B$3:$H1219,7,FALSE),"")</f>
        <v/>
      </c>
      <c r="R940" s="7341"/>
      <c r="S940" s="7342"/>
      <c r="T940" s="7338"/>
      <c r="U940" s="7339" t="str">
        <f t="array" ref="U940">IFERROR(VLOOKUP(T938,Dex!$B$3:$H1219,5,FALSE),"")</f>
        <v/>
      </c>
      <c r="V940" s="7340" t="str">
        <f t="array" ref="V940">IFERROR(VLOOKUP(T938,Dex!$B$3:$H1219,7,FALSE),"")</f>
        <v/>
      </c>
      <c r="W940" s="7341"/>
      <c r="X940" s="7342"/>
      <c r="Y940" s="7338"/>
      <c r="Z940" s="7343" t="str">
        <f t="array" ref="Z940">IFERROR(VLOOKUP(Y938,Dex!$B$3:$H1219,5,FALSE),"")</f>
        <v/>
      </c>
      <c r="AA940" s="7344"/>
      <c r="AB940" s="7341"/>
      <c r="AC940" s="7342"/>
      <c r="AD940" s="7338"/>
      <c r="AE940" s="7343" t="str">
        <f t="array" ref="AE940">IFERROR(VLOOKUP(AD938,Dex!$B$3:$H1219,5,FALSE),"")</f>
        <v/>
      </c>
      <c r="AF940" s="7344"/>
      <c r="AG940" s="7341"/>
      <c r="AH940" s="7321"/>
      <c r="AI940" s="6680"/>
    </row>
    <row r="941" ht="2.25" customHeight="1">
      <c r="A941" s="6676"/>
      <c r="B941" s="7315"/>
      <c r="C941" s="7345"/>
      <c r="D941" s="7317"/>
      <c r="E941" s="7346"/>
      <c r="F941" s="7347"/>
      <c r="G941" s="7347"/>
      <c r="H941" s="7348"/>
      <c r="I941" s="7342"/>
      <c r="J941" s="7346"/>
      <c r="K941" s="7347"/>
      <c r="L941" s="7347"/>
      <c r="M941" s="7348"/>
      <c r="N941" s="7342"/>
      <c r="O941" s="7346"/>
      <c r="P941" s="7347"/>
      <c r="Q941" s="7347"/>
      <c r="R941" s="7348"/>
      <c r="S941" s="7342"/>
      <c r="T941" s="7346"/>
      <c r="U941" s="7347"/>
      <c r="V941" s="7347"/>
      <c r="W941" s="7348"/>
      <c r="X941" s="7342"/>
      <c r="Y941" s="7346"/>
      <c r="Z941" s="7347"/>
      <c r="AA941" s="7347"/>
      <c r="AB941" s="7348"/>
      <c r="AC941" s="7342"/>
      <c r="AD941" s="7346"/>
      <c r="AE941" s="7347"/>
      <c r="AF941" s="7347"/>
      <c r="AG941" s="7348"/>
      <c r="AH941" s="7321"/>
      <c r="AI941" s="6680"/>
    </row>
    <row r="942" ht="20.25" customHeight="1">
      <c r="A942" s="6676"/>
      <c r="B942" s="7315"/>
      <c r="C942" s="7349"/>
      <c r="D942" s="7350"/>
      <c r="E942" s="7351" t="s">
        <v>564</v>
      </c>
      <c r="F942" s="7352"/>
      <c r="G942" s="7352"/>
      <c r="H942" s="7353"/>
      <c r="I942" s="7325"/>
      <c r="J942" s="7351" t="s">
        <v>532</v>
      </c>
      <c r="K942" s="7352"/>
      <c r="L942" s="7352"/>
      <c r="M942" s="7353"/>
      <c r="N942" s="7325"/>
      <c r="O942" s="7351" t="s">
        <v>564</v>
      </c>
      <c r="P942" s="7352"/>
      <c r="Q942" s="7352"/>
      <c r="R942" s="7353"/>
      <c r="S942" s="7325"/>
      <c r="T942" s="7351" t="s">
        <v>532</v>
      </c>
      <c r="U942" s="7352"/>
      <c r="V942" s="7352"/>
      <c r="W942" s="7353"/>
      <c r="X942" s="7325"/>
      <c r="Y942" s="7351" t="s">
        <v>532</v>
      </c>
      <c r="Z942" s="7352"/>
      <c r="AA942" s="7352"/>
      <c r="AB942" s="7353"/>
      <c r="AC942" s="7325"/>
      <c r="AD942" s="7351" t="s">
        <v>564</v>
      </c>
      <c r="AE942" s="7352"/>
      <c r="AF942" s="7352"/>
      <c r="AG942" s="7353"/>
      <c r="AH942" s="7326"/>
      <c r="AI942" s="6680"/>
    </row>
    <row r="943" ht="20.25" customHeight="1">
      <c r="A943" s="6676"/>
      <c r="B943" s="7315"/>
      <c r="C943" s="7349"/>
      <c r="D943" s="7350"/>
      <c r="E943" s="7354" t="s">
        <v>97</v>
      </c>
      <c r="F943" s="7355"/>
      <c r="G943" s="7355"/>
      <c r="H943" s="7356"/>
      <c r="I943" s="7325"/>
      <c r="J943" s="7354" t="s">
        <v>60</v>
      </c>
      <c r="K943" s="7355"/>
      <c r="L943" s="7355"/>
      <c r="M943" s="7356"/>
      <c r="N943" s="7325"/>
      <c r="O943" s="7354" t="s">
        <v>1748</v>
      </c>
      <c r="P943" s="7355"/>
      <c r="Q943" s="7355"/>
      <c r="R943" s="7356"/>
      <c r="S943" s="7325"/>
      <c r="T943" s="7354" t="s">
        <v>827</v>
      </c>
      <c r="U943" s="7355"/>
      <c r="V943" s="7355"/>
      <c r="W943" s="7356"/>
      <c r="X943" s="7325"/>
      <c r="Y943" s="7354" t="s">
        <v>1680</v>
      </c>
      <c r="Z943" s="7355"/>
      <c r="AA943" s="7355"/>
      <c r="AB943" s="7356"/>
      <c r="AC943" s="7325"/>
      <c r="AD943" s="7354" t="s">
        <v>1038</v>
      </c>
      <c r="AE943" s="7355"/>
      <c r="AF943" s="7355"/>
      <c r="AG943" s="7356"/>
      <c r="AH943" s="7326"/>
      <c r="AI943" s="6680"/>
    </row>
    <row r="944" ht="20.25" customHeight="1">
      <c r="A944" s="6676"/>
      <c r="B944" s="7315"/>
      <c r="C944" s="7349"/>
      <c r="D944" s="7350"/>
      <c r="E944" s="7357" t="s">
        <v>710</v>
      </c>
      <c r="F944" s="7319"/>
      <c r="G944" s="7320"/>
      <c r="H944" s="7358" t="str">
        <f>IMAGE("https://raw.githubusercontent.com/msikma/pokesprite/master/items/hold-item/weakness-policy.png",3)</f>
        <v/>
      </c>
      <c r="I944" s="7359"/>
      <c r="J944" s="7357" t="s">
        <v>713</v>
      </c>
      <c r="K944" s="7319"/>
      <c r="L944" s="7320"/>
      <c r="M944" s="7358" t="str">
        <f>IMAGE("https://raw.githubusercontent.com/msikma/pokesprite/master/items/hold-item/assault-vest.png",3)</f>
        <v/>
      </c>
      <c r="N944" s="7359"/>
      <c r="O944" s="7357" t="s">
        <v>1571</v>
      </c>
      <c r="P944" s="7319"/>
      <c r="Q944" s="7320"/>
      <c r="R944" s="7358" t="str">
        <f>IMAGE("https://raw.githubusercontent.com/msikma/pokesprite/master/items/z-crystals/electrium-z--held.png",3)</f>
        <v/>
      </c>
      <c r="S944" s="7359"/>
      <c r="T944" s="7357" t="s">
        <v>541</v>
      </c>
      <c r="U944" s="7319"/>
      <c r="V944" s="7320"/>
      <c r="W944" s="7358" t="str">
        <f>IMAGE("https://raw.githubusercontent.com/msikma/pokesprite/master/items/hold-item/life-orb.png",3)</f>
        <v/>
      </c>
      <c r="X944" s="7359"/>
      <c r="Y944" s="7357" t="s">
        <v>829</v>
      </c>
      <c r="Z944" s="7319"/>
      <c r="AA944" s="7320"/>
      <c r="AB944" s="7358" t="str">
        <f>IMAGE("https://raw.githubusercontent.com/msikma/pokesprite/master/items/hold-item/magnet.png",3)</f>
        <v/>
      </c>
      <c r="AC944" s="7359"/>
      <c r="AD944" s="7357" t="s">
        <v>573</v>
      </c>
      <c r="AE944" s="7319"/>
      <c r="AF944" s="7320"/>
      <c r="AG944" s="7358" t="str">
        <f>IMAGE("https://raw.githubusercontent.com/msikma/pokesprite/master/items/hold-item/focus-sash.png",3)</f>
        <v/>
      </c>
      <c r="AH944" s="7321"/>
      <c r="AI944" s="6680"/>
    </row>
    <row r="945" ht="20.25" customHeight="1">
      <c r="A945" s="6676"/>
      <c r="B945" s="7315"/>
      <c r="C945" s="7360"/>
      <c r="D945" s="7350"/>
      <c r="E945" s="7351" t="s">
        <v>649</v>
      </c>
      <c r="F945" s="7352"/>
      <c r="G945" s="7361"/>
      <c r="H945" s="7362" t="str">
        <f>IMAGE("https://raw.githubusercontent.com/msikma/pokesprite/master/misc/types/gen8/water.png",4,20,20)</f>
        <v/>
      </c>
      <c r="I945" s="7359"/>
      <c r="J945" s="7351" t="s">
        <v>583</v>
      </c>
      <c r="K945" s="7352"/>
      <c r="L945" s="7361"/>
      <c r="M945" s="7362" t="str">
        <f>IMAGE("https://raw.githubusercontent.com/msikma/pokesprite/master/misc/types/gen8/fighting.png",4,20,20)</f>
        <v/>
      </c>
      <c r="N945" s="7359"/>
      <c r="O945" s="7351" t="s">
        <v>844</v>
      </c>
      <c r="P945" s="7352"/>
      <c r="Q945" s="7361"/>
      <c r="R945" s="7362" t="str">
        <f>IMAGE("https://raw.githubusercontent.com/msikma/pokesprite/master/misc/types/gen8/electric.png",4,20,20)</f>
        <v/>
      </c>
      <c r="S945" s="7359"/>
      <c r="T945" s="7351" t="s">
        <v>959</v>
      </c>
      <c r="U945" s="7352"/>
      <c r="V945" s="7361"/>
      <c r="W945" s="7362" t="str">
        <f>IMAGE("https://raw.githubusercontent.com/msikma/pokesprite/master/misc/types/gen8/fairy.png",4,20,20)</f>
        <v/>
      </c>
      <c r="X945" s="7359"/>
      <c r="Y945" s="7363" t="s">
        <v>958</v>
      </c>
      <c r="Z945" s="7352"/>
      <c r="AA945" s="7361"/>
      <c r="AB945" s="7362" t="str">
        <f>IMAGE("https://raw.githubusercontent.com/msikma/pokesprite/master/misc/types/gen8/electric.png",4,20,20)</f>
        <v/>
      </c>
      <c r="AC945" s="7359"/>
      <c r="AD945" s="7351" t="s">
        <v>547</v>
      </c>
      <c r="AE945" s="7352"/>
      <c r="AF945" s="7361"/>
      <c r="AG945" s="7362" t="str">
        <f>IMAGE("https://raw.githubusercontent.com/msikma/pokesprite/master/misc/types/gen8/electric.png",4,20,20)</f>
        <v/>
      </c>
      <c r="AH945" s="7321"/>
      <c r="AI945" s="6680"/>
    </row>
    <row r="946" ht="20.25" customHeight="1">
      <c r="A946" s="6676"/>
      <c r="B946" s="7315"/>
      <c r="C946" s="7316"/>
      <c r="D946" s="7350"/>
      <c r="E946" s="7354" t="s">
        <v>670</v>
      </c>
      <c r="F946" s="7355"/>
      <c r="G946" s="7364"/>
      <c r="H946" s="7365" t="str">
        <f>IMAGE("https://raw.githubusercontent.com/msikma/pokesprite/master/misc/types/gen8/ice.png",4,20,20)</f>
        <v/>
      </c>
      <c r="I946" s="7359"/>
      <c r="J946" s="7354" t="s">
        <v>959</v>
      </c>
      <c r="K946" s="7355"/>
      <c r="L946" s="7364"/>
      <c r="M946" s="7365" t="str">
        <f>IMAGE("https://raw.githubusercontent.com/msikma/pokesprite/master/misc/types/gen8/fairy.png",4,20,20)</f>
        <v/>
      </c>
      <c r="N946" s="7359"/>
      <c r="O946" s="7354" t="s">
        <v>846</v>
      </c>
      <c r="P946" s="7355"/>
      <c r="Q946" s="7364"/>
      <c r="R946" s="7365" t="str">
        <f>IMAGE("https://raw.githubusercontent.com/msikma/pokesprite/master/misc/types/gen8/bug.png",4,20,20)</f>
        <v/>
      </c>
      <c r="S946" s="7359"/>
      <c r="T946" s="7354" t="s">
        <v>2157</v>
      </c>
      <c r="U946" s="7355"/>
      <c r="V946" s="7364"/>
      <c r="W946" s="7365" t="str">
        <f>IMAGE("https://raw.githubusercontent.com/msikma/pokesprite/master/misc/types/gen8/bug.png",4,20,20)</f>
        <v/>
      </c>
      <c r="X946" s="7359"/>
      <c r="Y946" s="7354" t="s">
        <v>579</v>
      </c>
      <c r="Z946" s="7355"/>
      <c r="AA946" s="7364"/>
      <c r="AB946" s="7365" t="str">
        <f>IMAGE("https://raw.githubusercontent.com/msikma/pokesprite/master/misc/types/gen8/dark.png",4,20,20)</f>
        <v/>
      </c>
      <c r="AC946" s="7359"/>
      <c r="AD946" s="7354" t="s">
        <v>592</v>
      </c>
      <c r="AE946" s="7355"/>
      <c r="AF946" s="7364"/>
      <c r="AG946" s="7365" t="str">
        <f>IMAGE("https://raw.githubusercontent.com/msikma/pokesprite/master/misc/types/gen8/water.png",4,20,20)</f>
        <v/>
      </c>
      <c r="AH946" s="7321"/>
      <c r="AI946" s="6680"/>
    </row>
    <row r="947" ht="20.25" customHeight="1">
      <c r="A947" s="6676"/>
      <c r="B947" s="7315"/>
      <c r="C947" s="7316"/>
      <c r="D947" s="7350"/>
      <c r="E947" s="7354" t="s">
        <v>646</v>
      </c>
      <c r="F947" s="7355"/>
      <c r="G947" s="7364"/>
      <c r="H947" s="7365" t="str">
        <f>IMAGE("https://raw.githubusercontent.com/msikma/pokesprite/master/misc/types/gen8/steel.png",4,20,20)</f>
        <v/>
      </c>
      <c r="I947" s="7359"/>
      <c r="J947" s="7354" t="s">
        <v>694</v>
      </c>
      <c r="K947" s="7355"/>
      <c r="L947" s="7364"/>
      <c r="M947" s="7365" t="str">
        <f>IMAGE("https://raw.githubusercontent.com/msikma/pokesprite/master/misc/types/gen8/fire.png",4,20,20)</f>
        <v/>
      </c>
      <c r="N947" s="7359"/>
      <c r="O947" s="7354" t="s">
        <v>981</v>
      </c>
      <c r="P947" s="7355"/>
      <c r="Q947" s="7364"/>
      <c r="R947" s="7365" t="str">
        <f>IMAGE("https://raw.githubusercontent.com/msikma/pokesprite/master/misc/types/gen8/water.png",4,20,20)</f>
        <v/>
      </c>
      <c r="S947" s="7359"/>
      <c r="T947" s="7354" t="s">
        <v>1023</v>
      </c>
      <c r="U947" s="7355"/>
      <c r="V947" s="7364"/>
      <c r="W947" s="7365" t="str">
        <f>IMAGE("https://raw.githubusercontent.com/msikma/pokesprite/master/misc/types/gen8/fighting.png",4,20,20)</f>
        <v/>
      </c>
      <c r="X947" s="7359"/>
      <c r="Y947" s="7354" t="s">
        <v>511</v>
      </c>
      <c r="Z947" s="7355"/>
      <c r="AA947" s="7364"/>
      <c r="AB947" s="7365" t="str">
        <f t="shared" ref="AB947:AB948" si="37">IMAGE("https://raw.githubusercontent.com/msikma/pokesprite/master/misc/types/gen8/electric.png",4,20,20)</f>
        <v/>
      </c>
      <c r="AC947" s="7359"/>
      <c r="AD947" s="7354" t="s">
        <v>553</v>
      </c>
      <c r="AE947" s="7355"/>
      <c r="AF947" s="7364"/>
      <c r="AG947" s="7365" t="str">
        <f>IMAGE("https://raw.githubusercontent.com/msikma/pokesprite/master/misc/types/gen8/grass.png",4,20,20)</f>
        <v/>
      </c>
      <c r="AH947" s="7321"/>
      <c r="AI947" s="6680"/>
    </row>
    <row r="948" ht="21.0" customHeight="1">
      <c r="A948" s="6676"/>
      <c r="B948" s="7315"/>
      <c r="C948" s="7316"/>
      <c r="D948" s="7350"/>
      <c r="E948" s="7366" t="s">
        <v>742</v>
      </c>
      <c r="F948" s="7367"/>
      <c r="G948" s="7368"/>
      <c r="H948" s="7369" t="str">
        <f>IMAGE("https://raw.githubusercontent.com/msikma/pokesprite/master/misc/types/gen8/grass.png",4,20,20)</f>
        <v/>
      </c>
      <c r="I948" s="7359"/>
      <c r="J948" s="7366" t="s">
        <v>504</v>
      </c>
      <c r="K948" s="7367"/>
      <c r="L948" s="7368"/>
      <c r="M948" s="7369" t="str">
        <f>IMAGE("https://raw.githubusercontent.com/msikma/pokesprite/master/misc/types/gen8/electric.png",4,20,20)</f>
        <v/>
      </c>
      <c r="N948" s="7359"/>
      <c r="O948" s="7366" t="s">
        <v>288</v>
      </c>
      <c r="P948" s="7367"/>
      <c r="Q948" s="7368"/>
      <c r="R948" s="7369" t="str">
        <f>IMAGE("https://raw.githubusercontent.com/msikma/pokesprite/master/misc/types/gen8/bug.png",4,20,20)</f>
        <v/>
      </c>
      <c r="S948" s="7359"/>
      <c r="T948" s="7366" t="s">
        <v>504</v>
      </c>
      <c r="U948" s="7367"/>
      <c r="V948" s="7368"/>
      <c r="W948" s="7369" t="str">
        <f>IMAGE("https://raw.githubusercontent.com/msikma/pokesprite/master/misc/types/gen8/electric.png",4,20,20)</f>
        <v/>
      </c>
      <c r="X948" s="7359"/>
      <c r="Y948" s="7366" t="s">
        <v>581</v>
      </c>
      <c r="Z948" s="7367"/>
      <c r="AA948" s="7368"/>
      <c r="AB948" s="7369" t="str">
        <f t="shared" si="37"/>
        <v/>
      </c>
      <c r="AC948" s="7359"/>
      <c r="AD948" s="7366" t="s">
        <v>581</v>
      </c>
      <c r="AE948" s="7367"/>
      <c r="AF948" s="7368"/>
      <c r="AG948" s="7369" t="str">
        <f>IMAGE("https://raw.githubusercontent.com/msikma/pokesprite/master/misc/types/gen8/electric.png",4,20,20)</f>
        <v/>
      </c>
      <c r="AH948" s="7321"/>
      <c r="AI948" s="6680"/>
    </row>
    <row r="949" ht="3.0" customHeight="1">
      <c r="A949" s="6738"/>
      <c r="B949" s="7370"/>
      <c r="C949" s="7371"/>
      <c r="D949" s="7372"/>
      <c r="E949" s="7373"/>
      <c r="F949" s="7373"/>
      <c r="G949" s="7373"/>
      <c r="H949" s="7374"/>
      <c r="I949" s="7372"/>
      <c r="J949" s="7375"/>
      <c r="K949" s="7375"/>
      <c r="L949" s="7375"/>
      <c r="M949" s="7374"/>
      <c r="N949" s="7372"/>
      <c r="O949" s="7375"/>
      <c r="P949" s="7375"/>
      <c r="Q949" s="7375"/>
      <c r="R949" s="7374"/>
      <c r="S949" s="7372"/>
      <c r="T949" s="7375"/>
      <c r="U949" s="7375"/>
      <c r="V949" s="7375"/>
      <c r="W949" s="7374"/>
      <c r="X949" s="7372"/>
      <c r="Y949" s="7376"/>
      <c r="Z949" s="7376"/>
      <c r="AA949" s="7376"/>
      <c r="AB949" s="7377"/>
      <c r="AC949" s="7377"/>
      <c r="AD949" s="7376"/>
      <c r="AE949" s="7376"/>
      <c r="AF949" s="7376"/>
      <c r="AG949" s="7377"/>
      <c r="AH949" s="7378"/>
      <c r="AI949" s="6747"/>
    </row>
    <row r="950" ht="16.5" customHeight="1">
      <c r="A950" s="6738"/>
      <c r="B950" s="7379"/>
      <c r="C950" s="7371"/>
      <c r="D950" s="7380"/>
      <c r="E950" s="7381" t="s">
        <v>512</v>
      </c>
      <c r="F950" s="606"/>
      <c r="G950" s="606"/>
      <c r="H950" s="607"/>
      <c r="I950" s="7382"/>
      <c r="J950" s="7381" t="s">
        <v>512</v>
      </c>
      <c r="K950" s="606"/>
      <c r="L950" s="606"/>
      <c r="M950" s="607"/>
      <c r="N950" s="7382"/>
      <c r="O950" s="7381" t="s">
        <v>512</v>
      </c>
      <c r="P950" s="606"/>
      <c r="Q950" s="606"/>
      <c r="R950" s="607"/>
      <c r="S950" s="7383"/>
      <c r="T950" s="7381" t="s">
        <v>512</v>
      </c>
      <c r="U950" s="606"/>
      <c r="V950" s="606"/>
      <c r="W950" s="607"/>
      <c r="X950" s="7383"/>
      <c r="Y950" s="7381" t="s">
        <v>512</v>
      </c>
      <c r="Z950" s="606"/>
      <c r="AA950" s="606"/>
      <c r="AB950" s="607"/>
      <c r="AC950" s="7383"/>
      <c r="AD950" s="7381" t="s">
        <v>512</v>
      </c>
      <c r="AE950" s="606"/>
      <c r="AF950" s="606"/>
      <c r="AG950" s="607"/>
      <c r="AH950" s="7384"/>
      <c r="AI950" s="6747"/>
    </row>
    <row r="951" ht="16.5" customHeight="1">
      <c r="A951" s="6738"/>
      <c r="B951" s="7379"/>
      <c r="C951" s="7371"/>
      <c r="D951" s="7380"/>
      <c r="E951" s="7385" t="s">
        <v>513</v>
      </c>
      <c r="F951" s="7386">
        <f t="array" ref="F951">IFERROR(VLOOKUP(E938,Dex!$B$3:$N1219,8,FALSE),"")</f>
        <v>84</v>
      </c>
      <c r="G951" s="7387" t="str">
        <f t="array" ref="G951">IFERROR(VLOOKUP(F951,Dex!$P$22:$Q$276,2,FALSE),"")</f>
        <v/>
      </c>
      <c r="H951" s="7388"/>
      <c r="I951" s="7380"/>
      <c r="J951" s="7385" t="s">
        <v>513</v>
      </c>
      <c r="K951" s="7386">
        <f t="array" ref="K951">IFERROR(VLOOKUP(J938,Dex!$B$3:$N1219,8,FALSE),"")</f>
        <v>100</v>
      </c>
      <c r="L951" s="7387" t="str">
        <f t="array" ref="L951">IFERROR(VLOOKUP(K951,Dex!$P$22:$Q$276,2,FALSE),"")</f>
        <v/>
      </c>
      <c r="M951" s="7388"/>
      <c r="N951" s="7380"/>
      <c r="O951" s="7385" t="s">
        <v>513</v>
      </c>
      <c r="P951" s="7386">
        <f t="array" ref="P951">IFERROR(VLOOKUP(O938,Dex!$B$3:$N1219,8,FALSE),"")</f>
        <v>85</v>
      </c>
      <c r="Q951" s="7387" t="str">
        <f t="array" ref="Q951">IFERROR(VLOOKUP(P951,Dex!$P$22:$Q$276,2,FALSE),"")</f>
        <v/>
      </c>
      <c r="R951" s="7388"/>
      <c r="S951" s="7389"/>
      <c r="T951" s="7385" t="s">
        <v>513</v>
      </c>
      <c r="U951" s="7386">
        <f t="array" ref="U951">IFERROR(VLOOKUP(T938,Dex!$B$3:$N1219,8,FALSE),"")</f>
        <v>85</v>
      </c>
      <c r="V951" s="7387" t="str">
        <f t="array" ref="V951">IFERROR(VLOOKUP(U951,Dex!$P$22:$Q$276,2,FALSE),"")</f>
        <v/>
      </c>
      <c r="W951" s="7388"/>
      <c r="X951" s="7389"/>
      <c r="Y951" s="7385" t="s">
        <v>513</v>
      </c>
      <c r="Z951" s="7386">
        <f t="array" ref="Z951">IFERROR(VLOOKUP(Y938,Dex!$B$3:$N1219,8,FALSE),"")</f>
        <v>60</v>
      </c>
      <c r="AA951" s="7387" t="str">
        <f t="array" ref="AA951">IFERROR(VLOOKUP(Z951,Dex!$P$22:$Q$276,2,FALSE),"")</f>
        <v/>
      </c>
      <c r="AB951" s="7388"/>
      <c r="AC951" s="7389"/>
      <c r="AD951" s="7385" t="s">
        <v>513</v>
      </c>
      <c r="AE951" s="7386">
        <f t="array" ref="AE951">IFERROR(VLOOKUP(AD938,Dex!$B$3:$N1219,8,FALSE),"")</f>
        <v>60</v>
      </c>
      <c r="AF951" s="7387" t="str">
        <f t="array" ref="AF951">IFERROR(VLOOKUP(AE951,Dex!$P$22:$Q$276,2,FALSE),"")</f>
        <v/>
      </c>
      <c r="AG951" s="7388"/>
      <c r="AH951" s="7384"/>
      <c r="AI951" s="6747"/>
    </row>
    <row r="952" ht="16.5" customHeight="1">
      <c r="A952" s="6738"/>
      <c r="B952" s="7379"/>
      <c r="C952" s="7371"/>
      <c r="D952" s="7380"/>
      <c r="E952" s="7390" t="s">
        <v>514</v>
      </c>
      <c r="F952" s="7391">
        <f t="array" ref="F952">IFERROR(VLOOKUP(E938,Dex!$B$3:$N1219,9,FALSE),"")</f>
        <v>86</v>
      </c>
      <c r="G952" s="7392" t="str">
        <f t="array" ref="G952">IFERROR(VLOOKUP(F952,Dex!$P$22:$Q$276,2,FALSE),"")</f>
        <v/>
      </c>
      <c r="H952" s="7393"/>
      <c r="I952" s="7380"/>
      <c r="J952" s="7390" t="s">
        <v>514</v>
      </c>
      <c r="K952" s="7391">
        <f t="array" ref="K952">IFERROR(VLOOKUP(J938,Dex!$B$3:$N1219,9,FALSE),"")</f>
        <v>120</v>
      </c>
      <c r="L952" s="7392" t="str">
        <f t="array" ref="L952">IFERROR(VLOOKUP(K952,Dex!$P$22:$Q$276,2,FALSE),"")</f>
        <v/>
      </c>
      <c r="M952" s="7393"/>
      <c r="N952" s="7380"/>
      <c r="O952" s="7390" t="s">
        <v>514</v>
      </c>
      <c r="P952" s="7391">
        <f t="array" ref="P952">IFERROR(VLOOKUP(O938,Dex!$B$3:$N1219,9,FALSE),"")</f>
        <v>47</v>
      </c>
      <c r="Q952" s="7392" t="str">
        <f t="array" ref="Q952">IFERROR(VLOOKUP(P952,Dex!$P$22:$Q$276,2,FALSE),"")</f>
        <v/>
      </c>
      <c r="R952" s="7393"/>
      <c r="S952" s="7389"/>
      <c r="T952" s="7390" t="s">
        <v>514</v>
      </c>
      <c r="U952" s="7391">
        <f t="array" ref="U952">IFERROR(VLOOKUP(T938,Dex!$B$3:$N1219,9,FALSE),"")</f>
        <v>90</v>
      </c>
      <c r="V952" s="7392" t="str">
        <f t="array" ref="V952">IFERROR(VLOOKUP(U952,Dex!$P$22:$Q$276,2,FALSE),"")</f>
        <v/>
      </c>
      <c r="W952" s="7393"/>
      <c r="X952" s="7389"/>
      <c r="Y952" s="7390" t="s">
        <v>514</v>
      </c>
      <c r="Z952" s="7391">
        <f t="array" ref="Z952">IFERROR(VLOOKUP(Y938,Dex!$B$3:$N1219,9,FALSE),"")</f>
        <v>85</v>
      </c>
      <c r="AA952" s="7392" t="str">
        <f t="array" ref="AA952">IFERROR(VLOOKUP(Z952,Dex!$P$22:$Q$276,2,FALSE),"")</f>
        <v/>
      </c>
      <c r="AB952" s="7393"/>
      <c r="AC952" s="7389"/>
      <c r="AD952" s="7390" t="s">
        <v>514</v>
      </c>
      <c r="AE952" s="7391">
        <f t="array" ref="AE952">IFERROR(VLOOKUP(AD938,Dex!$B$3:$N1219,9,FALSE),"")</f>
        <v>50</v>
      </c>
      <c r="AF952" s="7392" t="str">
        <f t="array" ref="AF952">IFERROR(VLOOKUP(AE952,Dex!$P$22:$Q$276,2,FALSE),"")</f>
        <v/>
      </c>
      <c r="AG952" s="7393"/>
      <c r="AH952" s="7384"/>
      <c r="AI952" s="6747"/>
    </row>
    <row r="953" ht="16.5" customHeight="1">
      <c r="A953" s="6738"/>
      <c r="B953" s="7379"/>
      <c r="C953" s="7371"/>
      <c r="D953" s="7380"/>
      <c r="E953" s="7390" t="s">
        <v>515</v>
      </c>
      <c r="F953" s="7391">
        <f t="array" ref="F953">IFERROR(VLOOKUP(E938,Dex!$B$3:$N1219,10,FALSE),"")</f>
        <v>88</v>
      </c>
      <c r="G953" s="7392" t="str">
        <f t="array" ref="G953">IFERROR(VLOOKUP(F953,Dex!$P$22:$Q$276,2,FALSE),"")</f>
        <v/>
      </c>
      <c r="H953" s="7393"/>
      <c r="I953" s="7380"/>
      <c r="J953" s="7390" t="s">
        <v>515</v>
      </c>
      <c r="K953" s="7391">
        <f t="array" ref="K953">IFERROR(VLOOKUP(J938,Dex!$B$3:$N1219,10,FALSE),"")</f>
        <v>75</v>
      </c>
      <c r="L953" s="7392" t="str">
        <f t="array" ref="L953">IFERROR(VLOOKUP(K953,Dex!$P$22:$Q$276,2,FALSE),"")</f>
        <v/>
      </c>
      <c r="M953" s="7393"/>
      <c r="N953" s="7380"/>
      <c r="O953" s="7390" t="s">
        <v>515</v>
      </c>
      <c r="P953" s="7391">
        <f t="array" ref="P953">IFERROR(VLOOKUP(O938,Dex!$B$3:$N1219,10,FALSE),"")</f>
        <v>75</v>
      </c>
      <c r="Q953" s="7392" t="str">
        <f t="array" ref="Q953">IFERROR(VLOOKUP(P953,Dex!$P$22:$Q$276,2,FALSE),"")</f>
        <v/>
      </c>
      <c r="R953" s="7393"/>
      <c r="S953" s="7389"/>
      <c r="T953" s="7390" t="s">
        <v>515</v>
      </c>
      <c r="U953" s="7391">
        <f t="array" ref="U953">IFERROR(VLOOKUP(T938,Dex!$B$3:$N1219,10,FALSE),"")</f>
        <v>75</v>
      </c>
      <c r="V953" s="7392" t="str">
        <f t="array" ref="V953">IFERROR(VLOOKUP(U953,Dex!$P$22:$Q$276,2,FALSE),"")</f>
        <v/>
      </c>
      <c r="W953" s="7393"/>
      <c r="X953" s="7389"/>
      <c r="Y953" s="7390" t="s">
        <v>515</v>
      </c>
      <c r="Z953" s="7391">
        <f t="array" ref="Z953">IFERROR(VLOOKUP(Y938,Dex!$B$3:$N1219,10,FALSE),"")</f>
        <v>75</v>
      </c>
      <c r="AA953" s="7392" t="str">
        <f t="array" ref="AA953">IFERROR(VLOOKUP(Z953,Dex!$P$22:$Q$276,2,FALSE),"")</f>
        <v/>
      </c>
      <c r="AB953" s="7393"/>
      <c r="AC953" s="7389"/>
      <c r="AD953" s="7390" t="s">
        <v>515</v>
      </c>
      <c r="AE953" s="7391">
        <f t="array" ref="AE953">IFERROR(VLOOKUP(AD938,Dex!$B$3:$N1219,10,FALSE),"")</f>
        <v>40</v>
      </c>
      <c r="AF953" s="7392" t="str">
        <f t="array" ref="AF953">IFERROR(VLOOKUP(AE953,Dex!$P$22:$Q$276,2,FALSE),"")</f>
        <v/>
      </c>
      <c r="AG953" s="7393"/>
      <c r="AH953" s="7384"/>
      <c r="AI953" s="6747"/>
    </row>
    <row r="954" ht="16.5" customHeight="1">
      <c r="A954" s="6738"/>
      <c r="B954" s="7379"/>
      <c r="C954" s="7371"/>
      <c r="D954" s="7380"/>
      <c r="E954" s="7390" t="s">
        <v>516</v>
      </c>
      <c r="F954" s="7391">
        <f t="array" ref="F954">IFERROR(VLOOKUP(E938,Dex!$B$3:$N1219,11,FALSE),"")</f>
        <v>111</v>
      </c>
      <c r="G954" s="7392" t="str">
        <f t="array" ref="G954">IFERROR(VLOOKUP(F954,Dex!$P$22:$Q$276,2,FALSE),"")</f>
        <v/>
      </c>
      <c r="H954" s="7393"/>
      <c r="I954" s="7380"/>
      <c r="J954" s="7390" t="s">
        <v>516</v>
      </c>
      <c r="K954" s="7391">
        <f t="array" ref="K954">IFERROR(VLOOKUP(J938,Dex!$B$3:$N1219,11,FALSE),"")</f>
        <v>60</v>
      </c>
      <c r="L954" s="7392" t="str">
        <f t="array" ref="L954">IFERROR(VLOOKUP(K954,Dex!$P$22:$Q$276,2,FALSE),"")</f>
        <v/>
      </c>
      <c r="M954" s="7393"/>
      <c r="N954" s="7380"/>
      <c r="O954" s="7390" t="s">
        <v>516</v>
      </c>
      <c r="P954" s="7391">
        <f t="array" ref="P954">IFERROR(VLOOKUP(O938,Dex!$B$3:$N1219,11,FALSE),"")</f>
        <v>90</v>
      </c>
      <c r="Q954" s="7392" t="str">
        <f t="array" ref="Q954">IFERROR(VLOOKUP(P954,Dex!$P$22:$Q$276,2,FALSE),"")</f>
        <v/>
      </c>
      <c r="R954" s="7393"/>
      <c r="S954" s="7389"/>
      <c r="T954" s="7390" t="s">
        <v>516</v>
      </c>
      <c r="U954" s="7391">
        <f t="array" ref="U954">IFERROR(VLOOKUP(T938,Dex!$B$3:$N1219,11,FALSE),"")</f>
        <v>47</v>
      </c>
      <c r="V954" s="7392" t="str">
        <f t="array" ref="V954">IFERROR(VLOOKUP(U954,Dex!$P$22:$Q$276,2,FALSE),"")</f>
        <v/>
      </c>
      <c r="W954" s="7393"/>
      <c r="X954" s="7389"/>
      <c r="Y954" s="7390" t="s">
        <v>516</v>
      </c>
      <c r="Z954" s="7391">
        <f t="array" ref="Z954">IFERROR(VLOOKUP(Y938,Dex!$B$3:$N1219,11,FALSE),"")</f>
        <v>50</v>
      </c>
      <c r="AA954" s="7392" t="str">
        <f t="array" ref="AA954">IFERROR(VLOOKUP(Z954,Dex!$P$22:$Q$276,2,FALSE),"")</f>
        <v/>
      </c>
      <c r="AB954" s="7393"/>
      <c r="AC954" s="7389"/>
      <c r="AD954" s="7390" t="s">
        <v>516</v>
      </c>
      <c r="AE954" s="7391">
        <f t="array" ref="AE954">IFERROR(VLOOKUP(AD938,Dex!$B$3:$N1219,11,FALSE),"")</f>
        <v>85</v>
      </c>
      <c r="AF954" s="7392" t="str">
        <f t="array" ref="AF954">IFERROR(VLOOKUP(AE954,Dex!$P$22:$Q$276,2,FALSE),"")</f>
        <v/>
      </c>
      <c r="AG954" s="7393"/>
      <c r="AH954" s="7384"/>
      <c r="AI954" s="6747"/>
    </row>
    <row r="955" ht="16.5" customHeight="1">
      <c r="A955" s="6738"/>
      <c r="B955" s="7379"/>
      <c r="C955" s="7371"/>
      <c r="D955" s="7380"/>
      <c r="E955" s="7390" t="s">
        <v>517</v>
      </c>
      <c r="F955" s="7391">
        <f t="array" ref="F955">IFERROR(VLOOKUP(E938,Dex!$B$3:$N1219,12,FALSE),"")</f>
        <v>101</v>
      </c>
      <c r="G955" s="7392" t="str">
        <f t="array" ref="G955">IFERROR(VLOOKUP(F955,Dex!$P$22:$Q$276,2,FALSE),"")</f>
        <v/>
      </c>
      <c r="H955" s="7393"/>
      <c r="I955" s="7380"/>
      <c r="J955" s="7390" t="s">
        <v>517</v>
      </c>
      <c r="K955" s="7391">
        <f t="array" ref="K955">IFERROR(VLOOKUP(J938,Dex!$B$3:$N1219,12,FALSE),"")</f>
        <v>60</v>
      </c>
      <c r="L955" s="7392" t="str">
        <f t="array" ref="L955">IFERROR(VLOOKUP(K955,Dex!$P$22:$Q$276,2,FALSE),"")</f>
        <v/>
      </c>
      <c r="M955" s="7393"/>
      <c r="N955" s="7380"/>
      <c r="O955" s="7390" t="s">
        <v>517</v>
      </c>
      <c r="P955" s="7391">
        <f t="array" ref="P955">IFERROR(VLOOKUP(O938,Dex!$B$3:$N1219,12,FALSE),"")</f>
        <v>85</v>
      </c>
      <c r="Q955" s="7392" t="str">
        <f t="array" ref="Q955">IFERROR(VLOOKUP(P955,Dex!$P$22:$Q$276,2,FALSE),"")</f>
        <v/>
      </c>
      <c r="R955" s="7393"/>
      <c r="S955" s="7389"/>
      <c r="T955" s="7390" t="s">
        <v>517</v>
      </c>
      <c r="U955" s="7391">
        <f t="array" ref="U955">IFERROR(VLOOKUP(T938,Dex!$B$3:$N1219,12,FALSE),"")</f>
        <v>85</v>
      </c>
      <c r="V955" s="7392" t="str">
        <f t="array" ref="V955">IFERROR(VLOOKUP(U955,Dex!$P$22:$Q$276,2,FALSE),"")</f>
        <v/>
      </c>
      <c r="W955" s="7393"/>
      <c r="X955" s="7389"/>
      <c r="Y955" s="7390" t="s">
        <v>517</v>
      </c>
      <c r="Z955" s="7391">
        <f t="array" ref="Z955">IFERROR(VLOOKUP(Y938,Dex!$B$3:$N1219,12,FALSE),"")</f>
        <v>40</v>
      </c>
      <c r="AA955" s="7392" t="str">
        <f t="array" ref="AA955">IFERROR(VLOOKUP(Z955,Dex!$P$22:$Q$276,2,FALSE),"")</f>
        <v/>
      </c>
      <c r="AB955" s="7393"/>
      <c r="AC955" s="7389"/>
      <c r="AD955" s="7390" t="s">
        <v>517</v>
      </c>
      <c r="AE955" s="7391">
        <f t="array" ref="AE955">IFERROR(VLOOKUP(AD938,Dex!$B$3:$N1219,12,FALSE),"")</f>
        <v>75</v>
      </c>
      <c r="AF955" s="7392" t="str">
        <f t="array" ref="AF955">IFERROR(VLOOKUP(AE955,Dex!$P$22:$Q$276,2,FALSE),"")</f>
        <v/>
      </c>
      <c r="AG955" s="7393"/>
      <c r="AH955" s="7384"/>
      <c r="AI955" s="6747"/>
    </row>
    <row r="956" ht="16.5" customHeight="1">
      <c r="A956" s="6738"/>
      <c r="B956" s="7379"/>
      <c r="C956" s="7371"/>
      <c r="D956" s="7380"/>
      <c r="E956" s="7394" t="s">
        <v>518</v>
      </c>
      <c r="F956" s="7395">
        <f t="array" ref="F956">IFERROR(VLOOKUP(E938,Dex!$B$3:$N1219,13,FALSE),"")</f>
        <v>60</v>
      </c>
      <c r="G956" s="7396" t="str">
        <f t="array" ref="G956">IFERROR(VLOOKUP(F956,Dex!$P$22:$Q$276,2,FALSE),"")</f>
        <v/>
      </c>
      <c r="H956" s="7397"/>
      <c r="I956" s="7380"/>
      <c r="J956" s="7394" t="s">
        <v>518</v>
      </c>
      <c r="K956" s="7395">
        <f t="array" ref="K956">IFERROR(VLOOKUP(J938,Dex!$B$3:$N1219,13,FALSE),"")</f>
        <v>45</v>
      </c>
      <c r="L956" s="7396" t="str">
        <f t="array" ref="L956">IFERROR(VLOOKUP(K956,Dex!$P$22:$Q$276,2,FALSE),"")</f>
        <v/>
      </c>
      <c r="M956" s="7397"/>
      <c r="N956" s="7380"/>
      <c r="O956" s="7394" t="s">
        <v>518</v>
      </c>
      <c r="P956" s="7395">
        <f t="array" ref="P956">IFERROR(VLOOKUP(O938,Dex!$B$3:$N1219,13,FALSE),"")</f>
        <v>100</v>
      </c>
      <c r="Q956" s="7396" t="str">
        <f t="array" ref="Q956">IFERROR(VLOOKUP(P956,Dex!$P$22:$Q$276,2,FALSE),"")</f>
        <v/>
      </c>
      <c r="R956" s="7397"/>
      <c r="S956" s="7389"/>
      <c r="T956" s="7394" t="s">
        <v>518</v>
      </c>
      <c r="U956" s="7395">
        <f t="array" ref="U956">IFERROR(VLOOKUP(T938,Dex!$B$3:$N1219,13,FALSE),"")</f>
        <v>100</v>
      </c>
      <c r="V956" s="7396" t="str">
        <f t="array" ref="V956">IFERROR(VLOOKUP(U956,Dex!$P$22:$Q$276,2,FALSE),"")</f>
        <v/>
      </c>
      <c r="W956" s="7397"/>
      <c r="X956" s="7389"/>
      <c r="Y956" s="7394" t="s">
        <v>518</v>
      </c>
      <c r="Z956" s="7395">
        <f t="array" ref="Z956">IFERROR(VLOOKUP(Y938,Dex!$B$3:$N1219,13,FALSE),"")</f>
        <v>110</v>
      </c>
      <c r="AA956" s="7396" t="str">
        <f t="array" ref="AA956">IFERROR(VLOOKUP(Z956,Dex!$P$22:$Q$276,2,FALSE),"")</f>
        <v/>
      </c>
      <c r="AB956" s="7397"/>
      <c r="AC956" s="7389"/>
      <c r="AD956" s="7394" t="s">
        <v>518</v>
      </c>
      <c r="AE956" s="7395">
        <f t="array" ref="AE956">IFERROR(VLOOKUP(AD938,Dex!$B$3:$N1219,13,FALSE),"")</f>
        <v>110</v>
      </c>
      <c r="AF956" s="7396" t="str">
        <f t="array" ref="AF956">IFERROR(VLOOKUP(AE956,Dex!$P$22:$Q$276,2,FALSE),"")</f>
        <v/>
      </c>
      <c r="AG956" s="7397"/>
      <c r="AH956" s="7384"/>
      <c r="AI956" s="6747"/>
    </row>
    <row r="957" ht="16.5" customHeight="1">
      <c r="A957" s="6738"/>
      <c r="B957" s="7379"/>
      <c r="C957" s="7371"/>
      <c r="D957" s="7380"/>
      <c r="E957" s="7398" t="s">
        <v>519</v>
      </c>
      <c r="F957" s="630"/>
      <c r="G957" s="631"/>
      <c r="H957" s="7399">
        <v>171.0</v>
      </c>
      <c r="I957" s="7382"/>
      <c r="J957" s="7398" t="s">
        <v>519</v>
      </c>
      <c r="K957" s="630"/>
      <c r="L957" s="631"/>
      <c r="M957" s="7399">
        <v>136.0</v>
      </c>
      <c r="N957" s="7382"/>
      <c r="O957" s="7398" t="s">
        <v>519</v>
      </c>
      <c r="P957" s="630"/>
      <c r="Q957" s="631"/>
      <c r="R957" s="7399">
        <v>259.0</v>
      </c>
      <c r="S957" s="7383"/>
      <c r="T957" s="7398" t="s">
        <v>519</v>
      </c>
      <c r="U957" s="630"/>
      <c r="V957" s="631"/>
      <c r="W957" s="7399">
        <v>259.0</v>
      </c>
      <c r="X957" s="7383"/>
      <c r="Y957" s="7398" t="s">
        <v>519</v>
      </c>
      <c r="Z957" s="630"/>
      <c r="AA957" s="631"/>
      <c r="AB957" s="7399">
        <v>281.0</v>
      </c>
      <c r="AC957" s="7383"/>
      <c r="AD957" s="7398" t="s">
        <v>519</v>
      </c>
      <c r="AE957" s="630"/>
      <c r="AF957" s="631"/>
      <c r="AG957" s="7399">
        <v>281.0</v>
      </c>
      <c r="AH957" s="7384"/>
      <c r="AI957" s="6747"/>
    </row>
    <row r="958" ht="15.0" customHeight="1">
      <c r="A958" s="6738"/>
      <c r="B958" s="7400"/>
      <c r="C958" s="7401"/>
      <c r="D958" s="7402"/>
      <c r="E958" s="7401"/>
      <c r="F958" s="7401"/>
      <c r="G958" s="7401"/>
      <c r="H958" s="7401"/>
      <c r="I958" s="7402"/>
      <c r="J958" s="7403"/>
      <c r="K958" s="7403"/>
      <c r="L958" s="7403"/>
      <c r="M958" s="7401"/>
      <c r="N958" s="7402"/>
      <c r="O958" s="7403"/>
      <c r="P958" s="7403"/>
      <c r="Q958" s="7403"/>
      <c r="R958" s="7401"/>
      <c r="S958" s="7404"/>
      <c r="T958" s="7403"/>
      <c r="U958" s="7403"/>
      <c r="V958" s="7403"/>
      <c r="W958" s="7401"/>
      <c r="X958" s="7404"/>
      <c r="Y958" s="7405"/>
      <c r="Z958" s="7405"/>
      <c r="AA958" s="7405"/>
      <c r="AB958" s="7404"/>
      <c r="AC958" s="7404"/>
      <c r="AD958" s="7405"/>
      <c r="AE958" s="7405"/>
      <c r="AF958" s="7405"/>
      <c r="AG958" s="7404"/>
      <c r="AH958" s="7406"/>
      <c r="AI958" s="6747"/>
    </row>
    <row r="959" ht="15.0" customHeight="1">
      <c r="A959" s="6676"/>
      <c r="B959" s="7407"/>
      <c r="C959" s="7408"/>
      <c r="D959" s="7409"/>
      <c r="E959" s="7410"/>
      <c r="F959" s="7410"/>
      <c r="G959" s="7410"/>
      <c r="H959" s="7410"/>
      <c r="I959" s="7411"/>
      <c r="J959" s="7410"/>
      <c r="K959" s="7410"/>
      <c r="L959" s="7410"/>
      <c r="M959" s="7410"/>
      <c r="N959" s="7411"/>
      <c r="O959" s="7410"/>
      <c r="P959" s="7410"/>
      <c r="Q959" s="7410"/>
      <c r="R959" s="7410"/>
      <c r="S959" s="7411"/>
      <c r="T959" s="7410"/>
      <c r="U959" s="7410"/>
      <c r="V959" s="7410"/>
      <c r="W959" s="7410"/>
      <c r="X959" s="7411"/>
      <c r="Y959" s="7410"/>
      <c r="Z959" s="7410"/>
      <c r="AA959" s="7410"/>
      <c r="AB959" s="7410"/>
      <c r="AC959" s="7411"/>
      <c r="AD959" s="7412"/>
      <c r="AE959" s="7412"/>
      <c r="AF959" s="7412"/>
      <c r="AG959" s="7412"/>
      <c r="AH959" s="7413"/>
      <c r="AI959" s="6680"/>
    </row>
    <row r="960" ht="96.75" customHeight="1">
      <c r="A960" s="6676"/>
      <c r="B960" s="7414"/>
      <c r="C960" s="7415" t="str">
        <f>IMAGE("https://i.ibb.co/3NcSy5g/Aroma-Lady.png")</f>
        <v/>
      </c>
      <c r="D960" s="7416"/>
      <c r="E960" s="7417" t="str">
        <f t="array" ref="E960">IFERROR(VLOOKUP(E961,Dex!$B$3:$G1219,3,FALSE),"")</f>
        <v/>
      </c>
      <c r="F960" s="1945"/>
      <c r="G960" s="1945"/>
      <c r="H960" s="1946"/>
      <c r="I960" s="7418"/>
      <c r="J960" s="7417" t="str">
        <f t="array" ref="J960">IFERROR(VLOOKUP(J961,Dex!$B$3:$G1219,3,FALSE),"")</f>
        <v/>
      </c>
      <c r="K960" s="1945"/>
      <c r="L960" s="1945"/>
      <c r="M960" s="1946"/>
      <c r="N960" s="7418"/>
      <c r="O960" s="7417" t="str">
        <f t="array" ref="O960">IFERROR(VLOOKUP(O961,Dex!$B$3:$G1219,3,FALSE),"")</f>
        <v/>
      </c>
      <c r="P960" s="1945"/>
      <c r="Q960" s="1945"/>
      <c r="R960" s="1946"/>
      <c r="S960" s="7418"/>
      <c r="T960" s="7417" t="str">
        <f t="array" ref="T960">IFERROR(VLOOKUP(T961,Dex!$B$3:$G1219,3,FALSE),"")</f>
        <v/>
      </c>
      <c r="U960" s="1945"/>
      <c r="V960" s="1945"/>
      <c r="W960" s="1946"/>
      <c r="X960" s="7418"/>
      <c r="Y960" s="7417" t="str">
        <f t="array" ref="Y960">IFERROR(VLOOKUP(Y961,Dex!$B$3:$G1219,3,FALSE),"")</f>
        <v/>
      </c>
      <c r="Z960" s="1945"/>
      <c r="AA960" s="1945"/>
      <c r="AB960" s="1946"/>
      <c r="AC960" s="7419"/>
      <c r="AD960" s="7420"/>
      <c r="AE960" s="1285"/>
      <c r="AF960" s="1285"/>
      <c r="AG960" s="1286"/>
      <c r="AH960" s="7421"/>
      <c r="AI960" s="6680"/>
    </row>
    <row r="961" ht="18.75" customHeight="1">
      <c r="A961" s="6691"/>
      <c r="B961" s="7422"/>
      <c r="C961" s="7423" t="s">
        <v>2158</v>
      </c>
      <c r="D961" s="7424"/>
      <c r="E961" s="7425" t="s">
        <v>1794</v>
      </c>
      <c r="F961" s="7426"/>
      <c r="G961" s="7426"/>
      <c r="H961" s="7427"/>
      <c r="I961" s="7418"/>
      <c r="J961" s="7425" t="s">
        <v>1503</v>
      </c>
      <c r="K961" s="7426"/>
      <c r="L961" s="7426"/>
      <c r="M961" s="7427"/>
      <c r="N961" s="7418"/>
      <c r="O961" s="7425" t="s">
        <v>1277</v>
      </c>
      <c r="P961" s="7426"/>
      <c r="Q961" s="7426"/>
      <c r="R961" s="7427"/>
      <c r="S961" s="7418"/>
      <c r="T961" s="7425" t="s">
        <v>1121</v>
      </c>
      <c r="U961" s="7426"/>
      <c r="V961" s="7426"/>
      <c r="W961" s="7427"/>
      <c r="X961" s="7418"/>
      <c r="Y961" s="7425" t="s">
        <v>1120</v>
      </c>
      <c r="Z961" s="7426"/>
      <c r="AA961" s="7426"/>
      <c r="AB961" s="7427"/>
      <c r="AC961" s="7428"/>
      <c r="AD961" s="7429"/>
      <c r="AE961" s="1285"/>
      <c r="AF961" s="1285"/>
      <c r="AG961" s="1286"/>
      <c r="AH961" s="7430"/>
      <c r="AI961" s="6699"/>
    </row>
    <row r="962">
      <c r="A962" s="6676"/>
      <c r="B962" s="7414"/>
      <c r="C962" s="1638"/>
      <c r="D962" s="7431"/>
      <c r="E962" s="7432" t="s">
        <v>729</v>
      </c>
      <c r="F962" s="7433"/>
      <c r="G962" s="7433"/>
      <c r="H962" s="7434"/>
      <c r="I962" s="7418"/>
      <c r="J962" s="7432" t="s">
        <v>967</v>
      </c>
      <c r="K962" s="7433"/>
      <c r="L962" s="7433"/>
      <c r="M962" s="7434"/>
      <c r="N962" s="7418"/>
      <c r="O962" s="7432" t="s">
        <v>729</v>
      </c>
      <c r="P962" s="7433"/>
      <c r="Q962" s="7433"/>
      <c r="R962" s="7434"/>
      <c r="S962" s="7418"/>
      <c r="T962" s="7432" t="s">
        <v>729</v>
      </c>
      <c r="U962" s="7433"/>
      <c r="V962" s="7433"/>
      <c r="W962" s="7434"/>
      <c r="X962" s="7418"/>
      <c r="Y962" s="7432" t="s">
        <v>729</v>
      </c>
      <c r="Z962" s="7433"/>
      <c r="AA962" s="7433"/>
      <c r="AB962" s="7434"/>
      <c r="AC962" s="7419"/>
      <c r="AD962" s="7420"/>
      <c r="AE962" s="1285"/>
      <c r="AF962" s="1285"/>
      <c r="AG962" s="1286"/>
      <c r="AH962" s="7421"/>
      <c r="AI962" s="6680"/>
    </row>
    <row r="963" ht="25.5" customHeight="1">
      <c r="A963" s="6676"/>
      <c r="B963" s="7414"/>
      <c r="C963" s="1646"/>
      <c r="D963" s="7435"/>
      <c r="E963" s="7436"/>
      <c r="F963" s="7437" t="str">
        <f t="array" ref="F963">IFERROR(VLOOKUP(E961,Dex!$B$3:$H1219,5,FALSE),"")</f>
        <v/>
      </c>
      <c r="G963" s="7438" t="str">
        <f t="array" ref="G963">IFERROR(VLOOKUP(E961,Dex!$B$3:$H1219,7,FALSE),"")</f>
        <v/>
      </c>
      <c r="H963" s="7439"/>
      <c r="I963" s="7440"/>
      <c r="J963" s="7436"/>
      <c r="K963" s="7437" t="str">
        <f t="array" ref="K963">IFERROR(VLOOKUP(J961,Dex!$B$3:$H1219,5,FALSE),"")</f>
        <v/>
      </c>
      <c r="L963" s="7438" t="str">
        <f t="array" ref="L963">IFERROR(VLOOKUP(J961,Dex!$B$3:$H1219,7,FALSE),"")</f>
        <v/>
      </c>
      <c r="M963" s="7439"/>
      <c r="N963" s="7440"/>
      <c r="O963" s="7436"/>
      <c r="P963" s="7437" t="str">
        <f t="array" ref="P963">IFERROR(VLOOKUP(O961,Dex!$B$3:$H1219,5,FALSE),"")</f>
        <v/>
      </c>
      <c r="Q963" s="7438" t="str">
        <f t="array" ref="Q963">IFERROR(VLOOKUP(O961,Dex!$B$3:$H1219,7,FALSE),"")</f>
        <v/>
      </c>
      <c r="R963" s="7439"/>
      <c r="S963" s="7440"/>
      <c r="T963" s="7436"/>
      <c r="U963" s="7437" t="str">
        <f t="array" ref="U963">IFERROR(VLOOKUP(T961,Dex!$B$3:$H1219,5,FALSE),"")</f>
        <v/>
      </c>
      <c r="V963" s="7438" t="str">
        <f t="array" ref="V963">IFERROR(VLOOKUP(T961,Dex!$B$3:$H1219,7,FALSE),"")</f>
        <v/>
      </c>
      <c r="W963" s="7439"/>
      <c r="X963" s="7440"/>
      <c r="Y963" s="7436"/>
      <c r="Z963" s="7437" t="str">
        <f t="array" ref="Z963">IFERROR(VLOOKUP(Y961,Dex!$B$3:$H1219,5,FALSE),"")</f>
        <v/>
      </c>
      <c r="AA963" s="7438" t="str">
        <f t="array" ref="AA963">IFERROR(VLOOKUP(Y961,Dex!$B$3:$H1219,7,FALSE),"")</f>
        <v/>
      </c>
      <c r="AB963" s="7439"/>
      <c r="AC963" s="7435"/>
      <c r="AD963" s="7420"/>
      <c r="AE963" s="1285"/>
      <c r="AF963" s="1285"/>
      <c r="AG963" s="1286"/>
      <c r="AH963" s="7421"/>
      <c r="AI963" s="6680"/>
    </row>
    <row r="964" ht="2.25" customHeight="1">
      <c r="A964" s="6676"/>
      <c r="B964" s="7414"/>
      <c r="C964" s="7441"/>
      <c r="D964" s="7435"/>
      <c r="E964" s="7442"/>
      <c r="F964" s="7443"/>
      <c r="G964" s="7443"/>
      <c r="H964" s="7444"/>
      <c r="I964" s="7440"/>
      <c r="J964" s="7442"/>
      <c r="K964" s="7443"/>
      <c r="L964" s="7443"/>
      <c r="M964" s="7444"/>
      <c r="N964" s="7440"/>
      <c r="O964" s="7442"/>
      <c r="P964" s="7443"/>
      <c r="Q964" s="7443"/>
      <c r="R964" s="7444"/>
      <c r="S964" s="7440"/>
      <c r="T964" s="7442"/>
      <c r="U964" s="7443"/>
      <c r="V964" s="7443"/>
      <c r="W964" s="7444"/>
      <c r="X964" s="7440"/>
      <c r="Y964" s="7442"/>
      <c r="Z964" s="7443"/>
      <c r="AA964" s="7443"/>
      <c r="AB964" s="7444"/>
      <c r="AC964" s="7435"/>
      <c r="AD964" s="7435"/>
      <c r="AE964" s="7435"/>
      <c r="AF964" s="7435"/>
      <c r="AG964" s="7435"/>
      <c r="AH964" s="7421"/>
      <c r="AI964" s="6680"/>
    </row>
    <row r="965" ht="20.25" customHeight="1">
      <c r="A965" s="6676"/>
      <c r="B965" s="7414"/>
      <c r="C965" s="1314"/>
      <c r="D965" s="7420"/>
      <c r="E965" s="7445" t="s">
        <v>565</v>
      </c>
      <c r="F965" s="1320"/>
      <c r="G965" s="1320"/>
      <c r="H965" s="1321"/>
      <c r="I965" s="7418"/>
      <c r="J965" s="7445" t="s">
        <v>532</v>
      </c>
      <c r="K965" s="1320"/>
      <c r="L965" s="1320"/>
      <c r="M965" s="1321"/>
      <c r="N965" s="7418"/>
      <c r="O965" s="7445" t="s">
        <v>532</v>
      </c>
      <c r="P965" s="1320"/>
      <c r="Q965" s="1320"/>
      <c r="R965" s="1321"/>
      <c r="S965" s="7418"/>
      <c r="T965" s="7445" t="s">
        <v>564</v>
      </c>
      <c r="U965" s="1320"/>
      <c r="V965" s="1320"/>
      <c r="W965" s="1321"/>
      <c r="X965" s="7418"/>
      <c r="Y965" s="7445" t="s">
        <v>482</v>
      </c>
      <c r="Z965" s="1320"/>
      <c r="AA965" s="1320"/>
      <c r="AB965" s="1321"/>
      <c r="AC965" s="7419"/>
      <c r="AD965" s="7420"/>
      <c r="AE965" s="1285"/>
      <c r="AF965" s="1285"/>
      <c r="AG965" s="1286"/>
      <c r="AH965" s="7421"/>
      <c r="AI965" s="6680"/>
    </row>
    <row r="966">
      <c r="A966" s="6676"/>
      <c r="B966" s="7414"/>
      <c r="C966" s="1314"/>
      <c r="D966" s="7420"/>
      <c r="E966" s="7446" t="s">
        <v>2159</v>
      </c>
      <c r="F966" s="1285"/>
      <c r="G966" s="1285"/>
      <c r="H966" s="1304"/>
      <c r="I966" s="7418"/>
      <c r="J966" s="7447" t="s">
        <v>1132</v>
      </c>
      <c r="K966" s="1285"/>
      <c r="L966" s="1285"/>
      <c r="M966" s="1304"/>
      <c r="N966" s="7418"/>
      <c r="O966" s="7447" t="s">
        <v>755</v>
      </c>
      <c r="P966" s="1285"/>
      <c r="Q966" s="1285"/>
      <c r="R966" s="1304"/>
      <c r="S966" s="7418"/>
      <c r="T966" s="7447" t="s">
        <v>1125</v>
      </c>
      <c r="U966" s="1285"/>
      <c r="V966" s="1285"/>
      <c r="W966" s="1304"/>
      <c r="X966" s="7418"/>
      <c r="Y966" s="7447" t="s">
        <v>1124</v>
      </c>
      <c r="Z966" s="1285"/>
      <c r="AA966" s="1285"/>
      <c r="AB966" s="1304"/>
      <c r="AC966" s="7419"/>
      <c r="AD966" s="7420"/>
      <c r="AE966" s="1285"/>
      <c r="AF966" s="1285"/>
      <c r="AG966" s="1286"/>
      <c r="AH966" s="7421"/>
      <c r="AI966" s="6680"/>
    </row>
    <row r="967" ht="20.25" customHeight="1">
      <c r="A967" s="6676"/>
      <c r="B967" s="7414"/>
      <c r="C967" s="1314"/>
      <c r="D967" s="7420"/>
      <c r="E967" s="7448" t="s">
        <v>1796</v>
      </c>
      <c r="F967" s="1325"/>
      <c r="G967" s="1326"/>
      <c r="H967" s="7449" t="str">
        <f>IMAGE("https://raw.githubusercontent.com/msikma/pokesprite/master/items/mega-stone/venusaurite.png",3)</f>
        <v/>
      </c>
      <c r="I967" s="7429"/>
      <c r="J967" s="7448" t="s">
        <v>1616</v>
      </c>
      <c r="K967" s="1325"/>
      <c r="L967" s="1326"/>
      <c r="M967" s="7449" t="str">
        <f>IMAGE("https://raw.githubusercontent.com/msikma/pokesprite/master/items/gem/rock.png",3)</f>
        <v/>
      </c>
      <c r="N967" s="7429"/>
      <c r="O967" s="7448" t="s">
        <v>573</v>
      </c>
      <c r="P967" s="1325"/>
      <c r="Q967" s="1326"/>
      <c r="R967" s="7449" t="str">
        <f>IMAGE("https://raw.githubusercontent.com/msikma/pokesprite/master/items/hold-item/focus-sash.png",3)</f>
        <v/>
      </c>
      <c r="S967" s="7429"/>
      <c r="T967" s="7448" t="s">
        <v>1445</v>
      </c>
      <c r="U967" s="1325"/>
      <c r="V967" s="1326"/>
      <c r="W967" s="7449" t="str">
        <f>IMAGE("https://raw.githubusercontent.com/msikma/pokesprite/master/items/hold-item/choice-scarf.png",3)</f>
        <v/>
      </c>
      <c r="X967" s="7429"/>
      <c r="Y967" s="7448" t="s">
        <v>733</v>
      </c>
      <c r="Z967" s="1325"/>
      <c r="AA967" s="1326"/>
      <c r="AB967" s="7449" t="str">
        <f>IMAGE("https://raw.githubusercontent.com/msikma/pokesprite/master/items/hold-item/leftovers.png",3)</f>
        <v/>
      </c>
      <c r="AC967" s="7435"/>
      <c r="AD967" s="7420"/>
      <c r="AE967" s="1285"/>
      <c r="AF967" s="1285"/>
      <c r="AG967" s="1286"/>
      <c r="AH967" s="7421"/>
      <c r="AI967" s="6680"/>
    </row>
    <row r="968" ht="20.25" customHeight="1">
      <c r="A968" s="6676"/>
      <c r="B968" s="7414"/>
      <c r="C968" s="1318"/>
      <c r="D968" s="7420"/>
      <c r="E968" s="7445" t="s">
        <v>715</v>
      </c>
      <c r="F968" s="1320"/>
      <c r="G968" s="7450"/>
      <c r="H968" s="7451" t="str">
        <f>IMAGE("https://raw.githubusercontent.com/msikma/pokesprite/master/misc/types/gen8/dragon.png",4,20,20)</f>
        <v/>
      </c>
      <c r="I968" s="7429"/>
      <c r="J968" s="7445" t="s">
        <v>1137</v>
      </c>
      <c r="K968" s="1320"/>
      <c r="L968" s="7450"/>
      <c r="M968" s="7451" t="str">
        <f>IMAGE("https://raw.githubusercontent.com/msikma/pokesprite/master/misc/types/gen8/rock.png",4,20,20)</f>
        <v/>
      </c>
      <c r="N968" s="7429"/>
      <c r="O968" s="7445" t="s">
        <v>549</v>
      </c>
      <c r="P968" s="1320"/>
      <c r="Q968" s="7450"/>
      <c r="R968" s="7451" t="str">
        <f>IMAGE("https://raw.githubusercontent.com/msikma/pokesprite/master/misc/types/gen8/ground.png",4,20,20)</f>
        <v/>
      </c>
      <c r="S968" s="7429"/>
      <c r="T968" s="7445" t="s">
        <v>619</v>
      </c>
      <c r="U968" s="1320"/>
      <c r="V968" s="7450"/>
      <c r="W968" s="7451" t="str">
        <f>IMAGE("https://raw.githubusercontent.com/msikma/pokesprite/master/misc/types/gen8/fire.png",4,20,20)</f>
        <v/>
      </c>
      <c r="X968" s="7429"/>
      <c r="Y968" s="7445" t="s">
        <v>170</v>
      </c>
      <c r="Z968" s="1320"/>
      <c r="AA968" s="7450"/>
      <c r="AB968" s="7451" t="str">
        <f>IMAGE("https://raw.githubusercontent.com/msikma/pokesprite/master/misc/types/gen8/psychic.png",4,20,20)</f>
        <v/>
      </c>
      <c r="AC968" s="7435"/>
      <c r="AD968" s="7420"/>
      <c r="AE968" s="1285"/>
      <c r="AF968" s="1285"/>
      <c r="AG968" s="1286"/>
      <c r="AH968" s="7421"/>
      <c r="AI968" s="6680"/>
    </row>
    <row r="969" ht="20.25" customHeight="1">
      <c r="A969" s="6676"/>
      <c r="B969" s="7414"/>
      <c r="C969" s="7452"/>
      <c r="D969" s="7420"/>
      <c r="E969" s="7447" t="s">
        <v>1797</v>
      </c>
      <c r="F969" s="1285"/>
      <c r="G969" s="1286"/>
      <c r="H969" s="7453" t="str">
        <f>IMAGE("https://raw.githubusercontent.com/msikma/pokesprite/master/misc/types/gen8/grass.png",4,20,20)</f>
        <v/>
      </c>
      <c r="I969" s="7429"/>
      <c r="J969" s="7447" t="s">
        <v>694</v>
      </c>
      <c r="K969" s="1285"/>
      <c r="L969" s="1286"/>
      <c r="M969" s="7453" t="str">
        <f>IMAGE("https://raw.githubusercontent.com/msikma/pokesprite/master/misc/types/gen8/fire.png",4,20,20)</f>
        <v/>
      </c>
      <c r="N969" s="7429"/>
      <c r="O969" s="7447" t="s">
        <v>621</v>
      </c>
      <c r="P969" s="1285"/>
      <c r="Q969" s="1286"/>
      <c r="R969" s="7453" t="str">
        <f>IMAGE("https://raw.githubusercontent.com/msikma/pokesprite/master/misc/types/gen8/rock.png",4,20,20)</f>
        <v/>
      </c>
      <c r="S969" s="7429"/>
      <c r="T969" s="7447" t="s">
        <v>647</v>
      </c>
      <c r="U969" s="1285"/>
      <c r="V969" s="1286"/>
      <c r="W969" s="7453" t="str">
        <f>IMAGE("https://raw.githubusercontent.com/msikma/pokesprite/master/misc/types/gen8/ghost.png",4,20,20)</f>
        <v/>
      </c>
      <c r="X969" s="7429"/>
      <c r="Y969" s="7447" t="s">
        <v>217</v>
      </c>
      <c r="Z969" s="1285"/>
      <c r="AA969" s="1286"/>
      <c r="AB969" s="7453" t="str">
        <f>IMAGE("https://raw.githubusercontent.com/msikma/pokesprite/master/misc/types/gen8/normal.png",4,20,20)</f>
        <v/>
      </c>
      <c r="AC969" s="7435"/>
      <c r="AD969" s="7420"/>
      <c r="AE969" s="1285"/>
      <c r="AF969" s="1285"/>
      <c r="AG969" s="1286"/>
      <c r="AH969" s="7421"/>
      <c r="AI969" s="6680"/>
    </row>
    <row r="970" ht="20.25" customHeight="1">
      <c r="A970" s="6676"/>
      <c r="B970" s="7414"/>
      <c r="C970" s="7452"/>
      <c r="D970" s="7420"/>
      <c r="E970" s="7447" t="s">
        <v>554</v>
      </c>
      <c r="F970" s="1285"/>
      <c r="G970" s="1286"/>
      <c r="H970" s="7453" t="str">
        <f>IMAGE("https://raw.githubusercontent.com/msikma/pokesprite/master/misc/types/gen8/dark.png",4,20,20)</f>
        <v/>
      </c>
      <c r="I970" s="7429"/>
      <c r="J970" s="7447" t="s">
        <v>1488</v>
      </c>
      <c r="K970" s="1285"/>
      <c r="L970" s="1286"/>
      <c r="M970" s="7453" t="str">
        <f>IMAGE("https://raw.githubusercontent.com/msikma/pokesprite/master/misc/types/gen8/rock.png",4,20,20)</f>
        <v/>
      </c>
      <c r="N970" s="7429"/>
      <c r="O970" s="7447" t="s">
        <v>739</v>
      </c>
      <c r="P970" s="1285"/>
      <c r="Q970" s="1286"/>
      <c r="R970" s="7453" t="str">
        <f>IMAGE("https://raw.githubusercontent.com/msikma/pokesprite/master/misc/types/gen8/steel.png",4,20,20)</f>
        <v/>
      </c>
      <c r="S970" s="7429"/>
      <c r="T970" s="7447" t="s">
        <v>775</v>
      </c>
      <c r="U970" s="1285"/>
      <c r="V970" s="1286"/>
      <c r="W970" s="7453" t="str">
        <f>IMAGE("https://raw.githubusercontent.com/msikma/pokesprite/master/misc/types/gen8/grass.png",4,20,20)</f>
        <v/>
      </c>
      <c r="X970" s="7429"/>
      <c r="Y970" s="7447" t="s">
        <v>786</v>
      </c>
      <c r="Z970" s="1285"/>
      <c r="AA970" s="1286"/>
      <c r="AB970" s="7453" t="str">
        <f>IMAGE("https://raw.githubusercontent.com/msikma/pokesprite/master/misc/types/gen8/fairy.png",4,20,20)</f>
        <v/>
      </c>
      <c r="AC970" s="7435"/>
      <c r="AD970" s="7420"/>
      <c r="AE970" s="1285"/>
      <c r="AF970" s="1285"/>
      <c r="AG970" s="1286"/>
      <c r="AH970" s="7421"/>
      <c r="AI970" s="6680"/>
    </row>
    <row r="971" ht="21.0" customHeight="1">
      <c r="A971" s="6676"/>
      <c r="B971" s="7414"/>
      <c r="C971" s="7452"/>
      <c r="D971" s="7420"/>
      <c r="E971" s="7454" t="s">
        <v>1165</v>
      </c>
      <c r="F971" s="1333"/>
      <c r="G971" s="1333"/>
      <c r="H971" s="7455"/>
      <c r="I971" s="7418"/>
      <c r="J971" s="7454" t="s">
        <v>583</v>
      </c>
      <c r="K971" s="1333"/>
      <c r="L971" s="7456"/>
      <c r="M971" s="7457" t="str">
        <f>IMAGE("https://raw.githubusercontent.com/msikma/pokesprite/master/misc/types/gen8/fighting.png",4,20,20)</f>
        <v/>
      </c>
      <c r="N971" s="7429"/>
      <c r="O971" s="7454" t="s">
        <v>287</v>
      </c>
      <c r="P971" s="1333"/>
      <c r="Q971" s="7456"/>
      <c r="R971" s="7457" t="str">
        <f>IMAGE("https://raw.githubusercontent.com/msikma/pokesprite/master/misc/types/gen8/normal.png",4,20,20)</f>
        <v/>
      </c>
      <c r="S971" s="7429"/>
      <c r="T971" s="7458" t="s">
        <v>1265</v>
      </c>
      <c r="U971" s="1333"/>
      <c r="V971" s="7456"/>
      <c r="W971" s="7457" t="str">
        <f>IMAGE("https://raw.githubusercontent.com/msikma/pokesprite/master/misc/types/gen8/ground.png",4,20,20)</f>
        <v/>
      </c>
      <c r="X971" s="7429"/>
      <c r="Y971" s="7454" t="s">
        <v>743</v>
      </c>
      <c r="Z971" s="1333"/>
      <c r="AA971" s="7456"/>
      <c r="AB971" s="7457" t="str">
        <f>IMAGE("https://raw.githubusercontent.com/msikma/pokesprite/master/misc/types/gen8/water.png",4,20,20)</f>
        <v/>
      </c>
      <c r="AC971" s="7435"/>
      <c r="AD971" s="7420"/>
      <c r="AE971" s="1285"/>
      <c r="AF971" s="1285"/>
      <c r="AG971" s="1286"/>
      <c r="AH971" s="7421"/>
      <c r="AI971" s="6680"/>
    </row>
    <row r="972" ht="3.0" customHeight="1">
      <c r="A972" s="6738"/>
      <c r="B972" s="7459"/>
      <c r="C972" s="7460"/>
      <c r="D972" s="7461"/>
      <c r="E972" s="7462"/>
      <c r="F972" s="7462"/>
      <c r="G972" s="7462"/>
      <c r="H972" s="7462"/>
      <c r="I972" s="7461"/>
      <c r="J972" s="7463"/>
      <c r="K972" s="7463"/>
      <c r="L972" s="7463"/>
      <c r="M972" s="7464"/>
      <c r="N972" s="7461"/>
      <c r="O972" s="7463"/>
      <c r="P972" s="7463"/>
      <c r="Q972" s="7463"/>
      <c r="R972" s="7464"/>
      <c r="S972" s="7461"/>
      <c r="T972" s="7463"/>
      <c r="U972" s="7463"/>
      <c r="V972" s="7463"/>
      <c r="W972" s="7464"/>
      <c r="X972" s="7461"/>
      <c r="Y972" s="7465"/>
      <c r="Z972" s="7465"/>
      <c r="AA972" s="7465"/>
      <c r="AB972" s="7466"/>
      <c r="AC972" s="7466"/>
      <c r="AD972" s="7466"/>
      <c r="AE972" s="7466"/>
      <c r="AF972" s="7466"/>
      <c r="AG972" s="7460"/>
      <c r="AH972" s="7467"/>
      <c r="AI972" s="6747"/>
    </row>
    <row r="973" ht="16.5" customHeight="1">
      <c r="A973" s="6738"/>
      <c r="B973" s="7468"/>
      <c r="C973" s="7469"/>
      <c r="D973" s="7470"/>
      <c r="E973" s="7471" t="s">
        <v>512</v>
      </c>
      <c r="F973" s="606"/>
      <c r="G973" s="606"/>
      <c r="H973" s="607"/>
      <c r="I973" s="7472"/>
      <c r="J973" s="7471" t="s">
        <v>512</v>
      </c>
      <c r="K973" s="606"/>
      <c r="L973" s="606"/>
      <c r="M973" s="607"/>
      <c r="N973" s="7472"/>
      <c r="O973" s="7471" t="s">
        <v>512</v>
      </c>
      <c r="P973" s="606"/>
      <c r="Q973" s="606"/>
      <c r="R973" s="607"/>
      <c r="S973" s="7473"/>
      <c r="T973" s="7471" t="s">
        <v>512</v>
      </c>
      <c r="U973" s="606"/>
      <c r="V973" s="606"/>
      <c r="W973" s="607"/>
      <c r="X973" s="7473"/>
      <c r="Y973" s="7471" t="s">
        <v>512</v>
      </c>
      <c r="Z973" s="606"/>
      <c r="AA973" s="606"/>
      <c r="AB973" s="607"/>
      <c r="AC973" s="7474"/>
      <c r="AD973" s="7460"/>
      <c r="AE973" s="7460"/>
      <c r="AF973" s="7460"/>
      <c r="AG973" s="7460"/>
      <c r="AH973" s="7475"/>
      <c r="AI973" s="6747"/>
    </row>
    <row r="974" ht="16.5" customHeight="1">
      <c r="A974" s="6738"/>
      <c r="B974" s="7468"/>
      <c r="C974" s="7469"/>
      <c r="D974" s="7470"/>
      <c r="E974" s="7476" t="s">
        <v>513</v>
      </c>
      <c r="F974" s="7477">
        <f t="array" ref="F974">IFERROR(VLOOKUP(E961,Dex!$B$3:$N1219,8,FALSE),"")</f>
        <v>70</v>
      </c>
      <c r="G974" s="7478" t="str">
        <f t="array" ref="G974">IFERROR(VLOOKUP(F974,Dex!$P$22:$Q$276,2,FALSE),"")</f>
        <v/>
      </c>
      <c r="H974" s="7479"/>
      <c r="I974" s="7470"/>
      <c r="J974" s="7476" t="s">
        <v>513</v>
      </c>
      <c r="K974" s="7477">
        <f t="array" ref="K974">IFERROR(VLOOKUP(J961,Dex!$B$3:$N1219,8,FALSE),"")</f>
        <v>95</v>
      </c>
      <c r="L974" s="7478" t="str">
        <f t="array" ref="L974">IFERROR(VLOOKUP(K974,Dex!$P$22:$Q$276,2,FALSE),"")</f>
        <v/>
      </c>
      <c r="M974" s="7479"/>
      <c r="N974" s="7470"/>
      <c r="O974" s="7476" t="s">
        <v>513</v>
      </c>
      <c r="P974" s="7477">
        <f t="array" ref="P974">IFERROR(VLOOKUP(O961,Dex!$B$3:$N1219,8,FALSE),"")</f>
        <v>110</v>
      </c>
      <c r="Q974" s="7478" t="str">
        <f t="array" ref="Q974">IFERROR(VLOOKUP(P974,Dex!$P$22:$Q$276,2,FALSE),"")</f>
        <v/>
      </c>
      <c r="R974" s="7479"/>
      <c r="S974" s="7474"/>
      <c r="T974" s="7476" t="s">
        <v>513</v>
      </c>
      <c r="U974" s="7477">
        <f t="array" ref="U974">IFERROR(VLOOKUP(T961,Dex!$B$3:$N1219,8,FALSE),"")</f>
        <v>60</v>
      </c>
      <c r="V974" s="7478" t="str">
        <f t="array" ref="V974">IFERROR(VLOOKUP(U974,Dex!$P$22:$Q$276,2,FALSE),"")</f>
        <v/>
      </c>
      <c r="W974" s="7479"/>
      <c r="X974" s="7474"/>
      <c r="Y974" s="7476" t="s">
        <v>513</v>
      </c>
      <c r="Z974" s="7477">
        <f t="array" ref="Z974">IFERROR(VLOOKUP(Y961,Dex!$B$3:$N1219,8,FALSE),"")</f>
        <v>80</v>
      </c>
      <c r="AA974" s="7478" t="str">
        <f t="array" ref="AA974">IFERROR(VLOOKUP(Z974,Dex!$P$22:$Q$276,2,FALSE),"")</f>
        <v/>
      </c>
      <c r="AB974" s="7479"/>
      <c r="AC974" s="7474"/>
      <c r="AD974" s="7460"/>
      <c r="AE974" s="7460"/>
      <c r="AF974" s="7460"/>
      <c r="AG974" s="7460"/>
      <c r="AH974" s="7475"/>
      <c r="AI974" s="6747"/>
    </row>
    <row r="975" ht="16.5" customHeight="1">
      <c r="A975" s="6738"/>
      <c r="B975" s="7468"/>
      <c r="C975" s="7469"/>
      <c r="D975" s="7470"/>
      <c r="E975" s="7480" t="s">
        <v>514</v>
      </c>
      <c r="F975" s="7481">
        <f t="array" ref="F975">IFERROR(VLOOKUP(E961,Dex!$B$3:$N1219,9,FALSE),"")</f>
        <v>145</v>
      </c>
      <c r="G975" s="7482" t="str">
        <f t="array" ref="G975">IFERROR(VLOOKUP(F975,Dex!$P$22:$Q$276,2,FALSE),"")</f>
        <v/>
      </c>
      <c r="H975" s="7483"/>
      <c r="I975" s="7470"/>
      <c r="J975" s="7480" t="s">
        <v>514</v>
      </c>
      <c r="K975" s="7481">
        <f t="array" ref="K975">IFERROR(VLOOKUP(J961,Dex!$B$3:$N1219,9,FALSE),"")</f>
        <v>125</v>
      </c>
      <c r="L975" s="7482" t="str">
        <f t="array" ref="L975">IFERROR(VLOOKUP(K975,Dex!$P$22:$Q$276,2,FALSE),"")</f>
        <v/>
      </c>
      <c r="M975" s="7483"/>
      <c r="N975" s="7470"/>
      <c r="O975" s="7480" t="s">
        <v>514</v>
      </c>
      <c r="P975" s="7481">
        <f t="array" ref="P975">IFERROR(VLOOKUP(O961,Dex!$B$3:$N1219,9,FALSE),"")</f>
        <v>135</v>
      </c>
      <c r="Q975" s="7482" t="str">
        <f t="array" ref="Q975">IFERROR(VLOOKUP(P975,Dex!$P$22:$Q$276,2,FALSE),"")</f>
        <v/>
      </c>
      <c r="R975" s="7483"/>
      <c r="S975" s="7474"/>
      <c r="T975" s="7480" t="s">
        <v>514</v>
      </c>
      <c r="U975" s="7481">
        <f t="array" ref="U975">IFERROR(VLOOKUP(T961,Dex!$B$3:$N1219,9,FALSE),"")</f>
        <v>55</v>
      </c>
      <c r="V975" s="7482" t="str">
        <f t="array" ref="V975">IFERROR(VLOOKUP(U975,Dex!$P$22:$Q$276,2,FALSE),"")</f>
        <v/>
      </c>
      <c r="W975" s="7483"/>
      <c r="X975" s="7474"/>
      <c r="Y975" s="7480" t="s">
        <v>514</v>
      </c>
      <c r="Z975" s="7481">
        <f t="array" ref="Z975">IFERROR(VLOOKUP(Y961,Dex!$B$3:$N1219,9,FALSE),"")</f>
        <v>74</v>
      </c>
      <c r="AA975" s="7482" t="str">
        <f t="array" ref="AA975">IFERROR(VLOOKUP(Z975,Dex!$P$22:$Q$276,2,FALSE),"")</f>
        <v/>
      </c>
      <c r="AB975" s="7483"/>
      <c r="AC975" s="7474"/>
      <c r="AD975" s="7460"/>
      <c r="AE975" s="7460"/>
      <c r="AF975" s="7460"/>
      <c r="AG975" s="7460"/>
      <c r="AH975" s="7475"/>
      <c r="AI975" s="6747"/>
    </row>
    <row r="976" ht="16.5" customHeight="1">
      <c r="A976" s="6738"/>
      <c r="B976" s="7468"/>
      <c r="C976" s="7460"/>
      <c r="D976" s="7470"/>
      <c r="E976" s="7480" t="s">
        <v>515</v>
      </c>
      <c r="F976" s="7481">
        <f t="array" ref="F976">IFERROR(VLOOKUP(E961,Dex!$B$3:$N1219,10,FALSE),"")</f>
        <v>90</v>
      </c>
      <c r="G976" s="7482" t="str">
        <f t="array" ref="G976">IFERROR(VLOOKUP(F976,Dex!$P$22:$Q$276,2,FALSE),"")</f>
        <v/>
      </c>
      <c r="H976" s="7483"/>
      <c r="I976" s="7470"/>
      <c r="J976" s="7480" t="s">
        <v>515</v>
      </c>
      <c r="K976" s="7481">
        <f t="array" ref="K976">IFERROR(VLOOKUP(J961,Dex!$B$3:$N1219,10,FALSE),"")</f>
        <v>80</v>
      </c>
      <c r="L976" s="7482" t="str">
        <f t="array" ref="L976">IFERROR(VLOOKUP(K976,Dex!$P$22:$Q$276,2,FALSE),"")</f>
        <v/>
      </c>
      <c r="M976" s="7483"/>
      <c r="N976" s="7470"/>
      <c r="O976" s="7480" t="s">
        <v>515</v>
      </c>
      <c r="P976" s="7481">
        <f t="array" ref="P976">IFERROR(VLOOKUP(O961,Dex!$B$3:$N1219,10,FALSE),"")</f>
        <v>60</v>
      </c>
      <c r="Q976" s="7482" t="str">
        <f t="array" ref="Q976">IFERROR(VLOOKUP(P976,Dex!$P$22:$Q$276,2,FALSE),"")</f>
        <v/>
      </c>
      <c r="R976" s="7483"/>
      <c r="S976" s="7474"/>
      <c r="T976" s="7480" t="s">
        <v>515</v>
      </c>
      <c r="U976" s="7481">
        <f t="array" ref="U976">IFERROR(VLOOKUP(T961,Dex!$B$3:$N1219,10,FALSE),"")</f>
        <v>90</v>
      </c>
      <c r="V976" s="7482" t="str">
        <f t="array" ref="V976">IFERROR(VLOOKUP(U976,Dex!$P$22:$Q$276,2,FALSE),"")</f>
        <v/>
      </c>
      <c r="W976" s="7483"/>
      <c r="X976" s="7474"/>
      <c r="Y976" s="7480" t="s">
        <v>515</v>
      </c>
      <c r="Z976" s="7481">
        <f t="array" ref="Z976">IFERROR(VLOOKUP(Y961,Dex!$B$3:$N1219,10,FALSE),"")</f>
        <v>74</v>
      </c>
      <c r="AA976" s="7482" t="str">
        <f t="array" ref="AA976">IFERROR(VLOOKUP(Z976,Dex!$P$22:$Q$276,2,FALSE),"")</f>
        <v/>
      </c>
      <c r="AB976" s="7483"/>
      <c r="AC976" s="7474"/>
      <c r="AD976" s="7460"/>
      <c r="AE976" s="7460"/>
      <c r="AF976" s="7460"/>
      <c r="AG976" s="7460"/>
      <c r="AH976" s="7475"/>
      <c r="AI976" s="6747"/>
    </row>
    <row r="977" ht="16.5" customHeight="1">
      <c r="A977" s="6738"/>
      <c r="B977" s="7468"/>
      <c r="C977" s="7460"/>
      <c r="D977" s="7470"/>
      <c r="E977" s="7480" t="s">
        <v>516</v>
      </c>
      <c r="F977" s="7481">
        <f t="array" ref="F977">IFERROR(VLOOKUP(E961,Dex!$B$3:$N1219,11,FALSE),"")</f>
        <v>135</v>
      </c>
      <c r="G977" s="7482" t="str">
        <f t="array" ref="G977">IFERROR(VLOOKUP(F977,Dex!$P$22:$Q$276,2,FALSE),"")</f>
        <v/>
      </c>
      <c r="H977" s="7483"/>
      <c r="I977" s="7470"/>
      <c r="J977" s="7480" t="s">
        <v>516</v>
      </c>
      <c r="K977" s="7481">
        <f t="array" ref="K977">IFERROR(VLOOKUP(J961,Dex!$B$3:$N1219,11,FALSE),"")</f>
        <v>85</v>
      </c>
      <c r="L977" s="7482" t="str">
        <f t="array" ref="L977">IFERROR(VLOOKUP(K977,Dex!$P$22:$Q$276,2,FALSE),"")</f>
        <v/>
      </c>
      <c r="M977" s="7483"/>
      <c r="N977" s="7470"/>
      <c r="O977" s="7480" t="s">
        <v>516</v>
      </c>
      <c r="P977" s="7481">
        <f t="array" ref="P977">IFERROR(VLOOKUP(O961,Dex!$B$3:$N1219,11,FALSE),"")</f>
        <v>50</v>
      </c>
      <c r="Q977" s="7482" t="str">
        <f t="array" ref="Q977">IFERROR(VLOOKUP(P977,Dex!$P$22:$Q$276,2,FALSE),"")</f>
        <v/>
      </c>
      <c r="R977" s="7483"/>
      <c r="S977" s="7474"/>
      <c r="T977" s="7480" t="s">
        <v>516</v>
      </c>
      <c r="U977" s="7481">
        <f t="array" ref="U977">IFERROR(VLOOKUP(T961,Dex!$B$3:$N1219,11,FALSE),"")</f>
        <v>145</v>
      </c>
      <c r="V977" s="7482" t="str">
        <f t="array" ref="V977">IFERROR(VLOOKUP(U977,Dex!$P$22:$Q$276,2,FALSE),"")</f>
        <v/>
      </c>
      <c r="W977" s="7483"/>
      <c r="X977" s="7474"/>
      <c r="Y977" s="7480" t="s">
        <v>516</v>
      </c>
      <c r="Z977" s="7481">
        <f t="array" ref="Z977">IFERROR(VLOOKUP(Y961,Dex!$B$3:$N1219,11,FALSE),"")</f>
        <v>126</v>
      </c>
      <c r="AA977" s="7482" t="str">
        <f t="array" ref="AA977">IFERROR(VLOOKUP(Z977,Dex!$P$22:$Q$276,2,FALSE),"")</f>
        <v/>
      </c>
      <c r="AB977" s="7483"/>
      <c r="AC977" s="7474"/>
      <c r="AD977" s="7460"/>
      <c r="AE977" s="7460"/>
      <c r="AF977" s="7460"/>
      <c r="AG977" s="7460"/>
      <c r="AH977" s="7475"/>
      <c r="AI977" s="6747"/>
    </row>
    <row r="978" ht="16.5" customHeight="1">
      <c r="A978" s="6738"/>
      <c r="B978" s="7468"/>
      <c r="C978" s="7460"/>
      <c r="D978" s="7470"/>
      <c r="E978" s="7480" t="s">
        <v>517</v>
      </c>
      <c r="F978" s="7481">
        <f t="array" ref="F978">IFERROR(VLOOKUP(E961,Dex!$B$3:$N1219,12,FALSE),"")</f>
        <v>70</v>
      </c>
      <c r="G978" s="7482" t="str">
        <f t="array" ref="G978">IFERROR(VLOOKUP(F978,Dex!$P$22:$Q$276,2,FALSE),"")</f>
        <v/>
      </c>
      <c r="H978" s="7483"/>
      <c r="I978" s="7470"/>
      <c r="J978" s="7480" t="s">
        <v>517</v>
      </c>
      <c r="K978" s="7481">
        <f t="array" ref="K978">IFERROR(VLOOKUP(J961,Dex!$B$3:$N1219,12,FALSE),"")</f>
        <v>80</v>
      </c>
      <c r="L978" s="7482" t="str">
        <f t="array" ref="L978">IFERROR(VLOOKUP(K978,Dex!$P$22:$Q$276,2,FALSE),"")</f>
        <v/>
      </c>
      <c r="M978" s="7483"/>
      <c r="N978" s="7470"/>
      <c r="O978" s="7480" t="s">
        <v>517</v>
      </c>
      <c r="P978" s="7481">
        <f t="array" ref="P978">IFERROR(VLOOKUP(O961,Dex!$B$3:$N1219,12,FALSE),"")</f>
        <v>65</v>
      </c>
      <c r="Q978" s="7482" t="str">
        <f t="array" ref="Q978">IFERROR(VLOOKUP(P978,Dex!$P$22:$Q$276,2,FALSE),"")</f>
        <v/>
      </c>
      <c r="R978" s="7483"/>
      <c r="S978" s="7474"/>
      <c r="T978" s="7480" t="s">
        <v>517</v>
      </c>
      <c r="U978" s="7481">
        <f t="array" ref="U978">IFERROR(VLOOKUP(T961,Dex!$B$3:$N1219,12,FALSE),"")</f>
        <v>90</v>
      </c>
      <c r="V978" s="7482" t="str">
        <f t="array" ref="V978">IFERROR(VLOOKUP(U978,Dex!$P$22:$Q$276,2,FALSE),"")</f>
        <v/>
      </c>
      <c r="W978" s="7483"/>
      <c r="X978" s="7474"/>
      <c r="Y978" s="7480" t="s">
        <v>517</v>
      </c>
      <c r="Z978" s="7481">
        <f t="array" ref="Z978">IFERROR(VLOOKUP(Y961,Dex!$B$3:$N1219,12,FALSE),"")</f>
        <v>116</v>
      </c>
      <c r="AA978" s="7482" t="str">
        <f t="array" ref="AA978">IFERROR(VLOOKUP(Z978,Dex!$P$22:$Q$276,2,FALSE),"")</f>
        <v/>
      </c>
      <c r="AB978" s="7483"/>
      <c r="AC978" s="7474"/>
      <c r="AD978" s="7460"/>
      <c r="AE978" s="7460"/>
      <c r="AF978" s="7460"/>
      <c r="AG978" s="7460"/>
      <c r="AH978" s="7475"/>
      <c r="AI978" s="6747"/>
    </row>
    <row r="979" ht="16.5" customHeight="1">
      <c r="A979" s="6738"/>
      <c r="B979" s="7468"/>
      <c r="C979" s="7460"/>
      <c r="D979" s="7470"/>
      <c r="E979" s="7484" t="s">
        <v>518</v>
      </c>
      <c r="F979" s="7485">
        <f t="array" ref="F979">IFERROR(VLOOKUP(E961,Dex!$B$3:$N1219,13,FALSE),"")</f>
        <v>105</v>
      </c>
      <c r="G979" s="7482" t="str">
        <f t="array" ref="G979">IFERROR(VLOOKUP(F979,Dex!$P$22:$Q$276,2,FALSE),"")</f>
        <v/>
      </c>
      <c r="H979" s="7483"/>
      <c r="I979" s="7470"/>
      <c r="J979" s="7484" t="s">
        <v>518</v>
      </c>
      <c r="K979" s="7485">
        <f t="array" ref="K979">IFERROR(VLOOKUP(J961,Dex!$B$3:$N1219,13,FALSE),"")</f>
        <v>90</v>
      </c>
      <c r="L979" s="7482" t="str">
        <f t="array" ref="L979">IFERROR(VLOOKUP(K979,Dex!$P$22:$Q$276,2,FALSE),"")</f>
        <v/>
      </c>
      <c r="M979" s="7483"/>
      <c r="N979" s="7470"/>
      <c r="O979" s="7484" t="s">
        <v>518</v>
      </c>
      <c r="P979" s="7485">
        <f t="array" ref="P979">IFERROR(VLOOKUP(O961,Dex!$B$3:$N1219,13,FALSE),"")</f>
        <v>88</v>
      </c>
      <c r="Q979" s="7482" t="str">
        <f t="array" ref="Q979">IFERROR(VLOOKUP(P979,Dex!$P$22:$Q$276,2,FALSE),"")</f>
        <v/>
      </c>
      <c r="R979" s="7483"/>
      <c r="S979" s="7474"/>
      <c r="T979" s="7484" t="s">
        <v>518</v>
      </c>
      <c r="U979" s="7485">
        <f t="array" ref="U979">IFERROR(VLOOKUP(T961,Dex!$B$3:$N1219,13,FALSE),"")</f>
        <v>80</v>
      </c>
      <c r="V979" s="7482" t="str">
        <f t="array" ref="V979">IFERROR(VLOOKUP(U979,Dex!$P$22:$Q$276,2,FALSE),"")</f>
        <v/>
      </c>
      <c r="W979" s="7483"/>
      <c r="X979" s="7474"/>
      <c r="Y979" s="7484" t="s">
        <v>518</v>
      </c>
      <c r="Z979" s="7485">
        <f t="array" ref="Z979">IFERROR(VLOOKUP(Y961,Dex!$B$3:$N1219,13,FALSE),"")</f>
        <v>60</v>
      </c>
      <c r="AA979" s="7482" t="str">
        <f t="array" ref="AA979">IFERROR(VLOOKUP(Z979,Dex!$P$22:$Q$276,2,FALSE),"")</f>
        <v/>
      </c>
      <c r="AB979" s="7483"/>
      <c r="AC979" s="7474"/>
      <c r="AD979" s="7460"/>
      <c r="AE979" s="7460"/>
      <c r="AF979" s="7460"/>
      <c r="AG979" s="7460"/>
      <c r="AH979" s="7475"/>
      <c r="AI979" s="6747"/>
    </row>
    <row r="980" ht="16.5" customHeight="1">
      <c r="A980" s="6738"/>
      <c r="B980" s="7468"/>
      <c r="C980" s="7460"/>
      <c r="D980" s="7470"/>
      <c r="E980" s="7486" t="s">
        <v>519</v>
      </c>
      <c r="F980" s="630"/>
      <c r="G980" s="631"/>
      <c r="H980" s="7487">
        <v>270.0</v>
      </c>
      <c r="I980" s="7472"/>
      <c r="J980" s="7486" t="s">
        <v>519</v>
      </c>
      <c r="K980" s="630"/>
      <c r="L980" s="631"/>
      <c r="M980" s="7487">
        <v>234.0</v>
      </c>
      <c r="N980" s="7472"/>
      <c r="O980" s="7486" t="s">
        <v>519</v>
      </c>
      <c r="P980" s="630"/>
      <c r="Q980" s="631"/>
      <c r="R980" s="7487">
        <v>233.0</v>
      </c>
      <c r="S980" s="7474"/>
      <c r="T980" s="7488" t="s">
        <v>519</v>
      </c>
      <c r="U980" s="635"/>
      <c r="V980" s="636"/>
      <c r="W980" s="7489">
        <v>215.0</v>
      </c>
      <c r="X980" s="7473"/>
      <c r="Y980" s="7486" t="s">
        <v>519</v>
      </c>
      <c r="Z980" s="630"/>
      <c r="AA980" s="631"/>
      <c r="AB980" s="7487">
        <v>156.0</v>
      </c>
      <c r="AC980" s="7474"/>
      <c r="AD980" s="7460"/>
      <c r="AE980" s="7460"/>
      <c r="AF980" s="7460"/>
      <c r="AG980" s="7460"/>
      <c r="AH980" s="7475"/>
      <c r="AI980" s="6747"/>
    </row>
    <row r="981" ht="16.5" customHeight="1">
      <c r="A981" s="6676"/>
      <c r="B981" s="7414"/>
      <c r="C981" s="7452"/>
      <c r="D981" s="7435"/>
      <c r="E981" s="7490"/>
      <c r="F981" s="7490"/>
      <c r="G981" s="7490"/>
      <c r="H981" s="7490"/>
      <c r="I981" s="7440"/>
      <c r="J981" s="7412"/>
      <c r="K981" s="7412"/>
      <c r="L981" s="7412"/>
      <c r="M981" s="7491"/>
      <c r="N981" s="7440"/>
      <c r="O981" s="7412"/>
      <c r="P981" s="7412"/>
      <c r="Q981" s="7412"/>
      <c r="R981" s="7491"/>
      <c r="S981" s="7440"/>
      <c r="T981" s="7492" t="s">
        <v>1449</v>
      </c>
      <c r="U981" s="643"/>
      <c r="V981" s="644"/>
      <c r="W981" s="6787">
        <f>ROUNDDOWN(W980*1.5,0)</f>
        <v>322</v>
      </c>
      <c r="X981" s="7440"/>
      <c r="Y981" s="7412"/>
      <c r="Z981" s="7412"/>
      <c r="AA981" s="7412"/>
      <c r="AB981" s="7491"/>
      <c r="AC981" s="7435"/>
      <c r="AD981" s="7435"/>
      <c r="AE981" s="7435"/>
      <c r="AF981" s="7435"/>
      <c r="AG981" s="7460"/>
      <c r="AH981" s="7421"/>
      <c r="AI981" s="6680"/>
    </row>
    <row r="982" ht="15.0" customHeight="1">
      <c r="A982" s="6676"/>
      <c r="B982" s="7493"/>
      <c r="C982" s="7494"/>
      <c r="D982" s="7494"/>
      <c r="E982" s="7494"/>
      <c r="F982" s="7494"/>
      <c r="G982" s="7494"/>
      <c r="H982" s="7494"/>
      <c r="I982" s="7494"/>
      <c r="J982" s="7494"/>
      <c r="K982" s="7494"/>
      <c r="L982" s="7494"/>
      <c r="M982" s="7494"/>
      <c r="N982" s="7494"/>
      <c r="O982" s="7494"/>
      <c r="P982" s="7494"/>
      <c r="Q982" s="7494"/>
      <c r="R982" s="7494"/>
      <c r="S982" s="7494"/>
      <c r="T982" s="7494"/>
      <c r="U982" s="7494"/>
      <c r="V982" s="7494"/>
      <c r="W982" s="7494"/>
      <c r="X982" s="7494"/>
      <c r="Y982" s="7494"/>
      <c r="Z982" s="7494"/>
      <c r="AA982" s="7494"/>
      <c r="AB982" s="7494"/>
      <c r="AC982" s="7494"/>
      <c r="AD982" s="7494"/>
      <c r="AE982" s="7494"/>
      <c r="AF982" s="7494"/>
      <c r="AG982" s="7494"/>
      <c r="AH982" s="7495"/>
      <c r="AI982" s="6680"/>
    </row>
    <row r="983" ht="15.0" customHeight="1">
      <c r="A983" s="6676"/>
      <c r="B983" s="7496"/>
      <c r="C983" s="7497"/>
      <c r="D983" s="7497"/>
      <c r="E983" s="7498"/>
      <c r="F983" s="7498"/>
      <c r="G983" s="7498"/>
      <c r="H983" s="7498"/>
      <c r="I983" s="7497"/>
      <c r="J983" s="7498"/>
      <c r="K983" s="7498"/>
      <c r="L983" s="7498"/>
      <c r="M983" s="7498"/>
      <c r="N983" s="7497"/>
      <c r="O983" s="7498"/>
      <c r="P983" s="7498"/>
      <c r="Q983" s="7498"/>
      <c r="R983" s="7498"/>
      <c r="S983" s="7497"/>
      <c r="T983" s="7498"/>
      <c r="U983" s="7498"/>
      <c r="V983" s="7498"/>
      <c r="W983" s="7498"/>
      <c r="X983" s="7497"/>
      <c r="Y983" s="7498"/>
      <c r="Z983" s="7498"/>
      <c r="AA983" s="7498"/>
      <c r="AB983" s="7498"/>
      <c r="AC983" s="7497"/>
      <c r="AD983" s="7497"/>
      <c r="AE983" s="7497"/>
      <c r="AF983" s="7497"/>
      <c r="AG983" s="7497"/>
      <c r="AH983" s="7499"/>
      <c r="AI983" s="6680"/>
    </row>
    <row r="984" ht="96.75" customHeight="1">
      <c r="A984" s="6676"/>
      <c r="B984" s="7500"/>
      <c r="C984" s="7501" t="str">
        <f>IMAGE("https://i.ibb.co/dbpWnbD/Tuber.png")</f>
        <v/>
      </c>
      <c r="D984" s="7502"/>
      <c r="E984" s="7503" t="str">
        <f t="array" ref="E984">IFERROR(VLOOKUP(E985,Dex!$B$3:$G1219,3,FALSE),"")</f>
        <v/>
      </c>
      <c r="F984" s="1945"/>
      <c r="G984" s="1945"/>
      <c r="H984" s="1946"/>
      <c r="I984" s="7504"/>
      <c r="J984" s="7503" t="str">
        <f t="array" ref="J984">IFERROR(VLOOKUP(J985,Dex!$B$3:$G1219,3,FALSE),"")</f>
        <v/>
      </c>
      <c r="K984" s="1945"/>
      <c r="L984" s="1945"/>
      <c r="M984" s="1946"/>
      <c r="N984" s="7504"/>
      <c r="O984" s="7503" t="str">
        <f t="array" ref="O984">IFERROR(VLOOKUP(O985,Dex!$B$3:$G1219,3,FALSE),"")</f>
        <v/>
      </c>
      <c r="P984" s="1945"/>
      <c r="Q984" s="1945"/>
      <c r="R984" s="1946"/>
      <c r="S984" s="7504"/>
      <c r="T984" s="7503" t="str">
        <f t="array" ref="T984">IFERROR(VLOOKUP(T985,Dex!$B$3:$G1219,3,FALSE),"")</f>
        <v/>
      </c>
      <c r="U984" s="1945"/>
      <c r="V984" s="1945"/>
      <c r="W984" s="1946"/>
      <c r="X984" s="7504"/>
      <c r="Y984" s="7503" t="str">
        <f t="array" ref="Y984">IFERROR(VLOOKUP(Y985,Dex!$B$3:$G1219,3,FALSE),"")</f>
        <v/>
      </c>
      <c r="Z984" s="1945"/>
      <c r="AA984" s="1945"/>
      <c r="AB984" s="1946"/>
      <c r="AC984" s="7505"/>
      <c r="AD984" s="7506"/>
      <c r="AE984" s="7507"/>
      <c r="AF984" s="7507"/>
      <c r="AG984" s="7508"/>
      <c r="AH984" s="7509"/>
      <c r="AI984" s="6680"/>
    </row>
    <row r="985" ht="18.75" customHeight="1">
      <c r="A985" s="6691"/>
      <c r="B985" s="7510"/>
      <c r="C985" s="7511" t="s">
        <v>2160</v>
      </c>
      <c r="D985" s="7512"/>
      <c r="E985" s="7513" t="s">
        <v>2161</v>
      </c>
      <c r="F985" s="7514"/>
      <c r="G985" s="7514"/>
      <c r="H985" s="7515"/>
      <c r="I985" s="7504"/>
      <c r="J985" s="7513" t="s">
        <v>2162</v>
      </c>
      <c r="K985" s="7514"/>
      <c r="L985" s="7514"/>
      <c r="M985" s="7515"/>
      <c r="N985" s="7504"/>
      <c r="O985" s="7513" t="s">
        <v>2092</v>
      </c>
      <c r="P985" s="7514"/>
      <c r="Q985" s="7514"/>
      <c r="R985" s="7515"/>
      <c r="S985" s="7504"/>
      <c r="T985" s="7513" t="s">
        <v>2163</v>
      </c>
      <c r="U985" s="7514"/>
      <c r="V985" s="7514"/>
      <c r="W985" s="7515"/>
      <c r="X985" s="7504"/>
      <c r="Y985" s="7513" t="s">
        <v>1122</v>
      </c>
      <c r="Z985" s="7514"/>
      <c r="AA985" s="7514"/>
      <c r="AB985" s="7515"/>
      <c r="AC985" s="7516"/>
      <c r="AD985" s="7517"/>
      <c r="AE985" s="7507"/>
      <c r="AF985" s="7507"/>
      <c r="AG985" s="7508"/>
      <c r="AH985" s="7518"/>
      <c r="AI985" s="6699"/>
    </row>
    <row r="986">
      <c r="A986" s="6676"/>
      <c r="B986" s="7500"/>
      <c r="C986" s="1638"/>
      <c r="D986" s="7519"/>
      <c r="E986" s="7520" t="s">
        <v>729</v>
      </c>
      <c r="F986" s="7521"/>
      <c r="G986" s="7521"/>
      <c r="H986" s="7522"/>
      <c r="I986" s="7504"/>
      <c r="J986" s="7520" t="s">
        <v>729</v>
      </c>
      <c r="K986" s="7521"/>
      <c r="L986" s="7521"/>
      <c r="M986" s="7522"/>
      <c r="N986" s="7504"/>
      <c r="O986" s="7520" t="s">
        <v>729</v>
      </c>
      <c r="P986" s="7521"/>
      <c r="Q986" s="7521"/>
      <c r="R986" s="7522"/>
      <c r="S986" s="7504"/>
      <c r="T986" s="7520" t="s">
        <v>729</v>
      </c>
      <c r="U986" s="7521"/>
      <c r="V986" s="7521"/>
      <c r="W986" s="7522"/>
      <c r="X986" s="7504"/>
      <c r="Y986" s="7520" t="s">
        <v>729</v>
      </c>
      <c r="Z986" s="7521"/>
      <c r="AA986" s="7521"/>
      <c r="AB986" s="7522"/>
      <c r="AC986" s="7505"/>
      <c r="AD986" s="7506"/>
      <c r="AE986" s="7507"/>
      <c r="AF986" s="7507"/>
      <c r="AG986" s="7508"/>
      <c r="AH986" s="7509"/>
      <c r="AI986" s="6680"/>
    </row>
    <row r="987" ht="25.5" customHeight="1">
      <c r="A987" s="6676"/>
      <c r="B987" s="7500"/>
      <c r="C987" s="1646"/>
      <c r="D987" s="7523"/>
      <c r="E987" s="7524"/>
      <c r="F987" s="7525" t="str">
        <f t="array" ref="F987">IFERROR(VLOOKUP(E985,Dex!$B$3:$H1219,5,FALSE),"")</f>
        <v/>
      </c>
      <c r="G987" s="7526" t="str">
        <f t="array" ref="G987">IFERROR(VLOOKUP(E985,Dex!$B$3:$H1219,7,FALSE),"")</f>
        <v/>
      </c>
      <c r="H987" s="7527"/>
      <c r="I987" s="7528"/>
      <c r="J987" s="7524"/>
      <c r="K987" s="7529" t="str">
        <f t="array" ref="K987">IFERROR(VLOOKUP(J985,Dex!$B$3:$H1219,5,FALSE),"")</f>
        <v/>
      </c>
      <c r="L987" s="7530"/>
      <c r="M987" s="7527"/>
      <c r="N987" s="7528"/>
      <c r="O987" s="7524"/>
      <c r="P987" s="7525" t="str">
        <f t="array" ref="P987">IFERROR(VLOOKUP(O985,Dex!$B$3:$H1219,5,FALSE),"")</f>
        <v/>
      </c>
      <c r="Q987" s="7526" t="str">
        <f t="array" ref="Q987">IFERROR(VLOOKUP(O985,Dex!$B$3:$H1219,7,FALSE),"")</f>
        <v/>
      </c>
      <c r="R987" s="7527"/>
      <c r="S987" s="7528"/>
      <c r="T987" s="7524"/>
      <c r="U987" s="7525" t="str">
        <f t="array" ref="U987">IFERROR(VLOOKUP(T985,Dex!$B$3:$H1219,5,FALSE),"")</f>
        <v/>
      </c>
      <c r="V987" s="7526" t="str">
        <f t="array" ref="V987">IFERROR(VLOOKUP(T985,Dex!$B$3:$H1219,7,FALSE),"")</f>
        <v/>
      </c>
      <c r="W987" s="7527"/>
      <c r="X987" s="7528"/>
      <c r="Y987" s="7524"/>
      <c r="Z987" s="7525" t="str">
        <f t="array" ref="Z987">IFERROR(VLOOKUP(Y985,Dex!$B$3:$H1219,5,FALSE),"")</f>
        <v/>
      </c>
      <c r="AA987" s="7526" t="str">
        <f t="array" ref="AA987">IFERROR(VLOOKUP(Y985,Dex!$B$3:$H1219,7,FALSE),"")</f>
        <v/>
      </c>
      <c r="AB987" s="7527"/>
      <c r="AC987" s="7523"/>
      <c r="AD987" s="7506"/>
      <c r="AE987" s="7507"/>
      <c r="AF987" s="7507"/>
      <c r="AG987" s="7508"/>
      <c r="AH987" s="7509"/>
      <c r="AI987" s="6680"/>
    </row>
    <row r="988" ht="2.25" customHeight="1">
      <c r="A988" s="6676"/>
      <c r="B988" s="7500"/>
      <c r="C988" s="7531"/>
      <c r="D988" s="7523"/>
      <c r="E988" s="7532"/>
      <c r="F988" s="7533"/>
      <c r="G988" s="7533"/>
      <c r="H988" s="7534"/>
      <c r="I988" s="7528"/>
      <c r="J988" s="7532"/>
      <c r="K988" s="7533"/>
      <c r="L988" s="7533"/>
      <c r="M988" s="7534"/>
      <c r="N988" s="7528"/>
      <c r="O988" s="7532"/>
      <c r="P988" s="7533"/>
      <c r="Q988" s="7533"/>
      <c r="R988" s="7534"/>
      <c r="S988" s="7528"/>
      <c r="T988" s="7532"/>
      <c r="U988" s="7533"/>
      <c r="V988" s="7533"/>
      <c r="W988" s="7534"/>
      <c r="X988" s="7528"/>
      <c r="Y988" s="7532"/>
      <c r="Z988" s="7533"/>
      <c r="AA988" s="7533"/>
      <c r="AB988" s="7534"/>
      <c r="AC988" s="7523"/>
      <c r="AD988" s="7523"/>
      <c r="AE988" s="7523"/>
      <c r="AF988" s="7523"/>
      <c r="AG988" s="7523"/>
      <c r="AH988" s="7509"/>
      <c r="AI988" s="6680"/>
    </row>
    <row r="989" ht="20.25" customHeight="1">
      <c r="A989" s="6676"/>
      <c r="B989" s="7500"/>
      <c r="C989" s="7535"/>
      <c r="D989" s="7506"/>
      <c r="E989" s="7536" t="s">
        <v>532</v>
      </c>
      <c r="F989" s="7537"/>
      <c r="G989" s="7537"/>
      <c r="H989" s="7538"/>
      <c r="I989" s="7504"/>
      <c r="J989" s="7536" t="s">
        <v>532</v>
      </c>
      <c r="K989" s="7537"/>
      <c r="L989" s="7537"/>
      <c r="M989" s="7538"/>
      <c r="N989" s="7504"/>
      <c r="O989" s="7536" t="s">
        <v>482</v>
      </c>
      <c r="P989" s="7537"/>
      <c r="Q989" s="7537"/>
      <c r="R989" s="7538"/>
      <c r="S989" s="7504"/>
      <c r="T989" s="7536" t="s">
        <v>531</v>
      </c>
      <c r="U989" s="7537"/>
      <c r="V989" s="7537"/>
      <c r="W989" s="7538"/>
      <c r="X989" s="7504"/>
      <c r="Y989" s="7536" t="s">
        <v>564</v>
      </c>
      <c r="Z989" s="7537"/>
      <c r="AA989" s="7537"/>
      <c r="AB989" s="7538"/>
      <c r="AC989" s="7505"/>
      <c r="AD989" s="7506"/>
      <c r="AE989" s="7507"/>
      <c r="AF989" s="7507"/>
      <c r="AG989" s="7508"/>
      <c r="AH989" s="7509"/>
      <c r="AI989" s="6680"/>
    </row>
    <row r="990">
      <c r="A990" s="6676"/>
      <c r="B990" s="7500"/>
      <c r="C990" s="7539"/>
      <c r="D990" s="7506"/>
      <c r="E990" s="7540" t="s">
        <v>603</v>
      </c>
      <c r="F990" s="7507"/>
      <c r="G990" s="7507"/>
      <c r="H990" s="7541"/>
      <c r="I990" s="7504"/>
      <c r="J990" s="7540" t="s">
        <v>56</v>
      </c>
      <c r="K990" s="7507"/>
      <c r="L990" s="7507"/>
      <c r="M990" s="7541"/>
      <c r="N990" s="7504"/>
      <c r="O990" s="7542" t="s">
        <v>2164</v>
      </c>
      <c r="P990" s="7507"/>
      <c r="Q990" s="7507"/>
      <c r="R990" s="7541"/>
      <c r="S990" s="7504"/>
      <c r="T990" s="7540" t="s">
        <v>1748</v>
      </c>
      <c r="U990" s="7507"/>
      <c r="V990" s="7507"/>
      <c r="W990" s="7541"/>
      <c r="X990" s="7504"/>
      <c r="Y990" s="7540" t="s">
        <v>484</v>
      </c>
      <c r="Z990" s="7507"/>
      <c r="AA990" s="7507"/>
      <c r="AB990" s="7541"/>
      <c r="AC990" s="7505"/>
      <c r="AD990" s="7506"/>
      <c r="AE990" s="7507"/>
      <c r="AF990" s="7507"/>
      <c r="AG990" s="7508"/>
      <c r="AH990" s="7509"/>
      <c r="AI990" s="6680"/>
    </row>
    <row r="991" ht="20.25" customHeight="1">
      <c r="A991" s="6676"/>
      <c r="B991" s="7500"/>
      <c r="C991" s="7539"/>
      <c r="D991" s="7506"/>
      <c r="E991" s="7543" t="s">
        <v>895</v>
      </c>
      <c r="F991" s="7544"/>
      <c r="G991" s="7545"/>
      <c r="H991" s="7546" t="str">
        <f>IMAGE("https://raw.githubusercontent.com/msikma/pokesprite/master/items/berry/salac.png",3)</f>
        <v/>
      </c>
      <c r="I991" s="7517"/>
      <c r="J991" s="7543" t="s">
        <v>541</v>
      </c>
      <c r="K991" s="7544"/>
      <c r="L991" s="7545"/>
      <c r="M991" s="7546" t="str">
        <f>IMAGE("https://raw.githubusercontent.com/msikma/pokesprite/master/items/hold-item/life-orb.png",3)</f>
        <v/>
      </c>
      <c r="N991" s="7517"/>
      <c r="O991" s="7543" t="s">
        <v>2094</v>
      </c>
      <c r="P991" s="7544"/>
      <c r="Q991" s="7545"/>
      <c r="R991" s="7546" t="str">
        <f>IMAGE("https://raw.githubusercontent.com/msikma/pokesprite/master/items/mega-stone/slowbronite.png",3)</f>
        <v/>
      </c>
      <c r="S991" s="7517"/>
      <c r="T991" s="7543" t="s">
        <v>541</v>
      </c>
      <c r="U991" s="7544"/>
      <c r="V991" s="7545"/>
      <c r="W991" s="7546" t="str">
        <f>IMAGE("https://raw.githubusercontent.com/msikma/pokesprite/master/items/hold-item/life-orb.png",3)</f>
        <v/>
      </c>
      <c r="X991" s="7517"/>
      <c r="Y991" s="7543" t="s">
        <v>1743</v>
      </c>
      <c r="Z991" s="7544"/>
      <c r="AA991" s="7545"/>
      <c r="AB991" s="7546" t="str">
        <f>IMAGE("https://raw.githubusercontent.com/msikma/pokesprite/master/items/z-crystals/waterium-z--held.png",3)</f>
        <v/>
      </c>
      <c r="AC991" s="7523"/>
      <c r="AD991" s="7506"/>
      <c r="AE991" s="7507"/>
      <c r="AF991" s="7507"/>
      <c r="AG991" s="7508"/>
      <c r="AH991" s="7509"/>
      <c r="AI991" s="6680"/>
    </row>
    <row r="992" ht="20.25" customHeight="1">
      <c r="A992" s="6676"/>
      <c r="B992" s="7500"/>
      <c r="C992" s="7539"/>
      <c r="D992" s="7506"/>
      <c r="E992" s="7547" t="s">
        <v>273</v>
      </c>
      <c r="F992" s="7537"/>
      <c r="G992" s="7548"/>
      <c r="H992" s="7549" t="str">
        <f>IMAGE("https://raw.githubusercontent.com/msikma/pokesprite/master/misc/types/gen8/normal.png",4,20,20)</f>
        <v/>
      </c>
      <c r="I992" s="7517"/>
      <c r="J992" s="7547" t="s">
        <v>845</v>
      </c>
      <c r="K992" s="7537"/>
      <c r="L992" s="7548"/>
      <c r="M992" s="7549" t="str">
        <f>IMAGE("https://raw.githubusercontent.com/msikma/pokesprite/master/misc/types/gen8/water.png",4,20,20)</f>
        <v/>
      </c>
      <c r="N992" s="7517"/>
      <c r="O992" s="7547" t="s">
        <v>252</v>
      </c>
      <c r="P992" s="7537"/>
      <c r="Q992" s="7548"/>
      <c r="R992" s="7549" t="str">
        <f>IMAGE("https://raw.githubusercontent.com/msikma/pokesprite/master/misc/types/gen8/steel.png",4,20,20)</f>
        <v/>
      </c>
      <c r="S992" s="7517"/>
      <c r="T992" s="7547" t="s">
        <v>649</v>
      </c>
      <c r="U992" s="7537"/>
      <c r="V992" s="7548"/>
      <c r="W992" s="7549" t="str">
        <f>IMAGE("https://raw.githubusercontent.com/msikma/pokesprite/master/misc/types/gen8/water.png",4,20,20)</f>
        <v/>
      </c>
      <c r="X992" s="7517"/>
      <c r="Y992" s="7547" t="s">
        <v>1211</v>
      </c>
      <c r="Z992" s="7537"/>
      <c r="AA992" s="7548"/>
      <c r="AB992" s="7549" t="str">
        <f>IMAGE("https://raw.githubusercontent.com/msikma/pokesprite/master/misc/types/gen8/fire.png",4,20,20)</f>
        <v/>
      </c>
      <c r="AC992" s="7523"/>
      <c r="AD992" s="7506"/>
      <c r="AE992" s="7507"/>
      <c r="AF992" s="7507"/>
      <c r="AG992" s="7508"/>
      <c r="AH992" s="7509"/>
      <c r="AI992" s="6680"/>
    </row>
    <row r="993" ht="20.25" customHeight="1">
      <c r="A993" s="6676"/>
      <c r="B993" s="7500"/>
      <c r="C993" s="7550"/>
      <c r="D993" s="7506"/>
      <c r="E993" s="7540" t="s">
        <v>974</v>
      </c>
      <c r="F993" s="7507"/>
      <c r="G993" s="7508"/>
      <c r="H993" s="7551" t="str">
        <f t="shared" ref="H993:H994" si="38">IMAGE("https://raw.githubusercontent.com/msikma/pokesprite/master/misc/types/gen8/water.png",4,20,20)</f>
        <v/>
      </c>
      <c r="I993" s="7517"/>
      <c r="J993" s="7540" t="s">
        <v>287</v>
      </c>
      <c r="K993" s="7507"/>
      <c r="L993" s="7508"/>
      <c r="M993" s="7551" t="str">
        <f>IMAGE("https://raw.githubusercontent.com/msikma/pokesprite/master/misc/types/gen8/normal.png",4,20,20)</f>
        <v/>
      </c>
      <c r="N993" s="7517"/>
      <c r="O993" s="7540" t="s">
        <v>170</v>
      </c>
      <c r="P993" s="7507"/>
      <c r="Q993" s="7508"/>
      <c r="R993" s="7551" t="str">
        <f>IMAGE("https://raw.githubusercontent.com/msikma/pokesprite/master/misc/types/gen8/psychic.png",4,20,20)</f>
        <v/>
      </c>
      <c r="S993" s="7517"/>
      <c r="T993" s="7540" t="s">
        <v>582</v>
      </c>
      <c r="U993" s="7507"/>
      <c r="V993" s="7508"/>
      <c r="W993" s="7551" t="str">
        <f>IMAGE("https://raw.githubusercontent.com/msikma/pokesprite/master/misc/types/gen8/ice.png",4,20,20)</f>
        <v/>
      </c>
      <c r="X993" s="7517"/>
      <c r="Y993" s="7540" t="s">
        <v>592</v>
      </c>
      <c r="Z993" s="7507"/>
      <c r="AA993" s="7508"/>
      <c r="AB993" s="7551" t="str">
        <f>IMAGE("https://raw.githubusercontent.com/msikma/pokesprite/master/misc/types/gen8/water.png",4,20,20)</f>
        <v/>
      </c>
      <c r="AC993" s="7523"/>
      <c r="AD993" s="7506"/>
      <c r="AE993" s="7507"/>
      <c r="AF993" s="7507"/>
      <c r="AG993" s="7508"/>
      <c r="AH993" s="7509"/>
      <c r="AI993" s="6680"/>
    </row>
    <row r="994" ht="20.25" customHeight="1">
      <c r="A994" s="6676"/>
      <c r="B994" s="7500"/>
      <c r="C994" s="7552"/>
      <c r="D994" s="7506"/>
      <c r="E994" s="7540" t="s">
        <v>760</v>
      </c>
      <c r="F994" s="7507"/>
      <c r="G994" s="7508"/>
      <c r="H994" s="7551" t="str">
        <f t="shared" si="38"/>
        <v/>
      </c>
      <c r="I994" s="7517"/>
      <c r="J994" s="7540" t="s">
        <v>583</v>
      </c>
      <c r="K994" s="7507"/>
      <c r="L994" s="7508"/>
      <c r="M994" s="7551" t="str">
        <f>IMAGE("https://raw.githubusercontent.com/msikma/pokesprite/master/misc/types/gen8/fighting.png",4,20,20)</f>
        <v/>
      </c>
      <c r="N994" s="7517"/>
      <c r="O994" s="7540" t="s">
        <v>720</v>
      </c>
      <c r="P994" s="7507"/>
      <c r="Q994" s="7508"/>
      <c r="R994" s="7551" t="str">
        <f>IMAGE("https://raw.githubusercontent.com/msikma/pokesprite/master/misc/types/gen8/fighting.png",4,20,20)</f>
        <v/>
      </c>
      <c r="S994" s="7517"/>
      <c r="T994" s="7540" t="s">
        <v>844</v>
      </c>
      <c r="U994" s="7507"/>
      <c r="V994" s="7508"/>
      <c r="W994" s="7551" t="str">
        <f t="shared" ref="W994:W995" si="39">IMAGE("https://raw.githubusercontent.com/msikma/pokesprite/master/misc/types/gen8/electric.png",4,20,20)</f>
        <v/>
      </c>
      <c r="X994" s="7517"/>
      <c r="Y994" s="7540" t="s">
        <v>666</v>
      </c>
      <c r="Z994" s="7507"/>
      <c r="AA994" s="7508"/>
      <c r="AB994" s="7551" t="str">
        <f t="shared" ref="AB994:AB995" si="40">IMAGE("https://raw.githubusercontent.com/msikma/pokesprite/master/misc/types/gen8/dark.png",4,20,20)</f>
        <v/>
      </c>
      <c r="AC994" s="7523"/>
      <c r="AD994" s="7506"/>
      <c r="AE994" s="7507"/>
      <c r="AF994" s="7507"/>
      <c r="AG994" s="7508"/>
      <c r="AH994" s="7509"/>
      <c r="AI994" s="6680"/>
    </row>
    <row r="995" ht="21.0" customHeight="1">
      <c r="A995" s="6676"/>
      <c r="B995" s="7500"/>
      <c r="C995" s="7552"/>
      <c r="D995" s="7506"/>
      <c r="E995" s="7553" t="s">
        <v>621</v>
      </c>
      <c r="F995" s="7554"/>
      <c r="G995" s="7555"/>
      <c r="H995" s="7556" t="str">
        <f>IMAGE("https://raw.githubusercontent.com/msikma/pokesprite/master/misc/types/gen8/rock.png",4,20,20)</f>
        <v/>
      </c>
      <c r="I995" s="7517"/>
      <c r="J995" s="7553" t="s">
        <v>974</v>
      </c>
      <c r="K995" s="7554"/>
      <c r="L995" s="7555"/>
      <c r="M995" s="7556" t="str">
        <f>IMAGE("https://raw.githubusercontent.com/msikma/pokesprite/master/misc/types/gen8/water.png",4,20,20)</f>
        <v/>
      </c>
      <c r="N995" s="7517"/>
      <c r="O995" s="7553" t="s">
        <v>647</v>
      </c>
      <c r="P995" s="7554"/>
      <c r="Q995" s="7555"/>
      <c r="R995" s="7556" t="str">
        <f>IMAGE("https://raw.githubusercontent.com/msikma/pokesprite/master/misc/types/gen8/ghost.png",4,20,20)</f>
        <v/>
      </c>
      <c r="S995" s="7517"/>
      <c r="T995" s="7553" t="s">
        <v>581</v>
      </c>
      <c r="U995" s="7554"/>
      <c r="V995" s="7555"/>
      <c r="W995" s="7556" t="str">
        <f t="shared" si="39"/>
        <v/>
      </c>
      <c r="X995" s="7517"/>
      <c r="Y995" s="7553" t="s">
        <v>259</v>
      </c>
      <c r="Z995" s="7554"/>
      <c r="AA995" s="7555"/>
      <c r="AB995" s="7556" t="str">
        <f t="shared" si="40"/>
        <v/>
      </c>
      <c r="AC995" s="7523"/>
      <c r="AD995" s="7506"/>
      <c r="AE995" s="7507"/>
      <c r="AF995" s="7507"/>
      <c r="AG995" s="7508"/>
      <c r="AH995" s="7509"/>
      <c r="AI995" s="6680"/>
    </row>
    <row r="996" ht="3.0" customHeight="1">
      <c r="A996" s="6738"/>
      <c r="B996" s="7557"/>
      <c r="C996" s="7552"/>
      <c r="D996" s="7558"/>
      <c r="E996" s="7559"/>
      <c r="F996" s="7559"/>
      <c r="G996" s="7559"/>
      <c r="H996" s="7560"/>
      <c r="I996" s="7558"/>
      <c r="J996" s="7561"/>
      <c r="K996" s="7561"/>
      <c r="L996" s="7561"/>
      <c r="M996" s="7560"/>
      <c r="N996" s="7558"/>
      <c r="O996" s="7561"/>
      <c r="P996" s="7561"/>
      <c r="Q996" s="7561"/>
      <c r="R996" s="7560"/>
      <c r="S996" s="7558"/>
      <c r="T996" s="7561"/>
      <c r="U996" s="7561"/>
      <c r="V996" s="7561"/>
      <c r="W996" s="7560"/>
      <c r="X996" s="7558"/>
      <c r="Y996" s="7562"/>
      <c r="Z996" s="7562"/>
      <c r="AA996" s="7562"/>
      <c r="AB996" s="7563"/>
      <c r="AC996" s="7563"/>
      <c r="AD996" s="7563"/>
      <c r="AE996" s="7563"/>
      <c r="AF996" s="7563"/>
      <c r="AG996" s="7550"/>
      <c r="AH996" s="7564"/>
      <c r="AI996" s="6747"/>
    </row>
    <row r="997" ht="16.5" customHeight="1">
      <c r="A997" s="6738"/>
      <c r="B997" s="7565"/>
      <c r="C997" s="7550"/>
      <c r="D997" s="7566"/>
      <c r="E997" s="7567" t="s">
        <v>512</v>
      </c>
      <c r="F997" s="606"/>
      <c r="G997" s="606"/>
      <c r="H997" s="607"/>
      <c r="I997" s="7568"/>
      <c r="J997" s="7567" t="s">
        <v>512</v>
      </c>
      <c r="K997" s="606"/>
      <c r="L997" s="606"/>
      <c r="M997" s="607"/>
      <c r="N997" s="7568"/>
      <c r="O997" s="7567" t="s">
        <v>512</v>
      </c>
      <c r="P997" s="606"/>
      <c r="Q997" s="606"/>
      <c r="R997" s="607"/>
      <c r="S997" s="7569"/>
      <c r="T997" s="7567" t="s">
        <v>512</v>
      </c>
      <c r="U997" s="606"/>
      <c r="V997" s="606"/>
      <c r="W997" s="607"/>
      <c r="X997" s="7569"/>
      <c r="Y997" s="7567" t="s">
        <v>512</v>
      </c>
      <c r="Z997" s="606"/>
      <c r="AA997" s="606"/>
      <c r="AB997" s="607"/>
      <c r="AC997" s="7570"/>
      <c r="AD997" s="7550"/>
      <c r="AE997" s="7550"/>
      <c r="AF997" s="7550"/>
      <c r="AG997" s="7550"/>
      <c r="AH997" s="7571"/>
      <c r="AI997" s="6747"/>
    </row>
    <row r="998" ht="16.5" customHeight="1">
      <c r="A998" s="6738"/>
      <c r="B998" s="7565"/>
      <c r="C998" s="7550"/>
      <c r="D998" s="7566"/>
      <c r="E998" s="7572" t="s">
        <v>513</v>
      </c>
      <c r="F998" s="7573">
        <f t="array" ref="F998">IFERROR(VLOOKUP(E985,Dex!$B$3:$N1219,8,FALSE),"")</f>
        <v>74</v>
      </c>
      <c r="G998" s="7574" t="str">
        <f t="array" ref="G998">IFERROR(VLOOKUP(F998,Dex!$P$22:$Q$276,2,FALSE),"")</f>
        <v/>
      </c>
      <c r="H998" s="7575"/>
      <c r="I998" s="7566"/>
      <c r="J998" s="7572" t="s">
        <v>513</v>
      </c>
      <c r="K998" s="7573">
        <f t="array" ref="K998">IFERROR(VLOOKUP(J985,Dex!$B$3:$N1219,8,FALSE),"")</f>
        <v>55</v>
      </c>
      <c r="L998" s="7574" t="str">
        <f t="array" ref="L998">IFERROR(VLOOKUP(K998,Dex!$P$22:$Q$276,2,FALSE),"")</f>
        <v/>
      </c>
      <c r="M998" s="7575"/>
      <c r="N998" s="7566"/>
      <c r="O998" s="7572" t="s">
        <v>513</v>
      </c>
      <c r="P998" s="7573">
        <f t="array" ref="P998">IFERROR(VLOOKUP(O985,Dex!$B$3:$N1219,8,FALSE),"")</f>
        <v>95</v>
      </c>
      <c r="Q998" s="7574" t="str">
        <f t="array" ref="Q998">IFERROR(VLOOKUP(P998,Dex!$P$22:$Q$276,2,FALSE),"")</f>
        <v/>
      </c>
      <c r="R998" s="7575"/>
      <c r="S998" s="7570"/>
      <c r="T998" s="7572" t="s">
        <v>513</v>
      </c>
      <c r="U998" s="7573">
        <f t="array" ref="U998">IFERROR(VLOOKUP(T985,Dex!$B$3:$N1219,8,FALSE),"")</f>
        <v>125</v>
      </c>
      <c r="V998" s="7574" t="str">
        <f t="array" ref="V998">IFERROR(VLOOKUP(U998,Dex!$P$22:$Q$276,2,FALSE),"")</f>
        <v/>
      </c>
      <c r="W998" s="7575"/>
      <c r="X998" s="7570"/>
      <c r="Y998" s="7572" t="s">
        <v>513</v>
      </c>
      <c r="Z998" s="7573">
        <f t="array" ref="Z998">IFERROR(VLOOKUP(Y985,Dex!$B$3:$N1219,8,FALSE),"")</f>
        <v>92</v>
      </c>
      <c r="AA998" s="7574" t="str">
        <f t="array" ref="AA998">IFERROR(VLOOKUP(Z998,Dex!$P$22:$Q$276,2,FALSE),"")</f>
        <v/>
      </c>
      <c r="AB998" s="7575"/>
      <c r="AC998" s="7570"/>
      <c r="AD998" s="7550"/>
      <c r="AE998" s="7550"/>
      <c r="AF998" s="7550"/>
      <c r="AG998" s="7550"/>
      <c r="AH998" s="7571"/>
      <c r="AI998" s="6747"/>
    </row>
    <row r="999" ht="16.5" customHeight="1">
      <c r="A999" s="6738"/>
      <c r="B999" s="7565"/>
      <c r="C999" s="7550"/>
      <c r="D999" s="7566"/>
      <c r="E999" s="7576" t="s">
        <v>514</v>
      </c>
      <c r="F999" s="7577">
        <f t="array" ref="F999">IFERROR(VLOOKUP(E985,Dex!$B$3:$N1219,9,FALSE),"")</f>
        <v>108</v>
      </c>
      <c r="G999" s="7578" t="str">
        <f t="array" ref="G999">IFERROR(VLOOKUP(F999,Dex!$P$22:$Q$276,2,FALSE),"")</f>
        <v/>
      </c>
      <c r="H999" s="7579"/>
      <c r="I999" s="7566"/>
      <c r="J999" s="7576" t="s">
        <v>514</v>
      </c>
      <c r="K999" s="7577">
        <f t="array" ref="K999">IFERROR(VLOOKUP(J985,Dex!$B$3:$N1219,9,FALSE),"")</f>
        <v>130</v>
      </c>
      <c r="L999" s="7578" t="str">
        <f t="array" ref="L999">IFERROR(VLOOKUP(K999,Dex!$P$22:$Q$276,2,FALSE),"")</f>
        <v/>
      </c>
      <c r="M999" s="7579"/>
      <c r="N999" s="7566"/>
      <c r="O999" s="7576" t="s">
        <v>514</v>
      </c>
      <c r="P999" s="7577">
        <f t="array" ref="P999">IFERROR(VLOOKUP(O985,Dex!$B$3:$N1219,9,FALSE),"")</f>
        <v>75</v>
      </c>
      <c r="Q999" s="7578" t="str">
        <f t="array" ref="Q999">IFERROR(VLOOKUP(P999,Dex!$P$22:$Q$276,2,FALSE),"")</f>
        <v/>
      </c>
      <c r="R999" s="7579"/>
      <c r="S999" s="7570"/>
      <c r="T999" s="7576" t="s">
        <v>514</v>
      </c>
      <c r="U999" s="7577">
        <f t="array" ref="U999">IFERROR(VLOOKUP(T985,Dex!$B$3:$N1219,9,FALSE),"")</f>
        <v>58</v>
      </c>
      <c r="V999" s="7578" t="str">
        <f t="array" ref="V999">IFERROR(VLOOKUP(U999,Dex!$P$22:$Q$276,2,FALSE),"")</f>
        <v/>
      </c>
      <c r="W999" s="7579"/>
      <c r="X999" s="7570"/>
      <c r="Y999" s="7576" t="s">
        <v>514</v>
      </c>
      <c r="Z999" s="7577">
        <f t="array" ref="Z999">IFERROR(VLOOKUP(Y985,Dex!$B$3:$N1219,9,FALSE),"")</f>
        <v>105</v>
      </c>
      <c r="AA999" s="7578" t="str">
        <f t="array" ref="AA999">IFERROR(VLOOKUP(Z999,Dex!$P$22:$Q$276,2,FALSE),"")</f>
        <v/>
      </c>
      <c r="AB999" s="7579"/>
      <c r="AC999" s="7570"/>
      <c r="AD999" s="7550"/>
      <c r="AE999" s="7550"/>
      <c r="AF999" s="7550"/>
      <c r="AG999" s="7550"/>
      <c r="AH999" s="7571"/>
      <c r="AI999" s="6747"/>
    </row>
    <row r="1000" ht="16.5" customHeight="1">
      <c r="A1000" s="6738"/>
      <c r="B1000" s="7565"/>
      <c r="C1000" s="7550"/>
      <c r="D1000" s="7566"/>
      <c r="E1000" s="7576" t="s">
        <v>515</v>
      </c>
      <c r="F1000" s="7577">
        <f t="array" ref="F1000">IFERROR(VLOOKUP(E985,Dex!$B$3:$N1219,10,FALSE),"")</f>
        <v>133</v>
      </c>
      <c r="G1000" s="7578" t="str">
        <f t="array" ref="G1000">IFERROR(VLOOKUP(F1000,Dex!$P$22:$Q$276,2,FALSE),"")</f>
        <v/>
      </c>
      <c r="H1000" s="7579"/>
      <c r="I1000" s="7566"/>
      <c r="J1000" s="7576" t="s">
        <v>515</v>
      </c>
      <c r="K1000" s="7577">
        <f t="array" ref="K1000">IFERROR(VLOOKUP(J985,Dex!$B$3:$N1219,10,FALSE),"")</f>
        <v>115</v>
      </c>
      <c r="L1000" s="7578" t="str">
        <f t="array" ref="L1000">IFERROR(VLOOKUP(K1000,Dex!$P$22:$Q$276,2,FALSE),"")</f>
        <v/>
      </c>
      <c r="M1000" s="7579"/>
      <c r="N1000" s="7566"/>
      <c r="O1000" s="7576" t="s">
        <v>515</v>
      </c>
      <c r="P1000" s="7577">
        <f t="array" ref="P1000">IFERROR(VLOOKUP(O985,Dex!$B$3:$N1219,10,FALSE),"")</f>
        <v>180</v>
      </c>
      <c r="Q1000" s="7578" t="str">
        <f t="array" ref="Q1000">IFERROR(VLOOKUP(P1000,Dex!$P$22:$Q$276,2,FALSE),"")</f>
        <v/>
      </c>
      <c r="R1000" s="7579"/>
      <c r="S1000" s="7570"/>
      <c r="T1000" s="7576" t="s">
        <v>515</v>
      </c>
      <c r="U1000" s="7577">
        <f t="array" ref="U1000">IFERROR(VLOOKUP(T985,Dex!$B$3:$N1219,10,FALSE),"")</f>
        <v>58</v>
      </c>
      <c r="V1000" s="7578" t="str">
        <f t="array" ref="V1000">IFERROR(VLOOKUP(U1000,Dex!$P$22:$Q$276,2,FALSE),"")</f>
        <v/>
      </c>
      <c r="W1000" s="7579"/>
      <c r="X1000" s="7570"/>
      <c r="Y1000" s="7576" t="s">
        <v>515</v>
      </c>
      <c r="Z1000" s="7577">
        <f t="array" ref="Z1000">IFERROR(VLOOKUP(Y985,Dex!$B$3:$N1219,10,FALSE),"")</f>
        <v>90</v>
      </c>
      <c r="AA1000" s="7578" t="str">
        <f t="array" ref="AA1000">IFERROR(VLOOKUP(Z1000,Dex!$P$22:$Q$276,2,FALSE),"")</f>
        <v/>
      </c>
      <c r="AB1000" s="7579"/>
      <c r="AC1000" s="7570"/>
      <c r="AD1000" s="7550"/>
      <c r="AE1000" s="7550"/>
      <c r="AF1000" s="7550"/>
      <c r="AG1000" s="7550"/>
      <c r="AH1000" s="7571"/>
      <c r="AI1000" s="6747"/>
    </row>
    <row r="1001" ht="16.5" customHeight="1">
      <c r="A1001" s="6738"/>
      <c r="B1001" s="7565"/>
      <c r="C1001" s="7550"/>
      <c r="D1001" s="7566"/>
      <c r="E1001" s="7576" t="s">
        <v>516</v>
      </c>
      <c r="F1001" s="7577">
        <f t="array" ref="F1001">IFERROR(VLOOKUP(E985,Dex!$B$3:$N1219,11,FALSE),"")</f>
        <v>83</v>
      </c>
      <c r="G1001" s="7578" t="str">
        <f t="array" ref="G1001">IFERROR(VLOOKUP(F1001,Dex!$P$22:$Q$276,2,FALSE),"")</f>
        <v/>
      </c>
      <c r="H1001" s="7579"/>
      <c r="I1001" s="7566"/>
      <c r="J1001" s="7576" t="s">
        <v>516</v>
      </c>
      <c r="K1001" s="7577">
        <f t="array" ref="K1001">IFERROR(VLOOKUP(J985,Dex!$B$3:$N1219,11,FALSE),"")</f>
        <v>50</v>
      </c>
      <c r="L1001" s="7578" t="str">
        <f t="array" ref="L1001">IFERROR(VLOOKUP(K1001,Dex!$P$22:$Q$276,2,FALSE),"")</f>
        <v/>
      </c>
      <c r="M1001" s="7579"/>
      <c r="N1001" s="7566"/>
      <c r="O1001" s="7576" t="s">
        <v>516</v>
      </c>
      <c r="P1001" s="7577">
        <f t="array" ref="P1001">IFERROR(VLOOKUP(O985,Dex!$B$3:$N1219,11,FALSE),"")</f>
        <v>130</v>
      </c>
      <c r="Q1001" s="7578" t="str">
        <f t="array" ref="Q1001">IFERROR(VLOOKUP(P1001,Dex!$P$22:$Q$276,2,FALSE),"")</f>
        <v/>
      </c>
      <c r="R1001" s="7579"/>
      <c r="S1001" s="7570"/>
      <c r="T1001" s="7576" t="s">
        <v>516</v>
      </c>
      <c r="U1001" s="7577">
        <f t="array" ref="U1001">IFERROR(VLOOKUP(T985,Dex!$B$3:$N1219,11,FALSE),"")</f>
        <v>76</v>
      </c>
      <c r="V1001" s="7578" t="str">
        <f t="array" ref="V1001">IFERROR(VLOOKUP(U1001,Dex!$P$22:$Q$276,2,FALSE),"")</f>
        <v/>
      </c>
      <c r="W1001" s="7579"/>
      <c r="X1001" s="7570"/>
      <c r="Y1001" s="7576" t="s">
        <v>516</v>
      </c>
      <c r="Z1001" s="7577">
        <f t="array" ref="Z1001">IFERROR(VLOOKUP(Y985,Dex!$B$3:$N1219,11,FALSE),"")</f>
        <v>125</v>
      </c>
      <c r="AA1001" s="7578" t="str">
        <f t="array" ref="AA1001">IFERROR(VLOOKUP(Z1001,Dex!$P$22:$Q$276,2,FALSE),"")</f>
        <v/>
      </c>
      <c r="AB1001" s="7579"/>
      <c r="AC1001" s="7570"/>
      <c r="AD1001" s="7550"/>
      <c r="AE1001" s="7550"/>
      <c r="AF1001" s="7550"/>
      <c r="AG1001" s="7550"/>
      <c r="AH1001" s="7571"/>
      <c r="AI1001" s="6747"/>
    </row>
    <row r="1002" ht="16.5" customHeight="1">
      <c r="A1002" s="6738"/>
      <c r="B1002" s="7565"/>
      <c r="C1002" s="7550"/>
      <c r="D1002" s="7566"/>
      <c r="E1002" s="7576" t="s">
        <v>517</v>
      </c>
      <c r="F1002" s="7577">
        <f t="array" ref="F1002">IFERROR(VLOOKUP(E985,Dex!$B$3:$N1219,12,FALSE),"")</f>
        <v>65</v>
      </c>
      <c r="G1002" s="7578" t="str">
        <f t="array" ref="G1002">IFERROR(VLOOKUP(F1002,Dex!$P$22:$Q$276,2,FALSE),"")</f>
        <v/>
      </c>
      <c r="H1002" s="7579"/>
      <c r="I1002" s="7566"/>
      <c r="J1002" s="7576" t="s">
        <v>517</v>
      </c>
      <c r="K1002" s="7577">
        <f t="array" ref="K1002">IFERROR(VLOOKUP(J985,Dex!$B$3:$N1219,12,FALSE),"")</f>
        <v>50</v>
      </c>
      <c r="L1002" s="7578" t="str">
        <f t="array" ref="L1002">IFERROR(VLOOKUP(K1002,Dex!$P$22:$Q$276,2,FALSE),"")</f>
        <v/>
      </c>
      <c r="M1002" s="7579"/>
      <c r="N1002" s="7566"/>
      <c r="O1002" s="7576" t="s">
        <v>517</v>
      </c>
      <c r="P1002" s="7577">
        <f t="array" ref="P1002">IFERROR(VLOOKUP(O985,Dex!$B$3:$N1219,12,FALSE),"")</f>
        <v>80</v>
      </c>
      <c r="Q1002" s="7578" t="str">
        <f t="array" ref="Q1002">IFERROR(VLOOKUP(P1002,Dex!$P$22:$Q$276,2,FALSE),"")</f>
        <v/>
      </c>
      <c r="R1002" s="7579"/>
      <c r="S1002" s="7570"/>
      <c r="T1002" s="7576" t="s">
        <v>517</v>
      </c>
      <c r="U1002" s="7577">
        <f t="array" ref="U1002">IFERROR(VLOOKUP(T985,Dex!$B$3:$N1219,12,FALSE),"")</f>
        <v>76</v>
      </c>
      <c r="V1002" s="7578" t="str">
        <f t="array" ref="V1002">IFERROR(VLOOKUP(U1002,Dex!$P$22:$Q$276,2,FALSE),"")</f>
        <v/>
      </c>
      <c r="W1002" s="7579"/>
      <c r="X1002" s="7570"/>
      <c r="Y1002" s="7576" t="s">
        <v>517</v>
      </c>
      <c r="Z1002" s="7577">
        <f t="array" ref="Z1002">IFERROR(VLOOKUP(Y985,Dex!$B$3:$N1219,12,FALSE),"")</f>
        <v>90</v>
      </c>
      <c r="AA1002" s="7578" t="str">
        <f t="array" ref="AA1002">IFERROR(VLOOKUP(Z1002,Dex!$P$22:$Q$276,2,FALSE),"")</f>
        <v/>
      </c>
      <c r="AB1002" s="7579"/>
      <c r="AC1002" s="7570"/>
      <c r="AD1002" s="7550"/>
      <c r="AE1002" s="7550"/>
      <c r="AF1002" s="7550"/>
      <c r="AG1002" s="7550"/>
      <c r="AH1002" s="7571"/>
      <c r="AI1002" s="6747"/>
    </row>
    <row r="1003" ht="16.5" customHeight="1">
      <c r="A1003" s="6738"/>
      <c r="B1003" s="7565"/>
      <c r="C1003" s="7550"/>
      <c r="D1003" s="7566"/>
      <c r="E1003" s="7580" t="s">
        <v>518</v>
      </c>
      <c r="F1003" s="7581">
        <f t="array" ref="F1003">IFERROR(VLOOKUP(E985,Dex!$B$3:$N1219,13,FALSE),"")</f>
        <v>32</v>
      </c>
      <c r="G1003" s="7582" t="str">
        <f t="array" ref="G1003">IFERROR(VLOOKUP(F1003,Dex!$P$22:$Q$276,2,FALSE),"")</f>
        <v/>
      </c>
      <c r="H1003" s="7583"/>
      <c r="I1003" s="7566"/>
      <c r="J1003" s="7580" t="s">
        <v>518</v>
      </c>
      <c r="K1003" s="7581">
        <f t="array" ref="K1003">IFERROR(VLOOKUP(J985,Dex!$B$3:$N1219,13,FALSE),"")</f>
        <v>75</v>
      </c>
      <c r="L1003" s="7582" t="str">
        <f t="array" ref="L1003">IFERROR(VLOOKUP(K1003,Dex!$P$22:$Q$276,2,FALSE),"")</f>
        <v/>
      </c>
      <c r="M1003" s="7583"/>
      <c r="N1003" s="7566"/>
      <c r="O1003" s="7580" t="s">
        <v>518</v>
      </c>
      <c r="P1003" s="7581">
        <f t="array" ref="P1003">IFERROR(VLOOKUP(O985,Dex!$B$3:$N1219,13,FALSE),"")</f>
        <v>30</v>
      </c>
      <c r="Q1003" s="7582" t="str">
        <f t="array" ref="Q1003">IFERROR(VLOOKUP(P1003,Dex!$P$22:$Q$276,2,FALSE),"")</f>
        <v/>
      </c>
      <c r="R1003" s="7583"/>
      <c r="S1003" s="7570"/>
      <c r="T1003" s="7580" t="s">
        <v>518</v>
      </c>
      <c r="U1003" s="7581">
        <f t="array" ref="U1003">IFERROR(VLOOKUP(T985,Dex!$B$3:$N1219,13,FALSE),"")</f>
        <v>67</v>
      </c>
      <c r="V1003" s="7582" t="str">
        <f t="array" ref="V1003">IFERROR(VLOOKUP(U1003,Dex!$P$22:$Q$276,2,FALSE),"")</f>
        <v/>
      </c>
      <c r="W1003" s="7583"/>
      <c r="X1003" s="7570"/>
      <c r="Y1003" s="7580" t="s">
        <v>518</v>
      </c>
      <c r="Z1003" s="7581">
        <f t="array" ref="Z1003">IFERROR(VLOOKUP(Y985,Dex!$B$3:$N1219,13,FALSE),"")</f>
        <v>98</v>
      </c>
      <c r="AA1003" s="7582" t="str">
        <f t="array" ref="AA1003">IFERROR(VLOOKUP(Z1003,Dex!$P$22:$Q$276,2,FALSE),"")</f>
        <v/>
      </c>
      <c r="AB1003" s="7583"/>
      <c r="AC1003" s="7570"/>
      <c r="AD1003" s="7550"/>
      <c r="AE1003" s="7550"/>
      <c r="AF1003" s="7550"/>
      <c r="AG1003" s="7550"/>
      <c r="AH1003" s="7571"/>
      <c r="AI1003" s="6747"/>
    </row>
    <row r="1004" ht="16.5" customHeight="1">
      <c r="A1004" s="6738"/>
      <c r="B1004" s="7565"/>
      <c r="C1004" s="7550"/>
      <c r="D1004" s="7566"/>
      <c r="E1004" s="7584" t="s">
        <v>519</v>
      </c>
      <c r="F1004" s="635"/>
      <c r="G1004" s="636"/>
      <c r="H1004" s="7585">
        <v>110.0</v>
      </c>
      <c r="I1004" s="7568"/>
      <c r="J1004" s="7586" t="s">
        <v>519</v>
      </c>
      <c r="K1004" s="630"/>
      <c r="L1004" s="631"/>
      <c r="M1004" s="7587">
        <v>204.0</v>
      </c>
      <c r="N1004" s="7568"/>
      <c r="O1004" s="7586" t="s">
        <v>519</v>
      </c>
      <c r="P1004" s="630"/>
      <c r="Q1004" s="631"/>
      <c r="R1004" s="7587">
        <v>96.0</v>
      </c>
      <c r="S1004" s="7569"/>
      <c r="T1004" s="7586" t="s">
        <v>519</v>
      </c>
      <c r="U1004" s="630"/>
      <c r="V1004" s="631"/>
      <c r="W1004" s="7587">
        <v>170.0</v>
      </c>
      <c r="X1004" s="7569"/>
      <c r="Y1004" s="7586" t="s">
        <v>519</v>
      </c>
      <c r="Z1004" s="630"/>
      <c r="AA1004" s="631"/>
      <c r="AB1004" s="7587">
        <v>255.0</v>
      </c>
      <c r="AC1004" s="7570"/>
      <c r="AD1004" s="7550"/>
      <c r="AE1004" s="7550"/>
      <c r="AF1004" s="7550"/>
      <c r="AG1004" s="7550"/>
      <c r="AH1004" s="7571"/>
      <c r="AI1004" s="6747"/>
    </row>
    <row r="1005" ht="16.5" customHeight="1">
      <c r="A1005" s="6738"/>
      <c r="B1005" s="7588"/>
      <c r="C1005" s="7589"/>
      <c r="D1005" s="7590"/>
      <c r="E1005" s="7591" t="s">
        <v>1829</v>
      </c>
      <c r="F1005" s="643"/>
      <c r="G1005" s="644"/>
      <c r="H1005" s="6787">
        <f>ROUNDDOWN(H1004*1.5,0)</f>
        <v>165</v>
      </c>
      <c r="I1005" s="7592"/>
      <c r="J1005" s="7550"/>
      <c r="K1005" s="7550"/>
      <c r="L1005" s="7550"/>
      <c r="M1005" s="7550"/>
      <c r="N1005" s="7592"/>
      <c r="O1005" s="7550"/>
      <c r="P1005" s="7550"/>
      <c r="Q1005" s="7550"/>
      <c r="R1005" s="7550"/>
      <c r="S1005" s="7593"/>
      <c r="T1005" s="7550"/>
      <c r="U1005" s="7550"/>
      <c r="V1005" s="7550"/>
      <c r="W1005" s="7550"/>
      <c r="X1005" s="7593"/>
      <c r="Y1005" s="7550"/>
      <c r="Z1005" s="7550"/>
      <c r="AA1005" s="7550"/>
      <c r="AB1005" s="7550"/>
      <c r="AC1005" s="7594"/>
      <c r="AD1005" s="7589"/>
      <c r="AE1005" s="7589"/>
      <c r="AF1005" s="7589"/>
      <c r="AG1005" s="7589"/>
      <c r="AH1005" s="7595"/>
      <c r="AI1005" s="6747"/>
    </row>
    <row r="1006" ht="15.0" customHeight="1">
      <c r="A1006" s="6676"/>
      <c r="B1006" s="7596"/>
      <c r="C1006" s="7597"/>
      <c r="D1006" s="7598"/>
      <c r="E1006" s="7599"/>
      <c r="F1006" s="7599"/>
      <c r="G1006" s="7599"/>
      <c r="H1006" s="7599"/>
      <c r="I1006" s="7600"/>
      <c r="J1006" s="7601"/>
      <c r="K1006" s="7601"/>
      <c r="L1006" s="7601"/>
      <c r="M1006" s="7599"/>
      <c r="N1006" s="7600"/>
      <c r="O1006" s="7601"/>
      <c r="P1006" s="7601"/>
      <c r="Q1006" s="7601"/>
      <c r="R1006" s="7599"/>
      <c r="S1006" s="7600"/>
      <c r="T1006" s="7601"/>
      <c r="U1006" s="7601"/>
      <c r="V1006" s="7601"/>
      <c r="W1006" s="7599"/>
      <c r="X1006" s="7600"/>
      <c r="Y1006" s="7601"/>
      <c r="Z1006" s="7601"/>
      <c r="AA1006" s="7601"/>
      <c r="AB1006" s="7599"/>
      <c r="AC1006" s="7598"/>
      <c r="AD1006" s="7598"/>
      <c r="AE1006" s="7598"/>
      <c r="AF1006" s="7598"/>
      <c r="AG1006" s="7598"/>
      <c r="AH1006" s="7602"/>
      <c r="AI1006" s="6680"/>
    </row>
    <row r="1007" ht="15.0" customHeight="1">
      <c r="A1007" s="6738"/>
      <c r="B1007" s="6850"/>
      <c r="C1007" s="6851"/>
      <c r="D1007" s="6852"/>
      <c r="E1007" s="6853"/>
      <c r="F1007" s="6853"/>
      <c r="G1007" s="6853"/>
      <c r="H1007" s="6853"/>
      <c r="I1007" s="6854"/>
      <c r="J1007" s="6853"/>
      <c r="K1007" s="6853"/>
      <c r="L1007" s="6853"/>
      <c r="M1007" s="6853"/>
      <c r="N1007" s="6854"/>
      <c r="O1007" s="6853"/>
      <c r="P1007" s="6853"/>
      <c r="Q1007" s="6853"/>
      <c r="R1007" s="6853"/>
      <c r="S1007" s="6854"/>
      <c r="T1007" s="6853"/>
      <c r="U1007" s="6853"/>
      <c r="V1007" s="6853"/>
      <c r="W1007" s="6853"/>
      <c r="X1007" s="6854"/>
      <c r="Y1007" s="6853"/>
      <c r="Z1007" s="6853"/>
      <c r="AA1007" s="6853"/>
      <c r="AB1007" s="6853"/>
      <c r="AC1007" s="6854"/>
      <c r="AD1007" s="6852"/>
      <c r="AE1007" s="6852"/>
      <c r="AF1007" s="6852"/>
      <c r="AG1007" s="6852"/>
      <c r="AH1007" s="6855"/>
      <c r="AI1007" s="6747"/>
    </row>
    <row r="1008" ht="96.75" customHeight="1">
      <c r="A1008" s="6738"/>
      <c r="B1008" s="6856"/>
      <c r="C1008" s="6857" t="str">
        <f>IMAGE("https://i.ibb.co/qNMR4cv/SwimmerF.png")</f>
        <v/>
      </c>
      <c r="D1008" s="6858"/>
      <c r="E1008" s="6859" t="str">
        <f t="array" ref="E1008">IFERROR(VLOOKUP(E1009,Dex!$B$3:$G1219,3,FALSE),"")</f>
        <v/>
      </c>
      <c r="F1008" s="1945"/>
      <c r="G1008" s="1945"/>
      <c r="H1008" s="1946"/>
      <c r="I1008" s="6860"/>
      <c r="J1008" s="6859" t="str">
        <f t="array" ref="J1008">IFERROR(VLOOKUP(J1009,Dex!$B$3:$G1219,3,FALSE),"")</f>
        <v/>
      </c>
      <c r="K1008" s="1945"/>
      <c r="L1008" s="1945"/>
      <c r="M1008" s="1946"/>
      <c r="N1008" s="6860"/>
      <c r="O1008" s="6859" t="str">
        <f t="array" ref="O1008">IFERROR(VLOOKUP(O1009,Dex!$B$3:$G1219,3,FALSE),"")</f>
        <v/>
      </c>
      <c r="P1008" s="1945"/>
      <c r="Q1008" s="1945"/>
      <c r="R1008" s="1946"/>
      <c r="S1008" s="6951"/>
      <c r="T1008" s="6859" t="str">
        <f t="array" ref="T1008">IFERROR(VLOOKUP(T1009,Dex!$B$3:$G1219,3,FALSE),"")</f>
        <v/>
      </c>
      <c r="U1008" s="1945"/>
      <c r="V1008" s="1945"/>
      <c r="W1008" s="1946"/>
      <c r="X1008" s="6951"/>
      <c r="Y1008" s="6859" t="str">
        <f t="array" ref="Y1008">IFERROR(VLOOKUP(Y1009,Dex!$B$3:$G1219,3,FALSE),"")</f>
        <v/>
      </c>
      <c r="Z1008" s="1945"/>
      <c r="AA1008" s="1945"/>
      <c r="AB1008" s="1946"/>
      <c r="AC1008" s="6861"/>
      <c r="AD1008" s="6862"/>
      <c r="AE1008" s="6863"/>
      <c r="AF1008" s="6863"/>
      <c r="AG1008" s="6864"/>
      <c r="AH1008" s="6866"/>
      <c r="AI1008" s="6747"/>
    </row>
    <row r="1009" ht="18.75" customHeight="1">
      <c r="A1009" s="6691"/>
      <c r="B1009" s="6867"/>
      <c r="C1009" s="6868" t="s">
        <v>2165</v>
      </c>
      <c r="D1009" s="6869"/>
      <c r="E1009" s="6870" t="s">
        <v>1225</v>
      </c>
      <c r="F1009" s="6871"/>
      <c r="G1009" s="6871"/>
      <c r="H1009" s="6872"/>
      <c r="I1009" s="6860"/>
      <c r="J1009" s="6870" t="s">
        <v>2166</v>
      </c>
      <c r="K1009" s="6871"/>
      <c r="L1009" s="6871"/>
      <c r="M1009" s="6872"/>
      <c r="N1009" s="6860"/>
      <c r="O1009" s="6870" t="s">
        <v>1793</v>
      </c>
      <c r="P1009" s="6871"/>
      <c r="Q1009" s="6871"/>
      <c r="R1009" s="6872"/>
      <c r="S1009" s="6860"/>
      <c r="T1009" s="6870" t="s">
        <v>1595</v>
      </c>
      <c r="U1009" s="6871"/>
      <c r="V1009" s="6871"/>
      <c r="W1009" s="6872"/>
      <c r="X1009" s="6860"/>
      <c r="Y1009" s="6870" t="s">
        <v>2167</v>
      </c>
      <c r="Z1009" s="6871"/>
      <c r="AA1009" s="6871"/>
      <c r="AB1009" s="6872"/>
      <c r="AC1009" s="6873"/>
      <c r="AD1009" s="6874"/>
      <c r="AE1009" s="6863"/>
      <c r="AF1009" s="6863"/>
      <c r="AG1009" s="6864"/>
      <c r="AH1009" s="6876"/>
      <c r="AI1009" s="6699"/>
    </row>
    <row r="1010">
      <c r="A1010" s="6676"/>
      <c r="B1010" s="6856"/>
      <c r="C1010" s="1638"/>
      <c r="D1010" s="6877"/>
      <c r="E1010" s="6878" t="s">
        <v>729</v>
      </c>
      <c r="F1010" s="6879"/>
      <c r="G1010" s="6879"/>
      <c r="H1010" s="6880"/>
      <c r="I1010" s="6860"/>
      <c r="J1010" s="6878" t="s">
        <v>729</v>
      </c>
      <c r="K1010" s="6879"/>
      <c r="L1010" s="6879"/>
      <c r="M1010" s="6880"/>
      <c r="N1010" s="6860"/>
      <c r="O1010" s="6878" t="s">
        <v>729</v>
      </c>
      <c r="P1010" s="6879"/>
      <c r="Q1010" s="6879"/>
      <c r="R1010" s="6880"/>
      <c r="S1010" s="6951"/>
      <c r="T1010" s="6878" t="s">
        <v>729</v>
      </c>
      <c r="U1010" s="6879"/>
      <c r="V1010" s="6879"/>
      <c r="W1010" s="6880"/>
      <c r="X1010" s="6951"/>
      <c r="Y1010" s="6878" t="s">
        <v>729</v>
      </c>
      <c r="Z1010" s="6879"/>
      <c r="AA1010" s="6879"/>
      <c r="AB1010" s="6880"/>
      <c r="AC1010" s="6861"/>
      <c r="AD1010" s="6862"/>
      <c r="AE1010" s="6863"/>
      <c r="AF1010" s="6863"/>
      <c r="AG1010" s="6864"/>
      <c r="AH1010" s="6866"/>
      <c r="AI1010" s="6680"/>
    </row>
    <row r="1011" ht="25.5" customHeight="1">
      <c r="A1011" s="6676"/>
      <c r="B1011" s="6856"/>
      <c r="C1011" s="1646"/>
      <c r="D1011" s="6865"/>
      <c r="E1011" s="6881"/>
      <c r="F1011" s="6885" t="str">
        <f t="array" ref="F1011">IFERROR(VLOOKUP(E1009,Dex!$B$3:$H1219,5,FALSE),"")</f>
        <v/>
      </c>
      <c r="G1011" s="6886" t="str">
        <f t="array" ref="G1011">IFERROR(VLOOKUP(E1009,Dex!$B$3:$H1219,7,FALSE),"")</f>
        <v/>
      </c>
      <c r="H1011" s="6884"/>
      <c r="I1011" s="6875"/>
      <c r="J1011" s="6881"/>
      <c r="K1011" s="6885" t="str">
        <f t="array" ref="K1011">IFERROR(VLOOKUP(J1009,Dex!$B$3:$H1219,5,FALSE),"")</f>
        <v/>
      </c>
      <c r="L1011" s="6886" t="str">
        <f t="array" ref="L1011">IFERROR(VLOOKUP(J1009,Dex!$B$3:$H1219,7,FALSE),"")</f>
        <v/>
      </c>
      <c r="M1011" s="6884"/>
      <c r="N1011" s="6875"/>
      <c r="O1011" s="6881"/>
      <c r="P1011" s="6882" t="str">
        <f t="array" ref="P1011">IFERROR(VLOOKUP(O1009,Dex!$B$3:$H1219,5,FALSE),"")</f>
        <v/>
      </c>
      <c r="Q1011" s="6883"/>
      <c r="R1011" s="6884"/>
      <c r="S1011" s="6865"/>
      <c r="T1011" s="6881"/>
      <c r="U1011" s="6882" t="str">
        <f t="array" ref="U1011">IFERROR(VLOOKUP(T1009,Dex!$B$3:$H1219,5,FALSE),"")</f>
        <v/>
      </c>
      <c r="V1011" s="6883"/>
      <c r="W1011" s="6884"/>
      <c r="X1011" s="6865"/>
      <c r="Y1011" s="6881"/>
      <c r="Z1011" s="6885" t="str">
        <f t="array" ref="Z1011">IFERROR(VLOOKUP(Y1009,Dex!$B$3:$H1219,5,FALSE),"")</f>
        <v/>
      </c>
      <c r="AA1011" s="6886" t="str">
        <f t="array" ref="AA1011">IFERROR(VLOOKUP(Y1009,Dex!$B$3:$H1219,7,FALSE),"")</f>
        <v/>
      </c>
      <c r="AB1011" s="6884"/>
      <c r="AC1011" s="6865"/>
      <c r="AD1011" s="6862"/>
      <c r="AE1011" s="6863"/>
      <c r="AF1011" s="6863"/>
      <c r="AG1011" s="6864"/>
      <c r="AH1011" s="6866"/>
      <c r="AI1011" s="6680"/>
    </row>
    <row r="1012" ht="2.25" customHeight="1">
      <c r="A1012" s="6676"/>
      <c r="B1012" s="6856"/>
      <c r="C1012" s="6887"/>
      <c r="D1012" s="6865"/>
      <c r="E1012" s="6888"/>
      <c r="F1012" s="6889"/>
      <c r="G1012" s="6889"/>
      <c r="H1012" s="6890"/>
      <c r="I1012" s="6875"/>
      <c r="J1012" s="6888"/>
      <c r="K1012" s="6889"/>
      <c r="L1012" s="6889"/>
      <c r="M1012" s="6890"/>
      <c r="N1012" s="6875"/>
      <c r="O1012" s="6888"/>
      <c r="P1012" s="6889"/>
      <c r="Q1012" s="6889"/>
      <c r="R1012" s="6890"/>
      <c r="S1012" s="6865"/>
      <c r="T1012" s="6888"/>
      <c r="U1012" s="6889"/>
      <c r="V1012" s="6889"/>
      <c r="W1012" s="6890"/>
      <c r="X1012" s="6865"/>
      <c r="Y1012" s="6888"/>
      <c r="Z1012" s="6889"/>
      <c r="AA1012" s="6889"/>
      <c r="AB1012" s="6890"/>
      <c r="AC1012" s="6865"/>
      <c r="AD1012" s="6865"/>
      <c r="AE1012" s="6865"/>
      <c r="AF1012" s="6865"/>
      <c r="AG1012" s="6865"/>
      <c r="AH1012" s="6866"/>
      <c r="AI1012" s="6680"/>
    </row>
    <row r="1013" ht="20.25" customHeight="1">
      <c r="A1013" s="6676"/>
      <c r="B1013" s="6856"/>
      <c r="C1013" s="6891"/>
      <c r="D1013" s="6862"/>
      <c r="E1013" s="6892" t="s">
        <v>482</v>
      </c>
      <c r="F1013" s="6893"/>
      <c r="G1013" s="6893"/>
      <c r="H1013" s="6894"/>
      <c r="I1013" s="6860"/>
      <c r="J1013" s="6892" t="s">
        <v>564</v>
      </c>
      <c r="K1013" s="6893"/>
      <c r="L1013" s="6893"/>
      <c r="M1013" s="6894"/>
      <c r="N1013" s="6860"/>
      <c r="O1013" s="6892" t="s">
        <v>531</v>
      </c>
      <c r="P1013" s="6893"/>
      <c r="Q1013" s="6893"/>
      <c r="R1013" s="6894"/>
      <c r="S1013" s="6951"/>
      <c r="T1013" s="6892" t="s">
        <v>564</v>
      </c>
      <c r="U1013" s="6893"/>
      <c r="V1013" s="6893"/>
      <c r="W1013" s="6894"/>
      <c r="X1013" s="6951"/>
      <c r="Y1013" s="6892" t="s">
        <v>564</v>
      </c>
      <c r="Z1013" s="6893"/>
      <c r="AA1013" s="6893"/>
      <c r="AB1013" s="6894"/>
      <c r="AC1013" s="6861"/>
      <c r="AD1013" s="6862"/>
      <c r="AE1013" s="6863"/>
      <c r="AF1013" s="6863"/>
      <c r="AG1013" s="6864"/>
      <c r="AH1013" s="6866"/>
      <c r="AI1013" s="6680"/>
    </row>
    <row r="1014" ht="20.25" customHeight="1">
      <c r="A1014" s="6676"/>
      <c r="B1014" s="6856"/>
      <c r="C1014" s="6891"/>
      <c r="D1014" s="6862"/>
      <c r="E1014" s="6895" t="s">
        <v>83</v>
      </c>
      <c r="F1014" s="6863"/>
      <c r="G1014" s="6863"/>
      <c r="H1014" s="6896"/>
      <c r="I1014" s="6860"/>
      <c r="J1014" s="6895" t="s">
        <v>533</v>
      </c>
      <c r="K1014" s="6863"/>
      <c r="L1014" s="6863"/>
      <c r="M1014" s="6896"/>
      <c r="N1014" s="6860"/>
      <c r="O1014" s="6895" t="s">
        <v>1100</v>
      </c>
      <c r="P1014" s="6863"/>
      <c r="Q1014" s="6863"/>
      <c r="R1014" s="6896"/>
      <c r="S1014" s="6951"/>
      <c r="T1014" s="6895" t="s">
        <v>756</v>
      </c>
      <c r="U1014" s="6863"/>
      <c r="V1014" s="6863"/>
      <c r="W1014" s="6896"/>
      <c r="X1014" s="6951"/>
      <c r="Y1014" s="6895" t="s">
        <v>68</v>
      </c>
      <c r="Z1014" s="6863"/>
      <c r="AA1014" s="6863"/>
      <c r="AB1014" s="6896"/>
      <c r="AC1014" s="6861"/>
      <c r="AD1014" s="6862"/>
      <c r="AE1014" s="6863"/>
      <c r="AF1014" s="6863"/>
      <c r="AG1014" s="6864"/>
      <c r="AH1014" s="6866"/>
      <c r="AI1014" s="6680"/>
    </row>
    <row r="1015" ht="20.25" customHeight="1">
      <c r="A1015" s="6676"/>
      <c r="B1015" s="6856"/>
      <c r="C1015" s="6891"/>
      <c r="D1015" s="6862"/>
      <c r="E1015" s="6897" t="s">
        <v>2168</v>
      </c>
      <c r="F1015" s="6898"/>
      <c r="G1015" s="6899"/>
      <c r="H1015" s="6900" t="str">
        <f>IMAGE("https://raw.githubusercontent.com/msikma/pokesprite/master/items/hold-item/damp-rock.png",3)</f>
        <v/>
      </c>
      <c r="I1015" s="6874"/>
      <c r="J1015" s="6897" t="s">
        <v>2169</v>
      </c>
      <c r="K1015" s="6898"/>
      <c r="L1015" s="6899"/>
      <c r="M1015" s="6900" t="str">
        <f>IMAGE("https://raw.githubusercontent.com/msikma/pokesprite/master/items/z-crystals/psychium-z--held.png",3)</f>
        <v/>
      </c>
      <c r="N1015" s="6874"/>
      <c r="O1015" s="6897" t="s">
        <v>733</v>
      </c>
      <c r="P1015" s="6898"/>
      <c r="Q1015" s="6899"/>
      <c r="R1015" s="6900" t="str">
        <f>IMAGE("https://raw.githubusercontent.com/msikma/pokesprite/master/items/hold-item/leftovers.png",3)</f>
        <v/>
      </c>
      <c r="S1015" s="6862"/>
      <c r="T1015" s="6897" t="s">
        <v>2170</v>
      </c>
      <c r="U1015" s="6898"/>
      <c r="V1015" s="6899"/>
      <c r="W1015" s="6900" t="str">
        <f>IMAGE("https://raw.githubusercontent.com/msikma/pokesprite/master/items/gem/ice.png",3)</f>
        <v/>
      </c>
      <c r="X1015" s="6862"/>
      <c r="Y1015" s="6897" t="s">
        <v>573</v>
      </c>
      <c r="Z1015" s="6898"/>
      <c r="AA1015" s="6899"/>
      <c r="AB1015" s="6900" t="str">
        <f>IMAGE("https://raw.githubusercontent.com/msikma/pokesprite/master/items/hold-item/focus-sash.png",3)</f>
        <v/>
      </c>
      <c r="AC1015" s="6865"/>
      <c r="AD1015" s="6862"/>
      <c r="AE1015" s="6863"/>
      <c r="AF1015" s="6863"/>
      <c r="AG1015" s="6864"/>
      <c r="AH1015" s="6866"/>
      <c r="AI1015" s="6680"/>
    </row>
    <row r="1016" ht="20.25" customHeight="1">
      <c r="A1016" s="6676"/>
      <c r="B1016" s="6856"/>
      <c r="C1016" s="6901"/>
      <c r="D1016" s="6862"/>
      <c r="E1016" s="6892" t="s">
        <v>544</v>
      </c>
      <c r="F1016" s="6893"/>
      <c r="G1016" s="6902"/>
      <c r="H1016" s="6903" t="str">
        <f>IMAGE("https://raw.githubusercontent.com/msikma/pokesprite/master/misc/types/gen8/water.png",4,20,20)</f>
        <v/>
      </c>
      <c r="I1016" s="6874"/>
      <c r="J1016" s="6892" t="s">
        <v>649</v>
      </c>
      <c r="K1016" s="6893"/>
      <c r="L1016" s="6902"/>
      <c r="M1016" s="6903" t="str">
        <f>IMAGE("https://raw.githubusercontent.com/msikma/pokesprite/master/misc/types/gen8/water.png",4,20,20)</f>
        <v/>
      </c>
      <c r="N1016" s="6874"/>
      <c r="O1016" s="6892" t="s">
        <v>130</v>
      </c>
      <c r="P1016" s="6893"/>
      <c r="Q1016" s="6902"/>
      <c r="R1016" s="6903" t="str">
        <f>IMAGE("https://raw.githubusercontent.com/msikma/pokesprite/master/misc/types/gen8/poison.png",4,20,20)</f>
        <v/>
      </c>
      <c r="S1016" s="6862"/>
      <c r="T1016" s="6892" t="s">
        <v>844</v>
      </c>
      <c r="U1016" s="6893"/>
      <c r="V1016" s="6902"/>
      <c r="W1016" s="6903" t="str">
        <f>IMAGE("https://raw.githubusercontent.com/msikma/pokesprite/master/misc/types/gen8/electric.png",4,20,20)</f>
        <v/>
      </c>
      <c r="X1016" s="6862"/>
      <c r="Y1016" s="6892" t="s">
        <v>546</v>
      </c>
      <c r="Z1016" s="6893"/>
      <c r="AA1016" s="6902"/>
      <c r="AB1016" s="6903" t="str">
        <f>IMAGE("https://raw.githubusercontent.com/msikma/pokesprite/master/misc/types/gen8/flying.png",4,20,20)</f>
        <v/>
      </c>
      <c r="AC1016" s="6865"/>
      <c r="AD1016" s="6862"/>
      <c r="AE1016" s="6863"/>
      <c r="AF1016" s="6863"/>
      <c r="AG1016" s="6864"/>
      <c r="AH1016" s="6866"/>
      <c r="AI1016" s="6680"/>
    </row>
    <row r="1017" ht="20.25" customHeight="1">
      <c r="A1017" s="6676"/>
      <c r="B1017" s="6856"/>
      <c r="C1017" s="6904"/>
      <c r="D1017" s="6862"/>
      <c r="E1017" s="6895" t="s">
        <v>546</v>
      </c>
      <c r="F1017" s="6863"/>
      <c r="G1017" s="6864"/>
      <c r="H1017" s="6905" t="str">
        <f>IMAGE("https://raw.githubusercontent.com/msikma/pokesprite/master/misc/types/gen8/flying.png",4,20,20)</f>
        <v/>
      </c>
      <c r="I1017" s="6874"/>
      <c r="J1017" s="6895" t="s">
        <v>259</v>
      </c>
      <c r="K1017" s="6863"/>
      <c r="L1017" s="6864"/>
      <c r="M1017" s="6905" t="str">
        <f>IMAGE("https://raw.githubusercontent.com/msikma/pokesprite/master/misc/types/gen8/dark.png",4,20,20)</f>
        <v/>
      </c>
      <c r="N1017" s="6860"/>
      <c r="O1017" s="6895" t="s">
        <v>670</v>
      </c>
      <c r="P1017" s="6863"/>
      <c r="Q1017" s="6864"/>
      <c r="R1017" s="6905" t="str">
        <f>IMAGE("https://raw.githubusercontent.com/msikma/pokesprite/master/misc/types/gen8/ice.png",4,20,20)</f>
        <v/>
      </c>
      <c r="S1017" s="6862"/>
      <c r="T1017" s="6895" t="s">
        <v>699</v>
      </c>
      <c r="U1017" s="6863"/>
      <c r="V1017" s="6864"/>
      <c r="W1017" s="6905" t="str">
        <f>IMAGE("https://raw.githubusercontent.com/msikma/pokesprite/master/misc/types/gen8/water.png",4,20,20)</f>
        <v/>
      </c>
      <c r="X1017" s="6862"/>
      <c r="Y1017" s="6895" t="s">
        <v>610</v>
      </c>
      <c r="Z1017" s="6863"/>
      <c r="AA1017" s="6864"/>
      <c r="AB1017" s="6905" t="str">
        <f>IMAGE("https://raw.githubusercontent.com/msikma/pokesprite/master/misc/types/gen8/normal.png",4,20,20)</f>
        <v/>
      </c>
      <c r="AC1017" s="6865"/>
      <c r="AD1017" s="6862"/>
      <c r="AE1017" s="6863"/>
      <c r="AF1017" s="6863"/>
      <c r="AG1017" s="6864"/>
      <c r="AH1017" s="6866"/>
      <c r="AI1017" s="6680"/>
    </row>
    <row r="1018" ht="20.25" customHeight="1">
      <c r="A1018" s="6676"/>
      <c r="B1018" s="6856"/>
      <c r="C1018" s="6904"/>
      <c r="D1018" s="6862"/>
      <c r="E1018" s="6895" t="s">
        <v>670</v>
      </c>
      <c r="F1018" s="6863"/>
      <c r="G1018" s="6864"/>
      <c r="H1018" s="6905" t="str">
        <f>IMAGE("https://raw.githubusercontent.com/msikma/pokesprite/master/misc/types/gen8/ice.png",4,20,20)</f>
        <v/>
      </c>
      <c r="I1018" s="6874"/>
      <c r="J1018" s="6895" t="s">
        <v>2171</v>
      </c>
      <c r="K1018" s="6863"/>
      <c r="L1018" s="6864"/>
      <c r="M1018" s="6905" t="str">
        <f>IMAGE("https://raw.githubusercontent.com/msikma/pokesprite/master/misc/types/gen8/psychic.png",4,20,20)</f>
        <v/>
      </c>
      <c r="N1018" s="6860"/>
      <c r="O1018" s="6895" t="s">
        <v>738</v>
      </c>
      <c r="P1018" s="6863"/>
      <c r="Q1018" s="6864"/>
      <c r="R1018" s="6905" t="str">
        <f>IMAGE("https://raw.githubusercontent.com/msikma/pokesprite/master/misc/types/gen8/psychic.png",4,20,20)</f>
        <v/>
      </c>
      <c r="S1018" s="6862"/>
      <c r="T1018" s="6895" t="s">
        <v>587</v>
      </c>
      <c r="U1018" s="6863"/>
      <c r="V1018" s="6864"/>
      <c r="W1018" s="6905" t="str">
        <f>IMAGE("https://raw.githubusercontent.com/msikma/pokesprite/master/misc/types/gen8/ice.png",4,20,20)</f>
        <v/>
      </c>
      <c r="X1018" s="6862"/>
      <c r="Y1018" s="6895" t="s">
        <v>590</v>
      </c>
      <c r="Z1018" s="6863"/>
      <c r="AA1018" s="6864"/>
      <c r="AB1018" s="6905" t="str">
        <f>IMAGE("https://raw.githubusercontent.com/msikma/pokesprite/master/misc/types/gen8/fighting.png",4,20,20)</f>
        <v/>
      </c>
      <c r="AC1018" s="6865"/>
      <c r="AD1018" s="6862"/>
      <c r="AE1018" s="6863"/>
      <c r="AF1018" s="6863"/>
      <c r="AG1018" s="6864"/>
      <c r="AH1018" s="6866"/>
      <c r="AI1018" s="6680"/>
    </row>
    <row r="1019" ht="21.0" customHeight="1">
      <c r="A1019" s="6676"/>
      <c r="B1019" s="6856"/>
      <c r="C1019" s="6904"/>
      <c r="D1019" s="6862"/>
      <c r="E1019" s="6906" t="s">
        <v>612</v>
      </c>
      <c r="F1019" s="6907"/>
      <c r="G1019" s="6908"/>
      <c r="H1019" s="6909" t="str">
        <f>IMAGE("https://raw.githubusercontent.com/msikma/pokesprite/master/misc/types/gen8/bug.png",4,20,20)</f>
        <v/>
      </c>
      <c r="I1019" s="6874"/>
      <c r="J1019" s="6906" t="s">
        <v>670</v>
      </c>
      <c r="K1019" s="6907"/>
      <c r="L1019" s="6908"/>
      <c r="M1019" s="6909" t="str">
        <f>IMAGE("https://raw.githubusercontent.com/msikma/pokesprite/master/misc/types/gen8/ice.png",4,20,20)</f>
        <v/>
      </c>
      <c r="N1019" s="6860"/>
      <c r="O1019" s="6906" t="s">
        <v>544</v>
      </c>
      <c r="P1019" s="6907"/>
      <c r="Q1019" s="6908"/>
      <c r="R1019" s="6909" t="str">
        <f>IMAGE("https://raw.githubusercontent.com/msikma/pokesprite/master/misc/types/gen8/water.png",4,20,20)</f>
        <v/>
      </c>
      <c r="S1019" s="6862"/>
      <c r="T1019" s="6906" t="s">
        <v>647</v>
      </c>
      <c r="U1019" s="6907"/>
      <c r="V1019" s="6908"/>
      <c r="W1019" s="6909" t="str">
        <f>IMAGE("https://raw.githubusercontent.com/msikma/pokesprite/master/misc/types/gen8/ghost.png",4,20,20)</f>
        <v/>
      </c>
      <c r="X1019" s="6862"/>
      <c r="Y1019" s="6906" t="s">
        <v>585</v>
      </c>
      <c r="Z1019" s="6907"/>
      <c r="AA1019" s="6908"/>
      <c r="AB1019" s="6909" t="str">
        <f>IMAGE("https://raw.githubusercontent.com/msikma/pokesprite/master/misc/types/gen8/dragon.png",4,20,20)</f>
        <v/>
      </c>
      <c r="AC1019" s="6865"/>
      <c r="AD1019" s="6862"/>
      <c r="AE1019" s="6863"/>
      <c r="AF1019" s="6863"/>
      <c r="AG1019" s="6864"/>
      <c r="AH1019" s="6866"/>
      <c r="AI1019" s="6680"/>
    </row>
    <row r="1020" ht="3.0" customHeight="1">
      <c r="A1020" s="6738"/>
      <c r="B1020" s="6910"/>
      <c r="C1020" s="6911"/>
      <c r="D1020" s="6912"/>
      <c r="E1020" s="6915"/>
      <c r="F1020" s="6915"/>
      <c r="G1020" s="6915"/>
      <c r="H1020" s="6914"/>
      <c r="I1020" s="6912"/>
      <c r="J1020" s="6915"/>
      <c r="K1020" s="6915"/>
      <c r="L1020" s="6915"/>
      <c r="M1020" s="6913"/>
      <c r="N1020" s="6912"/>
      <c r="O1020" s="6915"/>
      <c r="P1020" s="6915"/>
      <c r="Q1020" s="6915"/>
      <c r="R1020" s="6914"/>
      <c r="S1020" s="6914"/>
      <c r="T1020" s="6915"/>
      <c r="U1020" s="6915"/>
      <c r="V1020" s="6915"/>
      <c r="W1020" s="6914"/>
      <c r="X1020" s="6914"/>
      <c r="Y1020" s="6915"/>
      <c r="Z1020" s="6915"/>
      <c r="AA1020" s="6915"/>
      <c r="AB1020" s="6914"/>
      <c r="AC1020" s="6916"/>
      <c r="AD1020" s="6914"/>
      <c r="AE1020" s="6914"/>
      <c r="AF1020" s="6914"/>
      <c r="AG1020" s="6914"/>
      <c r="AH1020" s="6917"/>
      <c r="AI1020" s="6747"/>
    </row>
    <row r="1021" ht="16.5" customHeight="1">
      <c r="A1021" s="6738"/>
      <c r="B1021" s="6918"/>
      <c r="C1021" s="6911"/>
      <c r="D1021" s="6922"/>
      <c r="E1021" s="6920" t="s">
        <v>512</v>
      </c>
      <c r="F1021" s="606"/>
      <c r="G1021" s="606"/>
      <c r="H1021" s="607"/>
      <c r="I1021" s="6921"/>
      <c r="J1021" s="6920" t="s">
        <v>512</v>
      </c>
      <c r="K1021" s="606"/>
      <c r="L1021" s="606"/>
      <c r="M1021" s="607"/>
      <c r="N1021" s="6922"/>
      <c r="O1021" s="6920" t="s">
        <v>512</v>
      </c>
      <c r="P1021" s="606"/>
      <c r="Q1021" s="606"/>
      <c r="R1021" s="607"/>
      <c r="S1021" s="6952"/>
      <c r="T1021" s="6920" t="s">
        <v>512</v>
      </c>
      <c r="U1021" s="606"/>
      <c r="V1021" s="606"/>
      <c r="W1021" s="607"/>
      <c r="X1021" s="7603"/>
      <c r="Y1021" s="6920" t="s">
        <v>512</v>
      </c>
      <c r="Z1021" s="606"/>
      <c r="AA1021" s="606"/>
      <c r="AB1021" s="607"/>
      <c r="AC1021" s="6861"/>
      <c r="AD1021" s="6865"/>
      <c r="AE1021" s="6865"/>
      <c r="AF1021" s="6865"/>
      <c r="AG1021" s="6923"/>
      <c r="AH1021" s="6924"/>
      <c r="AI1021" s="6747"/>
    </row>
    <row r="1022" ht="16.5" customHeight="1">
      <c r="A1022" s="6738"/>
      <c r="B1022" s="6918"/>
      <c r="C1022" s="6911"/>
      <c r="D1022" s="6919"/>
      <c r="E1022" s="6925" t="s">
        <v>513</v>
      </c>
      <c r="F1022" s="6926">
        <f t="array" ref="F1022">IFERROR(VLOOKUP(E1009,Dex!$B$3:$N1219,8,FALSE),"")</f>
        <v>60</v>
      </c>
      <c r="G1022" s="6927" t="str">
        <f t="array" ref="G1022">IFERROR(VLOOKUP(F1022,Dex!$P$22:$Q$276,2,FALSE),"")</f>
        <v/>
      </c>
      <c r="H1022" s="6928"/>
      <c r="I1022" s="6929"/>
      <c r="J1022" s="6925" t="s">
        <v>513</v>
      </c>
      <c r="K1022" s="6926">
        <f t="array" ref="K1022">IFERROR(VLOOKUP(J1009,Dex!$B$3:$N1219,8,FALSE),"")</f>
        <v>80</v>
      </c>
      <c r="L1022" s="6927" t="str">
        <f t="array" ref="L1022">IFERROR(VLOOKUP(K1022,Dex!$P$22:$Q$276,2,FALSE),"")</f>
        <v/>
      </c>
      <c r="M1022" s="6928"/>
      <c r="N1022" s="6919"/>
      <c r="O1022" s="6925" t="s">
        <v>513</v>
      </c>
      <c r="P1022" s="6926">
        <f t="array" ref="P1022">IFERROR(VLOOKUP(O1009,Dex!$B$3:$N1219,8,FALSE),"")</f>
        <v>130</v>
      </c>
      <c r="Q1022" s="6927" t="str">
        <f t="array" ref="Q1022">IFERROR(VLOOKUP(P1022,Dex!$P$22:$Q$276,2,FALSE),"")</f>
        <v/>
      </c>
      <c r="R1022" s="6928"/>
      <c r="S1022" s="6930"/>
      <c r="T1022" s="6925" t="s">
        <v>513</v>
      </c>
      <c r="U1022" s="6926">
        <f t="array" ref="U1022">IFERROR(VLOOKUP(T1009,Dex!$B$3:$N1219,8,FALSE),"")</f>
        <v>65</v>
      </c>
      <c r="V1022" s="6927" t="str">
        <f t="array" ref="V1022">IFERROR(VLOOKUP(U1022,Dex!$P$22:$Q$276,2,FALSE),"")</f>
        <v/>
      </c>
      <c r="W1022" s="6928"/>
      <c r="X1022" s="7604"/>
      <c r="Y1022" s="6925" t="s">
        <v>513</v>
      </c>
      <c r="Z1022" s="6926">
        <f t="array" ref="Z1022">IFERROR(VLOOKUP(Y1009,Dex!$B$3:$N1219,8,FALSE),"")</f>
        <v>85</v>
      </c>
      <c r="AA1022" s="6927" t="str">
        <f t="array" ref="AA1022">IFERROR(VLOOKUP(Z1022,Dex!$P$22:$Q$276,2,FALSE),"")</f>
        <v/>
      </c>
      <c r="AB1022" s="6928"/>
      <c r="AC1022" s="6861"/>
      <c r="AD1022" s="6865"/>
      <c r="AE1022" s="6865"/>
      <c r="AF1022" s="6865"/>
      <c r="AG1022" s="6923"/>
      <c r="AH1022" s="6924"/>
      <c r="AI1022" s="6747"/>
    </row>
    <row r="1023" ht="16.5" customHeight="1">
      <c r="A1023" s="6738"/>
      <c r="B1023" s="6918"/>
      <c r="C1023" s="6911"/>
      <c r="D1023" s="6919"/>
      <c r="E1023" s="6931" t="s">
        <v>514</v>
      </c>
      <c r="F1023" s="6932">
        <f t="array" ref="F1023">IFERROR(VLOOKUP(E1009,Dex!$B$3:$N1219,9,FALSE),"")</f>
        <v>50</v>
      </c>
      <c r="G1023" s="6933" t="str">
        <f t="array" ref="G1023">IFERROR(VLOOKUP(F1023,Dex!$P$22:$Q$276,2,FALSE),"")</f>
        <v/>
      </c>
      <c r="H1023" s="6934"/>
      <c r="I1023" s="6929"/>
      <c r="J1023" s="6931" t="s">
        <v>514</v>
      </c>
      <c r="K1023" s="6932">
        <f t="array" ref="K1023">IFERROR(VLOOKUP(J1009,Dex!$B$3:$N1219,9,FALSE),"")</f>
        <v>82</v>
      </c>
      <c r="L1023" s="6933" t="str">
        <f t="array" ref="L1023">IFERROR(VLOOKUP(K1023,Dex!$P$22:$Q$276,2,FALSE),"")</f>
        <v/>
      </c>
      <c r="M1023" s="6934"/>
      <c r="N1023" s="6919"/>
      <c r="O1023" s="6931" t="s">
        <v>514</v>
      </c>
      <c r="P1023" s="6932">
        <f t="array" ref="P1023">IFERROR(VLOOKUP(O1009,Dex!$B$3:$N1219,9,FALSE),"")</f>
        <v>65</v>
      </c>
      <c r="Q1023" s="6933" t="str">
        <f t="array" ref="Q1023">IFERROR(VLOOKUP(P1023,Dex!$P$22:$Q$276,2,FALSE),"")</f>
        <v/>
      </c>
      <c r="R1023" s="6934"/>
      <c r="S1023" s="6930"/>
      <c r="T1023" s="6931" t="s">
        <v>514</v>
      </c>
      <c r="U1023" s="6932">
        <f t="array" ref="U1023">IFERROR(VLOOKUP(T1009,Dex!$B$3:$N1219,9,FALSE),"")</f>
        <v>65</v>
      </c>
      <c r="V1023" s="6933" t="str">
        <f t="array" ref="V1023">IFERROR(VLOOKUP(U1023,Dex!$P$22:$Q$276,2,FALSE),"")</f>
        <v/>
      </c>
      <c r="W1023" s="6934"/>
      <c r="X1023" s="7604"/>
      <c r="Y1023" s="6931" t="s">
        <v>514</v>
      </c>
      <c r="Z1023" s="6932">
        <f t="array" ref="Z1023">IFERROR(VLOOKUP(Y1009,Dex!$B$3:$N1219,9,FALSE),"")</f>
        <v>70</v>
      </c>
      <c r="AA1023" s="6933" t="str">
        <f t="array" ref="AA1023">IFERROR(VLOOKUP(Z1023,Dex!$P$22:$Q$276,2,FALSE),"")</f>
        <v/>
      </c>
      <c r="AB1023" s="6934"/>
      <c r="AC1023" s="6951"/>
      <c r="AD1023" s="6863"/>
      <c r="AE1023" s="6863"/>
      <c r="AF1023" s="6864"/>
      <c r="AG1023" s="6923"/>
      <c r="AH1023" s="6924"/>
      <c r="AI1023" s="6747"/>
    </row>
    <row r="1024" ht="16.5" customHeight="1">
      <c r="A1024" s="6738"/>
      <c r="B1024" s="6918"/>
      <c r="C1024" s="6911"/>
      <c r="D1024" s="6919"/>
      <c r="E1024" s="6931" t="s">
        <v>515</v>
      </c>
      <c r="F1024" s="6932">
        <f t="array" ref="F1024">IFERROR(VLOOKUP(E1009,Dex!$B$3:$N1219,10,FALSE),"")</f>
        <v>100</v>
      </c>
      <c r="G1024" s="6933" t="str">
        <f t="array" ref="G1024">IFERROR(VLOOKUP(F1024,Dex!$P$22:$Q$276,2,FALSE),"")</f>
        <v/>
      </c>
      <c r="H1024" s="6934"/>
      <c r="I1024" s="6929"/>
      <c r="J1024" s="6931" t="s">
        <v>515</v>
      </c>
      <c r="K1024" s="6932">
        <f t="array" ref="K1024">IFERROR(VLOOKUP(J1009,Dex!$B$3:$N1219,10,FALSE),"")</f>
        <v>78</v>
      </c>
      <c r="L1024" s="6933" t="str">
        <f t="array" ref="L1024">IFERROR(VLOOKUP(K1024,Dex!$P$22:$Q$276,2,FALSE),"")</f>
        <v/>
      </c>
      <c r="M1024" s="6934"/>
      <c r="N1024" s="6919"/>
      <c r="O1024" s="6931" t="s">
        <v>515</v>
      </c>
      <c r="P1024" s="6932">
        <f t="array" ref="P1024">IFERROR(VLOOKUP(O1009,Dex!$B$3:$N1219,10,FALSE),"")</f>
        <v>60</v>
      </c>
      <c r="Q1024" s="6933" t="str">
        <f t="array" ref="Q1024">IFERROR(VLOOKUP(P1024,Dex!$P$22:$Q$276,2,FALSE),"")</f>
        <v/>
      </c>
      <c r="R1024" s="6934"/>
      <c r="S1024" s="6930"/>
      <c r="T1024" s="6931" t="s">
        <v>515</v>
      </c>
      <c r="U1024" s="6932">
        <f t="array" ref="U1024">IFERROR(VLOOKUP(T1009,Dex!$B$3:$N1219,10,FALSE),"")</f>
        <v>60</v>
      </c>
      <c r="V1024" s="6933" t="str">
        <f t="array" ref="V1024">IFERROR(VLOOKUP(U1024,Dex!$P$22:$Q$276,2,FALSE),"")</f>
        <v/>
      </c>
      <c r="W1024" s="6934"/>
      <c r="X1024" s="7604"/>
      <c r="Y1024" s="6931" t="s">
        <v>515</v>
      </c>
      <c r="Z1024" s="6932">
        <f t="array" ref="Z1024">IFERROR(VLOOKUP(Y1009,Dex!$B$3:$N1219,10,FALSE),"")</f>
        <v>80</v>
      </c>
      <c r="AA1024" s="6933" t="str">
        <f t="array" ref="AA1024">IFERROR(VLOOKUP(Z1024,Dex!$P$22:$Q$276,2,FALSE),"")</f>
        <v/>
      </c>
      <c r="AB1024" s="6934"/>
      <c r="AC1024" s="6951"/>
      <c r="AD1024" s="6863"/>
      <c r="AE1024" s="6863"/>
      <c r="AF1024" s="6864"/>
      <c r="AG1024" s="6923"/>
      <c r="AH1024" s="6924"/>
      <c r="AI1024" s="6747"/>
    </row>
    <row r="1025" ht="16.5" customHeight="1">
      <c r="A1025" s="6738"/>
      <c r="B1025" s="6918"/>
      <c r="C1025" s="6911"/>
      <c r="D1025" s="6919"/>
      <c r="E1025" s="6931" t="s">
        <v>516</v>
      </c>
      <c r="F1025" s="6932">
        <f t="array" ref="F1025">IFERROR(VLOOKUP(E1009,Dex!$B$3:$N1219,11,FALSE),"")</f>
        <v>95</v>
      </c>
      <c r="G1025" s="6933" t="str">
        <f t="array" ref="G1025">IFERROR(VLOOKUP(F1025,Dex!$P$22:$Q$276,2,FALSE),"")</f>
        <v/>
      </c>
      <c r="H1025" s="6934"/>
      <c r="I1025" s="6929"/>
      <c r="J1025" s="6931" t="s">
        <v>516</v>
      </c>
      <c r="K1025" s="6932">
        <f t="array" ref="K1025">IFERROR(VLOOKUP(J1009,Dex!$B$3:$N1219,11,FALSE),"")</f>
        <v>100</v>
      </c>
      <c r="L1025" s="6933" t="str">
        <f t="array" ref="L1025">IFERROR(VLOOKUP(K1025,Dex!$P$22:$Q$276,2,FALSE),"")</f>
        <v/>
      </c>
      <c r="M1025" s="6934"/>
      <c r="N1025" s="6919"/>
      <c r="O1025" s="6931" t="s">
        <v>516</v>
      </c>
      <c r="P1025" s="6932">
        <f t="array" ref="P1025">IFERROR(VLOOKUP(O1009,Dex!$B$3:$N1219,11,FALSE),"")</f>
        <v>110</v>
      </c>
      <c r="Q1025" s="6933" t="str">
        <f t="array" ref="Q1025">IFERROR(VLOOKUP(P1025,Dex!$P$22:$Q$276,2,FALSE),"")</f>
        <v/>
      </c>
      <c r="R1025" s="6934"/>
      <c r="S1025" s="6930"/>
      <c r="T1025" s="6931" t="s">
        <v>516</v>
      </c>
      <c r="U1025" s="6932">
        <f t="array" ref="U1025">IFERROR(VLOOKUP(T1009,Dex!$B$3:$N1219,11,FALSE),"")</f>
        <v>110</v>
      </c>
      <c r="V1025" s="6933" t="str">
        <f t="array" ref="V1025">IFERROR(VLOOKUP(U1025,Dex!$P$22:$Q$276,2,FALSE),"")</f>
        <v/>
      </c>
      <c r="W1025" s="6934"/>
      <c r="X1025" s="7604"/>
      <c r="Y1025" s="6931" t="s">
        <v>516</v>
      </c>
      <c r="Z1025" s="6932">
        <f t="array" ref="Z1025">IFERROR(VLOOKUP(Y1009,Dex!$B$3:$N1219,11,FALSE),"")</f>
        <v>102</v>
      </c>
      <c r="AA1025" s="6933" t="str">
        <f t="array" ref="AA1025">IFERROR(VLOOKUP(Z1025,Dex!$P$22:$Q$276,2,FALSE),"")</f>
        <v/>
      </c>
      <c r="AB1025" s="6934"/>
      <c r="AC1025" s="6951"/>
      <c r="AD1025" s="6863"/>
      <c r="AE1025" s="6863"/>
      <c r="AF1025" s="6864"/>
      <c r="AG1025" s="6923"/>
      <c r="AH1025" s="6924"/>
      <c r="AI1025" s="6747"/>
    </row>
    <row r="1026" ht="16.5" customHeight="1">
      <c r="A1026" s="6738"/>
      <c r="B1026" s="6918"/>
      <c r="C1026" s="6911"/>
      <c r="D1026" s="6919"/>
      <c r="E1026" s="6931" t="s">
        <v>517</v>
      </c>
      <c r="F1026" s="6932">
        <f t="array" ref="F1026">IFERROR(VLOOKUP(E1009,Dex!$B$3:$N1219,12,FALSE),"")</f>
        <v>70</v>
      </c>
      <c r="G1026" s="6933" t="str">
        <f t="array" ref="G1026">IFERROR(VLOOKUP(F1026,Dex!$P$22:$Q$276,2,FALSE),"")</f>
        <v/>
      </c>
      <c r="H1026" s="6934"/>
      <c r="I1026" s="6929"/>
      <c r="J1026" s="6931" t="s">
        <v>517</v>
      </c>
      <c r="K1026" s="6932">
        <f t="array" ref="K1026">IFERROR(VLOOKUP(J1009,Dex!$B$3:$N1219,12,FALSE),"")</f>
        <v>80</v>
      </c>
      <c r="L1026" s="6933" t="str">
        <f t="array" ref="L1026">IFERROR(VLOOKUP(K1026,Dex!$P$22:$Q$276,2,FALSE),"")</f>
        <v/>
      </c>
      <c r="M1026" s="6934"/>
      <c r="N1026" s="6919"/>
      <c r="O1026" s="6931" t="s">
        <v>517</v>
      </c>
      <c r="P1026" s="6932">
        <f t="array" ref="P1026">IFERROR(VLOOKUP(O1009,Dex!$B$3:$N1219,12,FALSE),"")</f>
        <v>95</v>
      </c>
      <c r="Q1026" s="6933" t="str">
        <f t="array" ref="Q1026">IFERROR(VLOOKUP(P1026,Dex!$P$22:$Q$276,2,FALSE),"")</f>
        <v/>
      </c>
      <c r="R1026" s="6934"/>
      <c r="S1026" s="6930"/>
      <c r="T1026" s="6931" t="s">
        <v>517</v>
      </c>
      <c r="U1026" s="6932">
        <f t="array" ref="U1026">IFERROR(VLOOKUP(T1009,Dex!$B$3:$N1219,12,FALSE),"")</f>
        <v>95</v>
      </c>
      <c r="V1026" s="6933" t="str">
        <f t="array" ref="V1026">IFERROR(VLOOKUP(U1026,Dex!$P$22:$Q$276,2,FALSE),"")</f>
        <v/>
      </c>
      <c r="W1026" s="6934"/>
      <c r="X1026" s="7604"/>
      <c r="Y1026" s="6931" t="s">
        <v>517</v>
      </c>
      <c r="Z1026" s="6932">
        <f t="array" ref="Z1026">IFERROR(VLOOKUP(Y1009,Dex!$B$3:$N1219,12,FALSE),"")</f>
        <v>80</v>
      </c>
      <c r="AA1026" s="6933" t="str">
        <f t="array" ref="AA1026">IFERROR(VLOOKUP(Z1026,Dex!$P$22:$Q$276,2,FALSE),"")</f>
        <v/>
      </c>
      <c r="AB1026" s="6934"/>
      <c r="AC1026" s="6951"/>
      <c r="AD1026" s="6863"/>
      <c r="AE1026" s="6863"/>
      <c r="AF1026" s="6864"/>
      <c r="AG1026" s="6923"/>
      <c r="AH1026" s="6924"/>
      <c r="AI1026" s="6747"/>
    </row>
    <row r="1027" ht="16.5" customHeight="1">
      <c r="A1027" s="6738"/>
      <c r="B1027" s="6918"/>
      <c r="C1027" s="6911"/>
      <c r="D1027" s="6919"/>
      <c r="E1027" s="6935" t="s">
        <v>518</v>
      </c>
      <c r="F1027" s="6936">
        <f t="array" ref="F1027">IFERROR(VLOOKUP(E1009,Dex!$B$3:$N1219,13,FALSE),"")</f>
        <v>65</v>
      </c>
      <c r="G1027" s="6937" t="str">
        <f t="array" ref="G1027">IFERROR(VLOOKUP(F1027,Dex!$P$22:$Q$276,2,FALSE),"")</f>
        <v/>
      </c>
      <c r="H1027" s="6938"/>
      <c r="I1027" s="6929"/>
      <c r="J1027" s="6935" t="s">
        <v>518</v>
      </c>
      <c r="K1027" s="6936">
        <f t="array" ref="K1027">IFERROR(VLOOKUP(J1009,Dex!$B$3:$N1219,13,FALSE),"")</f>
        <v>100</v>
      </c>
      <c r="L1027" s="6937" t="str">
        <f t="array" ref="L1027">IFERROR(VLOOKUP(K1027,Dex!$P$22:$Q$276,2,FALSE),"")</f>
        <v/>
      </c>
      <c r="M1027" s="6938"/>
      <c r="N1027" s="6919"/>
      <c r="O1027" s="6935" t="s">
        <v>518</v>
      </c>
      <c r="P1027" s="6936">
        <f t="array" ref="P1027">IFERROR(VLOOKUP(O1009,Dex!$B$3:$N1219,13,FALSE),"")</f>
        <v>65</v>
      </c>
      <c r="Q1027" s="6937" t="str">
        <f t="array" ref="Q1027">IFERROR(VLOOKUP(P1027,Dex!$P$22:$Q$276,2,FALSE),"")</f>
        <v/>
      </c>
      <c r="R1027" s="6938"/>
      <c r="S1027" s="6930"/>
      <c r="T1027" s="6935" t="s">
        <v>518</v>
      </c>
      <c r="U1027" s="6936">
        <f t="array" ref="U1027">IFERROR(VLOOKUP(T1009,Dex!$B$3:$N1219,13,FALSE),"")</f>
        <v>130</v>
      </c>
      <c r="V1027" s="6937" t="str">
        <f t="array" ref="V1027">IFERROR(VLOOKUP(U1027,Dex!$P$22:$Q$276,2,FALSE),"")</f>
        <v/>
      </c>
      <c r="W1027" s="6938"/>
      <c r="X1027" s="7604"/>
      <c r="Y1027" s="6935" t="s">
        <v>518</v>
      </c>
      <c r="Z1027" s="6936">
        <f t="array" ref="Z1027">IFERROR(VLOOKUP(Y1009,Dex!$B$3:$N1219,13,FALSE),"")</f>
        <v>123</v>
      </c>
      <c r="AA1027" s="6937" t="str">
        <f t="array" ref="AA1027">IFERROR(VLOOKUP(Z1027,Dex!$P$22:$Q$276,2,FALSE),"")</f>
        <v/>
      </c>
      <c r="AB1027" s="6938"/>
      <c r="AC1027" s="6951"/>
      <c r="AD1027" s="6863"/>
      <c r="AE1027" s="6863"/>
      <c r="AF1027" s="6864"/>
      <c r="AG1027" s="6865"/>
      <c r="AH1027" s="6924"/>
      <c r="AI1027" s="6747"/>
    </row>
    <row r="1028" ht="16.5" customHeight="1">
      <c r="A1028" s="6738"/>
      <c r="B1028" s="6918"/>
      <c r="C1028" s="6911"/>
      <c r="D1028" s="6922"/>
      <c r="E1028" s="6939" t="s">
        <v>519</v>
      </c>
      <c r="F1028" s="630"/>
      <c r="G1028" s="631"/>
      <c r="H1028" s="6940">
        <v>166.0</v>
      </c>
      <c r="I1028" s="6921"/>
      <c r="J1028" s="6953" t="s">
        <v>519</v>
      </c>
      <c r="K1028" s="635"/>
      <c r="L1028" s="636"/>
      <c r="M1028" s="6954">
        <v>259.0</v>
      </c>
      <c r="N1028" s="6922"/>
      <c r="O1028" s="6939" t="s">
        <v>519</v>
      </c>
      <c r="P1028" s="630"/>
      <c r="Q1028" s="631"/>
      <c r="R1028" s="6940">
        <v>166.0</v>
      </c>
      <c r="S1028" s="7098"/>
      <c r="T1028" s="6939" t="s">
        <v>519</v>
      </c>
      <c r="U1028" s="630"/>
      <c r="V1028" s="631"/>
      <c r="W1028" s="6940">
        <v>325.0</v>
      </c>
      <c r="X1028" s="7605"/>
      <c r="Y1028" s="6939" t="s">
        <v>519</v>
      </c>
      <c r="Z1028" s="630"/>
      <c r="AA1028" s="631"/>
      <c r="AB1028" s="6940">
        <v>310.0</v>
      </c>
      <c r="AC1028" s="6951"/>
      <c r="AD1028" s="6863"/>
      <c r="AE1028" s="6863"/>
      <c r="AF1028" s="6864"/>
      <c r="AG1028" s="6865"/>
      <c r="AH1028" s="6924"/>
      <c r="AI1028" s="6747"/>
    </row>
    <row r="1029" ht="16.5" customHeight="1">
      <c r="A1029" s="6738"/>
      <c r="B1029" s="6955"/>
      <c r="C1029" s="6956"/>
      <c r="D1029" s="6957"/>
      <c r="E1029" s="7606"/>
      <c r="F1029" s="7606"/>
      <c r="G1029" s="7606"/>
      <c r="H1029" s="6956"/>
      <c r="I1029" s="7099"/>
      <c r="J1029" s="6961" t="s">
        <v>555</v>
      </c>
      <c r="K1029" s="643"/>
      <c r="L1029" s="644"/>
      <c r="M1029" s="6787">
        <f>M1028*2</f>
        <v>518</v>
      </c>
      <c r="N1029" s="6957"/>
      <c r="O1029" s="7606"/>
      <c r="P1029" s="7606"/>
      <c r="Q1029" s="7606"/>
      <c r="R1029" s="6956"/>
      <c r="S1029" s="7100"/>
      <c r="T1029" s="7606"/>
      <c r="U1029" s="7606"/>
      <c r="V1029" s="7606"/>
      <c r="W1029" s="6956"/>
      <c r="X1029" s="7607"/>
      <c r="Y1029" s="7606"/>
      <c r="Z1029" s="7606"/>
      <c r="AA1029" s="7606"/>
      <c r="AB1029" s="6956"/>
      <c r="AC1029" s="7608"/>
      <c r="AD1029" s="7608"/>
      <c r="AE1029" s="7608"/>
      <c r="AF1029" s="7608"/>
      <c r="AG1029" s="6963"/>
      <c r="AH1029" s="6964"/>
      <c r="AI1029" s="6747"/>
    </row>
    <row r="1030" ht="15.0" customHeight="1">
      <c r="A1030" s="6738"/>
      <c r="B1030" s="6941"/>
      <c r="C1030" s="6942"/>
      <c r="D1030" s="6943"/>
      <c r="E1030" s="6944"/>
      <c r="F1030" s="6944"/>
      <c r="G1030" s="6944"/>
      <c r="H1030" s="6944"/>
      <c r="I1030" s="6945"/>
      <c r="J1030" s="6946"/>
      <c r="K1030" s="6946"/>
      <c r="L1030" s="6946"/>
      <c r="M1030" s="6944"/>
      <c r="N1030" s="6945"/>
      <c r="O1030" s="6944"/>
      <c r="P1030" s="6944"/>
      <c r="Q1030" s="6944"/>
      <c r="R1030" s="6944"/>
      <c r="S1030" s="6943"/>
      <c r="T1030" s="6944"/>
      <c r="U1030" s="6944"/>
      <c r="V1030" s="6944"/>
      <c r="W1030" s="6944"/>
      <c r="X1030" s="6943"/>
      <c r="Y1030" s="6947"/>
      <c r="Z1030" s="6948"/>
      <c r="AA1030" s="6948"/>
      <c r="AB1030" s="6949"/>
      <c r="AC1030" s="6943"/>
      <c r="AD1030" s="6943"/>
      <c r="AE1030" s="6943"/>
      <c r="AF1030" s="6943"/>
      <c r="AG1030" s="6943"/>
      <c r="AH1030" s="6950"/>
      <c r="AI1030" s="6747"/>
    </row>
    <row r="1031" ht="15.0" customHeight="1">
      <c r="A1031" s="6676"/>
      <c r="B1031" s="7496"/>
      <c r="C1031" s="7497"/>
      <c r="D1031" s="7497"/>
      <c r="E1031" s="7498"/>
      <c r="F1031" s="7498"/>
      <c r="G1031" s="7498"/>
      <c r="H1031" s="7498"/>
      <c r="I1031" s="7497"/>
      <c r="J1031" s="7498"/>
      <c r="K1031" s="7498"/>
      <c r="L1031" s="7498"/>
      <c r="M1031" s="7498"/>
      <c r="N1031" s="7497"/>
      <c r="O1031" s="7498"/>
      <c r="P1031" s="7498"/>
      <c r="Q1031" s="7498"/>
      <c r="R1031" s="7498"/>
      <c r="S1031" s="7497"/>
      <c r="T1031" s="7498"/>
      <c r="U1031" s="7498"/>
      <c r="V1031" s="7498"/>
      <c r="W1031" s="7498"/>
      <c r="X1031" s="7497"/>
      <c r="Y1031" s="7498"/>
      <c r="Z1031" s="7498"/>
      <c r="AA1031" s="7498"/>
      <c r="AB1031" s="7498"/>
      <c r="AC1031" s="7497"/>
      <c r="AD1031" s="7497"/>
      <c r="AE1031" s="7497"/>
      <c r="AF1031" s="7497"/>
      <c r="AG1031" s="7497"/>
      <c r="AH1031" s="7499"/>
      <c r="AI1031" s="6680"/>
    </row>
    <row r="1032" ht="96.75" customHeight="1">
      <c r="A1032" s="6676"/>
      <c r="B1032" s="7500"/>
      <c r="C1032" s="7501" t="str">
        <f>IMAGE("https://i.ibb.co/dbpWnbD/Tuber.png")</f>
        <v/>
      </c>
      <c r="D1032" s="7502"/>
      <c r="E1032" s="7503" t="str">
        <f t="array" ref="E1032">IFERROR(VLOOKUP(E1033,Dex!$B$3:$G1219,3,FALSE),"")</f>
        <v/>
      </c>
      <c r="F1032" s="1945"/>
      <c r="G1032" s="1945"/>
      <c r="H1032" s="1946"/>
      <c r="I1032" s="7504"/>
      <c r="J1032" s="7503" t="str">
        <f t="array" ref="J1032">IFERROR(VLOOKUP(J1033,Dex!$B$3:$G1219,3,FALSE),"")</f>
        <v/>
      </c>
      <c r="K1032" s="1945"/>
      <c r="L1032" s="1945"/>
      <c r="M1032" s="1946"/>
      <c r="N1032" s="7504"/>
      <c r="O1032" s="7503" t="str">
        <f t="array" ref="O1032">IFERROR(VLOOKUP(O1033,Dex!$B$3:$G1219,3,FALSE),"")</f>
        <v/>
      </c>
      <c r="P1032" s="1945"/>
      <c r="Q1032" s="1945"/>
      <c r="R1032" s="1946"/>
      <c r="S1032" s="7504"/>
      <c r="T1032" s="7503" t="str">
        <f t="array" ref="T1032">IFERROR(VLOOKUP(T1033,Dex!$B$3:$G1219,3,FALSE),"")</f>
        <v/>
      </c>
      <c r="U1032" s="1945"/>
      <c r="V1032" s="1945"/>
      <c r="W1032" s="1946"/>
      <c r="X1032" s="7504"/>
      <c r="Y1032" s="7503" t="str">
        <f t="array" ref="Y1032">IFERROR(VLOOKUP(Y1033,Dex!$B$3:$G1219,3,FALSE),"")</f>
        <v/>
      </c>
      <c r="Z1032" s="1945"/>
      <c r="AA1032" s="1945"/>
      <c r="AB1032" s="1946"/>
      <c r="AC1032" s="7505"/>
      <c r="AD1032" s="7506"/>
      <c r="AE1032" s="7507"/>
      <c r="AF1032" s="7507"/>
      <c r="AG1032" s="7508"/>
      <c r="AH1032" s="7509"/>
      <c r="AI1032" s="6680"/>
    </row>
    <row r="1033" ht="18.75" customHeight="1">
      <c r="A1033" s="6691"/>
      <c r="B1033" s="7510"/>
      <c r="C1033" s="7511" t="s">
        <v>2172</v>
      </c>
      <c r="D1033" s="7512"/>
      <c r="E1033" s="7513" t="s">
        <v>2173</v>
      </c>
      <c r="F1033" s="7514"/>
      <c r="G1033" s="7514"/>
      <c r="H1033" s="7515"/>
      <c r="I1033" s="7504"/>
      <c r="J1033" s="7513" t="s">
        <v>1030</v>
      </c>
      <c r="K1033" s="7514"/>
      <c r="L1033" s="7514"/>
      <c r="M1033" s="7515"/>
      <c r="N1033" s="7504"/>
      <c r="O1033" s="7609" t="s">
        <v>2071</v>
      </c>
      <c r="P1033" s="7514"/>
      <c r="Q1033" s="7514"/>
      <c r="R1033" s="7515"/>
      <c r="S1033" s="7504"/>
      <c r="T1033" s="7513" t="s">
        <v>164</v>
      </c>
      <c r="U1033" s="7514"/>
      <c r="V1033" s="7514"/>
      <c r="W1033" s="7515"/>
      <c r="X1033" s="7504"/>
      <c r="Y1033" s="7513" t="s">
        <v>1644</v>
      </c>
      <c r="Z1033" s="7514"/>
      <c r="AA1033" s="7514"/>
      <c r="AB1033" s="7515"/>
      <c r="AC1033" s="7516"/>
      <c r="AD1033" s="7517"/>
      <c r="AE1033" s="7507"/>
      <c r="AF1033" s="7507"/>
      <c r="AG1033" s="7508"/>
      <c r="AH1033" s="7518"/>
      <c r="AI1033" s="6699"/>
    </row>
    <row r="1034">
      <c r="A1034" s="6676"/>
      <c r="B1034" s="7500"/>
      <c r="C1034" s="1638"/>
      <c r="D1034" s="7519"/>
      <c r="E1034" s="7520" t="s">
        <v>729</v>
      </c>
      <c r="F1034" s="7521"/>
      <c r="G1034" s="7521"/>
      <c r="H1034" s="7522"/>
      <c r="I1034" s="7504"/>
      <c r="J1034" s="7520" t="s">
        <v>729</v>
      </c>
      <c r="K1034" s="7521"/>
      <c r="L1034" s="7521"/>
      <c r="M1034" s="7522"/>
      <c r="N1034" s="7504"/>
      <c r="O1034" s="7520" t="s">
        <v>729</v>
      </c>
      <c r="P1034" s="7521"/>
      <c r="Q1034" s="7521"/>
      <c r="R1034" s="7522"/>
      <c r="S1034" s="7504"/>
      <c r="T1034" s="7520" t="s">
        <v>729</v>
      </c>
      <c r="U1034" s="7521"/>
      <c r="V1034" s="7521"/>
      <c r="W1034" s="7522"/>
      <c r="X1034" s="7504"/>
      <c r="Y1034" s="7520" t="s">
        <v>729</v>
      </c>
      <c r="Z1034" s="7521"/>
      <c r="AA1034" s="7521"/>
      <c r="AB1034" s="7522"/>
      <c r="AC1034" s="7505"/>
      <c r="AD1034" s="7506"/>
      <c r="AE1034" s="7507"/>
      <c r="AF1034" s="7507"/>
      <c r="AG1034" s="7508"/>
      <c r="AH1034" s="7509"/>
      <c r="AI1034" s="6680"/>
    </row>
    <row r="1035" ht="25.5" customHeight="1">
      <c r="A1035" s="6676"/>
      <c r="B1035" s="7500"/>
      <c r="C1035" s="1646"/>
      <c r="D1035" s="7523"/>
      <c r="E1035" s="7524"/>
      <c r="F1035" s="7525" t="str">
        <f t="array" ref="F1035">IFERROR(VLOOKUP(E1033,Dex!$B$3:$H1219,5,FALSE),"")</f>
        <v/>
      </c>
      <c r="G1035" s="7526" t="str">
        <f t="array" ref="G1035">IFERROR(VLOOKUP(E1033,Dex!$B$3:$H1219,7,FALSE),"")</f>
        <v/>
      </c>
      <c r="H1035" s="7527"/>
      <c r="I1035" s="7528"/>
      <c r="J1035" s="7524"/>
      <c r="K1035" s="7525" t="str">
        <f t="array" ref="K1035">IFERROR(VLOOKUP(J1033,Dex!$B$3:$H1219,5,FALSE),"")</f>
        <v/>
      </c>
      <c r="L1035" s="7526" t="str">
        <f t="array" ref="L1035">IFERROR(VLOOKUP(J1033,Dex!$B$3:$H1219,7,FALSE),"")</f>
        <v/>
      </c>
      <c r="M1035" s="7527"/>
      <c r="N1035" s="7528"/>
      <c r="O1035" s="7524"/>
      <c r="P1035" s="7525" t="str">
        <f t="array" ref="P1035">IFERROR(VLOOKUP(O1033,Dex!$B$3:$H1219,5,FALSE),"")</f>
        <v/>
      </c>
      <c r="Q1035" s="7526" t="str">
        <f t="array" ref="Q1035">IFERROR(VLOOKUP(O1033,Dex!$B$3:$H1219,7,FALSE),"")</f>
        <v/>
      </c>
      <c r="R1035" s="7527"/>
      <c r="S1035" s="7528"/>
      <c r="T1035" s="7524"/>
      <c r="U1035" s="7525" t="str">
        <f t="array" ref="U1035">IFERROR(VLOOKUP(T1033,Dex!$B$3:$H1219,5,FALSE),"")</f>
        <v/>
      </c>
      <c r="V1035" s="7526" t="str">
        <f t="array" ref="V1035">IFERROR(VLOOKUP(T1033,Dex!$B$3:$H1219,7,FALSE),"")</f>
        <v/>
      </c>
      <c r="W1035" s="7527"/>
      <c r="X1035" s="7528"/>
      <c r="Y1035" s="7524"/>
      <c r="Z1035" s="7525" t="str">
        <f t="array" ref="Z1035">IFERROR(VLOOKUP(Y1033,Dex!$B$3:$H1219,5,FALSE),"")</f>
        <v/>
      </c>
      <c r="AA1035" s="7526" t="str">
        <f t="array" ref="AA1035">IFERROR(VLOOKUP(Y1033,Dex!$B$3:$H1219,7,FALSE),"")</f>
        <v/>
      </c>
      <c r="AB1035" s="7527"/>
      <c r="AC1035" s="7523"/>
      <c r="AD1035" s="7506"/>
      <c r="AE1035" s="7507"/>
      <c r="AF1035" s="7507"/>
      <c r="AG1035" s="7508"/>
      <c r="AH1035" s="7509"/>
      <c r="AI1035" s="6680"/>
    </row>
    <row r="1036" ht="2.25" customHeight="1">
      <c r="A1036" s="6676"/>
      <c r="B1036" s="7500"/>
      <c r="C1036" s="7531"/>
      <c r="D1036" s="7523"/>
      <c r="E1036" s="7532"/>
      <c r="F1036" s="7533"/>
      <c r="G1036" s="7533"/>
      <c r="H1036" s="7534"/>
      <c r="I1036" s="7528"/>
      <c r="J1036" s="7532"/>
      <c r="K1036" s="7533"/>
      <c r="L1036" s="7533"/>
      <c r="M1036" s="7534"/>
      <c r="N1036" s="7528"/>
      <c r="O1036" s="7532"/>
      <c r="P1036" s="7533"/>
      <c r="Q1036" s="7533"/>
      <c r="R1036" s="7534"/>
      <c r="S1036" s="7528"/>
      <c r="T1036" s="7532"/>
      <c r="U1036" s="7533"/>
      <c r="V1036" s="7533"/>
      <c r="W1036" s="7534"/>
      <c r="X1036" s="7528"/>
      <c r="Y1036" s="7532"/>
      <c r="Z1036" s="7533"/>
      <c r="AA1036" s="7533"/>
      <c r="AB1036" s="7534"/>
      <c r="AC1036" s="7523"/>
      <c r="AD1036" s="7523"/>
      <c r="AE1036" s="7523"/>
      <c r="AF1036" s="7523"/>
      <c r="AG1036" s="7523"/>
      <c r="AH1036" s="7509"/>
      <c r="AI1036" s="6680"/>
    </row>
    <row r="1037" ht="20.25" customHeight="1">
      <c r="A1037" s="6676"/>
      <c r="B1037" s="7500"/>
      <c r="C1037" s="7535"/>
      <c r="D1037" s="7506"/>
      <c r="E1037" s="7536" t="s">
        <v>482</v>
      </c>
      <c r="F1037" s="7537"/>
      <c r="G1037" s="7537"/>
      <c r="H1037" s="7538"/>
      <c r="I1037" s="7504"/>
      <c r="J1037" s="7536" t="s">
        <v>532</v>
      </c>
      <c r="K1037" s="7537"/>
      <c r="L1037" s="7537"/>
      <c r="M1037" s="7538"/>
      <c r="N1037" s="7504"/>
      <c r="O1037" s="7536" t="s">
        <v>564</v>
      </c>
      <c r="P1037" s="7537"/>
      <c r="Q1037" s="7537"/>
      <c r="R1037" s="7538"/>
      <c r="S1037" s="7504"/>
      <c r="T1037" s="7536" t="s">
        <v>565</v>
      </c>
      <c r="U1037" s="7537"/>
      <c r="V1037" s="7537"/>
      <c r="W1037" s="7538"/>
      <c r="X1037" s="7504"/>
      <c r="Y1037" s="7536" t="s">
        <v>532</v>
      </c>
      <c r="Z1037" s="7537"/>
      <c r="AA1037" s="7537"/>
      <c r="AB1037" s="7538"/>
      <c r="AC1037" s="7505"/>
      <c r="AD1037" s="7506"/>
      <c r="AE1037" s="7507"/>
      <c r="AF1037" s="7507"/>
      <c r="AG1037" s="7508"/>
      <c r="AH1037" s="7509"/>
      <c r="AI1037" s="6680"/>
    </row>
    <row r="1038" ht="20.25" customHeight="1">
      <c r="A1038" s="6676"/>
      <c r="B1038" s="7500"/>
      <c r="C1038" s="7539"/>
      <c r="D1038" s="7506"/>
      <c r="E1038" s="7540" t="s">
        <v>2174</v>
      </c>
      <c r="F1038" s="7507"/>
      <c r="G1038" s="7507"/>
      <c r="H1038" s="7541"/>
      <c r="I1038" s="7504"/>
      <c r="J1038" s="7540" t="s">
        <v>84</v>
      </c>
      <c r="K1038" s="7507"/>
      <c r="L1038" s="7507"/>
      <c r="M1038" s="7541"/>
      <c r="N1038" s="7504"/>
      <c r="O1038" s="7540" t="s">
        <v>1100</v>
      </c>
      <c r="P1038" s="7507"/>
      <c r="Q1038" s="7507"/>
      <c r="R1038" s="7541"/>
      <c r="S1038" s="7504"/>
      <c r="T1038" s="7540" t="s">
        <v>1461</v>
      </c>
      <c r="U1038" s="7507"/>
      <c r="V1038" s="7507"/>
      <c r="W1038" s="7541"/>
      <c r="X1038" s="7504"/>
      <c r="Y1038" s="7540" t="s">
        <v>1646</v>
      </c>
      <c r="Z1038" s="7507"/>
      <c r="AA1038" s="7507"/>
      <c r="AB1038" s="7541"/>
      <c r="AC1038" s="7505"/>
      <c r="AD1038" s="7506"/>
      <c r="AE1038" s="7507"/>
      <c r="AF1038" s="7507"/>
      <c r="AG1038" s="7508"/>
      <c r="AH1038" s="7509"/>
      <c r="AI1038" s="6680"/>
    </row>
    <row r="1039" ht="20.25" customHeight="1">
      <c r="A1039" s="6676"/>
      <c r="B1039" s="7500"/>
      <c r="C1039" s="7539"/>
      <c r="D1039" s="7506"/>
      <c r="E1039" s="7543" t="s">
        <v>733</v>
      </c>
      <c r="F1039" s="7544"/>
      <c r="G1039" s="7545"/>
      <c r="H1039" s="7546" t="str">
        <f>IMAGE("https://raw.githubusercontent.com/msikma/pokesprite/master/items/hold-item/leftovers.png",3)</f>
        <v/>
      </c>
      <c r="I1039" s="7517"/>
      <c r="J1039" s="7543" t="s">
        <v>573</v>
      </c>
      <c r="K1039" s="7544"/>
      <c r="L1039" s="7545"/>
      <c r="M1039" s="7546" t="str">
        <f>IMAGE("https://raw.githubusercontent.com/msikma/pokesprite/master/items/hold-item/focus-sash.png",3)</f>
        <v/>
      </c>
      <c r="N1039" s="7517"/>
      <c r="O1039" s="7543" t="s">
        <v>2175</v>
      </c>
      <c r="P1039" s="7544"/>
      <c r="Q1039" s="7545"/>
      <c r="R1039" s="7546" t="str">
        <f>IMAGE("https://raw.githubusercontent.com/msikma/pokesprite/master/items/z-crystals/poisonium-z--held.png",3)</f>
        <v/>
      </c>
      <c r="S1039" s="7517"/>
      <c r="T1039" s="7543" t="s">
        <v>1084</v>
      </c>
      <c r="U1039" s="7544"/>
      <c r="V1039" s="7545"/>
      <c r="W1039" s="7546" t="str">
        <f>IMAGE("https://raw.githubusercontent.com/msikma/pokesprite/master/items/gem/flying.png",3)</f>
        <v/>
      </c>
      <c r="X1039" s="7517"/>
      <c r="Y1039" s="7543" t="s">
        <v>1580</v>
      </c>
      <c r="Z1039" s="7544"/>
      <c r="AA1039" s="7545"/>
      <c r="AB1039" s="7546" t="str">
        <f>IMAGE("https://raw.githubusercontent.com/msikma/pokesprite/master/items/berry/rindo.png",3)</f>
        <v/>
      </c>
      <c r="AC1039" s="7523"/>
      <c r="AD1039" s="7506"/>
      <c r="AE1039" s="7507"/>
      <c r="AF1039" s="7507"/>
      <c r="AG1039" s="7508"/>
      <c r="AH1039" s="7509"/>
      <c r="AI1039" s="6680"/>
    </row>
    <row r="1040" ht="20.25" customHeight="1">
      <c r="A1040" s="6676"/>
      <c r="B1040" s="7500"/>
      <c r="C1040" s="7539"/>
      <c r="D1040" s="7506"/>
      <c r="E1040" s="7536" t="s">
        <v>1265</v>
      </c>
      <c r="F1040" s="7537"/>
      <c r="G1040" s="7548"/>
      <c r="H1040" s="7549" t="str">
        <f>IMAGE("https://raw.githubusercontent.com/msikma/pokesprite/master/misc/types/gen8/ground.png",4,20,20)</f>
        <v/>
      </c>
      <c r="I1040" s="7517"/>
      <c r="J1040" s="7536" t="s">
        <v>219</v>
      </c>
      <c r="K1040" s="7537"/>
      <c r="L1040" s="7548"/>
      <c r="M1040" s="7549" t="str">
        <f>IMAGE("https://raw.githubusercontent.com/msikma/pokesprite/master/misc/types/gen8/dragon.png",4,20,20)</f>
        <v/>
      </c>
      <c r="N1040" s="7517"/>
      <c r="O1040" s="7536" t="s">
        <v>547</v>
      </c>
      <c r="P1040" s="7537"/>
      <c r="Q1040" s="7548"/>
      <c r="R1040" s="7549" t="str">
        <f>IMAGE("https://raw.githubusercontent.com/msikma/pokesprite/master/misc/types/gen8/electric.png",4,20,20)</f>
        <v/>
      </c>
      <c r="S1040" s="7517"/>
      <c r="T1040" s="7536" t="s">
        <v>649</v>
      </c>
      <c r="U1040" s="7537"/>
      <c r="V1040" s="7548"/>
      <c r="W1040" s="7549" t="str">
        <f>IMAGE("https://raw.githubusercontent.com/msikma/pokesprite/master/misc/types/gen8/water.png",4,20,20)</f>
        <v/>
      </c>
      <c r="X1040" s="7517"/>
      <c r="Y1040" s="7536" t="s">
        <v>219</v>
      </c>
      <c r="Z1040" s="7537"/>
      <c r="AA1040" s="7548"/>
      <c r="AB1040" s="7549" t="str">
        <f>IMAGE("https://raw.githubusercontent.com/msikma/pokesprite/master/misc/types/gen8/dragon.png",4,20,20)</f>
        <v/>
      </c>
      <c r="AC1040" s="7523"/>
      <c r="AD1040" s="7506"/>
      <c r="AE1040" s="7507"/>
      <c r="AF1040" s="7507"/>
      <c r="AG1040" s="7508"/>
      <c r="AH1040" s="7509"/>
      <c r="AI1040" s="6680"/>
    </row>
    <row r="1041" ht="20.25" customHeight="1">
      <c r="A1041" s="6676"/>
      <c r="B1041" s="7500"/>
      <c r="C1041" s="7550"/>
      <c r="D1041" s="7506"/>
      <c r="E1041" s="7540" t="s">
        <v>647</v>
      </c>
      <c r="F1041" s="7507"/>
      <c r="G1041" s="7508"/>
      <c r="H1041" s="7551" t="str">
        <f>IMAGE("https://raw.githubusercontent.com/msikma/pokesprite/master/misc/types/gen8/ghost.png",4,20,20)</f>
        <v/>
      </c>
      <c r="I1041" s="7517"/>
      <c r="J1041" s="7540" t="s">
        <v>1610</v>
      </c>
      <c r="K1041" s="7507"/>
      <c r="L1041" s="7508"/>
      <c r="M1041" s="7551" t="str">
        <f>IMAGE("https://raw.githubusercontent.com/msikma/pokesprite/master/misc/types/gen8/water.png",4,20,20)</f>
        <v/>
      </c>
      <c r="N1041" s="7517"/>
      <c r="O1041" s="7540" t="s">
        <v>773</v>
      </c>
      <c r="P1041" s="7507"/>
      <c r="Q1041" s="7508"/>
      <c r="R1041" s="7551" t="str">
        <f>IMAGE("https://raw.githubusercontent.com/msikma/pokesprite/master/misc/types/gen8/poison.png",4,20,20)</f>
        <v/>
      </c>
      <c r="S1041" s="7517"/>
      <c r="T1041" s="7540" t="s">
        <v>546</v>
      </c>
      <c r="U1041" s="7507"/>
      <c r="V1041" s="7508"/>
      <c r="W1041" s="7551" t="str">
        <f>IMAGE("https://raw.githubusercontent.com/msikma/pokesprite/master/misc/types/gen8/flying.png",4,20,20)</f>
        <v/>
      </c>
      <c r="X1041" s="7517"/>
      <c r="Y1041" s="7540" t="s">
        <v>760</v>
      </c>
      <c r="Z1041" s="7507"/>
      <c r="AA1041" s="7508"/>
      <c r="AB1041" s="7551" t="str">
        <f>IMAGE("https://raw.githubusercontent.com/msikma/pokesprite/master/misc/types/gen8/water.png",4,20,20)</f>
        <v/>
      </c>
      <c r="AC1041" s="7523"/>
      <c r="AD1041" s="7506"/>
      <c r="AE1041" s="7507"/>
      <c r="AF1041" s="7507"/>
      <c r="AG1041" s="7508"/>
      <c r="AH1041" s="7509"/>
      <c r="AI1041" s="6680"/>
    </row>
    <row r="1042" ht="20.25" customHeight="1">
      <c r="A1042" s="6676"/>
      <c r="B1042" s="7500"/>
      <c r="C1042" s="7552"/>
      <c r="D1042" s="7506"/>
      <c r="E1042" s="7540" t="s">
        <v>2176</v>
      </c>
      <c r="F1042" s="7507"/>
      <c r="G1042" s="7508"/>
      <c r="H1042" s="7551" t="str">
        <f>IMAGE("https://raw.githubusercontent.com/msikma/pokesprite/master/misc/types/gen8/ground.png",4,20,20)</f>
        <v/>
      </c>
      <c r="I1042" s="7517"/>
      <c r="J1042" s="7540" t="s">
        <v>579</v>
      </c>
      <c r="K1042" s="7507"/>
      <c r="L1042" s="7508"/>
      <c r="M1042" s="7551" t="str">
        <f>IMAGE("https://raw.githubusercontent.com/msikma/pokesprite/master/misc/types/gen8/dark.png",4,20,20)</f>
        <v/>
      </c>
      <c r="N1042" s="7517"/>
      <c r="O1042" s="7540" t="s">
        <v>670</v>
      </c>
      <c r="P1042" s="7507"/>
      <c r="Q1042" s="7508"/>
      <c r="R1042" s="7551" t="str">
        <f>IMAGE("https://raw.githubusercontent.com/msikma/pokesprite/master/misc/types/gen8/ice.png",4,20,20)</f>
        <v/>
      </c>
      <c r="S1042" s="7517"/>
      <c r="T1042" s="7540" t="s">
        <v>582</v>
      </c>
      <c r="U1042" s="7507"/>
      <c r="V1042" s="7508"/>
      <c r="W1042" s="7551" t="str">
        <f>IMAGE("https://raw.githubusercontent.com/msikma/pokesprite/master/misc/types/gen8/ice.png",4,20,20)</f>
        <v/>
      </c>
      <c r="X1042" s="7517"/>
      <c r="Y1042" s="7540" t="s">
        <v>549</v>
      </c>
      <c r="Z1042" s="7507"/>
      <c r="AA1042" s="7508"/>
      <c r="AB1042" s="7551" t="str">
        <f>IMAGE("https://raw.githubusercontent.com/msikma/pokesprite/master/misc/types/gen8/ground.png",4,20,20)</f>
        <v/>
      </c>
      <c r="AC1042" s="7523"/>
      <c r="AD1042" s="7506"/>
      <c r="AE1042" s="7507"/>
      <c r="AF1042" s="7507"/>
      <c r="AG1042" s="7508"/>
      <c r="AH1042" s="7509"/>
      <c r="AI1042" s="6680"/>
    </row>
    <row r="1043" ht="21.0" customHeight="1">
      <c r="A1043" s="6676"/>
      <c r="B1043" s="7500"/>
      <c r="C1043" s="7552"/>
      <c r="D1043" s="7506"/>
      <c r="E1043" s="7553" t="s">
        <v>191</v>
      </c>
      <c r="F1043" s="7554"/>
      <c r="G1043" s="7555"/>
      <c r="H1043" s="7556" t="str">
        <f>IMAGE("https://raw.githubusercontent.com/msikma/pokesprite/master/misc/types/gen8/rock.png",4,20,20)</f>
        <v/>
      </c>
      <c r="I1043" s="7517"/>
      <c r="J1043" s="7553" t="s">
        <v>583</v>
      </c>
      <c r="K1043" s="7554"/>
      <c r="L1043" s="7555"/>
      <c r="M1043" s="7556" t="str">
        <f>IMAGE("https://raw.githubusercontent.com/msikma/pokesprite/master/misc/types/gen8/fighting.png",4,20,20)</f>
        <v/>
      </c>
      <c r="N1043" s="7517"/>
      <c r="O1043" s="7553" t="s">
        <v>544</v>
      </c>
      <c r="P1043" s="7554"/>
      <c r="Q1043" s="7555"/>
      <c r="R1043" s="7556" t="str">
        <f>IMAGE("https://raw.githubusercontent.com/msikma/pokesprite/master/misc/types/gen8/water.png",4,20,20)</f>
        <v/>
      </c>
      <c r="S1043" s="7517"/>
      <c r="T1043" s="7553" t="s">
        <v>974</v>
      </c>
      <c r="U1043" s="7554"/>
      <c r="V1043" s="7555"/>
      <c r="W1043" s="7556" t="str">
        <f>IMAGE("https://raw.githubusercontent.com/msikma/pokesprite/master/misc/types/gen8/water.png",4,20,20)</f>
        <v/>
      </c>
      <c r="X1043" s="7517"/>
      <c r="Y1043" s="7553" t="s">
        <v>741</v>
      </c>
      <c r="Z1043" s="7554"/>
      <c r="AA1043" s="7555"/>
      <c r="AB1043" s="7556" t="str">
        <f>IMAGE("https://raw.githubusercontent.com/msikma/pokesprite/master/misc/types/gen8/psychic.png",4,20,20)</f>
        <v/>
      </c>
      <c r="AC1043" s="7523"/>
      <c r="AD1043" s="7506"/>
      <c r="AE1043" s="7507"/>
      <c r="AF1043" s="7507"/>
      <c r="AG1043" s="7508"/>
      <c r="AH1043" s="7509"/>
      <c r="AI1043" s="6680"/>
    </row>
    <row r="1044" ht="3.0" customHeight="1">
      <c r="A1044" s="6738"/>
      <c r="B1044" s="7557"/>
      <c r="C1044" s="7552"/>
      <c r="D1044" s="7558"/>
      <c r="E1044" s="7561"/>
      <c r="F1044" s="7561"/>
      <c r="G1044" s="7561"/>
      <c r="H1044" s="7560"/>
      <c r="I1044" s="7558"/>
      <c r="J1044" s="7561"/>
      <c r="K1044" s="7561"/>
      <c r="L1044" s="7561"/>
      <c r="M1044" s="7560"/>
      <c r="N1044" s="7558"/>
      <c r="O1044" s="7561"/>
      <c r="P1044" s="7561"/>
      <c r="Q1044" s="7561"/>
      <c r="R1044" s="7560"/>
      <c r="S1044" s="7558"/>
      <c r="T1044" s="7561"/>
      <c r="U1044" s="7561"/>
      <c r="V1044" s="7561"/>
      <c r="W1044" s="7560"/>
      <c r="X1044" s="7558"/>
      <c r="Y1044" s="7562"/>
      <c r="Z1044" s="7562"/>
      <c r="AA1044" s="7562"/>
      <c r="AB1044" s="7563"/>
      <c r="AC1044" s="7563"/>
      <c r="AD1044" s="7563"/>
      <c r="AE1044" s="7563"/>
      <c r="AF1044" s="7563"/>
      <c r="AG1044" s="7550"/>
      <c r="AH1044" s="7564"/>
      <c r="AI1044" s="6747"/>
    </row>
    <row r="1045" ht="16.5" customHeight="1">
      <c r="A1045" s="6738"/>
      <c r="B1045" s="7565"/>
      <c r="C1045" s="7550"/>
      <c r="D1045" s="7568"/>
      <c r="E1045" s="7567" t="s">
        <v>512</v>
      </c>
      <c r="F1045" s="606"/>
      <c r="G1045" s="606"/>
      <c r="H1045" s="607"/>
      <c r="I1045" s="7568"/>
      <c r="J1045" s="7567" t="s">
        <v>512</v>
      </c>
      <c r="K1045" s="606"/>
      <c r="L1045" s="606"/>
      <c r="M1045" s="607"/>
      <c r="N1045" s="7568"/>
      <c r="O1045" s="7567" t="s">
        <v>512</v>
      </c>
      <c r="P1045" s="606"/>
      <c r="Q1045" s="606"/>
      <c r="R1045" s="607"/>
      <c r="S1045" s="7569"/>
      <c r="T1045" s="7567" t="s">
        <v>512</v>
      </c>
      <c r="U1045" s="606"/>
      <c r="V1045" s="606"/>
      <c r="W1045" s="607"/>
      <c r="X1045" s="7569"/>
      <c r="Y1045" s="7567" t="s">
        <v>512</v>
      </c>
      <c r="Z1045" s="606"/>
      <c r="AA1045" s="606"/>
      <c r="AB1045" s="607"/>
      <c r="AC1045" s="7570"/>
      <c r="AD1045" s="7550"/>
      <c r="AE1045" s="7550"/>
      <c r="AF1045" s="7550"/>
      <c r="AG1045" s="7550"/>
      <c r="AH1045" s="7571"/>
      <c r="AI1045" s="6747"/>
    </row>
    <row r="1046" ht="16.5" customHeight="1">
      <c r="A1046" s="6738"/>
      <c r="B1046" s="7565"/>
      <c r="C1046" s="7550"/>
      <c r="D1046" s="7566"/>
      <c r="E1046" s="7572" t="s">
        <v>513</v>
      </c>
      <c r="F1046" s="7573">
        <f t="array" ref="F1046">IFERROR(VLOOKUP(E1033,Dex!$B$3:$N1219,8,FALSE),"")</f>
        <v>85</v>
      </c>
      <c r="G1046" s="7574" t="str">
        <f t="array" ref="G1046">IFERROR(VLOOKUP(F1046,Dex!$P$22:$Q$276,2,FALSE),"")</f>
        <v/>
      </c>
      <c r="H1046" s="7575"/>
      <c r="I1046" s="7566"/>
      <c r="J1046" s="7572" t="s">
        <v>513</v>
      </c>
      <c r="K1046" s="7573">
        <f t="array" ref="K1046">IFERROR(VLOOKUP(J1033,Dex!$B$3:$N1219,8,FALSE),"")</f>
        <v>63</v>
      </c>
      <c r="L1046" s="7574" t="str">
        <f t="array" ref="L1046">IFERROR(VLOOKUP(K1046,Dex!$P$22:$Q$276,2,FALSE),"")</f>
        <v/>
      </c>
      <c r="M1046" s="7575"/>
      <c r="N1046" s="7566"/>
      <c r="O1046" s="7572" t="s">
        <v>513</v>
      </c>
      <c r="P1046" s="7573">
        <f t="array" ref="P1046">IFERROR(VLOOKUP(O1033,Dex!$B$3:$N1219,8,FALSE),"")</f>
        <v>80</v>
      </c>
      <c r="Q1046" s="7574" t="str">
        <f t="array" ref="Q1046">IFERROR(VLOOKUP(P1046,Dex!$P$22:$Q$276,2,FALSE),"")</f>
        <v/>
      </c>
      <c r="R1046" s="7575"/>
      <c r="S1046" s="7570"/>
      <c r="T1046" s="7572" t="s">
        <v>513</v>
      </c>
      <c r="U1046" s="7573">
        <f t="array" ref="U1046">IFERROR(VLOOKUP(T1033,Dex!$B$3:$N1219,8,FALSE),"")</f>
        <v>75</v>
      </c>
      <c r="V1046" s="7574" t="str">
        <f t="array" ref="V1046">IFERROR(VLOOKUP(U1046,Dex!$P$22:$Q$276,2,FALSE),"")</f>
        <v/>
      </c>
      <c r="W1046" s="7575"/>
      <c r="X1046" s="7570"/>
      <c r="Y1046" s="7572" t="s">
        <v>513</v>
      </c>
      <c r="Z1046" s="7573">
        <f t="array" ref="Z1046">IFERROR(VLOOKUP(Y1033,Dex!$B$3:$N1219,8,FALSE),"")</f>
        <v>110</v>
      </c>
      <c r="AA1046" s="7574" t="str">
        <f t="array" ref="AA1046">IFERROR(VLOOKUP(Z1046,Dex!$P$22:$Q$276,2,FALSE),"")</f>
        <v/>
      </c>
      <c r="AB1046" s="7575"/>
      <c r="AC1046" s="7570"/>
      <c r="AD1046" s="7550"/>
      <c r="AE1046" s="7550"/>
      <c r="AF1046" s="7550"/>
      <c r="AG1046" s="7550"/>
      <c r="AH1046" s="7571"/>
      <c r="AI1046" s="6747"/>
    </row>
    <row r="1047" ht="16.5" customHeight="1">
      <c r="A1047" s="6738"/>
      <c r="B1047" s="7565"/>
      <c r="C1047" s="7550"/>
      <c r="D1047" s="7566"/>
      <c r="E1047" s="7576" t="s">
        <v>514</v>
      </c>
      <c r="F1047" s="7577">
        <f t="array" ref="F1047">IFERROR(VLOOKUP(E1033,Dex!$B$3:$N1219,9,FALSE),"")</f>
        <v>75</v>
      </c>
      <c r="G1047" s="7578" t="str">
        <f t="array" ref="G1047">IFERROR(VLOOKUP(F1047,Dex!$P$22:$Q$276,2,FALSE),"")</f>
        <v/>
      </c>
      <c r="H1047" s="7579"/>
      <c r="I1047" s="7566"/>
      <c r="J1047" s="7576" t="s">
        <v>514</v>
      </c>
      <c r="K1047" s="7577">
        <f t="array" ref="K1047">IFERROR(VLOOKUP(J1033,Dex!$B$3:$N1219,9,FALSE),"")</f>
        <v>120</v>
      </c>
      <c r="L1047" s="7578" t="str">
        <f t="array" ref="L1047">IFERROR(VLOOKUP(K1047,Dex!$P$22:$Q$276,2,FALSE),"")</f>
        <v/>
      </c>
      <c r="M1047" s="7579"/>
      <c r="N1047" s="7566"/>
      <c r="O1047" s="7576" t="s">
        <v>514</v>
      </c>
      <c r="P1047" s="7577">
        <f t="array" ref="P1047">IFERROR(VLOOKUP(O1033,Dex!$B$3:$N1219,9,FALSE),"")</f>
        <v>30</v>
      </c>
      <c r="Q1047" s="7578" t="str">
        <f t="array" ref="Q1047">IFERROR(VLOOKUP(P1047,Dex!$P$22:$Q$276,2,FALSE),"")</f>
        <v/>
      </c>
      <c r="R1047" s="7579"/>
      <c r="S1047" s="7570"/>
      <c r="T1047" s="7576" t="s">
        <v>514</v>
      </c>
      <c r="U1047" s="7577">
        <f t="array" ref="U1047">IFERROR(VLOOKUP(T1033,Dex!$B$3:$N1219,9,FALSE),"")</f>
        <v>77</v>
      </c>
      <c r="V1047" s="7578" t="str">
        <f t="array" ref="V1047">IFERROR(VLOOKUP(U1047,Dex!$P$22:$Q$276,2,FALSE),"")</f>
        <v/>
      </c>
      <c r="W1047" s="7579"/>
      <c r="X1047" s="7570"/>
      <c r="Y1047" s="7576" t="s">
        <v>514</v>
      </c>
      <c r="Z1047" s="7577">
        <f t="array" ref="Z1047">IFERROR(VLOOKUP(Y1033,Dex!$B$3:$N1219,9,FALSE),"")</f>
        <v>78</v>
      </c>
      <c r="AA1047" s="7578" t="str">
        <f t="array" ref="AA1047">IFERROR(VLOOKUP(Z1047,Dex!$P$22:$Q$276,2,FALSE),"")</f>
        <v/>
      </c>
      <c r="AB1047" s="7579"/>
      <c r="AC1047" s="7570"/>
      <c r="AD1047" s="7550"/>
      <c r="AE1047" s="7550"/>
      <c r="AF1047" s="7550"/>
      <c r="AG1047" s="7550"/>
      <c r="AH1047" s="7571"/>
      <c r="AI1047" s="6747"/>
    </row>
    <row r="1048" ht="16.5" customHeight="1">
      <c r="A1048" s="6738"/>
      <c r="B1048" s="7565"/>
      <c r="C1048" s="7550"/>
      <c r="D1048" s="7566"/>
      <c r="E1048" s="7576" t="s">
        <v>515</v>
      </c>
      <c r="F1048" s="7577">
        <f t="array" ref="F1048">IFERROR(VLOOKUP(E1033,Dex!$B$3:$N1219,10,FALSE),"")</f>
        <v>110</v>
      </c>
      <c r="G1048" s="7578" t="str">
        <f t="array" ref="G1048">IFERROR(VLOOKUP(F1048,Dex!$P$22:$Q$276,2,FALSE),"")</f>
        <v/>
      </c>
      <c r="H1048" s="7579"/>
      <c r="I1048" s="7566"/>
      <c r="J1048" s="7576" t="s">
        <v>515</v>
      </c>
      <c r="K1048" s="7577">
        <f t="array" ref="K1048">IFERROR(VLOOKUP(J1033,Dex!$B$3:$N1219,10,FALSE),"")</f>
        <v>85</v>
      </c>
      <c r="L1048" s="7578" t="str">
        <f t="array" ref="L1048">IFERROR(VLOOKUP(K1048,Dex!$P$22:$Q$276,2,FALSE),"")</f>
        <v/>
      </c>
      <c r="M1048" s="7579"/>
      <c r="N1048" s="7566"/>
      <c r="O1048" s="7576" t="s">
        <v>515</v>
      </c>
      <c r="P1048" s="7577">
        <f t="array" ref="P1048">IFERROR(VLOOKUP(O1033,Dex!$B$3:$N1219,10,FALSE),"")</f>
        <v>70</v>
      </c>
      <c r="Q1048" s="7578" t="str">
        <f t="array" ref="Q1048">IFERROR(VLOOKUP(P1048,Dex!$P$22:$Q$276,2,FALSE),"")</f>
        <v/>
      </c>
      <c r="R1048" s="7579"/>
      <c r="S1048" s="7570"/>
      <c r="T1048" s="7576" t="s">
        <v>515</v>
      </c>
      <c r="U1048" s="7577">
        <f t="array" ref="U1048">IFERROR(VLOOKUP(T1033,Dex!$B$3:$N1219,10,FALSE),"")</f>
        <v>63</v>
      </c>
      <c r="V1048" s="7578" t="str">
        <f t="array" ref="V1048">IFERROR(VLOOKUP(U1048,Dex!$P$22:$Q$276,2,FALSE),"")</f>
        <v/>
      </c>
      <c r="W1048" s="7579"/>
      <c r="X1048" s="7570"/>
      <c r="Y1048" s="7576" t="s">
        <v>515</v>
      </c>
      <c r="Z1048" s="7577">
        <f t="array" ref="Z1048">IFERROR(VLOOKUP(Y1033,Dex!$B$3:$N1219,10,FALSE),"")</f>
        <v>73</v>
      </c>
      <c r="AA1048" s="7578" t="str">
        <f t="array" ref="AA1048">IFERROR(VLOOKUP(Z1048,Dex!$P$22:$Q$276,2,FALSE),"")</f>
        <v/>
      </c>
      <c r="AB1048" s="7579"/>
      <c r="AC1048" s="7570"/>
      <c r="AD1048" s="7550"/>
      <c r="AE1048" s="7550"/>
      <c r="AF1048" s="7550"/>
      <c r="AG1048" s="7550"/>
      <c r="AH1048" s="7571"/>
      <c r="AI1048" s="6747"/>
    </row>
    <row r="1049" ht="16.5" customHeight="1">
      <c r="A1049" s="6738"/>
      <c r="B1049" s="7565"/>
      <c r="C1049" s="7550"/>
      <c r="D1049" s="7566"/>
      <c r="E1049" s="7576" t="s">
        <v>516</v>
      </c>
      <c r="F1049" s="7577">
        <f t="array" ref="F1049">IFERROR(VLOOKUP(E1033,Dex!$B$3:$N1219,11,FALSE),"")</f>
        <v>100</v>
      </c>
      <c r="G1049" s="7578" t="str">
        <f t="array" ref="G1049">IFERROR(VLOOKUP(F1049,Dex!$P$22:$Q$276,2,FALSE),"")</f>
        <v/>
      </c>
      <c r="H1049" s="7579"/>
      <c r="I1049" s="7566"/>
      <c r="J1049" s="7576" t="s">
        <v>516</v>
      </c>
      <c r="K1049" s="7577">
        <f t="array" ref="K1049">IFERROR(VLOOKUP(J1033,Dex!$B$3:$N1219,11,FALSE),"")</f>
        <v>90</v>
      </c>
      <c r="L1049" s="7578" t="str">
        <f t="array" ref="L1049">IFERROR(VLOOKUP(K1049,Dex!$P$22:$Q$276,2,FALSE),"")</f>
        <v/>
      </c>
      <c r="M1049" s="7579"/>
      <c r="N1049" s="7566"/>
      <c r="O1049" s="7576" t="s">
        <v>516</v>
      </c>
      <c r="P1049" s="7577">
        <f t="array" ref="P1049">IFERROR(VLOOKUP(O1033,Dex!$B$3:$N1219,11,FALSE),"")</f>
        <v>100</v>
      </c>
      <c r="Q1049" s="7578" t="str">
        <f t="array" ref="Q1049">IFERROR(VLOOKUP(P1049,Dex!$P$22:$Q$276,2,FALSE),"")</f>
        <v/>
      </c>
      <c r="R1049" s="7579"/>
      <c r="S1049" s="7570"/>
      <c r="T1049" s="7576" t="s">
        <v>516</v>
      </c>
      <c r="U1049" s="7577">
        <f t="array" ref="U1049">IFERROR(VLOOKUP(T1033,Dex!$B$3:$N1219,11,FALSE),"")</f>
        <v>97</v>
      </c>
      <c r="V1049" s="7578" t="str">
        <f t="array" ref="V1049">IFERROR(VLOOKUP(U1049,Dex!$P$22:$Q$276,2,FALSE),"")</f>
        <v/>
      </c>
      <c r="W1049" s="7579"/>
      <c r="X1049" s="7570"/>
      <c r="Y1049" s="7576" t="s">
        <v>516</v>
      </c>
      <c r="Z1049" s="7577">
        <f t="array" ref="Z1049">IFERROR(VLOOKUP(Y1033,Dex!$B$3:$N1219,11,FALSE),"")</f>
        <v>76</v>
      </c>
      <c r="AA1049" s="7578" t="str">
        <f t="array" ref="AA1049">IFERROR(VLOOKUP(Z1049,Dex!$P$22:$Q$276,2,FALSE),"")</f>
        <v/>
      </c>
      <c r="AB1049" s="7579"/>
      <c r="AC1049" s="7570"/>
      <c r="AD1049" s="7550"/>
      <c r="AE1049" s="7550"/>
      <c r="AF1049" s="7550"/>
      <c r="AG1049" s="7550"/>
      <c r="AH1049" s="7571"/>
      <c r="AI1049" s="6747"/>
    </row>
    <row r="1050" ht="16.5" customHeight="1">
      <c r="A1050" s="6738"/>
      <c r="B1050" s="7565"/>
      <c r="C1050" s="7550"/>
      <c r="D1050" s="7566"/>
      <c r="E1050" s="7576" t="s">
        <v>517</v>
      </c>
      <c r="F1050" s="7577">
        <f t="array" ref="F1050">IFERROR(VLOOKUP(E1033,Dex!$B$3:$N1219,12,FALSE),"")</f>
        <v>75</v>
      </c>
      <c r="G1050" s="7578" t="str">
        <f t="array" ref="G1050">IFERROR(VLOOKUP(F1050,Dex!$P$22:$Q$276,2,FALSE),"")</f>
        <v/>
      </c>
      <c r="H1050" s="7579"/>
      <c r="I1050" s="7566"/>
      <c r="J1050" s="7576" t="s">
        <v>517</v>
      </c>
      <c r="K1050" s="7577">
        <f t="array" ref="K1050">IFERROR(VLOOKUP(J1033,Dex!$B$3:$N1219,12,FALSE),"")</f>
        <v>55</v>
      </c>
      <c r="L1050" s="7578" t="str">
        <f t="array" ref="L1050">IFERROR(VLOOKUP(K1050,Dex!$P$22:$Q$276,2,FALSE),"")</f>
        <v/>
      </c>
      <c r="M1050" s="7579"/>
      <c r="N1050" s="7566"/>
      <c r="O1050" s="7576" t="s">
        <v>517</v>
      </c>
      <c r="P1050" s="7577">
        <f t="array" ref="P1050">IFERROR(VLOOKUP(O1033,Dex!$B$3:$N1219,12,FALSE),"")</f>
        <v>120</v>
      </c>
      <c r="Q1050" s="7578" t="str">
        <f t="array" ref="Q1050">IFERROR(VLOOKUP(P1050,Dex!$P$22:$Q$276,2,FALSE),"")</f>
        <v/>
      </c>
      <c r="R1050" s="7579"/>
      <c r="S1050" s="7570"/>
      <c r="T1050" s="7576" t="s">
        <v>517</v>
      </c>
      <c r="U1050" s="7577">
        <f t="array" ref="U1050">IFERROR(VLOOKUP(T1033,Dex!$B$3:$N1219,12,FALSE),"")</f>
        <v>63</v>
      </c>
      <c r="V1050" s="7578" t="str">
        <f t="array" ref="V1050">IFERROR(VLOOKUP(U1050,Dex!$P$22:$Q$276,2,FALSE),"")</f>
        <v/>
      </c>
      <c r="W1050" s="7579"/>
      <c r="X1050" s="7570"/>
      <c r="Y1050" s="7576" t="s">
        <v>517</v>
      </c>
      <c r="Z1050" s="7577">
        <f t="array" ref="Z1050">IFERROR(VLOOKUP(Y1033,Dex!$B$3:$N1219,12,FALSE),"")</f>
        <v>71</v>
      </c>
      <c r="AA1050" s="7578" t="str">
        <f t="array" ref="AA1050">IFERROR(VLOOKUP(Z1050,Dex!$P$22:$Q$276,2,FALSE),"")</f>
        <v/>
      </c>
      <c r="AB1050" s="7579"/>
      <c r="AC1050" s="7570"/>
      <c r="AD1050" s="7550"/>
      <c r="AE1050" s="7550"/>
      <c r="AF1050" s="7550"/>
      <c r="AG1050" s="7550"/>
      <c r="AH1050" s="7571"/>
      <c r="AI1050" s="6747"/>
    </row>
    <row r="1051" ht="16.5" customHeight="1">
      <c r="A1051" s="6738"/>
      <c r="B1051" s="7565"/>
      <c r="C1051" s="7550"/>
      <c r="D1051" s="7566"/>
      <c r="E1051" s="7580" t="s">
        <v>518</v>
      </c>
      <c r="F1051" s="7581">
        <f t="array" ref="F1051">IFERROR(VLOOKUP(E1033,Dex!$B$3:$N1219,13,FALSE),"")</f>
        <v>35</v>
      </c>
      <c r="G1051" s="7582" t="str">
        <f t="array" ref="G1051">IFERROR(VLOOKUP(F1051,Dex!$P$22:$Q$276,2,FALSE),"")</f>
        <v/>
      </c>
      <c r="H1051" s="7583"/>
      <c r="I1051" s="7566"/>
      <c r="J1051" s="7580" t="s">
        <v>518</v>
      </c>
      <c r="K1051" s="7581">
        <f t="array" ref="K1051">IFERROR(VLOOKUP(J1033,Dex!$B$3:$N1219,13,FALSE),"")</f>
        <v>55</v>
      </c>
      <c r="L1051" s="7582" t="str">
        <f t="array" ref="L1051">IFERROR(VLOOKUP(K1051,Dex!$P$22:$Q$276,2,FALSE),"")</f>
        <v/>
      </c>
      <c r="M1051" s="7583"/>
      <c r="N1051" s="7566"/>
      <c r="O1051" s="7580" t="s">
        <v>518</v>
      </c>
      <c r="P1051" s="7581">
        <f t="array" ref="P1051">IFERROR(VLOOKUP(O1033,Dex!$B$3:$N1219,13,FALSE),"")</f>
        <v>95</v>
      </c>
      <c r="Q1051" s="7582" t="str">
        <f t="array" ref="Q1051">IFERROR(VLOOKUP(P1051,Dex!$P$22:$Q$276,2,FALSE),"")</f>
        <v/>
      </c>
      <c r="R1051" s="7583"/>
      <c r="S1051" s="7570"/>
      <c r="T1051" s="7580" t="s">
        <v>518</v>
      </c>
      <c r="U1051" s="7581">
        <f t="array" ref="U1051">IFERROR(VLOOKUP(T1033,Dex!$B$3:$N1219,13,FALSE),"")</f>
        <v>108</v>
      </c>
      <c r="V1051" s="7582" t="str">
        <f t="array" ref="V1051">IFERROR(VLOOKUP(U1051,Dex!$P$22:$Q$276,2,FALSE),"")</f>
        <v/>
      </c>
      <c r="W1051" s="7583"/>
      <c r="X1051" s="7570"/>
      <c r="Y1051" s="7580" t="s">
        <v>518</v>
      </c>
      <c r="Z1051" s="7581">
        <f t="array" ref="Z1051">IFERROR(VLOOKUP(Y1033,Dex!$B$3:$N1219,13,FALSE),"")</f>
        <v>60</v>
      </c>
      <c r="AA1051" s="7582" t="str">
        <f t="array" ref="AA1051">IFERROR(VLOOKUP(Z1051,Dex!$P$22:$Q$276,2,FALSE),"")</f>
        <v/>
      </c>
      <c r="AB1051" s="7583"/>
      <c r="AC1051" s="7570"/>
      <c r="AD1051" s="7550"/>
      <c r="AE1051" s="7550"/>
      <c r="AF1051" s="7550"/>
      <c r="AG1051" s="7550"/>
      <c r="AH1051" s="7571"/>
      <c r="AI1051" s="6747"/>
    </row>
    <row r="1052" ht="16.5" customHeight="1">
      <c r="A1052" s="6738"/>
      <c r="B1052" s="7565"/>
      <c r="C1052" s="7550"/>
      <c r="D1052" s="7568"/>
      <c r="E1052" s="7586" t="s">
        <v>519</v>
      </c>
      <c r="F1052" s="630"/>
      <c r="G1052" s="631"/>
      <c r="H1052" s="7587">
        <v>106.0</v>
      </c>
      <c r="I1052" s="7568"/>
      <c r="J1052" s="7586" t="s">
        <v>519</v>
      </c>
      <c r="K1052" s="630"/>
      <c r="L1052" s="631"/>
      <c r="M1052" s="7587">
        <v>160.0</v>
      </c>
      <c r="N1052" s="7568"/>
      <c r="O1052" s="7586" t="s">
        <v>519</v>
      </c>
      <c r="P1052" s="630"/>
      <c r="Q1052" s="631"/>
      <c r="R1052" s="7587">
        <v>248.0</v>
      </c>
      <c r="S1052" s="7569"/>
      <c r="T1052" s="7586" t="s">
        <v>519</v>
      </c>
      <c r="U1052" s="630"/>
      <c r="V1052" s="631"/>
      <c r="W1052" s="7587">
        <v>277.0</v>
      </c>
      <c r="X1052" s="7569"/>
      <c r="Y1052" s="7586" t="s">
        <v>519</v>
      </c>
      <c r="Z1052" s="630"/>
      <c r="AA1052" s="631"/>
      <c r="AB1052" s="7587">
        <v>171.0</v>
      </c>
      <c r="AC1052" s="7570"/>
      <c r="AD1052" s="7550"/>
      <c r="AE1052" s="7550"/>
      <c r="AF1052" s="7550"/>
      <c r="AG1052" s="7550"/>
      <c r="AH1052" s="7571"/>
      <c r="AI1052" s="6747"/>
    </row>
    <row r="1053" ht="15.0" customHeight="1">
      <c r="A1053" s="6676"/>
      <c r="B1053" s="7596"/>
      <c r="C1053" s="7597"/>
      <c r="D1053" s="7598"/>
      <c r="E1053" s="7601"/>
      <c r="F1053" s="7601"/>
      <c r="G1053" s="7601"/>
      <c r="H1053" s="7599"/>
      <c r="I1053" s="7600"/>
      <c r="J1053" s="7601"/>
      <c r="K1053" s="7601"/>
      <c r="L1053" s="7601"/>
      <c r="M1053" s="7599"/>
      <c r="N1053" s="7600"/>
      <c r="O1053" s="7601"/>
      <c r="P1053" s="7601"/>
      <c r="Q1053" s="7601"/>
      <c r="R1053" s="7599"/>
      <c r="S1053" s="7600"/>
      <c r="T1053" s="7601"/>
      <c r="U1053" s="7601"/>
      <c r="V1053" s="7601"/>
      <c r="W1053" s="7599"/>
      <c r="X1053" s="7600"/>
      <c r="Y1053" s="7601"/>
      <c r="Z1053" s="7601"/>
      <c r="AA1053" s="7601"/>
      <c r="AB1053" s="7599"/>
      <c r="AC1053" s="7598"/>
      <c r="AD1053" s="7598"/>
      <c r="AE1053" s="7598"/>
      <c r="AF1053" s="7598"/>
      <c r="AG1053" s="7598"/>
      <c r="AH1053" s="7602"/>
      <c r="AI1053" s="6680"/>
    </row>
    <row r="1054" ht="15.0" customHeight="1">
      <c r="A1054" s="6676"/>
      <c r="B1054" s="7407"/>
      <c r="C1054" s="7408"/>
      <c r="D1054" s="7409"/>
      <c r="E1054" s="7410"/>
      <c r="F1054" s="7410"/>
      <c r="G1054" s="7410"/>
      <c r="H1054" s="7410"/>
      <c r="I1054" s="7411"/>
      <c r="J1054" s="7410"/>
      <c r="K1054" s="7410"/>
      <c r="L1054" s="7410"/>
      <c r="M1054" s="7410"/>
      <c r="N1054" s="7411"/>
      <c r="O1054" s="7410"/>
      <c r="P1054" s="7410"/>
      <c r="Q1054" s="7410"/>
      <c r="R1054" s="7410"/>
      <c r="S1054" s="7411"/>
      <c r="T1054" s="7410"/>
      <c r="U1054" s="7410"/>
      <c r="V1054" s="7410"/>
      <c r="W1054" s="7410"/>
      <c r="X1054" s="7411"/>
      <c r="Y1054" s="7410"/>
      <c r="Z1054" s="7410"/>
      <c r="AA1054" s="7410"/>
      <c r="AB1054" s="7410"/>
      <c r="AC1054" s="7411"/>
      <c r="AD1054" s="7410"/>
      <c r="AE1054" s="7410"/>
      <c r="AF1054" s="7410"/>
      <c r="AG1054" s="7410"/>
      <c r="AH1054" s="7413"/>
      <c r="AI1054" s="6680"/>
    </row>
    <row r="1055" ht="96.75" customHeight="1">
      <c r="A1055" s="6676"/>
      <c r="B1055" s="7414"/>
      <c r="C1055" s="7415" t="str">
        <f>IMAGE("https://i.ibb.co/3NcSy5g/Aroma-Lady.png")</f>
        <v/>
      </c>
      <c r="D1055" s="7416"/>
      <c r="E1055" s="7417" t="str">
        <f t="array" ref="E1055">IFERROR(VLOOKUP(E1056,Dex!$B$3:$G1219,3,FALSE),"")</f>
        <v/>
      </c>
      <c r="F1055" s="1945"/>
      <c r="G1055" s="1945"/>
      <c r="H1055" s="1946"/>
      <c r="I1055" s="7418"/>
      <c r="J1055" s="7417" t="str">
        <f t="array" ref="J1055">IFERROR(VLOOKUP(J1056,Dex!$B$3:$G1219,3,FALSE),"")</f>
        <v/>
      </c>
      <c r="K1055" s="1945"/>
      <c r="L1055" s="1945"/>
      <c r="M1055" s="1946"/>
      <c r="N1055" s="7418"/>
      <c r="O1055" s="7417" t="str">
        <f t="array" ref="O1055">IFERROR(VLOOKUP(O1056,Dex!$B$3:$G1219,3,FALSE),"")</f>
        <v/>
      </c>
      <c r="P1055" s="1945"/>
      <c r="Q1055" s="1945"/>
      <c r="R1055" s="1946"/>
      <c r="S1055" s="7418"/>
      <c r="T1055" s="7417" t="str">
        <f t="array" ref="T1055">IFERROR(VLOOKUP(T1056,Dex!$B$3:$G1219,3,FALSE),"")</f>
        <v/>
      </c>
      <c r="U1055" s="1945"/>
      <c r="V1055" s="1945"/>
      <c r="W1055" s="1946"/>
      <c r="X1055" s="7418"/>
      <c r="Y1055" s="7417" t="str">
        <f t="array" ref="Y1055">IFERROR(VLOOKUP(Y1056,Dex!$B$3:$G1219,3,FALSE),"")</f>
        <v/>
      </c>
      <c r="Z1055" s="1945"/>
      <c r="AA1055" s="1945"/>
      <c r="AB1055" s="1946"/>
      <c r="AC1055" s="7610"/>
      <c r="AD1055" s="7417" t="str">
        <f t="array" ref="AD1055">IFERROR(VLOOKUP(AD1056,Dex!$B$3:$G1219,3,FALSE),"")</f>
        <v/>
      </c>
      <c r="AE1055" s="1945"/>
      <c r="AF1055" s="1945"/>
      <c r="AG1055" s="1946"/>
      <c r="AH1055" s="7611"/>
      <c r="AI1055" s="6680"/>
    </row>
    <row r="1056" ht="18.75" customHeight="1">
      <c r="A1056" s="6691"/>
      <c r="B1056" s="7422"/>
      <c r="C1056" s="7423" t="s">
        <v>2177</v>
      </c>
      <c r="D1056" s="7424"/>
      <c r="E1056" s="7425" t="s">
        <v>2178</v>
      </c>
      <c r="F1056" s="7426"/>
      <c r="G1056" s="7426"/>
      <c r="H1056" s="7427"/>
      <c r="I1056" s="7418"/>
      <c r="J1056" s="7425" t="s">
        <v>1288</v>
      </c>
      <c r="K1056" s="7426"/>
      <c r="L1056" s="7426"/>
      <c r="M1056" s="7427"/>
      <c r="N1056" s="7418"/>
      <c r="O1056" s="7425" t="s">
        <v>1287</v>
      </c>
      <c r="P1056" s="7426"/>
      <c r="Q1056" s="7426"/>
      <c r="R1056" s="7427"/>
      <c r="S1056" s="7418"/>
      <c r="T1056" s="7425" t="s">
        <v>2179</v>
      </c>
      <c r="U1056" s="7426"/>
      <c r="V1056" s="7426"/>
      <c r="W1056" s="7427"/>
      <c r="X1056" s="7418"/>
      <c r="Y1056" s="7425" t="s">
        <v>935</v>
      </c>
      <c r="Z1056" s="7426"/>
      <c r="AA1056" s="7426"/>
      <c r="AB1056" s="7427"/>
      <c r="AC1056" s="7418"/>
      <c r="AD1056" s="7425" t="s">
        <v>1698</v>
      </c>
      <c r="AE1056" s="7426"/>
      <c r="AF1056" s="7426"/>
      <c r="AG1056" s="7427"/>
      <c r="AH1056" s="7612"/>
      <c r="AI1056" s="6699"/>
    </row>
    <row r="1057">
      <c r="A1057" s="6676"/>
      <c r="B1057" s="7414"/>
      <c r="C1057" s="1638"/>
      <c r="D1057" s="7431"/>
      <c r="E1057" s="7432" t="s">
        <v>729</v>
      </c>
      <c r="F1057" s="7433"/>
      <c r="G1057" s="7433"/>
      <c r="H1057" s="7434"/>
      <c r="I1057" s="7418"/>
      <c r="J1057" s="7432" t="s">
        <v>729</v>
      </c>
      <c r="K1057" s="7433"/>
      <c r="L1057" s="7433"/>
      <c r="M1057" s="7434"/>
      <c r="N1057" s="7418"/>
      <c r="O1057" s="7432" t="s">
        <v>729</v>
      </c>
      <c r="P1057" s="7433"/>
      <c r="Q1057" s="7433"/>
      <c r="R1057" s="7434"/>
      <c r="S1057" s="7418"/>
      <c r="T1057" s="7432" t="s">
        <v>729</v>
      </c>
      <c r="U1057" s="7433"/>
      <c r="V1057" s="7433"/>
      <c r="W1057" s="7434"/>
      <c r="X1057" s="7418"/>
      <c r="Y1057" s="7432" t="s">
        <v>729</v>
      </c>
      <c r="Z1057" s="7433"/>
      <c r="AA1057" s="7433"/>
      <c r="AB1057" s="7434"/>
      <c r="AC1057" s="7610"/>
      <c r="AD1057" s="7432" t="s">
        <v>729</v>
      </c>
      <c r="AE1057" s="7433"/>
      <c r="AF1057" s="7433"/>
      <c r="AG1057" s="7434"/>
      <c r="AH1057" s="7611"/>
      <c r="AI1057" s="6680"/>
    </row>
    <row r="1058" ht="25.5" customHeight="1">
      <c r="A1058" s="6676"/>
      <c r="B1058" s="7414"/>
      <c r="C1058" s="1646"/>
      <c r="D1058" s="7435"/>
      <c r="E1058" s="7436"/>
      <c r="F1058" s="7437" t="str">
        <f t="array" ref="F1058">IFERROR(VLOOKUP(E1056,Dex!$B$3:$H1219,5,FALSE),"")</f>
        <v/>
      </c>
      <c r="G1058" s="7438" t="str">
        <f t="array" ref="G1058">IFERROR(VLOOKUP(E1056,Dex!$B$3:$H1219,7,FALSE),"")</f>
        <v/>
      </c>
      <c r="H1058" s="7439"/>
      <c r="I1058" s="7440"/>
      <c r="J1058" s="7436"/>
      <c r="K1058" s="7613" t="str">
        <f t="array" ref="K1058">IFERROR(VLOOKUP(J1056,Dex!$B$3:$H1219,5,FALSE),"")</f>
        <v/>
      </c>
      <c r="L1058" s="7614"/>
      <c r="M1058" s="7439"/>
      <c r="N1058" s="7440"/>
      <c r="O1058" s="7436"/>
      <c r="P1058" s="7613" t="str">
        <f t="array" ref="P1058">IFERROR(VLOOKUP(O1056,Dex!$B$3:$H1219,5,FALSE),"")</f>
        <v/>
      </c>
      <c r="Q1058" s="7614"/>
      <c r="R1058" s="7439"/>
      <c r="S1058" s="7440"/>
      <c r="T1058" s="7436"/>
      <c r="U1058" s="7437" t="str">
        <f t="array" ref="U1058">IFERROR(VLOOKUP(T1056,Dex!$B$3:$H1219,5,FALSE),"")</f>
        <v/>
      </c>
      <c r="V1058" s="7438" t="str">
        <f t="array" ref="V1058">IFERROR(VLOOKUP(T1056,Dex!$B$3:$H1219,7,FALSE),"")</f>
        <v/>
      </c>
      <c r="W1058" s="7439"/>
      <c r="X1058" s="7440"/>
      <c r="Y1058" s="7436"/>
      <c r="Z1058" s="7613" t="str">
        <f t="array" ref="Z1058">IFERROR(VLOOKUP(Y1056,Dex!$B$3:$H1219,5,FALSE),"")</f>
        <v/>
      </c>
      <c r="AA1058" s="7614"/>
      <c r="AB1058" s="7439"/>
      <c r="AC1058" s="7435"/>
      <c r="AD1058" s="7436"/>
      <c r="AE1058" s="7437" t="str">
        <f t="array" ref="AE1058">IFERROR(VLOOKUP(AD1056,Dex!$B$3:$H1219,5,FALSE),"")</f>
        <v/>
      </c>
      <c r="AF1058" s="7438" t="str">
        <f t="array" ref="AF1058">IFERROR(VLOOKUP(AD1056,Dex!$B$3:$H1219,7,FALSE),"")</f>
        <v/>
      </c>
      <c r="AG1058" s="7439"/>
      <c r="AH1058" s="7421"/>
      <c r="AI1058" s="6680"/>
    </row>
    <row r="1059" ht="2.25" customHeight="1">
      <c r="A1059" s="6676"/>
      <c r="B1059" s="7414"/>
      <c r="C1059" s="7441"/>
      <c r="D1059" s="7435"/>
      <c r="E1059" s="7442"/>
      <c r="F1059" s="7443"/>
      <c r="G1059" s="7443"/>
      <c r="H1059" s="7444"/>
      <c r="I1059" s="7440"/>
      <c r="J1059" s="7442"/>
      <c r="K1059" s="7443"/>
      <c r="L1059" s="7443"/>
      <c r="M1059" s="7444"/>
      <c r="N1059" s="7440"/>
      <c r="O1059" s="7442"/>
      <c r="P1059" s="7443"/>
      <c r="Q1059" s="7443"/>
      <c r="R1059" s="7444"/>
      <c r="S1059" s="7440"/>
      <c r="T1059" s="7442"/>
      <c r="U1059" s="7443"/>
      <c r="V1059" s="7443"/>
      <c r="W1059" s="7444"/>
      <c r="X1059" s="7440"/>
      <c r="Y1059" s="7442"/>
      <c r="Z1059" s="7443"/>
      <c r="AA1059" s="7443"/>
      <c r="AB1059" s="7444"/>
      <c r="AC1059" s="7435"/>
      <c r="AD1059" s="7442"/>
      <c r="AE1059" s="7443"/>
      <c r="AF1059" s="7443"/>
      <c r="AG1059" s="7444"/>
      <c r="AH1059" s="7421"/>
      <c r="AI1059" s="6680"/>
    </row>
    <row r="1060" ht="20.25" customHeight="1">
      <c r="A1060" s="6676"/>
      <c r="B1060" s="7414"/>
      <c r="C1060" s="1314"/>
      <c r="D1060" s="7420"/>
      <c r="E1060" s="7445" t="s">
        <v>754</v>
      </c>
      <c r="F1060" s="1320"/>
      <c r="G1060" s="1320"/>
      <c r="H1060" s="1321"/>
      <c r="I1060" s="7418"/>
      <c r="J1060" s="7445" t="s">
        <v>564</v>
      </c>
      <c r="K1060" s="1320"/>
      <c r="L1060" s="1320"/>
      <c r="M1060" s="1321"/>
      <c r="N1060" s="7418"/>
      <c r="O1060" s="7445" t="s">
        <v>482</v>
      </c>
      <c r="P1060" s="1320"/>
      <c r="Q1060" s="1320"/>
      <c r="R1060" s="1321"/>
      <c r="S1060" s="7418"/>
      <c r="T1060" s="7445" t="s">
        <v>707</v>
      </c>
      <c r="U1060" s="1320"/>
      <c r="V1060" s="1320"/>
      <c r="W1060" s="1321"/>
      <c r="X1060" s="7418"/>
      <c r="Y1060" s="7445" t="s">
        <v>531</v>
      </c>
      <c r="Z1060" s="1320"/>
      <c r="AA1060" s="1320"/>
      <c r="AB1060" s="1321"/>
      <c r="AC1060" s="7610"/>
      <c r="AD1060" s="7445" t="s">
        <v>532</v>
      </c>
      <c r="AE1060" s="1320"/>
      <c r="AF1060" s="1320"/>
      <c r="AG1060" s="1321"/>
      <c r="AH1060" s="7611"/>
      <c r="AI1060" s="6680"/>
    </row>
    <row r="1061">
      <c r="A1061" s="6676"/>
      <c r="B1061" s="7414"/>
      <c r="C1061" s="1314"/>
      <c r="D1061" s="7420"/>
      <c r="E1061" s="7446" t="s">
        <v>2180</v>
      </c>
      <c r="F1061" s="1285"/>
      <c r="G1061" s="1285"/>
      <c r="H1061" s="1304"/>
      <c r="I1061" s="7418"/>
      <c r="J1061" s="7447" t="s">
        <v>115</v>
      </c>
      <c r="K1061" s="1285"/>
      <c r="L1061" s="1285"/>
      <c r="M1061" s="1304"/>
      <c r="N1061" s="7418"/>
      <c r="O1061" s="7447" t="s">
        <v>86</v>
      </c>
      <c r="P1061" s="1285"/>
      <c r="Q1061" s="1285"/>
      <c r="R1061" s="1304"/>
      <c r="S1061" s="7418"/>
      <c r="T1061" s="7447" t="s">
        <v>115</v>
      </c>
      <c r="U1061" s="1285"/>
      <c r="V1061" s="1285"/>
      <c r="W1061" s="1304"/>
      <c r="X1061" s="7418"/>
      <c r="Y1061" s="7447" t="s">
        <v>115</v>
      </c>
      <c r="Z1061" s="1285"/>
      <c r="AA1061" s="1285"/>
      <c r="AB1061" s="1304"/>
      <c r="AC1061" s="7610"/>
      <c r="AD1061" s="7447" t="s">
        <v>1172</v>
      </c>
      <c r="AE1061" s="1285"/>
      <c r="AF1061" s="1285"/>
      <c r="AG1061" s="1304"/>
      <c r="AH1061" s="7611"/>
      <c r="AI1061" s="6680"/>
    </row>
    <row r="1062" ht="20.25" customHeight="1">
      <c r="A1062" s="6676"/>
      <c r="B1062" s="7414"/>
      <c r="C1062" s="1314"/>
      <c r="D1062" s="7420"/>
      <c r="E1062" s="7448" t="s">
        <v>2181</v>
      </c>
      <c r="F1062" s="1325"/>
      <c r="G1062" s="1326"/>
      <c r="H1062" s="7449" t="str">
        <f>IMAGE("https://raw.githubusercontent.com/msikma/pokesprite/master/items/mega-stone/sablenite.png",3)</f>
        <v/>
      </c>
      <c r="I1062" s="7429"/>
      <c r="J1062" s="7448" t="s">
        <v>713</v>
      </c>
      <c r="K1062" s="1325"/>
      <c r="L1062" s="1326"/>
      <c r="M1062" s="7449" t="str">
        <f>IMAGE("https://raw.githubusercontent.com/msikma/pokesprite/master/items/hold-item/assault-vest.png",3)</f>
        <v/>
      </c>
      <c r="N1062" s="7429"/>
      <c r="O1062" s="7448" t="s">
        <v>733</v>
      </c>
      <c r="P1062" s="1325"/>
      <c r="Q1062" s="1326"/>
      <c r="R1062" s="7449" t="str">
        <f>IMAGE("https://raw.githubusercontent.com/msikma/pokesprite/master/items/hold-item/leftovers.png",3)</f>
        <v/>
      </c>
      <c r="S1062" s="7429"/>
      <c r="T1062" s="7448" t="s">
        <v>539</v>
      </c>
      <c r="U1062" s="1325"/>
      <c r="V1062" s="1326"/>
      <c r="W1062" s="7449" t="str">
        <f>IMAGE("https://raw.githubusercontent.com/msikma/pokesprite/master/items/hold-item/black-sludge.png",3)</f>
        <v/>
      </c>
      <c r="X1062" s="7429"/>
      <c r="Y1062" s="7448" t="s">
        <v>733</v>
      </c>
      <c r="Z1062" s="1325"/>
      <c r="AA1062" s="1326"/>
      <c r="AB1062" s="7449" t="str">
        <f>IMAGE("https://raw.githubusercontent.com/msikma/pokesprite/master/items/hold-item/leftovers.png",3)</f>
        <v/>
      </c>
      <c r="AC1062" s="7420"/>
      <c r="AD1062" s="7448" t="s">
        <v>2080</v>
      </c>
      <c r="AE1062" s="1325"/>
      <c r="AF1062" s="1326"/>
      <c r="AG1062" s="7449" t="str">
        <f>IMAGE("https://raw.githubusercontent.com/msikma/pokesprite/master/items/hold-item/choice-band.png",3)</f>
        <v/>
      </c>
      <c r="AH1062" s="7421"/>
      <c r="AI1062" s="6680"/>
    </row>
    <row r="1063" ht="20.25" customHeight="1">
      <c r="A1063" s="6676"/>
      <c r="B1063" s="7414"/>
      <c r="C1063" s="1318"/>
      <c r="D1063" s="7420"/>
      <c r="E1063" s="7445" t="s">
        <v>501</v>
      </c>
      <c r="F1063" s="1320"/>
      <c r="G1063" s="7450"/>
      <c r="H1063" s="7451" t="str">
        <f>IMAGE("https://raw.githubusercontent.com/msikma/pokesprite/master/misc/types/gen8/normal.png",4,20,20)</f>
        <v/>
      </c>
      <c r="I1063" s="7429"/>
      <c r="J1063" s="7445" t="s">
        <v>543</v>
      </c>
      <c r="K1063" s="1320"/>
      <c r="L1063" s="7450"/>
      <c r="M1063" s="7451" t="str">
        <f>IMAGE("https://raw.githubusercontent.com/msikma/pokesprite/master/misc/types/gen8/grass.png",4,20,20)</f>
        <v/>
      </c>
      <c r="N1063" s="7429"/>
      <c r="O1063" s="7445" t="s">
        <v>623</v>
      </c>
      <c r="P1063" s="1320"/>
      <c r="Q1063" s="7450"/>
      <c r="R1063" s="7451" t="str">
        <f>IMAGE("https://raw.githubusercontent.com/msikma/pokesprite/master/misc/types/gen8/psychic.png",4,20,20)</f>
        <v/>
      </c>
      <c r="S1063" s="7429"/>
      <c r="T1063" s="7445" t="s">
        <v>204</v>
      </c>
      <c r="U1063" s="1320"/>
      <c r="V1063" s="7450"/>
      <c r="W1063" s="7451" t="str">
        <f>IMAGE("https://raw.githubusercontent.com/msikma/pokesprite/master/misc/types/gen8/poison.png",4,20,20)</f>
        <v/>
      </c>
      <c r="X1063" s="7429"/>
      <c r="Y1063" s="7445" t="s">
        <v>1294</v>
      </c>
      <c r="Z1063" s="1320"/>
      <c r="AA1063" s="7450"/>
      <c r="AB1063" s="7451" t="str">
        <f t="shared" ref="AB1063:AB1064" si="41">IMAGE("https://raw.githubusercontent.com/msikma/pokesprite/master/misc/types/gen8/psychic.png",4,20,20)</f>
        <v/>
      </c>
      <c r="AC1063" s="7420"/>
      <c r="AD1063" s="7445" t="s">
        <v>667</v>
      </c>
      <c r="AE1063" s="1320"/>
      <c r="AF1063" s="7450"/>
      <c r="AG1063" s="7451" t="str">
        <f>IMAGE("https://raw.githubusercontent.com/msikma/pokesprite/master/misc/types/gen8/dark.png",4,20,20)</f>
        <v/>
      </c>
      <c r="AH1063" s="7421"/>
      <c r="AI1063" s="6680"/>
    </row>
    <row r="1064" ht="20.25" customHeight="1">
      <c r="A1064" s="6676"/>
      <c r="B1064" s="7414"/>
      <c r="C1064" s="7452"/>
      <c r="D1064" s="7420"/>
      <c r="E1064" s="7447" t="s">
        <v>503</v>
      </c>
      <c r="F1064" s="1285"/>
      <c r="G1064" s="1286"/>
      <c r="H1064" s="7453" t="str">
        <f>IMAGE("https://raw.githubusercontent.com/msikma/pokesprite/master/misc/types/gen8/poison.png",4,20,20)</f>
        <v/>
      </c>
      <c r="I1064" s="7429"/>
      <c r="J1064" s="7447" t="s">
        <v>549</v>
      </c>
      <c r="K1064" s="1285"/>
      <c r="L1064" s="1286"/>
      <c r="M1064" s="7453" t="str">
        <f>IMAGE("https://raw.githubusercontent.com/msikma/pokesprite/master/misc/types/gen8/ground.png",4,20,20)</f>
        <v/>
      </c>
      <c r="N1064" s="7429"/>
      <c r="O1064" s="7447" t="s">
        <v>1293</v>
      </c>
      <c r="P1064" s="1285"/>
      <c r="Q1064" s="1286"/>
      <c r="R1064" s="7453" t="str">
        <f>IMAGE("https://raw.githubusercontent.com/msikma/pokesprite/master/misc/types/gen8/normal.png",4,20,20)</f>
        <v/>
      </c>
      <c r="S1064" s="7429"/>
      <c r="T1064" s="7447" t="s">
        <v>544</v>
      </c>
      <c r="U1064" s="1285"/>
      <c r="V1064" s="1286"/>
      <c r="W1064" s="7453" t="str">
        <f>IMAGE("https://raw.githubusercontent.com/msikma/pokesprite/master/misc/types/gen8/water.png",4,20,20)</f>
        <v/>
      </c>
      <c r="X1064" s="7429"/>
      <c r="Y1064" s="7447" t="s">
        <v>552</v>
      </c>
      <c r="Z1064" s="1285"/>
      <c r="AA1064" s="1286"/>
      <c r="AB1064" s="7453" t="str">
        <f t="shared" si="41"/>
        <v/>
      </c>
      <c r="AC1064" s="7420"/>
      <c r="AD1064" s="7447" t="s">
        <v>545</v>
      </c>
      <c r="AE1064" s="1285"/>
      <c r="AF1064" s="1286"/>
      <c r="AG1064" s="7453" t="str">
        <f>IMAGE("https://raw.githubusercontent.com/msikma/pokesprite/master/misc/types/gen8/poison.png",4,20,20)</f>
        <v/>
      </c>
      <c r="AH1064" s="7421"/>
      <c r="AI1064" s="6680"/>
    </row>
    <row r="1065" ht="20.25" customHeight="1">
      <c r="A1065" s="6676"/>
      <c r="B1065" s="7414"/>
      <c r="C1065" s="7452"/>
      <c r="D1065" s="7420"/>
      <c r="E1065" s="7447" t="s">
        <v>1242</v>
      </c>
      <c r="F1065" s="1285"/>
      <c r="G1065" s="1286"/>
      <c r="H1065" s="7453" t="str">
        <f>IMAGE("https://raw.githubusercontent.com/msikma/pokesprite/master/misc/types/gen8/dark.png",4,20,20)</f>
        <v/>
      </c>
      <c r="I1065" s="7429"/>
      <c r="J1065" s="7447" t="s">
        <v>579</v>
      </c>
      <c r="K1065" s="1285"/>
      <c r="L1065" s="1286"/>
      <c r="M1065" s="7453" t="str">
        <f>IMAGE("https://raw.githubusercontent.com/msikma/pokesprite/master/misc/types/gen8/dark.png",4,20,20)</f>
        <v/>
      </c>
      <c r="N1065" s="7429"/>
      <c r="O1065" s="7447" t="s">
        <v>1292</v>
      </c>
      <c r="P1065" s="1285"/>
      <c r="Q1065" s="1286"/>
      <c r="R1065" s="7453" t="str">
        <f>IMAGE("https://raw.githubusercontent.com/msikma/pokesprite/master/misc/types/gen8/fighting.png",4,20,20)</f>
        <v/>
      </c>
      <c r="S1065" s="7429"/>
      <c r="T1065" s="7447" t="s">
        <v>579</v>
      </c>
      <c r="U1065" s="1285"/>
      <c r="V1065" s="1286"/>
      <c r="W1065" s="7453" t="str">
        <f>IMAGE("https://raw.githubusercontent.com/msikma/pokesprite/master/misc/types/gen8/dark.png",4,20,20)</f>
        <v/>
      </c>
      <c r="X1065" s="7429"/>
      <c r="Y1065" s="7447" t="s">
        <v>590</v>
      </c>
      <c r="Z1065" s="1285"/>
      <c r="AA1065" s="1286"/>
      <c r="AB1065" s="7453" t="str">
        <f>IMAGE("https://raw.githubusercontent.com/msikma/pokesprite/master/misc/types/gen8/fighting.png",4,20,20)</f>
        <v/>
      </c>
      <c r="AC1065" s="7420"/>
      <c r="AD1065" s="7447" t="s">
        <v>549</v>
      </c>
      <c r="AE1065" s="1285"/>
      <c r="AF1065" s="1286"/>
      <c r="AG1065" s="7453" t="str">
        <f>IMAGE("https://raw.githubusercontent.com/msikma/pokesprite/master/misc/types/gen8/ground.png",4,20,20)</f>
        <v/>
      </c>
      <c r="AH1065" s="7421"/>
      <c r="AI1065" s="6680"/>
    </row>
    <row r="1066" ht="21.0" customHeight="1">
      <c r="A1066" s="6676"/>
      <c r="B1066" s="7414"/>
      <c r="C1066" s="7452"/>
      <c r="D1066" s="7420"/>
      <c r="E1066" s="7454" t="s">
        <v>878</v>
      </c>
      <c r="F1066" s="1333"/>
      <c r="G1066" s="7456"/>
      <c r="H1066" s="7457" t="str">
        <f>IMAGE("https://raw.githubusercontent.com/msikma/pokesprite/master/misc/types/gen8/fire.png",4,20,20)</f>
        <v/>
      </c>
      <c r="I1066" s="7418"/>
      <c r="J1066" s="7454" t="s">
        <v>590</v>
      </c>
      <c r="K1066" s="1333"/>
      <c r="L1066" s="7456"/>
      <c r="M1066" s="7457" t="str">
        <f>IMAGE("https://raw.githubusercontent.com/msikma/pokesprite/master/misc/types/gen8/fighting.png",4,20,20)</f>
        <v/>
      </c>
      <c r="N1066" s="7429"/>
      <c r="O1066" s="7454" t="s">
        <v>611</v>
      </c>
      <c r="P1066" s="1333"/>
      <c r="Q1066" s="7456"/>
      <c r="R1066" s="7457" t="str">
        <f>IMAGE("https://raw.githubusercontent.com/msikma/pokesprite/master/misc/types/gen8/electric.png",4,20,20)</f>
        <v/>
      </c>
      <c r="S1066" s="7429"/>
      <c r="T1066" s="7454" t="s">
        <v>501</v>
      </c>
      <c r="U1066" s="1333"/>
      <c r="V1066" s="7456"/>
      <c r="W1066" s="7457" t="str">
        <f>IMAGE("https://raw.githubusercontent.com/msikma/pokesprite/master/misc/types/gen8/normal.png",4,20,20)</f>
        <v/>
      </c>
      <c r="X1066" s="7429"/>
      <c r="Y1066" s="7454" t="s">
        <v>623</v>
      </c>
      <c r="Z1066" s="1333"/>
      <c r="AA1066" s="7456"/>
      <c r="AB1066" s="7457" t="str">
        <f>IMAGE("https://raw.githubusercontent.com/msikma/pokesprite/master/misc/types/gen8/psychic.png",4,20,20)</f>
        <v/>
      </c>
      <c r="AC1066" s="7420"/>
      <c r="AD1066" s="7454" t="s">
        <v>1324</v>
      </c>
      <c r="AE1066" s="1333"/>
      <c r="AF1066" s="7456"/>
      <c r="AG1066" s="7457" t="str">
        <f>IMAGE("https://raw.githubusercontent.com/msikma/pokesprite/master/misc/types/gen8/bug.png",4,20,20)</f>
        <v/>
      </c>
      <c r="AH1066" s="7421"/>
      <c r="AI1066" s="6680"/>
    </row>
    <row r="1067" ht="3.0" customHeight="1">
      <c r="A1067" s="6738"/>
      <c r="B1067" s="7459"/>
      <c r="C1067" s="7460"/>
      <c r="D1067" s="7461"/>
      <c r="E1067" s="7463"/>
      <c r="F1067" s="7463"/>
      <c r="G1067" s="7463"/>
      <c r="H1067" s="7462"/>
      <c r="I1067" s="7461"/>
      <c r="J1067" s="7463"/>
      <c r="K1067" s="7463"/>
      <c r="L1067" s="7463"/>
      <c r="M1067" s="7464"/>
      <c r="N1067" s="7461"/>
      <c r="O1067" s="7463"/>
      <c r="P1067" s="7463"/>
      <c r="Q1067" s="7463"/>
      <c r="R1067" s="7464"/>
      <c r="S1067" s="7461"/>
      <c r="T1067" s="7463"/>
      <c r="U1067" s="7463"/>
      <c r="V1067" s="7463"/>
      <c r="W1067" s="7464"/>
      <c r="X1067" s="7461"/>
      <c r="Y1067" s="7465"/>
      <c r="Z1067" s="7465"/>
      <c r="AA1067" s="7465"/>
      <c r="AB1067" s="7466"/>
      <c r="AC1067" s="7466"/>
      <c r="AD1067" s="7465"/>
      <c r="AE1067" s="7465"/>
      <c r="AF1067" s="7465"/>
      <c r="AG1067" s="7466"/>
      <c r="AH1067" s="7467"/>
      <c r="AI1067" s="6747"/>
    </row>
    <row r="1068" ht="16.5" customHeight="1">
      <c r="A1068" s="6738"/>
      <c r="B1068" s="7468"/>
      <c r="C1068" s="7469"/>
      <c r="D1068" s="7472"/>
      <c r="E1068" s="7471" t="s">
        <v>512</v>
      </c>
      <c r="F1068" s="606"/>
      <c r="G1068" s="606"/>
      <c r="H1068" s="607"/>
      <c r="I1068" s="7472"/>
      <c r="J1068" s="7471" t="s">
        <v>512</v>
      </c>
      <c r="K1068" s="606"/>
      <c r="L1068" s="606"/>
      <c r="M1068" s="607"/>
      <c r="N1068" s="7472"/>
      <c r="O1068" s="7471" t="s">
        <v>512</v>
      </c>
      <c r="P1068" s="606"/>
      <c r="Q1068" s="606"/>
      <c r="R1068" s="607"/>
      <c r="S1068" s="7473"/>
      <c r="T1068" s="7471" t="s">
        <v>512</v>
      </c>
      <c r="U1068" s="606"/>
      <c r="V1068" s="606"/>
      <c r="W1068" s="607"/>
      <c r="X1068" s="7473"/>
      <c r="Y1068" s="7471" t="s">
        <v>512</v>
      </c>
      <c r="Z1068" s="606"/>
      <c r="AA1068" s="606"/>
      <c r="AB1068" s="607"/>
      <c r="AC1068" s="7473"/>
      <c r="AD1068" s="7471" t="s">
        <v>512</v>
      </c>
      <c r="AE1068" s="606"/>
      <c r="AF1068" s="606"/>
      <c r="AG1068" s="607"/>
      <c r="AH1068" s="7475"/>
      <c r="AI1068" s="6747"/>
    </row>
    <row r="1069" ht="16.5" customHeight="1">
      <c r="A1069" s="6738"/>
      <c r="B1069" s="7468"/>
      <c r="C1069" s="7469"/>
      <c r="D1069" s="7470"/>
      <c r="E1069" s="7476" t="s">
        <v>513</v>
      </c>
      <c r="F1069" s="7477">
        <f t="array" ref="F1069">IFERROR(VLOOKUP(E1056,Dex!$B$3:$N1219,8,FALSE),"")</f>
        <v>50</v>
      </c>
      <c r="G1069" s="7478" t="str">
        <f t="array" ref="G1069">IFERROR(VLOOKUP(F1069,Dex!$P$22:$Q$276,2,FALSE),"")</f>
        <v/>
      </c>
      <c r="H1069" s="7479"/>
      <c r="I1069" s="7470"/>
      <c r="J1069" s="7476" t="s">
        <v>513</v>
      </c>
      <c r="K1069" s="7477">
        <f t="array" ref="K1069">IFERROR(VLOOKUP(J1056,Dex!$B$3:$N1219,8,FALSE),"")</f>
        <v>100</v>
      </c>
      <c r="L1069" s="7478" t="str">
        <f t="array" ref="L1069">IFERROR(VLOOKUP(K1069,Dex!$P$22:$Q$276,2,FALSE),"")</f>
        <v/>
      </c>
      <c r="M1069" s="7479"/>
      <c r="N1069" s="7470"/>
      <c r="O1069" s="7476" t="s">
        <v>513</v>
      </c>
      <c r="P1069" s="7477">
        <f t="array" ref="P1069">IFERROR(VLOOKUP(O1056,Dex!$B$3:$N1219,8,FALSE),"")</f>
        <v>255</v>
      </c>
      <c r="Q1069" s="7478" t="str">
        <f t="array" ref="Q1069">IFERROR(VLOOKUP(P1069,Dex!$P$22:$Q$276,2,FALSE),"")</f>
        <v/>
      </c>
      <c r="R1069" s="7479"/>
      <c r="S1069" s="7474"/>
      <c r="T1069" s="7476" t="s">
        <v>513</v>
      </c>
      <c r="U1069" s="7477">
        <f t="array" ref="U1069">IFERROR(VLOOKUP(T1056,Dex!$B$3:$N1219,8,FALSE),"")</f>
        <v>50</v>
      </c>
      <c r="V1069" s="7478" t="str">
        <f t="array" ref="V1069">IFERROR(VLOOKUP(U1069,Dex!$P$22:$Q$276,2,FALSE),"")</f>
        <v/>
      </c>
      <c r="W1069" s="7479"/>
      <c r="X1069" s="7474"/>
      <c r="Y1069" s="7476" t="s">
        <v>513</v>
      </c>
      <c r="Z1069" s="7477">
        <f t="array" ref="Z1069">IFERROR(VLOOKUP(Y1056,Dex!$B$3:$N1219,8,FALSE),"")</f>
        <v>110</v>
      </c>
      <c r="AA1069" s="7478" t="str">
        <f t="array" ref="AA1069">IFERROR(VLOOKUP(Z1069,Dex!$P$22:$Q$276,2,FALSE),"")</f>
        <v/>
      </c>
      <c r="AB1069" s="7479"/>
      <c r="AC1069" s="7474"/>
      <c r="AD1069" s="7476" t="s">
        <v>513</v>
      </c>
      <c r="AE1069" s="7477">
        <f t="array" ref="AE1069">IFERROR(VLOOKUP(AD1056,Dex!$B$3:$N1219,8,FALSE),"")</f>
        <v>70</v>
      </c>
      <c r="AF1069" s="7478" t="str">
        <f t="array" ref="AF1069">IFERROR(VLOOKUP(AE1069,Dex!$P$22:$Q$276,2,FALSE),"")</f>
        <v/>
      </c>
      <c r="AG1069" s="7479"/>
      <c r="AH1069" s="7475"/>
      <c r="AI1069" s="6747"/>
    </row>
    <row r="1070" ht="16.5" customHeight="1">
      <c r="A1070" s="6738"/>
      <c r="B1070" s="7468"/>
      <c r="C1070" s="7469"/>
      <c r="D1070" s="7470"/>
      <c r="E1070" s="7480" t="s">
        <v>514</v>
      </c>
      <c r="F1070" s="7481">
        <f t="array" ref="F1070">IFERROR(VLOOKUP(E1056,Dex!$B$3:$N1219,9,FALSE),"")</f>
        <v>85</v>
      </c>
      <c r="G1070" s="7482" t="str">
        <f t="array" ref="G1070">IFERROR(VLOOKUP(F1070,Dex!$P$22:$Q$276,2,FALSE),"")</f>
        <v/>
      </c>
      <c r="H1070" s="7483"/>
      <c r="I1070" s="7470"/>
      <c r="J1070" s="7480" t="s">
        <v>514</v>
      </c>
      <c r="K1070" s="7481">
        <f t="array" ref="K1070">IFERROR(VLOOKUP(J1056,Dex!$B$3:$N1219,9,FALSE),"")</f>
        <v>100</v>
      </c>
      <c r="L1070" s="7482" t="str">
        <f t="array" ref="L1070">IFERROR(VLOOKUP(K1070,Dex!$P$22:$Q$276,2,FALSE),"")</f>
        <v/>
      </c>
      <c r="M1070" s="7483"/>
      <c r="N1070" s="7470"/>
      <c r="O1070" s="7480" t="s">
        <v>514</v>
      </c>
      <c r="P1070" s="7481">
        <f t="array" ref="P1070">IFERROR(VLOOKUP(O1056,Dex!$B$3:$N1219,9,FALSE),"")</f>
        <v>10</v>
      </c>
      <c r="Q1070" s="7482" t="str">
        <f t="array" ref="Q1070">IFERROR(VLOOKUP(P1070,Dex!$P$22:$Q$276,2,FALSE),"")</f>
        <v/>
      </c>
      <c r="R1070" s="7483"/>
      <c r="S1070" s="7474"/>
      <c r="T1070" s="7480" t="s">
        <v>514</v>
      </c>
      <c r="U1070" s="7481">
        <f t="array" ref="U1070">IFERROR(VLOOKUP(T1056,Dex!$B$3:$N1219,9,FALSE),"")</f>
        <v>63</v>
      </c>
      <c r="V1070" s="7482" t="str">
        <f t="array" ref="V1070">IFERROR(VLOOKUP(U1070,Dex!$P$22:$Q$276,2,FALSE),"")</f>
        <v/>
      </c>
      <c r="W1070" s="7483"/>
      <c r="X1070" s="7474"/>
      <c r="Y1070" s="7480" t="s">
        <v>514</v>
      </c>
      <c r="Z1070" s="7481">
        <f t="array" ref="Z1070">IFERROR(VLOOKUP(Y1056,Dex!$B$3:$N1219,9,FALSE),"")</f>
        <v>65</v>
      </c>
      <c r="AA1070" s="7482" t="str">
        <f t="array" ref="AA1070">IFERROR(VLOOKUP(Z1070,Dex!$P$22:$Q$276,2,FALSE),"")</f>
        <v/>
      </c>
      <c r="AB1070" s="7483"/>
      <c r="AC1070" s="7474"/>
      <c r="AD1070" s="7480" t="s">
        <v>514</v>
      </c>
      <c r="AE1070" s="7481">
        <f t="array" ref="AE1070">IFERROR(VLOOKUP(AD1056,Dex!$B$3:$N1219,9,FALSE),"")</f>
        <v>80</v>
      </c>
      <c r="AF1070" s="7482" t="str">
        <f t="array" ref="AF1070">IFERROR(VLOOKUP(AE1070,Dex!$P$22:$Q$276,2,FALSE),"")</f>
        <v/>
      </c>
      <c r="AG1070" s="7483"/>
      <c r="AH1070" s="7475"/>
      <c r="AI1070" s="6747"/>
    </row>
    <row r="1071" ht="16.5" customHeight="1">
      <c r="A1071" s="6738"/>
      <c r="B1071" s="7468"/>
      <c r="C1071" s="7460"/>
      <c r="D1071" s="7470"/>
      <c r="E1071" s="7480" t="s">
        <v>515</v>
      </c>
      <c r="F1071" s="7481">
        <f t="array" ref="F1071">IFERROR(VLOOKUP(E1056,Dex!$B$3:$N1219,10,FALSE),"")</f>
        <v>125</v>
      </c>
      <c r="G1071" s="7482" t="str">
        <f t="array" ref="G1071">IFERROR(VLOOKUP(F1071,Dex!$P$22:$Q$276,2,FALSE),"")</f>
        <v/>
      </c>
      <c r="H1071" s="7483"/>
      <c r="I1071" s="7470"/>
      <c r="J1071" s="7480" t="s">
        <v>515</v>
      </c>
      <c r="K1071" s="7481">
        <f t="array" ref="K1071">IFERROR(VLOOKUP(J1056,Dex!$B$3:$N1219,10,FALSE),"")</f>
        <v>125</v>
      </c>
      <c r="L1071" s="7482" t="str">
        <f t="array" ref="L1071">IFERROR(VLOOKUP(K1071,Dex!$P$22:$Q$276,2,FALSE),"")</f>
        <v/>
      </c>
      <c r="M1071" s="7483"/>
      <c r="N1071" s="7470"/>
      <c r="O1071" s="7480" t="s">
        <v>515</v>
      </c>
      <c r="P1071" s="7481">
        <f t="array" ref="P1071">IFERROR(VLOOKUP(O1056,Dex!$B$3:$N1219,10,FALSE),"")</f>
        <v>10</v>
      </c>
      <c r="Q1071" s="7482" t="str">
        <f t="array" ref="Q1071">IFERROR(VLOOKUP(P1071,Dex!$P$22:$Q$276,2,FALSE),"")</f>
        <v/>
      </c>
      <c r="R1071" s="7483"/>
      <c r="S1071" s="7474"/>
      <c r="T1071" s="7480" t="s">
        <v>515</v>
      </c>
      <c r="U1071" s="7481">
        <f t="array" ref="U1071">IFERROR(VLOOKUP(T1056,Dex!$B$3:$N1219,10,FALSE),"")</f>
        <v>152</v>
      </c>
      <c r="V1071" s="7482" t="str">
        <f t="array" ref="V1071">IFERROR(VLOOKUP(U1071,Dex!$P$22:$Q$276,2,FALSE),"")</f>
        <v/>
      </c>
      <c r="W1071" s="7483"/>
      <c r="X1071" s="7474"/>
      <c r="Y1071" s="7480" t="s">
        <v>515</v>
      </c>
      <c r="Z1071" s="7481">
        <f t="array" ref="Z1071">IFERROR(VLOOKUP(Y1056,Dex!$B$3:$N1219,10,FALSE),"")</f>
        <v>75</v>
      </c>
      <c r="AA1071" s="7482" t="str">
        <f t="array" ref="AA1071">IFERROR(VLOOKUP(Z1071,Dex!$P$22:$Q$276,2,FALSE),"")</f>
        <v/>
      </c>
      <c r="AB1071" s="7483"/>
      <c r="AC1071" s="7474"/>
      <c r="AD1071" s="7480" t="s">
        <v>515</v>
      </c>
      <c r="AE1071" s="7481">
        <f t="array" ref="AE1071">IFERROR(VLOOKUP(AD1056,Dex!$B$3:$N1219,10,FALSE),"")</f>
        <v>110</v>
      </c>
      <c r="AF1071" s="7482" t="str">
        <f t="array" ref="AF1071">IFERROR(VLOOKUP(AE1071,Dex!$P$22:$Q$276,2,FALSE),"")</f>
        <v/>
      </c>
      <c r="AG1071" s="7483"/>
      <c r="AH1071" s="7475"/>
      <c r="AI1071" s="6747"/>
    </row>
    <row r="1072" ht="16.5" customHeight="1">
      <c r="A1072" s="6738"/>
      <c r="B1072" s="7468"/>
      <c r="C1072" s="7460"/>
      <c r="D1072" s="7470"/>
      <c r="E1072" s="7480" t="s">
        <v>516</v>
      </c>
      <c r="F1072" s="7481">
        <f t="array" ref="F1072">IFERROR(VLOOKUP(E1056,Dex!$B$3:$N1219,11,FALSE),"")</f>
        <v>85</v>
      </c>
      <c r="G1072" s="7482" t="str">
        <f t="array" ref="G1072">IFERROR(VLOOKUP(F1072,Dex!$P$22:$Q$276,2,FALSE),"")</f>
        <v/>
      </c>
      <c r="H1072" s="7483"/>
      <c r="I1072" s="7470"/>
      <c r="J1072" s="7480" t="s">
        <v>516</v>
      </c>
      <c r="K1072" s="7481">
        <f t="array" ref="K1072">IFERROR(VLOOKUP(J1056,Dex!$B$3:$N1219,11,FALSE),"")</f>
        <v>110</v>
      </c>
      <c r="L1072" s="7482" t="str">
        <f t="array" ref="L1072">IFERROR(VLOOKUP(K1072,Dex!$P$22:$Q$276,2,FALSE),"")</f>
        <v/>
      </c>
      <c r="M1072" s="7483"/>
      <c r="N1072" s="7470"/>
      <c r="O1072" s="7480" t="s">
        <v>516</v>
      </c>
      <c r="P1072" s="7481">
        <f t="array" ref="P1072">IFERROR(VLOOKUP(O1056,Dex!$B$3:$N1219,11,FALSE),"")</f>
        <v>75</v>
      </c>
      <c r="Q1072" s="7482" t="str">
        <f t="array" ref="Q1072">IFERROR(VLOOKUP(P1072,Dex!$P$22:$Q$276,2,FALSE),"")</f>
        <v/>
      </c>
      <c r="R1072" s="7483"/>
      <c r="S1072" s="7474"/>
      <c r="T1072" s="7480" t="s">
        <v>516</v>
      </c>
      <c r="U1072" s="7481">
        <f t="array" ref="U1072">IFERROR(VLOOKUP(T1056,Dex!$B$3:$N1219,11,FALSE),"")</f>
        <v>53</v>
      </c>
      <c r="V1072" s="7482" t="str">
        <f t="array" ref="V1072">IFERROR(VLOOKUP(U1072,Dex!$P$22:$Q$276,2,FALSE),"")</f>
        <v/>
      </c>
      <c r="W1072" s="7483"/>
      <c r="X1072" s="7474"/>
      <c r="Y1072" s="7480" t="s">
        <v>516</v>
      </c>
      <c r="Z1072" s="7481">
        <f t="array" ref="Z1072">IFERROR(VLOOKUP(Y1056,Dex!$B$3:$N1219,11,FALSE),"")</f>
        <v>125</v>
      </c>
      <c r="AA1072" s="7482" t="str">
        <f t="array" ref="AA1072">IFERROR(VLOOKUP(Z1072,Dex!$P$22:$Q$276,2,FALSE),"")</f>
        <v/>
      </c>
      <c r="AB1072" s="7483"/>
      <c r="AC1072" s="7474"/>
      <c r="AD1072" s="7480" t="s">
        <v>516</v>
      </c>
      <c r="AE1072" s="7481">
        <f t="array" ref="AE1072">IFERROR(VLOOKUP(AD1056,Dex!$B$3:$N1219,11,FALSE),"")</f>
        <v>60</v>
      </c>
      <c r="AF1072" s="7482" t="str">
        <f t="array" ref="AF1072">IFERROR(VLOOKUP(AE1072,Dex!$P$22:$Q$276,2,FALSE),"")</f>
        <v/>
      </c>
      <c r="AG1072" s="7483"/>
      <c r="AH1072" s="7475"/>
      <c r="AI1072" s="6747"/>
    </row>
    <row r="1073" ht="16.5" customHeight="1">
      <c r="A1073" s="6738"/>
      <c r="B1073" s="7468"/>
      <c r="C1073" s="7460"/>
      <c r="D1073" s="7470"/>
      <c r="E1073" s="7480" t="s">
        <v>517</v>
      </c>
      <c r="F1073" s="7481">
        <f t="array" ref="F1073">IFERROR(VLOOKUP(E1056,Dex!$B$3:$N1219,12,FALSE),"")</f>
        <v>115</v>
      </c>
      <c r="G1073" s="7482" t="str">
        <f t="array" ref="G1073">IFERROR(VLOOKUP(F1073,Dex!$P$22:$Q$276,2,FALSE),"")</f>
        <v/>
      </c>
      <c r="H1073" s="7483"/>
      <c r="I1073" s="7470"/>
      <c r="J1073" s="7480" t="s">
        <v>517</v>
      </c>
      <c r="K1073" s="7481">
        <f t="array" ref="K1073">IFERROR(VLOOKUP(J1056,Dex!$B$3:$N1219,12,FALSE),"")</f>
        <v>50</v>
      </c>
      <c r="L1073" s="7482" t="str">
        <f t="array" ref="L1073">IFERROR(VLOOKUP(K1073,Dex!$P$22:$Q$276,2,FALSE),"")</f>
        <v/>
      </c>
      <c r="M1073" s="7483"/>
      <c r="N1073" s="7470"/>
      <c r="O1073" s="7480" t="s">
        <v>517</v>
      </c>
      <c r="P1073" s="7481">
        <f t="array" ref="P1073">IFERROR(VLOOKUP(O1056,Dex!$B$3:$N1219,12,FALSE),"")</f>
        <v>135</v>
      </c>
      <c r="Q1073" s="7482" t="str">
        <f t="array" ref="Q1073">IFERROR(VLOOKUP(P1073,Dex!$P$22:$Q$276,2,FALSE),"")</f>
        <v/>
      </c>
      <c r="R1073" s="7483"/>
      <c r="S1073" s="7474"/>
      <c r="T1073" s="7480" t="s">
        <v>517</v>
      </c>
      <c r="U1073" s="7481">
        <f t="array" ref="U1073">IFERROR(VLOOKUP(T1056,Dex!$B$3:$N1219,12,FALSE),"")</f>
        <v>142</v>
      </c>
      <c r="V1073" s="7482" t="str">
        <f t="array" ref="V1073">IFERROR(VLOOKUP(U1073,Dex!$P$22:$Q$276,2,FALSE),"")</f>
        <v/>
      </c>
      <c r="W1073" s="7483"/>
      <c r="X1073" s="7474"/>
      <c r="Y1073" s="7480" t="s">
        <v>517</v>
      </c>
      <c r="Z1073" s="7481">
        <f t="array" ref="Z1073">IFERROR(VLOOKUP(Y1056,Dex!$B$3:$N1219,12,FALSE),"")</f>
        <v>85</v>
      </c>
      <c r="AA1073" s="7482" t="str">
        <f t="array" ref="AA1073">IFERROR(VLOOKUP(Z1073,Dex!$P$22:$Q$276,2,FALSE),"")</f>
        <v/>
      </c>
      <c r="AB1073" s="7483"/>
      <c r="AC1073" s="7474"/>
      <c r="AD1073" s="7480" t="s">
        <v>517</v>
      </c>
      <c r="AE1073" s="7481">
        <f t="array" ref="AE1073">IFERROR(VLOOKUP(AD1056,Dex!$B$3:$N1219,12,FALSE),"")</f>
        <v>75</v>
      </c>
      <c r="AF1073" s="7482" t="str">
        <f t="array" ref="AF1073">IFERROR(VLOOKUP(AE1073,Dex!$P$22:$Q$276,2,FALSE),"")</f>
        <v/>
      </c>
      <c r="AG1073" s="7483"/>
      <c r="AH1073" s="7475"/>
      <c r="AI1073" s="6747"/>
    </row>
    <row r="1074" ht="16.5" customHeight="1">
      <c r="A1074" s="6738"/>
      <c r="B1074" s="7468"/>
      <c r="C1074" s="7460"/>
      <c r="D1074" s="7470"/>
      <c r="E1074" s="7484" t="s">
        <v>518</v>
      </c>
      <c r="F1074" s="7485">
        <f t="array" ref="F1074">IFERROR(VLOOKUP(E1056,Dex!$B$3:$N1219,13,FALSE),"")</f>
        <v>20</v>
      </c>
      <c r="G1074" s="7482" t="str">
        <f t="array" ref="G1074">IFERROR(VLOOKUP(F1074,Dex!$P$22:$Q$276,2,FALSE),"")</f>
        <v/>
      </c>
      <c r="H1074" s="7483"/>
      <c r="I1074" s="7470"/>
      <c r="J1074" s="7484" t="s">
        <v>518</v>
      </c>
      <c r="K1074" s="7485">
        <f t="array" ref="K1074">IFERROR(VLOOKUP(J1056,Dex!$B$3:$N1219,13,FALSE),"")</f>
        <v>50</v>
      </c>
      <c r="L1074" s="7482" t="str">
        <f t="array" ref="L1074">IFERROR(VLOOKUP(K1074,Dex!$P$22:$Q$276,2,FALSE),"")</f>
        <v/>
      </c>
      <c r="M1074" s="7483"/>
      <c r="N1074" s="7470"/>
      <c r="O1074" s="7484" t="s">
        <v>518</v>
      </c>
      <c r="P1074" s="7485">
        <f t="array" ref="P1074">IFERROR(VLOOKUP(O1056,Dex!$B$3:$N1219,13,FALSE),"")</f>
        <v>55</v>
      </c>
      <c r="Q1074" s="7482" t="str">
        <f t="array" ref="Q1074">IFERROR(VLOOKUP(P1074,Dex!$P$22:$Q$276,2,FALSE),"")</f>
        <v/>
      </c>
      <c r="R1074" s="7483"/>
      <c r="S1074" s="7474"/>
      <c r="T1074" s="7484" t="s">
        <v>518</v>
      </c>
      <c r="U1074" s="7485">
        <f t="array" ref="U1074">IFERROR(VLOOKUP(T1056,Dex!$B$3:$N1219,13,FALSE),"")</f>
        <v>35</v>
      </c>
      <c r="V1074" s="7482" t="str">
        <f t="array" ref="V1074">IFERROR(VLOOKUP(U1074,Dex!$P$22:$Q$276,2,FALSE),"")</f>
        <v/>
      </c>
      <c r="W1074" s="7483"/>
      <c r="X1074" s="7474"/>
      <c r="Y1074" s="7484" t="s">
        <v>518</v>
      </c>
      <c r="Z1074" s="7485">
        <f t="array" ref="Z1074">IFERROR(VLOOKUP(Y1056,Dex!$B$3:$N1219,13,FALSE),"")</f>
        <v>30</v>
      </c>
      <c r="AA1074" s="7482" t="str">
        <f t="array" ref="AA1074">IFERROR(VLOOKUP(Z1074,Dex!$P$22:$Q$276,2,FALSE),"")</f>
        <v/>
      </c>
      <c r="AB1074" s="7483"/>
      <c r="AC1074" s="7474"/>
      <c r="AD1074" s="7484" t="s">
        <v>518</v>
      </c>
      <c r="AE1074" s="7485">
        <f t="array" ref="AE1074">IFERROR(VLOOKUP(AD1056,Dex!$B$3:$N1219,13,FALSE),"")</f>
        <v>95</v>
      </c>
      <c r="AF1074" s="7482" t="str">
        <f t="array" ref="AF1074">IFERROR(VLOOKUP(AE1074,Dex!$P$22:$Q$276,2,FALSE),"")</f>
        <v/>
      </c>
      <c r="AG1074" s="7483"/>
      <c r="AH1074" s="7475"/>
      <c r="AI1074" s="6747"/>
    </row>
    <row r="1075" ht="16.5" customHeight="1">
      <c r="A1075" s="6738"/>
      <c r="B1075" s="7468"/>
      <c r="C1075" s="7460"/>
      <c r="D1075" s="7472"/>
      <c r="E1075" s="7486" t="s">
        <v>519</v>
      </c>
      <c r="F1075" s="630"/>
      <c r="G1075" s="631"/>
      <c r="H1075" s="7487">
        <v>76.0</v>
      </c>
      <c r="I1075" s="7472"/>
      <c r="J1075" s="7486" t="s">
        <v>519</v>
      </c>
      <c r="K1075" s="630"/>
      <c r="L1075" s="631"/>
      <c r="M1075" s="7487">
        <v>149.0</v>
      </c>
      <c r="N1075" s="7472"/>
      <c r="O1075" s="7486" t="s">
        <v>519</v>
      </c>
      <c r="P1075" s="630"/>
      <c r="Q1075" s="631"/>
      <c r="R1075" s="7487">
        <v>146.0</v>
      </c>
      <c r="S1075" s="7473"/>
      <c r="T1075" s="7486" t="s">
        <v>519</v>
      </c>
      <c r="U1075" s="630"/>
      <c r="V1075" s="631"/>
      <c r="W1075" s="7487">
        <v>106.0</v>
      </c>
      <c r="X1075" s="7473"/>
      <c r="Y1075" s="7486" t="s">
        <v>519</v>
      </c>
      <c r="Z1075" s="630"/>
      <c r="AA1075" s="631"/>
      <c r="AB1075" s="7487">
        <v>96.0</v>
      </c>
      <c r="AC1075" s="7473"/>
      <c r="AD1075" s="7486" t="s">
        <v>519</v>
      </c>
      <c r="AE1075" s="630"/>
      <c r="AF1075" s="631"/>
      <c r="AG1075" s="7487">
        <v>248.0</v>
      </c>
      <c r="AH1075" s="7475"/>
      <c r="AI1075" s="6747"/>
    </row>
    <row r="1076" ht="15.0" customHeight="1">
      <c r="A1076" s="6676"/>
      <c r="B1076" s="7493"/>
      <c r="C1076" s="7494"/>
      <c r="D1076" s="7494"/>
      <c r="E1076" s="7615"/>
      <c r="F1076" s="7615"/>
      <c r="G1076" s="7615"/>
      <c r="H1076" s="7494"/>
      <c r="I1076" s="7494"/>
      <c r="J1076" s="7615"/>
      <c r="K1076" s="7615"/>
      <c r="L1076" s="7615"/>
      <c r="M1076" s="7494"/>
      <c r="N1076" s="7494"/>
      <c r="O1076" s="7615"/>
      <c r="P1076" s="7615"/>
      <c r="Q1076" s="7615"/>
      <c r="R1076" s="7494"/>
      <c r="S1076" s="7494"/>
      <c r="T1076" s="7615"/>
      <c r="U1076" s="7615"/>
      <c r="V1076" s="7615"/>
      <c r="W1076" s="7494"/>
      <c r="X1076" s="7494"/>
      <c r="Y1076" s="7615"/>
      <c r="Z1076" s="7615"/>
      <c r="AA1076" s="7615"/>
      <c r="AB1076" s="7494"/>
      <c r="AC1076" s="7494"/>
      <c r="AD1076" s="7615"/>
      <c r="AE1076" s="7615"/>
      <c r="AF1076" s="7615"/>
      <c r="AG1076" s="7494"/>
      <c r="AH1076" s="7495"/>
      <c r="AI1076" s="6680"/>
    </row>
    <row r="1077" ht="15.0" customHeight="1">
      <c r="A1077" s="6738"/>
      <c r="B1077" s="3567"/>
      <c r="C1077" s="3568"/>
      <c r="D1077" s="3569"/>
      <c r="E1077" s="3570"/>
      <c r="F1077" s="3570"/>
      <c r="G1077" s="3570"/>
      <c r="H1077" s="3570"/>
      <c r="I1077" s="3569"/>
      <c r="J1077" s="3570"/>
      <c r="K1077" s="3570"/>
      <c r="L1077" s="3570"/>
      <c r="M1077" s="3570"/>
      <c r="N1077" s="3569"/>
      <c r="O1077" s="3570"/>
      <c r="P1077" s="3570"/>
      <c r="Q1077" s="3570"/>
      <c r="R1077" s="3570"/>
      <c r="S1077" s="3569"/>
      <c r="T1077" s="3570"/>
      <c r="U1077" s="3570"/>
      <c r="V1077" s="3570"/>
      <c r="W1077" s="3570"/>
      <c r="X1077" s="3569"/>
      <c r="Y1077" s="3570"/>
      <c r="Z1077" s="3570"/>
      <c r="AA1077" s="3570"/>
      <c r="AB1077" s="3570"/>
      <c r="AC1077" s="3569"/>
      <c r="AD1077" s="3570"/>
      <c r="AE1077" s="3570"/>
      <c r="AF1077" s="3570"/>
      <c r="AG1077" s="3570"/>
      <c r="AH1077" s="3571"/>
      <c r="AI1077" s="6747"/>
    </row>
    <row r="1078" ht="96.75" customHeight="1">
      <c r="A1078" s="6738"/>
      <c r="B1078" s="3572"/>
      <c r="C1078" s="3573" t="str">
        <f>IMAGE("https://i.ibb.co/TKBZjnF/Ace-Trainer-M.png")</f>
        <v/>
      </c>
      <c r="D1078" s="3574"/>
      <c r="E1078" s="3575" t="str">
        <f t="array" ref="E1078">IFERROR(VLOOKUP(E1079,Dex!$B$3:$G1219,3,FALSE),"")</f>
        <v/>
      </c>
      <c r="F1078" s="606"/>
      <c r="G1078" s="606"/>
      <c r="H1078" s="607"/>
      <c r="I1078" s="3576"/>
      <c r="J1078" s="3575" t="str">
        <f t="array" ref="J1078">IFERROR(VLOOKUP(J1079,Dex!$B$3:$G1219,3,FALSE),"")</f>
        <v/>
      </c>
      <c r="K1078" s="606"/>
      <c r="L1078" s="606"/>
      <c r="M1078" s="607"/>
      <c r="N1078" s="4583"/>
      <c r="O1078" s="3575" t="str">
        <f t="array" ref="O1078">IFERROR(VLOOKUP(O1079,Dex!$B$3:$G1219,3,FALSE),"")</f>
        <v/>
      </c>
      <c r="P1078" s="606"/>
      <c r="Q1078" s="606"/>
      <c r="R1078" s="607"/>
      <c r="S1078" s="4584"/>
      <c r="T1078" s="3575" t="str">
        <f t="array" ref="T1078">IFERROR(VLOOKUP(T1079,Dex!$B$3:$G1219,3,FALSE),"")</f>
        <v/>
      </c>
      <c r="U1078" s="606"/>
      <c r="V1078" s="606"/>
      <c r="W1078" s="607"/>
      <c r="X1078" s="4583"/>
      <c r="Y1078" s="3575" t="str">
        <f t="array" ref="Y1078">IFERROR(VLOOKUP(Y1079,Dex!$B$3:$G1219,3,FALSE),"")</f>
        <v/>
      </c>
      <c r="Z1078" s="606"/>
      <c r="AA1078" s="606"/>
      <c r="AB1078" s="607"/>
      <c r="AC1078" s="4584"/>
      <c r="AD1078" s="3575" t="str">
        <f t="array" ref="AD1078">IFERROR(VLOOKUP(AD1079,Dex!$B$3:$G1219,3,FALSE),"")</f>
        <v/>
      </c>
      <c r="AE1078" s="606"/>
      <c r="AF1078" s="606"/>
      <c r="AG1078" s="607"/>
      <c r="AH1078" s="5740"/>
      <c r="AI1078" s="6747"/>
    </row>
    <row r="1079" ht="18.75" customHeight="1">
      <c r="A1079" s="6738"/>
      <c r="B1079" s="5745"/>
      <c r="C1079" s="6841" t="s">
        <v>2182</v>
      </c>
      <c r="D1079" s="5747"/>
      <c r="E1079" s="3587" t="s">
        <v>1311</v>
      </c>
      <c r="F1079" s="3588"/>
      <c r="G1079" s="3588"/>
      <c r="H1079" s="3589"/>
      <c r="J1079" s="3587" t="s">
        <v>2183</v>
      </c>
      <c r="K1079" s="3588"/>
      <c r="L1079" s="3588"/>
      <c r="M1079" s="3589"/>
      <c r="O1079" s="3587" t="s">
        <v>1459</v>
      </c>
      <c r="P1079" s="3588"/>
      <c r="Q1079" s="3588"/>
      <c r="R1079" s="3589"/>
      <c r="T1079" s="3587" t="s">
        <v>885</v>
      </c>
      <c r="U1079" s="3588"/>
      <c r="V1079" s="3588"/>
      <c r="W1079" s="3589"/>
      <c r="Y1079" s="3587" t="s">
        <v>1110</v>
      </c>
      <c r="Z1079" s="3588"/>
      <c r="AA1079" s="3588"/>
      <c r="AB1079" s="3589"/>
      <c r="AD1079" s="3587" t="s">
        <v>657</v>
      </c>
      <c r="AE1079" s="3588"/>
      <c r="AF1079" s="3588"/>
      <c r="AG1079" s="3589"/>
      <c r="AH1079" s="5741"/>
      <c r="AI1079" s="6747"/>
    </row>
    <row r="1080">
      <c r="A1080" s="6738"/>
      <c r="B1080" s="5751"/>
      <c r="C1080" s="3095"/>
      <c r="D1080" s="5752"/>
      <c r="E1080" s="3596" t="s">
        <v>729</v>
      </c>
      <c r="F1080" s="3597"/>
      <c r="G1080" s="3597"/>
      <c r="H1080" s="3598"/>
      <c r="J1080" s="3596" t="s">
        <v>729</v>
      </c>
      <c r="K1080" s="3597"/>
      <c r="L1080" s="3597"/>
      <c r="M1080" s="3598"/>
      <c r="O1080" s="3596" t="s">
        <v>729</v>
      </c>
      <c r="P1080" s="3597"/>
      <c r="Q1080" s="3597"/>
      <c r="R1080" s="3598"/>
      <c r="T1080" s="3596" t="s">
        <v>729</v>
      </c>
      <c r="U1080" s="3597"/>
      <c r="V1080" s="3597"/>
      <c r="W1080" s="3598"/>
      <c r="Y1080" s="3596" t="s">
        <v>729</v>
      </c>
      <c r="Z1080" s="3597"/>
      <c r="AA1080" s="3597"/>
      <c r="AB1080" s="3598"/>
      <c r="AD1080" s="3596" t="s">
        <v>729</v>
      </c>
      <c r="AE1080" s="3597"/>
      <c r="AF1080" s="3597"/>
      <c r="AG1080" s="3598"/>
      <c r="AH1080" s="5742"/>
      <c r="AI1080" s="6747"/>
    </row>
    <row r="1081" ht="25.5" customHeight="1">
      <c r="A1081" s="6738"/>
      <c r="B1081" s="5756"/>
      <c r="C1081" s="3095"/>
      <c r="D1081" s="5757"/>
      <c r="E1081" s="3601"/>
      <c r="F1081" s="4588" t="str">
        <f t="array" ref="F1081">IFERROR(VLOOKUP(E1079,Dex!$B$3:$H1219,5,FALSE),"")</f>
        <v/>
      </c>
      <c r="G1081" s="4589" t="str">
        <f t="array" ref="G1081">IFERROR(VLOOKUP(E1079,Dex!$B$3:$H1219,7,FALSE),"")</f>
        <v/>
      </c>
      <c r="H1081" s="3604"/>
      <c r="J1081" s="3601"/>
      <c r="K1081" s="4588" t="str">
        <f t="array" ref="K1081">IFERROR(VLOOKUP(J1079,Dex!$B$3:$H1219,5,FALSE),"")</f>
        <v/>
      </c>
      <c r="L1081" s="4589" t="str">
        <f t="array" ref="L1081">IFERROR(VLOOKUP(J1079,Dex!$B$3:$H1219,7,FALSE),"")</f>
        <v/>
      </c>
      <c r="M1081" s="3604"/>
      <c r="O1081" s="3601"/>
      <c r="P1081" s="3602" t="str">
        <f t="array" ref="P1081">IFERROR(VLOOKUP(O1079,Dex!$B$3:$H1219,5,FALSE),"")</f>
        <v/>
      </c>
      <c r="Q1081" s="3603"/>
      <c r="R1081" s="3604"/>
      <c r="T1081" s="3601"/>
      <c r="U1081" s="4588" t="str">
        <f t="array" ref="U1081">IFERROR(VLOOKUP(T1079,Dex!$B$3:$H1219,5,FALSE),"")</f>
        <v/>
      </c>
      <c r="V1081" s="4589" t="str">
        <f t="array" ref="V1081">IFERROR(VLOOKUP(T1079,Dex!$B$3:$H1219,7,FALSE),"")</f>
        <v/>
      </c>
      <c r="W1081" s="3604"/>
      <c r="Y1081" s="3601"/>
      <c r="Z1081" s="4588" t="str">
        <f t="array" ref="Z1081">IFERROR(VLOOKUP(Y1079,Dex!$B$3:$H1219,5,FALSE),"")</f>
        <v/>
      </c>
      <c r="AA1081" s="4589" t="str">
        <f t="array" ref="AA1081">IFERROR(VLOOKUP(Y1079,Dex!$B$3:$H1219,7,FALSE),"")</f>
        <v/>
      </c>
      <c r="AB1081" s="3604"/>
      <c r="AD1081" s="3601"/>
      <c r="AE1081" s="4588" t="str">
        <f t="array" ref="AE1081">IFERROR(VLOOKUP(AD1079,Dex!$B$3:$H1219,5,FALSE),"")</f>
        <v/>
      </c>
      <c r="AF1081" s="4589" t="str">
        <f t="array" ref="AF1081">IFERROR(VLOOKUP(AD1079,Dex!$B$3:$H1219,7,FALSE),"")</f>
        <v/>
      </c>
      <c r="AG1081" s="3604"/>
      <c r="AH1081" s="3583"/>
      <c r="AI1081" s="6747"/>
    </row>
    <row r="1082" ht="2.25" customHeight="1">
      <c r="A1082" s="6738"/>
      <c r="B1082" s="5756"/>
      <c r="C1082" s="3095"/>
      <c r="D1082" s="5757"/>
      <c r="E1082" s="3606"/>
      <c r="F1082" s="3607"/>
      <c r="G1082" s="3607"/>
      <c r="H1082" s="3608"/>
      <c r="J1082" s="3606"/>
      <c r="K1082" s="3607"/>
      <c r="L1082" s="3607"/>
      <c r="M1082" s="3608"/>
      <c r="O1082" s="3606"/>
      <c r="P1082" s="3607"/>
      <c r="Q1082" s="3607"/>
      <c r="R1082" s="3608"/>
      <c r="T1082" s="3606"/>
      <c r="U1082" s="3607"/>
      <c r="V1082" s="3607"/>
      <c r="W1082" s="3608"/>
      <c r="Y1082" s="3606"/>
      <c r="Z1082" s="3607"/>
      <c r="AA1082" s="3607"/>
      <c r="AB1082" s="3608"/>
      <c r="AD1082" s="3606"/>
      <c r="AE1082" s="3607"/>
      <c r="AF1082" s="3607"/>
      <c r="AG1082" s="3608"/>
      <c r="AH1082" s="3583"/>
      <c r="AI1082" s="6747"/>
    </row>
    <row r="1083" ht="20.25" customHeight="1">
      <c r="A1083" s="6738"/>
      <c r="B1083" s="5756"/>
      <c r="C1083" s="3112"/>
      <c r="D1083" s="5757"/>
      <c r="E1083" s="3610" t="s">
        <v>532</v>
      </c>
      <c r="F1083" s="3611"/>
      <c r="G1083" s="3611"/>
      <c r="H1083" s="3612"/>
      <c r="J1083" s="3610" t="s">
        <v>707</v>
      </c>
      <c r="K1083" s="3611"/>
      <c r="L1083" s="3611"/>
      <c r="M1083" s="3612"/>
      <c r="O1083" s="3610" t="s">
        <v>564</v>
      </c>
      <c r="P1083" s="3611"/>
      <c r="Q1083" s="3611"/>
      <c r="R1083" s="3612"/>
      <c r="T1083" s="3610" t="s">
        <v>565</v>
      </c>
      <c r="U1083" s="3611"/>
      <c r="V1083" s="3611"/>
      <c r="W1083" s="3612"/>
      <c r="Y1083" s="3610" t="s">
        <v>564</v>
      </c>
      <c r="Z1083" s="3611"/>
      <c r="AA1083" s="3611"/>
      <c r="AB1083" s="3612"/>
      <c r="AD1083" s="3610" t="s">
        <v>564</v>
      </c>
      <c r="AE1083" s="3611"/>
      <c r="AF1083" s="3611"/>
      <c r="AG1083" s="3612"/>
      <c r="AH1083" s="5740"/>
      <c r="AI1083" s="6747"/>
    </row>
    <row r="1084" ht="20.25" customHeight="1">
      <c r="A1084" s="6738"/>
      <c r="B1084" s="3572"/>
      <c r="C1084" s="6842"/>
      <c r="D1084" s="3574"/>
      <c r="E1084" s="3614" t="s">
        <v>60</v>
      </c>
      <c r="F1084" s="3579"/>
      <c r="G1084" s="3579"/>
      <c r="H1084" s="3615"/>
      <c r="J1084" s="3614" t="s">
        <v>709</v>
      </c>
      <c r="K1084" s="3579"/>
      <c r="L1084" s="3579"/>
      <c r="M1084" s="3615"/>
      <c r="O1084" s="3614" t="s">
        <v>76</v>
      </c>
      <c r="P1084" s="3579"/>
      <c r="Q1084" s="3579"/>
      <c r="R1084" s="3615"/>
      <c r="T1084" s="3614" t="s">
        <v>2184</v>
      </c>
      <c r="U1084" s="3579"/>
      <c r="V1084" s="3579"/>
      <c r="W1084" s="3615"/>
      <c r="Y1084" s="3614" t="s">
        <v>484</v>
      </c>
      <c r="Z1084" s="3579"/>
      <c r="AA1084" s="3579"/>
      <c r="AB1084" s="3615"/>
      <c r="AD1084" s="7616" t="s">
        <v>661</v>
      </c>
      <c r="AE1084" s="3579"/>
      <c r="AF1084" s="3579"/>
      <c r="AG1084" s="3615"/>
      <c r="AH1084" s="5740"/>
      <c r="AI1084" s="6747"/>
    </row>
    <row r="1085" ht="20.25" customHeight="1">
      <c r="A1085" s="6738"/>
      <c r="B1085" s="3572"/>
      <c r="C1085" s="3592"/>
      <c r="D1085" s="3574"/>
      <c r="E1085" s="3616" t="s">
        <v>573</v>
      </c>
      <c r="F1085" s="3617"/>
      <c r="G1085" s="3618"/>
      <c r="H1085" s="3619" t="str">
        <f>IMAGE("https://raw.githubusercontent.com/msikma/pokesprite/master/items/hold-item/focus-sash.png",3)</f>
        <v/>
      </c>
      <c r="J1085" s="3616" t="s">
        <v>733</v>
      </c>
      <c r="K1085" s="3617"/>
      <c r="L1085" s="3618"/>
      <c r="M1085" s="3619" t="str">
        <f>IMAGE("https://raw.githubusercontent.com/msikma/pokesprite/master/items/hold-item/leftovers.png",3)</f>
        <v/>
      </c>
      <c r="O1085" s="3616" t="s">
        <v>573</v>
      </c>
      <c r="P1085" s="3617"/>
      <c r="Q1085" s="3618"/>
      <c r="R1085" s="3619" t="str">
        <f>IMAGE("https://raw.githubusercontent.com/msikma/pokesprite/master/items/hold-item/focus-sash.png",3)</f>
        <v/>
      </c>
      <c r="T1085" s="3616" t="s">
        <v>894</v>
      </c>
      <c r="U1085" s="3617"/>
      <c r="V1085" s="3618"/>
      <c r="W1085" s="3619" t="str">
        <f>IMAGE("https://raw.githubusercontent.com/msikma/pokesprite/master/items/z-crystals/kommonium-z--held.png",3)</f>
        <v/>
      </c>
      <c r="Y1085" s="3616" t="s">
        <v>710</v>
      </c>
      <c r="Z1085" s="3617"/>
      <c r="AA1085" s="3618"/>
      <c r="AB1085" s="3619" t="str">
        <f>IMAGE("https://raw.githubusercontent.com/msikma/pokesprite/master/items/hold-item/weakness-policy.png",3)</f>
        <v/>
      </c>
      <c r="AD1085" s="3616" t="s">
        <v>665</v>
      </c>
      <c r="AE1085" s="3617"/>
      <c r="AF1085" s="3618"/>
      <c r="AG1085" s="3619" t="str">
        <f>IMAGE("https://raw.githubusercontent.com/msikma/pokesprite/master/items/mega-stone/banettite.png",3)</f>
        <v/>
      </c>
      <c r="AH1085" s="3583"/>
      <c r="AI1085" s="6747"/>
    </row>
    <row r="1086" ht="20.25" customHeight="1">
      <c r="A1086" s="6738"/>
      <c r="B1086" s="3572"/>
      <c r="C1086" s="3620"/>
      <c r="D1086" s="3574"/>
      <c r="E1086" s="3610" t="s">
        <v>549</v>
      </c>
      <c r="F1086" s="3611"/>
      <c r="G1086" s="3621"/>
      <c r="H1086" s="3622" t="str">
        <f>IMAGE("https://raw.githubusercontent.com/msikma/pokesprite/master/misc/types/gen8/ground.png",4,20,20)</f>
        <v/>
      </c>
      <c r="J1086" s="3610" t="s">
        <v>168</v>
      </c>
      <c r="K1086" s="3611"/>
      <c r="L1086" s="3621"/>
      <c r="M1086" s="3622" t="str">
        <f>IMAGE("https://raw.githubusercontent.com/msikma/pokesprite/master/misc/types/gen8/fighting.png",4,20,20)</f>
        <v/>
      </c>
      <c r="O1086" s="3610" t="s">
        <v>259</v>
      </c>
      <c r="P1086" s="3611"/>
      <c r="Q1086" s="3621"/>
      <c r="R1086" s="3622" t="str">
        <f>IMAGE("https://raw.githubusercontent.com/msikma/pokesprite/master/misc/types/gen8/dark.png",4,20,20)</f>
        <v/>
      </c>
      <c r="T1086" s="3610" t="s">
        <v>2185</v>
      </c>
      <c r="U1086" s="3611"/>
      <c r="V1086" s="3621"/>
      <c r="W1086" s="3622" t="str">
        <f>IMAGE("https://raw.githubusercontent.com/msikma/pokesprite/master/misc/types/gen8/dragon.png",4,20,20)</f>
        <v/>
      </c>
      <c r="Y1086" s="3610" t="s">
        <v>617</v>
      </c>
      <c r="Z1086" s="3611"/>
      <c r="AA1086" s="3621"/>
      <c r="AB1086" s="3622" t="str">
        <f>IMAGE("https://raw.githubusercontent.com/msikma/pokesprite/master/misc/types/gen8/dragon.png",4,20,20)</f>
        <v/>
      </c>
      <c r="AD1086" s="3610" t="s">
        <v>610</v>
      </c>
      <c r="AE1086" s="3611"/>
      <c r="AF1086" s="3621"/>
      <c r="AG1086" s="3622" t="str">
        <f>IMAGE("https://raw.githubusercontent.com/msikma/pokesprite/master/misc/types/gen8/normal.png",4,20,20)</f>
        <v/>
      </c>
      <c r="AH1086" s="3583"/>
      <c r="AI1086" s="6747"/>
    </row>
    <row r="1087" ht="20.25" customHeight="1">
      <c r="A1087" s="6738"/>
      <c r="B1087" s="3572"/>
      <c r="C1087" s="3605"/>
      <c r="D1087" s="3574"/>
      <c r="E1087" s="3614" t="s">
        <v>621</v>
      </c>
      <c r="F1087" s="3579"/>
      <c r="G1087" s="3580"/>
      <c r="H1087" s="3623" t="str">
        <f t="shared" ref="H1087:H1088" si="42">IMAGE("https://raw.githubusercontent.com/msikma/pokesprite/master/misc/types/gen8/rock.png",4,20,20)</f>
        <v/>
      </c>
      <c r="J1087" s="3614" t="s">
        <v>134</v>
      </c>
      <c r="K1087" s="3579"/>
      <c r="L1087" s="3580"/>
      <c r="M1087" s="3623" t="str">
        <f>IMAGE("https://raw.githubusercontent.com/msikma/pokesprite/master/misc/types/gen8/psychic.png",4,20,20)</f>
        <v/>
      </c>
      <c r="O1087" s="3614" t="s">
        <v>669</v>
      </c>
      <c r="P1087" s="3579"/>
      <c r="Q1087" s="3580"/>
      <c r="R1087" s="3623" t="str">
        <f>IMAGE("https://raw.githubusercontent.com/msikma/pokesprite/master/misc/types/gen8/psychic.png",4,20,20)</f>
        <v/>
      </c>
      <c r="T1087" s="3614" t="s">
        <v>583</v>
      </c>
      <c r="U1087" s="3579"/>
      <c r="V1087" s="3580"/>
      <c r="W1087" s="3623" t="str">
        <f>IMAGE("https://raw.githubusercontent.com/msikma/pokesprite/master/misc/types/gen8/fighting.png",4,20,20)</f>
        <v/>
      </c>
      <c r="Y1087" s="3614" t="s">
        <v>552</v>
      </c>
      <c r="Z1087" s="3579"/>
      <c r="AA1087" s="3580"/>
      <c r="AB1087" s="3623" t="str">
        <f>IMAGE("https://raw.githubusercontent.com/msikma/pokesprite/master/misc/types/gen8/psychic.png",4,20,20)</f>
        <v/>
      </c>
      <c r="AD1087" s="3614" t="s">
        <v>618</v>
      </c>
      <c r="AE1087" s="3579"/>
      <c r="AF1087" s="3580"/>
      <c r="AG1087" s="3623" t="str">
        <f>IMAGE("https://raw.githubusercontent.com/msikma/pokesprite/master/misc/types/gen8/electric.png",4,20,20)</f>
        <v/>
      </c>
      <c r="AH1087" s="3583"/>
      <c r="AI1087" s="6747"/>
    </row>
    <row r="1088" ht="20.25" customHeight="1">
      <c r="A1088" s="6738"/>
      <c r="B1088" s="3572"/>
      <c r="C1088" s="3605"/>
      <c r="D1088" s="3574"/>
      <c r="E1088" s="3614" t="s">
        <v>191</v>
      </c>
      <c r="F1088" s="3579"/>
      <c r="G1088" s="3580"/>
      <c r="H1088" s="3623" t="str">
        <f t="shared" si="42"/>
        <v/>
      </c>
      <c r="J1088" s="3614" t="s">
        <v>2186</v>
      </c>
      <c r="K1088" s="3579"/>
      <c r="L1088" s="3580"/>
      <c r="M1088" s="3623" t="str">
        <f>IMAGE("https://raw.githubusercontent.com/msikma/pokesprite/master/misc/types/gen8/dark.png",4,20,20)</f>
        <v/>
      </c>
      <c r="O1088" s="3614" t="s">
        <v>590</v>
      </c>
      <c r="P1088" s="3579"/>
      <c r="Q1088" s="3580"/>
      <c r="R1088" s="3623" t="str">
        <f>IMAGE("https://raw.githubusercontent.com/msikma/pokesprite/master/misc/types/gen8/fighting.png",4,20,20)</f>
        <v/>
      </c>
      <c r="T1088" s="3614" t="s">
        <v>545</v>
      </c>
      <c r="U1088" s="3579"/>
      <c r="V1088" s="3580"/>
      <c r="W1088" s="3623" t="str">
        <f>IMAGE("https://raw.githubusercontent.com/msikma/pokesprite/master/misc/types/gen8/poison.png",4,20,20)</f>
        <v/>
      </c>
      <c r="Y1088" s="3614" t="s">
        <v>592</v>
      </c>
      <c r="Z1088" s="3579"/>
      <c r="AA1088" s="3580"/>
      <c r="AB1088" s="3623" t="str">
        <f>IMAGE("https://raw.githubusercontent.com/msikma/pokesprite/master/misc/types/gen8/water.png",4,20,20)</f>
        <v/>
      </c>
      <c r="AD1088" s="3614" t="s">
        <v>773</v>
      </c>
      <c r="AE1088" s="3579"/>
      <c r="AF1088" s="3580"/>
      <c r="AG1088" s="3623" t="str">
        <f>IMAGE("https://raw.githubusercontent.com/msikma/pokesprite/master/misc/types/gen8/poison.png",4,20,20)</f>
        <v/>
      </c>
      <c r="AH1088" s="3583"/>
      <c r="AI1088" s="6747"/>
    </row>
    <row r="1089" ht="21.0" customHeight="1">
      <c r="A1089" s="6738"/>
      <c r="B1089" s="3572"/>
      <c r="C1089" s="3605"/>
      <c r="D1089" s="3574"/>
      <c r="E1089" s="3624" t="s">
        <v>612</v>
      </c>
      <c r="F1089" s="3625"/>
      <c r="G1089" s="3626"/>
      <c r="H1089" s="3627" t="str">
        <f>IMAGE("https://raw.githubusercontent.com/msikma/pokesprite/master/misc/types/gen8/bug.png",4,20,20)</f>
        <v/>
      </c>
      <c r="I1089" s="3628"/>
      <c r="J1089" s="3624" t="s">
        <v>551</v>
      </c>
      <c r="K1089" s="3625"/>
      <c r="L1089" s="3626"/>
      <c r="M1089" s="3627" t="str">
        <f>IMAGE("https://raw.githubusercontent.com/msikma/pokesprite/master/misc/types/gen8/flying.png",4,20,20)</f>
        <v/>
      </c>
      <c r="N1089" s="3628"/>
      <c r="O1089" s="3624" t="s">
        <v>647</v>
      </c>
      <c r="P1089" s="3625"/>
      <c r="Q1089" s="3626"/>
      <c r="R1089" s="3627" t="str">
        <f>IMAGE("https://raw.githubusercontent.com/msikma/pokesprite/master/misc/types/gen8/ghost.png",4,20,20)</f>
        <v/>
      </c>
      <c r="S1089" s="3628"/>
      <c r="T1089" s="3624" t="s">
        <v>588</v>
      </c>
      <c r="U1089" s="3625"/>
      <c r="V1089" s="3626"/>
      <c r="W1089" s="3627" t="str">
        <f>IMAGE("https://raw.githubusercontent.com/msikma/pokesprite/master/misc/types/gen8/rock.png",4,20,20)</f>
        <v/>
      </c>
      <c r="X1089" s="3628"/>
      <c r="Y1089" s="3624" t="s">
        <v>170</v>
      </c>
      <c r="Z1089" s="3625"/>
      <c r="AA1089" s="3626"/>
      <c r="AB1089" s="3627" t="str">
        <f>IMAGE("https://raw.githubusercontent.com/msikma/pokesprite/master/misc/types/gen8/psychic.png",4,20,20)</f>
        <v/>
      </c>
      <c r="AC1089" s="3628"/>
      <c r="AD1089" s="3624" t="s">
        <v>553</v>
      </c>
      <c r="AE1089" s="3625"/>
      <c r="AF1089" s="3626"/>
      <c r="AG1089" s="3627" t="str">
        <f>IMAGE("https://raw.githubusercontent.com/msikma/pokesprite/master/misc/types/gen8/grass.png",4,20,20)</f>
        <v/>
      </c>
      <c r="AH1089" s="3583"/>
      <c r="AI1089" s="6747"/>
    </row>
    <row r="1090" ht="3.0" customHeight="1">
      <c r="A1090" s="6738"/>
      <c r="B1090" s="3630"/>
      <c r="C1090" s="3631"/>
      <c r="D1090" s="3632"/>
      <c r="E1090" s="3634"/>
      <c r="F1090" s="3634"/>
      <c r="G1090" s="3634"/>
      <c r="H1090" s="3633"/>
      <c r="I1090" s="3632"/>
      <c r="J1090" s="3634"/>
      <c r="K1090" s="3634"/>
      <c r="L1090" s="3634"/>
      <c r="M1090" s="3633"/>
      <c r="N1090" s="3632"/>
      <c r="O1090" s="3634"/>
      <c r="P1090" s="3634"/>
      <c r="Q1090" s="3634"/>
      <c r="R1090" s="3633"/>
      <c r="S1090" s="3635"/>
      <c r="T1090" s="3634"/>
      <c r="U1090" s="3634"/>
      <c r="V1090" s="3634"/>
      <c r="W1090" s="3633"/>
      <c r="X1090" s="3632"/>
      <c r="Y1090" s="3634"/>
      <c r="Z1090" s="3634"/>
      <c r="AA1090" s="3634"/>
      <c r="AB1090" s="3633"/>
      <c r="AC1090" s="3637"/>
      <c r="AD1090" s="3634"/>
      <c r="AE1090" s="3634"/>
      <c r="AF1090" s="3634"/>
      <c r="AG1090" s="3633"/>
      <c r="AH1090" s="3638"/>
      <c r="AI1090" s="6747"/>
    </row>
    <row r="1091" ht="16.5" customHeight="1">
      <c r="A1091" s="6738"/>
      <c r="B1091" s="3639"/>
      <c r="C1091" s="3631"/>
      <c r="D1091" s="4590"/>
      <c r="E1091" s="3641" t="s">
        <v>512</v>
      </c>
      <c r="F1091" s="606"/>
      <c r="G1091" s="606"/>
      <c r="H1091" s="607"/>
      <c r="I1091" s="3642"/>
      <c r="J1091" s="3641" t="s">
        <v>512</v>
      </c>
      <c r="K1091" s="606"/>
      <c r="L1091" s="606"/>
      <c r="M1091" s="607"/>
      <c r="N1091" s="4590"/>
      <c r="O1091" s="3641" t="s">
        <v>512</v>
      </c>
      <c r="P1091" s="606"/>
      <c r="Q1091" s="606"/>
      <c r="R1091" s="607"/>
      <c r="S1091" s="4591"/>
      <c r="T1091" s="3641" t="s">
        <v>512</v>
      </c>
      <c r="U1091" s="606"/>
      <c r="V1091" s="606"/>
      <c r="W1091" s="607"/>
      <c r="X1091" s="4592"/>
      <c r="Y1091" s="3641" t="s">
        <v>512</v>
      </c>
      <c r="Z1091" s="606"/>
      <c r="AA1091" s="606"/>
      <c r="AB1091" s="607"/>
      <c r="AC1091" s="4592"/>
      <c r="AD1091" s="3641" t="s">
        <v>512</v>
      </c>
      <c r="AE1091" s="606"/>
      <c r="AF1091" s="606"/>
      <c r="AG1091" s="607"/>
      <c r="AH1091" s="3645"/>
      <c r="AI1091" s="6747"/>
    </row>
    <row r="1092" ht="16.5" customHeight="1">
      <c r="A1092" s="6738"/>
      <c r="B1092" s="3639"/>
      <c r="C1092" s="3631"/>
      <c r="D1092" s="3640"/>
      <c r="E1092" s="3646" t="s">
        <v>513</v>
      </c>
      <c r="F1092" s="3647">
        <f t="array" ref="F1092">IFERROR(VLOOKUP(E1079,Dex!$B$3:$N1219,8,FALSE),"")</f>
        <v>89</v>
      </c>
      <c r="G1092" s="3648" t="str">
        <f t="array" ref="G1092">IFERROR(VLOOKUP(F1092,Dex!$P$22:$Q$276,2,FALSE),"")</f>
        <v/>
      </c>
      <c r="H1092" s="3649"/>
      <c r="I1092" s="3650"/>
      <c r="J1092" s="3646" t="s">
        <v>513</v>
      </c>
      <c r="K1092" s="3647">
        <f t="array" ref="K1092">IFERROR(VLOOKUP(J1079,Dex!$B$3:$N1219,8,FALSE),"")</f>
        <v>98</v>
      </c>
      <c r="L1092" s="3648" t="str">
        <f t="array" ref="L1092">IFERROR(VLOOKUP(K1092,Dex!$P$22:$Q$276,2,FALSE),"")</f>
        <v/>
      </c>
      <c r="M1092" s="3649"/>
      <c r="N1092" s="3640"/>
      <c r="O1092" s="3646" t="s">
        <v>513</v>
      </c>
      <c r="P1092" s="3647">
        <f t="array" ref="P1092">IFERROR(VLOOKUP(O1079,Dex!$B$3:$N1219,8,FALSE),"")</f>
        <v>55</v>
      </c>
      <c r="Q1092" s="3648" t="str">
        <f t="array" ref="Q1092">IFERROR(VLOOKUP(P1092,Dex!$P$22:$Q$276,2,FALSE),"")</f>
        <v/>
      </c>
      <c r="R1092" s="3649"/>
      <c r="S1092" s="3644"/>
      <c r="T1092" s="3646" t="s">
        <v>513</v>
      </c>
      <c r="U1092" s="3647">
        <f t="array" ref="U1092">IFERROR(VLOOKUP(T1079,Dex!$B$3:$N1219,8,FALSE),"")</f>
        <v>75</v>
      </c>
      <c r="V1092" s="3648" t="str">
        <f t="array" ref="V1092">IFERROR(VLOOKUP(U1092,Dex!$P$22:$Q$276,2,FALSE),"")</f>
        <v/>
      </c>
      <c r="W1092" s="3649"/>
      <c r="X1092" s="3644"/>
      <c r="Y1092" s="3646" t="s">
        <v>513</v>
      </c>
      <c r="Z1092" s="3647">
        <f t="array" ref="Z1092">IFERROR(VLOOKUP(Y1079,Dex!$B$3:$N1219,8,FALSE),"")</f>
        <v>80</v>
      </c>
      <c r="AA1092" s="3648" t="str">
        <f t="array" ref="AA1092">IFERROR(VLOOKUP(Z1092,Dex!$P$22:$Q$276,2,FALSE),"")</f>
        <v/>
      </c>
      <c r="AB1092" s="3649"/>
      <c r="AC1092" s="3644"/>
      <c r="AD1092" s="3646" t="s">
        <v>513</v>
      </c>
      <c r="AE1092" s="3647">
        <f t="array" ref="AE1092">IFERROR(VLOOKUP(AD1079,Dex!$B$3:$N1219,8,FALSE),"")</f>
        <v>75</v>
      </c>
      <c r="AF1092" s="3648" t="str">
        <f t="array" ref="AF1092">IFERROR(VLOOKUP(AE1092,Dex!$P$22:$Q$276,2,FALSE),"")</f>
        <v/>
      </c>
      <c r="AG1092" s="3649"/>
      <c r="AH1092" s="3645"/>
      <c r="AI1092" s="6747"/>
    </row>
    <row r="1093" ht="16.5" customHeight="1">
      <c r="A1093" s="6738"/>
      <c r="B1093" s="3639"/>
      <c r="C1093" s="3631"/>
      <c r="D1093" s="3640"/>
      <c r="E1093" s="3652" t="s">
        <v>514</v>
      </c>
      <c r="F1093" s="3653">
        <f t="array" ref="F1093">IFERROR(VLOOKUP(E1079,Dex!$B$3:$N1219,9,FALSE),"")</f>
        <v>145</v>
      </c>
      <c r="G1093" s="3654" t="str">
        <f t="array" ref="G1093">IFERROR(VLOOKUP(F1093,Dex!$P$22:$Q$276,2,FALSE),"")</f>
        <v/>
      </c>
      <c r="H1093" s="3655"/>
      <c r="I1093" s="3650"/>
      <c r="J1093" s="3652" t="s">
        <v>514</v>
      </c>
      <c r="K1093" s="3653">
        <f t="array" ref="K1093">IFERROR(VLOOKUP(J1079,Dex!$B$3:$N1219,9,FALSE),"")</f>
        <v>87</v>
      </c>
      <c r="L1093" s="3654" t="str">
        <f t="array" ref="L1093">IFERROR(VLOOKUP(K1093,Dex!$P$22:$Q$276,2,FALSE),"")</f>
        <v/>
      </c>
      <c r="M1093" s="3655"/>
      <c r="N1093" s="3640"/>
      <c r="O1093" s="3652" t="s">
        <v>514</v>
      </c>
      <c r="P1093" s="3653">
        <f t="array" ref="P1093">IFERROR(VLOOKUP(O1079,Dex!$B$3:$N1219,9,FALSE),"")</f>
        <v>50</v>
      </c>
      <c r="Q1093" s="3654" t="str">
        <f t="array" ref="Q1093">IFERROR(VLOOKUP(P1093,Dex!$P$22:$Q$276,2,FALSE),"")</f>
        <v/>
      </c>
      <c r="R1093" s="3655"/>
      <c r="S1093" s="3644"/>
      <c r="T1093" s="3652" t="s">
        <v>514</v>
      </c>
      <c r="U1093" s="3653">
        <f t="array" ref="U1093">IFERROR(VLOOKUP(T1079,Dex!$B$3:$N1219,9,FALSE),"")</f>
        <v>110</v>
      </c>
      <c r="V1093" s="3654" t="str">
        <f t="array" ref="V1093">IFERROR(VLOOKUP(U1093,Dex!$P$22:$Q$276,2,FALSE),"")</f>
        <v/>
      </c>
      <c r="W1093" s="3655"/>
      <c r="X1093" s="3644"/>
      <c r="Y1093" s="3652" t="s">
        <v>514</v>
      </c>
      <c r="Z1093" s="3653">
        <f t="array" ref="Z1093">IFERROR(VLOOKUP(Y1079,Dex!$B$3:$N1219,9,FALSE),"")</f>
        <v>80</v>
      </c>
      <c r="AA1093" s="3654" t="str">
        <f t="array" ref="AA1093">IFERROR(VLOOKUP(Z1093,Dex!$P$22:$Q$276,2,FALSE),"")</f>
        <v/>
      </c>
      <c r="AB1093" s="3655"/>
      <c r="AC1093" s="3644"/>
      <c r="AD1093" s="3652" t="s">
        <v>514</v>
      </c>
      <c r="AE1093" s="3653">
        <f t="array" ref="AE1093">IFERROR(VLOOKUP(AD1079,Dex!$B$3:$N1219,9,FALSE),"")</f>
        <v>120</v>
      </c>
      <c r="AF1093" s="3654" t="str">
        <f t="array" ref="AF1093">IFERROR(VLOOKUP(AE1093,Dex!$P$22:$Q$276,2,FALSE),"")</f>
        <v/>
      </c>
      <c r="AG1093" s="3655"/>
      <c r="AH1093" s="3645"/>
      <c r="AI1093" s="6747"/>
    </row>
    <row r="1094" ht="16.5" customHeight="1">
      <c r="A1094" s="6738"/>
      <c r="B1094" s="3639"/>
      <c r="C1094" s="3631"/>
      <c r="D1094" s="3640"/>
      <c r="E1094" s="3652" t="s">
        <v>515</v>
      </c>
      <c r="F1094" s="3653">
        <f t="array" ref="F1094">IFERROR(VLOOKUP(E1079,Dex!$B$3:$N1219,10,FALSE),"")</f>
        <v>90</v>
      </c>
      <c r="G1094" s="3654" t="str">
        <f t="array" ref="G1094">IFERROR(VLOOKUP(F1094,Dex!$P$22:$Q$276,2,FALSE),"")</f>
        <v/>
      </c>
      <c r="H1094" s="3655"/>
      <c r="I1094" s="3650"/>
      <c r="J1094" s="3652" t="s">
        <v>515</v>
      </c>
      <c r="K1094" s="3653">
        <f t="array" ref="K1094">IFERROR(VLOOKUP(J1079,Dex!$B$3:$N1219,10,FALSE),"")</f>
        <v>105</v>
      </c>
      <c r="L1094" s="3654" t="str">
        <f t="array" ref="L1094">IFERROR(VLOOKUP(K1094,Dex!$P$22:$Q$276,2,FALSE),"")</f>
        <v/>
      </c>
      <c r="M1094" s="3655"/>
      <c r="N1094" s="3640"/>
      <c r="O1094" s="3652" t="s">
        <v>515</v>
      </c>
      <c r="P1094" s="3653">
        <f t="array" ref="P1094">IFERROR(VLOOKUP(O1079,Dex!$B$3:$N1219,10,FALSE),"")</f>
        <v>45</v>
      </c>
      <c r="Q1094" s="3654" t="str">
        <f t="array" ref="Q1094">IFERROR(VLOOKUP(P1094,Dex!$P$22:$Q$276,2,FALSE),"")</f>
        <v/>
      </c>
      <c r="R1094" s="3655"/>
      <c r="S1094" s="3644"/>
      <c r="T1094" s="3652" t="s">
        <v>515</v>
      </c>
      <c r="U1094" s="3653">
        <f t="array" ref="U1094">IFERROR(VLOOKUP(T1079,Dex!$B$3:$N1219,10,FALSE),"")</f>
        <v>125</v>
      </c>
      <c r="V1094" s="3654" t="str">
        <f t="array" ref="V1094">IFERROR(VLOOKUP(U1094,Dex!$P$22:$Q$276,2,FALSE),"")</f>
        <v/>
      </c>
      <c r="W1094" s="3655"/>
      <c r="X1094" s="3644"/>
      <c r="Y1094" s="3652" t="s">
        <v>515</v>
      </c>
      <c r="Z1094" s="3653">
        <f t="array" ref="Z1094">IFERROR(VLOOKUP(Y1079,Dex!$B$3:$N1219,10,FALSE),"")</f>
        <v>90</v>
      </c>
      <c r="AA1094" s="3654" t="str">
        <f t="array" ref="AA1094">IFERROR(VLOOKUP(Z1094,Dex!$P$22:$Q$276,2,FALSE),"")</f>
        <v/>
      </c>
      <c r="AB1094" s="3655"/>
      <c r="AC1094" s="3644"/>
      <c r="AD1094" s="3652" t="s">
        <v>515</v>
      </c>
      <c r="AE1094" s="3653">
        <f t="array" ref="AE1094">IFERROR(VLOOKUP(AD1079,Dex!$B$3:$N1219,10,FALSE),"")</f>
        <v>80</v>
      </c>
      <c r="AF1094" s="3654" t="str">
        <f t="array" ref="AF1094">IFERROR(VLOOKUP(AE1094,Dex!$P$22:$Q$276,2,FALSE),"")</f>
        <v/>
      </c>
      <c r="AG1094" s="3655"/>
      <c r="AH1094" s="3645"/>
      <c r="AI1094" s="6747"/>
    </row>
    <row r="1095" ht="16.5" customHeight="1">
      <c r="A1095" s="6738"/>
      <c r="B1095" s="3639"/>
      <c r="C1095" s="3631"/>
      <c r="D1095" s="3640"/>
      <c r="E1095" s="3652" t="s">
        <v>516</v>
      </c>
      <c r="F1095" s="3653">
        <f t="array" ref="F1095">IFERROR(VLOOKUP(E1079,Dex!$B$3:$N1219,11,FALSE),"")</f>
        <v>105</v>
      </c>
      <c r="G1095" s="3654" t="str">
        <f t="array" ref="G1095">IFERROR(VLOOKUP(F1095,Dex!$P$22:$Q$276,2,FALSE),"")</f>
        <v/>
      </c>
      <c r="H1095" s="3655"/>
      <c r="I1095" s="3650"/>
      <c r="J1095" s="3652" t="s">
        <v>516</v>
      </c>
      <c r="K1095" s="3653">
        <f t="array" ref="K1095">IFERROR(VLOOKUP(J1079,Dex!$B$3:$N1219,11,FALSE),"")</f>
        <v>53</v>
      </c>
      <c r="L1095" s="3654" t="str">
        <f t="array" ref="L1095">IFERROR(VLOOKUP(K1095,Dex!$P$22:$Q$276,2,FALSE),"")</f>
        <v/>
      </c>
      <c r="M1095" s="3655"/>
      <c r="N1095" s="3640"/>
      <c r="O1095" s="3652" t="s">
        <v>516</v>
      </c>
      <c r="P1095" s="3653">
        <f t="array" ref="P1095">IFERROR(VLOOKUP(O1079,Dex!$B$3:$N1219,11,FALSE),"")</f>
        <v>135</v>
      </c>
      <c r="Q1095" s="3654" t="str">
        <f t="array" ref="Q1095">IFERROR(VLOOKUP(P1095,Dex!$P$22:$Q$276,2,FALSE),"")</f>
        <v/>
      </c>
      <c r="R1095" s="3655"/>
      <c r="S1095" s="3644"/>
      <c r="T1095" s="3652" t="s">
        <v>516</v>
      </c>
      <c r="U1095" s="3653">
        <f t="array" ref="U1095">IFERROR(VLOOKUP(T1079,Dex!$B$3:$N1219,11,FALSE),"")</f>
        <v>100</v>
      </c>
      <c r="V1095" s="3654" t="str">
        <f t="array" ref="V1095">IFERROR(VLOOKUP(U1095,Dex!$P$22:$Q$276,2,FALSE),"")</f>
        <v/>
      </c>
      <c r="W1095" s="3655"/>
      <c r="X1095" s="3644"/>
      <c r="Y1095" s="3652" t="s">
        <v>516</v>
      </c>
      <c r="Z1095" s="3653">
        <f t="array" ref="Z1095">IFERROR(VLOOKUP(Y1079,Dex!$B$3:$N1219,11,FALSE),"")</f>
        <v>110</v>
      </c>
      <c r="AA1095" s="3654" t="str">
        <f t="array" ref="AA1095">IFERROR(VLOOKUP(Z1095,Dex!$P$22:$Q$276,2,FALSE),"")</f>
        <v/>
      </c>
      <c r="AB1095" s="3655"/>
      <c r="AC1095" s="3644"/>
      <c r="AD1095" s="3652" t="s">
        <v>516</v>
      </c>
      <c r="AE1095" s="3653">
        <f t="array" ref="AE1095">IFERROR(VLOOKUP(AD1079,Dex!$B$3:$N1219,11,FALSE),"")</f>
        <v>155</v>
      </c>
      <c r="AF1095" s="3654" t="str">
        <f t="array" ref="AF1095">IFERROR(VLOOKUP(AE1095,Dex!$P$22:$Q$276,2,FALSE),"")</f>
        <v/>
      </c>
      <c r="AG1095" s="3655"/>
      <c r="AH1095" s="3645"/>
      <c r="AI1095" s="6747"/>
    </row>
    <row r="1096" ht="16.5" customHeight="1">
      <c r="A1096" s="6738"/>
      <c r="B1096" s="3639"/>
      <c r="C1096" s="3631"/>
      <c r="D1096" s="3640"/>
      <c r="E1096" s="3652" t="s">
        <v>517</v>
      </c>
      <c r="F1096" s="3653">
        <f t="array" ref="F1096">IFERROR(VLOOKUP(E1079,Dex!$B$3:$N1219,12,FALSE),"")</f>
        <v>80</v>
      </c>
      <c r="G1096" s="3654" t="str">
        <f t="array" ref="G1096">IFERROR(VLOOKUP(F1096,Dex!$P$22:$Q$276,2,FALSE),"")</f>
        <v/>
      </c>
      <c r="H1096" s="3655"/>
      <c r="I1096" s="3650"/>
      <c r="J1096" s="3652" t="s">
        <v>517</v>
      </c>
      <c r="K1096" s="3653">
        <f t="array" ref="K1096">IFERROR(VLOOKUP(J1079,Dex!$B$3:$N1219,12,FALSE),"")</f>
        <v>85</v>
      </c>
      <c r="L1096" s="3654" t="str">
        <f t="array" ref="L1096">IFERROR(VLOOKUP(K1096,Dex!$P$22:$Q$276,2,FALSE),"")</f>
        <v/>
      </c>
      <c r="M1096" s="3655"/>
      <c r="N1096" s="3640"/>
      <c r="O1096" s="3652" t="s">
        <v>517</v>
      </c>
      <c r="P1096" s="3653">
        <f t="array" ref="P1096">IFERROR(VLOOKUP(O1079,Dex!$B$3:$N1219,12,FALSE),"")</f>
        <v>95</v>
      </c>
      <c r="Q1096" s="3654" t="str">
        <f t="array" ref="Q1096">IFERROR(VLOOKUP(P1096,Dex!$P$22:$Q$276,2,FALSE),"")</f>
        <v/>
      </c>
      <c r="R1096" s="3655"/>
      <c r="S1096" s="3644"/>
      <c r="T1096" s="3652" t="s">
        <v>517</v>
      </c>
      <c r="U1096" s="3653">
        <f t="array" ref="U1096">IFERROR(VLOOKUP(T1079,Dex!$B$3:$N1219,12,FALSE),"")</f>
        <v>105</v>
      </c>
      <c r="V1096" s="3654" t="str">
        <f t="array" ref="V1096">IFERROR(VLOOKUP(U1096,Dex!$P$22:$Q$276,2,FALSE),"")</f>
        <v/>
      </c>
      <c r="W1096" s="3655"/>
      <c r="X1096" s="3644"/>
      <c r="Y1096" s="3652" t="s">
        <v>517</v>
      </c>
      <c r="Z1096" s="3653">
        <f t="array" ref="Z1096">IFERROR(VLOOKUP(Y1079,Dex!$B$3:$N1219,12,FALSE),"")</f>
        <v>130</v>
      </c>
      <c r="AA1096" s="3654" t="str">
        <f t="array" ref="AA1096">IFERROR(VLOOKUP(Z1096,Dex!$P$22:$Q$276,2,FALSE),"")</f>
        <v/>
      </c>
      <c r="AB1096" s="3655"/>
      <c r="AC1096" s="3644"/>
      <c r="AD1096" s="3652" t="s">
        <v>517</v>
      </c>
      <c r="AE1096" s="3653">
        <f t="array" ref="AE1096">IFERROR(VLOOKUP(AD1079,Dex!$B$3:$N1219,12,FALSE),"")</f>
        <v>80</v>
      </c>
      <c r="AF1096" s="3654" t="str">
        <f t="array" ref="AF1096">IFERROR(VLOOKUP(AE1096,Dex!$P$22:$Q$276,2,FALSE),"")</f>
        <v/>
      </c>
      <c r="AG1096" s="3655"/>
      <c r="AH1096" s="3645"/>
      <c r="AI1096" s="6747"/>
    </row>
    <row r="1097" ht="16.5" customHeight="1">
      <c r="A1097" s="6738"/>
      <c r="B1097" s="3639"/>
      <c r="C1097" s="3631"/>
      <c r="D1097" s="3640"/>
      <c r="E1097" s="3658" t="s">
        <v>518</v>
      </c>
      <c r="F1097" s="3659">
        <f t="array" ref="F1097">IFERROR(VLOOKUP(E1079,Dex!$B$3:$N1219,13,FALSE),"")</f>
        <v>91</v>
      </c>
      <c r="G1097" s="3660" t="str">
        <f t="array" ref="G1097">IFERROR(VLOOKUP(F1097,Dex!$P$22:$Q$276,2,FALSE),"")</f>
        <v/>
      </c>
      <c r="H1097" s="3661"/>
      <c r="I1097" s="3650"/>
      <c r="J1097" s="3658" t="s">
        <v>518</v>
      </c>
      <c r="K1097" s="3659">
        <f t="array" ref="K1097">IFERROR(VLOOKUP(J1079,Dex!$B$3:$N1219,13,FALSE),"")</f>
        <v>67</v>
      </c>
      <c r="L1097" s="3660" t="str">
        <f t="array" ref="L1097">IFERROR(VLOOKUP(K1097,Dex!$P$22:$Q$276,2,FALSE),"")</f>
        <v/>
      </c>
      <c r="M1097" s="3661"/>
      <c r="N1097" s="3640"/>
      <c r="O1097" s="3658" t="s">
        <v>518</v>
      </c>
      <c r="P1097" s="3659">
        <f t="array" ref="P1097">IFERROR(VLOOKUP(O1079,Dex!$B$3:$N1219,13,FALSE),"")</f>
        <v>120</v>
      </c>
      <c r="Q1097" s="3660" t="str">
        <f t="array" ref="Q1097">IFERROR(VLOOKUP(P1097,Dex!$P$22:$Q$276,2,FALSE),"")</f>
        <v/>
      </c>
      <c r="R1097" s="3661"/>
      <c r="S1097" s="3644"/>
      <c r="T1097" s="3658" t="s">
        <v>518</v>
      </c>
      <c r="U1097" s="3659">
        <f t="array" ref="U1097">IFERROR(VLOOKUP(T1079,Dex!$B$3:$N1219,13,FALSE),"")</f>
        <v>85</v>
      </c>
      <c r="V1097" s="3660" t="str">
        <f t="array" ref="V1097">IFERROR(VLOOKUP(U1097,Dex!$P$22:$Q$276,2,FALSE),"")</f>
        <v/>
      </c>
      <c r="W1097" s="3661"/>
      <c r="X1097" s="3644"/>
      <c r="Y1097" s="3658" t="s">
        <v>518</v>
      </c>
      <c r="Z1097" s="3659">
        <f t="array" ref="Z1097">IFERROR(VLOOKUP(Y1079,Dex!$B$3:$N1219,13,FALSE),"")</f>
        <v>110</v>
      </c>
      <c r="AA1097" s="3660" t="str">
        <f t="array" ref="AA1097">IFERROR(VLOOKUP(Z1097,Dex!$P$22:$Q$276,2,FALSE),"")</f>
        <v/>
      </c>
      <c r="AB1097" s="3661"/>
      <c r="AC1097" s="3644"/>
      <c r="AD1097" s="3658" t="s">
        <v>518</v>
      </c>
      <c r="AE1097" s="3659">
        <f t="array" ref="AE1097">IFERROR(VLOOKUP(AD1079,Dex!$B$3:$N1219,13,FALSE),"")</f>
        <v>111</v>
      </c>
      <c r="AF1097" s="3660" t="str">
        <f t="array" ref="AF1097">IFERROR(VLOOKUP(AE1097,Dex!$P$22:$Q$276,2,FALSE),"")</f>
        <v/>
      </c>
      <c r="AG1097" s="3661"/>
      <c r="AH1097" s="3645"/>
      <c r="AI1097" s="6747"/>
    </row>
    <row r="1098" ht="16.5" customHeight="1">
      <c r="A1098" s="6738"/>
      <c r="B1098" s="3639"/>
      <c r="C1098" s="3631"/>
      <c r="D1098" s="4590"/>
      <c r="E1098" s="3662" t="s">
        <v>519</v>
      </c>
      <c r="F1098" s="630"/>
      <c r="G1098" s="631"/>
      <c r="H1098" s="6843">
        <v>239.0</v>
      </c>
      <c r="I1098" s="3642"/>
      <c r="J1098" s="3662" t="s">
        <v>519</v>
      </c>
      <c r="K1098" s="630"/>
      <c r="L1098" s="631"/>
      <c r="M1098" s="6843">
        <v>170.0</v>
      </c>
      <c r="N1098" s="4590"/>
      <c r="O1098" s="3662" t="s">
        <v>519</v>
      </c>
      <c r="P1098" s="630"/>
      <c r="Q1098" s="631"/>
      <c r="R1098" s="6843">
        <v>303.0</v>
      </c>
      <c r="S1098" s="4592"/>
      <c r="T1098" s="4593" t="s">
        <v>519</v>
      </c>
      <c r="U1098" s="635"/>
      <c r="V1098" s="636"/>
      <c r="W1098" s="6844">
        <v>226.0</v>
      </c>
      <c r="X1098" s="4592"/>
      <c r="Y1098" s="3662" t="s">
        <v>519</v>
      </c>
      <c r="Z1098" s="630"/>
      <c r="AA1098" s="631"/>
      <c r="AB1098" s="6843">
        <v>281.0</v>
      </c>
      <c r="AC1098" s="4592"/>
      <c r="AD1098" s="3662" t="s">
        <v>519</v>
      </c>
      <c r="AE1098" s="630"/>
      <c r="AF1098" s="631"/>
      <c r="AG1098" s="6843">
        <v>283.0</v>
      </c>
      <c r="AH1098" s="3645"/>
      <c r="AI1098" s="6747"/>
    </row>
    <row r="1099" ht="16.5" customHeight="1">
      <c r="A1099" s="6738"/>
      <c r="B1099" s="4594"/>
      <c r="C1099" s="5479"/>
      <c r="D1099" s="5480"/>
      <c r="E1099" s="5481"/>
      <c r="F1099" s="5481"/>
      <c r="G1099" s="5481"/>
      <c r="H1099" s="5479"/>
      <c r="I1099" s="5482"/>
      <c r="J1099" s="5481"/>
      <c r="K1099" s="5481"/>
      <c r="L1099" s="5481"/>
      <c r="M1099" s="5479"/>
      <c r="N1099" s="5480"/>
      <c r="O1099" s="5481"/>
      <c r="P1099" s="5481"/>
      <c r="Q1099" s="5481"/>
      <c r="R1099" s="5479"/>
      <c r="S1099" s="4598"/>
      <c r="T1099" s="4597" t="s">
        <v>906</v>
      </c>
      <c r="U1099" s="643"/>
      <c r="V1099" s="644"/>
      <c r="W1099" s="6787">
        <f>ROUNDDOWN(W1098*1.5,0)</f>
        <v>339</v>
      </c>
      <c r="X1099" s="4598"/>
      <c r="Y1099" s="5481"/>
      <c r="Z1099" s="5481"/>
      <c r="AA1099" s="5481"/>
      <c r="AB1099" s="5479"/>
      <c r="AC1099" s="4598"/>
      <c r="AD1099" s="5481"/>
      <c r="AE1099" s="5481"/>
      <c r="AF1099" s="5481"/>
      <c r="AG1099" s="5479"/>
      <c r="AH1099" s="4600"/>
      <c r="AI1099" s="6747"/>
    </row>
    <row r="1100" ht="15.0" customHeight="1">
      <c r="A1100" s="6738"/>
      <c r="B1100" s="3663"/>
      <c r="C1100" s="3664"/>
      <c r="D1100" s="3665"/>
      <c r="E1100" s="3666"/>
      <c r="F1100" s="3666"/>
      <c r="G1100" s="3666"/>
      <c r="H1100" s="3667"/>
      <c r="I1100" s="3667"/>
      <c r="J1100" s="3666"/>
      <c r="K1100" s="3666"/>
      <c r="L1100" s="3666"/>
      <c r="M1100" s="3667"/>
      <c r="N1100" s="3669"/>
      <c r="O1100" s="3670"/>
      <c r="P1100" s="3670"/>
      <c r="Q1100" s="3671"/>
      <c r="R1100" s="3671"/>
      <c r="S1100" s="3671"/>
      <c r="T1100" s="3670"/>
      <c r="U1100" s="3670"/>
      <c r="V1100" s="3671"/>
      <c r="W1100" s="3671"/>
      <c r="X1100" s="3669"/>
      <c r="Y1100" s="3670"/>
      <c r="Z1100" s="3670"/>
      <c r="AA1100" s="3671"/>
      <c r="AB1100" s="3671"/>
      <c r="AC1100" s="3672"/>
      <c r="AD1100" s="3670"/>
      <c r="AE1100" s="3670"/>
      <c r="AF1100" s="3671"/>
      <c r="AG1100" s="3671"/>
      <c r="AH1100" s="3673"/>
      <c r="AI1100" s="6747"/>
    </row>
    <row r="1101" ht="15.0" customHeight="1">
      <c r="A1101" s="6738"/>
      <c r="B1101" s="3567"/>
      <c r="C1101" s="3568"/>
      <c r="D1101" s="3569"/>
      <c r="E1101" s="3570"/>
      <c r="F1101" s="3570"/>
      <c r="G1101" s="3570"/>
      <c r="H1101" s="3570"/>
      <c r="I1101" s="3569"/>
      <c r="J1101" s="3570"/>
      <c r="K1101" s="3570"/>
      <c r="L1101" s="3570"/>
      <c r="M1101" s="3570"/>
      <c r="N1101" s="3569"/>
      <c r="O1101" s="3570"/>
      <c r="P1101" s="3570"/>
      <c r="Q1101" s="3570"/>
      <c r="R1101" s="3570"/>
      <c r="S1101" s="3569"/>
      <c r="T1101" s="3570"/>
      <c r="U1101" s="3570"/>
      <c r="V1101" s="3570"/>
      <c r="W1101" s="3570"/>
      <c r="X1101" s="3569"/>
      <c r="Y1101" s="3570"/>
      <c r="Z1101" s="3570"/>
      <c r="AA1101" s="3570"/>
      <c r="AB1101" s="3570"/>
      <c r="AC1101" s="3569"/>
      <c r="AD1101" s="3570"/>
      <c r="AE1101" s="3570"/>
      <c r="AF1101" s="3570"/>
      <c r="AG1101" s="3570"/>
      <c r="AH1101" s="3571"/>
      <c r="AI1101" s="6747"/>
    </row>
    <row r="1102" ht="96.75" customHeight="1">
      <c r="A1102" s="6738"/>
      <c r="B1102" s="3572"/>
      <c r="C1102" s="3573" t="str">
        <f>IMAGE("https://i.ibb.co/26kF6WW/Ace-Trainer-F.png")</f>
        <v/>
      </c>
      <c r="D1102" s="3574"/>
      <c r="E1102" s="3575" t="str">
        <f t="array" ref="E1102">IFERROR(VLOOKUP(E1103,Dex!$B$3:$G1219,3,FALSE),"")</f>
        <v/>
      </c>
      <c r="F1102" s="606"/>
      <c r="G1102" s="606"/>
      <c r="H1102" s="607"/>
      <c r="I1102" s="3576"/>
      <c r="J1102" s="3575" t="str">
        <f t="array" ref="J1102">IFERROR(VLOOKUP(J1103,Dex!$B$3:$G1219,3,FALSE),"")</f>
        <v/>
      </c>
      <c r="K1102" s="606"/>
      <c r="L1102" s="606"/>
      <c r="M1102" s="607"/>
      <c r="N1102" s="4583"/>
      <c r="O1102" s="3575" t="str">
        <f t="array" ref="O1102">IFERROR(VLOOKUP(O1103,Dex!$B$3:$G1219,3,FALSE),"")</f>
        <v/>
      </c>
      <c r="P1102" s="606"/>
      <c r="Q1102" s="606"/>
      <c r="R1102" s="607"/>
      <c r="S1102" s="4584"/>
      <c r="T1102" s="3575" t="str">
        <f t="array" ref="T1102">IFERROR(VLOOKUP(T1103,Dex!$B$3:$G1219,3,FALSE),"")</f>
        <v/>
      </c>
      <c r="U1102" s="606"/>
      <c r="V1102" s="606"/>
      <c r="W1102" s="607"/>
      <c r="X1102" s="4583"/>
      <c r="Y1102" s="3575" t="str">
        <f t="array" ref="Y1102">IFERROR(VLOOKUP(Y1103,Dex!$B$3:$G1219,3,FALSE),"")</f>
        <v/>
      </c>
      <c r="Z1102" s="606"/>
      <c r="AA1102" s="606"/>
      <c r="AB1102" s="607"/>
      <c r="AC1102" s="4584"/>
      <c r="AD1102" s="3575" t="str">
        <f t="array" ref="AD1102">IFERROR(VLOOKUP(AD1103,Dex!$B$3:$G1219,3,FALSE),"")</f>
        <v/>
      </c>
      <c r="AE1102" s="606"/>
      <c r="AF1102" s="606"/>
      <c r="AG1102" s="607"/>
      <c r="AH1102" s="5740"/>
      <c r="AI1102" s="6747"/>
    </row>
    <row r="1103" ht="18.75" customHeight="1">
      <c r="A1103" s="6738"/>
      <c r="B1103" s="5745"/>
      <c r="C1103" s="6841" t="s">
        <v>2187</v>
      </c>
      <c r="D1103" s="5747"/>
      <c r="E1103" s="3587" t="s">
        <v>263</v>
      </c>
      <c r="F1103" s="3588"/>
      <c r="G1103" s="3588"/>
      <c r="H1103" s="3589"/>
      <c r="J1103" s="3587" t="s">
        <v>1724</v>
      </c>
      <c r="K1103" s="3588"/>
      <c r="L1103" s="3588"/>
      <c r="M1103" s="3589"/>
      <c r="O1103" s="3587" t="s">
        <v>2188</v>
      </c>
      <c r="P1103" s="3588"/>
      <c r="Q1103" s="3588"/>
      <c r="R1103" s="3589"/>
      <c r="T1103" s="3587" t="s">
        <v>210</v>
      </c>
      <c r="U1103" s="3588"/>
      <c r="V1103" s="3588"/>
      <c r="W1103" s="3589"/>
      <c r="Y1103" s="3587" t="s">
        <v>1732</v>
      </c>
      <c r="Z1103" s="3588"/>
      <c r="AA1103" s="3588"/>
      <c r="AB1103" s="3589"/>
      <c r="AD1103" s="3587" t="s">
        <v>2071</v>
      </c>
      <c r="AE1103" s="3588"/>
      <c r="AF1103" s="3588"/>
      <c r="AG1103" s="3589"/>
      <c r="AH1103" s="5741"/>
      <c r="AI1103" s="6747"/>
    </row>
    <row r="1104">
      <c r="A1104" s="6738"/>
      <c r="B1104" s="5751"/>
      <c r="C1104" s="3095"/>
      <c r="D1104" s="5752"/>
      <c r="E1104" s="3596" t="s">
        <v>729</v>
      </c>
      <c r="F1104" s="3597"/>
      <c r="G1104" s="3597"/>
      <c r="H1104" s="3598"/>
      <c r="J1104" s="3596" t="s">
        <v>729</v>
      </c>
      <c r="K1104" s="3597"/>
      <c r="L1104" s="3597"/>
      <c r="M1104" s="3598"/>
      <c r="O1104" s="3596" t="s">
        <v>729</v>
      </c>
      <c r="P1104" s="3597"/>
      <c r="Q1104" s="3597"/>
      <c r="R1104" s="3598"/>
      <c r="T1104" s="3596" t="s">
        <v>729</v>
      </c>
      <c r="U1104" s="3597"/>
      <c r="V1104" s="3597"/>
      <c r="W1104" s="3598"/>
      <c r="Y1104" s="3596" t="s">
        <v>729</v>
      </c>
      <c r="Z1104" s="3597"/>
      <c r="AA1104" s="3597"/>
      <c r="AB1104" s="3598"/>
      <c r="AD1104" s="3596" t="s">
        <v>729</v>
      </c>
      <c r="AE1104" s="3597"/>
      <c r="AF1104" s="3597"/>
      <c r="AG1104" s="3598"/>
      <c r="AH1104" s="5742"/>
      <c r="AI1104" s="6747"/>
    </row>
    <row r="1105" ht="25.5" customHeight="1">
      <c r="A1105" s="6738"/>
      <c r="B1105" s="5756"/>
      <c r="C1105" s="3095"/>
      <c r="D1105" s="5757"/>
      <c r="E1105" s="3601"/>
      <c r="F1105" s="3602" t="str">
        <f t="array" ref="F1105">IFERROR(VLOOKUP(E1103,Dex!$B$3:$H1219,5,FALSE),"")</f>
        <v/>
      </c>
      <c r="G1105" s="3603"/>
      <c r="H1105" s="3604"/>
      <c r="J1105" s="3601"/>
      <c r="K1105" s="4588" t="str">
        <f t="array" ref="K1105">IFERROR(VLOOKUP(J1103,Dex!$B$3:$H1219,5,FALSE),"")</f>
        <v/>
      </c>
      <c r="L1105" s="4589" t="str">
        <f t="array" ref="L1105">IFERROR(VLOOKUP(J1103,Dex!$B$3:$H1219,7,FALSE),"")</f>
        <v/>
      </c>
      <c r="M1105" s="3604"/>
      <c r="O1105" s="3601"/>
      <c r="P1105" s="3602" t="str">
        <f t="array" ref="P1105">IFERROR(VLOOKUP(O1103,Dex!$B$3:$H1219,5,FALSE),"")</f>
        <v/>
      </c>
      <c r="Q1105" s="3603"/>
      <c r="R1105" s="3604"/>
      <c r="T1105" s="3601"/>
      <c r="U1105" s="3602" t="str">
        <f t="array" ref="U1105">IFERROR(VLOOKUP(T1103,Dex!$B$3:$H1219,5,FALSE),"")</f>
        <v/>
      </c>
      <c r="V1105" s="3603"/>
      <c r="W1105" s="3604"/>
      <c r="Y1105" s="3601"/>
      <c r="Z1105" s="4588" t="str">
        <f t="array" ref="Z1105">IFERROR(VLOOKUP(Y1103,Dex!$B$3:$H1219,5,FALSE),"")</f>
        <v/>
      </c>
      <c r="AA1105" s="4589" t="str">
        <f t="array" ref="AA1105">IFERROR(VLOOKUP(Y1103,Dex!$B$3:$H1219,7,FALSE),"")</f>
        <v/>
      </c>
      <c r="AB1105" s="3604"/>
      <c r="AD1105" s="3601"/>
      <c r="AE1105" s="4588" t="str">
        <f t="array" ref="AE1105">IFERROR(VLOOKUP(AD1103,Dex!$B$3:$H1219,5,FALSE),"")</f>
        <v/>
      </c>
      <c r="AF1105" s="4589" t="str">
        <f t="array" ref="AF1105">IFERROR(VLOOKUP(AD1103,Dex!$B$3:$H1219,7,FALSE),"")</f>
        <v/>
      </c>
      <c r="AG1105" s="3604"/>
      <c r="AH1105" s="3583"/>
      <c r="AI1105" s="6747"/>
    </row>
    <row r="1106" ht="2.25" customHeight="1">
      <c r="A1106" s="6738"/>
      <c r="B1106" s="5756"/>
      <c r="C1106" s="3095"/>
      <c r="D1106" s="5757"/>
      <c r="E1106" s="3606"/>
      <c r="F1106" s="3607"/>
      <c r="G1106" s="3607"/>
      <c r="H1106" s="3608"/>
      <c r="J1106" s="3606"/>
      <c r="K1106" s="3607"/>
      <c r="L1106" s="3607"/>
      <c r="M1106" s="3608"/>
      <c r="O1106" s="3606"/>
      <c r="P1106" s="3607"/>
      <c r="Q1106" s="3607"/>
      <c r="R1106" s="3608"/>
      <c r="T1106" s="3606"/>
      <c r="U1106" s="3607"/>
      <c r="V1106" s="3607"/>
      <c r="W1106" s="3608"/>
      <c r="Y1106" s="3606"/>
      <c r="Z1106" s="3607"/>
      <c r="AA1106" s="3607"/>
      <c r="AB1106" s="3608"/>
      <c r="AD1106" s="3606"/>
      <c r="AE1106" s="3607"/>
      <c r="AF1106" s="3607"/>
      <c r="AG1106" s="3608"/>
      <c r="AH1106" s="3583"/>
      <c r="AI1106" s="6747"/>
    </row>
    <row r="1107" ht="20.25" customHeight="1">
      <c r="A1107" s="6738"/>
      <c r="B1107" s="5756"/>
      <c r="C1107" s="3112"/>
      <c r="D1107" s="5757"/>
      <c r="E1107" s="3610" t="s">
        <v>564</v>
      </c>
      <c r="F1107" s="3611"/>
      <c r="G1107" s="3611"/>
      <c r="H1107" s="3612"/>
      <c r="J1107" s="3610" t="s">
        <v>564</v>
      </c>
      <c r="K1107" s="3611"/>
      <c r="L1107" s="3611"/>
      <c r="M1107" s="3612"/>
      <c r="O1107" s="3610" t="s">
        <v>564</v>
      </c>
      <c r="P1107" s="3611"/>
      <c r="Q1107" s="3611"/>
      <c r="R1107" s="3612"/>
      <c r="T1107" s="3610" t="s">
        <v>532</v>
      </c>
      <c r="U1107" s="3611"/>
      <c r="V1107" s="3611"/>
      <c r="W1107" s="3612"/>
      <c r="Y1107" s="3610" t="s">
        <v>532</v>
      </c>
      <c r="Z1107" s="3611"/>
      <c r="AA1107" s="3611"/>
      <c r="AB1107" s="3612"/>
      <c r="AD1107" s="3610" t="s">
        <v>564</v>
      </c>
      <c r="AE1107" s="3611"/>
      <c r="AF1107" s="3611"/>
      <c r="AG1107" s="3612"/>
      <c r="AH1107" s="5740"/>
      <c r="AI1107" s="6747"/>
    </row>
    <row r="1108">
      <c r="A1108" s="6738"/>
      <c r="B1108" s="3572"/>
      <c r="C1108" s="6842"/>
      <c r="D1108" s="3574"/>
      <c r="E1108" s="3614" t="s">
        <v>98</v>
      </c>
      <c r="F1108" s="3579"/>
      <c r="G1108" s="3579"/>
      <c r="H1108" s="3615"/>
      <c r="J1108" s="3614" t="s">
        <v>1363</v>
      </c>
      <c r="K1108" s="3579"/>
      <c r="L1108" s="3579"/>
      <c r="M1108" s="3615"/>
      <c r="O1108" s="3614" t="s">
        <v>2131</v>
      </c>
      <c r="P1108" s="3579"/>
      <c r="Q1108" s="3579"/>
      <c r="R1108" s="3615"/>
      <c r="T1108" s="3614" t="s">
        <v>1462</v>
      </c>
      <c r="U1108" s="3579"/>
      <c r="V1108" s="3579"/>
      <c r="W1108" s="3615"/>
      <c r="Y1108" s="3614" t="s">
        <v>2189</v>
      </c>
      <c r="Z1108" s="3579"/>
      <c r="AA1108" s="3579"/>
      <c r="AB1108" s="3615"/>
      <c r="AD1108" s="3614" t="s">
        <v>485</v>
      </c>
      <c r="AE1108" s="3579"/>
      <c r="AF1108" s="3579"/>
      <c r="AG1108" s="3615"/>
      <c r="AH1108" s="5740"/>
      <c r="AI1108" s="6747"/>
    </row>
    <row r="1109" ht="20.25" customHeight="1">
      <c r="A1109" s="6738"/>
      <c r="B1109" s="3572"/>
      <c r="C1109" s="3592"/>
      <c r="D1109" s="3574"/>
      <c r="E1109" s="3616" t="s">
        <v>733</v>
      </c>
      <c r="F1109" s="3617"/>
      <c r="G1109" s="3618"/>
      <c r="H1109" s="3619" t="str">
        <f>IMAGE("https://raw.githubusercontent.com/msikma/pokesprite/master/items/hold-item/leftovers.png",3)</f>
        <v/>
      </c>
      <c r="J1109" s="3616" t="s">
        <v>733</v>
      </c>
      <c r="K1109" s="3617"/>
      <c r="L1109" s="3618"/>
      <c r="M1109" s="3619" t="str">
        <f>IMAGE("https://raw.githubusercontent.com/msikma/pokesprite/master/items/hold-item/leftovers.png",3)</f>
        <v/>
      </c>
      <c r="O1109" s="3616" t="s">
        <v>573</v>
      </c>
      <c r="P1109" s="3617"/>
      <c r="Q1109" s="3618"/>
      <c r="R1109" s="3619" t="str">
        <f>IMAGE("https://raw.githubusercontent.com/msikma/pokesprite/master/items/hold-item/focus-sash.png",3)</f>
        <v/>
      </c>
      <c r="T1109" s="3616" t="s">
        <v>1944</v>
      </c>
      <c r="U1109" s="3617"/>
      <c r="V1109" s="3618"/>
      <c r="W1109" s="3619" t="str">
        <f>IMAGE("https://raw.githubusercontent.com/msikma/pokesprite/master/items/z-crystals/groundium-z--held.png",3)</f>
        <v/>
      </c>
      <c r="Y1109" s="3616" t="s">
        <v>1737</v>
      </c>
      <c r="Z1109" s="3617"/>
      <c r="AA1109" s="3618"/>
      <c r="AB1109" s="3619" t="str">
        <f>IMAGE("https://raw.githubusercontent.com/msikma/pokesprite/master/items/mega-stone/absolite.png",3)</f>
        <v/>
      </c>
      <c r="AD1109" s="3616" t="s">
        <v>493</v>
      </c>
      <c r="AE1109" s="3617"/>
      <c r="AF1109" s="3618"/>
      <c r="AG1109" s="3619" t="str">
        <f>IMAGE("https://raw.githubusercontent.com/msikma/pokesprite/master/items/hold-item/air-balloon.png",3)</f>
        <v/>
      </c>
      <c r="AH1109" s="3583"/>
      <c r="AI1109" s="6747"/>
    </row>
    <row r="1110" ht="20.25" customHeight="1">
      <c r="A1110" s="6738"/>
      <c r="B1110" s="3572"/>
      <c r="C1110" s="3620"/>
      <c r="D1110" s="3574"/>
      <c r="E1110" s="3610" t="s">
        <v>1596</v>
      </c>
      <c r="F1110" s="3611"/>
      <c r="G1110" s="3621"/>
      <c r="H1110" s="3622" t="str">
        <f>IMAGE("https://raw.githubusercontent.com/msikma/pokesprite/master/misc/types/gen8/normal.png",4,20,20)</f>
        <v/>
      </c>
      <c r="J1110" s="3610" t="s">
        <v>266</v>
      </c>
      <c r="K1110" s="3611"/>
      <c r="L1110" s="3621"/>
      <c r="M1110" s="3622" t="str">
        <f>IMAGE("https://raw.githubusercontent.com/msikma/pokesprite/master/misc/types/gen8/bug.png",4,20,20)</f>
        <v/>
      </c>
      <c r="O1110" s="3610" t="s">
        <v>1313</v>
      </c>
      <c r="P1110" s="3611"/>
      <c r="Q1110" s="3621"/>
      <c r="R1110" s="3622" t="str">
        <f t="shared" ref="R1110:R1111" si="43">IMAGE("https://raw.githubusercontent.com/msikma/pokesprite/master/misc/types/gen8/dark.png",4,20,20)</f>
        <v/>
      </c>
      <c r="T1110" s="3610" t="s">
        <v>549</v>
      </c>
      <c r="U1110" s="3611"/>
      <c r="V1110" s="3621"/>
      <c r="W1110" s="3622" t="str">
        <f>IMAGE("https://raw.githubusercontent.com/msikma/pokesprite/master/misc/types/gen8/ground.png",4,20,20)</f>
        <v/>
      </c>
      <c r="Y1110" s="3610" t="s">
        <v>835</v>
      </c>
      <c r="Z1110" s="3611"/>
      <c r="AA1110" s="3621"/>
      <c r="AB1110" s="3622" t="str">
        <f>IMAGE("https://raw.githubusercontent.com/msikma/pokesprite/master/misc/types/gen8/dark.png",4,20,20)</f>
        <v/>
      </c>
      <c r="AD1110" s="3610" t="s">
        <v>547</v>
      </c>
      <c r="AE1110" s="3611"/>
      <c r="AF1110" s="3621"/>
      <c r="AG1110" s="3622" t="str">
        <f>IMAGE("https://raw.githubusercontent.com/msikma/pokesprite/master/misc/types/gen8/electric.png",4,20,20)</f>
        <v/>
      </c>
      <c r="AH1110" s="3583"/>
      <c r="AI1110" s="6747"/>
    </row>
    <row r="1111" ht="20.25" customHeight="1">
      <c r="A1111" s="6738"/>
      <c r="B1111" s="3572"/>
      <c r="C1111" s="3605"/>
      <c r="D1111" s="3574"/>
      <c r="E1111" s="3614" t="s">
        <v>784</v>
      </c>
      <c r="F1111" s="3579"/>
      <c r="G1111" s="3580"/>
      <c r="H1111" s="3623" t="str">
        <f>IMAGE("https://raw.githubusercontent.com/msikma/pokesprite/master/misc/types/gen8/grass.png",4,20,20)</f>
        <v/>
      </c>
      <c r="J1111" s="3614" t="s">
        <v>146</v>
      </c>
      <c r="K1111" s="3579"/>
      <c r="L1111" s="3580"/>
      <c r="M1111" s="3623" t="str">
        <f>IMAGE("https://raw.githubusercontent.com/msikma/pokesprite/master/misc/types/gen8/fire.png",4,20,20)</f>
        <v/>
      </c>
      <c r="O1111" s="3614" t="s">
        <v>259</v>
      </c>
      <c r="P1111" s="3579"/>
      <c r="Q1111" s="3580"/>
      <c r="R1111" s="3623" t="str">
        <f t="shared" si="43"/>
        <v/>
      </c>
      <c r="T1111" s="3614" t="s">
        <v>621</v>
      </c>
      <c r="U1111" s="3579"/>
      <c r="V1111" s="3580"/>
      <c r="W1111" s="3623" t="str">
        <f>IMAGE("https://raw.githubusercontent.com/msikma/pokesprite/master/misc/types/gen8/rock.png",4,20,20)</f>
        <v/>
      </c>
      <c r="Y1111" s="3614" t="s">
        <v>904</v>
      </c>
      <c r="Z1111" s="3579"/>
      <c r="AA1111" s="3580"/>
      <c r="AB1111" s="3623" t="str">
        <f>IMAGE("https://raw.githubusercontent.com/msikma/pokesprite/master/misc/types/gen8/psychic.png",4,20,20)</f>
        <v/>
      </c>
      <c r="AD1111" s="3614" t="s">
        <v>773</v>
      </c>
      <c r="AE1111" s="3579"/>
      <c r="AF1111" s="3580"/>
      <c r="AG1111" s="3623" t="str">
        <f>IMAGE("https://raw.githubusercontent.com/msikma/pokesprite/master/misc/types/gen8/poison.png",4,20,20)</f>
        <v/>
      </c>
      <c r="AH1111" s="3583"/>
      <c r="AI1111" s="6747"/>
    </row>
    <row r="1112" ht="20.25" customHeight="1">
      <c r="A1112" s="6738"/>
      <c r="B1112" s="3572"/>
      <c r="C1112" s="3605"/>
      <c r="D1112" s="3574"/>
      <c r="E1112" s="3614" t="s">
        <v>217</v>
      </c>
      <c r="F1112" s="3579"/>
      <c r="G1112" s="3580"/>
      <c r="H1112" s="3623" t="str">
        <f>IMAGE("https://raw.githubusercontent.com/msikma/pokesprite/master/misc/types/gen8/normal.png",4,20,20)</f>
        <v/>
      </c>
      <c r="J1112" s="3614" t="s">
        <v>846</v>
      </c>
      <c r="K1112" s="3579"/>
      <c r="L1112" s="3580"/>
      <c r="M1112" s="3623" t="str">
        <f>IMAGE("https://raw.githubusercontent.com/msikma/pokesprite/master/misc/types/gen8/bug.png",4,20,20)</f>
        <v/>
      </c>
      <c r="O1112" s="3614" t="s">
        <v>614</v>
      </c>
      <c r="P1112" s="3579"/>
      <c r="Q1112" s="3580"/>
      <c r="R1112" s="3623" t="str">
        <f>IMAGE("https://raw.githubusercontent.com/msikma/pokesprite/master/misc/types/gen8/poison.png",4,20,20)</f>
        <v/>
      </c>
      <c r="T1112" s="3614" t="s">
        <v>554</v>
      </c>
      <c r="U1112" s="3579"/>
      <c r="V1112" s="3580"/>
      <c r="W1112" s="3623" t="str">
        <f>IMAGE("https://raw.githubusercontent.com/msikma/pokesprite/master/misc/types/gen8/dark.png",4,20,20)</f>
        <v/>
      </c>
      <c r="Y1112" s="3614" t="s">
        <v>583</v>
      </c>
      <c r="Z1112" s="3579"/>
      <c r="AA1112" s="3580"/>
      <c r="AB1112" s="3623" t="str">
        <f>IMAGE("https://raw.githubusercontent.com/msikma/pokesprite/master/misc/types/gen8/fighting.png",4,20,20)</f>
        <v/>
      </c>
      <c r="AD1112" s="3614" t="s">
        <v>581</v>
      </c>
      <c r="AE1112" s="3579"/>
      <c r="AF1112" s="3580"/>
      <c r="AG1112" s="3623" t="str">
        <f>IMAGE("https://raw.githubusercontent.com/msikma/pokesprite/master/misc/types/gen8/electric.png",4,20,20)</f>
        <v/>
      </c>
      <c r="AH1112" s="3583"/>
      <c r="AI1112" s="6747"/>
    </row>
    <row r="1113" ht="21.0" customHeight="1">
      <c r="A1113" s="6738"/>
      <c r="B1113" s="3572"/>
      <c r="C1113" s="3605"/>
      <c r="D1113" s="3574"/>
      <c r="E1113" s="3624" t="s">
        <v>1028</v>
      </c>
      <c r="F1113" s="3625"/>
      <c r="G1113" s="3626"/>
      <c r="H1113" s="3627" t="str">
        <f>IMAGE("https://raw.githubusercontent.com/msikma/pokesprite/master/misc/types/gen8/grass.png",4,20,20)</f>
        <v/>
      </c>
      <c r="I1113" s="3628"/>
      <c r="J1113" s="3624" t="s">
        <v>551</v>
      </c>
      <c r="K1113" s="3625"/>
      <c r="L1113" s="3626"/>
      <c r="M1113" s="3627" t="str">
        <f>IMAGE("https://raw.githubusercontent.com/msikma/pokesprite/master/misc/types/gen8/flying.png",4,20,20)</f>
        <v/>
      </c>
      <c r="N1113" s="3628"/>
      <c r="O1113" s="3624" t="s">
        <v>619</v>
      </c>
      <c r="P1113" s="3625"/>
      <c r="Q1113" s="3626"/>
      <c r="R1113" s="3627" t="str">
        <f>IMAGE("https://raw.githubusercontent.com/msikma/pokesprite/master/misc/types/gen8/fire.png",4,20,20)</f>
        <v/>
      </c>
      <c r="S1113" s="3628"/>
      <c r="T1113" s="3624" t="s">
        <v>1682</v>
      </c>
      <c r="U1113" s="3625"/>
      <c r="V1113" s="3626"/>
      <c r="W1113" s="3627" t="str">
        <f>IMAGE("https://raw.githubusercontent.com/msikma/pokesprite/master/misc/types/gen8/ghost.png",4,20,20)</f>
        <v/>
      </c>
      <c r="X1113" s="3628"/>
      <c r="Y1113" s="3624" t="s">
        <v>554</v>
      </c>
      <c r="Z1113" s="3625"/>
      <c r="AA1113" s="3626"/>
      <c r="AB1113" s="3627" t="str">
        <f>IMAGE("https://raw.githubusercontent.com/msikma/pokesprite/master/misc/types/gen8/dark.png",4,20,20)</f>
        <v/>
      </c>
      <c r="AC1113" s="3628"/>
      <c r="AD1113" s="3624" t="s">
        <v>553</v>
      </c>
      <c r="AE1113" s="3625"/>
      <c r="AF1113" s="3626"/>
      <c r="AG1113" s="3627" t="str">
        <f>IMAGE("https://raw.githubusercontent.com/msikma/pokesprite/master/misc/types/gen8/grass.png",4,20,20)</f>
        <v/>
      </c>
      <c r="AH1113" s="3583"/>
      <c r="AI1113" s="6747"/>
    </row>
    <row r="1114" ht="3.0" customHeight="1">
      <c r="A1114" s="6738"/>
      <c r="B1114" s="3630"/>
      <c r="C1114" s="3631"/>
      <c r="D1114" s="3632"/>
      <c r="E1114" s="3634"/>
      <c r="F1114" s="3634"/>
      <c r="G1114" s="3634"/>
      <c r="H1114" s="3633"/>
      <c r="I1114" s="3632"/>
      <c r="J1114" s="3634"/>
      <c r="K1114" s="3634"/>
      <c r="L1114" s="3634"/>
      <c r="M1114" s="3633"/>
      <c r="N1114" s="3632"/>
      <c r="O1114" s="3634"/>
      <c r="P1114" s="3634"/>
      <c r="Q1114" s="3634"/>
      <c r="R1114" s="3633"/>
      <c r="S1114" s="3635"/>
      <c r="T1114" s="3634"/>
      <c r="U1114" s="3634"/>
      <c r="V1114" s="3634"/>
      <c r="W1114" s="3633"/>
      <c r="X1114" s="3632"/>
      <c r="Y1114" s="3634"/>
      <c r="Z1114" s="3634"/>
      <c r="AA1114" s="3634"/>
      <c r="AB1114" s="3633"/>
      <c r="AC1114" s="3637"/>
      <c r="AD1114" s="3634"/>
      <c r="AE1114" s="3634"/>
      <c r="AF1114" s="3634"/>
      <c r="AG1114" s="3633"/>
      <c r="AH1114" s="3638"/>
      <c r="AI1114" s="6747"/>
    </row>
    <row r="1115" ht="16.5" customHeight="1">
      <c r="A1115" s="6738"/>
      <c r="B1115" s="3639"/>
      <c r="C1115" s="3631"/>
      <c r="D1115" s="4590"/>
      <c r="E1115" s="3641" t="s">
        <v>512</v>
      </c>
      <c r="F1115" s="606"/>
      <c r="G1115" s="606"/>
      <c r="H1115" s="607"/>
      <c r="I1115" s="3642"/>
      <c r="J1115" s="3641" t="s">
        <v>512</v>
      </c>
      <c r="K1115" s="606"/>
      <c r="L1115" s="606"/>
      <c r="M1115" s="607"/>
      <c r="N1115" s="4590"/>
      <c r="O1115" s="3641" t="s">
        <v>512</v>
      </c>
      <c r="P1115" s="606"/>
      <c r="Q1115" s="606"/>
      <c r="R1115" s="607"/>
      <c r="S1115" s="4591"/>
      <c r="T1115" s="3641" t="s">
        <v>512</v>
      </c>
      <c r="U1115" s="606"/>
      <c r="V1115" s="606"/>
      <c r="W1115" s="607"/>
      <c r="X1115" s="4592"/>
      <c r="Y1115" s="3641" t="s">
        <v>512</v>
      </c>
      <c r="Z1115" s="606"/>
      <c r="AA1115" s="606"/>
      <c r="AB1115" s="607"/>
      <c r="AC1115" s="4592"/>
      <c r="AD1115" s="3641" t="s">
        <v>512</v>
      </c>
      <c r="AE1115" s="606"/>
      <c r="AF1115" s="606"/>
      <c r="AG1115" s="607"/>
      <c r="AH1115" s="3645"/>
      <c r="AI1115" s="6747"/>
    </row>
    <row r="1116" ht="16.5" customHeight="1">
      <c r="A1116" s="6738"/>
      <c r="B1116" s="3639"/>
      <c r="C1116" s="3631"/>
      <c r="D1116" s="3640"/>
      <c r="E1116" s="3646" t="s">
        <v>513</v>
      </c>
      <c r="F1116" s="3647">
        <f t="array" ref="F1116">IFERROR(VLOOKUP(E1103,Dex!$B$3:$N1219,8,FALSE),"")</f>
        <v>75</v>
      </c>
      <c r="G1116" s="3648" t="str">
        <f t="array" ref="G1116">IFERROR(VLOOKUP(F1116,Dex!$P$22:$Q$276,2,FALSE),"")</f>
        <v/>
      </c>
      <c r="H1116" s="3649"/>
      <c r="I1116" s="3650"/>
      <c r="J1116" s="3646" t="s">
        <v>513</v>
      </c>
      <c r="K1116" s="3647">
        <f t="array" ref="K1116">IFERROR(VLOOKUP(J1103,Dex!$B$3:$N1219,8,FALSE),"")</f>
        <v>85</v>
      </c>
      <c r="L1116" s="3648" t="str">
        <f t="array" ref="L1116">IFERROR(VLOOKUP(K1116,Dex!$P$22:$Q$276,2,FALSE),"")</f>
        <v/>
      </c>
      <c r="M1116" s="3649"/>
      <c r="N1116" s="3640"/>
      <c r="O1116" s="3646" t="s">
        <v>513</v>
      </c>
      <c r="P1116" s="3647">
        <f t="array" ref="P1116">IFERROR(VLOOKUP(O1103,Dex!$B$3:$N1219,8,FALSE),"")</f>
        <v>60</v>
      </c>
      <c r="Q1116" s="3648" t="str">
        <f t="array" ref="Q1116">IFERROR(VLOOKUP(P1116,Dex!$P$22:$Q$276,2,FALSE),"")</f>
        <v/>
      </c>
      <c r="R1116" s="3649"/>
      <c r="S1116" s="3644"/>
      <c r="T1116" s="3646" t="s">
        <v>513</v>
      </c>
      <c r="U1116" s="3647">
        <f t="array" ref="U1116">IFERROR(VLOOKUP(T1103,Dex!$B$3:$N1219,8,FALSE),"")</f>
        <v>35</v>
      </c>
      <c r="V1116" s="3648" t="str">
        <f t="array" ref="V1116">IFERROR(VLOOKUP(U1116,Dex!$P$22:$Q$276,2,FALSE),"")</f>
        <v/>
      </c>
      <c r="W1116" s="3649"/>
      <c r="X1116" s="3644"/>
      <c r="Y1116" s="3646" t="s">
        <v>513</v>
      </c>
      <c r="Z1116" s="3647">
        <f t="array" ref="Z1116">IFERROR(VLOOKUP(Y1103,Dex!$B$3:$N1219,8,FALSE),"")</f>
        <v>65</v>
      </c>
      <c r="AA1116" s="3648" t="str">
        <f t="array" ref="AA1116">IFERROR(VLOOKUP(Z1116,Dex!$P$22:$Q$276,2,FALSE),"")</f>
        <v/>
      </c>
      <c r="AB1116" s="3649"/>
      <c r="AC1116" s="3644"/>
      <c r="AD1116" s="3646" t="s">
        <v>513</v>
      </c>
      <c r="AE1116" s="3647">
        <f t="array" ref="AE1116">IFERROR(VLOOKUP(AD1103,Dex!$B$3:$N1219,8,FALSE),"")</f>
        <v>80</v>
      </c>
      <c r="AF1116" s="3648" t="str">
        <f t="array" ref="AF1116">IFERROR(VLOOKUP(AE1116,Dex!$P$22:$Q$276,2,FALSE),"")</f>
        <v/>
      </c>
      <c r="AG1116" s="3649"/>
      <c r="AH1116" s="3645"/>
      <c r="AI1116" s="6747"/>
    </row>
    <row r="1117" ht="16.5" customHeight="1">
      <c r="A1117" s="6738"/>
      <c r="B1117" s="3639"/>
      <c r="C1117" s="3631"/>
      <c r="D1117" s="3640"/>
      <c r="E1117" s="3652" t="s">
        <v>514</v>
      </c>
      <c r="F1117" s="3653">
        <f t="array" ref="F1117">IFERROR(VLOOKUP(E1103,Dex!$B$3:$N1219,9,FALSE),"")</f>
        <v>75</v>
      </c>
      <c r="G1117" s="3654" t="str">
        <f t="array" ref="G1117">IFERROR(VLOOKUP(F1117,Dex!$P$22:$Q$276,2,FALSE),"")</f>
        <v/>
      </c>
      <c r="H1117" s="3655"/>
      <c r="I1117" s="3650"/>
      <c r="J1117" s="3652" t="s">
        <v>514</v>
      </c>
      <c r="K1117" s="3653">
        <f t="array" ref="K1117">IFERROR(VLOOKUP(J1103,Dex!$B$3:$N1219,9,FALSE),"")</f>
        <v>60</v>
      </c>
      <c r="L1117" s="3654" t="str">
        <f t="array" ref="L1117">IFERROR(VLOOKUP(K1117,Dex!$P$22:$Q$276,2,FALSE),"")</f>
        <v/>
      </c>
      <c r="M1117" s="3655"/>
      <c r="N1117" s="3640"/>
      <c r="O1117" s="3652" t="s">
        <v>514</v>
      </c>
      <c r="P1117" s="3653">
        <f t="array" ref="P1117">IFERROR(VLOOKUP(O1103,Dex!$B$3:$N1219,9,FALSE),"")</f>
        <v>105</v>
      </c>
      <c r="Q1117" s="3654" t="str">
        <f t="array" ref="Q1117">IFERROR(VLOOKUP(P1117,Dex!$P$22:$Q$276,2,FALSE),"")</f>
        <v/>
      </c>
      <c r="R1117" s="3655"/>
      <c r="S1117" s="3644"/>
      <c r="T1117" s="3652" t="s">
        <v>514</v>
      </c>
      <c r="U1117" s="3653">
        <f t="array" ref="U1117">IFERROR(VLOOKUP(T1103,Dex!$B$3:$N1219,9,FALSE),"")</f>
        <v>100</v>
      </c>
      <c r="V1117" s="3654" t="str">
        <f t="array" ref="V1117">IFERROR(VLOOKUP(U1117,Dex!$P$22:$Q$276,2,FALSE),"")</f>
        <v/>
      </c>
      <c r="W1117" s="3655"/>
      <c r="X1117" s="3644"/>
      <c r="Y1117" s="3652" t="s">
        <v>514</v>
      </c>
      <c r="Z1117" s="3653">
        <f t="array" ref="Z1117">IFERROR(VLOOKUP(Y1103,Dex!$B$3:$N1219,9,FALSE),"")</f>
        <v>150</v>
      </c>
      <c r="AA1117" s="3654" t="str">
        <f t="array" ref="AA1117">IFERROR(VLOOKUP(Z1117,Dex!$P$22:$Q$276,2,FALSE),"")</f>
        <v/>
      </c>
      <c r="AB1117" s="3655"/>
      <c r="AC1117" s="3644"/>
      <c r="AD1117" s="3652" t="s">
        <v>514</v>
      </c>
      <c r="AE1117" s="3653">
        <f t="array" ref="AE1117">IFERROR(VLOOKUP(AD1103,Dex!$B$3:$N1219,9,FALSE),"")</f>
        <v>30</v>
      </c>
      <c r="AF1117" s="3654" t="str">
        <f t="array" ref="AF1117">IFERROR(VLOOKUP(AE1117,Dex!$P$22:$Q$276,2,FALSE),"")</f>
        <v/>
      </c>
      <c r="AG1117" s="3655"/>
      <c r="AH1117" s="3645"/>
      <c r="AI1117" s="6747"/>
    </row>
    <row r="1118" ht="16.5" customHeight="1">
      <c r="A1118" s="6738"/>
      <c r="B1118" s="3639"/>
      <c r="C1118" s="3631"/>
      <c r="D1118" s="3640"/>
      <c r="E1118" s="3652" t="s">
        <v>515</v>
      </c>
      <c r="F1118" s="3653">
        <f t="array" ref="F1118">IFERROR(VLOOKUP(E1103,Dex!$B$3:$N1219,10,FALSE),"")</f>
        <v>95</v>
      </c>
      <c r="G1118" s="3654" t="str">
        <f t="array" ref="G1118">IFERROR(VLOOKUP(F1118,Dex!$P$22:$Q$276,2,FALSE),"")</f>
        <v/>
      </c>
      <c r="H1118" s="3655"/>
      <c r="I1118" s="3650"/>
      <c r="J1118" s="3652" t="s">
        <v>515</v>
      </c>
      <c r="K1118" s="3653">
        <f t="array" ref="K1118">IFERROR(VLOOKUP(J1103,Dex!$B$3:$N1219,10,FALSE),"")</f>
        <v>65</v>
      </c>
      <c r="L1118" s="3654" t="str">
        <f t="array" ref="L1118">IFERROR(VLOOKUP(K1118,Dex!$P$22:$Q$276,2,FALSE),"")</f>
        <v/>
      </c>
      <c r="M1118" s="3655"/>
      <c r="N1118" s="3640"/>
      <c r="O1118" s="3652" t="s">
        <v>515</v>
      </c>
      <c r="P1118" s="3653">
        <f t="array" ref="P1118">IFERROR(VLOOKUP(O1103,Dex!$B$3:$N1219,10,FALSE),"")</f>
        <v>60</v>
      </c>
      <c r="Q1118" s="3654" t="str">
        <f t="array" ref="Q1118">IFERROR(VLOOKUP(P1118,Dex!$P$22:$Q$276,2,FALSE),"")</f>
        <v/>
      </c>
      <c r="R1118" s="3655"/>
      <c r="S1118" s="3644"/>
      <c r="T1118" s="3652" t="s">
        <v>515</v>
      </c>
      <c r="U1118" s="3653">
        <f t="array" ref="U1118">IFERROR(VLOOKUP(T1103,Dex!$B$3:$N1219,10,FALSE),"")</f>
        <v>50</v>
      </c>
      <c r="V1118" s="3654" t="str">
        <f t="array" ref="V1118">IFERROR(VLOOKUP(U1118,Dex!$P$22:$Q$276,2,FALSE),"")</f>
        <v/>
      </c>
      <c r="W1118" s="3655"/>
      <c r="X1118" s="3644"/>
      <c r="Y1118" s="3652" t="s">
        <v>515</v>
      </c>
      <c r="Z1118" s="3653">
        <f t="array" ref="Z1118">IFERROR(VLOOKUP(Y1103,Dex!$B$3:$N1219,10,FALSE),"")</f>
        <v>60</v>
      </c>
      <c r="AA1118" s="3654" t="str">
        <f t="array" ref="AA1118">IFERROR(VLOOKUP(Z1118,Dex!$P$22:$Q$276,2,FALSE),"")</f>
        <v/>
      </c>
      <c r="AB1118" s="3655"/>
      <c r="AC1118" s="3644"/>
      <c r="AD1118" s="3652" t="s">
        <v>515</v>
      </c>
      <c r="AE1118" s="3653">
        <f t="array" ref="AE1118">IFERROR(VLOOKUP(AD1103,Dex!$B$3:$N1219,10,FALSE),"")</f>
        <v>70</v>
      </c>
      <c r="AF1118" s="3654" t="str">
        <f t="array" ref="AF1118">IFERROR(VLOOKUP(AE1118,Dex!$P$22:$Q$276,2,FALSE),"")</f>
        <v/>
      </c>
      <c r="AG1118" s="3655"/>
      <c r="AH1118" s="3645"/>
      <c r="AI1118" s="6747"/>
    </row>
    <row r="1119" ht="16.5" customHeight="1">
      <c r="A1119" s="6738"/>
      <c r="B1119" s="3639"/>
      <c r="C1119" s="3631"/>
      <c r="D1119" s="3640"/>
      <c r="E1119" s="3652" t="s">
        <v>516</v>
      </c>
      <c r="F1119" s="3653">
        <f t="array" ref="F1119">IFERROR(VLOOKUP(E1103,Dex!$B$3:$N1219,11,FALSE),"")</f>
        <v>75</v>
      </c>
      <c r="G1119" s="3654" t="str">
        <f t="array" ref="G1119">IFERROR(VLOOKUP(F1119,Dex!$P$22:$Q$276,2,FALSE),"")</f>
        <v/>
      </c>
      <c r="H1119" s="3655"/>
      <c r="I1119" s="3650"/>
      <c r="J1119" s="3652" t="s">
        <v>516</v>
      </c>
      <c r="K1119" s="3653">
        <f t="array" ref="K1119">IFERROR(VLOOKUP(J1103,Dex!$B$3:$N1219,11,FALSE),"")</f>
        <v>135</v>
      </c>
      <c r="L1119" s="3654" t="str">
        <f t="array" ref="L1119">IFERROR(VLOOKUP(K1119,Dex!$P$22:$Q$276,2,FALSE),"")</f>
        <v/>
      </c>
      <c r="M1119" s="3655"/>
      <c r="N1119" s="3640"/>
      <c r="O1119" s="3652" t="s">
        <v>516</v>
      </c>
      <c r="P1119" s="3653">
        <f t="array" ref="P1119">IFERROR(VLOOKUP(O1103,Dex!$B$3:$N1219,11,FALSE),"")</f>
        <v>120</v>
      </c>
      <c r="Q1119" s="3654" t="str">
        <f t="array" ref="Q1119">IFERROR(VLOOKUP(P1119,Dex!$P$22:$Q$276,2,FALSE),"")</f>
        <v/>
      </c>
      <c r="R1119" s="3655"/>
      <c r="S1119" s="3644"/>
      <c r="T1119" s="3652" t="s">
        <v>516</v>
      </c>
      <c r="U1119" s="3653">
        <f t="array" ref="U1119">IFERROR(VLOOKUP(T1103,Dex!$B$3:$N1219,11,FALSE),"")</f>
        <v>50</v>
      </c>
      <c r="V1119" s="3654" t="str">
        <f t="array" ref="V1119">IFERROR(VLOOKUP(U1119,Dex!$P$22:$Q$276,2,FALSE),"")</f>
        <v/>
      </c>
      <c r="W1119" s="3655"/>
      <c r="X1119" s="3644"/>
      <c r="Y1119" s="3652" t="s">
        <v>516</v>
      </c>
      <c r="Z1119" s="3653">
        <f t="array" ref="Z1119">IFERROR(VLOOKUP(Y1103,Dex!$B$3:$N1219,11,FALSE),"")</f>
        <v>115</v>
      </c>
      <c r="AA1119" s="3654" t="str">
        <f t="array" ref="AA1119">IFERROR(VLOOKUP(Z1119,Dex!$P$22:$Q$276,2,FALSE),"")</f>
        <v/>
      </c>
      <c r="AB1119" s="3655"/>
      <c r="AC1119" s="3644"/>
      <c r="AD1119" s="3652" t="s">
        <v>516</v>
      </c>
      <c r="AE1119" s="3653">
        <f t="array" ref="AE1119">IFERROR(VLOOKUP(AD1103,Dex!$B$3:$N1219,11,FALSE),"")</f>
        <v>100</v>
      </c>
      <c r="AF1119" s="3654" t="str">
        <f t="array" ref="AF1119">IFERROR(VLOOKUP(AE1119,Dex!$P$22:$Q$276,2,FALSE),"")</f>
        <v/>
      </c>
      <c r="AG1119" s="3655"/>
      <c r="AH1119" s="3645"/>
      <c r="AI1119" s="6747"/>
    </row>
    <row r="1120" ht="16.5" customHeight="1">
      <c r="A1120" s="6738"/>
      <c r="B1120" s="3639"/>
      <c r="C1120" s="3631"/>
      <c r="D1120" s="3640"/>
      <c r="E1120" s="3652" t="s">
        <v>517</v>
      </c>
      <c r="F1120" s="3653">
        <f t="array" ref="F1120">IFERROR(VLOOKUP(E1103,Dex!$B$3:$N1219,12,FALSE),"")</f>
        <v>95</v>
      </c>
      <c r="G1120" s="3654" t="str">
        <f t="array" ref="G1120">IFERROR(VLOOKUP(F1120,Dex!$P$22:$Q$276,2,FALSE),"")</f>
        <v/>
      </c>
      <c r="H1120" s="3655"/>
      <c r="I1120" s="3650"/>
      <c r="J1120" s="3652" t="s">
        <v>517</v>
      </c>
      <c r="K1120" s="3653">
        <f t="array" ref="K1120">IFERROR(VLOOKUP(J1103,Dex!$B$3:$N1219,12,FALSE),"")</f>
        <v>105</v>
      </c>
      <c r="L1120" s="3654" t="str">
        <f t="array" ref="L1120">IFERROR(VLOOKUP(K1120,Dex!$P$22:$Q$276,2,FALSE),"")</f>
        <v/>
      </c>
      <c r="M1120" s="3655"/>
      <c r="N1120" s="3640"/>
      <c r="O1120" s="3652" t="s">
        <v>517</v>
      </c>
      <c r="P1120" s="3653">
        <f t="array" ref="P1120">IFERROR(VLOOKUP(O1103,Dex!$B$3:$N1219,12,FALSE),"")</f>
        <v>60</v>
      </c>
      <c r="Q1120" s="3654" t="str">
        <f t="array" ref="Q1120">IFERROR(VLOOKUP(P1120,Dex!$P$22:$Q$276,2,FALSE),"")</f>
        <v/>
      </c>
      <c r="R1120" s="3655"/>
      <c r="S1120" s="3644"/>
      <c r="T1120" s="3652" t="s">
        <v>517</v>
      </c>
      <c r="U1120" s="3653">
        <f t="array" ref="U1120">IFERROR(VLOOKUP(T1103,Dex!$B$3:$N1219,12,FALSE),"")</f>
        <v>70</v>
      </c>
      <c r="V1120" s="3654" t="str">
        <f t="array" ref="V1120">IFERROR(VLOOKUP(U1120,Dex!$P$22:$Q$276,2,FALSE),"")</f>
        <v/>
      </c>
      <c r="W1120" s="3655"/>
      <c r="X1120" s="3644"/>
      <c r="Y1120" s="3652" t="s">
        <v>517</v>
      </c>
      <c r="Z1120" s="3653">
        <f t="array" ref="Z1120">IFERROR(VLOOKUP(Y1103,Dex!$B$3:$N1219,12,FALSE),"")</f>
        <v>60</v>
      </c>
      <c r="AA1120" s="3654" t="str">
        <f t="array" ref="AA1120">IFERROR(VLOOKUP(Z1120,Dex!$P$22:$Q$276,2,FALSE),"")</f>
        <v/>
      </c>
      <c r="AB1120" s="3655"/>
      <c r="AC1120" s="3644"/>
      <c r="AD1120" s="3652" t="s">
        <v>517</v>
      </c>
      <c r="AE1120" s="3653">
        <f t="array" ref="AE1120">IFERROR(VLOOKUP(AD1103,Dex!$B$3:$N1219,12,FALSE),"")</f>
        <v>120</v>
      </c>
      <c r="AF1120" s="3654" t="str">
        <f t="array" ref="AF1120">IFERROR(VLOOKUP(AE1120,Dex!$P$22:$Q$276,2,FALSE),"")</f>
        <v/>
      </c>
      <c r="AG1120" s="3655"/>
      <c r="AH1120" s="3645"/>
      <c r="AI1120" s="6747"/>
    </row>
    <row r="1121" ht="16.5" customHeight="1">
      <c r="A1121" s="6738"/>
      <c r="B1121" s="3639"/>
      <c r="C1121" s="3631"/>
      <c r="D1121" s="3640"/>
      <c r="E1121" s="3658" t="s">
        <v>518</v>
      </c>
      <c r="F1121" s="3659">
        <f t="array" ref="F1121">IFERROR(VLOOKUP(E1103,Dex!$B$3:$N1219,13,FALSE),"")</f>
        <v>113</v>
      </c>
      <c r="G1121" s="3660" t="str">
        <f t="array" ref="G1121">IFERROR(VLOOKUP(F1121,Dex!$P$22:$Q$276,2,FALSE),"")</f>
        <v/>
      </c>
      <c r="H1121" s="3661"/>
      <c r="I1121" s="3650"/>
      <c r="J1121" s="3658" t="s">
        <v>518</v>
      </c>
      <c r="K1121" s="3659">
        <f t="array" ref="K1121">IFERROR(VLOOKUP(J1103,Dex!$B$3:$N1219,13,FALSE),"")</f>
        <v>100</v>
      </c>
      <c r="L1121" s="3660" t="str">
        <f t="array" ref="L1121">IFERROR(VLOOKUP(K1121,Dex!$P$22:$Q$276,2,FALSE),"")</f>
        <v/>
      </c>
      <c r="M1121" s="3661"/>
      <c r="N1121" s="3640"/>
      <c r="O1121" s="3658" t="s">
        <v>518</v>
      </c>
      <c r="P1121" s="3659">
        <f t="array" ref="P1121">IFERROR(VLOOKUP(O1103,Dex!$B$3:$N1219,13,FALSE),"")</f>
        <v>105</v>
      </c>
      <c r="Q1121" s="3660" t="str">
        <f t="array" ref="Q1121">IFERROR(VLOOKUP(P1121,Dex!$P$22:$Q$276,2,FALSE),"")</f>
        <v/>
      </c>
      <c r="R1121" s="3661"/>
      <c r="S1121" s="3644"/>
      <c r="T1121" s="3658" t="s">
        <v>518</v>
      </c>
      <c r="U1121" s="3659">
        <f t="array" ref="U1121">IFERROR(VLOOKUP(T1103,Dex!$B$3:$N1219,13,FALSE),"")</f>
        <v>120</v>
      </c>
      <c r="V1121" s="3660" t="str">
        <f t="array" ref="V1121">IFERROR(VLOOKUP(U1121,Dex!$P$22:$Q$276,2,FALSE),"")</f>
        <v/>
      </c>
      <c r="W1121" s="3661"/>
      <c r="X1121" s="3644"/>
      <c r="Y1121" s="3658" t="s">
        <v>518</v>
      </c>
      <c r="Z1121" s="3659">
        <f t="array" ref="Z1121">IFERROR(VLOOKUP(Y1103,Dex!$B$3:$N1219,13,FALSE),"")</f>
        <v>115</v>
      </c>
      <c r="AA1121" s="3660" t="str">
        <f t="array" ref="AA1121">IFERROR(VLOOKUP(Z1121,Dex!$P$22:$Q$276,2,FALSE),"")</f>
        <v/>
      </c>
      <c r="AB1121" s="3661"/>
      <c r="AC1121" s="3644"/>
      <c r="AD1121" s="3658" t="s">
        <v>518</v>
      </c>
      <c r="AE1121" s="3659">
        <f t="array" ref="AE1121">IFERROR(VLOOKUP(AD1103,Dex!$B$3:$N1219,13,FALSE),"")</f>
        <v>95</v>
      </c>
      <c r="AF1121" s="3660" t="str">
        <f t="array" ref="AF1121">IFERROR(VLOOKUP(AE1121,Dex!$P$22:$Q$276,2,FALSE),"")</f>
        <v/>
      </c>
      <c r="AG1121" s="3661"/>
      <c r="AH1121" s="3645"/>
      <c r="AI1121" s="6747"/>
    </row>
    <row r="1122" ht="16.5" customHeight="1">
      <c r="A1122" s="6738"/>
      <c r="B1122" s="3639"/>
      <c r="C1122" s="3631"/>
      <c r="D1122" s="4590"/>
      <c r="E1122" s="3662" t="s">
        <v>519</v>
      </c>
      <c r="F1122" s="630"/>
      <c r="G1122" s="631"/>
      <c r="H1122" s="6843">
        <v>288.0</v>
      </c>
      <c r="I1122" s="3642"/>
      <c r="J1122" s="3662" t="s">
        <v>519</v>
      </c>
      <c r="K1122" s="630"/>
      <c r="L1122" s="631"/>
      <c r="M1122" s="6843">
        <v>259.0</v>
      </c>
      <c r="N1122" s="4590"/>
      <c r="O1122" s="3662" t="s">
        <v>519</v>
      </c>
      <c r="P1122" s="630"/>
      <c r="Q1122" s="631"/>
      <c r="R1122" s="6843">
        <v>270.0</v>
      </c>
      <c r="S1122" s="4592"/>
      <c r="T1122" s="3662" t="s">
        <v>519</v>
      </c>
      <c r="U1122" s="630"/>
      <c r="V1122" s="631"/>
      <c r="W1122" s="6843">
        <v>303.0</v>
      </c>
      <c r="X1122" s="4592"/>
      <c r="Y1122" s="3662" t="s">
        <v>519</v>
      </c>
      <c r="Z1122" s="630"/>
      <c r="AA1122" s="631"/>
      <c r="AB1122" s="6843">
        <v>292.0</v>
      </c>
      <c r="AC1122" s="4592"/>
      <c r="AD1122" s="3662" t="s">
        <v>519</v>
      </c>
      <c r="AE1122" s="630"/>
      <c r="AF1122" s="631"/>
      <c r="AG1122" s="6843">
        <v>248.0</v>
      </c>
      <c r="AH1122" s="3645"/>
      <c r="AI1122" s="6747"/>
    </row>
    <row r="1123" ht="15.0" customHeight="1">
      <c r="A1123" s="6738"/>
      <c r="B1123" s="3663"/>
      <c r="C1123" s="3664"/>
      <c r="D1123" s="3665"/>
      <c r="E1123" s="3668"/>
      <c r="F1123" s="3668"/>
      <c r="G1123" s="3668"/>
      <c r="H1123" s="3667"/>
      <c r="I1123" s="3667"/>
      <c r="J1123" s="3668"/>
      <c r="K1123" s="3668"/>
      <c r="L1123" s="3668"/>
      <c r="M1123" s="3667"/>
      <c r="N1123" s="3669"/>
      <c r="O1123" s="5738"/>
      <c r="P1123" s="5738"/>
      <c r="Q1123" s="5739"/>
      <c r="R1123" s="3671"/>
      <c r="S1123" s="3671"/>
      <c r="T1123" s="5738"/>
      <c r="U1123" s="5738"/>
      <c r="V1123" s="5739"/>
      <c r="W1123" s="3671"/>
      <c r="X1123" s="3669"/>
      <c r="Y1123" s="5738"/>
      <c r="Z1123" s="5738"/>
      <c r="AA1123" s="5739"/>
      <c r="AB1123" s="3671"/>
      <c r="AC1123" s="3672"/>
      <c r="AD1123" s="5738"/>
      <c r="AE1123" s="5738"/>
      <c r="AF1123" s="5739"/>
      <c r="AG1123" s="3671"/>
      <c r="AH1123" s="3673"/>
      <c r="AI1123" s="6747"/>
    </row>
    <row r="1124" ht="15.0" customHeight="1">
      <c r="A1124" s="6738"/>
      <c r="B1124" s="3567"/>
      <c r="C1124" s="3568"/>
      <c r="D1124" s="3569"/>
      <c r="E1124" s="3570"/>
      <c r="F1124" s="3570"/>
      <c r="G1124" s="3570"/>
      <c r="H1124" s="3570"/>
      <c r="I1124" s="3569"/>
      <c r="J1124" s="3570"/>
      <c r="K1124" s="3570"/>
      <c r="L1124" s="3570"/>
      <c r="M1124" s="3570"/>
      <c r="N1124" s="3569"/>
      <c r="O1124" s="3570"/>
      <c r="P1124" s="3570"/>
      <c r="Q1124" s="3570"/>
      <c r="R1124" s="3570"/>
      <c r="S1124" s="3569"/>
      <c r="T1124" s="3570"/>
      <c r="U1124" s="3570"/>
      <c r="V1124" s="3570"/>
      <c r="W1124" s="3570"/>
      <c r="X1124" s="3569"/>
      <c r="Y1124" s="3570"/>
      <c r="Z1124" s="3570"/>
      <c r="AA1124" s="3570"/>
      <c r="AB1124" s="3570"/>
      <c r="AC1124" s="3569"/>
      <c r="AD1124" s="3570"/>
      <c r="AE1124" s="3570"/>
      <c r="AF1124" s="3570"/>
      <c r="AG1124" s="3570"/>
      <c r="AH1124" s="3571"/>
      <c r="AI1124" s="6747"/>
    </row>
    <row r="1125" ht="96.75" customHeight="1">
      <c r="A1125" s="6738"/>
      <c r="B1125" s="3572"/>
      <c r="C1125" s="3573" t="str">
        <f>IMAGE("https://i.ibb.co/TKBZjnF/Ace-Trainer-M.png")</f>
        <v/>
      </c>
      <c r="D1125" s="3574"/>
      <c r="E1125" s="3575" t="str">
        <f t="array" ref="E1125">IFERROR(VLOOKUP(E1126,Dex!$B$3:$G1219,3,FALSE),"")</f>
        <v/>
      </c>
      <c r="F1125" s="606"/>
      <c r="G1125" s="606"/>
      <c r="H1125" s="607"/>
      <c r="I1125" s="3576"/>
      <c r="J1125" s="3575" t="str">
        <f t="array" ref="J1125">IFERROR(VLOOKUP(J1126,Dex!$B$3:$G1219,3,FALSE),"")</f>
        <v/>
      </c>
      <c r="K1125" s="606"/>
      <c r="L1125" s="606"/>
      <c r="M1125" s="607"/>
      <c r="N1125" s="4583"/>
      <c r="O1125" s="3575" t="str">
        <f t="array" ref="O1125">IFERROR(VLOOKUP(O1126,Dex!$B$3:$G1219,3,FALSE),"")</f>
        <v/>
      </c>
      <c r="P1125" s="606"/>
      <c r="Q1125" s="606"/>
      <c r="R1125" s="607"/>
      <c r="S1125" s="4584"/>
      <c r="T1125" s="3575" t="str">
        <f t="array" ref="T1125">IFERROR(VLOOKUP(T1126,Dex!$B$3:$G1219,3,FALSE),"")</f>
        <v/>
      </c>
      <c r="U1125" s="606"/>
      <c r="V1125" s="606"/>
      <c r="W1125" s="607"/>
      <c r="X1125" s="4583"/>
      <c r="Y1125" s="3575" t="str">
        <f t="array" ref="Y1125">IFERROR(VLOOKUP(Y1126,Dex!$B$3:$G1219,3,FALSE),"")</f>
        <v/>
      </c>
      <c r="Z1125" s="606"/>
      <c r="AA1125" s="606"/>
      <c r="AB1125" s="607"/>
      <c r="AC1125" s="4584"/>
      <c r="AD1125" s="3575" t="str">
        <f t="array" ref="AD1125">IFERROR(VLOOKUP(AD1126,Dex!$B$3:$G1219,3,FALSE),"")</f>
        <v/>
      </c>
      <c r="AE1125" s="606"/>
      <c r="AF1125" s="606"/>
      <c r="AG1125" s="607"/>
      <c r="AH1125" s="5740"/>
      <c r="AI1125" s="6747"/>
    </row>
    <row r="1126" ht="18.75" customHeight="1">
      <c r="A1126" s="6738"/>
      <c r="B1126" s="5745"/>
      <c r="C1126" s="6841" t="s">
        <v>2190</v>
      </c>
      <c r="D1126" s="5747"/>
      <c r="E1126" s="3587" t="s">
        <v>1227</v>
      </c>
      <c r="F1126" s="3588"/>
      <c r="G1126" s="3588"/>
      <c r="H1126" s="3589"/>
      <c r="J1126" s="3587" t="s">
        <v>1278</v>
      </c>
      <c r="K1126" s="3588"/>
      <c r="L1126" s="3588"/>
      <c r="M1126" s="3589"/>
      <c r="O1126" s="3587" t="s">
        <v>1342</v>
      </c>
      <c r="P1126" s="3588"/>
      <c r="Q1126" s="3588"/>
      <c r="R1126" s="3589"/>
      <c r="T1126" s="3587" t="s">
        <v>1557</v>
      </c>
      <c r="U1126" s="3588"/>
      <c r="V1126" s="3588"/>
      <c r="W1126" s="3589"/>
      <c r="Y1126" s="3587" t="s">
        <v>915</v>
      </c>
      <c r="Z1126" s="3588"/>
      <c r="AA1126" s="3588"/>
      <c r="AB1126" s="3589"/>
      <c r="AD1126" s="3587" t="s">
        <v>1705</v>
      </c>
      <c r="AE1126" s="3588"/>
      <c r="AF1126" s="3588"/>
      <c r="AG1126" s="3589"/>
      <c r="AH1126" s="5741"/>
      <c r="AI1126" s="6747"/>
    </row>
    <row r="1127">
      <c r="A1127" s="6738"/>
      <c r="B1127" s="5751"/>
      <c r="C1127" s="3095"/>
      <c r="D1127" s="5752"/>
      <c r="E1127" s="3596" t="s">
        <v>729</v>
      </c>
      <c r="F1127" s="3597"/>
      <c r="G1127" s="3597"/>
      <c r="H1127" s="3598"/>
      <c r="J1127" s="3596" t="s">
        <v>729</v>
      </c>
      <c r="K1127" s="3597"/>
      <c r="L1127" s="3597"/>
      <c r="M1127" s="3598"/>
      <c r="O1127" s="3596" t="s">
        <v>729</v>
      </c>
      <c r="P1127" s="3597"/>
      <c r="Q1127" s="3597"/>
      <c r="R1127" s="3598"/>
      <c r="T1127" s="3596" t="s">
        <v>729</v>
      </c>
      <c r="U1127" s="3597"/>
      <c r="V1127" s="3597"/>
      <c r="W1127" s="3598"/>
      <c r="Y1127" s="3596" t="s">
        <v>729</v>
      </c>
      <c r="Z1127" s="3597"/>
      <c r="AA1127" s="3597"/>
      <c r="AB1127" s="3598"/>
      <c r="AD1127" s="3596" t="s">
        <v>729</v>
      </c>
      <c r="AE1127" s="3597"/>
      <c r="AF1127" s="3597"/>
      <c r="AG1127" s="3598"/>
      <c r="AH1127" s="5742"/>
      <c r="AI1127" s="6747"/>
    </row>
    <row r="1128" ht="25.5" customHeight="1">
      <c r="A1128" s="6738"/>
      <c r="B1128" s="5756"/>
      <c r="C1128" s="3095"/>
      <c r="D1128" s="5757"/>
      <c r="E1128" s="3601"/>
      <c r="F1128" s="4588" t="str">
        <f t="array" ref="F1128">IFERROR(VLOOKUP(E1126,Dex!$B$3:$H1219,5,FALSE),"")</f>
        <v/>
      </c>
      <c r="G1128" s="4589" t="str">
        <f t="array" ref="G1128">IFERROR(VLOOKUP(E1126,Dex!$B$3:$H1219,7,FALSE),"")</f>
        <v/>
      </c>
      <c r="H1128" s="3604"/>
      <c r="J1128" s="3601"/>
      <c r="K1128" s="4588" t="str">
        <f t="array" ref="K1128">IFERROR(VLOOKUP(J1126,Dex!$B$3:$H1219,5,FALSE),"")</f>
        <v/>
      </c>
      <c r="L1128" s="4589" t="str">
        <f t="array" ref="L1128">IFERROR(VLOOKUP(J1126,Dex!$B$3:$H1219,7,FALSE),"")</f>
        <v/>
      </c>
      <c r="M1128" s="3604"/>
      <c r="O1128" s="3601"/>
      <c r="P1128" s="4588" t="str">
        <f t="array" ref="P1128">IFERROR(VLOOKUP(O1126,Dex!$B$3:$H1219,5,FALSE),"")</f>
        <v/>
      </c>
      <c r="Q1128" s="4589" t="str">
        <f t="array" ref="Q1128">IFERROR(VLOOKUP(O1126,Dex!$B$3:$H1219,7,FALSE),"")</f>
        <v/>
      </c>
      <c r="R1128" s="3604"/>
      <c r="T1128" s="3601"/>
      <c r="U1128" s="4588" t="str">
        <f t="array" ref="U1128">IFERROR(VLOOKUP(T1126,Dex!$B$3:$H1219,5,FALSE),"")</f>
        <v/>
      </c>
      <c r="V1128" s="4589" t="str">
        <f t="array" ref="V1128">IFERROR(VLOOKUP(T1126,Dex!$B$3:$H1219,7,FALSE),"")</f>
        <v/>
      </c>
      <c r="W1128" s="3604"/>
      <c r="Y1128" s="3601"/>
      <c r="Z1128" s="4588" t="str">
        <f t="array" ref="Z1128">IFERROR(VLOOKUP(Y1126,Dex!$B$3:$H1219,5,FALSE),"")</f>
        <v/>
      </c>
      <c r="AA1128" s="4589" t="str">
        <f t="array" ref="AA1128">IFERROR(VLOOKUP(Y1126,Dex!$B$3:$H1219,7,FALSE),"")</f>
        <v/>
      </c>
      <c r="AB1128" s="3604"/>
      <c r="AD1128" s="3601"/>
      <c r="AE1128" s="4588" t="str">
        <f t="array" ref="AE1128">IFERROR(VLOOKUP(AD1126,Dex!$B$3:$H1219,5,FALSE),"")</f>
        <v/>
      </c>
      <c r="AF1128" s="4589" t="str">
        <f t="array" ref="AF1128">IFERROR(VLOOKUP(AD1126,Dex!$B$3:$H1219,7,FALSE),"")</f>
        <v/>
      </c>
      <c r="AG1128" s="3604"/>
      <c r="AH1128" s="3583"/>
      <c r="AI1128" s="6747"/>
    </row>
    <row r="1129" ht="2.25" customHeight="1">
      <c r="A1129" s="6738"/>
      <c r="B1129" s="5756"/>
      <c r="C1129" s="3095"/>
      <c r="D1129" s="5757"/>
      <c r="E1129" s="3606"/>
      <c r="F1129" s="3607"/>
      <c r="G1129" s="3607"/>
      <c r="H1129" s="3608"/>
      <c r="J1129" s="3606"/>
      <c r="K1129" s="3607"/>
      <c r="L1129" s="3607"/>
      <c r="M1129" s="3608"/>
      <c r="O1129" s="3606"/>
      <c r="P1129" s="3607"/>
      <c r="Q1129" s="3607"/>
      <c r="R1129" s="3608"/>
      <c r="T1129" s="3606"/>
      <c r="U1129" s="3607"/>
      <c r="V1129" s="3607"/>
      <c r="W1129" s="3608"/>
      <c r="Y1129" s="3606"/>
      <c r="Z1129" s="3607"/>
      <c r="AA1129" s="3607"/>
      <c r="AB1129" s="3608"/>
      <c r="AD1129" s="3606"/>
      <c r="AE1129" s="3607"/>
      <c r="AF1129" s="3607"/>
      <c r="AG1129" s="3608"/>
      <c r="AH1129" s="3583"/>
      <c r="AI1129" s="6747"/>
    </row>
    <row r="1130" ht="20.25" customHeight="1">
      <c r="A1130" s="6738"/>
      <c r="B1130" s="5756"/>
      <c r="C1130" s="3112"/>
      <c r="D1130" s="5757"/>
      <c r="E1130" s="3610" t="s">
        <v>564</v>
      </c>
      <c r="F1130" s="3611"/>
      <c r="G1130" s="3611"/>
      <c r="H1130" s="3612"/>
      <c r="J1130" s="3610" t="s">
        <v>532</v>
      </c>
      <c r="K1130" s="3611"/>
      <c r="L1130" s="3611"/>
      <c r="M1130" s="3612"/>
      <c r="O1130" s="3610" t="s">
        <v>532</v>
      </c>
      <c r="P1130" s="3611"/>
      <c r="Q1130" s="3611"/>
      <c r="R1130" s="3612"/>
      <c r="T1130" s="3610" t="s">
        <v>564</v>
      </c>
      <c r="U1130" s="3611"/>
      <c r="V1130" s="3611"/>
      <c r="W1130" s="3612"/>
      <c r="Y1130" s="3610" t="s">
        <v>565</v>
      </c>
      <c r="Z1130" s="3611"/>
      <c r="AA1130" s="3611"/>
      <c r="AB1130" s="3612"/>
      <c r="AD1130" s="3610" t="s">
        <v>532</v>
      </c>
      <c r="AE1130" s="3611"/>
      <c r="AF1130" s="3611"/>
      <c r="AG1130" s="3612"/>
      <c r="AH1130" s="5740"/>
      <c r="AI1130" s="6747"/>
    </row>
    <row r="1131">
      <c r="A1131" s="6738"/>
      <c r="B1131" s="3572"/>
      <c r="C1131" s="6842"/>
      <c r="D1131" s="3574"/>
      <c r="E1131" s="3614" t="s">
        <v>106</v>
      </c>
      <c r="F1131" s="3579"/>
      <c r="G1131" s="3579"/>
      <c r="H1131" s="3615"/>
      <c r="J1131" s="3614" t="s">
        <v>2191</v>
      </c>
      <c r="K1131" s="3579"/>
      <c r="L1131" s="3579"/>
      <c r="M1131" s="3615"/>
      <c r="O1131" s="3614" t="s">
        <v>92</v>
      </c>
      <c r="P1131" s="3579"/>
      <c r="Q1131" s="3579"/>
      <c r="R1131" s="3615"/>
      <c r="T1131" s="3614" t="s">
        <v>81</v>
      </c>
      <c r="U1131" s="3579"/>
      <c r="V1131" s="3579"/>
      <c r="W1131" s="3615"/>
      <c r="Y1131" s="3614" t="s">
        <v>107</v>
      </c>
      <c r="Z1131" s="3579"/>
      <c r="AA1131" s="3579"/>
      <c r="AB1131" s="3615"/>
      <c r="AD1131" s="3614" t="s">
        <v>91</v>
      </c>
      <c r="AE1131" s="3579"/>
      <c r="AF1131" s="3579"/>
      <c r="AG1131" s="3615"/>
      <c r="AH1131" s="5740"/>
      <c r="AI1131" s="6747"/>
    </row>
    <row r="1132" ht="20.25" customHeight="1">
      <c r="A1132" s="6738"/>
      <c r="B1132" s="3572"/>
      <c r="C1132" s="3592"/>
      <c r="D1132" s="3574"/>
      <c r="E1132" s="3616" t="s">
        <v>1303</v>
      </c>
      <c r="F1132" s="3617"/>
      <c r="G1132" s="3618"/>
      <c r="H1132" s="3619" t="str">
        <f>IMAGE("https://raw.githubusercontent.com/msikma/pokesprite/master/items/hold-item/light-clay.png",3)</f>
        <v/>
      </c>
      <c r="J1132" s="3616" t="s">
        <v>1281</v>
      </c>
      <c r="K1132" s="3617"/>
      <c r="L1132" s="3618"/>
      <c r="M1132" s="3619" t="str">
        <f>IMAGE("https://raw.githubusercontent.com/msikma/pokesprite/master/items/mega-stone/garchompite.png",3)</f>
        <v/>
      </c>
      <c r="O1132" s="3616" t="s">
        <v>710</v>
      </c>
      <c r="P1132" s="3617"/>
      <c r="Q1132" s="3618"/>
      <c r="R1132" s="3619" t="str">
        <f>IMAGE("https://raw.githubusercontent.com/msikma/pokesprite/master/items/hold-item/weakness-policy.png",3)</f>
        <v/>
      </c>
      <c r="T1132" s="3616" t="s">
        <v>493</v>
      </c>
      <c r="U1132" s="3617"/>
      <c r="V1132" s="3618"/>
      <c r="W1132" s="3619" t="str">
        <f>IMAGE("https://raw.githubusercontent.com/msikma/pokesprite/master/items/hold-item/air-balloon.png",3)</f>
        <v/>
      </c>
      <c r="Y1132" s="3616" t="s">
        <v>2170</v>
      </c>
      <c r="Z1132" s="3617"/>
      <c r="AA1132" s="3618"/>
      <c r="AB1132" s="3619" t="str">
        <f>IMAGE("https://raw.githubusercontent.com/msikma/pokesprite/master/items/gem/ice.png",3)</f>
        <v/>
      </c>
      <c r="AD1132" s="3616" t="s">
        <v>687</v>
      </c>
      <c r="AE1132" s="3617"/>
      <c r="AF1132" s="3618"/>
      <c r="AG1132" s="3619" t="str">
        <f>IMAGE("https://raw.githubusercontent.com/msikma/pokesprite/master/items/z-crystals/flyinium-z--held.png",3)</f>
        <v/>
      </c>
      <c r="AH1132" s="3583"/>
      <c r="AI1132" s="6747"/>
    </row>
    <row r="1133" ht="20.25" customHeight="1">
      <c r="A1133" s="6738"/>
      <c r="B1133" s="3572"/>
      <c r="C1133" s="3620"/>
      <c r="D1133" s="3574"/>
      <c r="E1133" s="3610" t="s">
        <v>586</v>
      </c>
      <c r="F1133" s="3611"/>
      <c r="G1133" s="3621"/>
      <c r="H1133" s="3622" t="str">
        <f>IMAGE("https://raw.githubusercontent.com/msikma/pokesprite/master/misc/types/gen8/ice.png",4,20,20)</f>
        <v/>
      </c>
      <c r="J1133" s="3610" t="s">
        <v>287</v>
      </c>
      <c r="K1133" s="3611"/>
      <c r="L1133" s="3621"/>
      <c r="M1133" s="3622" t="str">
        <f>IMAGE("https://raw.githubusercontent.com/msikma/pokesprite/master/misc/types/gen8/normal.png",4,20,20)</f>
        <v/>
      </c>
      <c r="O1133" s="3610" t="s">
        <v>219</v>
      </c>
      <c r="P1133" s="3611"/>
      <c r="Q1133" s="3621"/>
      <c r="R1133" s="3622" t="str">
        <f>IMAGE("https://raw.githubusercontent.com/msikma/pokesprite/master/misc/types/gen8/dragon.png",4,20,20)</f>
        <v/>
      </c>
      <c r="T1133" s="3610" t="s">
        <v>1562</v>
      </c>
      <c r="U1133" s="3611"/>
      <c r="V1133" s="3621"/>
      <c r="W1133" s="3622" t="str">
        <f>IMAGE("https://raw.githubusercontent.com/msikma/pokesprite/master/misc/types/gen8/fire.png",4,20,20)</f>
        <v/>
      </c>
      <c r="Y1133" s="3610" t="s">
        <v>922</v>
      </c>
      <c r="Z1133" s="3611"/>
      <c r="AA1133" s="3621"/>
      <c r="AB1133" s="3622" t="str">
        <f>IMAGE("https://raw.githubusercontent.com/msikma/pokesprite/master/misc/types/gen8/electric.png",4,20,20)</f>
        <v/>
      </c>
      <c r="AD1133" s="3610" t="s">
        <v>583</v>
      </c>
      <c r="AE1133" s="3611"/>
      <c r="AF1133" s="3621"/>
      <c r="AG1133" s="3622" t="str">
        <f>IMAGE("https://raw.githubusercontent.com/msikma/pokesprite/master/misc/types/gen8/fighting.png",4,20,20)</f>
        <v/>
      </c>
      <c r="AH1133" s="3583"/>
      <c r="AI1133" s="6747"/>
    </row>
    <row r="1134" ht="20.25" customHeight="1">
      <c r="A1134" s="6738"/>
      <c r="B1134" s="3572"/>
      <c r="C1134" s="3605"/>
      <c r="D1134" s="3574"/>
      <c r="E1134" s="3614" t="s">
        <v>641</v>
      </c>
      <c r="F1134" s="3579"/>
      <c r="G1134" s="3580"/>
      <c r="H1134" s="3623" t="str">
        <f>IMAGE("https://raw.githubusercontent.com/msikma/pokesprite/master/misc/types/gen8/fairy.png",4,20,20)</f>
        <v/>
      </c>
      <c r="J1134" s="3614" t="s">
        <v>549</v>
      </c>
      <c r="K1134" s="3579"/>
      <c r="L1134" s="3580"/>
      <c r="M1134" s="3623" t="str">
        <f>IMAGE("https://raw.githubusercontent.com/msikma/pokesprite/master/misc/types/gen8/ground.png",4,20,20)</f>
        <v/>
      </c>
      <c r="O1134" s="3614" t="s">
        <v>2095</v>
      </c>
      <c r="P1134" s="3579"/>
      <c r="Q1134" s="3580"/>
      <c r="R1134" s="3623" t="str">
        <f>IMAGE("https://raw.githubusercontent.com/msikma/pokesprite/master/misc/types/gen8/ghost.png",4,20,20)</f>
        <v/>
      </c>
      <c r="T1134" s="3614" t="s">
        <v>644</v>
      </c>
      <c r="U1134" s="3579"/>
      <c r="V1134" s="3580"/>
      <c r="W1134" s="3623" t="str">
        <f>IMAGE("https://raw.githubusercontent.com/msikma/pokesprite/master/misc/types/gen8/ground.png",4,20,20)</f>
        <v/>
      </c>
      <c r="Y1134" s="3614" t="s">
        <v>582</v>
      </c>
      <c r="Z1134" s="3579"/>
      <c r="AA1134" s="3580"/>
      <c r="AB1134" s="3623" t="str">
        <f t="shared" ref="AB1134:AB1135" si="44">IMAGE("https://raw.githubusercontent.com/msikma/pokesprite/master/misc/types/gen8/ice.png",4,20,20)</f>
        <v/>
      </c>
      <c r="AD1134" s="3614" t="s">
        <v>693</v>
      </c>
      <c r="AE1134" s="3579"/>
      <c r="AF1134" s="3580"/>
      <c r="AG1134" s="3623" t="str">
        <f>IMAGE("https://raw.githubusercontent.com/msikma/pokesprite/master/misc/types/gen8/flying.png",4,20,20)</f>
        <v/>
      </c>
      <c r="AH1134" s="3583"/>
      <c r="AI1134" s="6747"/>
    </row>
    <row r="1135" ht="20.25" customHeight="1">
      <c r="A1135" s="6738"/>
      <c r="B1135" s="3572"/>
      <c r="C1135" s="3605"/>
      <c r="D1135" s="3574"/>
      <c r="E1135" s="3614" t="s">
        <v>1546</v>
      </c>
      <c r="F1135" s="3579"/>
      <c r="G1135" s="3580"/>
      <c r="H1135" s="3623" t="str">
        <f t="shared" ref="H1135:H1136" si="45">IMAGE("https://raw.githubusercontent.com/msikma/pokesprite/master/misc/types/gen8/ice.png",4,20,20)</f>
        <v/>
      </c>
      <c r="J1135" s="3614" t="s">
        <v>154</v>
      </c>
      <c r="K1135" s="3579"/>
      <c r="L1135" s="3580"/>
      <c r="M1135" s="3623" t="str">
        <f>IMAGE("https://raw.githubusercontent.com/msikma/pokesprite/master/misc/types/gen8/dragon.png",4,20,20)</f>
        <v/>
      </c>
      <c r="O1135" s="3614" t="s">
        <v>1348</v>
      </c>
      <c r="P1135" s="3579"/>
      <c r="Q1135" s="3580"/>
      <c r="R1135" s="3623" t="str">
        <f>IMAGE("https://raw.githubusercontent.com/msikma/pokesprite/master/misc/types/gen8/dragon.png",4,20,20)</f>
        <v/>
      </c>
      <c r="T1135" s="3614" t="s">
        <v>646</v>
      </c>
      <c r="U1135" s="3579"/>
      <c r="V1135" s="3580"/>
      <c r="W1135" s="3623" t="str">
        <f>IMAGE("https://raw.githubusercontent.com/msikma/pokesprite/master/misc/types/gen8/steel.png",4,20,20)</f>
        <v/>
      </c>
      <c r="Y1135" s="3614" t="s">
        <v>586</v>
      </c>
      <c r="Z1135" s="3579"/>
      <c r="AA1135" s="3580"/>
      <c r="AB1135" s="3623" t="str">
        <f t="shared" si="44"/>
        <v/>
      </c>
      <c r="AD1135" s="3614" t="s">
        <v>612</v>
      </c>
      <c r="AE1135" s="3579"/>
      <c r="AF1135" s="3580"/>
      <c r="AG1135" s="3623" t="str">
        <f>IMAGE("https://raw.githubusercontent.com/msikma/pokesprite/master/misc/types/gen8/bug.png",4,20,20)</f>
        <v/>
      </c>
      <c r="AH1135" s="3583"/>
      <c r="AI1135" s="6747"/>
    </row>
    <row r="1136" ht="21.0" customHeight="1">
      <c r="A1136" s="6738"/>
      <c r="B1136" s="3572"/>
      <c r="C1136" s="3605"/>
      <c r="D1136" s="3574"/>
      <c r="E1136" s="3624" t="s">
        <v>1199</v>
      </c>
      <c r="F1136" s="3625"/>
      <c r="G1136" s="3626"/>
      <c r="H1136" s="3627" t="str">
        <f t="shared" si="45"/>
        <v/>
      </c>
      <c r="I1136" s="3628"/>
      <c r="J1136" s="3624" t="s">
        <v>621</v>
      </c>
      <c r="K1136" s="3625"/>
      <c r="L1136" s="3626"/>
      <c r="M1136" s="3627" t="str">
        <f>IMAGE("https://raw.githubusercontent.com/msikma/pokesprite/master/misc/types/gen8/rock.png",4,20,20)</f>
        <v/>
      </c>
      <c r="N1136" s="3628"/>
      <c r="O1136" s="3624" t="s">
        <v>1211</v>
      </c>
      <c r="P1136" s="3625"/>
      <c r="Q1136" s="3626"/>
      <c r="R1136" s="3627" t="str">
        <f>IMAGE("https://raw.githubusercontent.com/msikma/pokesprite/master/misc/types/gen8/fire.png",4,20,20)</f>
        <v/>
      </c>
      <c r="S1136" s="3628"/>
      <c r="T1136" s="3624" t="s">
        <v>184</v>
      </c>
      <c r="U1136" s="3625"/>
      <c r="V1136" s="3626"/>
      <c r="W1136" s="3627" t="str">
        <f>IMAGE("https://raw.githubusercontent.com/msikma/pokesprite/master/misc/types/gen8/normal.png",4,20,20)</f>
        <v/>
      </c>
      <c r="X1136" s="3628"/>
      <c r="Y1136" s="3624" t="s">
        <v>879</v>
      </c>
      <c r="Z1136" s="3625"/>
      <c r="AA1136" s="3626"/>
      <c r="AB1136" s="3627" t="str">
        <f>IMAGE("https://raw.githubusercontent.com/msikma/pokesprite/master/misc/types/gen8/fighting.png",4,20,20)</f>
        <v/>
      </c>
      <c r="AC1136" s="3628"/>
      <c r="AD1136" s="3624" t="s">
        <v>1177</v>
      </c>
      <c r="AE1136" s="3625"/>
      <c r="AF1136" s="3626"/>
      <c r="AG1136" s="3627" t="str">
        <f>IMAGE("https://raw.githubusercontent.com/msikma/pokesprite/master/misc/types/gen8/ground.png",4,20,20)</f>
        <v/>
      </c>
      <c r="AH1136" s="3583"/>
      <c r="AI1136" s="6747"/>
    </row>
    <row r="1137" ht="3.0" customHeight="1">
      <c r="A1137" s="6738"/>
      <c r="B1137" s="3630"/>
      <c r="C1137" s="3631"/>
      <c r="D1137" s="3632"/>
      <c r="E1137" s="3634"/>
      <c r="F1137" s="3634"/>
      <c r="G1137" s="3634"/>
      <c r="H1137" s="3633"/>
      <c r="I1137" s="3632"/>
      <c r="J1137" s="3634"/>
      <c r="K1137" s="3634"/>
      <c r="L1137" s="3634"/>
      <c r="M1137" s="3633"/>
      <c r="N1137" s="3632"/>
      <c r="O1137" s="3634"/>
      <c r="P1137" s="3634"/>
      <c r="Q1137" s="3634"/>
      <c r="R1137" s="3633"/>
      <c r="S1137" s="3635"/>
      <c r="T1137" s="3634"/>
      <c r="U1137" s="3634"/>
      <c r="V1137" s="3634"/>
      <c r="W1137" s="3633"/>
      <c r="X1137" s="3632"/>
      <c r="Y1137" s="3634"/>
      <c r="Z1137" s="3634"/>
      <c r="AA1137" s="3634"/>
      <c r="AB1137" s="3633"/>
      <c r="AC1137" s="3637"/>
      <c r="AD1137" s="3634"/>
      <c r="AE1137" s="3634"/>
      <c r="AF1137" s="3634"/>
      <c r="AG1137" s="3633"/>
      <c r="AH1137" s="3638"/>
      <c r="AI1137" s="6747"/>
    </row>
    <row r="1138" ht="16.5" customHeight="1">
      <c r="A1138" s="6738"/>
      <c r="B1138" s="3639"/>
      <c r="C1138" s="3631"/>
      <c r="D1138" s="4590"/>
      <c r="E1138" s="3641" t="s">
        <v>512</v>
      </c>
      <c r="F1138" s="606"/>
      <c r="G1138" s="606"/>
      <c r="H1138" s="607"/>
      <c r="I1138" s="3642"/>
      <c r="J1138" s="3641" t="s">
        <v>512</v>
      </c>
      <c r="K1138" s="606"/>
      <c r="L1138" s="606"/>
      <c r="M1138" s="607"/>
      <c r="N1138" s="4590"/>
      <c r="O1138" s="3641" t="s">
        <v>512</v>
      </c>
      <c r="P1138" s="606"/>
      <c r="Q1138" s="606"/>
      <c r="R1138" s="607"/>
      <c r="S1138" s="4591"/>
      <c r="T1138" s="3641" t="s">
        <v>512</v>
      </c>
      <c r="U1138" s="606"/>
      <c r="V1138" s="606"/>
      <c r="W1138" s="607"/>
      <c r="X1138" s="4592"/>
      <c r="Y1138" s="3641" t="s">
        <v>512</v>
      </c>
      <c r="Z1138" s="606"/>
      <c r="AA1138" s="606"/>
      <c r="AB1138" s="607"/>
      <c r="AC1138" s="4592"/>
      <c r="AD1138" s="3641" t="s">
        <v>512</v>
      </c>
      <c r="AE1138" s="606"/>
      <c r="AF1138" s="606"/>
      <c r="AG1138" s="607"/>
      <c r="AH1138" s="3645"/>
      <c r="AI1138" s="6747"/>
    </row>
    <row r="1139" ht="16.5" customHeight="1">
      <c r="A1139" s="6738"/>
      <c r="B1139" s="3639"/>
      <c r="C1139" s="3631"/>
      <c r="D1139" s="3640"/>
      <c r="E1139" s="3646" t="s">
        <v>513</v>
      </c>
      <c r="F1139" s="3647">
        <f t="array" ref="F1139">IFERROR(VLOOKUP(E1126,Dex!$B$3:$N1219,8,FALSE),"")</f>
        <v>73</v>
      </c>
      <c r="G1139" s="3648" t="str">
        <f t="array" ref="G1139">IFERROR(VLOOKUP(F1139,Dex!$P$22:$Q$276,2,FALSE),"")</f>
        <v/>
      </c>
      <c r="H1139" s="3649"/>
      <c r="I1139" s="3650"/>
      <c r="J1139" s="3646" t="s">
        <v>513</v>
      </c>
      <c r="K1139" s="3647">
        <f t="array" ref="K1139">IFERROR(VLOOKUP(J1126,Dex!$B$3:$N1219,8,FALSE),"")</f>
        <v>108</v>
      </c>
      <c r="L1139" s="3648" t="str">
        <f t="array" ref="L1139">IFERROR(VLOOKUP(K1139,Dex!$P$22:$Q$276,2,FALSE),"")</f>
        <v/>
      </c>
      <c r="M1139" s="3649"/>
      <c r="N1139" s="3640"/>
      <c r="O1139" s="3646" t="s">
        <v>513</v>
      </c>
      <c r="P1139" s="3647">
        <f t="array" ref="P1139">IFERROR(VLOOKUP(O1126,Dex!$B$3:$N1219,8,FALSE),"")</f>
        <v>88</v>
      </c>
      <c r="Q1139" s="3648" t="str">
        <f t="array" ref="Q1139">IFERROR(VLOOKUP(P1139,Dex!$P$22:$Q$276,2,FALSE),"")</f>
        <v/>
      </c>
      <c r="R1139" s="3649"/>
      <c r="S1139" s="3644"/>
      <c r="T1139" s="3646" t="s">
        <v>513</v>
      </c>
      <c r="U1139" s="3647">
        <f t="array" ref="U1139">IFERROR(VLOOKUP(T1126,Dex!$B$3:$N1219,8,FALSE),"")</f>
        <v>91</v>
      </c>
      <c r="V1139" s="3648" t="str">
        <f t="array" ref="V1139">IFERROR(VLOOKUP(U1139,Dex!$P$22:$Q$276,2,FALSE),"")</f>
        <v/>
      </c>
      <c r="W1139" s="3649"/>
      <c r="X1139" s="3644"/>
      <c r="Y1139" s="3646" t="s">
        <v>513</v>
      </c>
      <c r="Z1139" s="3647">
        <f t="array" ref="Z1139">IFERROR(VLOOKUP(Y1126,Dex!$B$3:$N1219,8,FALSE),"")</f>
        <v>90</v>
      </c>
      <c r="AA1139" s="3648" t="str">
        <f t="array" ref="AA1139">IFERROR(VLOOKUP(Z1139,Dex!$P$22:$Q$276,2,FALSE),"")</f>
        <v/>
      </c>
      <c r="AB1139" s="3649"/>
      <c r="AC1139" s="3644"/>
      <c r="AD1139" s="3646" t="s">
        <v>513</v>
      </c>
      <c r="AE1139" s="3647">
        <f t="array" ref="AE1139">IFERROR(VLOOKUP(AD1126,Dex!$B$3:$N1219,8,FALSE),"")</f>
        <v>90</v>
      </c>
      <c r="AF1139" s="3648" t="str">
        <f t="array" ref="AF1139">IFERROR(VLOOKUP(AE1139,Dex!$P$22:$Q$276,2,FALSE),"")</f>
        <v/>
      </c>
      <c r="AG1139" s="3649"/>
      <c r="AH1139" s="3645"/>
      <c r="AI1139" s="6747"/>
    </row>
    <row r="1140" ht="16.5" customHeight="1">
      <c r="A1140" s="6738"/>
      <c r="B1140" s="3639"/>
      <c r="C1140" s="3631"/>
      <c r="D1140" s="3640"/>
      <c r="E1140" s="3652" t="s">
        <v>514</v>
      </c>
      <c r="F1140" s="3653">
        <f t="array" ref="F1140">IFERROR(VLOOKUP(E1126,Dex!$B$3:$N1219,9,FALSE),"")</f>
        <v>67</v>
      </c>
      <c r="G1140" s="3654" t="str">
        <f t="array" ref="G1140">IFERROR(VLOOKUP(F1140,Dex!$P$22:$Q$276,2,FALSE),"")</f>
        <v/>
      </c>
      <c r="H1140" s="3655"/>
      <c r="I1140" s="3650"/>
      <c r="J1140" s="3652" t="s">
        <v>514</v>
      </c>
      <c r="K1140" s="3653">
        <f t="array" ref="K1140">IFERROR(VLOOKUP(J1126,Dex!$B$3:$N1219,9,FALSE),"")</f>
        <v>170</v>
      </c>
      <c r="L1140" s="3654" t="str">
        <f t="array" ref="L1140">IFERROR(VLOOKUP(K1140,Dex!$P$22:$Q$276,2,FALSE),"")</f>
        <v/>
      </c>
      <c r="M1140" s="3655"/>
      <c r="N1140" s="3640"/>
      <c r="O1140" s="3652" t="s">
        <v>514</v>
      </c>
      <c r="P1140" s="3653">
        <f t="array" ref="P1140">IFERROR(VLOOKUP(O1126,Dex!$B$3:$N1219,9,FALSE),"")</f>
        <v>120</v>
      </c>
      <c r="Q1140" s="3654" t="str">
        <f t="array" ref="Q1140">IFERROR(VLOOKUP(P1140,Dex!$P$22:$Q$276,2,FALSE),"")</f>
        <v/>
      </c>
      <c r="R1140" s="3655"/>
      <c r="S1140" s="3644"/>
      <c r="T1140" s="3652" t="s">
        <v>514</v>
      </c>
      <c r="U1140" s="3653">
        <f t="array" ref="U1140">IFERROR(VLOOKUP(T1126,Dex!$B$3:$N1219,9,FALSE),"")</f>
        <v>90</v>
      </c>
      <c r="V1140" s="3654" t="str">
        <f t="array" ref="V1140">IFERROR(VLOOKUP(U1140,Dex!$P$22:$Q$276,2,FALSE),"")</f>
        <v/>
      </c>
      <c r="W1140" s="3655"/>
      <c r="X1140" s="3644"/>
      <c r="Y1140" s="3652" t="s">
        <v>514</v>
      </c>
      <c r="Z1140" s="3653">
        <f t="array" ref="Z1140">IFERROR(VLOOKUP(Y1126,Dex!$B$3:$N1219,9,FALSE),"")</f>
        <v>100</v>
      </c>
      <c r="AA1140" s="3654" t="str">
        <f t="array" ref="AA1140">IFERROR(VLOOKUP(Z1140,Dex!$P$22:$Q$276,2,FALSE),"")</f>
        <v/>
      </c>
      <c r="AB1140" s="3655"/>
      <c r="AC1140" s="3644"/>
      <c r="AD1140" s="3652" t="s">
        <v>514</v>
      </c>
      <c r="AE1140" s="3653">
        <f t="array" ref="AE1140">IFERROR(VLOOKUP(AD1126,Dex!$B$3:$N1219,9,FALSE),"")</f>
        <v>125</v>
      </c>
      <c r="AF1140" s="3654" t="str">
        <f t="array" ref="AF1140">IFERROR(VLOOKUP(AE1140,Dex!$P$22:$Q$276,2,FALSE),"")</f>
        <v/>
      </c>
      <c r="AG1140" s="3655"/>
      <c r="AH1140" s="3645"/>
      <c r="AI1140" s="6747"/>
    </row>
    <row r="1141" ht="16.5" customHeight="1">
      <c r="A1141" s="6738"/>
      <c r="B1141" s="3639"/>
      <c r="C1141" s="3631"/>
      <c r="D1141" s="3640"/>
      <c r="E1141" s="3652" t="s">
        <v>515</v>
      </c>
      <c r="F1141" s="3653">
        <f t="array" ref="F1141">IFERROR(VLOOKUP(E1126,Dex!$B$3:$N1219,10,FALSE),"")</f>
        <v>75</v>
      </c>
      <c r="G1141" s="3654" t="str">
        <f t="array" ref="G1141">IFERROR(VLOOKUP(F1141,Dex!$P$22:$Q$276,2,FALSE),"")</f>
        <v/>
      </c>
      <c r="H1141" s="3655"/>
      <c r="I1141" s="3650"/>
      <c r="J1141" s="3652" t="s">
        <v>515</v>
      </c>
      <c r="K1141" s="3653">
        <f t="array" ref="K1141">IFERROR(VLOOKUP(J1126,Dex!$B$3:$N1219,10,FALSE),"")</f>
        <v>105</v>
      </c>
      <c r="L1141" s="3654" t="str">
        <f t="array" ref="L1141">IFERROR(VLOOKUP(K1141,Dex!$P$22:$Q$276,2,FALSE),"")</f>
        <v/>
      </c>
      <c r="M1141" s="3655"/>
      <c r="N1141" s="3640"/>
      <c r="O1141" s="3652" t="s">
        <v>515</v>
      </c>
      <c r="P1141" s="3653">
        <f t="array" ref="P1141">IFERROR(VLOOKUP(O1126,Dex!$B$3:$N1219,10,FALSE),"")</f>
        <v>75</v>
      </c>
      <c r="Q1141" s="3654" t="str">
        <f t="array" ref="Q1141">IFERROR(VLOOKUP(P1141,Dex!$P$22:$Q$276,2,FALSE),"")</f>
        <v/>
      </c>
      <c r="R1141" s="3655"/>
      <c r="S1141" s="3644"/>
      <c r="T1141" s="3652" t="s">
        <v>515</v>
      </c>
      <c r="U1141" s="3653">
        <f t="array" ref="U1141">IFERROR(VLOOKUP(T1126,Dex!$B$3:$N1219,10,FALSE),"")</f>
        <v>106</v>
      </c>
      <c r="V1141" s="3654" t="str">
        <f t="array" ref="V1141">IFERROR(VLOOKUP(U1141,Dex!$P$22:$Q$276,2,FALSE),"")</f>
        <v/>
      </c>
      <c r="W1141" s="3655"/>
      <c r="X1141" s="3644"/>
      <c r="Y1141" s="3652" t="s">
        <v>515</v>
      </c>
      <c r="Z1141" s="3653">
        <f t="array" ref="Z1141">IFERROR(VLOOKUP(Y1126,Dex!$B$3:$N1219,10,FALSE),"")</f>
        <v>90</v>
      </c>
      <c r="AA1141" s="3654" t="str">
        <f t="array" ref="AA1141">IFERROR(VLOOKUP(Z1141,Dex!$P$22:$Q$276,2,FALSE),"")</f>
        <v/>
      </c>
      <c r="AB1141" s="3655"/>
      <c r="AC1141" s="3644"/>
      <c r="AD1141" s="3652" t="s">
        <v>515</v>
      </c>
      <c r="AE1141" s="3653">
        <f t="array" ref="AE1141">IFERROR(VLOOKUP(AD1126,Dex!$B$3:$N1219,10,FALSE),"")</f>
        <v>90</v>
      </c>
      <c r="AF1141" s="3654" t="str">
        <f t="array" ref="AF1141">IFERROR(VLOOKUP(AE1141,Dex!$P$22:$Q$276,2,FALSE),"")</f>
        <v/>
      </c>
      <c r="AG1141" s="3655"/>
      <c r="AH1141" s="3645"/>
      <c r="AI1141" s="6747"/>
    </row>
    <row r="1142" ht="16.5" customHeight="1">
      <c r="A1142" s="6738"/>
      <c r="B1142" s="3639"/>
      <c r="C1142" s="3631"/>
      <c r="D1142" s="3640"/>
      <c r="E1142" s="3652" t="s">
        <v>516</v>
      </c>
      <c r="F1142" s="3653">
        <f t="array" ref="F1142">IFERROR(VLOOKUP(E1126,Dex!$B$3:$N1219,11,FALSE),"")</f>
        <v>81</v>
      </c>
      <c r="G1142" s="3654" t="str">
        <f t="array" ref="G1142">IFERROR(VLOOKUP(F1142,Dex!$P$22:$Q$276,2,FALSE),"")</f>
        <v/>
      </c>
      <c r="H1142" s="3655"/>
      <c r="I1142" s="3650"/>
      <c r="J1142" s="3652" t="s">
        <v>516</v>
      </c>
      <c r="K1142" s="3653">
        <f t="array" ref="K1142">IFERROR(VLOOKUP(J1126,Dex!$B$3:$N1219,11,FALSE),"")</f>
        <v>120</v>
      </c>
      <c r="L1142" s="3654" t="str">
        <f t="array" ref="L1142">IFERROR(VLOOKUP(K1142,Dex!$P$22:$Q$276,2,FALSE),"")</f>
        <v/>
      </c>
      <c r="M1142" s="3655"/>
      <c r="N1142" s="3640"/>
      <c r="O1142" s="3652" t="s">
        <v>516</v>
      </c>
      <c r="P1142" s="3653">
        <f t="array" ref="P1142">IFERROR(VLOOKUP(O1126,Dex!$B$3:$N1219,11,FALSE),"")</f>
        <v>100</v>
      </c>
      <c r="Q1142" s="3654" t="str">
        <f t="array" ref="Q1142">IFERROR(VLOOKUP(P1142,Dex!$P$22:$Q$276,2,FALSE),"")</f>
        <v/>
      </c>
      <c r="R1142" s="3655"/>
      <c r="S1142" s="3644"/>
      <c r="T1142" s="3652" t="s">
        <v>516</v>
      </c>
      <c r="U1142" s="3653">
        <f t="array" ref="U1142">IFERROR(VLOOKUP(T1126,Dex!$B$3:$N1219,11,FALSE),"")</f>
        <v>130</v>
      </c>
      <c r="V1142" s="3654" t="str">
        <f t="array" ref="V1142">IFERROR(VLOOKUP(U1142,Dex!$P$22:$Q$276,2,FALSE),"")</f>
        <v/>
      </c>
      <c r="W1142" s="3655"/>
      <c r="X1142" s="3644"/>
      <c r="Y1142" s="3652" t="s">
        <v>516</v>
      </c>
      <c r="Z1142" s="3653">
        <f t="array" ref="Z1142">IFERROR(VLOOKUP(Y1126,Dex!$B$3:$N1219,11,FALSE),"")</f>
        <v>90</v>
      </c>
      <c r="AA1142" s="3654" t="str">
        <f t="array" ref="AA1142">IFERROR(VLOOKUP(Z1142,Dex!$P$22:$Q$276,2,FALSE),"")</f>
        <v/>
      </c>
      <c r="AB1142" s="3655"/>
      <c r="AC1142" s="3644"/>
      <c r="AD1142" s="3652" t="s">
        <v>516</v>
      </c>
      <c r="AE1142" s="3653">
        <f t="array" ref="AE1142">IFERROR(VLOOKUP(AD1126,Dex!$B$3:$N1219,11,FALSE),"")</f>
        <v>85</v>
      </c>
      <c r="AF1142" s="3654" t="str">
        <f t="array" ref="AF1142">IFERROR(VLOOKUP(AE1142,Dex!$P$22:$Q$276,2,FALSE),"")</f>
        <v/>
      </c>
      <c r="AG1142" s="3655"/>
      <c r="AH1142" s="3645"/>
      <c r="AI1142" s="6747"/>
    </row>
    <row r="1143" ht="16.5" customHeight="1">
      <c r="A1143" s="6738"/>
      <c r="B1143" s="3639"/>
      <c r="C1143" s="3631"/>
      <c r="D1143" s="3640"/>
      <c r="E1143" s="3652" t="s">
        <v>517</v>
      </c>
      <c r="F1143" s="3653">
        <f t="array" ref="F1143">IFERROR(VLOOKUP(E1126,Dex!$B$3:$N1219,12,FALSE),"")</f>
        <v>100</v>
      </c>
      <c r="G1143" s="3654" t="str">
        <f t="array" ref="G1143">IFERROR(VLOOKUP(F1143,Dex!$P$22:$Q$276,2,FALSE),"")</f>
        <v/>
      </c>
      <c r="H1143" s="3655"/>
      <c r="I1143" s="3650"/>
      <c r="J1143" s="3652" t="s">
        <v>517</v>
      </c>
      <c r="K1143" s="3653">
        <f t="array" ref="K1143">IFERROR(VLOOKUP(J1126,Dex!$B$3:$N1219,12,FALSE),"")</f>
        <v>95</v>
      </c>
      <c r="L1143" s="3654" t="str">
        <f t="array" ref="L1143">IFERROR(VLOOKUP(K1143,Dex!$P$22:$Q$276,2,FALSE),"")</f>
        <v/>
      </c>
      <c r="M1143" s="3655"/>
      <c r="N1143" s="3640"/>
      <c r="O1143" s="3652" t="s">
        <v>517</v>
      </c>
      <c r="P1143" s="3653">
        <f t="array" ref="P1143">IFERROR(VLOOKUP(O1126,Dex!$B$3:$N1219,12,FALSE),"")</f>
        <v>75</v>
      </c>
      <c r="Q1143" s="3654" t="str">
        <f t="array" ref="Q1143">IFERROR(VLOOKUP(P1143,Dex!$P$22:$Q$276,2,FALSE),"")</f>
        <v/>
      </c>
      <c r="R1143" s="3655"/>
      <c r="S1143" s="3644"/>
      <c r="T1143" s="3652" t="s">
        <v>517</v>
      </c>
      <c r="U1143" s="3653">
        <f t="array" ref="U1143">IFERROR(VLOOKUP(T1126,Dex!$B$3:$N1219,12,FALSE),"")</f>
        <v>106</v>
      </c>
      <c r="V1143" s="3654" t="str">
        <f t="array" ref="V1143">IFERROR(VLOOKUP(U1143,Dex!$P$22:$Q$276,2,FALSE),"")</f>
        <v/>
      </c>
      <c r="W1143" s="3655"/>
      <c r="X1143" s="3644"/>
      <c r="Y1143" s="3652" t="s">
        <v>517</v>
      </c>
      <c r="Z1143" s="3653">
        <f t="array" ref="Z1143">IFERROR(VLOOKUP(Y1126,Dex!$B$3:$N1219,12,FALSE),"")</f>
        <v>80</v>
      </c>
      <c r="AA1143" s="3654" t="str">
        <f t="array" ref="AA1143">IFERROR(VLOOKUP(Z1143,Dex!$P$22:$Q$276,2,FALSE),"")</f>
        <v/>
      </c>
      <c r="AB1143" s="3655"/>
      <c r="AC1143" s="3644"/>
      <c r="AD1143" s="3652" t="s">
        <v>517</v>
      </c>
      <c r="AE1143" s="3653">
        <f t="array" ref="AE1143">IFERROR(VLOOKUP(AD1126,Dex!$B$3:$N1219,12,FALSE),"")</f>
        <v>90</v>
      </c>
      <c r="AF1143" s="3654" t="str">
        <f t="array" ref="AF1143">IFERROR(VLOOKUP(AE1143,Dex!$P$22:$Q$276,2,FALSE),"")</f>
        <v/>
      </c>
      <c r="AG1143" s="3655"/>
      <c r="AH1143" s="3645"/>
      <c r="AI1143" s="6747"/>
    </row>
    <row r="1144" ht="16.5" customHeight="1">
      <c r="A1144" s="6738"/>
      <c r="B1144" s="3639"/>
      <c r="C1144" s="3631"/>
      <c r="D1144" s="3640"/>
      <c r="E1144" s="3658" t="s">
        <v>518</v>
      </c>
      <c r="F1144" s="3659">
        <f t="array" ref="F1144">IFERROR(VLOOKUP(E1126,Dex!$B$3:$N1219,13,FALSE),"")</f>
        <v>109</v>
      </c>
      <c r="G1144" s="3660" t="str">
        <f t="array" ref="G1144">IFERROR(VLOOKUP(F1144,Dex!$P$22:$Q$276,2,FALSE),"")</f>
        <v/>
      </c>
      <c r="H1144" s="3661"/>
      <c r="I1144" s="3650"/>
      <c r="J1144" s="3658" t="s">
        <v>518</v>
      </c>
      <c r="K1144" s="3659">
        <f t="array" ref="K1144">IFERROR(VLOOKUP(J1126,Dex!$B$3:$N1219,13,FALSE),"")</f>
        <v>102</v>
      </c>
      <c r="L1144" s="3660" t="str">
        <f t="array" ref="L1144">IFERROR(VLOOKUP(K1144,Dex!$P$22:$Q$276,2,FALSE),"")</f>
        <v/>
      </c>
      <c r="M1144" s="3661"/>
      <c r="N1144" s="3640"/>
      <c r="O1144" s="3658" t="s">
        <v>518</v>
      </c>
      <c r="P1144" s="3659">
        <f t="array" ref="P1144">IFERROR(VLOOKUP(O1126,Dex!$B$3:$N1219,13,FALSE),"")</f>
        <v>142</v>
      </c>
      <c r="Q1144" s="3660" t="str">
        <f t="array" ref="Q1144">IFERROR(VLOOKUP(P1144,Dex!$P$22:$Q$276,2,FALSE),"")</f>
        <v/>
      </c>
      <c r="R1144" s="3661"/>
      <c r="S1144" s="3644"/>
      <c r="T1144" s="3658" t="s">
        <v>518</v>
      </c>
      <c r="U1144" s="3659">
        <f t="array" ref="U1144">IFERROR(VLOOKUP(T1126,Dex!$B$3:$N1219,13,FALSE),"")</f>
        <v>77</v>
      </c>
      <c r="V1144" s="3660" t="str">
        <f t="array" ref="V1144">IFERROR(VLOOKUP(U1144,Dex!$P$22:$Q$276,2,FALSE),"")</f>
        <v/>
      </c>
      <c r="W1144" s="3661"/>
      <c r="X1144" s="3644"/>
      <c r="Y1144" s="3658" t="s">
        <v>518</v>
      </c>
      <c r="Z1144" s="3659">
        <f t="array" ref="Z1144">IFERROR(VLOOKUP(Y1126,Dex!$B$3:$N1219,13,FALSE),"")</f>
        <v>55</v>
      </c>
      <c r="AA1144" s="3660" t="str">
        <f t="array" ref="AA1144">IFERROR(VLOOKUP(Z1144,Dex!$P$22:$Q$276,2,FALSE),"")</f>
        <v/>
      </c>
      <c r="AB1144" s="3661"/>
      <c r="AC1144" s="3644"/>
      <c r="AD1144" s="3658" t="s">
        <v>518</v>
      </c>
      <c r="AE1144" s="3659">
        <f t="array" ref="AE1144">IFERROR(VLOOKUP(AD1126,Dex!$B$3:$N1219,13,FALSE),"")</f>
        <v>100</v>
      </c>
      <c r="AF1144" s="3660" t="str">
        <f t="array" ref="AF1144">IFERROR(VLOOKUP(AE1144,Dex!$P$22:$Q$276,2,FALSE),"")</f>
        <v/>
      </c>
      <c r="AG1144" s="3661"/>
      <c r="AH1144" s="3645"/>
      <c r="AI1144" s="6747"/>
    </row>
    <row r="1145" ht="16.5" customHeight="1">
      <c r="A1145" s="6738"/>
      <c r="B1145" s="3639"/>
      <c r="C1145" s="3631"/>
      <c r="D1145" s="4590"/>
      <c r="E1145" s="3662" t="s">
        <v>519</v>
      </c>
      <c r="F1145" s="630"/>
      <c r="G1145" s="631"/>
      <c r="H1145" s="6843">
        <v>279.0</v>
      </c>
      <c r="I1145" s="3642"/>
      <c r="J1145" s="3662" t="s">
        <v>519</v>
      </c>
      <c r="K1145" s="630"/>
      <c r="L1145" s="631"/>
      <c r="M1145" s="6843">
        <v>264.0</v>
      </c>
      <c r="N1145" s="4590"/>
      <c r="O1145" s="3662" t="s">
        <v>519</v>
      </c>
      <c r="P1145" s="630"/>
      <c r="Q1145" s="631"/>
      <c r="R1145" s="6843">
        <v>352.0</v>
      </c>
      <c r="S1145" s="4592"/>
      <c r="T1145" s="3662" t="s">
        <v>519</v>
      </c>
      <c r="U1145" s="630"/>
      <c r="V1145" s="631"/>
      <c r="W1145" s="6843">
        <v>209.0</v>
      </c>
      <c r="X1145" s="4592"/>
      <c r="Y1145" s="4593" t="s">
        <v>519</v>
      </c>
      <c r="Z1145" s="635"/>
      <c r="AA1145" s="636"/>
      <c r="AB1145" s="6844">
        <v>160.0</v>
      </c>
      <c r="AC1145" s="4592"/>
      <c r="AD1145" s="3662" t="s">
        <v>519</v>
      </c>
      <c r="AE1145" s="630"/>
      <c r="AF1145" s="631"/>
      <c r="AG1145" s="6843">
        <v>259.0</v>
      </c>
      <c r="AH1145" s="3645"/>
      <c r="AI1145" s="6747"/>
    </row>
    <row r="1146" ht="16.5" customHeight="1">
      <c r="A1146" s="6738"/>
      <c r="B1146" s="4594"/>
      <c r="C1146" s="5479"/>
      <c r="D1146" s="5480"/>
      <c r="E1146" s="5481"/>
      <c r="F1146" s="5481"/>
      <c r="G1146" s="5481"/>
      <c r="H1146" s="5479"/>
      <c r="I1146" s="5482"/>
      <c r="J1146" s="5481"/>
      <c r="K1146" s="5481"/>
      <c r="L1146" s="5481"/>
      <c r="M1146" s="5479"/>
      <c r="N1146" s="5480"/>
      <c r="O1146" s="5481"/>
      <c r="P1146" s="5481"/>
      <c r="Q1146" s="5481"/>
      <c r="R1146" s="5479"/>
      <c r="S1146" s="4598"/>
      <c r="T1146" s="5481"/>
      <c r="U1146" s="5481"/>
      <c r="V1146" s="5481"/>
      <c r="W1146" s="5479"/>
      <c r="X1146" s="4598"/>
      <c r="Y1146" s="4597" t="s">
        <v>930</v>
      </c>
      <c r="Z1146" s="643"/>
      <c r="AA1146" s="644"/>
      <c r="AB1146" s="6787">
        <f>AB1145*2</f>
        <v>320</v>
      </c>
      <c r="AC1146" s="4598"/>
      <c r="AD1146" s="5481"/>
      <c r="AE1146" s="5481"/>
      <c r="AF1146" s="5481"/>
      <c r="AG1146" s="5479"/>
      <c r="AH1146" s="4600"/>
      <c r="AI1146" s="6747"/>
    </row>
    <row r="1147" ht="15.0" customHeight="1">
      <c r="A1147" s="6738"/>
      <c r="B1147" s="3663"/>
      <c r="C1147" s="3664"/>
      <c r="D1147" s="3665"/>
      <c r="E1147" s="3666"/>
      <c r="F1147" s="3666"/>
      <c r="G1147" s="3666"/>
      <c r="H1147" s="3667"/>
      <c r="I1147" s="3667"/>
      <c r="J1147" s="3666"/>
      <c r="K1147" s="3666"/>
      <c r="L1147" s="3666"/>
      <c r="M1147" s="3667"/>
      <c r="N1147" s="3669"/>
      <c r="O1147" s="3670"/>
      <c r="P1147" s="3670"/>
      <c r="Q1147" s="3671"/>
      <c r="R1147" s="3671"/>
      <c r="S1147" s="3671"/>
      <c r="T1147" s="3670"/>
      <c r="U1147" s="3670"/>
      <c r="V1147" s="3671"/>
      <c r="W1147" s="3671"/>
      <c r="X1147" s="3669"/>
      <c r="Y1147" s="3670"/>
      <c r="Z1147" s="3670"/>
      <c r="AA1147" s="3671"/>
      <c r="AB1147" s="3671"/>
      <c r="AC1147" s="3672"/>
      <c r="AD1147" s="3670"/>
      <c r="AE1147" s="3670"/>
      <c r="AF1147" s="3671"/>
      <c r="AG1147" s="3671"/>
      <c r="AH1147" s="3673"/>
      <c r="AI1147" s="6747"/>
    </row>
    <row r="1148" ht="15.0" customHeight="1">
      <c r="A1148" s="6738"/>
      <c r="B1148" s="3567"/>
      <c r="C1148" s="3568"/>
      <c r="D1148" s="3569"/>
      <c r="E1148" s="3570"/>
      <c r="F1148" s="3570"/>
      <c r="G1148" s="3570"/>
      <c r="H1148" s="3570"/>
      <c r="I1148" s="3569"/>
      <c r="J1148" s="3570"/>
      <c r="K1148" s="3570"/>
      <c r="L1148" s="3570"/>
      <c r="M1148" s="3570"/>
      <c r="N1148" s="3569"/>
      <c r="O1148" s="3570"/>
      <c r="P1148" s="3570"/>
      <c r="Q1148" s="3570"/>
      <c r="R1148" s="3570"/>
      <c r="S1148" s="3569"/>
      <c r="T1148" s="3570"/>
      <c r="U1148" s="3570"/>
      <c r="V1148" s="3570"/>
      <c r="W1148" s="3570"/>
      <c r="X1148" s="3569"/>
      <c r="Y1148" s="3570"/>
      <c r="Z1148" s="3570"/>
      <c r="AA1148" s="3570"/>
      <c r="AB1148" s="3570"/>
      <c r="AC1148" s="3569"/>
      <c r="AD1148" s="3570"/>
      <c r="AE1148" s="3570"/>
      <c r="AF1148" s="3570"/>
      <c r="AG1148" s="3570"/>
      <c r="AH1148" s="3571"/>
      <c r="AI1148" s="6747"/>
    </row>
    <row r="1149" ht="96.75" customHeight="1">
      <c r="A1149" s="6738"/>
      <c r="B1149" s="3572"/>
      <c r="C1149" s="3573" t="str">
        <f>IMAGE("https://i.ibb.co/26kF6WW/Ace-Trainer-F.png")</f>
        <v/>
      </c>
      <c r="D1149" s="3574"/>
      <c r="E1149" s="3575" t="str">
        <f t="array" ref="E1149">IFERROR(VLOOKUP(E1150,Dex!$B$3:$G1219,3,FALSE),"")</f>
        <v/>
      </c>
      <c r="F1149" s="606"/>
      <c r="G1149" s="606"/>
      <c r="H1149" s="607"/>
      <c r="I1149" s="3576"/>
      <c r="J1149" s="3575" t="str">
        <f t="array" ref="J1149">IFERROR(VLOOKUP(J1150,Dex!$B$3:$G1219,3,FALSE),"")</f>
        <v/>
      </c>
      <c r="K1149" s="606"/>
      <c r="L1149" s="606"/>
      <c r="M1149" s="607"/>
      <c r="N1149" s="4583"/>
      <c r="O1149" s="3575" t="str">
        <f t="array" ref="O1149">IFERROR(VLOOKUP(O1150,Dex!$B$3:$G1219,3,FALSE),"")</f>
        <v/>
      </c>
      <c r="P1149" s="606"/>
      <c r="Q1149" s="606"/>
      <c r="R1149" s="607"/>
      <c r="S1149" s="4584"/>
      <c r="T1149" s="3575" t="str">
        <f t="array" ref="T1149">IFERROR(VLOOKUP(T1150,Dex!$B$3:$G1219,3,FALSE),"")</f>
        <v/>
      </c>
      <c r="U1149" s="606"/>
      <c r="V1149" s="606"/>
      <c r="W1149" s="607"/>
      <c r="X1149" s="4583"/>
      <c r="Y1149" s="3575" t="str">
        <f t="array" ref="Y1149">IFERROR(VLOOKUP(Y1150,Dex!$B$3:$G1219,3,FALSE),"")</f>
        <v/>
      </c>
      <c r="Z1149" s="606"/>
      <c r="AA1149" s="606"/>
      <c r="AB1149" s="607"/>
      <c r="AC1149" s="4584"/>
      <c r="AD1149" s="3575" t="str">
        <f t="array" ref="AD1149">IFERROR(VLOOKUP(AD1150,Dex!$B$3:$G1219,3,FALSE),"")</f>
        <v/>
      </c>
      <c r="AE1149" s="606"/>
      <c r="AF1149" s="606"/>
      <c r="AG1149" s="607"/>
      <c r="AH1149" s="5740"/>
      <c r="AI1149" s="6747"/>
    </row>
    <row r="1150" ht="18.75" customHeight="1">
      <c r="A1150" s="6738"/>
      <c r="B1150" s="5745"/>
      <c r="C1150" s="6841" t="s">
        <v>2192</v>
      </c>
      <c r="D1150" s="5747"/>
      <c r="E1150" s="3587" t="s">
        <v>1225</v>
      </c>
      <c r="F1150" s="3588"/>
      <c r="G1150" s="3588"/>
      <c r="H1150" s="3589"/>
      <c r="J1150" s="3587" t="s">
        <v>1094</v>
      </c>
      <c r="K1150" s="3588"/>
      <c r="L1150" s="3588"/>
      <c r="M1150" s="3589"/>
      <c r="O1150" s="3587" t="s">
        <v>2193</v>
      </c>
      <c r="P1150" s="3588"/>
      <c r="Q1150" s="3588"/>
      <c r="R1150" s="3589"/>
      <c r="T1150" s="3587" t="s">
        <v>1253</v>
      </c>
      <c r="U1150" s="3588"/>
      <c r="V1150" s="3588"/>
      <c r="W1150" s="3589"/>
      <c r="Y1150" s="3587" t="s">
        <v>2087</v>
      </c>
      <c r="Z1150" s="3588"/>
      <c r="AA1150" s="3588"/>
      <c r="AB1150" s="3589"/>
      <c r="AD1150" s="3587" t="s">
        <v>1652</v>
      </c>
      <c r="AE1150" s="3588"/>
      <c r="AF1150" s="3588"/>
      <c r="AG1150" s="3589"/>
      <c r="AH1150" s="5741"/>
      <c r="AI1150" s="6747"/>
    </row>
    <row r="1151">
      <c r="A1151" s="6738"/>
      <c r="B1151" s="5751"/>
      <c r="C1151" s="3095"/>
      <c r="D1151" s="5752"/>
      <c r="E1151" s="3596" t="s">
        <v>729</v>
      </c>
      <c r="F1151" s="3597"/>
      <c r="G1151" s="3597"/>
      <c r="H1151" s="3598"/>
      <c r="J1151" s="3596" t="s">
        <v>729</v>
      </c>
      <c r="K1151" s="3597"/>
      <c r="L1151" s="3597"/>
      <c r="M1151" s="3598"/>
      <c r="O1151" s="3596" t="s">
        <v>729</v>
      </c>
      <c r="P1151" s="3597"/>
      <c r="Q1151" s="3597"/>
      <c r="R1151" s="3598"/>
      <c r="T1151" s="3596" t="s">
        <v>729</v>
      </c>
      <c r="U1151" s="3597"/>
      <c r="V1151" s="3597"/>
      <c r="W1151" s="3598"/>
      <c r="Y1151" s="3596" t="s">
        <v>729</v>
      </c>
      <c r="Z1151" s="3597"/>
      <c r="AA1151" s="3597"/>
      <c r="AB1151" s="3598"/>
      <c r="AD1151" s="3596" t="s">
        <v>729</v>
      </c>
      <c r="AE1151" s="3597"/>
      <c r="AF1151" s="3597"/>
      <c r="AG1151" s="3598"/>
      <c r="AH1151" s="5742"/>
      <c r="AI1151" s="6747"/>
    </row>
    <row r="1152" ht="25.5" customHeight="1">
      <c r="A1152" s="6738"/>
      <c r="B1152" s="5756"/>
      <c r="C1152" s="3095"/>
      <c r="D1152" s="5757"/>
      <c r="E1152" s="3601"/>
      <c r="F1152" s="4588" t="str">
        <f t="array" ref="F1152">IFERROR(VLOOKUP(E1150,Dex!$B$3:$H1219,5,FALSE),"")</f>
        <v/>
      </c>
      <c r="G1152" s="4589" t="str">
        <f t="array" ref="G1152">IFERROR(VLOOKUP(E1150,Dex!$B$3:$H1219,7,FALSE),"")</f>
        <v/>
      </c>
      <c r="H1152" s="3604"/>
      <c r="J1152" s="3601"/>
      <c r="K1152" s="4588" t="str">
        <f t="array" ref="K1152">IFERROR(VLOOKUP(J1150,Dex!$B$3:$H1219,5,FALSE),"")</f>
        <v/>
      </c>
      <c r="L1152" s="4589" t="str">
        <f t="array" ref="L1152">IFERROR(VLOOKUP(J1150,Dex!$B$3:$H1219,7,FALSE),"")</f>
        <v/>
      </c>
      <c r="M1152" s="3604"/>
      <c r="O1152" s="3601"/>
      <c r="P1152" s="4588" t="str">
        <f t="array" ref="P1152">IFERROR(VLOOKUP(O1150,Dex!$B$3:$H1219,5,FALSE),"")</f>
        <v/>
      </c>
      <c r="Q1152" s="4589" t="str">
        <f t="array" ref="Q1152">IFERROR(VLOOKUP(O1150,Dex!$B$3:$H1219,7,FALSE),"")</f>
        <v/>
      </c>
      <c r="R1152" s="3604"/>
      <c r="T1152" s="3601"/>
      <c r="U1152" s="4588" t="str">
        <f t="array" ref="U1152">IFERROR(VLOOKUP(T1150,Dex!$B$3:$H1219,5,FALSE),"")</f>
        <v/>
      </c>
      <c r="V1152" s="4589" t="str">
        <f t="array" ref="V1152">IFERROR(VLOOKUP(T1150,Dex!$B$3:$H1219,7,FALSE),"")</f>
        <v/>
      </c>
      <c r="W1152" s="3604"/>
      <c r="Y1152" s="3601"/>
      <c r="Z1152" s="3602" t="str">
        <f t="array" ref="Z1152">IFERROR(VLOOKUP(Y1150,Dex!$B$3:$H1219,5,FALSE),"")</f>
        <v/>
      </c>
      <c r="AA1152" s="3603"/>
      <c r="AB1152" s="3604"/>
      <c r="AD1152" s="3601"/>
      <c r="AE1152" s="3602" t="str">
        <f t="array" ref="AE1152">IFERROR(VLOOKUP(AD1150,Dex!$B$3:$H1219,5,FALSE),"")</f>
        <v/>
      </c>
      <c r="AF1152" s="3603"/>
      <c r="AG1152" s="3604"/>
      <c r="AH1152" s="3583"/>
      <c r="AI1152" s="6747"/>
    </row>
    <row r="1153" ht="2.25" customHeight="1">
      <c r="A1153" s="6738"/>
      <c r="B1153" s="5756"/>
      <c r="C1153" s="3095"/>
      <c r="D1153" s="5757"/>
      <c r="E1153" s="3606"/>
      <c r="F1153" s="3607"/>
      <c r="G1153" s="3607"/>
      <c r="H1153" s="3608"/>
      <c r="J1153" s="3606"/>
      <c r="K1153" s="3607"/>
      <c r="L1153" s="3607"/>
      <c r="M1153" s="3608"/>
      <c r="O1153" s="3606"/>
      <c r="P1153" s="3607"/>
      <c r="Q1153" s="3607"/>
      <c r="R1153" s="3608"/>
      <c r="T1153" s="3606"/>
      <c r="U1153" s="3607"/>
      <c r="V1153" s="3607"/>
      <c r="W1153" s="3608"/>
      <c r="Y1153" s="3606"/>
      <c r="Z1153" s="3607"/>
      <c r="AA1153" s="3607"/>
      <c r="AB1153" s="3608"/>
      <c r="AD1153" s="3606"/>
      <c r="AE1153" s="3607"/>
      <c r="AF1153" s="3607"/>
      <c r="AG1153" s="3608"/>
      <c r="AH1153" s="3583"/>
      <c r="AI1153" s="6747"/>
    </row>
    <row r="1154" ht="20.25" customHeight="1">
      <c r="A1154" s="6738"/>
      <c r="B1154" s="5756"/>
      <c r="C1154" s="3112"/>
      <c r="D1154" s="5757"/>
      <c r="E1154" s="3610" t="s">
        <v>754</v>
      </c>
      <c r="F1154" s="3611"/>
      <c r="G1154" s="3611"/>
      <c r="H1154" s="3612"/>
      <c r="J1154" s="3610" t="s">
        <v>707</v>
      </c>
      <c r="K1154" s="3611"/>
      <c r="L1154" s="3611"/>
      <c r="M1154" s="3612"/>
      <c r="O1154" s="3610" t="s">
        <v>531</v>
      </c>
      <c r="P1154" s="3611"/>
      <c r="Q1154" s="3611"/>
      <c r="R1154" s="3612"/>
      <c r="T1154" s="3610" t="s">
        <v>564</v>
      </c>
      <c r="U1154" s="3611"/>
      <c r="V1154" s="3611"/>
      <c r="W1154" s="3612"/>
      <c r="Y1154" s="3610" t="s">
        <v>566</v>
      </c>
      <c r="Z1154" s="3611"/>
      <c r="AA1154" s="3611"/>
      <c r="AB1154" s="3612"/>
      <c r="AD1154" s="3610" t="s">
        <v>564</v>
      </c>
      <c r="AE1154" s="3611"/>
      <c r="AF1154" s="3611"/>
      <c r="AG1154" s="3612"/>
      <c r="AH1154" s="5740"/>
      <c r="AI1154" s="6747"/>
    </row>
    <row r="1155" ht="20.25" customHeight="1">
      <c r="A1155" s="6738"/>
      <c r="B1155" s="3572"/>
      <c r="C1155" s="6842"/>
      <c r="D1155" s="3574"/>
      <c r="E1155" s="3614" t="s">
        <v>83</v>
      </c>
      <c r="F1155" s="3579"/>
      <c r="G1155" s="3579"/>
      <c r="H1155" s="3615"/>
      <c r="J1155" s="3614" t="s">
        <v>1099</v>
      </c>
      <c r="K1155" s="3579"/>
      <c r="L1155" s="3579"/>
      <c r="M1155" s="3615"/>
      <c r="O1155" s="3614" t="s">
        <v>533</v>
      </c>
      <c r="P1155" s="3579"/>
      <c r="Q1155" s="3579"/>
      <c r="R1155" s="3615"/>
      <c r="T1155" s="3614" t="s">
        <v>97</v>
      </c>
      <c r="U1155" s="3579"/>
      <c r="V1155" s="3579"/>
      <c r="W1155" s="3615"/>
      <c r="Y1155" s="3614" t="s">
        <v>533</v>
      </c>
      <c r="Z1155" s="3579"/>
      <c r="AA1155" s="3579"/>
      <c r="AB1155" s="3615"/>
      <c r="AD1155" s="3614" t="s">
        <v>94</v>
      </c>
      <c r="AE1155" s="3579"/>
      <c r="AF1155" s="3579"/>
      <c r="AG1155" s="3615"/>
      <c r="AH1155" s="5740"/>
      <c r="AI1155" s="6747"/>
    </row>
    <row r="1156" ht="20.25" customHeight="1">
      <c r="A1156" s="6738"/>
      <c r="B1156" s="3572"/>
      <c r="C1156" s="3592"/>
      <c r="D1156" s="3574"/>
      <c r="E1156" s="3616" t="s">
        <v>2168</v>
      </c>
      <c r="F1156" s="3617"/>
      <c r="G1156" s="3618"/>
      <c r="H1156" s="3619" t="str">
        <f>IMAGE("https://raw.githubusercontent.com/msikma/pokesprite/master/items/hold-item/damp-rock.png",3)</f>
        <v/>
      </c>
      <c r="J1156" s="3616" t="s">
        <v>892</v>
      </c>
      <c r="K1156" s="3617"/>
      <c r="L1156" s="3618"/>
      <c r="M1156" s="3619" t="str">
        <f>IMAGE("https://raw.githubusercontent.com/msikma/pokesprite/master/items/hold-item/rocky-helmet.png",3)</f>
        <v/>
      </c>
      <c r="O1156" s="3616" t="s">
        <v>541</v>
      </c>
      <c r="P1156" s="3617"/>
      <c r="Q1156" s="3618"/>
      <c r="R1156" s="3619" t="str">
        <f>IMAGE("https://raw.githubusercontent.com/msikma/pokesprite/master/items/hold-item/life-orb.png",3)</f>
        <v/>
      </c>
      <c r="T1156" s="3616" t="s">
        <v>710</v>
      </c>
      <c r="U1156" s="3617"/>
      <c r="V1156" s="3618"/>
      <c r="W1156" s="3619" t="str">
        <f>IMAGE("https://raw.githubusercontent.com/msikma/pokesprite/master/items/hold-item/weakness-policy.png",3)</f>
        <v/>
      </c>
      <c r="Y1156" s="3616" t="s">
        <v>1743</v>
      </c>
      <c r="Z1156" s="3617"/>
      <c r="AA1156" s="3618"/>
      <c r="AB1156" s="3619" t="str">
        <f>IMAGE("https://raw.githubusercontent.com/msikma/pokesprite/master/items/z-crystals/waterium-z--held.png",3)</f>
        <v/>
      </c>
      <c r="AD1156" s="3616" t="s">
        <v>733</v>
      </c>
      <c r="AE1156" s="3617"/>
      <c r="AF1156" s="3618"/>
      <c r="AG1156" s="3619" t="str">
        <f>IMAGE("https://raw.githubusercontent.com/msikma/pokesprite/master/items/hold-item/leftovers.png",3)</f>
        <v/>
      </c>
      <c r="AH1156" s="3583"/>
      <c r="AI1156" s="6747"/>
    </row>
    <row r="1157" ht="20.25" customHeight="1">
      <c r="A1157" s="6738"/>
      <c r="B1157" s="3572"/>
      <c r="C1157" s="3620"/>
      <c r="D1157" s="3574"/>
      <c r="E1157" s="3610" t="s">
        <v>544</v>
      </c>
      <c r="F1157" s="3611"/>
      <c r="G1157" s="3621"/>
      <c r="H1157" s="3622" t="str">
        <f>IMAGE("https://raw.githubusercontent.com/msikma/pokesprite/master/misc/types/gen8/water.png",4,20,20)</f>
        <v/>
      </c>
      <c r="J1157" s="3610" t="s">
        <v>616</v>
      </c>
      <c r="K1157" s="3611"/>
      <c r="L1157" s="3621"/>
      <c r="M1157" s="3622" t="str">
        <f>IMAGE("https://raw.githubusercontent.com/msikma/pokesprite/master/misc/types/gen8/grass.png",4,20,20)</f>
        <v/>
      </c>
      <c r="O1157" s="3610" t="s">
        <v>699</v>
      </c>
      <c r="P1157" s="3611"/>
      <c r="Q1157" s="3621"/>
      <c r="R1157" s="3622" t="str">
        <f>IMAGE("https://raw.githubusercontent.com/msikma/pokesprite/master/misc/types/gen8/water.png",4,20,20)</f>
        <v/>
      </c>
      <c r="T1157" s="3610" t="s">
        <v>546</v>
      </c>
      <c r="U1157" s="3611"/>
      <c r="V1157" s="3621"/>
      <c r="W1157" s="3622" t="str">
        <f>IMAGE("https://raw.githubusercontent.com/msikma/pokesprite/master/misc/types/gen8/flying.png",4,20,20)</f>
        <v/>
      </c>
      <c r="Y1157" s="3610" t="s">
        <v>845</v>
      </c>
      <c r="Z1157" s="3611"/>
      <c r="AA1157" s="3621"/>
      <c r="AB1157" s="3622" t="str">
        <f>IMAGE("https://raw.githubusercontent.com/msikma/pokesprite/master/misc/types/gen8/water.png",4,20,20)</f>
        <v/>
      </c>
      <c r="AD1157" s="3610" t="s">
        <v>170</v>
      </c>
      <c r="AE1157" s="3611"/>
      <c r="AF1157" s="3621"/>
      <c r="AG1157" s="3622" t="str">
        <f>IMAGE("https://raw.githubusercontent.com/msikma/pokesprite/master/misc/types/gen8/psychic.png",4,20,20)</f>
        <v/>
      </c>
      <c r="AH1157" s="3583"/>
      <c r="AI1157" s="6747"/>
    </row>
    <row r="1158" ht="20.25" customHeight="1">
      <c r="A1158" s="6738"/>
      <c r="B1158" s="3572"/>
      <c r="C1158" s="3605"/>
      <c r="D1158" s="3574"/>
      <c r="E1158" s="3614" t="s">
        <v>551</v>
      </c>
      <c r="F1158" s="3579"/>
      <c r="G1158" s="3580"/>
      <c r="H1158" s="3623" t="str">
        <f>IMAGE("https://raw.githubusercontent.com/msikma/pokesprite/master/misc/types/gen8/flying.png",4,20,20)</f>
        <v/>
      </c>
      <c r="J1158" s="3614" t="s">
        <v>720</v>
      </c>
      <c r="K1158" s="3579"/>
      <c r="L1158" s="3580"/>
      <c r="M1158" s="3623" t="str">
        <f>IMAGE("https://raw.githubusercontent.com/msikma/pokesprite/master/misc/types/gen8/fighting.png",4,20,20)</f>
        <v/>
      </c>
      <c r="O1158" s="3614" t="s">
        <v>644</v>
      </c>
      <c r="P1158" s="3579"/>
      <c r="Q1158" s="3580"/>
      <c r="R1158" s="3623" t="str">
        <f>IMAGE("https://raw.githubusercontent.com/msikma/pokesprite/master/misc/types/gen8/ground.png",4,20,20)</f>
        <v/>
      </c>
      <c r="T1158" s="3614" t="s">
        <v>1701</v>
      </c>
      <c r="U1158" s="3579"/>
      <c r="V1158" s="3580"/>
      <c r="W1158" s="3623" t="str">
        <f>IMAGE("https://raw.githubusercontent.com/msikma/pokesprite/master/misc/types/gen8/psychic.png",4,20,20)</f>
        <v/>
      </c>
      <c r="Y1158" s="3614" t="s">
        <v>583</v>
      </c>
      <c r="Z1158" s="3579"/>
      <c r="AA1158" s="3580"/>
      <c r="AB1158" s="3623" t="str">
        <f>IMAGE("https://raw.githubusercontent.com/msikma/pokesprite/master/misc/types/gen8/fighting.png",4,20,20)</f>
        <v/>
      </c>
      <c r="AD1158" s="3614" t="s">
        <v>844</v>
      </c>
      <c r="AE1158" s="3579"/>
      <c r="AF1158" s="3580"/>
      <c r="AG1158" s="3623" t="str">
        <f>IMAGE("https://raw.githubusercontent.com/msikma/pokesprite/master/misc/types/gen8/electric.png",4,20,20)</f>
        <v/>
      </c>
      <c r="AH1158" s="3583"/>
      <c r="AI1158" s="6747"/>
    </row>
    <row r="1159" ht="20.25" customHeight="1">
      <c r="A1159" s="6738"/>
      <c r="B1159" s="3572"/>
      <c r="C1159" s="3605"/>
      <c r="D1159" s="3574"/>
      <c r="E1159" s="3614" t="s">
        <v>612</v>
      </c>
      <c r="F1159" s="3579"/>
      <c r="G1159" s="3580"/>
      <c r="H1159" s="3623" t="str">
        <f>IMAGE("https://raw.githubusercontent.com/msikma/pokesprite/master/misc/types/gen8/bug.png",4,20,20)</f>
        <v/>
      </c>
      <c r="J1159" s="3614" t="s">
        <v>579</v>
      </c>
      <c r="K1159" s="3579"/>
      <c r="L1159" s="3580"/>
      <c r="M1159" s="3623" t="str">
        <f>IMAGE("https://raw.githubusercontent.com/msikma/pokesprite/master/misc/types/gen8/dark.png",4,20,20)</f>
        <v/>
      </c>
      <c r="O1159" s="3614" t="s">
        <v>590</v>
      </c>
      <c r="P1159" s="3579"/>
      <c r="Q1159" s="3580"/>
      <c r="R1159" s="3623" t="str">
        <f>IMAGE("https://raw.githubusercontent.com/msikma/pokesprite/master/misc/types/gen8/fighting.png",4,20,20)</f>
        <v/>
      </c>
      <c r="T1159" s="3614" t="s">
        <v>699</v>
      </c>
      <c r="U1159" s="3579"/>
      <c r="V1159" s="3580"/>
      <c r="W1159" s="3623" t="str">
        <f>IMAGE("https://raw.githubusercontent.com/msikma/pokesprite/master/misc/types/gen8/water.png",4,20,20)</f>
        <v/>
      </c>
      <c r="Y1159" s="3614" t="s">
        <v>974</v>
      </c>
      <c r="Z1159" s="3579"/>
      <c r="AA1159" s="3580"/>
      <c r="AB1159" s="3623" t="str">
        <f t="shared" ref="AB1159:AB1160" si="46">IMAGE("https://raw.githubusercontent.com/msikma/pokesprite/master/misc/types/gen8/water.png",4,20,20)</f>
        <v/>
      </c>
      <c r="AD1159" s="3614" t="s">
        <v>699</v>
      </c>
      <c r="AE1159" s="3579"/>
      <c r="AF1159" s="3580"/>
      <c r="AG1159" s="3623" t="str">
        <f>IMAGE("https://raw.githubusercontent.com/msikma/pokesprite/master/misc/types/gen8/water.png",4,20,20)</f>
        <v/>
      </c>
      <c r="AH1159" s="3583"/>
      <c r="AI1159" s="6747"/>
    </row>
    <row r="1160" ht="21.0" customHeight="1">
      <c r="A1160" s="6738"/>
      <c r="B1160" s="3572"/>
      <c r="C1160" s="3605"/>
      <c r="D1160" s="3574"/>
      <c r="E1160" s="3624" t="s">
        <v>546</v>
      </c>
      <c r="F1160" s="3625"/>
      <c r="G1160" s="3626"/>
      <c r="H1160" s="3627" t="str">
        <f>IMAGE("https://raw.githubusercontent.com/msikma/pokesprite/master/misc/types/gen8/flying.png",4,20,20)</f>
        <v/>
      </c>
      <c r="I1160" s="3628"/>
      <c r="J1160" s="3624" t="s">
        <v>611</v>
      </c>
      <c r="K1160" s="3625"/>
      <c r="L1160" s="3626"/>
      <c r="M1160" s="3627" t="str">
        <f>IMAGE("https://raw.githubusercontent.com/msikma/pokesprite/master/misc/types/gen8/electric.png",4,20,20)</f>
        <v/>
      </c>
      <c r="N1160" s="3628"/>
      <c r="O1160" s="3624" t="s">
        <v>592</v>
      </c>
      <c r="P1160" s="3625"/>
      <c r="Q1160" s="3626"/>
      <c r="R1160" s="3627" t="str">
        <f>IMAGE("https://raw.githubusercontent.com/msikma/pokesprite/master/misc/types/gen8/water.png",4,20,20)</f>
        <v/>
      </c>
      <c r="S1160" s="3628"/>
      <c r="T1160" s="3624" t="s">
        <v>612</v>
      </c>
      <c r="U1160" s="3625"/>
      <c r="V1160" s="3626"/>
      <c r="W1160" s="3627" t="str">
        <f>IMAGE("https://raw.githubusercontent.com/msikma/pokesprite/master/misc/types/gen8/bug.png",4,20,20)</f>
        <v/>
      </c>
      <c r="X1160" s="3628"/>
      <c r="Y1160" s="3624" t="s">
        <v>542</v>
      </c>
      <c r="Z1160" s="3625"/>
      <c r="AA1160" s="3626"/>
      <c r="AB1160" s="3627" t="str">
        <f t="shared" si="46"/>
        <v/>
      </c>
      <c r="AC1160" s="3628"/>
      <c r="AD1160" s="3624" t="s">
        <v>718</v>
      </c>
      <c r="AE1160" s="3625"/>
      <c r="AF1160" s="3626"/>
      <c r="AG1160" s="3627" t="str">
        <f>IMAGE("https://raw.githubusercontent.com/msikma/pokesprite/master/misc/types/gen8/fighting.png",4,20,20)</f>
        <v/>
      </c>
      <c r="AH1160" s="3583"/>
      <c r="AI1160" s="6747"/>
    </row>
    <row r="1161" ht="3.0" customHeight="1">
      <c r="A1161" s="6738"/>
      <c r="B1161" s="3630"/>
      <c r="C1161" s="3631"/>
      <c r="D1161" s="3632"/>
      <c r="E1161" s="3634"/>
      <c r="F1161" s="3634"/>
      <c r="G1161" s="3634"/>
      <c r="H1161" s="3633"/>
      <c r="I1161" s="3632"/>
      <c r="J1161" s="3634"/>
      <c r="K1161" s="3634"/>
      <c r="L1161" s="3634"/>
      <c r="M1161" s="3633"/>
      <c r="N1161" s="3632"/>
      <c r="O1161" s="3634"/>
      <c r="P1161" s="3634"/>
      <c r="Q1161" s="3634"/>
      <c r="R1161" s="3633"/>
      <c r="S1161" s="3635"/>
      <c r="T1161" s="3634"/>
      <c r="U1161" s="3634"/>
      <c r="V1161" s="3634"/>
      <c r="W1161" s="3633"/>
      <c r="X1161" s="3632"/>
      <c r="Y1161" s="3634"/>
      <c r="Z1161" s="3634"/>
      <c r="AA1161" s="3634"/>
      <c r="AB1161" s="3633"/>
      <c r="AC1161" s="3637"/>
      <c r="AD1161" s="3634"/>
      <c r="AE1161" s="3634"/>
      <c r="AF1161" s="3634"/>
      <c r="AG1161" s="3633"/>
      <c r="AH1161" s="3638"/>
      <c r="AI1161" s="6747"/>
    </row>
    <row r="1162" ht="16.5" customHeight="1">
      <c r="A1162" s="6738"/>
      <c r="B1162" s="3639"/>
      <c r="C1162" s="3631"/>
      <c r="D1162" s="4590"/>
      <c r="E1162" s="3641" t="s">
        <v>512</v>
      </c>
      <c r="F1162" s="606"/>
      <c r="G1162" s="606"/>
      <c r="H1162" s="607"/>
      <c r="I1162" s="3642"/>
      <c r="J1162" s="3641" t="s">
        <v>512</v>
      </c>
      <c r="K1162" s="606"/>
      <c r="L1162" s="606"/>
      <c r="M1162" s="607"/>
      <c r="N1162" s="4590"/>
      <c r="O1162" s="3641" t="s">
        <v>512</v>
      </c>
      <c r="P1162" s="606"/>
      <c r="Q1162" s="606"/>
      <c r="R1162" s="607"/>
      <c r="S1162" s="4591"/>
      <c r="T1162" s="3641" t="s">
        <v>512</v>
      </c>
      <c r="U1162" s="606"/>
      <c r="V1162" s="606"/>
      <c r="W1162" s="607"/>
      <c r="X1162" s="4592"/>
      <c r="Y1162" s="3641" t="s">
        <v>512</v>
      </c>
      <c r="Z1162" s="606"/>
      <c r="AA1162" s="606"/>
      <c r="AB1162" s="607"/>
      <c r="AC1162" s="4592"/>
      <c r="AD1162" s="3641" t="s">
        <v>512</v>
      </c>
      <c r="AE1162" s="606"/>
      <c r="AF1162" s="606"/>
      <c r="AG1162" s="607"/>
      <c r="AH1162" s="3645"/>
      <c r="AI1162" s="6747"/>
    </row>
    <row r="1163" ht="16.5" customHeight="1">
      <c r="A1163" s="6738"/>
      <c r="B1163" s="3639"/>
      <c r="C1163" s="3631"/>
      <c r="D1163" s="3640"/>
      <c r="E1163" s="3646" t="s">
        <v>513</v>
      </c>
      <c r="F1163" s="3647">
        <f t="array" ref="F1163">IFERROR(VLOOKUP(E1150,Dex!$B$3:$N1219,8,FALSE),"")</f>
        <v>60</v>
      </c>
      <c r="G1163" s="3648" t="str">
        <f t="array" ref="G1163">IFERROR(VLOOKUP(F1163,Dex!$P$22:$Q$276,2,FALSE),"")</f>
        <v/>
      </c>
      <c r="H1163" s="3649"/>
      <c r="I1163" s="3650"/>
      <c r="J1163" s="3646" t="s">
        <v>513</v>
      </c>
      <c r="K1163" s="3647">
        <f t="array" ref="K1163">IFERROR(VLOOKUP(J1150,Dex!$B$3:$N1219,8,FALSE),"")</f>
        <v>74</v>
      </c>
      <c r="L1163" s="3648" t="str">
        <f t="array" ref="L1163">IFERROR(VLOOKUP(K1163,Dex!$P$22:$Q$276,2,FALSE),"")</f>
        <v/>
      </c>
      <c r="M1163" s="3649"/>
      <c r="N1163" s="3640"/>
      <c r="O1163" s="3646" t="s">
        <v>513</v>
      </c>
      <c r="P1163" s="3647">
        <f t="array" ref="P1163">IFERROR(VLOOKUP(O1150,Dex!$B$3:$N1219,8,FALSE),"")</f>
        <v>105</v>
      </c>
      <c r="Q1163" s="3648" t="str">
        <f t="array" ref="Q1163">IFERROR(VLOOKUP(P1163,Dex!$P$22:$Q$276,2,FALSE),"")</f>
        <v/>
      </c>
      <c r="R1163" s="3649"/>
      <c r="S1163" s="3644"/>
      <c r="T1163" s="3646" t="s">
        <v>513</v>
      </c>
      <c r="U1163" s="3647">
        <f t="array" ref="U1163">IFERROR(VLOOKUP(T1150,Dex!$B$3:$N1219,8,FALSE),"")</f>
        <v>90</v>
      </c>
      <c r="V1163" s="3648" t="str">
        <f t="array" ref="V1163">IFERROR(VLOOKUP(U1163,Dex!$P$22:$Q$276,2,FALSE),"")</f>
        <v/>
      </c>
      <c r="W1163" s="3649"/>
      <c r="X1163" s="3644"/>
      <c r="Y1163" s="3646" t="s">
        <v>513</v>
      </c>
      <c r="Z1163" s="3647">
        <f t="array" ref="Z1163">IFERROR(VLOOKUP(Y1150,Dex!$B$3:$N1219,8,FALSE),"")</f>
        <v>61</v>
      </c>
      <c r="AA1163" s="3648" t="str">
        <f t="array" ref="AA1163">IFERROR(VLOOKUP(Z1163,Dex!$P$22:$Q$276,2,FALSE),"")</f>
        <v/>
      </c>
      <c r="AB1163" s="3649"/>
      <c r="AC1163" s="3644"/>
      <c r="AD1163" s="3646" t="s">
        <v>513</v>
      </c>
      <c r="AE1163" s="3647">
        <f t="array" ref="AE1163">IFERROR(VLOOKUP(AD1150,Dex!$B$3:$N1219,8,FALSE),"")</f>
        <v>90</v>
      </c>
      <c r="AF1163" s="3648" t="str">
        <f t="array" ref="AF1163">IFERROR(VLOOKUP(AE1163,Dex!$P$22:$Q$276,2,FALSE),"")</f>
        <v/>
      </c>
      <c r="AG1163" s="3649"/>
      <c r="AH1163" s="3645"/>
      <c r="AI1163" s="6747"/>
    </row>
    <row r="1164" ht="16.5" customHeight="1">
      <c r="A1164" s="6738"/>
      <c r="B1164" s="3639"/>
      <c r="C1164" s="3631"/>
      <c r="D1164" s="3640"/>
      <c r="E1164" s="3652" t="s">
        <v>514</v>
      </c>
      <c r="F1164" s="3653">
        <f t="array" ref="F1164">IFERROR(VLOOKUP(E1150,Dex!$B$3:$N1219,9,FALSE),"")</f>
        <v>50</v>
      </c>
      <c r="G1164" s="3654" t="str">
        <f t="array" ref="G1164">IFERROR(VLOOKUP(F1164,Dex!$P$22:$Q$276,2,FALSE),"")</f>
        <v/>
      </c>
      <c r="H1164" s="3655"/>
      <c r="I1164" s="3650"/>
      <c r="J1164" s="3652" t="s">
        <v>514</v>
      </c>
      <c r="K1164" s="3653">
        <f t="array" ref="K1164">IFERROR(VLOOKUP(J1150,Dex!$B$3:$N1219,9,FALSE),"")</f>
        <v>94</v>
      </c>
      <c r="L1164" s="3654" t="str">
        <f t="array" ref="L1164">IFERROR(VLOOKUP(K1164,Dex!$P$22:$Q$276,2,FALSE),"")</f>
        <v/>
      </c>
      <c r="M1164" s="3655"/>
      <c r="N1164" s="3640"/>
      <c r="O1164" s="3652" t="s">
        <v>514</v>
      </c>
      <c r="P1164" s="3653">
        <f t="array" ref="P1164">IFERROR(VLOOKUP(O1150,Dex!$B$3:$N1219,9,FALSE),"")</f>
        <v>95</v>
      </c>
      <c r="Q1164" s="3654" t="str">
        <f t="array" ref="Q1164">IFERROR(VLOOKUP(P1164,Dex!$P$22:$Q$276,2,FALSE),"")</f>
        <v/>
      </c>
      <c r="R1164" s="3655"/>
      <c r="S1164" s="3644"/>
      <c r="T1164" s="3652" t="s">
        <v>514</v>
      </c>
      <c r="U1164" s="3653">
        <f t="array" ref="U1164">IFERROR(VLOOKUP(T1150,Dex!$B$3:$N1219,9,FALSE),"")</f>
        <v>70</v>
      </c>
      <c r="V1164" s="3654" t="str">
        <f t="array" ref="V1164">IFERROR(VLOOKUP(U1164,Dex!$P$22:$Q$276,2,FALSE),"")</f>
        <v/>
      </c>
      <c r="W1164" s="3655"/>
      <c r="X1164" s="3644"/>
      <c r="Y1164" s="3652" t="s">
        <v>514</v>
      </c>
      <c r="Z1164" s="3653">
        <f t="array" ref="Z1164">IFERROR(VLOOKUP(Y1150,Dex!$B$3:$N1219,9,FALSE),"")</f>
        <v>123</v>
      </c>
      <c r="AA1164" s="3654" t="str">
        <f t="array" ref="AA1164">IFERROR(VLOOKUP(Z1164,Dex!$P$22:$Q$276,2,FALSE),"")</f>
        <v/>
      </c>
      <c r="AB1164" s="3655"/>
      <c r="AC1164" s="3644"/>
      <c r="AD1164" s="3652" t="s">
        <v>514</v>
      </c>
      <c r="AE1164" s="3653">
        <f t="array" ref="AE1164">IFERROR(VLOOKUP(AD1150,Dex!$B$3:$N1219,9,FALSE),"")</f>
        <v>85</v>
      </c>
      <c r="AF1164" s="3654" t="str">
        <f t="array" ref="AF1164">IFERROR(VLOOKUP(AE1164,Dex!$P$22:$Q$276,2,FALSE),"")</f>
        <v/>
      </c>
      <c r="AG1164" s="3655"/>
      <c r="AH1164" s="3645"/>
      <c r="AI1164" s="6747"/>
    </row>
    <row r="1165" ht="16.5" customHeight="1">
      <c r="A1165" s="6738"/>
      <c r="B1165" s="3639"/>
      <c r="C1165" s="3631"/>
      <c r="D1165" s="3640"/>
      <c r="E1165" s="3652" t="s">
        <v>515</v>
      </c>
      <c r="F1165" s="3653">
        <f t="array" ref="F1165">IFERROR(VLOOKUP(E1150,Dex!$B$3:$N1219,10,FALSE),"")</f>
        <v>100</v>
      </c>
      <c r="G1165" s="3654" t="str">
        <f t="array" ref="G1165">IFERROR(VLOOKUP(F1165,Dex!$P$22:$Q$276,2,FALSE),"")</f>
        <v/>
      </c>
      <c r="H1165" s="3655"/>
      <c r="I1165" s="3650"/>
      <c r="J1165" s="3652" t="s">
        <v>515</v>
      </c>
      <c r="K1165" s="3653">
        <f t="array" ref="K1165">IFERROR(VLOOKUP(J1150,Dex!$B$3:$N1219,10,FALSE),"")</f>
        <v>131</v>
      </c>
      <c r="L1165" s="3654" t="str">
        <f t="array" ref="L1165">IFERROR(VLOOKUP(K1165,Dex!$P$22:$Q$276,2,FALSE),"")</f>
        <v/>
      </c>
      <c r="M1165" s="3655"/>
      <c r="N1165" s="3640"/>
      <c r="O1165" s="3652" t="s">
        <v>515</v>
      </c>
      <c r="P1165" s="3653">
        <f t="array" ref="P1165">IFERROR(VLOOKUP(O1150,Dex!$B$3:$N1219,10,FALSE),"")</f>
        <v>75</v>
      </c>
      <c r="Q1165" s="3654" t="str">
        <f t="array" ref="Q1165">IFERROR(VLOOKUP(P1165,Dex!$P$22:$Q$276,2,FALSE),"")</f>
        <v/>
      </c>
      <c r="R1165" s="3655"/>
      <c r="S1165" s="3644"/>
      <c r="T1165" s="3652" t="s">
        <v>515</v>
      </c>
      <c r="U1165" s="3653">
        <f t="array" ref="U1165">IFERROR(VLOOKUP(T1150,Dex!$B$3:$N1219,10,FALSE),"")</f>
        <v>95</v>
      </c>
      <c r="V1165" s="3654" t="str">
        <f t="array" ref="V1165">IFERROR(VLOOKUP(U1165,Dex!$P$22:$Q$276,2,FALSE),"")</f>
        <v/>
      </c>
      <c r="W1165" s="3655"/>
      <c r="X1165" s="3644"/>
      <c r="Y1165" s="3652" t="s">
        <v>515</v>
      </c>
      <c r="Z1165" s="3653">
        <f t="array" ref="Z1165">IFERROR(VLOOKUP(Y1150,Dex!$B$3:$N1219,10,FALSE),"")</f>
        <v>60</v>
      </c>
      <c r="AA1165" s="3654" t="str">
        <f t="array" ref="AA1165">IFERROR(VLOOKUP(Z1165,Dex!$P$22:$Q$276,2,FALSE),"")</f>
        <v/>
      </c>
      <c r="AB1165" s="3655"/>
      <c r="AC1165" s="3644"/>
      <c r="AD1165" s="3652" t="s">
        <v>515</v>
      </c>
      <c r="AE1165" s="3653">
        <f t="array" ref="AE1165">IFERROR(VLOOKUP(AD1150,Dex!$B$3:$N1219,10,FALSE),"")</f>
        <v>75</v>
      </c>
      <c r="AF1165" s="3654" t="str">
        <f t="array" ref="AF1165">IFERROR(VLOOKUP(AE1165,Dex!$P$22:$Q$276,2,FALSE),"")</f>
        <v/>
      </c>
      <c r="AG1165" s="3655"/>
      <c r="AH1165" s="3645"/>
      <c r="AI1165" s="6747"/>
    </row>
    <row r="1166" ht="16.5" customHeight="1">
      <c r="A1166" s="6738"/>
      <c r="B1166" s="3639"/>
      <c r="C1166" s="3631"/>
      <c r="D1166" s="3640"/>
      <c r="E1166" s="3652" t="s">
        <v>516</v>
      </c>
      <c r="F1166" s="3653">
        <f t="array" ref="F1166">IFERROR(VLOOKUP(E1150,Dex!$B$3:$N1219,11,FALSE),"")</f>
        <v>95</v>
      </c>
      <c r="G1166" s="3654" t="str">
        <f t="array" ref="G1166">IFERROR(VLOOKUP(F1166,Dex!$P$22:$Q$276,2,FALSE),"")</f>
        <v/>
      </c>
      <c r="H1166" s="3655"/>
      <c r="I1166" s="3650"/>
      <c r="J1166" s="3652" t="s">
        <v>516</v>
      </c>
      <c r="K1166" s="3653">
        <f t="array" ref="K1166">IFERROR(VLOOKUP(J1150,Dex!$B$3:$N1219,11,FALSE),"")</f>
        <v>54</v>
      </c>
      <c r="L1166" s="3654" t="str">
        <f t="array" ref="L1166">IFERROR(VLOOKUP(K1166,Dex!$P$22:$Q$276,2,FALSE),"")</f>
        <v/>
      </c>
      <c r="M1166" s="3655"/>
      <c r="N1166" s="3640"/>
      <c r="O1166" s="3652" t="s">
        <v>516</v>
      </c>
      <c r="P1166" s="3653">
        <f t="array" ref="P1166">IFERROR(VLOOKUP(O1150,Dex!$B$3:$N1219,11,FALSE),"")</f>
        <v>85</v>
      </c>
      <c r="Q1166" s="3654" t="str">
        <f t="array" ref="Q1166">IFERROR(VLOOKUP(P1166,Dex!$P$22:$Q$276,2,FALSE),"")</f>
        <v/>
      </c>
      <c r="R1166" s="3655"/>
      <c r="S1166" s="3644"/>
      <c r="T1166" s="3652" t="s">
        <v>516</v>
      </c>
      <c r="U1166" s="3653">
        <f t="array" ref="U1166">IFERROR(VLOOKUP(T1150,Dex!$B$3:$N1219,11,FALSE),"")</f>
        <v>125</v>
      </c>
      <c r="V1166" s="3654" t="str">
        <f t="array" ref="V1166">IFERROR(VLOOKUP(U1166,Dex!$P$22:$Q$276,2,FALSE),"")</f>
        <v/>
      </c>
      <c r="W1166" s="3655"/>
      <c r="X1166" s="3644"/>
      <c r="Y1166" s="3652" t="s">
        <v>516</v>
      </c>
      <c r="Z1166" s="3653">
        <f t="array" ref="Z1166">IFERROR(VLOOKUP(Y1150,Dex!$B$3:$N1219,11,FALSE),"")</f>
        <v>60</v>
      </c>
      <c r="AA1166" s="3654" t="str">
        <f t="array" ref="AA1166">IFERROR(VLOOKUP(Z1166,Dex!$P$22:$Q$276,2,FALSE),"")</f>
        <v/>
      </c>
      <c r="AB1166" s="3655"/>
      <c r="AC1166" s="3644"/>
      <c r="AD1166" s="3652" t="s">
        <v>516</v>
      </c>
      <c r="AE1166" s="3653">
        <f t="array" ref="AE1166">IFERROR(VLOOKUP(AD1150,Dex!$B$3:$N1219,11,FALSE),"")</f>
        <v>115</v>
      </c>
      <c r="AF1166" s="3654" t="str">
        <f t="array" ref="AF1166">IFERROR(VLOOKUP(AE1166,Dex!$P$22:$Q$276,2,FALSE),"")</f>
        <v/>
      </c>
      <c r="AG1166" s="3655"/>
      <c r="AH1166" s="3645"/>
      <c r="AI1166" s="6747"/>
    </row>
    <row r="1167" ht="16.5" customHeight="1">
      <c r="A1167" s="6738"/>
      <c r="B1167" s="3639"/>
      <c r="C1167" s="3631"/>
      <c r="D1167" s="3640"/>
      <c r="E1167" s="3652" t="s">
        <v>517</v>
      </c>
      <c r="F1167" s="3653">
        <f t="array" ref="F1167">IFERROR(VLOOKUP(E1150,Dex!$B$3:$N1219,12,FALSE),"")</f>
        <v>70</v>
      </c>
      <c r="G1167" s="3654" t="str">
        <f t="array" ref="G1167">IFERROR(VLOOKUP(F1167,Dex!$P$22:$Q$276,2,FALSE),"")</f>
        <v/>
      </c>
      <c r="H1167" s="3655"/>
      <c r="I1167" s="3650"/>
      <c r="J1167" s="3652" t="s">
        <v>517</v>
      </c>
      <c r="K1167" s="3653">
        <f t="array" ref="K1167">IFERROR(VLOOKUP(J1150,Dex!$B$3:$N1219,12,FALSE),"")</f>
        <v>116</v>
      </c>
      <c r="L1167" s="3654" t="str">
        <f t="array" ref="L1167">IFERROR(VLOOKUP(K1167,Dex!$P$22:$Q$276,2,FALSE),"")</f>
        <v/>
      </c>
      <c r="M1167" s="3655"/>
      <c r="N1167" s="3640"/>
      <c r="O1167" s="3652" t="s">
        <v>517</v>
      </c>
      <c r="P1167" s="3653">
        <f t="array" ref="P1167">IFERROR(VLOOKUP(O1150,Dex!$B$3:$N1219,12,FALSE),"")</f>
        <v>75</v>
      </c>
      <c r="Q1167" s="3654" t="str">
        <f t="array" ref="Q1167">IFERROR(VLOOKUP(P1167,Dex!$P$22:$Q$276,2,FALSE),"")</f>
        <v/>
      </c>
      <c r="R1167" s="3655"/>
      <c r="S1167" s="3644"/>
      <c r="T1167" s="3652" t="s">
        <v>517</v>
      </c>
      <c r="U1167" s="3653">
        <f t="array" ref="U1167">IFERROR(VLOOKUP(T1150,Dex!$B$3:$N1219,12,FALSE),"")</f>
        <v>100</v>
      </c>
      <c r="V1167" s="3654" t="str">
        <f t="array" ref="V1167">IFERROR(VLOOKUP(U1167,Dex!$P$22:$Q$276,2,FALSE),"")</f>
        <v/>
      </c>
      <c r="W1167" s="3655"/>
      <c r="X1167" s="3644"/>
      <c r="Y1167" s="3652" t="s">
        <v>517</v>
      </c>
      <c r="Z1167" s="3653">
        <f t="array" ref="Z1167">IFERROR(VLOOKUP(Y1150,Dex!$B$3:$N1219,12,FALSE),"")</f>
        <v>50</v>
      </c>
      <c r="AA1167" s="3654" t="str">
        <f t="array" ref="AA1167">IFERROR(VLOOKUP(Z1167,Dex!$P$22:$Q$276,2,FALSE),"")</f>
        <v/>
      </c>
      <c r="AB1167" s="3655"/>
      <c r="AC1167" s="3644"/>
      <c r="AD1167" s="3652" t="s">
        <v>517</v>
      </c>
      <c r="AE1167" s="3653">
        <f t="array" ref="AE1167">IFERROR(VLOOKUP(AD1150,Dex!$B$3:$N1219,12,FALSE),"")</f>
        <v>100</v>
      </c>
      <c r="AF1167" s="3654" t="str">
        <f t="array" ref="AF1167">IFERROR(VLOOKUP(AE1167,Dex!$P$22:$Q$276,2,FALSE),"")</f>
        <v/>
      </c>
      <c r="AG1167" s="3655"/>
      <c r="AH1167" s="3645"/>
      <c r="AI1167" s="6747"/>
    </row>
    <row r="1168" ht="16.5" customHeight="1">
      <c r="A1168" s="6738"/>
      <c r="B1168" s="3639"/>
      <c r="C1168" s="3631"/>
      <c r="D1168" s="3640"/>
      <c r="E1168" s="3658" t="s">
        <v>518</v>
      </c>
      <c r="F1168" s="3659">
        <f t="array" ref="F1168">IFERROR(VLOOKUP(E1150,Dex!$B$3:$N1219,13,FALSE),"")</f>
        <v>65</v>
      </c>
      <c r="G1168" s="3660" t="str">
        <f t="array" ref="G1168">IFERROR(VLOOKUP(F1168,Dex!$P$22:$Q$276,2,FALSE),"")</f>
        <v/>
      </c>
      <c r="H1168" s="3661"/>
      <c r="I1168" s="3650"/>
      <c r="J1168" s="3658" t="s">
        <v>518</v>
      </c>
      <c r="K1168" s="3659">
        <f t="array" ref="K1168">IFERROR(VLOOKUP(J1150,Dex!$B$3:$N1219,13,FALSE),"")</f>
        <v>20</v>
      </c>
      <c r="L1168" s="3660" t="str">
        <f t="array" ref="L1168">IFERROR(VLOOKUP(K1168,Dex!$P$22:$Q$276,2,FALSE),"")</f>
        <v/>
      </c>
      <c r="M1168" s="3661"/>
      <c r="N1168" s="3640"/>
      <c r="O1168" s="3658" t="s">
        <v>518</v>
      </c>
      <c r="P1168" s="3659">
        <f t="array" ref="P1168">IFERROR(VLOOKUP(O1150,Dex!$B$3:$N1219,13,FALSE),"")</f>
        <v>74</v>
      </c>
      <c r="Q1168" s="3660" t="str">
        <f t="array" ref="Q1168">IFERROR(VLOOKUP(P1168,Dex!$P$22:$Q$276,2,FALSE),"")</f>
        <v/>
      </c>
      <c r="R1168" s="3661"/>
      <c r="S1168" s="3644"/>
      <c r="T1168" s="3658" t="s">
        <v>518</v>
      </c>
      <c r="U1168" s="3659">
        <f t="array" ref="U1168">IFERROR(VLOOKUP(T1150,Dex!$B$3:$N1219,13,FALSE),"")</f>
        <v>100</v>
      </c>
      <c r="V1168" s="3660" t="str">
        <f t="array" ref="V1168">IFERROR(VLOOKUP(U1168,Dex!$P$22:$Q$276,2,FALSE),"")</f>
        <v/>
      </c>
      <c r="W1168" s="3661"/>
      <c r="X1168" s="3644"/>
      <c r="Y1168" s="3658" t="s">
        <v>518</v>
      </c>
      <c r="Z1168" s="3659">
        <f t="array" ref="Z1168">IFERROR(VLOOKUP(Y1150,Dex!$B$3:$N1219,13,FALSE),"")</f>
        <v>136</v>
      </c>
      <c r="AA1168" s="3660" t="str">
        <f t="array" ref="AA1168">IFERROR(VLOOKUP(Z1168,Dex!$P$22:$Q$276,2,FALSE),"")</f>
        <v/>
      </c>
      <c r="AB1168" s="3661"/>
      <c r="AC1168" s="3644"/>
      <c r="AD1168" s="3658" t="s">
        <v>518</v>
      </c>
      <c r="AE1168" s="3659">
        <f t="array" ref="AE1168">IFERROR(VLOOKUP(AD1150,Dex!$B$3:$N1219,13,FALSE),"")</f>
        <v>115</v>
      </c>
      <c r="AF1168" s="3660" t="str">
        <f t="array" ref="AF1168">IFERROR(VLOOKUP(AE1168,Dex!$P$22:$Q$276,2,FALSE),"")</f>
        <v/>
      </c>
      <c r="AG1168" s="3661"/>
      <c r="AH1168" s="3645"/>
      <c r="AI1168" s="6747"/>
    </row>
    <row r="1169" ht="16.5" customHeight="1">
      <c r="A1169" s="6738"/>
      <c r="B1169" s="3639"/>
      <c r="C1169" s="3631"/>
      <c r="D1169" s="4590"/>
      <c r="E1169" s="3662" t="s">
        <v>519</v>
      </c>
      <c r="F1169" s="630"/>
      <c r="G1169" s="631"/>
      <c r="H1169" s="6843">
        <v>166.0</v>
      </c>
      <c r="I1169" s="3642"/>
      <c r="J1169" s="3662" t="s">
        <v>519</v>
      </c>
      <c r="K1169" s="630"/>
      <c r="L1169" s="631"/>
      <c r="M1169" s="6843">
        <v>45.0</v>
      </c>
      <c r="N1169" s="4590"/>
      <c r="O1169" s="4593" t="s">
        <v>519</v>
      </c>
      <c r="P1169" s="635"/>
      <c r="Q1169" s="636"/>
      <c r="R1169" s="6844">
        <v>184.0</v>
      </c>
      <c r="S1169" s="4592"/>
      <c r="T1169" s="3662" t="s">
        <v>519</v>
      </c>
      <c r="U1169" s="630"/>
      <c r="V1169" s="631"/>
      <c r="W1169" s="6843">
        <v>259.0</v>
      </c>
      <c r="X1169" s="4592"/>
      <c r="Y1169" s="4593" t="s">
        <v>519</v>
      </c>
      <c r="Z1169" s="635"/>
      <c r="AA1169" s="636"/>
      <c r="AB1169" s="6844">
        <v>308.0</v>
      </c>
      <c r="AC1169" s="4592"/>
      <c r="AD1169" s="3662" t="s">
        <v>519</v>
      </c>
      <c r="AE1169" s="630"/>
      <c r="AF1169" s="631"/>
      <c r="AG1169" s="6843">
        <v>292.0</v>
      </c>
      <c r="AH1169" s="3645"/>
      <c r="AI1169" s="6747"/>
    </row>
    <row r="1170" ht="16.5" customHeight="1">
      <c r="A1170" s="6738"/>
      <c r="B1170" s="4594"/>
      <c r="C1170" s="5479"/>
      <c r="D1170" s="5480"/>
      <c r="E1170" s="5481"/>
      <c r="F1170" s="5481"/>
      <c r="G1170" s="5481"/>
      <c r="H1170" s="5479"/>
      <c r="I1170" s="5482"/>
      <c r="J1170" s="5481"/>
      <c r="K1170" s="5481"/>
      <c r="L1170" s="5481"/>
      <c r="M1170" s="5479"/>
      <c r="N1170" s="4595"/>
      <c r="O1170" s="4597" t="s">
        <v>555</v>
      </c>
      <c r="P1170" s="643"/>
      <c r="Q1170" s="644"/>
      <c r="R1170" s="7617">
        <v>368.0</v>
      </c>
      <c r="S1170" s="4598"/>
      <c r="T1170" s="5481"/>
      <c r="U1170" s="5481"/>
      <c r="V1170" s="5481"/>
      <c r="W1170" s="5479"/>
      <c r="X1170" s="4598"/>
      <c r="Y1170" s="4597" t="s">
        <v>555</v>
      </c>
      <c r="Z1170" s="643"/>
      <c r="AA1170" s="644"/>
      <c r="AB1170" s="7617">
        <v>616.0</v>
      </c>
      <c r="AC1170" s="4598"/>
      <c r="AD1170" s="5481"/>
      <c r="AE1170" s="5481"/>
      <c r="AF1170" s="5481"/>
      <c r="AG1170" s="5479"/>
      <c r="AH1170" s="4600"/>
      <c r="AI1170" s="6747"/>
    </row>
    <row r="1171" ht="15.0" customHeight="1">
      <c r="A1171" s="6738"/>
      <c r="B1171" s="3663"/>
      <c r="C1171" s="3664"/>
      <c r="D1171" s="3665"/>
      <c r="E1171" s="3666"/>
      <c r="F1171" s="3666"/>
      <c r="G1171" s="3666"/>
      <c r="H1171" s="3667"/>
      <c r="I1171" s="3667"/>
      <c r="J1171" s="3666"/>
      <c r="K1171" s="3666"/>
      <c r="L1171" s="3666"/>
      <c r="M1171" s="3667"/>
      <c r="N1171" s="3669"/>
      <c r="O1171" s="5738"/>
      <c r="P1171" s="5738"/>
      <c r="Q1171" s="5739"/>
      <c r="R1171" s="3671"/>
      <c r="S1171" s="3671"/>
      <c r="T1171" s="3670"/>
      <c r="U1171" s="3670"/>
      <c r="V1171" s="3671"/>
      <c r="W1171" s="3671"/>
      <c r="X1171" s="3669"/>
      <c r="Y1171" s="5738"/>
      <c r="Z1171" s="5738"/>
      <c r="AA1171" s="5739"/>
      <c r="AB1171" s="3671"/>
      <c r="AC1171" s="3672"/>
      <c r="AD1171" s="3670"/>
      <c r="AE1171" s="3670"/>
      <c r="AF1171" s="3671"/>
      <c r="AG1171" s="3671"/>
      <c r="AH1171" s="3673"/>
      <c r="AI1171" s="6747"/>
    </row>
    <row r="1172" ht="15.0" customHeight="1">
      <c r="A1172" s="6738"/>
      <c r="B1172" s="4698"/>
      <c r="C1172" s="4699"/>
      <c r="D1172" s="4699"/>
      <c r="E1172" s="4699"/>
      <c r="F1172" s="4699"/>
      <c r="G1172" s="4699"/>
      <c r="H1172" s="4699"/>
      <c r="I1172" s="4699"/>
      <c r="J1172" s="4699"/>
      <c r="K1172" s="4699"/>
      <c r="L1172" s="4699"/>
      <c r="M1172" s="4699"/>
      <c r="N1172" s="4699"/>
      <c r="O1172" s="4699"/>
      <c r="P1172" s="4699"/>
      <c r="Q1172" s="4699"/>
      <c r="R1172" s="4699"/>
      <c r="S1172" s="4699"/>
      <c r="T1172" s="4699"/>
      <c r="U1172" s="4699"/>
      <c r="V1172" s="4699"/>
      <c r="W1172" s="4699"/>
      <c r="X1172" s="4699"/>
      <c r="Y1172" s="4699"/>
      <c r="Z1172" s="4699"/>
      <c r="AA1172" s="4699"/>
      <c r="AB1172" s="4699"/>
      <c r="AC1172" s="4699"/>
      <c r="AD1172" s="4699"/>
      <c r="AE1172" s="4699"/>
      <c r="AF1172" s="4699"/>
      <c r="AG1172" s="4699"/>
      <c r="AH1172" s="4700"/>
      <c r="AI1172" s="6747"/>
    </row>
    <row r="1173">
      <c r="A1173" s="6738"/>
      <c r="B1173" s="4701"/>
      <c r="C1173" s="4702"/>
      <c r="D1173" s="4703"/>
      <c r="E1173" s="4704" t="s">
        <v>2194</v>
      </c>
      <c r="F1173" s="4705"/>
      <c r="G1173" s="4705"/>
      <c r="H1173" s="4705"/>
      <c r="I1173" s="4705"/>
      <c r="J1173" s="4705"/>
      <c r="K1173" s="4705"/>
      <c r="L1173" s="4705"/>
      <c r="M1173" s="4705"/>
      <c r="N1173" s="4705"/>
      <c r="O1173" s="4705"/>
      <c r="P1173" s="4705"/>
      <c r="Q1173" s="4705"/>
      <c r="R1173" s="4705"/>
      <c r="S1173" s="4705"/>
      <c r="T1173" s="4705"/>
      <c r="U1173" s="4705"/>
      <c r="V1173" s="4705"/>
      <c r="W1173" s="4705"/>
      <c r="X1173" s="4705"/>
      <c r="Y1173" s="4705"/>
      <c r="Z1173" s="4705"/>
      <c r="AA1173" s="4705"/>
      <c r="AB1173" s="4705"/>
      <c r="AC1173" s="4705"/>
      <c r="AD1173" s="4705"/>
      <c r="AE1173" s="4705"/>
      <c r="AF1173" s="4705"/>
      <c r="AG1173" s="4706"/>
      <c r="AH1173" s="4707"/>
      <c r="AI1173" s="6747"/>
    </row>
    <row r="1174" ht="96.75" customHeight="1">
      <c r="A1174" s="6738"/>
      <c r="B1174" s="4701"/>
      <c r="C1174" s="4708" t="str">
        <f>IMAGE("https://i.ibb.co/26DXmkJ/Ghost.png")</f>
        <v/>
      </c>
      <c r="D1174" s="4709"/>
      <c r="E1174" s="4710" t="str">
        <f t="array" ref="E1174">IFERROR(VLOOKUP(E1175,Dex!$B$3:$G1219,3,FALSE),"")</f>
        <v/>
      </c>
      <c r="F1174" s="606"/>
      <c r="G1174" s="606"/>
      <c r="H1174" s="4452"/>
      <c r="I1174" s="4711"/>
      <c r="J1174" s="4712"/>
      <c r="K1174" s="4705"/>
      <c r="L1174" s="4705"/>
      <c r="M1174" s="4706"/>
      <c r="N1174" s="4711"/>
      <c r="O1174" s="4712"/>
      <c r="P1174" s="4705"/>
      <c r="Q1174" s="4705"/>
      <c r="R1174" s="4706"/>
      <c r="S1174" s="4711"/>
      <c r="T1174" s="4712"/>
      <c r="U1174" s="4705"/>
      <c r="V1174" s="4705"/>
      <c r="W1174" s="4706"/>
      <c r="X1174" s="4711"/>
      <c r="Y1174" s="4712"/>
      <c r="Z1174" s="4705"/>
      <c r="AA1174" s="4705"/>
      <c r="AB1174" s="4706"/>
      <c r="AC1174" s="4711"/>
      <c r="AD1174" s="4712"/>
      <c r="AE1174" s="4705"/>
      <c r="AF1174" s="4705"/>
      <c r="AG1174" s="4706"/>
      <c r="AH1174" s="4707"/>
      <c r="AI1174" s="6747"/>
    </row>
    <row r="1175" ht="18.75" customHeight="1">
      <c r="A1175" s="6738"/>
      <c r="B1175" s="4713"/>
      <c r="C1175" s="4714" t="s">
        <v>2195</v>
      </c>
      <c r="D1175" s="4715"/>
      <c r="E1175" s="4716" t="s">
        <v>1767</v>
      </c>
      <c r="F1175" s="4717"/>
      <c r="G1175" s="4717"/>
      <c r="H1175" s="4718"/>
      <c r="I1175" s="4719"/>
      <c r="J1175" s="4720"/>
      <c r="K1175" s="4705"/>
      <c r="L1175" s="4705"/>
      <c r="M1175" s="4706"/>
      <c r="N1175" s="4719"/>
      <c r="O1175" s="4720"/>
      <c r="P1175" s="4705"/>
      <c r="Q1175" s="4705"/>
      <c r="R1175" s="4706"/>
      <c r="S1175" s="4719"/>
      <c r="T1175" s="4720"/>
      <c r="U1175" s="4705"/>
      <c r="V1175" s="4705"/>
      <c r="W1175" s="4706"/>
      <c r="X1175" s="4719"/>
      <c r="Y1175" s="4720"/>
      <c r="Z1175" s="4705"/>
      <c r="AA1175" s="4705"/>
      <c r="AB1175" s="4706"/>
      <c r="AC1175" s="4719"/>
      <c r="AD1175" s="4720"/>
      <c r="AE1175" s="4705"/>
      <c r="AF1175" s="4705"/>
      <c r="AG1175" s="4706"/>
      <c r="AH1175" s="4721"/>
      <c r="AI1175" s="6747"/>
    </row>
    <row r="1176">
      <c r="A1176" s="6738"/>
      <c r="B1176" s="4722"/>
      <c r="C1176" s="556"/>
      <c r="D1176" s="4723"/>
      <c r="E1176" s="4724">
        <v>100.0</v>
      </c>
      <c r="F1176" s="4705"/>
      <c r="G1176" s="4705"/>
      <c r="H1176" s="4725"/>
      <c r="I1176" s="4719"/>
      <c r="J1176" s="4726"/>
      <c r="K1176" s="4705"/>
      <c r="L1176" s="4705"/>
      <c r="M1176" s="4706"/>
      <c r="N1176" s="4719"/>
      <c r="O1176" s="4726"/>
      <c r="P1176" s="4705"/>
      <c r="Q1176" s="4705"/>
      <c r="R1176" s="4706"/>
      <c r="S1176" s="4719"/>
      <c r="T1176" s="4726"/>
      <c r="U1176" s="4705"/>
      <c r="V1176" s="4705"/>
      <c r="W1176" s="4706"/>
      <c r="X1176" s="4719"/>
      <c r="Y1176" s="4726"/>
      <c r="Z1176" s="4705"/>
      <c r="AA1176" s="4705"/>
      <c r="AB1176" s="4706"/>
      <c r="AC1176" s="4719"/>
      <c r="AD1176" s="4726"/>
      <c r="AE1176" s="4705"/>
      <c r="AF1176" s="4705"/>
      <c r="AG1176" s="4706"/>
      <c r="AH1176" s="4727"/>
      <c r="AI1176" s="6747"/>
    </row>
    <row r="1177" ht="25.5" customHeight="1">
      <c r="A1177" s="6738"/>
      <c r="B1177" s="4701"/>
      <c r="C1177" s="4702"/>
      <c r="D1177" s="4703"/>
      <c r="E1177" s="4729"/>
      <c r="F1177" s="7618" t="str">
        <f t="array" ref="F1177">IFERROR(VLOOKUP(E1175,Dex!$B$3:$H1219,5,FALSE),"")</f>
        <v/>
      </c>
      <c r="G1177" s="4706"/>
      <c r="H1177" s="4732"/>
      <c r="I1177" s="4719"/>
      <c r="J1177" s="4712"/>
      <c r="K1177" s="4705"/>
      <c r="L1177" s="4705"/>
      <c r="M1177" s="4706"/>
      <c r="N1177" s="4719"/>
      <c r="O1177" s="4712"/>
      <c r="P1177" s="4705"/>
      <c r="Q1177" s="4705"/>
      <c r="R1177" s="4706"/>
      <c r="S1177" s="4719"/>
      <c r="T1177" s="4712"/>
      <c r="U1177" s="4705"/>
      <c r="V1177" s="4705"/>
      <c r="W1177" s="4706"/>
      <c r="X1177" s="4719"/>
      <c r="Y1177" s="4712"/>
      <c r="Z1177" s="4705"/>
      <c r="AA1177" s="4705"/>
      <c r="AB1177" s="4706"/>
      <c r="AC1177" s="4719"/>
      <c r="AD1177" s="4712"/>
      <c r="AE1177" s="4705"/>
      <c r="AF1177" s="4705"/>
      <c r="AG1177" s="4706"/>
      <c r="AH1177" s="4707"/>
      <c r="AI1177" s="6747"/>
    </row>
    <row r="1178" ht="2.25" customHeight="1">
      <c r="A1178" s="6738"/>
      <c r="B1178" s="4701"/>
      <c r="C1178" s="4702"/>
      <c r="D1178" s="4703"/>
      <c r="E1178" s="4733"/>
      <c r="F1178" s="4734"/>
      <c r="G1178" s="4734"/>
      <c r="H1178" s="4735"/>
      <c r="I1178" s="4719"/>
      <c r="J1178" s="4703"/>
      <c r="K1178" s="4703"/>
      <c r="L1178" s="4703"/>
      <c r="M1178" s="4703"/>
      <c r="N1178" s="4719"/>
      <c r="O1178" s="4703"/>
      <c r="P1178" s="4703"/>
      <c r="Q1178" s="4703"/>
      <c r="R1178" s="4703"/>
      <c r="S1178" s="4719"/>
      <c r="T1178" s="4703"/>
      <c r="U1178" s="4703"/>
      <c r="V1178" s="4703"/>
      <c r="W1178" s="4703"/>
      <c r="X1178" s="4719"/>
      <c r="Y1178" s="4703"/>
      <c r="Z1178" s="4703"/>
      <c r="AA1178" s="4703"/>
      <c r="AB1178" s="4703"/>
      <c r="AC1178" s="4719"/>
      <c r="AD1178" s="4703"/>
      <c r="AE1178" s="4703"/>
      <c r="AF1178" s="4703"/>
      <c r="AG1178" s="4703"/>
      <c r="AH1178" s="4707"/>
      <c r="AI1178" s="6747"/>
    </row>
    <row r="1179" ht="20.25" customHeight="1">
      <c r="A1179" s="6738"/>
      <c r="B1179" s="4701"/>
      <c r="C1179" s="4702"/>
      <c r="D1179" s="4703"/>
      <c r="E1179" s="4737" t="s">
        <v>2196</v>
      </c>
      <c r="F1179" s="4738"/>
      <c r="G1179" s="4738"/>
      <c r="H1179" s="4739"/>
      <c r="I1179" s="4719"/>
      <c r="J1179" s="4712"/>
      <c r="K1179" s="4705"/>
      <c r="L1179" s="4705"/>
      <c r="M1179" s="4706"/>
      <c r="N1179" s="4719"/>
      <c r="O1179" s="4712"/>
      <c r="P1179" s="4705"/>
      <c r="Q1179" s="4705"/>
      <c r="R1179" s="4706"/>
      <c r="S1179" s="4719"/>
      <c r="T1179" s="4712"/>
      <c r="U1179" s="4705"/>
      <c r="V1179" s="4705"/>
      <c r="W1179" s="4706"/>
      <c r="X1179" s="4719"/>
      <c r="Y1179" s="4712"/>
      <c r="Z1179" s="4705"/>
      <c r="AA1179" s="4705"/>
      <c r="AB1179" s="4706"/>
      <c r="AC1179" s="4719"/>
      <c r="AD1179" s="4712"/>
      <c r="AE1179" s="4705"/>
      <c r="AF1179" s="4705"/>
      <c r="AG1179" s="4706"/>
      <c r="AH1179" s="4707"/>
      <c r="AI1179" s="6747"/>
    </row>
    <row r="1180" ht="20.25" customHeight="1">
      <c r="A1180" s="6738"/>
      <c r="B1180" s="4701"/>
      <c r="C1180" s="4728"/>
      <c r="D1180" s="4703"/>
      <c r="E1180" s="7619" t="s">
        <v>90</v>
      </c>
      <c r="F1180" s="4705"/>
      <c r="G1180" s="4705"/>
      <c r="H1180" s="4725"/>
      <c r="I1180" s="4719"/>
      <c r="J1180" s="4712"/>
      <c r="K1180" s="4705"/>
      <c r="L1180" s="4705"/>
      <c r="M1180" s="4706"/>
      <c r="N1180" s="4719"/>
      <c r="O1180" s="4712"/>
      <c r="P1180" s="4705"/>
      <c r="Q1180" s="4705"/>
      <c r="R1180" s="4706"/>
      <c r="S1180" s="4719"/>
      <c r="T1180" s="4712"/>
      <c r="U1180" s="4705"/>
      <c r="V1180" s="4705"/>
      <c r="W1180" s="4706"/>
      <c r="X1180" s="4719"/>
      <c r="Y1180" s="4712"/>
      <c r="Z1180" s="4705"/>
      <c r="AA1180" s="4705"/>
      <c r="AB1180" s="4706"/>
      <c r="AC1180" s="4719"/>
      <c r="AD1180" s="4712"/>
      <c r="AE1180" s="4705"/>
      <c r="AF1180" s="4705"/>
      <c r="AG1180" s="4706"/>
      <c r="AH1180" s="4707"/>
      <c r="AI1180" s="6747"/>
    </row>
    <row r="1181" ht="20.25" customHeight="1">
      <c r="A1181" s="6738"/>
      <c r="B1181" s="4701"/>
      <c r="C1181" s="4719"/>
      <c r="D1181" s="4703"/>
      <c r="E1181" s="4741" t="s">
        <v>490</v>
      </c>
      <c r="F1181" s="4742"/>
      <c r="G1181" s="4743"/>
      <c r="H1181" s="4744" t="str">
        <f>IMAGE("https://raw.githubusercontent.com/msikma/pokesprite/master/items/berry/lum.png",3)</f>
        <v/>
      </c>
      <c r="I1181" s="4719"/>
      <c r="J1181" s="4712"/>
      <c r="K1181" s="4705"/>
      <c r="L1181" s="4705"/>
      <c r="M1181" s="4706"/>
      <c r="N1181" s="4719"/>
      <c r="O1181" s="4712"/>
      <c r="P1181" s="4705"/>
      <c r="Q1181" s="4705"/>
      <c r="R1181" s="4706"/>
      <c r="S1181" s="4719"/>
      <c r="T1181" s="4712"/>
      <c r="U1181" s="4705"/>
      <c r="V1181" s="4705"/>
      <c r="W1181" s="4706"/>
      <c r="X1181" s="4719"/>
      <c r="Y1181" s="4712"/>
      <c r="Z1181" s="4705"/>
      <c r="AA1181" s="4705"/>
      <c r="AB1181" s="4706"/>
      <c r="AC1181" s="4719"/>
      <c r="AD1181" s="4712"/>
      <c r="AE1181" s="4705"/>
      <c r="AF1181" s="4705"/>
      <c r="AG1181" s="4706"/>
      <c r="AH1181" s="4707"/>
      <c r="AI1181" s="6747"/>
    </row>
    <row r="1182" ht="20.25" customHeight="1">
      <c r="A1182" s="6738"/>
      <c r="B1182" s="4701"/>
      <c r="C1182" s="4736"/>
      <c r="D1182" s="4703"/>
      <c r="E1182" s="4737" t="s">
        <v>669</v>
      </c>
      <c r="F1182" s="4738"/>
      <c r="G1182" s="4746"/>
      <c r="H1182" s="4747" t="str">
        <f>IMAGE("https://raw.githubusercontent.com/msikma/pokesprite/master/misc/types/gen8/psychic.png",4,20,20)</f>
        <v/>
      </c>
      <c r="I1182" s="4719"/>
      <c r="J1182" s="4712"/>
      <c r="K1182" s="4705"/>
      <c r="L1182" s="4705"/>
      <c r="M1182" s="4706"/>
      <c r="N1182" s="4719"/>
      <c r="O1182" s="4712"/>
      <c r="P1182" s="4705"/>
      <c r="Q1182" s="4705"/>
      <c r="R1182" s="4706"/>
      <c r="S1182" s="4719"/>
      <c r="T1182" s="4712"/>
      <c r="U1182" s="4705"/>
      <c r="V1182" s="4705"/>
      <c r="W1182" s="4706"/>
      <c r="X1182" s="4719"/>
      <c r="Y1182" s="4712"/>
      <c r="Z1182" s="4705"/>
      <c r="AA1182" s="4705"/>
      <c r="AB1182" s="4706"/>
      <c r="AC1182" s="4719"/>
      <c r="AD1182" s="4712"/>
      <c r="AE1182" s="4705"/>
      <c r="AF1182" s="4705"/>
      <c r="AG1182" s="4706"/>
      <c r="AH1182" s="4707"/>
      <c r="AI1182" s="6747"/>
    </row>
    <row r="1183" ht="20.25" customHeight="1">
      <c r="A1183" s="6738"/>
      <c r="B1183" s="4701"/>
      <c r="C1183" s="4702"/>
      <c r="D1183" s="4703"/>
      <c r="E1183" s="4740" t="s">
        <v>496</v>
      </c>
      <c r="F1183" s="4705"/>
      <c r="G1183" s="4706"/>
      <c r="H1183" s="4749" t="str">
        <f>IMAGE("https://raw.githubusercontent.com/msikma/pokesprite/master/misc/types/gen8/rock.png",4,20,20)</f>
        <v/>
      </c>
      <c r="I1183" s="4719"/>
      <c r="J1183" s="4712"/>
      <c r="K1183" s="4705"/>
      <c r="L1183" s="4705"/>
      <c r="M1183" s="4706"/>
      <c r="N1183" s="4719"/>
      <c r="O1183" s="4712"/>
      <c r="P1183" s="4705"/>
      <c r="Q1183" s="4705"/>
      <c r="R1183" s="4706"/>
      <c r="S1183" s="4719"/>
      <c r="T1183" s="4712"/>
      <c r="U1183" s="4705"/>
      <c r="V1183" s="4705"/>
      <c r="W1183" s="4706"/>
      <c r="X1183" s="4719"/>
      <c r="Y1183" s="4712"/>
      <c r="Z1183" s="4705"/>
      <c r="AA1183" s="4705"/>
      <c r="AB1183" s="4706"/>
      <c r="AC1183" s="4719"/>
      <c r="AD1183" s="4712"/>
      <c r="AE1183" s="4705"/>
      <c r="AF1183" s="4705"/>
      <c r="AG1183" s="4706"/>
      <c r="AH1183" s="4707"/>
      <c r="AI1183" s="6747"/>
    </row>
    <row r="1184" ht="20.25" customHeight="1">
      <c r="A1184" s="6738"/>
      <c r="B1184" s="4701"/>
      <c r="C1184" s="4702"/>
      <c r="D1184" s="4703"/>
      <c r="E1184" s="7619" t="s">
        <v>2197</v>
      </c>
      <c r="F1184" s="4705"/>
      <c r="G1184" s="4706"/>
      <c r="H1184" s="4749" t="str">
        <f>IMAGE("https://raw.githubusercontent.com/msikma/pokesprite/master/misc/types/gen8/normal.png",4,20,20)</f>
        <v/>
      </c>
      <c r="I1184" s="4719"/>
      <c r="J1184" s="4712"/>
      <c r="K1184" s="4705"/>
      <c r="L1184" s="4705"/>
      <c r="M1184" s="4706"/>
      <c r="N1184" s="4719"/>
      <c r="O1184" s="4712"/>
      <c r="P1184" s="4705"/>
      <c r="Q1184" s="4705"/>
      <c r="R1184" s="4706"/>
      <c r="S1184" s="4719"/>
      <c r="T1184" s="4712"/>
      <c r="U1184" s="4705"/>
      <c r="V1184" s="4705"/>
      <c r="W1184" s="4706"/>
      <c r="X1184" s="4719"/>
      <c r="Y1184" s="4712"/>
      <c r="Z1184" s="4705"/>
      <c r="AA1184" s="4705"/>
      <c r="AB1184" s="4706"/>
      <c r="AC1184" s="4719"/>
      <c r="AD1184" s="4712"/>
      <c r="AE1184" s="4705"/>
      <c r="AF1184" s="4705"/>
      <c r="AG1184" s="4706"/>
      <c r="AH1184" s="4707"/>
      <c r="AI1184" s="6747"/>
    </row>
    <row r="1185" ht="21.0" customHeight="1">
      <c r="A1185" s="6738"/>
      <c r="B1185" s="4701"/>
      <c r="C1185" s="4702"/>
      <c r="D1185" s="4703"/>
      <c r="E1185" s="7620" t="s">
        <v>718</v>
      </c>
      <c r="F1185" s="4751"/>
      <c r="G1185" s="4752"/>
      <c r="H1185" s="4753" t="str">
        <f>IMAGE("https://raw.githubusercontent.com/msikma/pokesprite/master/misc/types/gen8/fighting.png",4,20,20)</f>
        <v/>
      </c>
      <c r="I1185" s="4736"/>
      <c r="J1185" s="4712"/>
      <c r="K1185" s="4705"/>
      <c r="L1185" s="4705"/>
      <c r="M1185" s="4706"/>
      <c r="N1185" s="4736"/>
      <c r="O1185" s="4712"/>
      <c r="P1185" s="4705"/>
      <c r="Q1185" s="4705"/>
      <c r="R1185" s="4706"/>
      <c r="S1185" s="4736"/>
      <c r="T1185" s="4712"/>
      <c r="U1185" s="4705"/>
      <c r="V1185" s="4705"/>
      <c r="W1185" s="4706"/>
      <c r="X1185" s="4736"/>
      <c r="Y1185" s="4712"/>
      <c r="Z1185" s="4705"/>
      <c r="AA1185" s="4705"/>
      <c r="AB1185" s="4706"/>
      <c r="AC1185" s="4736"/>
      <c r="AD1185" s="4712"/>
      <c r="AE1185" s="4705"/>
      <c r="AF1185" s="4705"/>
      <c r="AG1185" s="4706"/>
      <c r="AH1185" s="4707"/>
      <c r="AI1185" s="6747"/>
    </row>
    <row r="1186" ht="3.0" customHeight="1">
      <c r="A1186" s="6738"/>
      <c r="B1186" s="4754"/>
      <c r="C1186" s="4755"/>
      <c r="D1186" s="4756"/>
      <c r="E1186" s="4757"/>
      <c r="F1186" s="4757"/>
      <c r="G1186" s="4757"/>
      <c r="H1186" s="4757"/>
      <c r="I1186" s="4756"/>
      <c r="J1186" s="4757"/>
      <c r="K1186" s="4757"/>
      <c r="L1186" s="4757"/>
      <c r="M1186" s="4757"/>
      <c r="N1186" s="4756"/>
      <c r="O1186" s="4757"/>
      <c r="P1186" s="4757"/>
      <c r="Q1186" s="4757"/>
      <c r="R1186" s="4757"/>
      <c r="S1186" s="4757"/>
      <c r="T1186" s="4757"/>
      <c r="U1186" s="4757"/>
      <c r="V1186" s="4757"/>
      <c r="W1186" s="4757"/>
      <c r="X1186" s="4756"/>
      <c r="Y1186" s="4756"/>
      <c r="Z1186" s="4758"/>
      <c r="AA1186" s="4758"/>
      <c r="AB1186" s="4759"/>
      <c r="AC1186" s="4759"/>
      <c r="AD1186" s="4759"/>
      <c r="AE1186" s="4759"/>
      <c r="AF1186" s="4759"/>
      <c r="AG1186" s="4759"/>
      <c r="AH1186" s="4760"/>
      <c r="AI1186" s="6747"/>
    </row>
    <row r="1187" ht="16.5" customHeight="1">
      <c r="A1187" s="6738"/>
      <c r="B1187" s="4761"/>
      <c r="C1187" s="4755"/>
      <c r="D1187" s="4762"/>
      <c r="E1187" s="4763" t="s">
        <v>512</v>
      </c>
      <c r="F1187" s="606"/>
      <c r="G1187" s="606"/>
      <c r="H1187" s="607"/>
      <c r="I1187" s="4762"/>
      <c r="J1187" s="4764"/>
      <c r="K1187" s="4762"/>
      <c r="L1187" s="4762"/>
      <c r="M1187" s="4764"/>
      <c r="N1187" s="4764"/>
      <c r="O1187" s="4764"/>
      <c r="P1187" s="4764"/>
      <c r="Q1187" s="4762"/>
      <c r="R1187" s="4762"/>
      <c r="S1187" s="4764"/>
      <c r="T1187" s="4764"/>
      <c r="U1187" s="4764"/>
      <c r="V1187" s="4762"/>
      <c r="W1187" s="4762"/>
      <c r="X1187" s="4764"/>
      <c r="Y1187" s="4764"/>
      <c r="Z1187" s="4764"/>
      <c r="AA1187" s="4762"/>
      <c r="AB1187" s="4764"/>
      <c r="AC1187" s="4764"/>
      <c r="AD1187" s="4764"/>
      <c r="AE1187" s="4764"/>
      <c r="AF1187" s="4764"/>
      <c r="AG1187" s="4764"/>
      <c r="AH1187" s="4765"/>
      <c r="AI1187" s="6747"/>
    </row>
    <row r="1188" ht="16.5" customHeight="1">
      <c r="A1188" s="6738"/>
      <c r="B1188" s="4761"/>
      <c r="C1188" s="4755"/>
      <c r="D1188" s="4762"/>
      <c r="E1188" s="4766" t="s">
        <v>513</v>
      </c>
      <c r="F1188" s="4767">
        <f t="array" ref="F1188">IFERROR(VLOOKUP(E1175,Dex!$B$3:$N1219,8,FALSE),"")</f>
        <v>100</v>
      </c>
      <c r="G1188" s="4768" t="str">
        <f t="array" ref="G1188">IFERROR(VLOOKUP(F1188,Dex!$P$22:$Q$276,2,FALSE),"")</f>
        <v/>
      </c>
      <c r="H1188" s="4769"/>
      <c r="I1188" s="4762"/>
      <c r="J1188" s="4764"/>
      <c r="K1188" s="4762"/>
      <c r="L1188" s="4762"/>
      <c r="M1188" s="4764"/>
      <c r="N1188" s="4764"/>
      <c r="O1188" s="4764"/>
      <c r="P1188" s="4764"/>
      <c r="Q1188" s="4762"/>
      <c r="R1188" s="4762"/>
      <c r="S1188" s="4764"/>
      <c r="T1188" s="4764"/>
      <c r="U1188" s="4764"/>
      <c r="V1188" s="4762"/>
      <c r="W1188" s="4762"/>
      <c r="X1188" s="4764"/>
      <c r="Y1188" s="4764"/>
      <c r="Z1188" s="4764"/>
      <c r="AA1188" s="4762"/>
      <c r="AB1188" s="4764"/>
      <c r="AC1188" s="4764"/>
      <c r="AD1188" s="4764"/>
      <c r="AE1188" s="4764"/>
      <c r="AF1188" s="4764"/>
      <c r="AG1188" s="4764"/>
      <c r="AH1188" s="4765"/>
      <c r="AI1188" s="6747"/>
    </row>
    <row r="1189" ht="16.5" customHeight="1">
      <c r="A1189" s="6738"/>
      <c r="B1189" s="4761"/>
      <c r="C1189" s="4755"/>
      <c r="D1189" s="4762"/>
      <c r="E1189" s="4770" t="s">
        <v>514</v>
      </c>
      <c r="F1189" s="4771">
        <f t="array" ref="F1189">IFERROR(VLOOKUP(E1175,Dex!$B$3:$N1219,9,FALSE),"")</f>
        <v>100</v>
      </c>
      <c r="G1189" s="4772" t="str">
        <f t="array" ref="G1189">IFERROR(VLOOKUP(F1189,Dex!$P$22:$Q$276,2,FALSE),"")</f>
        <v/>
      </c>
      <c r="H1189" s="4773"/>
      <c r="I1189" s="4762"/>
      <c r="J1189" s="4764"/>
      <c r="K1189" s="4762"/>
      <c r="L1189" s="4762"/>
      <c r="M1189" s="4764"/>
      <c r="N1189" s="4764"/>
      <c r="O1189" s="4764"/>
      <c r="P1189" s="4764"/>
      <c r="Q1189" s="4762"/>
      <c r="R1189" s="4762"/>
      <c r="S1189" s="4764"/>
      <c r="T1189" s="4764"/>
      <c r="U1189" s="4764"/>
      <c r="V1189" s="4762"/>
      <c r="W1189" s="4762"/>
      <c r="X1189" s="4764"/>
      <c r="Y1189" s="4764"/>
      <c r="Z1189" s="4764"/>
      <c r="AA1189" s="4762"/>
      <c r="AB1189" s="4764"/>
      <c r="AC1189" s="4764"/>
      <c r="AD1189" s="4764"/>
      <c r="AE1189" s="4764"/>
      <c r="AF1189" s="4764"/>
      <c r="AG1189" s="4764"/>
      <c r="AH1189" s="4765"/>
      <c r="AI1189" s="6747"/>
    </row>
    <row r="1190" ht="16.5" customHeight="1">
      <c r="A1190" s="6738"/>
      <c r="B1190" s="4761"/>
      <c r="C1190" s="4755"/>
      <c r="D1190" s="4762"/>
      <c r="E1190" s="4770" t="s">
        <v>515</v>
      </c>
      <c r="F1190" s="4771">
        <f t="array" ref="F1190">IFERROR(VLOOKUP(E1175,Dex!$B$3:$N1219,10,FALSE),"")</f>
        <v>100</v>
      </c>
      <c r="G1190" s="4772" t="str">
        <f t="array" ref="G1190">IFERROR(VLOOKUP(F1190,Dex!$P$22:$Q$276,2,FALSE),"")</f>
        <v/>
      </c>
      <c r="H1190" s="4773"/>
      <c r="I1190" s="4762"/>
      <c r="J1190" s="4764"/>
      <c r="K1190" s="4762"/>
      <c r="L1190" s="4762"/>
      <c r="M1190" s="4764"/>
      <c r="N1190" s="4764"/>
      <c r="O1190" s="4764"/>
      <c r="P1190" s="4764"/>
      <c r="Q1190" s="4762"/>
      <c r="R1190" s="4762"/>
      <c r="S1190" s="4764"/>
      <c r="T1190" s="4764"/>
      <c r="U1190" s="4764"/>
      <c r="V1190" s="4762"/>
      <c r="W1190" s="4762"/>
      <c r="X1190" s="4764"/>
      <c r="Y1190" s="4764"/>
      <c r="Z1190" s="4764"/>
      <c r="AA1190" s="4762"/>
      <c r="AB1190" s="4764"/>
      <c r="AC1190" s="4764"/>
      <c r="AD1190" s="4764"/>
      <c r="AE1190" s="4764"/>
      <c r="AF1190" s="4764"/>
      <c r="AG1190" s="4764"/>
      <c r="AH1190" s="4765"/>
      <c r="AI1190" s="6747"/>
    </row>
    <row r="1191" ht="16.5" customHeight="1">
      <c r="A1191" s="6738"/>
      <c r="B1191" s="4761"/>
      <c r="C1191" s="4755"/>
      <c r="D1191" s="4762"/>
      <c r="E1191" s="4770" t="s">
        <v>516</v>
      </c>
      <c r="F1191" s="4771">
        <f t="array" ref="F1191">IFERROR(VLOOKUP(E1175,Dex!$B$3:$N1219,11,FALSE),"")</f>
        <v>100</v>
      </c>
      <c r="G1191" s="4772" t="str">
        <f t="array" ref="G1191">IFERROR(VLOOKUP(F1191,Dex!$P$22:$Q$276,2,FALSE),"")</f>
        <v/>
      </c>
      <c r="H1191" s="4773"/>
      <c r="I1191" s="4762"/>
      <c r="J1191" s="4764"/>
      <c r="K1191" s="4762"/>
      <c r="L1191" s="4762"/>
      <c r="M1191" s="4764"/>
      <c r="N1191" s="4764"/>
      <c r="O1191" s="4764"/>
      <c r="P1191" s="4764"/>
      <c r="Q1191" s="4762"/>
      <c r="R1191" s="4762"/>
      <c r="S1191" s="4764"/>
      <c r="T1191" s="4764"/>
      <c r="U1191" s="4764"/>
      <c r="V1191" s="4762"/>
      <c r="W1191" s="4762"/>
      <c r="X1191" s="4764"/>
      <c r="Y1191" s="4764"/>
      <c r="Z1191" s="4764"/>
      <c r="AA1191" s="4762"/>
      <c r="AB1191" s="4764"/>
      <c r="AC1191" s="4764"/>
      <c r="AD1191" s="4764"/>
      <c r="AE1191" s="4764"/>
      <c r="AF1191" s="4764"/>
      <c r="AG1191" s="4764"/>
      <c r="AH1191" s="4765"/>
      <c r="AI1191" s="6747"/>
    </row>
    <row r="1192" ht="16.5" customHeight="1">
      <c r="A1192" s="6738"/>
      <c r="B1192" s="4761"/>
      <c r="C1192" s="4755"/>
      <c r="D1192" s="4762"/>
      <c r="E1192" s="4770" t="s">
        <v>517</v>
      </c>
      <c r="F1192" s="4771">
        <f t="array" ref="F1192">IFERROR(VLOOKUP(E1175,Dex!$B$3:$N1219,12,FALSE),"")</f>
        <v>100</v>
      </c>
      <c r="G1192" s="4772" t="str">
        <f t="array" ref="G1192">IFERROR(VLOOKUP(F1192,Dex!$P$22:$Q$276,2,FALSE),"")</f>
        <v/>
      </c>
      <c r="H1192" s="4773"/>
      <c r="I1192" s="4762"/>
      <c r="J1192" s="4764"/>
      <c r="K1192" s="4762"/>
      <c r="L1192" s="4762"/>
      <c r="M1192" s="4764"/>
      <c r="N1192" s="4764"/>
      <c r="O1192" s="4764"/>
      <c r="P1192" s="4764"/>
      <c r="Q1192" s="4762"/>
      <c r="R1192" s="4762"/>
      <c r="S1192" s="4764"/>
      <c r="T1192" s="4764"/>
      <c r="U1192" s="4764"/>
      <c r="V1192" s="4762"/>
      <c r="W1192" s="4762"/>
      <c r="X1192" s="4764"/>
      <c r="Y1192" s="4764"/>
      <c r="Z1192" s="4764"/>
      <c r="AA1192" s="4762"/>
      <c r="AB1192" s="4764"/>
      <c r="AC1192" s="4764"/>
      <c r="AD1192" s="4764"/>
      <c r="AE1192" s="4764"/>
      <c r="AF1192" s="4764"/>
      <c r="AG1192" s="4764"/>
      <c r="AH1192" s="4765"/>
      <c r="AI1192" s="6747"/>
    </row>
    <row r="1193" ht="15.75" customHeight="1">
      <c r="A1193" s="6738"/>
      <c r="B1193" s="4761"/>
      <c r="C1193" s="4755"/>
      <c r="D1193" s="4762"/>
      <c r="E1193" s="4774" t="s">
        <v>518</v>
      </c>
      <c r="F1193" s="4775">
        <f t="array" ref="F1193">IFERROR(VLOOKUP(E1175,Dex!$B$3:$N1219,13,FALSE),"")</f>
        <v>100</v>
      </c>
      <c r="G1193" s="7621" t="str">
        <f t="array" ref="G1193">IFERROR(VLOOKUP(F1193,Dex!$P$22:$Q$276,2,FALSE),"")</f>
        <v/>
      </c>
      <c r="H1193" s="7622"/>
      <c r="I1193" s="7623"/>
      <c r="J1193" s="7624"/>
      <c r="K1193" s="7623"/>
      <c r="L1193" s="4779"/>
      <c r="M1193" s="4781"/>
      <c r="N1193" s="4781"/>
      <c r="O1193" s="4781"/>
      <c r="P1193" s="4781"/>
      <c r="Q1193" s="4779"/>
      <c r="R1193" s="4779"/>
      <c r="S1193" s="4781"/>
      <c r="T1193" s="4781"/>
      <c r="U1193" s="4764"/>
      <c r="V1193" s="4762"/>
      <c r="W1193" s="4762"/>
      <c r="X1193" s="4764"/>
      <c r="Y1193" s="4764"/>
      <c r="Z1193" s="4764"/>
      <c r="AA1193" s="4762"/>
      <c r="AB1193" s="4764"/>
      <c r="AC1193" s="4764"/>
      <c r="AD1193" s="4764"/>
      <c r="AE1193" s="4764"/>
      <c r="AF1193" s="4764"/>
      <c r="AG1193" s="4764"/>
      <c r="AH1193" s="4765"/>
      <c r="AI1193" s="6747"/>
    </row>
    <row r="1194" ht="16.5" customHeight="1">
      <c r="A1194" s="6738"/>
      <c r="B1194" s="4761"/>
      <c r="C1194" s="4755"/>
      <c r="D1194" s="4762"/>
      <c r="E1194" s="4776" t="s">
        <v>519</v>
      </c>
      <c r="F1194" s="630"/>
      <c r="G1194" s="631"/>
      <c r="H1194" s="7625" t="s">
        <v>2198</v>
      </c>
      <c r="I1194" s="3255"/>
      <c r="J1194" s="3255"/>
      <c r="K1194" s="3256"/>
      <c r="L1194" s="7626"/>
      <c r="M1194" s="4779"/>
      <c r="N1194" s="4779"/>
      <c r="O1194" s="4779"/>
      <c r="P1194" s="4779"/>
      <c r="Q1194" s="4779"/>
      <c r="R1194" s="4779"/>
      <c r="S1194" s="4779"/>
      <c r="T1194" s="4779"/>
      <c r="U1194" s="4764"/>
      <c r="V1194" s="4762"/>
      <c r="W1194" s="4762"/>
      <c r="X1194" s="4764"/>
      <c r="Y1194" s="4764"/>
      <c r="Z1194" s="4764"/>
      <c r="AA1194" s="4762"/>
      <c r="AB1194" s="4764"/>
      <c r="AC1194" s="4764"/>
      <c r="AD1194" s="4764"/>
      <c r="AE1194" s="4764"/>
      <c r="AF1194" s="4764"/>
      <c r="AG1194" s="4764"/>
      <c r="AH1194" s="4765"/>
      <c r="AI1194" s="6747"/>
    </row>
    <row r="1195" ht="15.0" customHeight="1">
      <c r="A1195" s="6738"/>
      <c r="B1195" s="4783"/>
      <c r="C1195" s="4784"/>
      <c r="D1195" s="4785"/>
      <c r="E1195" s="4786"/>
      <c r="F1195" s="4786"/>
      <c r="G1195" s="4786"/>
      <c r="H1195" s="4786"/>
      <c r="I1195" s="7627"/>
      <c r="J1195" s="7627"/>
      <c r="K1195" s="7627"/>
      <c r="L1195" s="4785"/>
      <c r="M1195" s="4785"/>
      <c r="N1195" s="4785"/>
      <c r="O1195" s="4785"/>
      <c r="P1195" s="4785"/>
      <c r="Q1195" s="4785"/>
      <c r="R1195" s="4785"/>
      <c r="S1195" s="4785"/>
      <c r="T1195" s="4785"/>
      <c r="U1195" s="4785"/>
      <c r="V1195" s="4785"/>
      <c r="W1195" s="4785"/>
      <c r="X1195" s="4785"/>
      <c r="Y1195" s="4785"/>
      <c r="Z1195" s="4785"/>
      <c r="AA1195" s="4785"/>
      <c r="AB1195" s="4785"/>
      <c r="AC1195" s="4785"/>
      <c r="AD1195" s="4785"/>
      <c r="AE1195" s="4785"/>
      <c r="AF1195" s="4785"/>
      <c r="AG1195" s="4785"/>
      <c r="AH1195" s="4787"/>
      <c r="AI1195" s="6747"/>
    </row>
    <row r="1196" ht="15.0" customHeight="1">
      <c r="A1196" s="6738"/>
      <c r="B1196" s="7628"/>
      <c r="C1196" s="7629"/>
      <c r="D1196" s="7630"/>
      <c r="E1196" s="7631"/>
      <c r="F1196" s="7631"/>
      <c r="G1196" s="7631"/>
      <c r="H1196" s="7631"/>
      <c r="I1196" s="7631"/>
      <c r="J1196" s="7631"/>
      <c r="K1196" s="7631"/>
      <c r="L1196" s="7631"/>
      <c r="M1196" s="7631"/>
      <c r="N1196" s="7631"/>
      <c r="O1196" s="7631"/>
      <c r="P1196" s="7631"/>
      <c r="Q1196" s="7631"/>
      <c r="R1196" s="7631"/>
      <c r="S1196" s="7631"/>
      <c r="T1196" s="7631"/>
      <c r="U1196" s="7631"/>
      <c r="V1196" s="7631"/>
      <c r="W1196" s="7631"/>
      <c r="X1196" s="7631"/>
      <c r="Y1196" s="7631"/>
      <c r="Z1196" s="7631"/>
      <c r="AA1196" s="7631"/>
      <c r="AB1196" s="7631"/>
      <c r="AC1196" s="7631"/>
      <c r="AD1196" s="7631"/>
      <c r="AE1196" s="7631"/>
      <c r="AF1196" s="7631"/>
      <c r="AG1196" s="7631"/>
      <c r="AH1196" s="7632"/>
      <c r="AI1196" s="6747"/>
    </row>
    <row r="1197" ht="96.75" customHeight="1">
      <c r="A1197" s="6676"/>
      <c r="B1197" s="7633"/>
      <c r="C1197" s="7634" t="str">
        <f>IMAGE("https://i.ibb.co/FYn1QFQ/Gatekeeper.png")</f>
        <v/>
      </c>
      <c r="D1197" s="7635"/>
      <c r="E1197" s="7636" t="str">
        <f t="array" ref="E1197">IFERROR(VLOOKUP(E1198,Dex!$B$3:$G1219,3,FALSE),"")</f>
        <v/>
      </c>
      <c r="F1197" s="1945"/>
      <c r="G1197" s="1945"/>
      <c r="H1197" s="1946"/>
      <c r="I1197" s="7637"/>
      <c r="J1197" s="7636" t="str">
        <f t="array" ref="J1197">IFERROR(VLOOKUP(J1198,Dex!$B$3:$G1219,3,FALSE),"")</f>
        <v/>
      </c>
      <c r="K1197" s="1945"/>
      <c r="L1197" s="1945"/>
      <c r="M1197" s="1946"/>
      <c r="N1197" s="7637"/>
      <c r="O1197" s="7636" t="str">
        <f t="array" ref="O1197">IFERROR(VLOOKUP(O1198,Dex!$B$3:$G1219,3,FALSE),"")</f>
        <v/>
      </c>
      <c r="P1197" s="1945"/>
      <c r="Q1197" s="1945"/>
      <c r="R1197" s="1946"/>
      <c r="S1197" s="7637"/>
      <c r="T1197" s="7636" t="str">
        <f t="array" ref="T1197">IFERROR(VLOOKUP(T1198,Dex!$B$3:$G1219,3,FALSE),"")</f>
        <v/>
      </c>
      <c r="U1197" s="1945"/>
      <c r="V1197" s="1945"/>
      <c r="W1197" s="1946"/>
      <c r="X1197" s="7637"/>
      <c r="Y1197" s="7636" t="str">
        <f t="array" ref="Y1197">IFERROR(VLOOKUP(Y1198,Dex!$B$3:$G1219,3,FALSE),"")</f>
        <v/>
      </c>
      <c r="Z1197" s="1945"/>
      <c r="AA1197" s="1945"/>
      <c r="AB1197" s="1946"/>
      <c r="AC1197" s="7637"/>
      <c r="AD1197" s="7636" t="str">
        <f t="array" ref="AD1197">IFERROR(VLOOKUP(AD1198,Dex!$B$3:$G1219,3,FALSE),"")</f>
        <v/>
      </c>
      <c r="AE1197" s="1945"/>
      <c r="AF1197" s="1945"/>
      <c r="AG1197" s="1946"/>
      <c r="AH1197" s="7638"/>
      <c r="AI1197" s="6680"/>
    </row>
    <row r="1198" ht="18.75" customHeight="1">
      <c r="A1198" s="6691"/>
      <c r="B1198" s="7639"/>
      <c r="C1198" s="7640" t="s">
        <v>2199</v>
      </c>
      <c r="D1198" s="7641"/>
      <c r="E1198" s="7642" t="s">
        <v>2200</v>
      </c>
      <c r="F1198" s="4482"/>
      <c r="G1198" s="4482"/>
      <c r="H1198" s="4483"/>
      <c r="I1198" s="7637"/>
      <c r="J1198" s="7642" t="s">
        <v>1767</v>
      </c>
      <c r="K1198" s="4482"/>
      <c r="L1198" s="4482"/>
      <c r="M1198" s="4483"/>
      <c r="N1198" s="7637"/>
      <c r="O1198" s="7642" t="s">
        <v>1605</v>
      </c>
      <c r="P1198" s="4482"/>
      <c r="Q1198" s="4482"/>
      <c r="R1198" s="4483"/>
      <c r="S1198" s="7637"/>
      <c r="T1198" s="7643" t="s">
        <v>2201</v>
      </c>
      <c r="U1198" s="4482"/>
      <c r="V1198" s="4482"/>
      <c r="W1198" s="4483"/>
      <c r="X1198" s="7637"/>
      <c r="Y1198" s="7642" t="s">
        <v>2202</v>
      </c>
      <c r="Z1198" s="4482"/>
      <c r="AA1198" s="4482"/>
      <c r="AB1198" s="4483"/>
      <c r="AC1198" s="7637"/>
      <c r="AD1198" s="7643" t="s">
        <v>2019</v>
      </c>
      <c r="AE1198" s="4482"/>
      <c r="AF1198" s="4482"/>
      <c r="AG1198" s="4483"/>
      <c r="AH1198" s="7644"/>
      <c r="AI1198" s="6699"/>
    </row>
    <row r="1199">
      <c r="A1199" s="6676"/>
      <c r="B1199" s="7633"/>
      <c r="C1199" s="3095"/>
      <c r="D1199" s="7645"/>
      <c r="E1199" s="4490" t="s">
        <v>729</v>
      </c>
      <c r="F1199" s="4491"/>
      <c r="G1199" s="4491"/>
      <c r="H1199" s="4492"/>
      <c r="I1199" s="7637"/>
      <c r="J1199" s="4490" t="s">
        <v>729</v>
      </c>
      <c r="K1199" s="4491"/>
      <c r="L1199" s="4491"/>
      <c r="M1199" s="4492"/>
      <c r="N1199" s="7637"/>
      <c r="O1199" s="4490" t="s">
        <v>729</v>
      </c>
      <c r="P1199" s="4491"/>
      <c r="Q1199" s="4491"/>
      <c r="R1199" s="4492"/>
      <c r="S1199" s="7637"/>
      <c r="T1199" s="4490" t="s">
        <v>729</v>
      </c>
      <c r="U1199" s="4491"/>
      <c r="V1199" s="4491"/>
      <c r="W1199" s="4492"/>
      <c r="X1199" s="7637"/>
      <c r="Y1199" s="4490" t="s">
        <v>729</v>
      </c>
      <c r="Z1199" s="4491"/>
      <c r="AA1199" s="4491"/>
      <c r="AB1199" s="4492"/>
      <c r="AC1199" s="7637"/>
      <c r="AD1199" s="4490" t="s">
        <v>729</v>
      </c>
      <c r="AE1199" s="4491"/>
      <c r="AF1199" s="4491"/>
      <c r="AG1199" s="4492"/>
      <c r="AH1199" s="7638"/>
      <c r="AI1199" s="6680"/>
    </row>
    <row r="1200" ht="25.5" customHeight="1">
      <c r="A1200" s="6676"/>
      <c r="B1200" s="7633"/>
      <c r="C1200" s="3095"/>
      <c r="D1200" s="7646"/>
      <c r="E1200" s="4497"/>
      <c r="F1200" s="4501" t="str">
        <f t="array" ref="F1200">IFERROR(VLOOKUP(E1198,Dex!$B$3:$H1219,5,FALSE),"")</f>
        <v/>
      </c>
      <c r="G1200" s="4502" t="str">
        <f t="array" ref="G1200">IFERROR(VLOOKUP(E1198,Dex!$B$3:$H1219,7,FALSE),"")</f>
        <v/>
      </c>
      <c r="H1200" s="4500"/>
      <c r="I1200" s="7637"/>
      <c r="J1200" s="4497"/>
      <c r="K1200" s="4498" t="str">
        <f t="array" ref="K1200">IFERROR(VLOOKUP(J1198,Dex!$B$3:$H1219,5,FALSE),"")</f>
        <v/>
      </c>
      <c r="L1200" s="4499"/>
      <c r="M1200" s="4500"/>
      <c r="N1200" s="7637"/>
      <c r="O1200" s="4497"/>
      <c r="P1200" s="4501" t="str">
        <f t="array" ref="P1200">IFERROR(VLOOKUP(O1198,Dex!$B$3:$H1219,5,FALSE),"")</f>
        <v/>
      </c>
      <c r="Q1200" s="4502" t="str">
        <f t="array" ref="Q1200">IFERROR(VLOOKUP(O1198,Dex!$B$3:$H1219,7,FALSE),"")</f>
        <v/>
      </c>
      <c r="R1200" s="4500"/>
      <c r="S1200" s="7637"/>
      <c r="T1200" s="4497"/>
      <c r="U1200" s="4501" t="str">
        <f t="array" ref="U1200">IFERROR(VLOOKUP(T1198,Dex!$B$3:$H1219,5,FALSE),"")</f>
        <v/>
      </c>
      <c r="V1200" s="4502" t="str">
        <f t="array" ref="V1200">IFERROR(VLOOKUP(T1198,Dex!$B$3:$H1219,7,FALSE),"")</f>
        <v/>
      </c>
      <c r="W1200" s="4500"/>
      <c r="X1200" s="7637"/>
      <c r="Y1200" s="4497"/>
      <c r="Z1200" s="4501" t="str">
        <f t="array" ref="Z1200">IFERROR(VLOOKUP(Y1198,Dex!$B$3:$H1219,5,FALSE),"")</f>
        <v/>
      </c>
      <c r="AA1200" s="4502" t="str">
        <f t="array" ref="AA1200">IFERROR(VLOOKUP(Y1198,Dex!$B$3:$H1219,7,FALSE),"")</f>
        <v/>
      </c>
      <c r="AB1200" s="4500"/>
      <c r="AC1200" s="7637"/>
      <c r="AD1200" s="4497"/>
      <c r="AE1200" s="4501" t="str">
        <f t="array" ref="AE1200">IFERROR(VLOOKUP(AD1198,Dex!$B$3:$H1219,5,FALSE),"")</f>
        <v/>
      </c>
      <c r="AF1200" s="4502" t="str">
        <f t="array" ref="AF1200">IFERROR(VLOOKUP(AD1198,Dex!$B$3:$H1219,7,FALSE),"")</f>
        <v/>
      </c>
      <c r="AG1200" s="4500"/>
      <c r="AH1200" s="7638"/>
      <c r="AI1200" s="6680"/>
    </row>
    <row r="1201" ht="2.25" customHeight="1">
      <c r="A1201" s="6676"/>
      <c r="B1201" s="7633"/>
      <c r="C1201" s="3095"/>
      <c r="D1201" s="7646"/>
      <c r="E1201" s="4505"/>
      <c r="F1201" s="4506"/>
      <c r="G1201" s="4506"/>
      <c r="H1201" s="4507"/>
      <c r="I1201" s="7637"/>
      <c r="J1201" s="4505"/>
      <c r="K1201" s="4506"/>
      <c r="L1201" s="4506"/>
      <c r="M1201" s="4507"/>
      <c r="N1201" s="7637"/>
      <c r="O1201" s="4505"/>
      <c r="P1201" s="4506"/>
      <c r="Q1201" s="4506"/>
      <c r="R1201" s="4507"/>
      <c r="S1201" s="7637"/>
      <c r="T1201" s="4505"/>
      <c r="U1201" s="4506"/>
      <c r="V1201" s="4506"/>
      <c r="W1201" s="4507"/>
      <c r="X1201" s="7637"/>
      <c r="Y1201" s="4505"/>
      <c r="Z1201" s="4506"/>
      <c r="AA1201" s="4506"/>
      <c r="AB1201" s="4507"/>
      <c r="AC1201" s="7637"/>
      <c r="AD1201" s="4505"/>
      <c r="AE1201" s="4506"/>
      <c r="AF1201" s="4506"/>
      <c r="AG1201" s="4507"/>
      <c r="AH1201" s="7638"/>
      <c r="AI1201" s="6680"/>
    </row>
    <row r="1202" ht="20.25" customHeight="1">
      <c r="A1202" s="6676"/>
      <c r="B1202" s="7633"/>
      <c r="C1202" s="3112"/>
      <c r="D1202" s="7646"/>
      <c r="E1202" s="7647" t="s">
        <v>532</v>
      </c>
      <c r="F1202" s="4510"/>
      <c r="G1202" s="4510"/>
      <c r="H1202" s="4511"/>
      <c r="I1202" s="7637"/>
      <c r="J1202" s="7647" t="s">
        <v>564</v>
      </c>
      <c r="K1202" s="4510"/>
      <c r="L1202" s="4510"/>
      <c r="M1202" s="4511"/>
      <c r="N1202" s="7637"/>
      <c r="O1202" s="7647" t="s">
        <v>532</v>
      </c>
      <c r="P1202" s="4510"/>
      <c r="Q1202" s="4510"/>
      <c r="R1202" s="4511"/>
      <c r="S1202" s="7637"/>
      <c r="T1202" s="7647" t="s">
        <v>633</v>
      </c>
      <c r="U1202" s="4510"/>
      <c r="V1202" s="4510"/>
      <c r="W1202" s="4511"/>
      <c r="X1202" s="7637"/>
      <c r="Y1202" s="7647" t="s">
        <v>531</v>
      </c>
      <c r="Z1202" s="4510"/>
      <c r="AA1202" s="4510"/>
      <c r="AB1202" s="4511"/>
      <c r="AC1202" s="7637"/>
      <c r="AD1202" s="7647" t="s">
        <v>564</v>
      </c>
      <c r="AE1202" s="4510"/>
      <c r="AF1202" s="4510"/>
      <c r="AG1202" s="4511"/>
      <c r="AH1202" s="7638"/>
      <c r="AI1202" s="6680"/>
    </row>
    <row r="1203">
      <c r="A1203" s="6676"/>
      <c r="B1203" s="7633"/>
      <c r="C1203" s="7648"/>
      <c r="D1203" s="7646"/>
      <c r="E1203" s="7649" t="s">
        <v>857</v>
      </c>
      <c r="F1203" s="4469"/>
      <c r="G1203" s="4469"/>
      <c r="H1203" s="4515"/>
      <c r="I1203" s="7637"/>
      <c r="J1203" s="7649" t="s">
        <v>90</v>
      </c>
      <c r="K1203" s="4469"/>
      <c r="L1203" s="4469"/>
      <c r="M1203" s="4515"/>
      <c r="N1203" s="7637"/>
      <c r="O1203" s="4514" t="s">
        <v>2203</v>
      </c>
      <c r="P1203" s="4469"/>
      <c r="Q1203" s="4469"/>
      <c r="R1203" s="4515"/>
      <c r="S1203" s="7637"/>
      <c r="T1203" s="7649" t="s">
        <v>484</v>
      </c>
      <c r="U1203" s="4469"/>
      <c r="V1203" s="4469"/>
      <c r="W1203" s="4515"/>
      <c r="X1203" s="7637"/>
      <c r="Y1203" s="7649" t="s">
        <v>889</v>
      </c>
      <c r="Z1203" s="4469"/>
      <c r="AA1203" s="4469"/>
      <c r="AB1203" s="4515"/>
      <c r="AC1203" s="7637"/>
      <c r="AD1203" s="7649" t="s">
        <v>1748</v>
      </c>
      <c r="AE1203" s="4469"/>
      <c r="AF1203" s="4469"/>
      <c r="AG1203" s="4515"/>
      <c r="AH1203" s="7638"/>
      <c r="AI1203" s="6680"/>
    </row>
    <row r="1204" ht="20.25" customHeight="1">
      <c r="A1204" s="6676"/>
      <c r="B1204" s="7633"/>
      <c r="C1204" s="7648"/>
      <c r="D1204" s="7646"/>
      <c r="E1204" s="7650" t="s">
        <v>541</v>
      </c>
      <c r="F1204" s="4518"/>
      <c r="G1204" s="4519"/>
      <c r="H1204" s="7651" t="str">
        <f>IMAGE("https://raw.githubusercontent.com/msikma/pokesprite/master/items/hold-item/life-orb.png",3)</f>
        <v/>
      </c>
      <c r="I1204" s="7637"/>
      <c r="J1204" s="7650" t="s">
        <v>2204</v>
      </c>
      <c r="K1204" s="4518"/>
      <c r="L1204" s="4519"/>
      <c r="M1204" s="7651" t="str">
        <f>IMAGE("https://raw.githubusercontent.com/msikma/pokesprite/master/items/z-crystals/mewnium-z--held.png",3)</f>
        <v/>
      </c>
      <c r="N1204" s="7637"/>
      <c r="O1204" s="7650" t="s">
        <v>1608</v>
      </c>
      <c r="P1204" s="4518"/>
      <c r="Q1204" s="4519"/>
      <c r="R1204" s="7651" t="str">
        <f>IMAGE("https://raw.githubusercontent.com/msikma/pokesprite/master/items/mega-stone/blastoisinite.png",3)</f>
        <v/>
      </c>
      <c r="S1204" s="7637"/>
      <c r="T1204" s="7650" t="s">
        <v>2205</v>
      </c>
      <c r="U1204" s="4518"/>
      <c r="V1204" s="4519"/>
      <c r="W1204" s="7651" t="str">
        <f>IMAGE("https://raw.githubusercontent.com/msikma/pokesprite/master/items/hold-item/griseous-orb.png",3)</f>
        <v/>
      </c>
      <c r="X1204" s="7637"/>
      <c r="Y1204" s="7650" t="s">
        <v>713</v>
      </c>
      <c r="Z1204" s="4518"/>
      <c r="AA1204" s="4519"/>
      <c r="AB1204" s="7651" t="str">
        <f>IMAGE("https://raw.githubusercontent.com/msikma/pokesprite/master/items/hold-item/assault-vest.png",3)</f>
        <v/>
      </c>
      <c r="AC1204" s="7637"/>
      <c r="AD1204" s="7650" t="s">
        <v>541</v>
      </c>
      <c r="AE1204" s="4518"/>
      <c r="AF1204" s="4519"/>
      <c r="AG1204" s="7651" t="str">
        <f>IMAGE("https://raw.githubusercontent.com/msikma/pokesprite/master/items/hold-item/life-orb.png",3)</f>
        <v/>
      </c>
      <c r="AH1204" s="7638"/>
      <c r="AI1204" s="6680"/>
    </row>
    <row r="1205" ht="20.25" customHeight="1">
      <c r="A1205" s="6676"/>
      <c r="B1205" s="7633"/>
      <c r="C1205" s="7648"/>
      <c r="D1205" s="7646"/>
      <c r="E1205" s="4509" t="s">
        <v>612</v>
      </c>
      <c r="F1205" s="4510"/>
      <c r="G1205" s="4522"/>
      <c r="H1205" s="7652" t="str">
        <f>IMAGE("https://raw.githubusercontent.com/msikma/pokesprite/master/misc/types/gen8/bug.png",4,20,20)</f>
        <v/>
      </c>
      <c r="I1205" s="7637"/>
      <c r="J1205" s="4509" t="s">
        <v>669</v>
      </c>
      <c r="K1205" s="4510"/>
      <c r="L1205" s="4522"/>
      <c r="M1205" s="7652" t="str">
        <f>IMAGE("https://raw.githubusercontent.com/msikma/pokesprite/master/misc/types/gen8/psychic.png",4,20,20)</f>
        <v/>
      </c>
      <c r="N1205" s="7637"/>
      <c r="O1205" s="4509" t="s">
        <v>1610</v>
      </c>
      <c r="P1205" s="4510"/>
      <c r="Q1205" s="4522"/>
      <c r="R1205" s="7652" t="str">
        <f>IMAGE("https://raw.githubusercontent.com/msikma/pokesprite/master/misc/types/gen8/water.png",4,20,20)</f>
        <v/>
      </c>
      <c r="S1205" s="7637"/>
      <c r="T1205" s="4509" t="s">
        <v>1427</v>
      </c>
      <c r="U1205" s="4510"/>
      <c r="V1205" s="4522"/>
      <c r="W1205" s="7652" t="str">
        <f>IMAGE("https://raw.githubusercontent.com/msikma/pokesprite/master/misc/types/gen8/ghost.png",4,20,20)</f>
        <v/>
      </c>
      <c r="X1205" s="7637"/>
      <c r="Y1205" s="4509" t="s">
        <v>641</v>
      </c>
      <c r="Z1205" s="4510"/>
      <c r="AA1205" s="4522"/>
      <c r="AB1205" s="7652" t="str">
        <f>IMAGE("https://raw.githubusercontent.com/msikma/pokesprite/master/misc/types/gen8/fairy.png",4,20,20)</f>
        <v/>
      </c>
      <c r="AC1205" s="7637"/>
      <c r="AD1205" s="4509" t="s">
        <v>582</v>
      </c>
      <c r="AE1205" s="4510"/>
      <c r="AF1205" s="4522"/>
      <c r="AG1205" s="7652" t="str">
        <f>IMAGE("https://raw.githubusercontent.com/msikma/pokesprite/master/misc/types/gen8/ice.png",4,20,20)</f>
        <v/>
      </c>
      <c r="AH1205" s="7638"/>
      <c r="AI1205" s="6680"/>
    </row>
    <row r="1206" ht="20.25" customHeight="1">
      <c r="A1206" s="6676"/>
      <c r="B1206" s="7633"/>
      <c r="C1206" s="7653"/>
      <c r="D1206" s="7646"/>
      <c r="E1206" s="7649" t="s">
        <v>1040</v>
      </c>
      <c r="F1206" s="4469"/>
      <c r="G1206" s="4470"/>
      <c r="H1206" s="7654" t="str">
        <f>IMAGE("https://raw.githubusercontent.com/msikma/pokesprite/master/misc/types/gen8/normal.png",4,20,20)</f>
        <v/>
      </c>
      <c r="I1206" s="7637"/>
      <c r="J1206" s="7649" t="s">
        <v>619</v>
      </c>
      <c r="K1206" s="4469"/>
      <c r="L1206" s="4470"/>
      <c r="M1206" s="7654" t="str">
        <f>IMAGE("https://raw.githubusercontent.com/msikma/pokesprite/master/misc/types/gen8/fire.png",4,20,20)</f>
        <v/>
      </c>
      <c r="N1206" s="7637"/>
      <c r="O1206" s="7649" t="s">
        <v>739</v>
      </c>
      <c r="P1206" s="4469"/>
      <c r="Q1206" s="4470"/>
      <c r="R1206" s="7654" t="str">
        <f>IMAGE("https://raw.githubusercontent.com/msikma/pokesprite/master/misc/types/gen8/steel.png",4,20,20)</f>
        <v/>
      </c>
      <c r="S1206" s="7637"/>
      <c r="T1206" s="7649" t="s">
        <v>715</v>
      </c>
      <c r="U1206" s="4469"/>
      <c r="V1206" s="4470"/>
      <c r="W1206" s="7654" t="str">
        <f>IMAGE("https://raw.githubusercontent.com/msikma/pokesprite/master/misc/types/gen8/dragon.png",4,20,20)</f>
        <v/>
      </c>
      <c r="X1206" s="7637"/>
      <c r="Y1206" s="7649" t="s">
        <v>612</v>
      </c>
      <c r="Z1206" s="4469"/>
      <c r="AA1206" s="4470"/>
      <c r="AB1206" s="7654" t="str">
        <f>IMAGE("https://raw.githubusercontent.com/msikma/pokesprite/master/misc/types/gen8/bug.png",4,20,20)</f>
        <v/>
      </c>
      <c r="AC1206" s="7637"/>
      <c r="AD1206" s="7649" t="s">
        <v>844</v>
      </c>
      <c r="AE1206" s="4469"/>
      <c r="AF1206" s="4470"/>
      <c r="AG1206" s="7654" t="str">
        <f t="shared" ref="AG1206:AG1207" si="47">IMAGE("https://raw.githubusercontent.com/msikma/pokesprite/master/misc/types/gen8/electric.png",4,20,20)</f>
        <v/>
      </c>
      <c r="AH1206" s="7638"/>
      <c r="AI1206" s="6680"/>
    </row>
    <row r="1207" ht="20.25" customHeight="1">
      <c r="A1207" s="6676"/>
      <c r="B1207" s="7633"/>
      <c r="C1207" s="7655"/>
      <c r="D1207" s="7646"/>
      <c r="E1207" s="7649" t="s">
        <v>583</v>
      </c>
      <c r="F1207" s="4469"/>
      <c r="G1207" s="4470"/>
      <c r="H1207" s="7654" t="str">
        <f>IMAGE("https://raw.githubusercontent.com/msikma/pokesprite/master/misc/types/gen8/fighting.png",4,20,20)</f>
        <v/>
      </c>
      <c r="I1207" s="7637"/>
      <c r="J1207" s="7649" t="s">
        <v>718</v>
      </c>
      <c r="K1207" s="4469"/>
      <c r="L1207" s="4470"/>
      <c r="M1207" s="7654" t="str">
        <f>IMAGE("https://raw.githubusercontent.com/msikma/pokesprite/master/misc/types/gen8/fighting.png",4,20,20)</f>
        <v/>
      </c>
      <c r="N1207" s="7637"/>
      <c r="O1207" s="7649" t="s">
        <v>974</v>
      </c>
      <c r="P1207" s="4469"/>
      <c r="Q1207" s="4470"/>
      <c r="R1207" s="7654" t="str">
        <f>IMAGE("https://raw.githubusercontent.com/msikma/pokesprite/master/misc/types/gen8/water.png",4,20,20)</f>
        <v/>
      </c>
      <c r="S1207" s="7637"/>
      <c r="T1207" s="7649" t="s">
        <v>875</v>
      </c>
      <c r="U1207" s="4469"/>
      <c r="V1207" s="4470"/>
      <c r="W1207" s="7654" t="str">
        <f>IMAGE("https://raw.githubusercontent.com/msikma/pokesprite/master/misc/types/gen8/ghost.png",4,20,20)</f>
        <v/>
      </c>
      <c r="X1207" s="7637"/>
      <c r="Y1207" s="7649" t="s">
        <v>590</v>
      </c>
      <c r="Z1207" s="4469"/>
      <c r="AA1207" s="4470"/>
      <c r="AB1207" s="7654" t="str">
        <f>IMAGE("https://raw.githubusercontent.com/msikma/pokesprite/master/misc/types/gen8/fighting.png",4,20,20)</f>
        <v/>
      </c>
      <c r="AC1207" s="7637"/>
      <c r="AD1207" s="7649" t="s">
        <v>581</v>
      </c>
      <c r="AE1207" s="4469"/>
      <c r="AF1207" s="4470"/>
      <c r="AG1207" s="7654" t="str">
        <f t="shared" si="47"/>
        <v/>
      </c>
      <c r="AH1207" s="7638"/>
      <c r="AI1207" s="6680"/>
    </row>
    <row r="1208" ht="21.0" customHeight="1">
      <c r="A1208" s="6676"/>
      <c r="B1208" s="4463"/>
      <c r="C1208" s="7656"/>
      <c r="D1208" s="4476"/>
      <c r="E1208" s="7657" t="s">
        <v>588</v>
      </c>
      <c r="F1208" s="4526"/>
      <c r="G1208" s="4527"/>
      <c r="H1208" s="7658" t="str">
        <f>IMAGE("https://raw.githubusercontent.com/msikma/pokesprite/master/misc/types/gen8/rock.png",4,20,20)</f>
        <v/>
      </c>
      <c r="I1208" s="7637"/>
      <c r="J1208" s="7657" t="s">
        <v>670</v>
      </c>
      <c r="K1208" s="4526"/>
      <c r="L1208" s="4527"/>
      <c r="M1208" s="7658" t="str">
        <f>IMAGE("https://raw.githubusercontent.com/msikma/pokesprite/master/misc/types/gen8/ice.png",4,20,20)</f>
        <v/>
      </c>
      <c r="N1208" s="7637"/>
      <c r="O1208" s="7657" t="s">
        <v>583</v>
      </c>
      <c r="P1208" s="4526"/>
      <c r="Q1208" s="4527"/>
      <c r="R1208" s="7658" t="str">
        <f>IMAGE("https://raw.githubusercontent.com/msikma/pokesprite/master/misc/types/gen8/fighting.png",4,20,20)</f>
        <v/>
      </c>
      <c r="S1208" s="7637"/>
      <c r="T1208" s="7657" t="s">
        <v>611</v>
      </c>
      <c r="U1208" s="4526"/>
      <c r="V1208" s="4527"/>
      <c r="W1208" s="7658" t="str">
        <f>IMAGE("https://raw.githubusercontent.com/msikma/pokesprite/master/misc/types/gen8/electric.png",4,20,20)</f>
        <v/>
      </c>
      <c r="X1208" s="7637"/>
      <c r="Y1208" s="7657" t="s">
        <v>669</v>
      </c>
      <c r="Z1208" s="4526"/>
      <c r="AA1208" s="4527"/>
      <c r="AB1208" s="7658" t="str">
        <f>IMAGE("https://raw.githubusercontent.com/msikma/pokesprite/master/misc/types/gen8/psychic.png",4,20,20)</f>
        <v/>
      </c>
      <c r="AC1208" s="7637"/>
      <c r="AD1208" s="7657" t="s">
        <v>586</v>
      </c>
      <c r="AE1208" s="4526"/>
      <c r="AF1208" s="4527"/>
      <c r="AG1208" s="7658" t="str">
        <f>IMAGE("https://raw.githubusercontent.com/msikma/pokesprite/master/misc/types/gen8/ice.png",4,20,20)</f>
        <v/>
      </c>
      <c r="AH1208" s="7638"/>
      <c r="AI1208" s="6680"/>
    </row>
    <row r="1209" ht="3.0" customHeight="1">
      <c r="A1209" s="6738"/>
      <c r="B1209" s="4530"/>
      <c r="C1209" s="4531"/>
      <c r="D1209" s="4532"/>
      <c r="E1209" s="7659"/>
      <c r="F1209" s="7659"/>
      <c r="G1209" s="7659"/>
      <c r="H1209" s="7660"/>
      <c r="I1209" s="7661"/>
      <c r="J1209" s="4533"/>
      <c r="K1209" s="4533"/>
      <c r="L1209" s="4533"/>
      <c r="M1209" s="7662"/>
      <c r="N1209" s="7661"/>
      <c r="O1209" s="4533"/>
      <c r="P1209" s="4533"/>
      <c r="Q1209" s="4533"/>
      <c r="R1209" s="7662"/>
      <c r="S1209" s="7662"/>
      <c r="T1209" s="4533"/>
      <c r="U1209" s="4533"/>
      <c r="V1209" s="4533"/>
      <c r="W1209" s="7662"/>
      <c r="X1209" s="7661"/>
      <c r="Y1209" s="7663"/>
      <c r="Z1209" s="7664"/>
      <c r="AA1209" s="7664"/>
      <c r="AB1209" s="7665"/>
      <c r="AC1209" s="7665"/>
      <c r="AD1209" s="7666"/>
      <c r="AE1209" s="7666"/>
      <c r="AF1209" s="7666"/>
      <c r="AG1209" s="7665"/>
      <c r="AH1209" s="7667"/>
      <c r="AI1209" s="6747"/>
    </row>
    <row r="1210" ht="16.5" customHeight="1">
      <c r="A1210" s="6738"/>
      <c r="B1210" s="4538"/>
      <c r="C1210" s="4531"/>
      <c r="D1210" s="7668"/>
      <c r="E1210" s="7669" t="s">
        <v>512</v>
      </c>
      <c r="F1210" s="606"/>
      <c r="G1210" s="606"/>
      <c r="H1210" s="607"/>
      <c r="I1210" s="7670"/>
      <c r="J1210" s="7669" t="s">
        <v>512</v>
      </c>
      <c r="K1210" s="606"/>
      <c r="L1210" s="606"/>
      <c r="M1210" s="607"/>
      <c r="N1210" s="7671"/>
      <c r="O1210" s="7669" t="s">
        <v>512</v>
      </c>
      <c r="P1210" s="606"/>
      <c r="Q1210" s="606"/>
      <c r="R1210" s="607"/>
      <c r="S1210" s="7671"/>
      <c r="T1210" s="7669" t="s">
        <v>512</v>
      </c>
      <c r="U1210" s="606"/>
      <c r="V1210" s="606"/>
      <c r="W1210" s="607"/>
      <c r="X1210" s="7671"/>
      <c r="Y1210" s="7669" t="s">
        <v>512</v>
      </c>
      <c r="Z1210" s="606"/>
      <c r="AA1210" s="606"/>
      <c r="AB1210" s="607"/>
      <c r="AC1210" s="7671"/>
      <c r="AD1210" s="7669" t="s">
        <v>512</v>
      </c>
      <c r="AE1210" s="606"/>
      <c r="AF1210" s="606"/>
      <c r="AG1210" s="607"/>
      <c r="AH1210" s="4543"/>
      <c r="AI1210" s="6747"/>
    </row>
    <row r="1211" ht="16.5" customHeight="1">
      <c r="A1211" s="6738"/>
      <c r="B1211" s="4538"/>
      <c r="C1211" s="4531"/>
      <c r="D1211" s="7668"/>
      <c r="E1211" s="7672" t="s">
        <v>513</v>
      </c>
      <c r="F1211" s="7673">
        <f t="array" ref="F1211">IFERROR(VLOOKUP(E1198,Dex!$B$3:$N1219,8,FALSE),"")</f>
        <v>100</v>
      </c>
      <c r="G1211" s="7674" t="str">
        <f t="array" ref="G1211">IFERROR(VLOOKUP(F1211,Dex!$P$22:$Q$276,2,FALSE),"")</f>
        <v/>
      </c>
      <c r="H1211" s="7675"/>
      <c r="I1211" s="7676"/>
      <c r="J1211" s="7672" t="s">
        <v>513</v>
      </c>
      <c r="K1211" s="7673">
        <f t="array" ref="K1211">IFERROR(VLOOKUP(J1198,Dex!$B$3:$N1219,8,FALSE),"")</f>
        <v>100</v>
      </c>
      <c r="L1211" s="7674" t="str">
        <f t="array" ref="L1211">IFERROR(VLOOKUP(K1211,Dex!$P$22:$Q$276,2,FALSE),"")</f>
        <v/>
      </c>
      <c r="M1211" s="7675"/>
      <c r="N1211" s="4541"/>
      <c r="O1211" s="7672" t="s">
        <v>513</v>
      </c>
      <c r="P1211" s="7673">
        <f t="array" ref="P1211">IFERROR(VLOOKUP(O1198,Dex!$B$3:$N1219,8,FALSE),"")</f>
        <v>55</v>
      </c>
      <c r="Q1211" s="7674" t="str">
        <f t="array" ref="Q1211">IFERROR(VLOOKUP(P1211,Dex!$P$22:$Q$276,2,FALSE),"")</f>
        <v/>
      </c>
      <c r="R1211" s="7675"/>
      <c r="S1211" s="4541"/>
      <c r="T1211" s="7672" t="s">
        <v>513</v>
      </c>
      <c r="U1211" s="7673">
        <f t="array" ref="U1211">IFERROR(VLOOKUP(T1198,Dex!$B$3:$N1219,8,FALSE),"")</f>
        <v>150</v>
      </c>
      <c r="V1211" s="7674" t="str">
        <f t="array" ref="V1211">IFERROR(VLOOKUP(U1211,Dex!$P$22:$Q$276,2,FALSE),"")</f>
        <v/>
      </c>
      <c r="W1211" s="7675"/>
      <c r="X1211" s="4541"/>
      <c r="Y1211" s="7672" t="s">
        <v>513</v>
      </c>
      <c r="Z1211" s="7673">
        <f t="array" ref="Z1211">IFERROR(VLOOKUP(Y1198,Dex!$B$3:$N1219,8,FALSE),"")</f>
        <v>74</v>
      </c>
      <c r="AA1211" s="7674" t="str">
        <f t="array" ref="AA1211">IFERROR(VLOOKUP(Z1211,Dex!$P$22:$Q$276,2,FALSE),"")</f>
        <v/>
      </c>
      <c r="AB1211" s="7675"/>
      <c r="AC1211" s="4541"/>
      <c r="AD1211" s="7672" t="s">
        <v>513</v>
      </c>
      <c r="AE1211" s="7673">
        <f t="array" ref="AE1211">IFERROR(VLOOKUP(AD1198,Dex!$B$3:$N1219,8,FALSE),"")</f>
        <v>75</v>
      </c>
      <c r="AF1211" s="7674" t="str">
        <f t="array" ref="AF1211">IFERROR(VLOOKUP(AE1211,Dex!$P$22:$Q$276,2,FALSE),"")</f>
        <v/>
      </c>
      <c r="AG1211" s="7675"/>
      <c r="AH1211" s="4543"/>
      <c r="AI1211" s="6747"/>
    </row>
    <row r="1212" ht="16.5" customHeight="1">
      <c r="A1212" s="6738"/>
      <c r="B1212" s="4538"/>
      <c r="C1212" s="4531"/>
      <c r="D1212" s="7668"/>
      <c r="E1212" s="7677" t="s">
        <v>514</v>
      </c>
      <c r="F1212" s="7678">
        <f t="array" ref="F1212">IFERROR(VLOOKUP(E1198,Dex!$B$3:$N1219,9,FALSE),"")</f>
        <v>128</v>
      </c>
      <c r="G1212" s="7679" t="str">
        <f t="array" ref="G1212">IFERROR(VLOOKUP(F1212,Dex!$P$22:$Q$276,2,FALSE),"")</f>
        <v/>
      </c>
      <c r="H1212" s="7680"/>
      <c r="I1212" s="7676"/>
      <c r="J1212" s="7677" t="s">
        <v>514</v>
      </c>
      <c r="K1212" s="7678">
        <f t="array" ref="K1212">IFERROR(VLOOKUP(J1198,Dex!$B$3:$N1219,9,FALSE),"")</f>
        <v>100</v>
      </c>
      <c r="L1212" s="7679" t="str">
        <f t="array" ref="L1212">IFERROR(VLOOKUP(K1212,Dex!$P$22:$Q$276,2,FALSE),"")</f>
        <v/>
      </c>
      <c r="M1212" s="7680"/>
      <c r="N1212" s="4541"/>
      <c r="O1212" s="7677" t="s">
        <v>514</v>
      </c>
      <c r="P1212" s="7678">
        <f t="array" ref="P1212">IFERROR(VLOOKUP(O1198,Dex!$B$3:$N1219,9,FALSE),"")</f>
        <v>150</v>
      </c>
      <c r="Q1212" s="7679" t="str">
        <f t="array" ref="Q1212">IFERROR(VLOOKUP(P1212,Dex!$P$22:$Q$276,2,FALSE),"")</f>
        <v/>
      </c>
      <c r="R1212" s="7680"/>
      <c r="S1212" s="4541"/>
      <c r="T1212" s="7677" t="s">
        <v>514</v>
      </c>
      <c r="U1212" s="7678">
        <f t="array" ref="U1212">IFERROR(VLOOKUP(T1198,Dex!$B$3:$N1219,9,FALSE),"")</f>
        <v>120</v>
      </c>
      <c r="V1212" s="7679" t="str">
        <f t="array" ref="V1212">IFERROR(VLOOKUP(U1212,Dex!$P$22:$Q$276,2,FALSE),"")</f>
        <v/>
      </c>
      <c r="W1212" s="7680"/>
      <c r="X1212" s="4541"/>
      <c r="Y1212" s="7677" t="s">
        <v>514</v>
      </c>
      <c r="Z1212" s="7678">
        <f t="array" ref="Z1212">IFERROR(VLOOKUP(Y1198,Dex!$B$3:$N1219,9,FALSE),"")</f>
        <v>115</v>
      </c>
      <c r="AA1212" s="7679" t="str">
        <f t="array" ref="AA1212">IFERROR(VLOOKUP(Z1212,Dex!$P$22:$Q$276,2,FALSE),"")</f>
        <v/>
      </c>
      <c r="AB1212" s="7680"/>
      <c r="AC1212" s="4541"/>
      <c r="AD1212" s="7677" t="s">
        <v>514</v>
      </c>
      <c r="AE1212" s="7678">
        <f t="array" ref="AE1212">IFERROR(VLOOKUP(AD1198,Dex!$B$3:$N1219,9,FALSE),"")</f>
        <v>70</v>
      </c>
      <c r="AF1212" s="7679" t="str">
        <f t="array" ref="AF1212">IFERROR(VLOOKUP(AE1212,Dex!$P$22:$Q$276,2,FALSE),"")</f>
        <v/>
      </c>
      <c r="AG1212" s="7680"/>
      <c r="AH1212" s="4543"/>
      <c r="AI1212" s="6747"/>
    </row>
    <row r="1213" ht="16.5" customHeight="1">
      <c r="A1213" s="6738"/>
      <c r="B1213" s="4538"/>
      <c r="C1213" s="4531"/>
      <c r="D1213" s="7668"/>
      <c r="E1213" s="7677" t="s">
        <v>515</v>
      </c>
      <c r="F1213" s="7678">
        <f t="array" ref="F1213">IFERROR(VLOOKUP(E1198,Dex!$B$3:$N1219,10,FALSE),"")</f>
        <v>90</v>
      </c>
      <c r="G1213" s="7679" t="str">
        <f t="array" ref="G1213">IFERROR(VLOOKUP(F1213,Dex!$P$22:$Q$276,2,FALSE),"")</f>
        <v/>
      </c>
      <c r="H1213" s="7680"/>
      <c r="I1213" s="7676"/>
      <c r="J1213" s="7677" t="s">
        <v>515</v>
      </c>
      <c r="K1213" s="7678">
        <f t="array" ref="K1213">IFERROR(VLOOKUP(J1198,Dex!$B$3:$N1219,10,FALSE),"")</f>
        <v>100</v>
      </c>
      <c r="L1213" s="7679" t="str">
        <f t="array" ref="L1213">IFERROR(VLOOKUP(K1213,Dex!$P$22:$Q$276,2,FALSE),"")</f>
        <v/>
      </c>
      <c r="M1213" s="7680"/>
      <c r="N1213" s="4541"/>
      <c r="O1213" s="7677" t="s">
        <v>515</v>
      </c>
      <c r="P1213" s="7678">
        <f t="array" ref="P1213">IFERROR(VLOOKUP(O1198,Dex!$B$3:$N1219,10,FALSE),"")</f>
        <v>125</v>
      </c>
      <c r="Q1213" s="7679" t="str">
        <f t="array" ref="Q1213">IFERROR(VLOOKUP(P1213,Dex!$P$22:$Q$276,2,FALSE),"")</f>
        <v/>
      </c>
      <c r="R1213" s="7680"/>
      <c r="S1213" s="4541"/>
      <c r="T1213" s="7677" t="s">
        <v>515</v>
      </c>
      <c r="U1213" s="7678">
        <f t="array" ref="U1213">IFERROR(VLOOKUP(T1198,Dex!$B$3:$N1219,10,FALSE),"")</f>
        <v>100</v>
      </c>
      <c r="V1213" s="7679" t="str">
        <f t="array" ref="V1213">IFERROR(VLOOKUP(U1213,Dex!$P$22:$Q$276,2,FALSE),"")</f>
        <v/>
      </c>
      <c r="W1213" s="7680"/>
      <c r="X1213" s="4541"/>
      <c r="Y1213" s="7677" t="s">
        <v>515</v>
      </c>
      <c r="Z1213" s="7678">
        <f t="array" ref="Z1213">IFERROR(VLOOKUP(Y1198,Dex!$B$3:$N1219,10,FALSE),"")</f>
        <v>110</v>
      </c>
      <c r="AA1213" s="7679" t="str">
        <f t="array" ref="AA1213">IFERROR(VLOOKUP(Z1213,Dex!$P$22:$Q$276,2,FALSE),"")</f>
        <v/>
      </c>
      <c r="AB1213" s="7680"/>
      <c r="AC1213" s="4541"/>
      <c r="AD1213" s="7677" t="s">
        <v>515</v>
      </c>
      <c r="AE1213" s="7678">
        <f t="array" ref="AE1213">IFERROR(VLOOKUP(AD1198,Dex!$B$3:$N1219,10,FALSE),"")</f>
        <v>63</v>
      </c>
      <c r="AF1213" s="7679" t="str">
        <f t="array" ref="AF1213">IFERROR(VLOOKUP(AE1213,Dex!$P$22:$Q$276,2,FALSE),"")</f>
        <v/>
      </c>
      <c r="AG1213" s="7680"/>
      <c r="AH1213" s="4543"/>
      <c r="AI1213" s="6747"/>
    </row>
    <row r="1214" ht="16.5" customHeight="1">
      <c r="A1214" s="6738"/>
      <c r="B1214" s="4538"/>
      <c r="C1214" s="4531"/>
      <c r="D1214" s="7668"/>
      <c r="E1214" s="7677" t="s">
        <v>516</v>
      </c>
      <c r="F1214" s="7678">
        <f t="array" ref="F1214">IFERROR(VLOOKUP(E1198,Dex!$B$3:$N1219,11,FALSE),"")</f>
        <v>77</v>
      </c>
      <c r="G1214" s="7679" t="str">
        <f t="array" ref="G1214">IFERROR(VLOOKUP(F1214,Dex!$P$22:$Q$276,2,FALSE),"")</f>
        <v/>
      </c>
      <c r="H1214" s="7680"/>
      <c r="I1214" s="7676"/>
      <c r="J1214" s="7677" t="s">
        <v>516</v>
      </c>
      <c r="K1214" s="7678">
        <f t="array" ref="K1214">IFERROR(VLOOKUP(J1198,Dex!$B$3:$N1219,11,FALSE),"")</f>
        <v>100</v>
      </c>
      <c r="L1214" s="7679" t="str">
        <f t="array" ref="L1214">IFERROR(VLOOKUP(K1214,Dex!$P$22:$Q$276,2,FALSE),"")</f>
        <v/>
      </c>
      <c r="M1214" s="7680"/>
      <c r="N1214" s="4541"/>
      <c r="O1214" s="7677" t="s">
        <v>516</v>
      </c>
      <c r="P1214" s="7678">
        <f t="array" ref="P1214">IFERROR(VLOOKUP(O1198,Dex!$B$3:$N1219,11,FALSE),"")</f>
        <v>50</v>
      </c>
      <c r="Q1214" s="7679" t="str">
        <f t="array" ref="Q1214">IFERROR(VLOOKUP(P1214,Dex!$P$22:$Q$276,2,FALSE),"")</f>
        <v/>
      </c>
      <c r="R1214" s="7680"/>
      <c r="S1214" s="4541"/>
      <c r="T1214" s="7677" t="s">
        <v>516</v>
      </c>
      <c r="U1214" s="7678">
        <f t="array" ref="U1214">IFERROR(VLOOKUP(T1198,Dex!$B$3:$N1219,11,FALSE),"")</f>
        <v>120</v>
      </c>
      <c r="V1214" s="7679" t="str">
        <f t="array" ref="V1214">IFERROR(VLOOKUP(U1214,Dex!$P$22:$Q$276,2,FALSE),"")</f>
        <v/>
      </c>
      <c r="W1214" s="7680"/>
      <c r="X1214" s="4541"/>
      <c r="Y1214" s="7677" t="s">
        <v>516</v>
      </c>
      <c r="Z1214" s="7678">
        <f t="array" ref="Z1214">IFERROR(VLOOKUP(Y1198,Dex!$B$3:$N1219,11,FALSE),"")</f>
        <v>135</v>
      </c>
      <c r="AA1214" s="7679" t="str">
        <f t="array" ref="AA1214">IFERROR(VLOOKUP(Z1214,Dex!$P$22:$Q$276,2,FALSE),"")</f>
        <v/>
      </c>
      <c r="AB1214" s="7680"/>
      <c r="AC1214" s="4541"/>
      <c r="AD1214" s="7677" t="s">
        <v>516</v>
      </c>
      <c r="AE1214" s="7678">
        <f t="array" ref="AE1214">IFERROR(VLOOKUP(AD1198,Dex!$B$3:$N1219,11,FALSE),"")</f>
        <v>110</v>
      </c>
      <c r="AF1214" s="7679" t="str">
        <f t="array" ref="AF1214">IFERROR(VLOOKUP(AE1214,Dex!$P$22:$Q$276,2,FALSE),"")</f>
        <v/>
      </c>
      <c r="AG1214" s="7680"/>
      <c r="AH1214" s="4543"/>
      <c r="AI1214" s="6747"/>
    </row>
    <row r="1215" ht="16.5" customHeight="1">
      <c r="A1215" s="6738"/>
      <c r="B1215" s="4538"/>
      <c r="C1215" s="4531"/>
      <c r="D1215" s="7668"/>
      <c r="E1215" s="7677" t="s">
        <v>517</v>
      </c>
      <c r="F1215" s="7678">
        <f t="array" ref="F1215">IFERROR(VLOOKUP(E1198,Dex!$B$3:$N1219,12,FALSE),"")</f>
        <v>77</v>
      </c>
      <c r="G1215" s="7679" t="str">
        <f t="array" ref="G1215">IFERROR(VLOOKUP(F1215,Dex!$P$22:$Q$276,2,FALSE),"")</f>
        <v/>
      </c>
      <c r="H1215" s="7680"/>
      <c r="I1215" s="7676"/>
      <c r="J1215" s="7677" t="s">
        <v>517</v>
      </c>
      <c r="K1215" s="7678">
        <f t="array" ref="K1215">IFERROR(VLOOKUP(J1198,Dex!$B$3:$N1219,12,FALSE),"")</f>
        <v>100</v>
      </c>
      <c r="L1215" s="7679" t="str">
        <f t="array" ref="L1215">IFERROR(VLOOKUP(K1215,Dex!$P$22:$Q$276,2,FALSE),"")</f>
        <v/>
      </c>
      <c r="M1215" s="7680"/>
      <c r="N1215" s="4541"/>
      <c r="O1215" s="7677" t="s">
        <v>517</v>
      </c>
      <c r="P1215" s="7678">
        <f t="array" ref="P1215">IFERROR(VLOOKUP(O1198,Dex!$B$3:$N1219,12,FALSE),"")</f>
        <v>70</v>
      </c>
      <c r="Q1215" s="7679" t="str">
        <f t="array" ref="Q1215">IFERROR(VLOOKUP(P1215,Dex!$P$22:$Q$276,2,FALSE),"")</f>
        <v/>
      </c>
      <c r="R1215" s="7680"/>
      <c r="S1215" s="4541"/>
      <c r="T1215" s="7677" t="s">
        <v>517</v>
      </c>
      <c r="U1215" s="7678">
        <f t="array" ref="U1215">IFERROR(VLOOKUP(T1198,Dex!$B$3:$N1219,12,FALSE),"")</f>
        <v>100</v>
      </c>
      <c r="V1215" s="7679" t="str">
        <f t="array" ref="V1215">IFERROR(VLOOKUP(U1215,Dex!$P$22:$Q$276,2,FALSE),"")</f>
        <v/>
      </c>
      <c r="W1215" s="7680"/>
      <c r="X1215" s="4541"/>
      <c r="Y1215" s="7677" t="s">
        <v>517</v>
      </c>
      <c r="Z1215" s="7678">
        <f t="array" ref="Z1215">IFERROR(VLOOKUP(Y1198,Dex!$B$3:$N1219,12,FALSE),"")</f>
        <v>100</v>
      </c>
      <c r="AA1215" s="7679" t="str">
        <f t="array" ref="AA1215">IFERROR(VLOOKUP(Z1215,Dex!$P$22:$Q$276,2,FALSE),"")</f>
        <v/>
      </c>
      <c r="AB1215" s="7680"/>
      <c r="AC1215" s="4541"/>
      <c r="AD1215" s="7677" t="s">
        <v>517</v>
      </c>
      <c r="AE1215" s="7678">
        <f t="array" ref="AE1215">IFERROR(VLOOKUP(AD1198,Dex!$B$3:$N1219,12,FALSE),"")</f>
        <v>63</v>
      </c>
      <c r="AF1215" s="7679" t="str">
        <f t="array" ref="AF1215">IFERROR(VLOOKUP(AE1215,Dex!$P$22:$Q$276,2,FALSE),"")</f>
        <v/>
      </c>
      <c r="AG1215" s="7680"/>
      <c r="AH1215" s="4543"/>
      <c r="AI1215" s="6747"/>
    </row>
    <row r="1216" ht="16.5" customHeight="1">
      <c r="A1216" s="6738"/>
      <c r="B1216" s="4538"/>
      <c r="C1216" s="4531"/>
      <c r="D1216" s="7668"/>
      <c r="E1216" s="7681" t="s">
        <v>518</v>
      </c>
      <c r="F1216" s="7682">
        <f t="array" ref="F1216">IFERROR(VLOOKUP(E1198,Dex!$B$3:$N1219,13,FALSE),"")</f>
        <v>128</v>
      </c>
      <c r="G1216" s="7679" t="str">
        <f t="array" ref="G1216">IFERROR(VLOOKUP(F1216,Dex!$P$22:$Q$276,2,FALSE),"")</f>
        <v/>
      </c>
      <c r="H1216" s="7680"/>
      <c r="I1216" s="7676"/>
      <c r="J1216" s="7681" t="s">
        <v>518</v>
      </c>
      <c r="K1216" s="7682">
        <f t="array" ref="K1216">IFERROR(VLOOKUP(J1198,Dex!$B$3:$N1219,13,FALSE),"")</f>
        <v>100</v>
      </c>
      <c r="L1216" s="7679" t="str">
        <f t="array" ref="L1216">IFERROR(VLOOKUP(K1216,Dex!$P$22:$Q$276,2,FALSE),"")</f>
        <v/>
      </c>
      <c r="M1216" s="7680"/>
      <c r="N1216" s="4541"/>
      <c r="O1216" s="7681" t="s">
        <v>518</v>
      </c>
      <c r="P1216" s="7682">
        <f t="array" ref="P1216">IFERROR(VLOOKUP(O1198,Dex!$B$3:$N1219,13,FALSE),"")</f>
        <v>110</v>
      </c>
      <c r="Q1216" s="7679" t="str">
        <f t="array" ref="Q1216">IFERROR(VLOOKUP(P1216,Dex!$P$22:$Q$276,2,FALSE),"")</f>
        <v/>
      </c>
      <c r="R1216" s="7680"/>
      <c r="S1216" s="4541"/>
      <c r="T1216" s="7681" t="s">
        <v>518</v>
      </c>
      <c r="U1216" s="7682">
        <f t="array" ref="U1216">IFERROR(VLOOKUP(T1198,Dex!$B$3:$N1219,13,FALSE),"")</f>
        <v>90</v>
      </c>
      <c r="V1216" s="7679" t="str">
        <f t="array" ref="V1216">IFERROR(VLOOKUP(U1216,Dex!$P$22:$Q$276,2,FALSE),"")</f>
        <v/>
      </c>
      <c r="W1216" s="7680"/>
      <c r="X1216" s="4541"/>
      <c r="Y1216" s="7681" t="s">
        <v>518</v>
      </c>
      <c r="Z1216" s="7682">
        <f t="array" ref="Z1216">IFERROR(VLOOKUP(Y1198,Dex!$B$3:$N1219,13,FALSE),"")</f>
        <v>46</v>
      </c>
      <c r="AA1216" s="7679" t="str">
        <f t="array" ref="AA1216">IFERROR(VLOOKUP(Z1216,Dex!$P$22:$Q$276,2,FALSE),"")</f>
        <v/>
      </c>
      <c r="AB1216" s="7680"/>
      <c r="AC1216" s="4541"/>
      <c r="AD1216" s="7681" t="s">
        <v>518</v>
      </c>
      <c r="AE1216" s="7682">
        <f t="array" ref="AE1216">IFERROR(VLOOKUP(AD1198,Dex!$B$3:$N1219,13,FALSE),"")</f>
        <v>116</v>
      </c>
      <c r="AF1216" s="7679" t="str">
        <f t="array" ref="AF1216">IFERROR(VLOOKUP(AE1216,Dex!$P$22:$Q$276,2,FALSE),"")</f>
        <v/>
      </c>
      <c r="AG1216" s="7680"/>
      <c r="AH1216" s="4543"/>
      <c r="AI1216" s="6747"/>
    </row>
    <row r="1217" ht="16.5" customHeight="1">
      <c r="A1217" s="6738"/>
      <c r="B1217" s="4538"/>
      <c r="C1217" s="4531"/>
      <c r="D1217" s="7668"/>
      <c r="E1217" s="7683" t="s">
        <v>519</v>
      </c>
      <c r="F1217" s="630"/>
      <c r="G1217" s="631"/>
      <c r="H1217" s="7684">
        <v>321.0</v>
      </c>
      <c r="I1217" s="7670"/>
      <c r="J1217" s="7683" t="s">
        <v>519</v>
      </c>
      <c r="K1217" s="630"/>
      <c r="L1217" s="631"/>
      <c r="M1217" s="7684">
        <v>259.0</v>
      </c>
      <c r="N1217" s="7671"/>
      <c r="O1217" s="7683" t="s">
        <v>519</v>
      </c>
      <c r="P1217" s="630"/>
      <c r="Q1217" s="631"/>
      <c r="R1217" s="7684">
        <v>281.0</v>
      </c>
      <c r="S1217" s="7671"/>
      <c r="T1217" s="7683" t="s">
        <v>519</v>
      </c>
      <c r="U1217" s="630"/>
      <c r="V1217" s="631"/>
      <c r="W1217" s="7684">
        <v>194.0</v>
      </c>
      <c r="X1217" s="7671"/>
      <c r="Y1217" s="7683" t="s">
        <v>519</v>
      </c>
      <c r="Z1217" s="630"/>
      <c r="AA1217" s="631"/>
      <c r="AB1217" s="7684">
        <v>128.0</v>
      </c>
      <c r="AC1217" s="7671"/>
      <c r="AD1217" s="7683" t="s">
        <v>519</v>
      </c>
      <c r="AE1217" s="630"/>
      <c r="AF1217" s="631"/>
      <c r="AG1217" s="7684">
        <v>294.0</v>
      </c>
      <c r="AH1217" s="4543"/>
      <c r="AI1217" s="6747"/>
    </row>
    <row r="1218" ht="7.5" customHeight="1">
      <c r="A1218" s="6676"/>
      <c r="B1218" s="7685"/>
      <c r="C1218" s="7686"/>
      <c r="D1218" s="3255"/>
      <c r="E1218" s="3255"/>
      <c r="F1218" s="3255"/>
      <c r="G1218" s="3255"/>
      <c r="H1218" s="3255"/>
      <c r="I1218" s="3255"/>
      <c r="J1218" s="3255"/>
      <c r="K1218" s="3255"/>
      <c r="L1218" s="3255"/>
      <c r="M1218" s="3255"/>
      <c r="N1218" s="3255"/>
      <c r="O1218" s="3255"/>
      <c r="P1218" s="3255"/>
      <c r="Q1218" s="3255"/>
      <c r="R1218" s="3255"/>
      <c r="S1218" s="3255"/>
      <c r="T1218" s="3255"/>
      <c r="U1218" s="3255"/>
      <c r="V1218" s="3255"/>
      <c r="W1218" s="3255"/>
      <c r="X1218" s="3255"/>
      <c r="Y1218" s="3255"/>
      <c r="Z1218" s="3255"/>
      <c r="AA1218" s="3255"/>
      <c r="AB1218" s="3255"/>
      <c r="AC1218" s="3255"/>
      <c r="AD1218" s="3255"/>
      <c r="AE1218" s="3255"/>
      <c r="AF1218" s="3255"/>
      <c r="AG1218" s="7687"/>
      <c r="AH1218" s="7688"/>
      <c r="AI1218" s="6680"/>
    </row>
    <row r="1219" ht="3.75" customHeight="1">
      <c r="A1219" s="6675"/>
      <c r="B1219" s="7689"/>
      <c r="C1219" s="7690"/>
      <c r="D1219" s="7689"/>
      <c r="E1219" s="7689"/>
      <c r="F1219" s="7689"/>
      <c r="G1219" s="7689"/>
      <c r="H1219" s="7689"/>
      <c r="I1219" s="7689"/>
      <c r="J1219" s="7689"/>
      <c r="K1219" s="7689"/>
      <c r="L1219" s="7689"/>
      <c r="M1219" s="7689"/>
      <c r="N1219" s="7689"/>
      <c r="O1219" s="7689"/>
      <c r="P1219" s="7689"/>
      <c r="Q1219" s="7689"/>
      <c r="R1219" s="7689"/>
      <c r="S1219" s="7689"/>
      <c r="T1219" s="7689"/>
      <c r="U1219" s="7689"/>
      <c r="V1219" s="7689"/>
      <c r="W1219" s="7689"/>
      <c r="X1219" s="7689"/>
      <c r="Y1219" s="7689"/>
      <c r="Z1219" s="7689"/>
      <c r="AA1219" s="7689"/>
      <c r="AB1219" s="7689"/>
      <c r="AC1219" s="7689"/>
      <c r="AD1219" s="7689"/>
      <c r="AE1219" s="7689"/>
      <c r="AF1219" s="7689"/>
      <c r="AG1219" s="7689"/>
      <c r="AH1219" s="7689"/>
      <c r="AI1219" s="6675"/>
    </row>
  </sheetData>
  <mergeCells count="5722">
    <mergeCell ref="O199:Q199"/>
    <mergeCell ref="O202:R202"/>
    <mergeCell ref="S202:S213"/>
    <mergeCell ref="X202:X213"/>
    <mergeCell ref="AC202:AC213"/>
    <mergeCell ref="T203:W203"/>
    <mergeCell ref="T204:W204"/>
    <mergeCell ref="Y213:AA213"/>
    <mergeCell ref="O213:Q213"/>
    <mergeCell ref="T213:V213"/>
    <mergeCell ref="O215:R215"/>
    <mergeCell ref="T215:W215"/>
    <mergeCell ref="Y215:AB215"/>
    <mergeCell ref="V216:W216"/>
    <mergeCell ref="AA216:AB216"/>
    <mergeCell ref="O207:R207"/>
    <mergeCell ref="T207:W207"/>
    <mergeCell ref="Y207:AB207"/>
    <mergeCell ref="O208:R208"/>
    <mergeCell ref="T208:W208"/>
    <mergeCell ref="Y208:AB208"/>
    <mergeCell ref="O209:Q209"/>
    <mergeCell ref="T209:V209"/>
    <mergeCell ref="Y209:AA209"/>
    <mergeCell ref="O210:Q210"/>
    <mergeCell ref="T210:V210"/>
    <mergeCell ref="Y210:AA210"/>
    <mergeCell ref="O211:Q211"/>
    <mergeCell ref="T211:V211"/>
    <mergeCell ref="Y211:AA211"/>
    <mergeCell ref="O212:Q212"/>
    <mergeCell ref="T212:V212"/>
    <mergeCell ref="Y212:AA212"/>
    <mergeCell ref="Q219:R219"/>
    <mergeCell ref="Q220:R220"/>
    <mergeCell ref="V220:W220"/>
    <mergeCell ref="AA220:AB220"/>
    <mergeCell ref="Y251:AB251"/>
    <mergeCell ref="P252:Q252"/>
    <mergeCell ref="I249:I260"/>
    <mergeCell ref="N249:N260"/>
    <mergeCell ref="S249:S260"/>
    <mergeCell ref="X249:X260"/>
    <mergeCell ref="AC249:AC260"/>
    <mergeCell ref="Y254:AB254"/>
    <mergeCell ref="T256:V256"/>
    <mergeCell ref="C250:C254"/>
    <mergeCell ref="C255:C257"/>
    <mergeCell ref="E255:H255"/>
    <mergeCell ref="J255:M255"/>
    <mergeCell ref="O255:R255"/>
    <mergeCell ref="T255:W255"/>
    <mergeCell ref="J256:L256"/>
    <mergeCell ref="O256:Q256"/>
    <mergeCell ref="Y255:AB255"/>
    <mergeCell ref="Y256:AA256"/>
    <mergeCell ref="Y262:AB262"/>
    <mergeCell ref="AA263:AB263"/>
    <mergeCell ref="AA264:AB264"/>
    <mergeCell ref="AA265:AB265"/>
    <mergeCell ref="J257:L257"/>
    <mergeCell ref="O257:Q257"/>
    <mergeCell ref="J262:M262"/>
    <mergeCell ref="O262:R262"/>
    <mergeCell ref="T262:W262"/>
    <mergeCell ref="L263:M263"/>
    <mergeCell ref="Q263:R263"/>
    <mergeCell ref="V263:W263"/>
    <mergeCell ref="G263:H263"/>
    <mergeCell ref="G264:H264"/>
    <mergeCell ref="L264:M264"/>
    <mergeCell ref="Q264:R264"/>
    <mergeCell ref="V264:W264"/>
    <mergeCell ref="L265:M265"/>
    <mergeCell ref="Q265:R265"/>
    <mergeCell ref="V265:W265"/>
    <mergeCell ref="AD246:AF246"/>
    <mergeCell ref="AD249:AG249"/>
    <mergeCell ref="AD250:AG250"/>
    <mergeCell ref="AD251:AG251"/>
    <mergeCell ref="AD254:AG254"/>
    <mergeCell ref="AD255:AG255"/>
    <mergeCell ref="AD256:AF256"/>
    <mergeCell ref="AD257:AF257"/>
    <mergeCell ref="AD258:AF258"/>
    <mergeCell ref="AD259:AF259"/>
    <mergeCell ref="AD260:AF260"/>
    <mergeCell ref="AD262:AG262"/>
    <mergeCell ref="AF263:AG263"/>
    <mergeCell ref="AF264:AG264"/>
    <mergeCell ref="AF194:AG194"/>
    <mergeCell ref="AF195:AG195"/>
    <mergeCell ref="AF196:AG196"/>
    <mergeCell ref="AF197:AG197"/>
    <mergeCell ref="AF198:AG198"/>
    <mergeCell ref="AD199:AF199"/>
    <mergeCell ref="AD202:AG202"/>
    <mergeCell ref="AD203:AG203"/>
    <mergeCell ref="AD204:AG204"/>
    <mergeCell ref="AD207:AG207"/>
    <mergeCell ref="AD208:AG208"/>
    <mergeCell ref="AD209:AF209"/>
    <mergeCell ref="AD210:AF210"/>
    <mergeCell ref="AD211:AF211"/>
    <mergeCell ref="AD212:AF212"/>
    <mergeCell ref="AD213:AF213"/>
    <mergeCell ref="AD215:AG215"/>
    <mergeCell ref="AF216:AG216"/>
    <mergeCell ref="AF217:AG217"/>
    <mergeCell ref="AF218:AG218"/>
    <mergeCell ref="AF219:AG219"/>
    <mergeCell ref="AF220:AG220"/>
    <mergeCell ref="AF221:AG221"/>
    <mergeCell ref="AD222:AF222"/>
    <mergeCell ref="AD225:AG225"/>
    <mergeCell ref="AD226:AG226"/>
    <mergeCell ref="AD227:AG227"/>
    <mergeCell ref="AD230:AG230"/>
    <mergeCell ref="AD231:AG231"/>
    <mergeCell ref="AD232:AF232"/>
    <mergeCell ref="AD233:AF233"/>
    <mergeCell ref="AD234:AF234"/>
    <mergeCell ref="AD235:AF235"/>
    <mergeCell ref="AD236:AF236"/>
    <mergeCell ref="AD238:AG238"/>
    <mergeCell ref="AF239:AG239"/>
    <mergeCell ref="AF240:AG240"/>
    <mergeCell ref="AF241:AG241"/>
    <mergeCell ref="AF242:AG242"/>
    <mergeCell ref="AF243:AG243"/>
    <mergeCell ref="AF244:AG244"/>
    <mergeCell ref="AD245:AF245"/>
    <mergeCell ref="AF265:AG265"/>
    <mergeCell ref="AF266:AG266"/>
    <mergeCell ref="AF267:AG267"/>
    <mergeCell ref="AF268:AG268"/>
    <mergeCell ref="AD269:AF269"/>
    <mergeCell ref="AD272:AG272"/>
    <mergeCell ref="AD273:AG273"/>
    <mergeCell ref="AD328:AG328"/>
    <mergeCell ref="AD329:AG329"/>
    <mergeCell ref="AC333:AF333"/>
    <mergeCell ref="AC334:AF334"/>
    <mergeCell ref="AC335:AF335"/>
    <mergeCell ref="AC336:AF336"/>
    <mergeCell ref="AC337:AF337"/>
    <mergeCell ref="AC338:AF338"/>
    <mergeCell ref="AD342:AG342"/>
    <mergeCell ref="AD343:AG343"/>
    <mergeCell ref="AD344:AG344"/>
    <mergeCell ref="AD347:AG347"/>
    <mergeCell ref="AD348:AG348"/>
    <mergeCell ref="AD349:AF349"/>
    <mergeCell ref="AD274:AG274"/>
    <mergeCell ref="AD277:AG277"/>
    <mergeCell ref="AD278:AG278"/>
    <mergeCell ref="AD279:AF279"/>
    <mergeCell ref="AD280:AF280"/>
    <mergeCell ref="AD281:AF281"/>
    <mergeCell ref="AD282:AF282"/>
    <mergeCell ref="AD283:AF283"/>
    <mergeCell ref="AD285:AG285"/>
    <mergeCell ref="AF286:AG286"/>
    <mergeCell ref="AF287:AG287"/>
    <mergeCell ref="AF288:AG288"/>
    <mergeCell ref="AF289:AG289"/>
    <mergeCell ref="AF290:AG290"/>
    <mergeCell ref="AF291:AG291"/>
    <mergeCell ref="AD292:AF292"/>
    <mergeCell ref="AD295:AG295"/>
    <mergeCell ref="AD296:AG296"/>
    <mergeCell ref="AD297:AG297"/>
    <mergeCell ref="AD298:AG298"/>
    <mergeCell ref="AD300:AG300"/>
    <mergeCell ref="AD301:AG301"/>
    <mergeCell ref="AD302:AG302"/>
    <mergeCell ref="AD303:AG303"/>
    <mergeCell ref="AD304:AG304"/>
    <mergeCell ref="AD305:AG305"/>
    <mergeCell ref="AD306:AG306"/>
    <mergeCell ref="AC310:AF310"/>
    <mergeCell ref="AC311:AF311"/>
    <mergeCell ref="AC312:AF312"/>
    <mergeCell ref="AC313:AF313"/>
    <mergeCell ref="AC314:AF314"/>
    <mergeCell ref="AC315:AF315"/>
    <mergeCell ref="AD318:AG318"/>
    <mergeCell ref="AD319:AG319"/>
    <mergeCell ref="AD320:AG320"/>
    <mergeCell ref="AD321:AG321"/>
    <mergeCell ref="AD323:AG323"/>
    <mergeCell ref="AD324:AG324"/>
    <mergeCell ref="AD325:AG325"/>
    <mergeCell ref="AD326:AG326"/>
    <mergeCell ref="AD327:AG327"/>
    <mergeCell ref="AF358:AG358"/>
    <mergeCell ref="AF359:AG359"/>
    <mergeCell ref="AF360:AG360"/>
    <mergeCell ref="AF361:AG361"/>
    <mergeCell ref="AD362:AF362"/>
    <mergeCell ref="AD350:AF350"/>
    <mergeCell ref="AD351:AF351"/>
    <mergeCell ref="AD352:AF352"/>
    <mergeCell ref="AD353:AF353"/>
    <mergeCell ref="AD355:AG355"/>
    <mergeCell ref="AF356:AG356"/>
    <mergeCell ref="AF357:AG357"/>
    <mergeCell ref="S179:S190"/>
    <mergeCell ref="O184:R184"/>
    <mergeCell ref="O185:R185"/>
    <mergeCell ref="O186:Q186"/>
    <mergeCell ref="O187:Q187"/>
    <mergeCell ref="O188:Q188"/>
    <mergeCell ref="O190:Q190"/>
    <mergeCell ref="T189:V189"/>
    <mergeCell ref="Y189:AA189"/>
    <mergeCell ref="L170:M170"/>
    <mergeCell ref="L172:M172"/>
    <mergeCell ref="L173:M173"/>
    <mergeCell ref="N179:N190"/>
    <mergeCell ref="X179:X190"/>
    <mergeCell ref="AC179:AC190"/>
    <mergeCell ref="Y181:AB181"/>
    <mergeCell ref="V194:W194"/>
    <mergeCell ref="V195:W195"/>
    <mergeCell ref="V196:W196"/>
    <mergeCell ref="V197:W197"/>
    <mergeCell ref="V198:W198"/>
    <mergeCell ref="T199:V199"/>
    <mergeCell ref="T202:W202"/>
    <mergeCell ref="AA195:AB195"/>
    <mergeCell ref="AA196:AB196"/>
    <mergeCell ref="AA197:AB197"/>
    <mergeCell ref="AA198:AB198"/>
    <mergeCell ref="Y199:AA199"/>
    <mergeCell ref="Y202:AB202"/>
    <mergeCell ref="T190:V190"/>
    <mergeCell ref="Y190:AA190"/>
    <mergeCell ref="T192:W192"/>
    <mergeCell ref="Y192:AB192"/>
    <mergeCell ref="V193:W193"/>
    <mergeCell ref="AA193:AB193"/>
    <mergeCell ref="AA194:AB194"/>
    <mergeCell ref="T180:W180"/>
    <mergeCell ref="Y180:AB180"/>
    <mergeCell ref="O181:R181"/>
    <mergeCell ref="T181:W181"/>
    <mergeCell ref="T184:W184"/>
    <mergeCell ref="Y184:AB184"/>
    <mergeCell ref="T185:W185"/>
    <mergeCell ref="Y185:AB185"/>
    <mergeCell ref="T186:V186"/>
    <mergeCell ref="Y186:AA186"/>
    <mergeCell ref="T187:V187"/>
    <mergeCell ref="Y187:AA187"/>
    <mergeCell ref="T188:V188"/>
    <mergeCell ref="Y188:AA188"/>
    <mergeCell ref="E167:H167"/>
    <mergeCell ref="J167:M167"/>
    <mergeCell ref="T167:W167"/>
    <mergeCell ref="AD167:AG167"/>
    <mergeCell ref="G168:H168"/>
    <mergeCell ref="L168:M168"/>
    <mergeCell ref="V168:W168"/>
    <mergeCell ref="AF168:AG168"/>
    <mergeCell ref="G170:H170"/>
    <mergeCell ref="G171:H171"/>
    <mergeCell ref="L171:M171"/>
    <mergeCell ref="Q171:R171"/>
    <mergeCell ref="V171:W171"/>
    <mergeCell ref="AA171:AB171"/>
    <mergeCell ref="AF171:AG171"/>
    <mergeCell ref="V170:W170"/>
    <mergeCell ref="V172:W172"/>
    <mergeCell ref="AA172:AB172"/>
    <mergeCell ref="AF172:AG172"/>
    <mergeCell ref="V173:W173"/>
    <mergeCell ref="AA173:AB173"/>
    <mergeCell ref="AF173:AG173"/>
    <mergeCell ref="Y167:AB167"/>
    <mergeCell ref="AA168:AB168"/>
    <mergeCell ref="V169:W169"/>
    <mergeCell ref="AA169:AB169"/>
    <mergeCell ref="AF169:AG169"/>
    <mergeCell ref="AA170:AB170"/>
    <mergeCell ref="AF170:AG170"/>
    <mergeCell ref="O167:R167"/>
    <mergeCell ref="Q168:R168"/>
    <mergeCell ref="G169:H169"/>
    <mergeCell ref="L169:M169"/>
    <mergeCell ref="Q169:R169"/>
    <mergeCell ref="Q170:R170"/>
    <mergeCell ref="Q172:R172"/>
    <mergeCell ref="J180:M180"/>
    <mergeCell ref="O180:R180"/>
    <mergeCell ref="AD180:AG180"/>
    <mergeCell ref="J181:M181"/>
    <mergeCell ref="AD181:AG181"/>
    <mergeCell ref="AD184:AG184"/>
    <mergeCell ref="AD185:AG185"/>
    <mergeCell ref="AD186:AF186"/>
    <mergeCell ref="AD187:AF187"/>
    <mergeCell ref="AD188:AF188"/>
    <mergeCell ref="AD189:AF189"/>
    <mergeCell ref="AD190:AF190"/>
    <mergeCell ref="AD192:AG192"/>
    <mergeCell ref="AF193:AG193"/>
    <mergeCell ref="E181:H181"/>
    <mergeCell ref="E184:H184"/>
    <mergeCell ref="J184:M184"/>
    <mergeCell ref="J185:M185"/>
    <mergeCell ref="J186:L186"/>
    <mergeCell ref="J187:L187"/>
    <mergeCell ref="J188:L188"/>
    <mergeCell ref="Q193:R193"/>
    <mergeCell ref="Q194:R194"/>
    <mergeCell ref="J189:L189"/>
    <mergeCell ref="O189:Q189"/>
    <mergeCell ref="J190:L190"/>
    <mergeCell ref="J192:M192"/>
    <mergeCell ref="O192:R192"/>
    <mergeCell ref="L193:M193"/>
    <mergeCell ref="L194:M194"/>
    <mergeCell ref="L195:M195"/>
    <mergeCell ref="Q195:R195"/>
    <mergeCell ref="L196:M196"/>
    <mergeCell ref="Q196:R196"/>
    <mergeCell ref="L197:M197"/>
    <mergeCell ref="Q197:R197"/>
    <mergeCell ref="Q198:R198"/>
    <mergeCell ref="O203:R203"/>
    <mergeCell ref="O204:R204"/>
    <mergeCell ref="Y203:AB203"/>
    <mergeCell ref="Y204:AB204"/>
    <mergeCell ref="J210:L210"/>
    <mergeCell ref="J211:L211"/>
    <mergeCell ref="Y227:AB227"/>
    <mergeCell ref="U228:V228"/>
    <mergeCell ref="T233:V233"/>
    <mergeCell ref="Y233:AA233"/>
    <mergeCell ref="T234:V234"/>
    <mergeCell ref="Y234:AA234"/>
    <mergeCell ref="T235:V235"/>
    <mergeCell ref="Y235:AA235"/>
    <mergeCell ref="T236:V236"/>
    <mergeCell ref="Y236:AA236"/>
    <mergeCell ref="V218:W218"/>
    <mergeCell ref="V219:W219"/>
    <mergeCell ref="S225:S236"/>
    <mergeCell ref="T225:W225"/>
    <mergeCell ref="X225:X236"/>
    <mergeCell ref="AC225:AC236"/>
    <mergeCell ref="Y226:AB226"/>
    <mergeCell ref="V239:W239"/>
    <mergeCell ref="V240:W240"/>
    <mergeCell ref="O234:Q234"/>
    <mergeCell ref="O235:Q235"/>
    <mergeCell ref="O236:Q236"/>
    <mergeCell ref="O238:R238"/>
    <mergeCell ref="T238:W238"/>
    <mergeCell ref="Q239:R239"/>
    <mergeCell ref="Q240:R240"/>
    <mergeCell ref="Q244:R244"/>
    <mergeCell ref="O245:Q245"/>
    <mergeCell ref="O249:R249"/>
    <mergeCell ref="T245:V245"/>
    <mergeCell ref="T249:W249"/>
    <mergeCell ref="Q241:R241"/>
    <mergeCell ref="V241:W241"/>
    <mergeCell ref="Q242:R242"/>
    <mergeCell ref="V242:W242"/>
    <mergeCell ref="Q243:R243"/>
    <mergeCell ref="V243:W243"/>
    <mergeCell ref="V244:W244"/>
    <mergeCell ref="Y245:AA245"/>
    <mergeCell ref="Y249:AB249"/>
    <mergeCell ref="Y238:AB238"/>
    <mergeCell ref="AA239:AB239"/>
    <mergeCell ref="AA240:AB240"/>
    <mergeCell ref="AA241:AB241"/>
    <mergeCell ref="AA242:AB242"/>
    <mergeCell ref="AA243:AB243"/>
    <mergeCell ref="AA244:AB244"/>
    <mergeCell ref="Q216:R216"/>
    <mergeCell ref="Q217:R217"/>
    <mergeCell ref="V217:W217"/>
    <mergeCell ref="AA217:AB217"/>
    <mergeCell ref="Q218:R218"/>
    <mergeCell ref="AA218:AB218"/>
    <mergeCell ref="AA219:AB219"/>
    <mergeCell ref="Q221:R221"/>
    <mergeCell ref="V221:W221"/>
    <mergeCell ref="AA221:AB221"/>
    <mergeCell ref="O222:Q222"/>
    <mergeCell ref="T222:V222"/>
    <mergeCell ref="Y222:AA222"/>
    <mergeCell ref="Y225:AB225"/>
    <mergeCell ref="T226:W226"/>
    <mergeCell ref="T227:W227"/>
    <mergeCell ref="T230:W230"/>
    <mergeCell ref="Y230:AB230"/>
    <mergeCell ref="T231:W231"/>
    <mergeCell ref="Y231:AB231"/>
    <mergeCell ref="T232:V232"/>
    <mergeCell ref="Y232:AA232"/>
    <mergeCell ref="O225:R225"/>
    <mergeCell ref="O226:R226"/>
    <mergeCell ref="O227:R227"/>
    <mergeCell ref="O230:R230"/>
    <mergeCell ref="O231:R231"/>
    <mergeCell ref="O232:Q232"/>
    <mergeCell ref="O233:Q233"/>
    <mergeCell ref="T300:W300"/>
    <mergeCell ref="T301:W301"/>
    <mergeCell ref="V290:W290"/>
    <mergeCell ref="V291:W291"/>
    <mergeCell ref="T292:V292"/>
    <mergeCell ref="T295:W295"/>
    <mergeCell ref="T296:W296"/>
    <mergeCell ref="T297:W297"/>
    <mergeCell ref="T298:W298"/>
    <mergeCell ref="T278:W278"/>
    <mergeCell ref="T279:V279"/>
    <mergeCell ref="O279:Q279"/>
    <mergeCell ref="O280:Q280"/>
    <mergeCell ref="Y279:AA279"/>
    <mergeCell ref="Y280:AA280"/>
    <mergeCell ref="O281:Q281"/>
    <mergeCell ref="O282:Q282"/>
    <mergeCell ref="O285:R285"/>
    <mergeCell ref="Q286:R286"/>
    <mergeCell ref="Q287:R287"/>
    <mergeCell ref="Q288:R288"/>
    <mergeCell ref="Q289:R289"/>
    <mergeCell ref="Y281:AA281"/>
    <mergeCell ref="Y282:AA282"/>
    <mergeCell ref="Y285:AB285"/>
    <mergeCell ref="AA286:AB286"/>
    <mergeCell ref="AA287:AB287"/>
    <mergeCell ref="AA288:AB288"/>
    <mergeCell ref="AA289:AB289"/>
    <mergeCell ref="Y300:AB300"/>
    <mergeCell ref="Y301:AB301"/>
    <mergeCell ref="AA290:AB290"/>
    <mergeCell ref="AA291:AB291"/>
    <mergeCell ref="Y292:AA292"/>
    <mergeCell ref="Y295:AB295"/>
    <mergeCell ref="Y296:AB296"/>
    <mergeCell ref="Y297:AB297"/>
    <mergeCell ref="Y298:AB298"/>
    <mergeCell ref="T375:V375"/>
    <mergeCell ref="T376:V376"/>
    <mergeCell ref="V358:W358"/>
    <mergeCell ref="V359:W359"/>
    <mergeCell ref="V360:W360"/>
    <mergeCell ref="V361:W361"/>
    <mergeCell ref="T362:V362"/>
    <mergeCell ref="S366:S377"/>
    <mergeCell ref="X366:X377"/>
    <mergeCell ref="T377:V377"/>
    <mergeCell ref="Y324:AB324"/>
    <mergeCell ref="Y325:AB325"/>
    <mergeCell ref="Y326:AB326"/>
    <mergeCell ref="Y327:AB327"/>
    <mergeCell ref="Y328:AB328"/>
    <mergeCell ref="Y329:AB329"/>
    <mergeCell ref="X333:AA333"/>
    <mergeCell ref="X334:AA334"/>
    <mergeCell ref="Y337:AB337"/>
    <mergeCell ref="Y338:AB338"/>
    <mergeCell ref="Y340:AB340"/>
    <mergeCell ref="Y342:AB342"/>
    <mergeCell ref="Y343:AB343"/>
    <mergeCell ref="Y344:AB344"/>
    <mergeCell ref="O348:R348"/>
    <mergeCell ref="T348:W348"/>
    <mergeCell ref="Y348:AB348"/>
    <mergeCell ref="O349:Q349"/>
    <mergeCell ref="T349:V349"/>
    <mergeCell ref="O350:Q350"/>
    <mergeCell ref="Y351:AA351"/>
    <mergeCell ref="T350:V350"/>
    <mergeCell ref="T351:V351"/>
    <mergeCell ref="T352:V352"/>
    <mergeCell ref="T353:V353"/>
    <mergeCell ref="T355:W355"/>
    <mergeCell ref="V356:W356"/>
    <mergeCell ref="V357:W357"/>
    <mergeCell ref="Y349:AA349"/>
    <mergeCell ref="Y350:AA350"/>
    <mergeCell ref="Y352:AA352"/>
    <mergeCell ref="Y353:AA353"/>
    <mergeCell ref="Y355:AB355"/>
    <mergeCell ref="AA356:AB356"/>
    <mergeCell ref="AA357:AB357"/>
    <mergeCell ref="O373:Q373"/>
    <mergeCell ref="O374:Q374"/>
    <mergeCell ref="O375:Q375"/>
    <mergeCell ref="O376:Q376"/>
    <mergeCell ref="O377:Q377"/>
    <mergeCell ref="O379:R379"/>
    <mergeCell ref="Q380:R380"/>
    <mergeCell ref="Q381:R381"/>
    <mergeCell ref="Q382:R382"/>
    <mergeCell ref="Q383:R383"/>
    <mergeCell ref="Q384:R384"/>
    <mergeCell ref="Q385:R385"/>
    <mergeCell ref="O386:Q386"/>
    <mergeCell ref="T386:V386"/>
    <mergeCell ref="O566:Q566"/>
    <mergeCell ref="O568:R568"/>
    <mergeCell ref="T568:W568"/>
    <mergeCell ref="Q569:R569"/>
    <mergeCell ref="V569:W569"/>
    <mergeCell ref="Q570:R570"/>
    <mergeCell ref="Q571:R571"/>
    <mergeCell ref="T575:V575"/>
    <mergeCell ref="T577:W577"/>
    <mergeCell ref="O579:R579"/>
    <mergeCell ref="T579:W579"/>
    <mergeCell ref="O580:R580"/>
    <mergeCell ref="T580:W580"/>
    <mergeCell ref="O581:R581"/>
    <mergeCell ref="T581:W581"/>
    <mergeCell ref="Q572:R572"/>
    <mergeCell ref="V572:W572"/>
    <mergeCell ref="Q573:R573"/>
    <mergeCell ref="V573:W573"/>
    <mergeCell ref="Q574:R574"/>
    <mergeCell ref="V574:W574"/>
    <mergeCell ref="O575:Q575"/>
    <mergeCell ref="O560:R560"/>
    <mergeCell ref="T560:W560"/>
    <mergeCell ref="Y560:AB560"/>
    <mergeCell ref="AD560:AG560"/>
    <mergeCell ref="T561:W561"/>
    <mergeCell ref="Y561:AB561"/>
    <mergeCell ref="AD561:AG561"/>
    <mergeCell ref="T563:V563"/>
    <mergeCell ref="T564:V564"/>
    <mergeCell ref="Y564:AB564"/>
    <mergeCell ref="AD564:AG564"/>
    <mergeCell ref="O561:R561"/>
    <mergeCell ref="O562:Q562"/>
    <mergeCell ref="T562:V562"/>
    <mergeCell ref="Y562:AB562"/>
    <mergeCell ref="O563:Q563"/>
    <mergeCell ref="Y563:AB563"/>
    <mergeCell ref="O564:Q564"/>
    <mergeCell ref="O565:Q565"/>
    <mergeCell ref="T565:V565"/>
    <mergeCell ref="Y565:AB565"/>
    <mergeCell ref="AD565:AG565"/>
    <mergeCell ref="T566:V566"/>
    <mergeCell ref="Y566:AB566"/>
    <mergeCell ref="AD566:AG566"/>
    <mergeCell ref="V570:W570"/>
    <mergeCell ref="V571:W571"/>
    <mergeCell ref="X571:AA571"/>
    <mergeCell ref="X570:AA570"/>
    <mergeCell ref="AC570:AF570"/>
    <mergeCell ref="AC571:AF571"/>
    <mergeCell ref="AC572:AF572"/>
    <mergeCell ref="AC573:AF573"/>
    <mergeCell ref="Y574:AB574"/>
    <mergeCell ref="AC574:AF574"/>
    <mergeCell ref="E661:G661"/>
    <mergeCell ref="E663:H663"/>
    <mergeCell ref="G664:H664"/>
    <mergeCell ref="G665:H665"/>
    <mergeCell ref="G666:H666"/>
    <mergeCell ref="G667:H667"/>
    <mergeCell ref="G668:H668"/>
    <mergeCell ref="G669:H669"/>
    <mergeCell ref="E670:G670"/>
    <mergeCell ref="E673:H673"/>
    <mergeCell ref="C674:C676"/>
    <mergeCell ref="E674:H674"/>
    <mergeCell ref="E675:H675"/>
    <mergeCell ref="E678:H678"/>
    <mergeCell ref="E679:H679"/>
    <mergeCell ref="E680:G680"/>
    <mergeCell ref="E681:G681"/>
    <mergeCell ref="E682:G682"/>
    <mergeCell ref="E683:G683"/>
    <mergeCell ref="E684:G684"/>
    <mergeCell ref="E686:H686"/>
    <mergeCell ref="G692:H692"/>
    <mergeCell ref="I696:I707"/>
    <mergeCell ref="E696:H696"/>
    <mergeCell ref="E697:H697"/>
    <mergeCell ref="G687:H687"/>
    <mergeCell ref="G688:H688"/>
    <mergeCell ref="G689:H689"/>
    <mergeCell ref="G690:H690"/>
    <mergeCell ref="G691:H691"/>
    <mergeCell ref="E693:G693"/>
    <mergeCell ref="C697:C699"/>
    <mergeCell ref="E698:H698"/>
    <mergeCell ref="F699:G699"/>
    <mergeCell ref="E701:H701"/>
    <mergeCell ref="C702:C704"/>
    <mergeCell ref="E702:H702"/>
    <mergeCell ref="E703:G703"/>
    <mergeCell ref="E704:G704"/>
    <mergeCell ref="L733:M733"/>
    <mergeCell ref="L734:M734"/>
    <mergeCell ref="L735:M735"/>
    <mergeCell ref="L736:M736"/>
    <mergeCell ref="L737:M737"/>
    <mergeCell ref="L738:M738"/>
    <mergeCell ref="J739:L739"/>
    <mergeCell ref="E732:H732"/>
    <mergeCell ref="G733:H733"/>
    <mergeCell ref="G734:H734"/>
    <mergeCell ref="G735:H735"/>
    <mergeCell ref="G736:H736"/>
    <mergeCell ref="G737:H737"/>
    <mergeCell ref="G738:H738"/>
    <mergeCell ref="L761:M761"/>
    <mergeCell ref="L762:M762"/>
    <mergeCell ref="G758:H758"/>
    <mergeCell ref="G759:H759"/>
    <mergeCell ref="L759:M759"/>
    <mergeCell ref="G760:H760"/>
    <mergeCell ref="L760:M760"/>
    <mergeCell ref="G761:H761"/>
    <mergeCell ref="G762:H762"/>
    <mergeCell ref="J770:M770"/>
    <mergeCell ref="J771:M771"/>
    <mergeCell ref="J774:M774"/>
    <mergeCell ref="J775:M775"/>
    <mergeCell ref="J776:L776"/>
    <mergeCell ref="J777:L777"/>
    <mergeCell ref="E771:H771"/>
    <mergeCell ref="F772:G772"/>
    <mergeCell ref="C772:C774"/>
    <mergeCell ref="E774:H774"/>
    <mergeCell ref="C775:C777"/>
    <mergeCell ref="E775:H775"/>
    <mergeCell ref="E776:G776"/>
    <mergeCell ref="E777:G777"/>
    <mergeCell ref="G763:H763"/>
    <mergeCell ref="L763:M763"/>
    <mergeCell ref="E764:G764"/>
    <mergeCell ref="J764:L764"/>
    <mergeCell ref="C770:C771"/>
    <mergeCell ref="E770:H770"/>
    <mergeCell ref="K772:L772"/>
    <mergeCell ref="E705:G705"/>
    <mergeCell ref="E706:G706"/>
    <mergeCell ref="E707:G707"/>
    <mergeCell ref="E709:H709"/>
    <mergeCell ref="G710:H710"/>
    <mergeCell ref="G711:H711"/>
    <mergeCell ref="G712:H712"/>
    <mergeCell ref="G713:H713"/>
    <mergeCell ref="G714:H714"/>
    <mergeCell ref="L714:M714"/>
    <mergeCell ref="G715:H715"/>
    <mergeCell ref="L715:M715"/>
    <mergeCell ref="E716:G716"/>
    <mergeCell ref="J716:L716"/>
    <mergeCell ref="E719:H719"/>
    <mergeCell ref="J719:M719"/>
    <mergeCell ref="C720:C721"/>
    <mergeCell ref="E720:H720"/>
    <mergeCell ref="J720:M720"/>
    <mergeCell ref="E721:H721"/>
    <mergeCell ref="J721:M721"/>
    <mergeCell ref="J726:L726"/>
    <mergeCell ref="J727:L727"/>
    <mergeCell ref="E724:H724"/>
    <mergeCell ref="J724:M724"/>
    <mergeCell ref="C725:C727"/>
    <mergeCell ref="E725:H725"/>
    <mergeCell ref="J725:M725"/>
    <mergeCell ref="E726:G726"/>
    <mergeCell ref="E727:G727"/>
    <mergeCell ref="E728:G728"/>
    <mergeCell ref="J728:L728"/>
    <mergeCell ref="E729:G729"/>
    <mergeCell ref="J729:L729"/>
    <mergeCell ref="E730:G730"/>
    <mergeCell ref="J730:L730"/>
    <mergeCell ref="J732:M732"/>
    <mergeCell ref="E739:G739"/>
    <mergeCell ref="C745:C746"/>
    <mergeCell ref="C747:C749"/>
    <mergeCell ref="C750:C752"/>
    <mergeCell ref="E757:H757"/>
    <mergeCell ref="J757:M757"/>
    <mergeCell ref="L758:M758"/>
    <mergeCell ref="Y684:AB684"/>
    <mergeCell ref="Y686:AB686"/>
    <mergeCell ref="V691:W691"/>
    <mergeCell ref="Y691:AB691"/>
    <mergeCell ref="AD691:AG691"/>
    <mergeCell ref="Y692:AB692"/>
    <mergeCell ref="AD692:AG692"/>
    <mergeCell ref="Y675:AB675"/>
    <mergeCell ref="Y676:AB676"/>
    <mergeCell ref="Y678:AB678"/>
    <mergeCell ref="Y679:AB679"/>
    <mergeCell ref="Y681:AB681"/>
    <mergeCell ref="Y682:AB682"/>
    <mergeCell ref="Y683:AB683"/>
    <mergeCell ref="AD696:AG696"/>
    <mergeCell ref="AD697:AG697"/>
    <mergeCell ref="AD699:AG699"/>
    <mergeCell ref="AD700:AG700"/>
    <mergeCell ref="V692:W692"/>
    <mergeCell ref="T693:V693"/>
    <mergeCell ref="Y693:AB693"/>
    <mergeCell ref="AD693:AG693"/>
    <mergeCell ref="T696:W696"/>
    <mergeCell ref="T697:W697"/>
    <mergeCell ref="Y697:AB697"/>
    <mergeCell ref="Y702:AB702"/>
    <mergeCell ref="Y703:AB703"/>
    <mergeCell ref="T703:V703"/>
    <mergeCell ref="T704:V704"/>
    <mergeCell ref="T705:V705"/>
    <mergeCell ref="T706:V706"/>
    <mergeCell ref="T707:V707"/>
    <mergeCell ref="AD704:AG704"/>
    <mergeCell ref="AD705:AG705"/>
    <mergeCell ref="AD706:AG706"/>
    <mergeCell ref="AD707:AG707"/>
    <mergeCell ref="AD708:AG708"/>
    <mergeCell ref="T698:W698"/>
    <mergeCell ref="AD698:AG698"/>
    <mergeCell ref="T701:W701"/>
    <mergeCell ref="AD701:AG701"/>
    <mergeCell ref="T702:W702"/>
    <mergeCell ref="AD702:AG702"/>
    <mergeCell ref="AD703:AG703"/>
    <mergeCell ref="AD714:AG714"/>
    <mergeCell ref="AD715:AG715"/>
    <mergeCell ref="AD716:AG716"/>
    <mergeCell ref="AD719:AG719"/>
    <mergeCell ref="AD720:AG720"/>
    <mergeCell ref="AD721:AG721"/>
    <mergeCell ref="AD724:AG724"/>
    <mergeCell ref="AF733:AG733"/>
    <mergeCell ref="AF734:AG734"/>
    <mergeCell ref="AF735:AG735"/>
    <mergeCell ref="AF736:AG736"/>
    <mergeCell ref="AF737:AG737"/>
    <mergeCell ref="AF738:AG738"/>
    <mergeCell ref="AD739:AF739"/>
    <mergeCell ref="AD725:AG725"/>
    <mergeCell ref="AD726:AF726"/>
    <mergeCell ref="AD727:AF727"/>
    <mergeCell ref="AD728:AF728"/>
    <mergeCell ref="AD729:AF729"/>
    <mergeCell ref="AD730:AF730"/>
    <mergeCell ref="AD732:AG732"/>
    <mergeCell ref="Y704:AB704"/>
    <mergeCell ref="Y705:AB705"/>
    <mergeCell ref="X696:X707"/>
    <mergeCell ref="Y696:AB696"/>
    <mergeCell ref="AC696:AC707"/>
    <mergeCell ref="Y698:AB698"/>
    <mergeCell ref="Y699:AB699"/>
    <mergeCell ref="Y700:AB700"/>
    <mergeCell ref="Y701:AB701"/>
    <mergeCell ref="Y706:AB706"/>
    <mergeCell ref="Y707:AB707"/>
    <mergeCell ref="Y708:AB708"/>
    <mergeCell ref="Q714:R714"/>
    <mergeCell ref="Y714:AB714"/>
    <mergeCell ref="Q715:R715"/>
    <mergeCell ref="Y715:AB715"/>
    <mergeCell ref="T719:W719"/>
    <mergeCell ref="T720:W720"/>
    <mergeCell ref="O721:R721"/>
    <mergeCell ref="T721:W721"/>
    <mergeCell ref="Y727:AA727"/>
    <mergeCell ref="Y728:AA728"/>
    <mergeCell ref="Y729:AA729"/>
    <mergeCell ref="Y730:AA730"/>
    <mergeCell ref="J744:M744"/>
    <mergeCell ref="J745:M745"/>
    <mergeCell ref="E746:H746"/>
    <mergeCell ref="J746:M746"/>
    <mergeCell ref="O746:R746"/>
    <mergeCell ref="J749:M749"/>
    <mergeCell ref="O749:R749"/>
    <mergeCell ref="E749:H749"/>
    <mergeCell ref="E750:H750"/>
    <mergeCell ref="J750:M750"/>
    <mergeCell ref="O750:R750"/>
    <mergeCell ref="E751:G751"/>
    <mergeCell ref="O751:Q751"/>
    <mergeCell ref="O752:Q752"/>
    <mergeCell ref="Q760:R760"/>
    <mergeCell ref="Q761:R761"/>
    <mergeCell ref="Q762:R762"/>
    <mergeCell ref="Q763:R763"/>
    <mergeCell ref="O764:Q764"/>
    <mergeCell ref="O757:R757"/>
    <mergeCell ref="T757:W757"/>
    <mergeCell ref="Q758:R758"/>
    <mergeCell ref="V758:W758"/>
    <mergeCell ref="Q759:R759"/>
    <mergeCell ref="V759:W759"/>
    <mergeCell ref="V760:W760"/>
    <mergeCell ref="V761:W761"/>
    <mergeCell ref="V762:W762"/>
    <mergeCell ref="V763:W763"/>
    <mergeCell ref="T764:V764"/>
    <mergeCell ref="E767:AG767"/>
    <mergeCell ref="E768:AG768"/>
    <mergeCell ref="E769:H769"/>
    <mergeCell ref="AD769:AG769"/>
    <mergeCell ref="T774:W774"/>
    <mergeCell ref="T775:W775"/>
    <mergeCell ref="T776:V776"/>
    <mergeCell ref="T777:V777"/>
    <mergeCell ref="AD775:AG775"/>
    <mergeCell ref="AD776:AF776"/>
    <mergeCell ref="AD777:AF777"/>
    <mergeCell ref="T769:W769"/>
    <mergeCell ref="Y769:AB769"/>
    <mergeCell ref="T770:W770"/>
    <mergeCell ref="AD770:AG770"/>
    <mergeCell ref="T771:W771"/>
    <mergeCell ref="AD771:AG771"/>
    <mergeCell ref="AD774:AG774"/>
    <mergeCell ref="O776:Q776"/>
    <mergeCell ref="O777:Q777"/>
    <mergeCell ref="J769:M769"/>
    <mergeCell ref="O769:R769"/>
    <mergeCell ref="O770:R770"/>
    <mergeCell ref="O771:R771"/>
    <mergeCell ref="P772:Q772"/>
    <mergeCell ref="O774:R774"/>
    <mergeCell ref="O775:R775"/>
    <mergeCell ref="AF761:AG761"/>
    <mergeCell ref="AF762:AG762"/>
    <mergeCell ref="AF763:AG763"/>
    <mergeCell ref="AD764:AF764"/>
    <mergeCell ref="AD753:AF753"/>
    <mergeCell ref="AD754:AF754"/>
    <mergeCell ref="AD755:AF755"/>
    <mergeCell ref="AD757:AG757"/>
    <mergeCell ref="AF758:AG758"/>
    <mergeCell ref="AF759:AG759"/>
    <mergeCell ref="AF760:AG760"/>
    <mergeCell ref="Q734:R734"/>
    <mergeCell ref="Q735:R735"/>
    <mergeCell ref="V735:W735"/>
    <mergeCell ref="Q736:R736"/>
    <mergeCell ref="V736:W736"/>
    <mergeCell ref="Q737:R737"/>
    <mergeCell ref="Q738:R738"/>
    <mergeCell ref="T744:W744"/>
    <mergeCell ref="T745:W745"/>
    <mergeCell ref="T746:W746"/>
    <mergeCell ref="T749:W749"/>
    <mergeCell ref="T750:W750"/>
    <mergeCell ref="T751:V751"/>
    <mergeCell ref="T752:V752"/>
    <mergeCell ref="T753:V753"/>
    <mergeCell ref="V737:W737"/>
    <mergeCell ref="V738:W738"/>
    <mergeCell ref="E743:AG743"/>
    <mergeCell ref="E744:H744"/>
    <mergeCell ref="O744:R744"/>
    <mergeCell ref="E745:H745"/>
    <mergeCell ref="O745:R745"/>
    <mergeCell ref="AD745:AG745"/>
    <mergeCell ref="J751:L751"/>
    <mergeCell ref="J752:L752"/>
    <mergeCell ref="J753:L753"/>
    <mergeCell ref="J754:L754"/>
    <mergeCell ref="J755:L755"/>
    <mergeCell ref="E752:G752"/>
    <mergeCell ref="E753:G753"/>
    <mergeCell ref="E754:G754"/>
    <mergeCell ref="E755:G755"/>
    <mergeCell ref="O753:Q753"/>
    <mergeCell ref="O754:Q754"/>
    <mergeCell ref="Y744:AB744"/>
    <mergeCell ref="AD744:AG744"/>
    <mergeCell ref="AD746:AG746"/>
    <mergeCell ref="AD749:AG749"/>
    <mergeCell ref="AD750:AG750"/>
    <mergeCell ref="AD751:AF751"/>
    <mergeCell ref="AD752:AF752"/>
    <mergeCell ref="O793:R793"/>
    <mergeCell ref="S793:S804"/>
    <mergeCell ref="X793:X804"/>
    <mergeCell ref="O794:R794"/>
    <mergeCell ref="T794:W794"/>
    <mergeCell ref="O795:R795"/>
    <mergeCell ref="T795:W795"/>
    <mergeCell ref="O804:Q804"/>
    <mergeCell ref="T804:V804"/>
    <mergeCell ref="T806:W806"/>
    <mergeCell ref="V807:W807"/>
    <mergeCell ref="V808:W808"/>
    <mergeCell ref="V809:W809"/>
    <mergeCell ref="V810:W810"/>
    <mergeCell ref="O798:R798"/>
    <mergeCell ref="T798:W798"/>
    <mergeCell ref="O799:R799"/>
    <mergeCell ref="T799:W799"/>
    <mergeCell ref="O800:Q800"/>
    <mergeCell ref="T800:V800"/>
    <mergeCell ref="O801:Q801"/>
    <mergeCell ref="T801:V801"/>
    <mergeCell ref="O802:Q802"/>
    <mergeCell ref="T802:V802"/>
    <mergeCell ref="O803:Q803"/>
    <mergeCell ref="T803:V803"/>
    <mergeCell ref="V811:W811"/>
    <mergeCell ref="V812:W812"/>
    <mergeCell ref="T813:V813"/>
    <mergeCell ref="T814:V814"/>
    <mergeCell ref="T817:W817"/>
    <mergeCell ref="T818:W818"/>
    <mergeCell ref="T819:W819"/>
    <mergeCell ref="V714:W714"/>
    <mergeCell ref="V715:W715"/>
    <mergeCell ref="O716:Q716"/>
    <mergeCell ref="T716:V716"/>
    <mergeCell ref="O719:R719"/>
    <mergeCell ref="X719:X730"/>
    <mergeCell ref="O720:R720"/>
    <mergeCell ref="O730:Q730"/>
    <mergeCell ref="T730:V730"/>
    <mergeCell ref="O732:R732"/>
    <mergeCell ref="T732:W732"/>
    <mergeCell ref="Q733:R733"/>
    <mergeCell ref="V733:W733"/>
    <mergeCell ref="V734:W734"/>
    <mergeCell ref="O724:R724"/>
    <mergeCell ref="T724:W724"/>
    <mergeCell ref="O725:R725"/>
    <mergeCell ref="T725:W725"/>
    <mergeCell ref="O726:Q726"/>
    <mergeCell ref="T726:V726"/>
    <mergeCell ref="O727:Q727"/>
    <mergeCell ref="T727:V727"/>
    <mergeCell ref="O728:Q728"/>
    <mergeCell ref="T728:V728"/>
    <mergeCell ref="O729:Q729"/>
    <mergeCell ref="T729:V729"/>
    <mergeCell ref="O739:Q739"/>
    <mergeCell ref="T739:V739"/>
    <mergeCell ref="S744:S755"/>
    <mergeCell ref="X744:X755"/>
    <mergeCell ref="T754:V754"/>
    <mergeCell ref="O755:Q755"/>
    <mergeCell ref="T755:V755"/>
    <mergeCell ref="Q786:R786"/>
    <mergeCell ref="Q787:R787"/>
    <mergeCell ref="Q788:R788"/>
    <mergeCell ref="Q783:R783"/>
    <mergeCell ref="V783:W783"/>
    <mergeCell ref="Q784:R784"/>
    <mergeCell ref="V784:W784"/>
    <mergeCell ref="Q785:R785"/>
    <mergeCell ref="V785:W785"/>
    <mergeCell ref="V786:W786"/>
    <mergeCell ref="E778:G778"/>
    <mergeCell ref="J778:L778"/>
    <mergeCell ref="O778:R778"/>
    <mergeCell ref="T778:V778"/>
    <mergeCell ref="J779:L779"/>
    <mergeCell ref="O779:R779"/>
    <mergeCell ref="T779:V779"/>
    <mergeCell ref="O782:R782"/>
    <mergeCell ref="T782:W782"/>
    <mergeCell ref="E779:G779"/>
    <mergeCell ref="E780:G780"/>
    <mergeCell ref="J780:L780"/>
    <mergeCell ref="O780:R780"/>
    <mergeCell ref="T780:V780"/>
    <mergeCell ref="E782:H782"/>
    <mergeCell ref="G783:H783"/>
    <mergeCell ref="J782:M782"/>
    <mergeCell ref="L783:M783"/>
    <mergeCell ref="G784:H784"/>
    <mergeCell ref="L784:M784"/>
    <mergeCell ref="G785:H785"/>
    <mergeCell ref="L785:M785"/>
    <mergeCell ref="L786:M786"/>
    <mergeCell ref="V787:W787"/>
    <mergeCell ref="V788:W788"/>
    <mergeCell ref="T789:V789"/>
    <mergeCell ref="T793:W793"/>
    <mergeCell ref="J794:M794"/>
    <mergeCell ref="J795:M795"/>
    <mergeCell ref="J800:L800"/>
    <mergeCell ref="J801:L801"/>
    <mergeCell ref="J798:M798"/>
    <mergeCell ref="J799:M799"/>
    <mergeCell ref="L787:M787"/>
    <mergeCell ref="L788:M788"/>
    <mergeCell ref="J789:L789"/>
    <mergeCell ref="O789:Q789"/>
    <mergeCell ref="O790:Q790"/>
    <mergeCell ref="J793:M793"/>
    <mergeCell ref="N793:N804"/>
    <mergeCell ref="J804:L804"/>
    <mergeCell ref="J802:L802"/>
    <mergeCell ref="J803:L803"/>
    <mergeCell ref="J806:M806"/>
    <mergeCell ref="O806:R806"/>
    <mergeCell ref="L807:M807"/>
    <mergeCell ref="Q807:R807"/>
    <mergeCell ref="Q808:R808"/>
    <mergeCell ref="L808:M808"/>
    <mergeCell ref="L809:M809"/>
    <mergeCell ref="L810:M810"/>
    <mergeCell ref="L811:M811"/>
    <mergeCell ref="L812:M812"/>
    <mergeCell ref="J813:L813"/>
    <mergeCell ref="J817:M817"/>
    <mergeCell ref="Q809:R809"/>
    <mergeCell ref="Q810:R810"/>
    <mergeCell ref="Q811:R811"/>
    <mergeCell ref="Q812:R812"/>
    <mergeCell ref="O813:Q813"/>
    <mergeCell ref="O817:R817"/>
    <mergeCell ref="O818:R818"/>
    <mergeCell ref="J826:L826"/>
    <mergeCell ref="J827:L827"/>
    <mergeCell ref="J828:L828"/>
    <mergeCell ref="J830:M830"/>
    <mergeCell ref="L831:M831"/>
    <mergeCell ref="Q831:R831"/>
    <mergeCell ref="J818:M818"/>
    <mergeCell ref="J819:M819"/>
    <mergeCell ref="K820:L820"/>
    <mergeCell ref="J822:M822"/>
    <mergeCell ref="J823:M823"/>
    <mergeCell ref="J824:L824"/>
    <mergeCell ref="J825:L825"/>
    <mergeCell ref="T822:W822"/>
    <mergeCell ref="T823:W823"/>
    <mergeCell ref="T824:V824"/>
    <mergeCell ref="T825:V825"/>
    <mergeCell ref="T826:V826"/>
    <mergeCell ref="T827:V827"/>
    <mergeCell ref="T828:V828"/>
    <mergeCell ref="T830:W830"/>
    <mergeCell ref="V831:W831"/>
    <mergeCell ref="V832:W832"/>
    <mergeCell ref="V833:W833"/>
    <mergeCell ref="V834:W834"/>
    <mergeCell ref="V835:W835"/>
    <mergeCell ref="V836:W836"/>
    <mergeCell ref="T847:W847"/>
    <mergeCell ref="T848:W848"/>
    <mergeCell ref="T849:W849"/>
    <mergeCell ref="T850:W850"/>
    <mergeCell ref="T851:W851"/>
    <mergeCell ref="T852:W852"/>
    <mergeCell ref="T837:V837"/>
    <mergeCell ref="T841:W841"/>
    <mergeCell ref="X841:X852"/>
    <mergeCell ref="T842:W842"/>
    <mergeCell ref="T843:W843"/>
    <mergeCell ref="T844:W844"/>
    <mergeCell ref="T846:W846"/>
    <mergeCell ref="O819:R819"/>
    <mergeCell ref="O822:R822"/>
    <mergeCell ref="O823:R823"/>
    <mergeCell ref="O824:Q824"/>
    <mergeCell ref="O825:Q825"/>
    <mergeCell ref="O826:Q826"/>
    <mergeCell ref="O827:Q827"/>
    <mergeCell ref="O828:Q828"/>
    <mergeCell ref="O830:R830"/>
    <mergeCell ref="G832:H832"/>
    <mergeCell ref="L832:M832"/>
    <mergeCell ref="Q832:R832"/>
    <mergeCell ref="L833:M833"/>
    <mergeCell ref="Q833:R833"/>
    <mergeCell ref="G833:H833"/>
    <mergeCell ref="G834:H834"/>
    <mergeCell ref="L834:M834"/>
    <mergeCell ref="Q834:R834"/>
    <mergeCell ref="G835:H835"/>
    <mergeCell ref="Q835:R835"/>
    <mergeCell ref="Q836:R836"/>
    <mergeCell ref="E841:H841"/>
    <mergeCell ref="E842:H842"/>
    <mergeCell ref="J842:M842"/>
    <mergeCell ref="O842:R842"/>
    <mergeCell ref="E843:H843"/>
    <mergeCell ref="J843:M843"/>
    <mergeCell ref="O843:R843"/>
    <mergeCell ref="K844:L844"/>
    <mergeCell ref="O876:Q876"/>
    <mergeCell ref="T876:W876"/>
    <mergeCell ref="O878:R878"/>
    <mergeCell ref="Q879:R879"/>
    <mergeCell ref="Q880:R880"/>
    <mergeCell ref="Q881:R881"/>
    <mergeCell ref="Q882:R882"/>
    <mergeCell ref="T888:W888"/>
    <mergeCell ref="O897:Q897"/>
    <mergeCell ref="T897:W897"/>
    <mergeCell ref="O898:Q898"/>
    <mergeCell ref="T898:W898"/>
    <mergeCell ref="O899:Q899"/>
    <mergeCell ref="T899:W899"/>
    <mergeCell ref="Q883:R883"/>
    <mergeCell ref="Q884:R884"/>
    <mergeCell ref="O885:Q885"/>
    <mergeCell ref="O888:R888"/>
    <mergeCell ref="S888:S899"/>
    <mergeCell ref="X888:X899"/>
    <mergeCell ref="T889:W889"/>
    <mergeCell ref="O865:R865"/>
    <mergeCell ref="S865:S876"/>
    <mergeCell ref="T865:W865"/>
    <mergeCell ref="X865:X876"/>
    <mergeCell ref="O866:R866"/>
    <mergeCell ref="T866:W866"/>
    <mergeCell ref="O867:R867"/>
    <mergeCell ref="O889:R889"/>
    <mergeCell ref="O890:R890"/>
    <mergeCell ref="T890:W890"/>
    <mergeCell ref="T891:W891"/>
    <mergeCell ref="O893:R893"/>
    <mergeCell ref="T893:W893"/>
    <mergeCell ref="O894:R894"/>
    <mergeCell ref="T894:W894"/>
    <mergeCell ref="O895:Q895"/>
    <mergeCell ref="T895:W895"/>
    <mergeCell ref="O896:Q896"/>
    <mergeCell ref="T896:W896"/>
    <mergeCell ref="J921:L921"/>
    <mergeCell ref="J922:L922"/>
    <mergeCell ref="J908:L908"/>
    <mergeCell ref="J912:M912"/>
    <mergeCell ref="N912:N923"/>
    <mergeCell ref="J913:M913"/>
    <mergeCell ref="J914:M914"/>
    <mergeCell ref="J917:M917"/>
    <mergeCell ref="J918:M918"/>
    <mergeCell ref="J923:L923"/>
    <mergeCell ref="J894:M894"/>
    <mergeCell ref="J895:L895"/>
    <mergeCell ref="J896:L896"/>
    <mergeCell ref="J897:L897"/>
    <mergeCell ref="L884:M884"/>
    <mergeCell ref="J885:L885"/>
    <mergeCell ref="J888:M888"/>
    <mergeCell ref="N888:N899"/>
    <mergeCell ref="J889:M889"/>
    <mergeCell ref="J890:M890"/>
    <mergeCell ref="J893:M893"/>
    <mergeCell ref="J898:L898"/>
    <mergeCell ref="J899:L899"/>
    <mergeCell ref="O901:R901"/>
    <mergeCell ref="Q902:R902"/>
    <mergeCell ref="Q903:R903"/>
    <mergeCell ref="Q904:R904"/>
    <mergeCell ref="Q905:R905"/>
    <mergeCell ref="J901:M901"/>
    <mergeCell ref="L902:M902"/>
    <mergeCell ref="L903:M903"/>
    <mergeCell ref="L904:M904"/>
    <mergeCell ref="L905:M905"/>
    <mergeCell ref="L906:M906"/>
    <mergeCell ref="L907:M907"/>
    <mergeCell ref="O912:R912"/>
    <mergeCell ref="O913:R913"/>
    <mergeCell ref="J919:L919"/>
    <mergeCell ref="J920:L920"/>
    <mergeCell ref="T913:W913"/>
    <mergeCell ref="O914:R914"/>
    <mergeCell ref="T914:W914"/>
    <mergeCell ref="Q906:R906"/>
    <mergeCell ref="Q907:R907"/>
    <mergeCell ref="O908:Q908"/>
    <mergeCell ref="O909:Q909"/>
    <mergeCell ref="S912:S923"/>
    <mergeCell ref="T912:W912"/>
    <mergeCell ref="X912:X923"/>
    <mergeCell ref="O917:R917"/>
    <mergeCell ref="T917:W917"/>
    <mergeCell ref="O918:R918"/>
    <mergeCell ref="T918:W918"/>
    <mergeCell ref="O919:Q919"/>
    <mergeCell ref="T919:V919"/>
    <mergeCell ref="O920:Q920"/>
    <mergeCell ref="T920:V920"/>
    <mergeCell ref="O921:Q921"/>
    <mergeCell ref="T921:V921"/>
    <mergeCell ref="O922:Q922"/>
    <mergeCell ref="T922:V922"/>
    <mergeCell ref="O923:Q923"/>
    <mergeCell ref="T923:V923"/>
    <mergeCell ref="L928:M928"/>
    <mergeCell ref="L929:M929"/>
    <mergeCell ref="G926:H926"/>
    <mergeCell ref="G927:H927"/>
    <mergeCell ref="L927:M927"/>
    <mergeCell ref="Q927:R927"/>
    <mergeCell ref="G928:H928"/>
    <mergeCell ref="Q928:R928"/>
    <mergeCell ref="Q929:R929"/>
    <mergeCell ref="E917:H917"/>
    <mergeCell ref="E918:H918"/>
    <mergeCell ref="E919:G919"/>
    <mergeCell ref="E920:G920"/>
    <mergeCell ref="E921:G921"/>
    <mergeCell ref="E922:G922"/>
    <mergeCell ref="E923:G923"/>
    <mergeCell ref="E925:H925"/>
    <mergeCell ref="J925:M925"/>
    <mergeCell ref="O925:R925"/>
    <mergeCell ref="T925:W925"/>
    <mergeCell ref="L926:M926"/>
    <mergeCell ref="Q926:R926"/>
    <mergeCell ref="V926:W926"/>
    <mergeCell ref="G907:H907"/>
    <mergeCell ref="E908:G908"/>
    <mergeCell ref="D912:D923"/>
    <mergeCell ref="E912:H912"/>
    <mergeCell ref="I912:I923"/>
    <mergeCell ref="E913:H913"/>
    <mergeCell ref="E914:H914"/>
    <mergeCell ref="V927:W927"/>
    <mergeCell ref="V928:W928"/>
    <mergeCell ref="V929:W929"/>
    <mergeCell ref="V930:W930"/>
    <mergeCell ref="V931:W931"/>
    <mergeCell ref="E932:G932"/>
    <mergeCell ref="J932:L932"/>
    <mergeCell ref="O932:Q932"/>
    <mergeCell ref="T932:V932"/>
    <mergeCell ref="E933:G933"/>
    <mergeCell ref="T933:V933"/>
    <mergeCell ref="G929:H929"/>
    <mergeCell ref="G930:H930"/>
    <mergeCell ref="L930:M930"/>
    <mergeCell ref="Q930:R930"/>
    <mergeCell ref="G931:H931"/>
    <mergeCell ref="L931:M931"/>
    <mergeCell ref="Q931:R931"/>
    <mergeCell ref="G836:H836"/>
    <mergeCell ref="E837:G837"/>
    <mergeCell ref="J837:L837"/>
    <mergeCell ref="O837:Q837"/>
    <mergeCell ref="O838:Q838"/>
    <mergeCell ref="O841:R841"/>
    <mergeCell ref="J852:L852"/>
    <mergeCell ref="O852:R852"/>
    <mergeCell ref="L835:M835"/>
    <mergeCell ref="L836:M836"/>
    <mergeCell ref="D841:D852"/>
    <mergeCell ref="I841:I852"/>
    <mergeCell ref="J841:M841"/>
    <mergeCell ref="N841:N852"/>
    <mergeCell ref="S841:S852"/>
    <mergeCell ref="O851:R851"/>
    <mergeCell ref="E852:G852"/>
    <mergeCell ref="E851:G851"/>
    <mergeCell ref="J851:L851"/>
    <mergeCell ref="E854:H854"/>
    <mergeCell ref="J854:M854"/>
    <mergeCell ref="G855:H855"/>
    <mergeCell ref="L855:M855"/>
    <mergeCell ref="L856:M856"/>
    <mergeCell ref="O844:R844"/>
    <mergeCell ref="E846:H846"/>
    <mergeCell ref="J846:M846"/>
    <mergeCell ref="O846:R846"/>
    <mergeCell ref="E847:H847"/>
    <mergeCell ref="J847:M847"/>
    <mergeCell ref="O847:R847"/>
    <mergeCell ref="E848:G848"/>
    <mergeCell ref="J848:L848"/>
    <mergeCell ref="O848:R848"/>
    <mergeCell ref="E849:G849"/>
    <mergeCell ref="J849:L849"/>
    <mergeCell ref="O849:R849"/>
    <mergeCell ref="E850:G850"/>
    <mergeCell ref="J850:L850"/>
    <mergeCell ref="O850:R850"/>
    <mergeCell ref="E866:H866"/>
    <mergeCell ref="E867:H867"/>
    <mergeCell ref="E872:G872"/>
    <mergeCell ref="E873:G873"/>
    <mergeCell ref="T867:W867"/>
    <mergeCell ref="T868:W868"/>
    <mergeCell ref="O870:R870"/>
    <mergeCell ref="T870:W870"/>
    <mergeCell ref="O871:R871"/>
    <mergeCell ref="T871:W871"/>
    <mergeCell ref="O872:Q872"/>
    <mergeCell ref="T872:W872"/>
    <mergeCell ref="O873:Q873"/>
    <mergeCell ref="T873:W873"/>
    <mergeCell ref="O874:Q874"/>
    <mergeCell ref="T874:W874"/>
    <mergeCell ref="O875:Q875"/>
    <mergeCell ref="T875:W875"/>
    <mergeCell ref="G860:H860"/>
    <mergeCell ref="I865:I876"/>
    <mergeCell ref="J866:M866"/>
    <mergeCell ref="J867:M867"/>
    <mergeCell ref="J870:M870"/>
    <mergeCell ref="J871:M871"/>
    <mergeCell ref="J872:L872"/>
    <mergeCell ref="J873:L873"/>
    <mergeCell ref="J874:L874"/>
    <mergeCell ref="J875:L875"/>
    <mergeCell ref="L857:M857"/>
    <mergeCell ref="L858:M858"/>
    <mergeCell ref="L859:M859"/>
    <mergeCell ref="L860:M860"/>
    <mergeCell ref="J861:L861"/>
    <mergeCell ref="J865:M865"/>
    <mergeCell ref="N865:N876"/>
    <mergeCell ref="J876:L876"/>
    <mergeCell ref="J878:M878"/>
    <mergeCell ref="L879:M879"/>
    <mergeCell ref="L880:M880"/>
    <mergeCell ref="L881:M881"/>
    <mergeCell ref="L882:M882"/>
    <mergeCell ref="L883:M883"/>
    <mergeCell ref="E893:H893"/>
    <mergeCell ref="E894:H894"/>
    <mergeCell ref="G884:H884"/>
    <mergeCell ref="E885:G885"/>
    <mergeCell ref="D888:D899"/>
    <mergeCell ref="E888:H888"/>
    <mergeCell ref="I888:I899"/>
    <mergeCell ref="E889:H889"/>
    <mergeCell ref="E890:H890"/>
    <mergeCell ref="E870:H870"/>
    <mergeCell ref="E871:H871"/>
    <mergeCell ref="E874:G874"/>
    <mergeCell ref="E875:G875"/>
    <mergeCell ref="G856:H856"/>
    <mergeCell ref="G857:H857"/>
    <mergeCell ref="G858:H858"/>
    <mergeCell ref="G859:H859"/>
    <mergeCell ref="E861:G861"/>
    <mergeCell ref="D865:D876"/>
    <mergeCell ref="E865:H865"/>
    <mergeCell ref="E876:G876"/>
    <mergeCell ref="E878:H878"/>
    <mergeCell ref="G879:H879"/>
    <mergeCell ref="G880:H880"/>
    <mergeCell ref="G881:H881"/>
    <mergeCell ref="G882:H882"/>
    <mergeCell ref="G883:H883"/>
    <mergeCell ref="E895:G895"/>
    <mergeCell ref="E896:G896"/>
    <mergeCell ref="E897:G897"/>
    <mergeCell ref="E898:G898"/>
    <mergeCell ref="E899:G899"/>
    <mergeCell ref="E901:H901"/>
    <mergeCell ref="G902:H902"/>
    <mergeCell ref="G903:H903"/>
    <mergeCell ref="G904:H904"/>
    <mergeCell ref="G905:H905"/>
    <mergeCell ref="G906:H906"/>
    <mergeCell ref="Y484:AB484"/>
    <mergeCell ref="Y485:AB485"/>
    <mergeCell ref="Y486:AB486"/>
    <mergeCell ref="Y487:AB487"/>
    <mergeCell ref="T488:W488"/>
    <mergeCell ref="Y488:AB488"/>
    <mergeCell ref="T489:W489"/>
    <mergeCell ref="Y489:AB489"/>
    <mergeCell ref="T490:V490"/>
    <mergeCell ref="Y490:AB490"/>
    <mergeCell ref="T491:V491"/>
    <mergeCell ref="Y491:AB491"/>
    <mergeCell ref="T492:V492"/>
    <mergeCell ref="Y492:AB492"/>
    <mergeCell ref="T493:V493"/>
    <mergeCell ref="Y493:AB493"/>
    <mergeCell ref="T480:V480"/>
    <mergeCell ref="T483:W483"/>
    <mergeCell ref="X483:X494"/>
    <mergeCell ref="Y483:AB483"/>
    <mergeCell ref="AC483:AC494"/>
    <mergeCell ref="T484:W484"/>
    <mergeCell ref="T485:W485"/>
    <mergeCell ref="T494:V494"/>
    <mergeCell ref="Y494:AB494"/>
    <mergeCell ref="Y495:AB495"/>
    <mergeCell ref="Y496:AB496"/>
    <mergeCell ref="Y497:AB497"/>
    <mergeCell ref="Y498:AB498"/>
    <mergeCell ref="Y499:AB499"/>
    <mergeCell ref="Y500:AB500"/>
    <mergeCell ref="Y501:AB501"/>
    <mergeCell ref="Y502:AB502"/>
    <mergeCell ref="Y503:AB503"/>
    <mergeCell ref="Y508:AB508"/>
    <mergeCell ref="AC508:AC519"/>
    <mergeCell ref="Y509:AB509"/>
    <mergeCell ref="T509:W509"/>
    <mergeCell ref="T520:W520"/>
    <mergeCell ref="T521:W521"/>
    <mergeCell ref="T522:W522"/>
    <mergeCell ref="T523:W523"/>
    <mergeCell ref="T524:W524"/>
    <mergeCell ref="T525:W525"/>
    <mergeCell ref="Y520:AB520"/>
    <mergeCell ref="Y521:AB521"/>
    <mergeCell ref="Y522:AB522"/>
    <mergeCell ref="Y523:AB523"/>
    <mergeCell ref="Y524:AB524"/>
    <mergeCell ref="Y525:AB525"/>
    <mergeCell ref="Y526:AB526"/>
    <mergeCell ref="Y527:AB527"/>
    <mergeCell ref="Y528:AB528"/>
    <mergeCell ref="Y532:AB532"/>
    <mergeCell ref="AC532:AC543"/>
    <mergeCell ref="Y533:AB533"/>
    <mergeCell ref="Y534:AB534"/>
    <mergeCell ref="Y535:AB535"/>
    <mergeCell ref="O555:R555"/>
    <mergeCell ref="T555:W555"/>
    <mergeCell ref="Y555:AB555"/>
    <mergeCell ref="AD555:AG555"/>
    <mergeCell ref="T556:W556"/>
    <mergeCell ref="Y556:AB556"/>
    <mergeCell ref="AD556:AG556"/>
    <mergeCell ref="O556:R556"/>
    <mergeCell ref="O557:R557"/>
    <mergeCell ref="T557:W557"/>
    <mergeCell ref="Y557:AB557"/>
    <mergeCell ref="AD557:AG557"/>
    <mergeCell ref="Y558:AB558"/>
    <mergeCell ref="AD558:AG558"/>
    <mergeCell ref="Y536:AB536"/>
    <mergeCell ref="Y544:AB544"/>
    <mergeCell ref="E545:H545"/>
    <mergeCell ref="O545:R545"/>
    <mergeCell ref="Y545:AB545"/>
    <mergeCell ref="G546:H546"/>
    <mergeCell ref="Q546:R546"/>
    <mergeCell ref="Y546:AB546"/>
    <mergeCell ref="Q548:R548"/>
    <mergeCell ref="Q549:R549"/>
    <mergeCell ref="V549:W549"/>
    <mergeCell ref="Y549:AB549"/>
    <mergeCell ref="Q550:R550"/>
    <mergeCell ref="V550:W550"/>
    <mergeCell ref="Y550:AB550"/>
    <mergeCell ref="T545:W545"/>
    <mergeCell ref="V546:W546"/>
    <mergeCell ref="Q547:R547"/>
    <mergeCell ref="V547:W547"/>
    <mergeCell ref="Y547:AB547"/>
    <mergeCell ref="V548:W548"/>
    <mergeCell ref="Y548:AB548"/>
    <mergeCell ref="L550:M550"/>
    <mergeCell ref="L551:M551"/>
    <mergeCell ref="Q551:R551"/>
    <mergeCell ref="V551:W551"/>
    <mergeCell ref="Y551:AB551"/>
    <mergeCell ref="O552:Q552"/>
    <mergeCell ref="T552:V552"/>
    <mergeCell ref="Y552:AB552"/>
    <mergeCell ref="AD551:AG551"/>
    <mergeCell ref="AD552:AG552"/>
    <mergeCell ref="AD544:AG544"/>
    <mergeCell ref="AD545:AG545"/>
    <mergeCell ref="AD546:AG546"/>
    <mergeCell ref="AD547:AG547"/>
    <mergeCell ref="AD548:AG548"/>
    <mergeCell ref="AD549:AG549"/>
    <mergeCell ref="AD550:AG550"/>
    <mergeCell ref="AD562:AG562"/>
    <mergeCell ref="AD563:AG563"/>
    <mergeCell ref="J566:L566"/>
    <mergeCell ref="J568:M568"/>
    <mergeCell ref="L569:M569"/>
    <mergeCell ref="L570:M570"/>
    <mergeCell ref="L571:M571"/>
    <mergeCell ref="L572:M572"/>
    <mergeCell ref="L573:M573"/>
    <mergeCell ref="O585:R585"/>
    <mergeCell ref="O586:Q586"/>
    <mergeCell ref="L574:M574"/>
    <mergeCell ref="J575:L575"/>
    <mergeCell ref="J576:L576"/>
    <mergeCell ref="J584:M584"/>
    <mergeCell ref="O584:R584"/>
    <mergeCell ref="J585:M585"/>
    <mergeCell ref="J586:L586"/>
    <mergeCell ref="J587:L587"/>
    <mergeCell ref="O587:Q587"/>
    <mergeCell ref="J588:L588"/>
    <mergeCell ref="O588:Q588"/>
    <mergeCell ref="J589:L589"/>
    <mergeCell ref="O589:Q589"/>
    <mergeCell ref="O590:Q590"/>
    <mergeCell ref="Q594:R594"/>
    <mergeCell ref="Q595:R595"/>
    <mergeCell ref="L596:M596"/>
    <mergeCell ref="Q596:R596"/>
    <mergeCell ref="L597:M597"/>
    <mergeCell ref="Q597:R597"/>
    <mergeCell ref="L598:M598"/>
    <mergeCell ref="Q598:R598"/>
    <mergeCell ref="J599:L599"/>
    <mergeCell ref="O599:Q599"/>
    <mergeCell ref="J590:L590"/>
    <mergeCell ref="J592:M592"/>
    <mergeCell ref="O592:R592"/>
    <mergeCell ref="L593:M593"/>
    <mergeCell ref="Q593:R593"/>
    <mergeCell ref="L594:M594"/>
    <mergeCell ref="L595:M595"/>
    <mergeCell ref="E581:H581"/>
    <mergeCell ref="F582:G582"/>
    <mergeCell ref="E580:H580"/>
    <mergeCell ref="E584:H584"/>
    <mergeCell ref="E585:H585"/>
    <mergeCell ref="E586:G586"/>
    <mergeCell ref="G572:H572"/>
    <mergeCell ref="G573:H573"/>
    <mergeCell ref="G574:H574"/>
    <mergeCell ref="E575:G575"/>
    <mergeCell ref="E579:H579"/>
    <mergeCell ref="C580:C582"/>
    <mergeCell ref="C583:C587"/>
    <mergeCell ref="G595:H595"/>
    <mergeCell ref="G596:H596"/>
    <mergeCell ref="G597:H597"/>
    <mergeCell ref="G598:H598"/>
    <mergeCell ref="E599:G599"/>
    <mergeCell ref="E587:G587"/>
    <mergeCell ref="E588:G588"/>
    <mergeCell ref="E589:G589"/>
    <mergeCell ref="E590:G590"/>
    <mergeCell ref="E592:H592"/>
    <mergeCell ref="G593:H593"/>
    <mergeCell ref="G594:H594"/>
    <mergeCell ref="J545:M545"/>
    <mergeCell ref="L546:M546"/>
    <mergeCell ref="G547:H547"/>
    <mergeCell ref="L547:M547"/>
    <mergeCell ref="G548:H548"/>
    <mergeCell ref="L548:M548"/>
    <mergeCell ref="L549:M549"/>
    <mergeCell ref="J556:M556"/>
    <mergeCell ref="E557:H557"/>
    <mergeCell ref="J557:M557"/>
    <mergeCell ref="G549:H549"/>
    <mergeCell ref="G550:H550"/>
    <mergeCell ref="G551:H551"/>
    <mergeCell ref="E552:G552"/>
    <mergeCell ref="J552:L552"/>
    <mergeCell ref="J555:M555"/>
    <mergeCell ref="C556:C558"/>
    <mergeCell ref="E555:H555"/>
    <mergeCell ref="E556:H556"/>
    <mergeCell ref="C559:C563"/>
    <mergeCell ref="E560:H560"/>
    <mergeCell ref="E561:H561"/>
    <mergeCell ref="E562:G562"/>
    <mergeCell ref="E563:G563"/>
    <mergeCell ref="K558:L558"/>
    <mergeCell ref="J560:M560"/>
    <mergeCell ref="J561:M561"/>
    <mergeCell ref="J562:L562"/>
    <mergeCell ref="J563:L563"/>
    <mergeCell ref="J564:L564"/>
    <mergeCell ref="J565:L565"/>
    <mergeCell ref="E564:G564"/>
    <mergeCell ref="E565:G565"/>
    <mergeCell ref="E566:G566"/>
    <mergeCell ref="E568:H568"/>
    <mergeCell ref="G569:H569"/>
    <mergeCell ref="G570:H570"/>
    <mergeCell ref="G571:H571"/>
    <mergeCell ref="J579:M579"/>
    <mergeCell ref="J580:M580"/>
    <mergeCell ref="J581:M581"/>
    <mergeCell ref="J603:M603"/>
    <mergeCell ref="AD603:AG603"/>
    <mergeCell ref="Y614:AB614"/>
    <mergeCell ref="AD614:AG614"/>
    <mergeCell ref="E602:AG602"/>
    <mergeCell ref="I603:I614"/>
    <mergeCell ref="N603:N614"/>
    <mergeCell ref="S603:S614"/>
    <mergeCell ref="X603:X614"/>
    <mergeCell ref="AC603:AC614"/>
    <mergeCell ref="AD604:AG604"/>
    <mergeCell ref="O612:Q612"/>
    <mergeCell ref="T612:V612"/>
    <mergeCell ref="Y612:AB612"/>
    <mergeCell ref="AD612:AG612"/>
    <mergeCell ref="E613:G613"/>
    <mergeCell ref="J613:L613"/>
    <mergeCell ref="O613:Q613"/>
    <mergeCell ref="T613:V613"/>
    <mergeCell ref="Y613:AB613"/>
    <mergeCell ref="AD613:AG613"/>
    <mergeCell ref="O614:Q614"/>
    <mergeCell ref="T614:V614"/>
    <mergeCell ref="V618:W618"/>
    <mergeCell ref="V619:W619"/>
    <mergeCell ref="Q620:R620"/>
    <mergeCell ref="V620:W620"/>
    <mergeCell ref="G617:H617"/>
    <mergeCell ref="G618:H618"/>
    <mergeCell ref="L618:M618"/>
    <mergeCell ref="Q618:R618"/>
    <mergeCell ref="G619:H619"/>
    <mergeCell ref="Q619:R619"/>
    <mergeCell ref="G620:H620"/>
    <mergeCell ref="G621:H621"/>
    <mergeCell ref="L621:M621"/>
    <mergeCell ref="Q621:R621"/>
    <mergeCell ref="V621:W621"/>
    <mergeCell ref="L622:M622"/>
    <mergeCell ref="Q622:R622"/>
    <mergeCell ref="V622:W622"/>
    <mergeCell ref="T626:W626"/>
    <mergeCell ref="Y626:AB626"/>
    <mergeCell ref="AD626:AG626"/>
    <mergeCell ref="E626:H626"/>
    <mergeCell ref="E627:H627"/>
    <mergeCell ref="J626:M626"/>
    <mergeCell ref="J627:M627"/>
    <mergeCell ref="T627:W627"/>
    <mergeCell ref="Y627:AB627"/>
    <mergeCell ref="AD627:AG627"/>
    <mergeCell ref="AD628:AG628"/>
    <mergeCell ref="C627:C629"/>
    <mergeCell ref="E628:H628"/>
    <mergeCell ref="E631:H631"/>
    <mergeCell ref="E632:H632"/>
    <mergeCell ref="E633:G633"/>
    <mergeCell ref="G622:H622"/>
    <mergeCell ref="E623:G623"/>
    <mergeCell ref="J623:L623"/>
    <mergeCell ref="O623:Q623"/>
    <mergeCell ref="T623:V623"/>
    <mergeCell ref="O626:R626"/>
    <mergeCell ref="O627:R627"/>
    <mergeCell ref="J628:M628"/>
    <mergeCell ref="O628:R628"/>
    <mergeCell ref="T628:W628"/>
    <mergeCell ref="Y628:AB628"/>
    <mergeCell ref="O631:R631"/>
    <mergeCell ref="T631:W631"/>
    <mergeCell ref="AD631:AG631"/>
    <mergeCell ref="Y631:AB631"/>
    <mergeCell ref="J632:M632"/>
    <mergeCell ref="O632:R632"/>
    <mergeCell ref="T632:W632"/>
    <mergeCell ref="Y632:AB632"/>
    <mergeCell ref="AD632:AG632"/>
    <mergeCell ref="J633:L633"/>
    <mergeCell ref="O633:Q633"/>
    <mergeCell ref="T633:V633"/>
    <mergeCell ref="Y633:AA633"/>
    <mergeCell ref="AD633:AF633"/>
    <mergeCell ref="Y587:AB587"/>
    <mergeCell ref="Y588:AB588"/>
    <mergeCell ref="Y589:AB589"/>
    <mergeCell ref="Y590:AB590"/>
    <mergeCell ref="X594:AA594"/>
    <mergeCell ref="X595:AA595"/>
    <mergeCell ref="V596:W596"/>
    <mergeCell ref="V597:W597"/>
    <mergeCell ref="V598:W598"/>
    <mergeCell ref="Y598:AB598"/>
    <mergeCell ref="T599:V599"/>
    <mergeCell ref="Y599:AB599"/>
    <mergeCell ref="T600:W600"/>
    <mergeCell ref="AD580:AG580"/>
    <mergeCell ref="AD581:AG581"/>
    <mergeCell ref="Y575:AB575"/>
    <mergeCell ref="AC575:AF575"/>
    <mergeCell ref="Y577:AB577"/>
    <mergeCell ref="Y579:AB579"/>
    <mergeCell ref="AD579:AG579"/>
    <mergeCell ref="Y580:AB580"/>
    <mergeCell ref="Y581:AB581"/>
    <mergeCell ref="Y582:AB582"/>
    <mergeCell ref="AD582:AG582"/>
    <mergeCell ref="T584:W584"/>
    <mergeCell ref="Y584:AB584"/>
    <mergeCell ref="AD584:AG584"/>
    <mergeCell ref="Y585:AB585"/>
    <mergeCell ref="AD585:AG585"/>
    <mergeCell ref="AD589:AG589"/>
    <mergeCell ref="AD590:AG590"/>
    <mergeCell ref="AC594:AF594"/>
    <mergeCell ref="AC595:AF595"/>
    <mergeCell ref="AC596:AF596"/>
    <mergeCell ref="AC597:AF597"/>
    <mergeCell ref="AC598:AF598"/>
    <mergeCell ref="AC599:AF599"/>
    <mergeCell ref="T585:W585"/>
    <mergeCell ref="T586:V586"/>
    <mergeCell ref="Y586:AB586"/>
    <mergeCell ref="AD586:AG586"/>
    <mergeCell ref="T587:V587"/>
    <mergeCell ref="AD587:AG587"/>
    <mergeCell ref="AD588:AG588"/>
    <mergeCell ref="T588:V588"/>
    <mergeCell ref="T589:V589"/>
    <mergeCell ref="T590:V590"/>
    <mergeCell ref="T592:W592"/>
    <mergeCell ref="V593:W593"/>
    <mergeCell ref="V594:W594"/>
    <mergeCell ref="V595:W595"/>
    <mergeCell ref="Y600:AB600"/>
    <mergeCell ref="Y603:AB603"/>
    <mergeCell ref="O603:R603"/>
    <mergeCell ref="T603:W603"/>
    <mergeCell ref="E603:H603"/>
    <mergeCell ref="E604:H604"/>
    <mergeCell ref="J604:M604"/>
    <mergeCell ref="O604:R604"/>
    <mergeCell ref="T604:W604"/>
    <mergeCell ref="Y604:AB604"/>
    <mergeCell ref="C604:C606"/>
    <mergeCell ref="E605:H605"/>
    <mergeCell ref="J605:M605"/>
    <mergeCell ref="O605:R605"/>
    <mergeCell ref="T605:W605"/>
    <mergeCell ref="Y605:AB605"/>
    <mergeCell ref="AD605:AG605"/>
    <mergeCell ref="Y606:AB606"/>
    <mergeCell ref="AD606:AG606"/>
    <mergeCell ref="E608:H608"/>
    <mergeCell ref="J608:M608"/>
    <mergeCell ref="O608:R608"/>
    <mergeCell ref="T608:W608"/>
    <mergeCell ref="Y608:AB608"/>
    <mergeCell ref="AD608:AG608"/>
    <mergeCell ref="E609:H609"/>
    <mergeCell ref="J609:M609"/>
    <mergeCell ref="O609:R609"/>
    <mergeCell ref="T609:W609"/>
    <mergeCell ref="Y609:AB609"/>
    <mergeCell ref="AD609:AG609"/>
    <mergeCell ref="E610:G610"/>
    <mergeCell ref="J610:L610"/>
    <mergeCell ref="O610:Q610"/>
    <mergeCell ref="T610:V610"/>
    <mergeCell ref="Y610:AB610"/>
    <mergeCell ref="AD610:AG610"/>
    <mergeCell ref="E611:G611"/>
    <mergeCell ref="J611:L611"/>
    <mergeCell ref="O611:Q611"/>
    <mergeCell ref="T611:V611"/>
    <mergeCell ref="Y611:AB611"/>
    <mergeCell ref="AD611:AG611"/>
    <mergeCell ref="E612:G612"/>
    <mergeCell ref="J612:L612"/>
    <mergeCell ref="O616:R616"/>
    <mergeCell ref="Q617:R617"/>
    <mergeCell ref="E614:G614"/>
    <mergeCell ref="J614:L614"/>
    <mergeCell ref="E616:H616"/>
    <mergeCell ref="J616:M616"/>
    <mergeCell ref="T616:W616"/>
    <mergeCell ref="L617:M617"/>
    <mergeCell ref="V617:W617"/>
    <mergeCell ref="G640:H640"/>
    <mergeCell ref="L640:M640"/>
    <mergeCell ref="E634:G634"/>
    <mergeCell ref="J634:L634"/>
    <mergeCell ref="E635:G635"/>
    <mergeCell ref="J635:L635"/>
    <mergeCell ref="E636:G636"/>
    <mergeCell ref="J636:L636"/>
    <mergeCell ref="J637:L637"/>
    <mergeCell ref="Y688:AB688"/>
    <mergeCell ref="Y689:AB689"/>
    <mergeCell ref="T683:V683"/>
    <mergeCell ref="T684:V684"/>
    <mergeCell ref="T686:W686"/>
    <mergeCell ref="V687:W687"/>
    <mergeCell ref="Y687:AB687"/>
    <mergeCell ref="V688:W688"/>
    <mergeCell ref="V689:W689"/>
    <mergeCell ref="T660:V660"/>
    <mergeCell ref="T661:V661"/>
    <mergeCell ref="T663:W663"/>
    <mergeCell ref="Y663:AB663"/>
    <mergeCell ref="V664:W664"/>
    <mergeCell ref="Y664:AB664"/>
    <mergeCell ref="Y665:AB665"/>
    <mergeCell ref="V665:W665"/>
    <mergeCell ref="V666:W666"/>
    <mergeCell ref="V667:W667"/>
    <mergeCell ref="V668:W668"/>
    <mergeCell ref="V669:W669"/>
    <mergeCell ref="T670:V670"/>
    <mergeCell ref="T673:W673"/>
    <mergeCell ref="Y666:AB666"/>
    <mergeCell ref="Y667:AB667"/>
    <mergeCell ref="Y668:AB668"/>
    <mergeCell ref="Y669:AB669"/>
    <mergeCell ref="Y670:AB670"/>
    <mergeCell ref="Y673:AB673"/>
    <mergeCell ref="Y674:AB674"/>
    <mergeCell ref="AD682:AG682"/>
    <mergeCell ref="AD683:AG683"/>
    <mergeCell ref="AD684:AG684"/>
    <mergeCell ref="AD686:AG686"/>
    <mergeCell ref="AD687:AG687"/>
    <mergeCell ref="AD688:AG688"/>
    <mergeCell ref="AD689:AG689"/>
    <mergeCell ref="AD690:AG690"/>
    <mergeCell ref="AD673:AG673"/>
    <mergeCell ref="AD674:AG674"/>
    <mergeCell ref="AD675:AG675"/>
    <mergeCell ref="AD676:AG676"/>
    <mergeCell ref="AD678:AG678"/>
    <mergeCell ref="AD679:AG679"/>
    <mergeCell ref="AD681:AG681"/>
    <mergeCell ref="T674:W674"/>
    <mergeCell ref="T675:W675"/>
    <mergeCell ref="U676:V676"/>
    <mergeCell ref="T678:W678"/>
    <mergeCell ref="T679:W679"/>
    <mergeCell ref="T681:V681"/>
    <mergeCell ref="T682:V682"/>
    <mergeCell ref="V690:W690"/>
    <mergeCell ref="Y690:AB690"/>
    <mergeCell ref="AD793:AG793"/>
    <mergeCell ref="AD794:AG794"/>
    <mergeCell ref="AD795:AG795"/>
    <mergeCell ref="AE796:AF796"/>
    <mergeCell ref="AD798:AG798"/>
    <mergeCell ref="AD799:AG799"/>
    <mergeCell ref="AD800:AF800"/>
    <mergeCell ref="AD801:AF801"/>
    <mergeCell ref="AD802:AF802"/>
    <mergeCell ref="AD803:AF803"/>
    <mergeCell ref="AD804:AF804"/>
    <mergeCell ref="AD806:AG806"/>
    <mergeCell ref="AF807:AG807"/>
    <mergeCell ref="AF808:AG808"/>
    <mergeCell ref="AD819:AG819"/>
    <mergeCell ref="AD822:AG822"/>
    <mergeCell ref="AD823:AG823"/>
    <mergeCell ref="AD824:AF824"/>
    <mergeCell ref="AD825:AF825"/>
    <mergeCell ref="AD826:AF826"/>
    <mergeCell ref="AD827:AF827"/>
    <mergeCell ref="AD828:AF828"/>
    <mergeCell ref="AD830:AG830"/>
    <mergeCell ref="AF831:AG831"/>
    <mergeCell ref="AF832:AG832"/>
    <mergeCell ref="AF833:AG833"/>
    <mergeCell ref="AF834:AG834"/>
    <mergeCell ref="AF835:AG835"/>
    <mergeCell ref="AF836:AG836"/>
    <mergeCell ref="AD837:AF837"/>
    <mergeCell ref="AD841:AG841"/>
    <mergeCell ref="AD842:AG842"/>
    <mergeCell ref="AD843:AG843"/>
    <mergeCell ref="AD844:AG844"/>
    <mergeCell ref="AD846:AG846"/>
    <mergeCell ref="AD847:AG847"/>
    <mergeCell ref="AD848:AG848"/>
    <mergeCell ref="AD849:AG849"/>
    <mergeCell ref="AD850:AG850"/>
    <mergeCell ref="AD851:AG851"/>
    <mergeCell ref="AD852:AG852"/>
    <mergeCell ref="AD865:AG865"/>
    <mergeCell ref="AD866:AG866"/>
    <mergeCell ref="AD867:AG867"/>
    <mergeCell ref="AD868:AG868"/>
    <mergeCell ref="AD870:AG870"/>
    <mergeCell ref="AD871:AG871"/>
    <mergeCell ref="AD872:AG872"/>
    <mergeCell ref="AD873:AG873"/>
    <mergeCell ref="AD874:AG874"/>
    <mergeCell ref="AD875:AG875"/>
    <mergeCell ref="AD876:AG876"/>
    <mergeCell ref="AD888:AG888"/>
    <mergeCell ref="AD889:AG889"/>
    <mergeCell ref="AD890:AG890"/>
    <mergeCell ref="AD891:AG891"/>
    <mergeCell ref="AD893:AG893"/>
    <mergeCell ref="AD894:AG894"/>
    <mergeCell ref="AD895:AG895"/>
    <mergeCell ref="AD896:AG896"/>
    <mergeCell ref="AD897:AG897"/>
    <mergeCell ref="AD898:AG898"/>
    <mergeCell ref="AD899:AG899"/>
    <mergeCell ref="Y725:AB725"/>
    <mergeCell ref="Y726:AA726"/>
    <mergeCell ref="Y716:AB716"/>
    <mergeCell ref="Y719:AB719"/>
    <mergeCell ref="AC719:AC730"/>
    <mergeCell ref="Y720:AB720"/>
    <mergeCell ref="Y721:AB721"/>
    <mergeCell ref="Z722:AA722"/>
    <mergeCell ref="Y724:AB724"/>
    <mergeCell ref="Y732:AB732"/>
    <mergeCell ref="AA733:AB733"/>
    <mergeCell ref="AA734:AB734"/>
    <mergeCell ref="AA735:AB735"/>
    <mergeCell ref="AA736:AB736"/>
    <mergeCell ref="AA737:AB737"/>
    <mergeCell ref="AA738:AB738"/>
    <mergeCell ref="Y751:AA751"/>
    <mergeCell ref="Y752:AA752"/>
    <mergeCell ref="Y753:AA753"/>
    <mergeCell ref="Y754:AA754"/>
    <mergeCell ref="Y739:AA739"/>
    <mergeCell ref="Y740:AA740"/>
    <mergeCell ref="AC744:AC755"/>
    <mergeCell ref="Y745:AB745"/>
    <mergeCell ref="Y746:AB746"/>
    <mergeCell ref="Y749:AB749"/>
    <mergeCell ref="Y750:AB750"/>
    <mergeCell ref="Y755:AA755"/>
    <mergeCell ref="Y757:AB757"/>
    <mergeCell ref="AA758:AB758"/>
    <mergeCell ref="AA759:AB759"/>
    <mergeCell ref="AA760:AB760"/>
    <mergeCell ref="AA761:AB761"/>
    <mergeCell ref="AA762:AB762"/>
    <mergeCell ref="Y776:AA776"/>
    <mergeCell ref="Y777:AA777"/>
    <mergeCell ref="AD778:AF778"/>
    <mergeCell ref="AD779:AF779"/>
    <mergeCell ref="AD780:AF780"/>
    <mergeCell ref="Y778:AA778"/>
    <mergeCell ref="Y779:AA779"/>
    <mergeCell ref="AA763:AB763"/>
    <mergeCell ref="Y764:AA764"/>
    <mergeCell ref="AC769:AC780"/>
    <mergeCell ref="Y770:AB770"/>
    <mergeCell ref="Y771:AB771"/>
    <mergeCell ref="Y774:AB774"/>
    <mergeCell ref="Y775:AB775"/>
    <mergeCell ref="AF784:AG784"/>
    <mergeCell ref="AF785:AG785"/>
    <mergeCell ref="Y780:AA780"/>
    <mergeCell ref="Y782:AB782"/>
    <mergeCell ref="AD782:AG782"/>
    <mergeCell ref="AA783:AB783"/>
    <mergeCell ref="AF783:AG783"/>
    <mergeCell ref="AA784:AB784"/>
    <mergeCell ref="AA785:AB785"/>
    <mergeCell ref="AA786:AB786"/>
    <mergeCell ref="AF786:AG786"/>
    <mergeCell ref="AA787:AB787"/>
    <mergeCell ref="AF787:AG787"/>
    <mergeCell ref="AA788:AB788"/>
    <mergeCell ref="AF788:AG788"/>
    <mergeCell ref="AD789:AF789"/>
    <mergeCell ref="AF809:AG809"/>
    <mergeCell ref="AF810:AG810"/>
    <mergeCell ref="AF811:AG811"/>
    <mergeCell ref="AF812:AG812"/>
    <mergeCell ref="AD813:AF813"/>
    <mergeCell ref="AD817:AG817"/>
    <mergeCell ref="AD818:AG818"/>
    <mergeCell ref="Y800:AA800"/>
    <mergeCell ref="Y801:AA801"/>
    <mergeCell ref="Y802:AA802"/>
    <mergeCell ref="Y803:AA803"/>
    <mergeCell ref="Y789:AA789"/>
    <mergeCell ref="Y793:AB793"/>
    <mergeCell ref="AC793:AC804"/>
    <mergeCell ref="Y794:AB794"/>
    <mergeCell ref="Y795:AB795"/>
    <mergeCell ref="Y798:AB798"/>
    <mergeCell ref="Y799:AB799"/>
    <mergeCell ref="Y804:AA804"/>
    <mergeCell ref="Y806:AB806"/>
    <mergeCell ref="AA807:AB807"/>
    <mergeCell ref="AA808:AB808"/>
    <mergeCell ref="AA809:AB809"/>
    <mergeCell ref="AA810:AB810"/>
    <mergeCell ref="AA811:AB811"/>
    <mergeCell ref="AA812:AB812"/>
    <mergeCell ref="Y813:AA813"/>
    <mergeCell ref="Y817:AB817"/>
    <mergeCell ref="Y818:AB818"/>
    <mergeCell ref="Y819:AB819"/>
    <mergeCell ref="Y822:AB822"/>
    <mergeCell ref="Y823:AB823"/>
    <mergeCell ref="Y824:AA824"/>
    <mergeCell ref="Y825:AA825"/>
    <mergeCell ref="Y826:AA826"/>
    <mergeCell ref="Y827:AA827"/>
    <mergeCell ref="Y828:AA828"/>
    <mergeCell ref="Y830:AB830"/>
    <mergeCell ref="AA831:AB831"/>
    <mergeCell ref="Y841:AB841"/>
    <mergeCell ref="Y842:AB842"/>
    <mergeCell ref="Y866:AB866"/>
    <mergeCell ref="Y867:AB867"/>
    <mergeCell ref="Y868:AB868"/>
    <mergeCell ref="Y870:AB870"/>
    <mergeCell ref="Y871:AB871"/>
    <mergeCell ref="Y872:AB872"/>
    <mergeCell ref="Y873:AB873"/>
    <mergeCell ref="Y874:AB874"/>
    <mergeCell ref="Y875:AB875"/>
    <mergeCell ref="Y876:AB876"/>
    <mergeCell ref="Y888:AB888"/>
    <mergeCell ref="Y889:AB889"/>
    <mergeCell ref="Y890:AB890"/>
    <mergeCell ref="Y891:AB891"/>
    <mergeCell ref="Y920:AB920"/>
    <mergeCell ref="Y921:AB921"/>
    <mergeCell ref="Y912:AB912"/>
    <mergeCell ref="Y913:AB913"/>
    <mergeCell ref="Y914:AB914"/>
    <mergeCell ref="Y915:AB915"/>
    <mergeCell ref="Y917:AB917"/>
    <mergeCell ref="Y918:AB918"/>
    <mergeCell ref="Y919:AB919"/>
    <mergeCell ref="Y843:AB843"/>
    <mergeCell ref="Y844:AB844"/>
    <mergeCell ref="Y846:AB846"/>
    <mergeCell ref="Y847:AB847"/>
    <mergeCell ref="Y848:AB848"/>
    <mergeCell ref="Y849:AB849"/>
    <mergeCell ref="Y850:AB850"/>
    <mergeCell ref="Y851:AB851"/>
    <mergeCell ref="AC841:AC852"/>
    <mergeCell ref="AC865:AC876"/>
    <mergeCell ref="AC888:AC899"/>
    <mergeCell ref="AC912:AC923"/>
    <mergeCell ref="AA832:AB832"/>
    <mergeCell ref="AA833:AB833"/>
    <mergeCell ref="AA834:AB834"/>
    <mergeCell ref="AA835:AB835"/>
    <mergeCell ref="AA836:AB836"/>
    <mergeCell ref="Y837:AA837"/>
    <mergeCell ref="Y852:AB852"/>
    <mergeCell ref="Y922:AB922"/>
    <mergeCell ref="Y923:AB923"/>
    <mergeCell ref="Y893:AB893"/>
    <mergeCell ref="Y894:AB894"/>
    <mergeCell ref="Y895:AB895"/>
    <mergeCell ref="Y896:AB896"/>
    <mergeCell ref="Y897:AB897"/>
    <mergeCell ref="Y898:AB898"/>
    <mergeCell ref="Y899:AB899"/>
    <mergeCell ref="AD920:AG920"/>
    <mergeCell ref="AD921:AG921"/>
    <mergeCell ref="AD922:AG922"/>
    <mergeCell ref="AD923:AG923"/>
    <mergeCell ref="AD912:AG912"/>
    <mergeCell ref="AD913:AG913"/>
    <mergeCell ref="AD914:AG914"/>
    <mergeCell ref="AD915:AG915"/>
    <mergeCell ref="AD917:AG917"/>
    <mergeCell ref="AD918:AG918"/>
    <mergeCell ref="AD919:AG919"/>
    <mergeCell ref="V1050:W1050"/>
    <mergeCell ref="V1051:W1051"/>
    <mergeCell ref="T1042:V1042"/>
    <mergeCell ref="T1043:V1043"/>
    <mergeCell ref="T1045:W1045"/>
    <mergeCell ref="V1046:W1046"/>
    <mergeCell ref="V1047:W1047"/>
    <mergeCell ref="V1048:W1048"/>
    <mergeCell ref="V1049:W1049"/>
    <mergeCell ref="O1055:R1055"/>
    <mergeCell ref="O1056:R1056"/>
    <mergeCell ref="O1057:R1057"/>
    <mergeCell ref="Q1048:R1048"/>
    <mergeCell ref="Q1049:R1049"/>
    <mergeCell ref="Q1050:R1050"/>
    <mergeCell ref="Q1051:R1051"/>
    <mergeCell ref="O1052:Q1052"/>
    <mergeCell ref="T1052:V1052"/>
    <mergeCell ref="T1055:W1055"/>
    <mergeCell ref="J1028:L1028"/>
    <mergeCell ref="J1029:L1029"/>
    <mergeCell ref="J1032:M1032"/>
    <mergeCell ref="O1032:R1032"/>
    <mergeCell ref="T1032:W1032"/>
    <mergeCell ref="O1033:R1033"/>
    <mergeCell ref="T1033:W1033"/>
    <mergeCell ref="J1033:M1033"/>
    <mergeCell ref="J1034:M1034"/>
    <mergeCell ref="O1034:R1034"/>
    <mergeCell ref="T1034:W1034"/>
    <mergeCell ref="J1037:M1037"/>
    <mergeCell ref="T1037:W1037"/>
    <mergeCell ref="T1038:W1038"/>
    <mergeCell ref="J1038:M1038"/>
    <mergeCell ref="J1039:L1039"/>
    <mergeCell ref="O1039:Q1039"/>
    <mergeCell ref="T1039:V1039"/>
    <mergeCell ref="J1040:L1040"/>
    <mergeCell ref="T1040:V1040"/>
    <mergeCell ref="T1041:V1041"/>
    <mergeCell ref="O1040:Q1040"/>
    <mergeCell ref="O1041:Q1041"/>
    <mergeCell ref="O1042:Q1042"/>
    <mergeCell ref="O1043:Q1043"/>
    <mergeCell ref="O1045:R1045"/>
    <mergeCell ref="Q1046:R1046"/>
    <mergeCell ref="Q1047:R1047"/>
    <mergeCell ref="J1041:L1041"/>
    <mergeCell ref="J1042:L1042"/>
    <mergeCell ref="J1043:L1043"/>
    <mergeCell ref="J1045:M1045"/>
    <mergeCell ref="L1046:M1046"/>
    <mergeCell ref="L1047:M1047"/>
    <mergeCell ref="L1048:M1048"/>
    <mergeCell ref="T1056:W1056"/>
    <mergeCell ref="T1057:W1057"/>
    <mergeCell ref="P1058:Q1058"/>
    <mergeCell ref="L1049:M1049"/>
    <mergeCell ref="L1050:M1050"/>
    <mergeCell ref="L1051:M1051"/>
    <mergeCell ref="J1052:L1052"/>
    <mergeCell ref="J1055:M1055"/>
    <mergeCell ref="J1056:M1056"/>
    <mergeCell ref="J1057:M1057"/>
    <mergeCell ref="L1024:M1024"/>
    <mergeCell ref="L1025:M1025"/>
    <mergeCell ref="Q1025:R1025"/>
    <mergeCell ref="V1025:W1025"/>
    <mergeCell ref="AC1025:AF1025"/>
    <mergeCell ref="Q1026:R1026"/>
    <mergeCell ref="V1026:W1026"/>
    <mergeCell ref="AC1026:AF1026"/>
    <mergeCell ref="J1016:L1016"/>
    <mergeCell ref="J1017:L1017"/>
    <mergeCell ref="J1018:L1018"/>
    <mergeCell ref="J1019:L1019"/>
    <mergeCell ref="J1021:M1021"/>
    <mergeCell ref="L1022:M1022"/>
    <mergeCell ref="L1023:M1023"/>
    <mergeCell ref="L1026:M1026"/>
    <mergeCell ref="L1027:M1027"/>
    <mergeCell ref="Q1027:R1027"/>
    <mergeCell ref="V1027:W1027"/>
    <mergeCell ref="O1028:Q1028"/>
    <mergeCell ref="T1028:V1028"/>
    <mergeCell ref="Y1028:AA1028"/>
    <mergeCell ref="AA1025:AB1025"/>
    <mergeCell ref="AA1026:AB1026"/>
    <mergeCell ref="AA1027:AB1027"/>
    <mergeCell ref="AC1027:AF1027"/>
    <mergeCell ref="AC1028:AF1028"/>
    <mergeCell ref="Y1030:AB1030"/>
    <mergeCell ref="AD1032:AG1032"/>
    <mergeCell ref="O1037:R1037"/>
    <mergeCell ref="O1038:R1038"/>
    <mergeCell ref="Y1041:AA1041"/>
    <mergeCell ref="Y1042:AA1042"/>
    <mergeCell ref="Y1043:AA1043"/>
    <mergeCell ref="AD1043:AG1043"/>
    <mergeCell ref="Y1045:AB1045"/>
    <mergeCell ref="AA1046:AB1046"/>
    <mergeCell ref="AA1047:AB1047"/>
    <mergeCell ref="AF1072:AG1072"/>
    <mergeCell ref="AF1073:AG1073"/>
    <mergeCell ref="O1078:R1078"/>
    <mergeCell ref="O1079:R1079"/>
    <mergeCell ref="O1080:R1080"/>
    <mergeCell ref="P1081:Q1081"/>
    <mergeCell ref="Q1070:R1070"/>
    <mergeCell ref="Q1071:R1071"/>
    <mergeCell ref="Q1072:R1072"/>
    <mergeCell ref="Q1073:R1073"/>
    <mergeCell ref="Q1074:R1074"/>
    <mergeCell ref="O1075:Q1075"/>
    <mergeCell ref="S1078:S1089"/>
    <mergeCell ref="AD1055:AG1055"/>
    <mergeCell ref="AD1056:AG1056"/>
    <mergeCell ref="AD1057:AG1057"/>
    <mergeCell ref="AD1060:AG1060"/>
    <mergeCell ref="AD1061:AG1061"/>
    <mergeCell ref="AD1062:AF1062"/>
    <mergeCell ref="AD1063:AF1063"/>
    <mergeCell ref="AD1064:AF1064"/>
    <mergeCell ref="AD1065:AF1065"/>
    <mergeCell ref="AD1066:AF1066"/>
    <mergeCell ref="AD1068:AG1068"/>
    <mergeCell ref="AF1069:AG1069"/>
    <mergeCell ref="AF1070:AG1070"/>
    <mergeCell ref="AF1071:AG1071"/>
    <mergeCell ref="AD1084:AG1084"/>
    <mergeCell ref="AD1085:AF1085"/>
    <mergeCell ref="AD1086:AF1086"/>
    <mergeCell ref="AD1087:AF1087"/>
    <mergeCell ref="AD1088:AF1088"/>
    <mergeCell ref="AD1089:AF1089"/>
    <mergeCell ref="AF1074:AG1074"/>
    <mergeCell ref="AD1075:AF1075"/>
    <mergeCell ref="AC1078:AC1089"/>
    <mergeCell ref="AD1078:AG1078"/>
    <mergeCell ref="AD1079:AG1079"/>
    <mergeCell ref="AD1080:AG1080"/>
    <mergeCell ref="AD1083:AG1083"/>
    <mergeCell ref="AD1091:AG1091"/>
    <mergeCell ref="AF1092:AG1092"/>
    <mergeCell ref="AF1093:AG1093"/>
    <mergeCell ref="AF1094:AG1094"/>
    <mergeCell ref="AF1095:AG1095"/>
    <mergeCell ref="AF1096:AG1096"/>
    <mergeCell ref="AF1097:AG1097"/>
    <mergeCell ref="AD1158:AF1158"/>
    <mergeCell ref="AD1159:AF1159"/>
    <mergeCell ref="Y1160:AA1160"/>
    <mergeCell ref="AD1160:AF1160"/>
    <mergeCell ref="AD1151:AG1151"/>
    <mergeCell ref="AE1152:AF1152"/>
    <mergeCell ref="AD1154:AG1154"/>
    <mergeCell ref="AD1155:AG1155"/>
    <mergeCell ref="AD1156:AF1156"/>
    <mergeCell ref="AD1157:AF1157"/>
    <mergeCell ref="Y1159:AA1159"/>
    <mergeCell ref="AD1109:AF1109"/>
    <mergeCell ref="AD1110:AF1110"/>
    <mergeCell ref="AD1111:AF1111"/>
    <mergeCell ref="AD1112:AF1112"/>
    <mergeCell ref="Y1113:AA1113"/>
    <mergeCell ref="AD1113:AF1113"/>
    <mergeCell ref="AD1098:AF1098"/>
    <mergeCell ref="AC1102:AC1113"/>
    <mergeCell ref="AD1102:AG1102"/>
    <mergeCell ref="AD1103:AG1103"/>
    <mergeCell ref="AD1104:AG1104"/>
    <mergeCell ref="AD1107:AG1107"/>
    <mergeCell ref="AD1108:AG1108"/>
    <mergeCell ref="AD1115:AG1115"/>
    <mergeCell ref="AF1116:AG1116"/>
    <mergeCell ref="AF1117:AG1117"/>
    <mergeCell ref="AF1118:AG1118"/>
    <mergeCell ref="AF1119:AG1119"/>
    <mergeCell ref="AF1120:AG1120"/>
    <mergeCell ref="AF1121:AG1121"/>
    <mergeCell ref="AD1122:AF1122"/>
    <mergeCell ref="AD1125:AG1125"/>
    <mergeCell ref="AD1126:AG1126"/>
    <mergeCell ref="AD1127:AG1127"/>
    <mergeCell ref="AD1130:AG1130"/>
    <mergeCell ref="AD1131:AG1131"/>
    <mergeCell ref="AD1132:AF1132"/>
    <mergeCell ref="AD1133:AF1133"/>
    <mergeCell ref="AD1134:AF1134"/>
    <mergeCell ref="AD1135:AF1135"/>
    <mergeCell ref="AD1136:AF1136"/>
    <mergeCell ref="AD1138:AG1138"/>
    <mergeCell ref="AF1139:AG1139"/>
    <mergeCell ref="AF1140:AG1140"/>
    <mergeCell ref="AF1141:AG1141"/>
    <mergeCell ref="AF1142:AG1142"/>
    <mergeCell ref="AF1143:AG1143"/>
    <mergeCell ref="AF1144:AG1144"/>
    <mergeCell ref="AD1145:AF1145"/>
    <mergeCell ref="AD1149:AG1149"/>
    <mergeCell ref="AD1150:AG1150"/>
    <mergeCell ref="K1058:L1058"/>
    <mergeCell ref="J1060:M1060"/>
    <mergeCell ref="O1060:R1060"/>
    <mergeCell ref="T1060:W1060"/>
    <mergeCell ref="J1061:M1061"/>
    <mergeCell ref="T1061:W1061"/>
    <mergeCell ref="T1062:V1062"/>
    <mergeCell ref="O1061:R1061"/>
    <mergeCell ref="O1062:Q1062"/>
    <mergeCell ref="O1063:Q1063"/>
    <mergeCell ref="T1063:V1063"/>
    <mergeCell ref="O1064:Q1064"/>
    <mergeCell ref="T1064:V1064"/>
    <mergeCell ref="T1065:V1065"/>
    <mergeCell ref="T1066:V1066"/>
    <mergeCell ref="J1062:L1062"/>
    <mergeCell ref="J1063:L1063"/>
    <mergeCell ref="J1064:L1064"/>
    <mergeCell ref="J1065:L1065"/>
    <mergeCell ref="J1066:L1066"/>
    <mergeCell ref="J1068:M1068"/>
    <mergeCell ref="L1069:M1069"/>
    <mergeCell ref="O1065:Q1065"/>
    <mergeCell ref="O1066:Q1066"/>
    <mergeCell ref="O1068:R1068"/>
    <mergeCell ref="T1068:W1068"/>
    <mergeCell ref="Q1069:R1069"/>
    <mergeCell ref="V1069:W1069"/>
    <mergeCell ref="V1070:W1070"/>
    <mergeCell ref="J1078:M1078"/>
    <mergeCell ref="J1079:M1079"/>
    <mergeCell ref="T1079:W1079"/>
    <mergeCell ref="T1080:W1080"/>
    <mergeCell ref="O1083:R1083"/>
    <mergeCell ref="T1083:W1083"/>
    <mergeCell ref="O1084:R1084"/>
    <mergeCell ref="T1084:W1084"/>
    <mergeCell ref="T1085:V1085"/>
    <mergeCell ref="T1098:V1098"/>
    <mergeCell ref="T1099:V1099"/>
    <mergeCell ref="T1102:W1102"/>
    <mergeCell ref="T1091:W1091"/>
    <mergeCell ref="V1092:W1092"/>
    <mergeCell ref="V1093:W1093"/>
    <mergeCell ref="V1094:W1094"/>
    <mergeCell ref="V1095:W1095"/>
    <mergeCell ref="V1096:W1096"/>
    <mergeCell ref="V1097:W1097"/>
    <mergeCell ref="J1080:M1080"/>
    <mergeCell ref="J1083:M1083"/>
    <mergeCell ref="J1084:M1084"/>
    <mergeCell ref="J1085:L1085"/>
    <mergeCell ref="J1086:L1086"/>
    <mergeCell ref="J1087:L1087"/>
    <mergeCell ref="J1088:L1088"/>
    <mergeCell ref="J1089:L1089"/>
    <mergeCell ref="L1070:M1070"/>
    <mergeCell ref="L1071:M1071"/>
    <mergeCell ref="L1072:M1072"/>
    <mergeCell ref="L1073:M1073"/>
    <mergeCell ref="L1074:M1074"/>
    <mergeCell ref="J1075:L1075"/>
    <mergeCell ref="N1078:N1089"/>
    <mergeCell ref="J1091:M1091"/>
    <mergeCell ref="L1092:M1092"/>
    <mergeCell ref="L1093:M1093"/>
    <mergeCell ref="L1094:M1094"/>
    <mergeCell ref="L1095:M1095"/>
    <mergeCell ref="L1096:M1096"/>
    <mergeCell ref="L1097:M1097"/>
    <mergeCell ref="J1109:L1109"/>
    <mergeCell ref="J1110:L1110"/>
    <mergeCell ref="O1085:Q1085"/>
    <mergeCell ref="O1086:Q1086"/>
    <mergeCell ref="O1087:Q1087"/>
    <mergeCell ref="O1088:Q1088"/>
    <mergeCell ref="O1089:Q1089"/>
    <mergeCell ref="O1091:R1091"/>
    <mergeCell ref="Q1092:R1092"/>
    <mergeCell ref="O1102:R1102"/>
    <mergeCell ref="O1103:R1103"/>
    <mergeCell ref="O1104:R1104"/>
    <mergeCell ref="P1105:Q1105"/>
    <mergeCell ref="O1107:R1107"/>
    <mergeCell ref="O1108:R1108"/>
    <mergeCell ref="O1109:Q1109"/>
    <mergeCell ref="O1110:Q1110"/>
    <mergeCell ref="O1111:Q1111"/>
    <mergeCell ref="O1112:Q1112"/>
    <mergeCell ref="Q1093:R1093"/>
    <mergeCell ref="Q1094:R1094"/>
    <mergeCell ref="Q1095:R1095"/>
    <mergeCell ref="Q1096:R1096"/>
    <mergeCell ref="Q1097:R1097"/>
    <mergeCell ref="O1098:Q1098"/>
    <mergeCell ref="S1102:S1113"/>
    <mergeCell ref="T1132:V1132"/>
    <mergeCell ref="T1133:V1133"/>
    <mergeCell ref="T1134:V1134"/>
    <mergeCell ref="T1135:V1135"/>
    <mergeCell ref="T1122:V1122"/>
    <mergeCell ref="T1125:W1125"/>
    <mergeCell ref="X1125:X1136"/>
    <mergeCell ref="T1126:W1126"/>
    <mergeCell ref="T1127:W1127"/>
    <mergeCell ref="T1130:W1130"/>
    <mergeCell ref="T1131:W1131"/>
    <mergeCell ref="T1136:V1136"/>
    <mergeCell ref="T1138:W1138"/>
    <mergeCell ref="V1139:W1139"/>
    <mergeCell ref="V1140:W1140"/>
    <mergeCell ref="V1141:W1141"/>
    <mergeCell ref="V1142:W1142"/>
    <mergeCell ref="V1143:W1143"/>
    <mergeCell ref="T1155:W1155"/>
    <mergeCell ref="T1156:V1156"/>
    <mergeCell ref="T1157:V1157"/>
    <mergeCell ref="T1158:V1158"/>
    <mergeCell ref="T1159:V1159"/>
    <mergeCell ref="T1160:V1160"/>
    <mergeCell ref="V1144:W1144"/>
    <mergeCell ref="T1145:V1145"/>
    <mergeCell ref="T1149:W1149"/>
    <mergeCell ref="X1149:X1160"/>
    <mergeCell ref="T1150:W1150"/>
    <mergeCell ref="T1151:W1151"/>
    <mergeCell ref="T1154:W1154"/>
    <mergeCell ref="T1086:V1086"/>
    <mergeCell ref="T1087:V1087"/>
    <mergeCell ref="T1088:V1088"/>
    <mergeCell ref="T1089:V1089"/>
    <mergeCell ref="V1071:W1071"/>
    <mergeCell ref="V1072:W1072"/>
    <mergeCell ref="V1073:W1073"/>
    <mergeCell ref="V1074:W1074"/>
    <mergeCell ref="T1075:V1075"/>
    <mergeCell ref="T1078:W1078"/>
    <mergeCell ref="X1078:X1089"/>
    <mergeCell ref="T1110:V1110"/>
    <mergeCell ref="T1111:V1111"/>
    <mergeCell ref="T1112:V1112"/>
    <mergeCell ref="T1113:V1113"/>
    <mergeCell ref="X1102:X1113"/>
    <mergeCell ref="T1103:W1103"/>
    <mergeCell ref="T1104:W1104"/>
    <mergeCell ref="U1105:V1105"/>
    <mergeCell ref="T1107:W1107"/>
    <mergeCell ref="T1108:W1108"/>
    <mergeCell ref="T1109:V1109"/>
    <mergeCell ref="T1115:W1115"/>
    <mergeCell ref="V1116:W1116"/>
    <mergeCell ref="V1117:W1117"/>
    <mergeCell ref="V1118:W1118"/>
    <mergeCell ref="V1119:W1119"/>
    <mergeCell ref="V1120:W1120"/>
    <mergeCell ref="V1121:W1121"/>
    <mergeCell ref="J1138:M1138"/>
    <mergeCell ref="L1139:M1139"/>
    <mergeCell ref="L1140:M1140"/>
    <mergeCell ref="L1141:M1141"/>
    <mergeCell ref="L1142:M1142"/>
    <mergeCell ref="L1143:M1143"/>
    <mergeCell ref="L1144:M1144"/>
    <mergeCell ref="J1156:L1156"/>
    <mergeCell ref="J1157:L1157"/>
    <mergeCell ref="J1158:L1158"/>
    <mergeCell ref="J1159:L1159"/>
    <mergeCell ref="O1160:Q1160"/>
    <mergeCell ref="J1145:L1145"/>
    <mergeCell ref="J1149:M1149"/>
    <mergeCell ref="N1149:N1160"/>
    <mergeCell ref="J1150:M1150"/>
    <mergeCell ref="J1151:M1151"/>
    <mergeCell ref="J1154:M1154"/>
    <mergeCell ref="J1155:M1155"/>
    <mergeCell ref="J1160:L1160"/>
    <mergeCell ref="J1111:L1111"/>
    <mergeCell ref="J1112:L1112"/>
    <mergeCell ref="J1098:L1098"/>
    <mergeCell ref="J1102:M1102"/>
    <mergeCell ref="N1102:N1113"/>
    <mergeCell ref="J1103:M1103"/>
    <mergeCell ref="J1104:M1104"/>
    <mergeCell ref="J1107:M1107"/>
    <mergeCell ref="J1108:M1108"/>
    <mergeCell ref="J1113:L1113"/>
    <mergeCell ref="J1115:M1115"/>
    <mergeCell ref="L1116:M1116"/>
    <mergeCell ref="L1117:M1117"/>
    <mergeCell ref="L1118:M1118"/>
    <mergeCell ref="L1119:M1119"/>
    <mergeCell ref="L1120:M1120"/>
    <mergeCell ref="J1131:M1131"/>
    <mergeCell ref="J1132:L1132"/>
    <mergeCell ref="J1133:L1133"/>
    <mergeCell ref="J1134:L1134"/>
    <mergeCell ref="J1135:L1135"/>
    <mergeCell ref="J1136:L1136"/>
    <mergeCell ref="L1121:M1121"/>
    <mergeCell ref="J1122:L1122"/>
    <mergeCell ref="J1125:M1125"/>
    <mergeCell ref="N1125:N1136"/>
    <mergeCell ref="J1126:M1126"/>
    <mergeCell ref="J1127:M1127"/>
    <mergeCell ref="J1130:M1130"/>
    <mergeCell ref="Y945:AA945"/>
    <mergeCell ref="Y946:AA946"/>
    <mergeCell ref="AD946:AF946"/>
    <mergeCell ref="J943:M943"/>
    <mergeCell ref="J944:L944"/>
    <mergeCell ref="O944:Q944"/>
    <mergeCell ref="T944:V944"/>
    <mergeCell ref="Y944:AA944"/>
    <mergeCell ref="T945:V945"/>
    <mergeCell ref="T946:V946"/>
    <mergeCell ref="Y950:AB950"/>
    <mergeCell ref="AD950:AG950"/>
    <mergeCell ref="T947:V947"/>
    <mergeCell ref="Y947:AA947"/>
    <mergeCell ref="AD947:AF947"/>
    <mergeCell ref="T948:V948"/>
    <mergeCell ref="Y948:AA948"/>
    <mergeCell ref="AD948:AF948"/>
    <mergeCell ref="T950:W950"/>
    <mergeCell ref="V951:W951"/>
    <mergeCell ref="AA951:AB951"/>
    <mergeCell ref="AF951:AG951"/>
    <mergeCell ref="V952:W952"/>
    <mergeCell ref="AA952:AB952"/>
    <mergeCell ref="V953:W953"/>
    <mergeCell ref="AF954:AG954"/>
    <mergeCell ref="AA953:AB953"/>
    <mergeCell ref="AA954:AB954"/>
    <mergeCell ref="AA955:AB955"/>
    <mergeCell ref="AA956:AB956"/>
    <mergeCell ref="Y957:AA957"/>
    <mergeCell ref="Y960:AB960"/>
    <mergeCell ref="Y961:AB961"/>
    <mergeCell ref="Y969:AA969"/>
    <mergeCell ref="AD969:AG969"/>
    <mergeCell ref="T970:V970"/>
    <mergeCell ref="Y970:AA970"/>
    <mergeCell ref="AD970:AG970"/>
    <mergeCell ref="O937:R937"/>
    <mergeCell ref="O938:R938"/>
    <mergeCell ref="J939:M939"/>
    <mergeCell ref="O939:R939"/>
    <mergeCell ref="J942:M942"/>
    <mergeCell ref="O942:R942"/>
    <mergeCell ref="O943:R943"/>
    <mergeCell ref="J945:L945"/>
    <mergeCell ref="O945:Q945"/>
    <mergeCell ref="J946:L946"/>
    <mergeCell ref="O946:Q946"/>
    <mergeCell ref="J947:L947"/>
    <mergeCell ref="O947:Q947"/>
    <mergeCell ref="O948:Q948"/>
    <mergeCell ref="Q952:R952"/>
    <mergeCell ref="Q953:R953"/>
    <mergeCell ref="J948:L948"/>
    <mergeCell ref="J950:M950"/>
    <mergeCell ref="O950:R950"/>
    <mergeCell ref="L951:M951"/>
    <mergeCell ref="Q951:R951"/>
    <mergeCell ref="L952:M952"/>
    <mergeCell ref="L953:M953"/>
    <mergeCell ref="L954:M954"/>
    <mergeCell ref="Q954:R954"/>
    <mergeCell ref="L955:M955"/>
    <mergeCell ref="Q955:R955"/>
    <mergeCell ref="L956:M956"/>
    <mergeCell ref="Q956:R956"/>
    <mergeCell ref="O957:Q957"/>
    <mergeCell ref="J957:L957"/>
    <mergeCell ref="J960:M960"/>
    <mergeCell ref="O960:R960"/>
    <mergeCell ref="J961:M961"/>
    <mergeCell ref="O961:R961"/>
    <mergeCell ref="J962:M962"/>
    <mergeCell ref="O962:R962"/>
    <mergeCell ref="O969:Q969"/>
    <mergeCell ref="O970:Q970"/>
    <mergeCell ref="O980:Q980"/>
    <mergeCell ref="O984:R984"/>
    <mergeCell ref="O985:R985"/>
    <mergeCell ref="O986:R986"/>
    <mergeCell ref="O989:R989"/>
    <mergeCell ref="O990:R990"/>
    <mergeCell ref="O991:Q991"/>
    <mergeCell ref="O992:Q992"/>
    <mergeCell ref="O993:Q993"/>
    <mergeCell ref="O994:Q994"/>
    <mergeCell ref="O995:Q995"/>
    <mergeCell ref="O997:R997"/>
    <mergeCell ref="Q998:R998"/>
    <mergeCell ref="Q999:R999"/>
    <mergeCell ref="J965:M965"/>
    <mergeCell ref="O965:R965"/>
    <mergeCell ref="J966:M966"/>
    <mergeCell ref="O966:R966"/>
    <mergeCell ref="J967:L967"/>
    <mergeCell ref="O967:Q967"/>
    <mergeCell ref="O968:Q968"/>
    <mergeCell ref="J968:L968"/>
    <mergeCell ref="J969:L969"/>
    <mergeCell ref="J970:L970"/>
    <mergeCell ref="J971:L971"/>
    <mergeCell ref="O971:Q971"/>
    <mergeCell ref="J973:M973"/>
    <mergeCell ref="L974:M974"/>
    <mergeCell ref="O973:R973"/>
    <mergeCell ref="Q974:R974"/>
    <mergeCell ref="Q975:R975"/>
    <mergeCell ref="Q976:R976"/>
    <mergeCell ref="Q977:R977"/>
    <mergeCell ref="Q978:R978"/>
    <mergeCell ref="Q979:R979"/>
    <mergeCell ref="L975:M975"/>
    <mergeCell ref="L976:M976"/>
    <mergeCell ref="L977:M977"/>
    <mergeCell ref="L978:M978"/>
    <mergeCell ref="L979:M979"/>
    <mergeCell ref="J980:L980"/>
    <mergeCell ref="J984:M984"/>
    <mergeCell ref="J993:L993"/>
    <mergeCell ref="J994:L994"/>
    <mergeCell ref="J995:L995"/>
    <mergeCell ref="J997:M997"/>
    <mergeCell ref="L998:M998"/>
    <mergeCell ref="L999:M999"/>
    <mergeCell ref="L1000:M1000"/>
    <mergeCell ref="L1001:M1001"/>
    <mergeCell ref="J985:M985"/>
    <mergeCell ref="J986:M986"/>
    <mergeCell ref="K987:L987"/>
    <mergeCell ref="J989:M989"/>
    <mergeCell ref="J990:M990"/>
    <mergeCell ref="J991:L991"/>
    <mergeCell ref="J992:L992"/>
    <mergeCell ref="Q1000:R1000"/>
    <mergeCell ref="Q1001:R1001"/>
    <mergeCell ref="E973:H973"/>
    <mergeCell ref="G974:H974"/>
    <mergeCell ref="G975:H975"/>
    <mergeCell ref="G976:H976"/>
    <mergeCell ref="G977:H977"/>
    <mergeCell ref="G978:H978"/>
    <mergeCell ref="G979:H979"/>
    <mergeCell ref="E980:G980"/>
    <mergeCell ref="E984:H984"/>
    <mergeCell ref="E985:H985"/>
    <mergeCell ref="E986:H986"/>
    <mergeCell ref="E989:H989"/>
    <mergeCell ref="E990:H990"/>
    <mergeCell ref="E991:G991"/>
    <mergeCell ref="C913:C914"/>
    <mergeCell ref="C938:C940"/>
    <mergeCell ref="E938:H938"/>
    <mergeCell ref="E939:H939"/>
    <mergeCell ref="C941:C945"/>
    <mergeCell ref="E942:H942"/>
    <mergeCell ref="E943:H943"/>
    <mergeCell ref="E944:G944"/>
    <mergeCell ref="E945:G945"/>
    <mergeCell ref="E946:G946"/>
    <mergeCell ref="E947:G947"/>
    <mergeCell ref="E948:G948"/>
    <mergeCell ref="E950:H950"/>
    <mergeCell ref="G951:H951"/>
    <mergeCell ref="E960:H960"/>
    <mergeCell ref="E961:H961"/>
    <mergeCell ref="C961:C963"/>
    <mergeCell ref="C964:C968"/>
    <mergeCell ref="C985:C987"/>
    <mergeCell ref="C988:C989"/>
    <mergeCell ref="C1009:C1011"/>
    <mergeCell ref="C1012:C1016"/>
    <mergeCell ref="G952:H952"/>
    <mergeCell ref="G953:H953"/>
    <mergeCell ref="G954:H954"/>
    <mergeCell ref="G955:H955"/>
    <mergeCell ref="G956:H956"/>
    <mergeCell ref="E957:G957"/>
    <mergeCell ref="E962:H962"/>
    <mergeCell ref="E965:H965"/>
    <mergeCell ref="E966:H966"/>
    <mergeCell ref="E967:G967"/>
    <mergeCell ref="E968:G968"/>
    <mergeCell ref="E969:G969"/>
    <mergeCell ref="E970:G970"/>
    <mergeCell ref="E971:H971"/>
    <mergeCell ref="E992:G992"/>
    <mergeCell ref="E993:G993"/>
    <mergeCell ref="E994:G994"/>
    <mergeCell ref="E995:G995"/>
    <mergeCell ref="E997:H997"/>
    <mergeCell ref="G998:H998"/>
    <mergeCell ref="G999:H999"/>
    <mergeCell ref="E1013:H1013"/>
    <mergeCell ref="E1014:H1014"/>
    <mergeCell ref="E1015:G1015"/>
    <mergeCell ref="E1016:G1016"/>
    <mergeCell ref="E1017:G1017"/>
    <mergeCell ref="E1018:G1018"/>
    <mergeCell ref="E1019:G1019"/>
    <mergeCell ref="E1021:H1021"/>
    <mergeCell ref="G1022:H1022"/>
    <mergeCell ref="G1023:H1023"/>
    <mergeCell ref="G1024:H1024"/>
    <mergeCell ref="G1025:H1025"/>
    <mergeCell ref="G1026:H1026"/>
    <mergeCell ref="G1027:H1027"/>
    <mergeCell ref="E1028:G1028"/>
    <mergeCell ref="E1032:H1032"/>
    <mergeCell ref="C1033:C1035"/>
    <mergeCell ref="E1033:H1033"/>
    <mergeCell ref="E1034:H1034"/>
    <mergeCell ref="C1036:C1037"/>
    <mergeCell ref="E1037:H1037"/>
    <mergeCell ref="E1038:H1038"/>
    <mergeCell ref="E1039:G1039"/>
    <mergeCell ref="E1040:G1040"/>
    <mergeCell ref="E1041:G1041"/>
    <mergeCell ref="E1042:G1042"/>
    <mergeCell ref="E1043:G1043"/>
    <mergeCell ref="E1045:H1045"/>
    <mergeCell ref="G1046:H1046"/>
    <mergeCell ref="G1047:H1047"/>
    <mergeCell ref="G1048:H1048"/>
    <mergeCell ref="G1049:H1049"/>
    <mergeCell ref="G1050:H1050"/>
    <mergeCell ref="G1051:H1051"/>
    <mergeCell ref="E1052:G1052"/>
    <mergeCell ref="E1055:H1055"/>
    <mergeCell ref="C1056:C1058"/>
    <mergeCell ref="E1056:H1056"/>
    <mergeCell ref="E1057:H1057"/>
    <mergeCell ref="C1059:C1063"/>
    <mergeCell ref="E1060:H1060"/>
    <mergeCell ref="E1061:H1061"/>
    <mergeCell ref="E1062:G1062"/>
    <mergeCell ref="E1063:G1063"/>
    <mergeCell ref="E1064:G1064"/>
    <mergeCell ref="E1065:G1065"/>
    <mergeCell ref="E1066:G1066"/>
    <mergeCell ref="E1068:H1068"/>
    <mergeCell ref="G1069:H1069"/>
    <mergeCell ref="E1085:G1085"/>
    <mergeCell ref="E1086:G1086"/>
    <mergeCell ref="E1078:H1078"/>
    <mergeCell ref="C1079:C1083"/>
    <mergeCell ref="E1079:H1079"/>
    <mergeCell ref="E1080:H1080"/>
    <mergeCell ref="E1083:H1083"/>
    <mergeCell ref="C1084:C1086"/>
    <mergeCell ref="E1084:H1084"/>
    <mergeCell ref="E1087:G1087"/>
    <mergeCell ref="E1088:G1088"/>
    <mergeCell ref="G1070:H1070"/>
    <mergeCell ref="G1071:H1071"/>
    <mergeCell ref="G1072:H1072"/>
    <mergeCell ref="G1073:H1073"/>
    <mergeCell ref="G1074:H1074"/>
    <mergeCell ref="E1075:G1075"/>
    <mergeCell ref="I1078:I1089"/>
    <mergeCell ref="E1089:G1089"/>
    <mergeCell ref="E1091:H1091"/>
    <mergeCell ref="G1092:H1092"/>
    <mergeCell ref="G1093:H1093"/>
    <mergeCell ref="G1094:H1094"/>
    <mergeCell ref="G1095:H1095"/>
    <mergeCell ref="G1096:H1096"/>
    <mergeCell ref="F1105:G1105"/>
    <mergeCell ref="E1107:H1107"/>
    <mergeCell ref="E1111:G1111"/>
    <mergeCell ref="E1112:G1112"/>
    <mergeCell ref="E1131:H1131"/>
    <mergeCell ref="E1132:G1132"/>
    <mergeCell ref="G1121:H1121"/>
    <mergeCell ref="E1122:G1122"/>
    <mergeCell ref="E1125:H1125"/>
    <mergeCell ref="I1125:I1136"/>
    <mergeCell ref="E1126:H1126"/>
    <mergeCell ref="E1127:H1127"/>
    <mergeCell ref="E1130:H1130"/>
    <mergeCell ref="C1108:C1110"/>
    <mergeCell ref="E1108:H1108"/>
    <mergeCell ref="E1109:G1109"/>
    <mergeCell ref="E1110:G1110"/>
    <mergeCell ref="G1097:H1097"/>
    <mergeCell ref="E1098:G1098"/>
    <mergeCell ref="E1102:H1102"/>
    <mergeCell ref="I1102:I1113"/>
    <mergeCell ref="C1103:C1107"/>
    <mergeCell ref="E1103:H1103"/>
    <mergeCell ref="E1104:H1104"/>
    <mergeCell ref="E1113:G1113"/>
    <mergeCell ref="E1115:H1115"/>
    <mergeCell ref="G1116:H1116"/>
    <mergeCell ref="G1117:H1117"/>
    <mergeCell ref="G1118:H1118"/>
    <mergeCell ref="G1119:H1119"/>
    <mergeCell ref="G1120:H1120"/>
    <mergeCell ref="C1126:C1130"/>
    <mergeCell ref="C1131:C1133"/>
    <mergeCell ref="C1150:C1154"/>
    <mergeCell ref="C1155:C1157"/>
    <mergeCell ref="E1133:G1133"/>
    <mergeCell ref="E1134:G1134"/>
    <mergeCell ref="E1135:G1135"/>
    <mergeCell ref="E1136:G1136"/>
    <mergeCell ref="E1138:H1138"/>
    <mergeCell ref="G1139:H1139"/>
    <mergeCell ref="G1140:H1140"/>
    <mergeCell ref="G1141:H1141"/>
    <mergeCell ref="G1142:H1142"/>
    <mergeCell ref="G1143:H1143"/>
    <mergeCell ref="G1144:H1144"/>
    <mergeCell ref="E1180:H1180"/>
    <mergeCell ref="E1181:G1181"/>
    <mergeCell ref="G1168:H1168"/>
    <mergeCell ref="E1169:G1169"/>
    <mergeCell ref="I1174:I1185"/>
    <mergeCell ref="E1175:H1175"/>
    <mergeCell ref="E1176:H1176"/>
    <mergeCell ref="F1177:G1177"/>
    <mergeCell ref="E1179:H1179"/>
    <mergeCell ref="E1187:H1187"/>
    <mergeCell ref="G1188:H1188"/>
    <mergeCell ref="G1189:H1189"/>
    <mergeCell ref="G1190:H1190"/>
    <mergeCell ref="G1191:H1191"/>
    <mergeCell ref="G1192:H1192"/>
    <mergeCell ref="G1193:H1193"/>
    <mergeCell ref="E1194:G1194"/>
    <mergeCell ref="E1197:H1197"/>
    <mergeCell ref="C1198:C1202"/>
    <mergeCell ref="E1198:H1198"/>
    <mergeCell ref="E1199:H1199"/>
    <mergeCell ref="E1202:H1202"/>
    <mergeCell ref="E1203:H1203"/>
    <mergeCell ref="G1212:H1212"/>
    <mergeCell ref="G1213:H1213"/>
    <mergeCell ref="G1214:H1214"/>
    <mergeCell ref="G1215:H1215"/>
    <mergeCell ref="G1216:H1216"/>
    <mergeCell ref="E1217:G1217"/>
    <mergeCell ref="E1204:G1204"/>
    <mergeCell ref="E1205:G1205"/>
    <mergeCell ref="E1206:G1206"/>
    <mergeCell ref="E1207:G1207"/>
    <mergeCell ref="E1208:G1208"/>
    <mergeCell ref="E1210:H1210"/>
    <mergeCell ref="G1211:H1211"/>
    <mergeCell ref="E1156:G1156"/>
    <mergeCell ref="E1157:G1157"/>
    <mergeCell ref="E1158:G1158"/>
    <mergeCell ref="E1159:G1159"/>
    <mergeCell ref="E1145:G1145"/>
    <mergeCell ref="E1149:H1149"/>
    <mergeCell ref="I1149:I1160"/>
    <mergeCell ref="E1150:H1150"/>
    <mergeCell ref="E1151:H1151"/>
    <mergeCell ref="E1154:H1154"/>
    <mergeCell ref="E1155:H1155"/>
    <mergeCell ref="E1160:G1160"/>
    <mergeCell ref="E1162:H1162"/>
    <mergeCell ref="G1163:H1163"/>
    <mergeCell ref="G1164:H1164"/>
    <mergeCell ref="G1165:H1165"/>
    <mergeCell ref="G1166:H1166"/>
    <mergeCell ref="G1167:H1167"/>
    <mergeCell ref="C1175:C1176"/>
    <mergeCell ref="C1180:C1182"/>
    <mergeCell ref="E1182:G1182"/>
    <mergeCell ref="E1183:G1183"/>
    <mergeCell ref="E1184:G1184"/>
    <mergeCell ref="E1185:G1185"/>
    <mergeCell ref="Y992:AA992"/>
    <mergeCell ref="Y993:AA993"/>
    <mergeCell ref="Y994:AA994"/>
    <mergeCell ref="Y995:AA995"/>
    <mergeCell ref="Y997:AB997"/>
    <mergeCell ref="AA998:AB998"/>
    <mergeCell ref="AA999:AB999"/>
    <mergeCell ref="V1002:W1002"/>
    <mergeCell ref="V1003:W1003"/>
    <mergeCell ref="T1004:V1004"/>
    <mergeCell ref="Y1004:AA1004"/>
    <mergeCell ref="AA1000:AB1000"/>
    <mergeCell ref="AA1001:AB1001"/>
    <mergeCell ref="L1002:M1002"/>
    <mergeCell ref="Q1002:R1002"/>
    <mergeCell ref="AA1002:AB1002"/>
    <mergeCell ref="Q1003:R1003"/>
    <mergeCell ref="AA1003:AB1003"/>
    <mergeCell ref="L1003:M1003"/>
    <mergeCell ref="J1004:L1004"/>
    <mergeCell ref="O1004:Q1004"/>
    <mergeCell ref="O1008:R1008"/>
    <mergeCell ref="T1008:W1008"/>
    <mergeCell ref="Y1008:AB1008"/>
    <mergeCell ref="AD1008:AG1008"/>
    <mergeCell ref="AD1009:AG1009"/>
    <mergeCell ref="AD1010:AG1010"/>
    <mergeCell ref="AD1011:AG1011"/>
    <mergeCell ref="AD1013:AG1013"/>
    <mergeCell ref="AD1014:AG1014"/>
    <mergeCell ref="J1008:M1008"/>
    <mergeCell ref="J1009:M1009"/>
    <mergeCell ref="O1009:R1009"/>
    <mergeCell ref="Y1009:AB1009"/>
    <mergeCell ref="J1010:M1010"/>
    <mergeCell ref="O1010:R1010"/>
    <mergeCell ref="Y1010:AB1010"/>
    <mergeCell ref="T1009:W1009"/>
    <mergeCell ref="T1010:W1010"/>
    <mergeCell ref="P1011:Q1011"/>
    <mergeCell ref="U1011:V1011"/>
    <mergeCell ref="O1013:R1013"/>
    <mergeCell ref="T1013:W1013"/>
    <mergeCell ref="Y1013:AB1013"/>
    <mergeCell ref="T1017:V1017"/>
    <mergeCell ref="T1018:V1018"/>
    <mergeCell ref="T1019:V1019"/>
    <mergeCell ref="T1021:W1021"/>
    <mergeCell ref="V1022:W1022"/>
    <mergeCell ref="V1023:W1023"/>
    <mergeCell ref="V1024:W1024"/>
    <mergeCell ref="J1013:M1013"/>
    <mergeCell ref="J1014:M1014"/>
    <mergeCell ref="O1014:R1014"/>
    <mergeCell ref="T1014:W1014"/>
    <mergeCell ref="J1015:L1015"/>
    <mergeCell ref="T1015:V1015"/>
    <mergeCell ref="T1016:V1016"/>
    <mergeCell ref="AD1017:AG1017"/>
    <mergeCell ref="AD1018:AG1018"/>
    <mergeCell ref="Y1019:AA1019"/>
    <mergeCell ref="AD1019:AG1019"/>
    <mergeCell ref="Y1021:AB1021"/>
    <mergeCell ref="AA1022:AB1022"/>
    <mergeCell ref="AA1023:AB1023"/>
    <mergeCell ref="AC1023:AF1023"/>
    <mergeCell ref="AA1024:AB1024"/>
    <mergeCell ref="AC1024:AF1024"/>
    <mergeCell ref="Y1014:AB1014"/>
    <mergeCell ref="Y1015:AA1015"/>
    <mergeCell ref="AD1015:AG1015"/>
    <mergeCell ref="Y1016:AA1016"/>
    <mergeCell ref="AD1016:AG1016"/>
    <mergeCell ref="Y1017:AA1017"/>
    <mergeCell ref="Y1018:AA1018"/>
    <mergeCell ref="Q1023:R1023"/>
    <mergeCell ref="Q1024:R1024"/>
    <mergeCell ref="O1015:Q1015"/>
    <mergeCell ref="O1016:Q1016"/>
    <mergeCell ref="O1017:Q1017"/>
    <mergeCell ref="O1018:Q1018"/>
    <mergeCell ref="O1019:Q1019"/>
    <mergeCell ref="O1021:R1021"/>
    <mergeCell ref="Q1022:R1022"/>
    <mergeCell ref="E794:H794"/>
    <mergeCell ref="E795:H795"/>
    <mergeCell ref="E799:H799"/>
    <mergeCell ref="E800:G800"/>
    <mergeCell ref="E801:G801"/>
    <mergeCell ref="E802:G802"/>
    <mergeCell ref="E803:G803"/>
    <mergeCell ref="E804:G804"/>
    <mergeCell ref="G786:H786"/>
    <mergeCell ref="G787:H787"/>
    <mergeCell ref="G788:H788"/>
    <mergeCell ref="E789:G789"/>
    <mergeCell ref="E793:H793"/>
    <mergeCell ref="I793:I804"/>
    <mergeCell ref="E798:H798"/>
    <mergeCell ref="E825:G825"/>
    <mergeCell ref="E826:G826"/>
    <mergeCell ref="E827:G827"/>
    <mergeCell ref="E828:G828"/>
    <mergeCell ref="E830:H830"/>
    <mergeCell ref="G831:H831"/>
    <mergeCell ref="C794:C798"/>
    <mergeCell ref="C799:C801"/>
    <mergeCell ref="C818:C820"/>
    <mergeCell ref="C821:C825"/>
    <mergeCell ref="C842:C843"/>
    <mergeCell ref="C866:C867"/>
    <mergeCell ref="C889:C890"/>
    <mergeCell ref="E806:H806"/>
    <mergeCell ref="G807:H807"/>
    <mergeCell ref="G808:H808"/>
    <mergeCell ref="G809:H809"/>
    <mergeCell ref="G810:H810"/>
    <mergeCell ref="G811:H811"/>
    <mergeCell ref="G812:H812"/>
    <mergeCell ref="E813:G813"/>
    <mergeCell ref="E817:H817"/>
    <mergeCell ref="E818:H818"/>
    <mergeCell ref="E819:H819"/>
    <mergeCell ref="E822:H822"/>
    <mergeCell ref="E823:H823"/>
    <mergeCell ref="E824:G824"/>
    <mergeCell ref="Y937:AB937"/>
    <mergeCell ref="AD937:AG937"/>
    <mergeCell ref="E864:AG864"/>
    <mergeCell ref="Y865:AB865"/>
    <mergeCell ref="E936:AG936"/>
    <mergeCell ref="E937:H937"/>
    <mergeCell ref="J937:M937"/>
    <mergeCell ref="T937:W937"/>
    <mergeCell ref="J938:M938"/>
    <mergeCell ref="AD938:AG938"/>
    <mergeCell ref="T942:W942"/>
    <mergeCell ref="Y942:AB942"/>
    <mergeCell ref="AD942:AG942"/>
    <mergeCell ref="T943:W943"/>
    <mergeCell ref="Y943:AB943"/>
    <mergeCell ref="AD943:AG943"/>
    <mergeCell ref="T938:W938"/>
    <mergeCell ref="Y938:AB938"/>
    <mergeCell ref="T939:W939"/>
    <mergeCell ref="Y939:AB939"/>
    <mergeCell ref="AD939:AG939"/>
    <mergeCell ref="Z940:AA940"/>
    <mergeCell ref="AE940:AF940"/>
    <mergeCell ref="AD944:AF944"/>
    <mergeCell ref="AD945:AF945"/>
    <mergeCell ref="AD962:AG962"/>
    <mergeCell ref="AD963:AG963"/>
    <mergeCell ref="AF952:AG952"/>
    <mergeCell ref="AF953:AG953"/>
    <mergeCell ref="AF955:AG955"/>
    <mergeCell ref="AF956:AG956"/>
    <mergeCell ref="AD957:AF957"/>
    <mergeCell ref="AD960:AG960"/>
    <mergeCell ref="AD961:AG961"/>
    <mergeCell ref="V954:W954"/>
    <mergeCell ref="V955:W955"/>
    <mergeCell ref="V956:W956"/>
    <mergeCell ref="T957:V957"/>
    <mergeCell ref="T960:W960"/>
    <mergeCell ref="T961:W961"/>
    <mergeCell ref="T962:W962"/>
    <mergeCell ref="T965:W965"/>
    <mergeCell ref="T966:W966"/>
    <mergeCell ref="T967:V967"/>
    <mergeCell ref="T968:V968"/>
    <mergeCell ref="T969:V969"/>
    <mergeCell ref="T971:V971"/>
    <mergeCell ref="T973:W973"/>
    <mergeCell ref="V974:W974"/>
    <mergeCell ref="V975:W975"/>
    <mergeCell ref="V976:W976"/>
    <mergeCell ref="V977:W977"/>
    <mergeCell ref="V978:W978"/>
    <mergeCell ref="V979:W979"/>
    <mergeCell ref="T980:V980"/>
    <mergeCell ref="T981:V981"/>
    <mergeCell ref="T984:W984"/>
    <mergeCell ref="T985:W985"/>
    <mergeCell ref="T986:W986"/>
    <mergeCell ref="T989:W989"/>
    <mergeCell ref="T990:W990"/>
    <mergeCell ref="T991:V991"/>
    <mergeCell ref="V1000:W1000"/>
    <mergeCell ref="V1001:W1001"/>
    <mergeCell ref="T992:V992"/>
    <mergeCell ref="T993:V993"/>
    <mergeCell ref="T994:V994"/>
    <mergeCell ref="T995:V995"/>
    <mergeCell ref="T997:W997"/>
    <mergeCell ref="V998:W998"/>
    <mergeCell ref="V999:W999"/>
    <mergeCell ref="AD967:AG967"/>
    <mergeCell ref="AD968:AG968"/>
    <mergeCell ref="Y962:AB962"/>
    <mergeCell ref="Y965:AB965"/>
    <mergeCell ref="AD965:AG965"/>
    <mergeCell ref="Y966:AB966"/>
    <mergeCell ref="AD966:AG966"/>
    <mergeCell ref="Y967:AA967"/>
    <mergeCell ref="Y968:AA968"/>
    <mergeCell ref="Y971:AA971"/>
    <mergeCell ref="AD971:AG971"/>
    <mergeCell ref="Y973:AB973"/>
    <mergeCell ref="AA974:AB974"/>
    <mergeCell ref="AA975:AB975"/>
    <mergeCell ref="AA976:AB976"/>
    <mergeCell ref="AA977:AB977"/>
    <mergeCell ref="AD985:AG985"/>
    <mergeCell ref="AD986:AG986"/>
    <mergeCell ref="AD987:AG987"/>
    <mergeCell ref="AA978:AB978"/>
    <mergeCell ref="AA979:AB979"/>
    <mergeCell ref="Y980:AA980"/>
    <mergeCell ref="Y984:AB984"/>
    <mergeCell ref="AD984:AG984"/>
    <mergeCell ref="Y985:AB985"/>
    <mergeCell ref="Y986:AB986"/>
    <mergeCell ref="AD993:AG993"/>
    <mergeCell ref="AD994:AG994"/>
    <mergeCell ref="AD995:AG995"/>
    <mergeCell ref="Y989:AB989"/>
    <mergeCell ref="AD989:AG989"/>
    <mergeCell ref="Y990:AB990"/>
    <mergeCell ref="AD990:AG990"/>
    <mergeCell ref="Y991:AA991"/>
    <mergeCell ref="AD991:AG991"/>
    <mergeCell ref="AD992:AG992"/>
    <mergeCell ref="E1009:H1009"/>
    <mergeCell ref="E1010:H1010"/>
    <mergeCell ref="G1000:H1000"/>
    <mergeCell ref="G1001:H1001"/>
    <mergeCell ref="G1002:H1002"/>
    <mergeCell ref="G1003:H1003"/>
    <mergeCell ref="E1004:G1004"/>
    <mergeCell ref="E1005:G1005"/>
    <mergeCell ref="E1008:H1008"/>
    <mergeCell ref="AD1041:AG1041"/>
    <mergeCell ref="AD1042:AG1042"/>
    <mergeCell ref="AD1033:AG1033"/>
    <mergeCell ref="AD1034:AG1034"/>
    <mergeCell ref="AD1035:AG1035"/>
    <mergeCell ref="AD1037:AG1037"/>
    <mergeCell ref="AD1038:AG1038"/>
    <mergeCell ref="AD1039:AG1039"/>
    <mergeCell ref="AD1040:AG1040"/>
    <mergeCell ref="Y1032:AB1032"/>
    <mergeCell ref="Y1033:AB1033"/>
    <mergeCell ref="Y1034:AB1034"/>
    <mergeCell ref="Y1037:AB1037"/>
    <mergeCell ref="Y1038:AB1038"/>
    <mergeCell ref="Y1039:AA1039"/>
    <mergeCell ref="Y1040:AA1040"/>
    <mergeCell ref="AA1048:AB1048"/>
    <mergeCell ref="AA1049:AB1049"/>
    <mergeCell ref="AA1050:AB1050"/>
    <mergeCell ref="AA1051:AB1051"/>
    <mergeCell ref="Y1052:AA1052"/>
    <mergeCell ref="Y1055:AB1055"/>
    <mergeCell ref="Y1056:AB1056"/>
    <mergeCell ref="Y1057:AB1057"/>
    <mergeCell ref="Z1058:AA1058"/>
    <mergeCell ref="Y1060:AB1060"/>
    <mergeCell ref="Y1061:AB1061"/>
    <mergeCell ref="Y1062:AA1062"/>
    <mergeCell ref="Y1063:AA1063"/>
    <mergeCell ref="Y1064:AA1064"/>
    <mergeCell ref="Y1065:AA1065"/>
    <mergeCell ref="Y1066:AA1066"/>
    <mergeCell ref="Y1068:AB1068"/>
    <mergeCell ref="AA1069:AB1069"/>
    <mergeCell ref="AA1070:AB1070"/>
    <mergeCell ref="AA1071:AB1071"/>
    <mergeCell ref="AA1072:AB1072"/>
    <mergeCell ref="AA1073:AB1073"/>
    <mergeCell ref="AA1074:AB1074"/>
    <mergeCell ref="Y1075:AA1075"/>
    <mergeCell ref="Y1078:AB1078"/>
    <mergeCell ref="Y1079:AB1079"/>
    <mergeCell ref="Y1080:AB1080"/>
    <mergeCell ref="Y1083:AB1083"/>
    <mergeCell ref="Y1084:AB1084"/>
    <mergeCell ref="Y1085:AA1085"/>
    <mergeCell ref="Y1086:AA1086"/>
    <mergeCell ref="Y1087:AA1087"/>
    <mergeCell ref="Y1088:AA1088"/>
    <mergeCell ref="Y1089:AA1089"/>
    <mergeCell ref="Y1091:AB1091"/>
    <mergeCell ref="AA1092:AB1092"/>
    <mergeCell ref="AA1093:AB1093"/>
    <mergeCell ref="AA1094:AB1094"/>
    <mergeCell ref="AA1095:AB1095"/>
    <mergeCell ref="AA1096:AB1096"/>
    <mergeCell ref="AA1097:AB1097"/>
    <mergeCell ref="Y1098:AA1098"/>
    <mergeCell ref="Z1152:AA1152"/>
    <mergeCell ref="Y1154:AB1154"/>
    <mergeCell ref="Y1155:AB1155"/>
    <mergeCell ref="Y1156:AA1156"/>
    <mergeCell ref="Y1157:AA1157"/>
    <mergeCell ref="Y1158:AA1158"/>
    <mergeCell ref="AA1144:AB1144"/>
    <mergeCell ref="Y1145:AA1145"/>
    <mergeCell ref="Y1146:AA1146"/>
    <mergeCell ref="Y1149:AB1149"/>
    <mergeCell ref="AC1149:AC1160"/>
    <mergeCell ref="Y1150:AB1150"/>
    <mergeCell ref="Y1151:AB1151"/>
    <mergeCell ref="Y1162:AB1162"/>
    <mergeCell ref="Y1102:AB1102"/>
    <mergeCell ref="Y1103:AB1103"/>
    <mergeCell ref="Y1104:AB1104"/>
    <mergeCell ref="Y1107:AB1107"/>
    <mergeCell ref="Y1108:AB1108"/>
    <mergeCell ref="Y1109:AA1109"/>
    <mergeCell ref="Y1110:AA1110"/>
    <mergeCell ref="Y1111:AA1111"/>
    <mergeCell ref="Y1112:AA1112"/>
    <mergeCell ref="Y1115:AB1115"/>
    <mergeCell ref="AA1116:AB1116"/>
    <mergeCell ref="AA1117:AB1117"/>
    <mergeCell ref="AA1118:AB1118"/>
    <mergeCell ref="AA1119:AB1119"/>
    <mergeCell ref="Y1130:AB1130"/>
    <mergeCell ref="Y1131:AB1131"/>
    <mergeCell ref="Y1132:AA1132"/>
    <mergeCell ref="Y1133:AA1133"/>
    <mergeCell ref="Y1134:AA1134"/>
    <mergeCell ref="Y1135:AA1135"/>
    <mergeCell ref="AA1120:AB1120"/>
    <mergeCell ref="AA1121:AB1121"/>
    <mergeCell ref="Y1122:AA1122"/>
    <mergeCell ref="Y1125:AB1125"/>
    <mergeCell ref="AC1125:AC1136"/>
    <mergeCell ref="Y1126:AB1126"/>
    <mergeCell ref="Y1127:AB1127"/>
    <mergeCell ref="Y1136:AA1136"/>
    <mergeCell ref="Y1138:AB1138"/>
    <mergeCell ref="AA1139:AB1139"/>
    <mergeCell ref="AA1140:AB1140"/>
    <mergeCell ref="AA1141:AB1141"/>
    <mergeCell ref="AA1142:AB1142"/>
    <mergeCell ref="AA1143:AB1143"/>
    <mergeCell ref="V1168:W1168"/>
    <mergeCell ref="AA1168:AB1168"/>
    <mergeCell ref="AF1168:AG1168"/>
    <mergeCell ref="L1165:M1165"/>
    <mergeCell ref="Q1165:R1165"/>
    <mergeCell ref="V1165:W1165"/>
    <mergeCell ref="L1166:M1166"/>
    <mergeCell ref="Q1166:R1166"/>
    <mergeCell ref="L1167:M1167"/>
    <mergeCell ref="L1168:M1168"/>
    <mergeCell ref="J1169:L1169"/>
    <mergeCell ref="O1169:Q1169"/>
    <mergeCell ref="T1169:V1169"/>
    <mergeCell ref="Y1169:AA1169"/>
    <mergeCell ref="AD1169:AF1169"/>
    <mergeCell ref="Y1170:AA1170"/>
    <mergeCell ref="E1173:AG1173"/>
    <mergeCell ref="AD1175:AG1175"/>
    <mergeCell ref="AD1176:AG1176"/>
    <mergeCell ref="J1180:M1180"/>
    <mergeCell ref="J1181:M1181"/>
    <mergeCell ref="T1181:W1181"/>
    <mergeCell ref="Y1181:AB1181"/>
    <mergeCell ref="AD1184:AG1184"/>
    <mergeCell ref="AD1185:AG1185"/>
    <mergeCell ref="AD1174:AG1174"/>
    <mergeCell ref="AD1177:AG1177"/>
    <mergeCell ref="AD1179:AG1179"/>
    <mergeCell ref="AD1180:AG1180"/>
    <mergeCell ref="AD1181:AG1181"/>
    <mergeCell ref="AD1182:AG1182"/>
    <mergeCell ref="AD1183:AG1183"/>
    <mergeCell ref="Y1182:AB1182"/>
    <mergeCell ref="T1183:W1183"/>
    <mergeCell ref="T1184:W1184"/>
    <mergeCell ref="Y1184:AB1184"/>
    <mergeCell ref="Y1175:AB1175"/>
    <mergeCell ref="Y1176:AB1176"/>
    <mergeCell ref="J1179:M1179"/>
    <mergeCell ref="T1179:W1179"/>
    <mergeCell ref="Y1179:AB1179"/>
    <mergeCell ref="J1182:M1182"/>
    <mergeCell ref="J1183:M1183"/>
    <mergeCell ref="T1185:W1185"/>
    <mergeCell ref="Y1185:AB1185"/>
    <mergeCell ref="Q1167:R1167"/>
    <mergeCell ref="Q1168:R1168"/>
    <mergeCell ref="O1170:Q1170"/>
    <mergeCell ref="X1174:X1185"/>
    <mergeCell ref="AC1174:AC1185"/>
    <mergeCell ref="T1175:W1175"/>
    <mergeCell ref="T1176:W1176"/>
    <mergeCell ref="AD1204:AF1204"/>
    <mergeCell ref="AD1205:AF1205"/>
    <mergeCell ref="Y1206:AA1206"/>
    <mergeCell ref="AD1206:AF1206"/>
    <mergeCell ref="O1145:Q1145"/>
    <mergeCell ref="O1149:R1149"/>
    <mergeCell ref="S1149:S1160"/>
    <mergeCell ref="O1150:R1150"/>
    <mergeCell ref="O1151:R1151"/>
    <mergeCell ref="O1154:R1154"/>
    <mergeCell ref="O1155:R1155"/>
    <mergeCell ref="T1162:W1162"/>
    <mergeCell ref="V1163:W1163"/>
    <mergeCell ref="AD1162:AG1162"/>
    <mergeCell ref="AF1163:AG1163"/>
    <mergeCell ref="AF1164:AG1164"/>
    <mergeCell ref="AF1165:AG1165"/>
    <mergeCell ref="AF1166:AG1166"/>
    <mergeCell ref="AF1167:AG1167"/>
    <mergeCell ref="Q1163:R1163"/>
    <mergeCell ref="Q1164:R1164"/>
    <mergeCell ref="AA1163:AB1163"/>
    <mergeCell ref="AA1164:AB1164"/>
    <mergeCell ref="AA1165:AB1165"/>
    <mergeCell ref="AA1166:AB1166"/>
    <mergeCell ref="AA1167:AB1167"/>
    <mergeCell ref="O1158:Q1158"/>
    <mergeCell ref="O1159:Q1159"/>
    <mergeCell ref="J1162:M1162"/>
    <mergeCell ref="O1162:R1162"/>
    <mergeCell ref="L1163:M1163"/>
    <mergeCell ref="L1164:M1164"/>
    <mergeCell ref="V1164:W1164"/>
    <mergeCell ref="V1166:W1166"/>
    <mergeCell ref="V1167:W1167"/>
    <mergeCell ref="T1177:W1177"/>
    <mergeCell ref="Y1177:AB1177"/>
    <mergeCell ref="E1174:H1174"/>
    <mergeCell ref="J1174:M1174"/>
    <mergeCell ref="T1174:W1174"/>
    <mergeCell ref="Y1174:AB1174"/>
    <mergeCell ref="J1175:M1175"/>
    <mergeCell ref="J1176:M1176"/>
    <mergeCell ref="J1177:M1177"/>
    <mergeCell ref="O1177:R1177"/>
    <mergeCell ref="O1179:R1179"/>
    <mergeCell ref="O1182:R1182"/>
    <mergeCell ref="O1183:R1183"/>
    <mergeCell ref="O1184:R1184"/>
    <mergeCell ref="O1185:R1185"/>
    <mergeCell ref="O1156:Q1156"/>
    <mergeCell ref="O1157:Q1157"/>
    <mergeCell ref="N1174:N1185"/>
    <mergeCell ref="O1174:R1174"/>
    <mergeCell ref="S1174:S1185"/>
    <mergeCell ref="O1175:R1175"/>
    <mergeCell ref="O1176:R1176"/>
    <mergeCell ref="O1113:Q1113"/>
    <mergeCell ref="O1115:R1115"/>
    <mergeCell ref="Q1116:R1116"/>
    <mergeCell ref="Q1117:R1117"/>
    <mergeCell ref="Q1118:R1118"/>
    <mergeCell ref="Q1119:R1119"/>
    <mergeCell ref="Q1120:R1120"/>
    <mergeCell ref="O1131:R1131"/>
    <mergeCell ref="O1132:Q1132"/>
    <mergeCell ref="O1133:Q1133"/>
    <mergeCell ref="O1134:Q1134"/>
    <mergeCell ref="O1135:Q1135"/>
    <mergeCell ref="O1136:Q1136"/>
    <mergeCell ref="Q1121:R1121"/>
    <mergeCell ref="O1122:Q1122"/>
    <mergeCell ref="O1125:R1125"/>
    <mergeCell ref="S1125:S1136"/>
    <mergeCell ref="O1126:R1126"/>
    <mergeCell ref="O1127:R1127"/>
    <mergeCell ref="O1130:R1130"/>
    <mergeCell ref="O1138:R1138"/>
    <mergeCell ref="Q1139:R1139"/>
    <mergeCell ref="Q1140:R1140"/>
    <mergeCell ref="Q1141:R1141"/>
    <mergeCell ref="Q1142:R1142"/>
    <mergeCell ref="Q1143:R1143"/>
    <mergeCell ref="Q1144:R1144"/>
    <mergeCell ref="O1180:R1180"/>
    <mergeCell ref="O1181:R1181"/>
    <mergeCell ref="J1184:M1184"/>
    <mergeCell ref="J1185:M1185"/>
    <mergeCell ref="H1194:K1194"/>
    <mergeCell ref="J1197:M1197"/>
    <mergeCell ref="O1197:R1197"/>
    <mergeCell ref="J1198:M1198"/>
    <mergeCell ref="J1199:M1199"/>
    <mergeCell ref="O1198:R1198"/>
    <mergeCell ref="O1199:R1199"/>
    <mergeCell ref="O1202:R1202"/>
    <mergeCell ref="O1203:R1203"/>
    <mergeCell ref="O1204:Q1204"/>
    <mergeCell ref="O1205:Q1205"/>
    <mergeCell ref="O1206:Q1206"/>
    <mergeCell ref="K1200:L1200"/>
    <mergeCell ref="J1202:M1202"/>
    <mergeCell ref="J1203:M1203"/>
    <mergeCell ref="J1204:L1204"/>
    <mergeCell ref="J1205:L1205"/>
    <mergeCell ref="J1206:L1206"/>
    <mergeCell ref="J1207:L1207"/>
    <mergeCell ref="Q1215:R1215"/>
    <mergeCell ref="Q1216:R1216"/>
    <mergeCell ref="O1207:Q1207"/>
    <mergeCell ref="O1208:Q1208"/>
    <mergeCell ref="O1210:R1210"/>
    <mergeCell ref="Q1211:R1211"/>
    <mergeCell ref="Q1212:R1212"/>
    <mergeCell ref="Q1213:R1213"/>
    <mergeCell ref="Q1214:R1214"/>
    <mergeCell ref="L1216:M1216"/>
    <mergeCell ref="J1217:L1217"/>
    <mergeCell ref="O1217:Q1217"/>
    <mergeCell ref="C1218:AG1218"/>
    <mergeCell ref="J1208:L1208"/>
    <mergeCell ref="J1210:M1210"/>
    <mergeCell ref="L1211:M1211"/>
    <mergeCell ref="L1212:M1212"/>
    <mergeCell ref="L1213:M1213"/>
    <mergeCell ref="L1214:M1214"/>
    <mergeCell ref="L1215:M1215"/>
    <mergeCell ref="T1180:W1180"/>
    <mergeCell ref="T1182:W1182"/>
    <mergeCell ref="T1197:W1197"/>
    <mergeCell ref="T1198:W1198"/>
    <mergeCell ref="T1199:W1199"/>
    <mergeCell ref="T1202:W1202"/>
    <mergeCell ref="T1203:W1203"/>
    <mergeCell ref="V1212:W1212"/>
    <mergeCell ref="V1213:W1213"/>
    <mergeCell ref="V1214:W1214"/>
    <mergeCell ref="V1215:W1215"/>
    <mergeCell ref="V1216:W1216"/>
    <mergeCell ref="T1217:V1217"/>
    <mergeCell ref="T1204:V1204"/>
    <mergeCell ref="T1205:V1205"/>
    <mergeCell ref="T1206:V1206"/>
    <mergeCell ref="T1207:V1207"/>
    <mergeCell ref="T1208:V1208"/>
    <mergeCell ref="T1210:W1210"/>
    <mergeCell ref="V1211:W1211"/>
    <mergeCell ref="Y1180:AB1180"/>
    <mergeCell ref="Y1183:AB1183"/>
    <mergeCell ref="Y1197:AB1197"/>
    <mergeCell ref="AD1197:AG1197"/>
    <mergeCell ref="Y1198:AB1198"/>
    <mergeCell ref="AD1198:AG1198"/>
    <mergeCell ref="AD1199:AG1199"/>
    <mergeCell ref="Y1199:AB1199"/>
    <mergeCell ref="Y1202:AB1202"/>
    <mergeCell ref="AD1202:AG1202"/>
    <mergeCell ref="Y1203:AB1203"/>
    <mergeCell ref="AD1203:AG1203"/>
    <mergeCell ref="Y1204:AA1204"/>
    <mergeCell ref="Y1205:AA1205"/>
    <mergeCell ref="AA1211:AB1211"/>
    <mergeCell ref="AA1212:AB1212"/>
    <mergeCell ref="AA1213:AB1213"/>
    <mergeCell ref="AA1214:AB1214"/>
    <mergeCell ref="AA1215:AB1215"/>
    <mergeCell ref="AA1216:AB1216"/>
    <mergeCell ref="Y1217:AA1217"/>
    <mergeCell ref="AF1212:AG1212"/>
    <mergeCell ref="AF1213:AG1213"/>
    <mergeCell ref="AF1214:AG1214"/>
    <mergeCell ref="AF1215:AG1215"/>
    <mergeCell ref="AF1216:AG1216"/>
    <mergeCell ref="AD1217:AF1217"/>
    <mergeCell ref="Y1207:AA1207"/>
    <mergeCell ref="AD1207:AF1207"/>
    <mergeCell ref="Y1208:AA1208"/>
    <mergeCell ref="AD1208:AF1208"/>
    <mergeCell ref="Y1210:AB1210"/>
    <mergeCell ref="AD1210:AG1210"/>
    <mergeCell ref="AF1211:AG1211"/>
    <mergeCell ref="I5:I16"/>
    <mergeCell ref="C9:C13"/>
    <mergeCell ref="E10:H10"/>
    <mergeCell ref="E11:H11"/>
    <mergeCell ref="E12:G12"/>
    <mergeCell ref="E13:G13"/>
    <mergeCell ref="O16:Q16"/>
    <mergeCell ref="T16:V16"/>
    <mergeCell ref="Y16:AA16"/>
    <mergeCell ref="AD16:AF16"/>
    <mergeCell ref="C3:AG3"/>
    <mergeCell ref="N5:N16"/>
    <mergeCell ref="S5:S16"/>
    <mergeCell ref="AD5:AG5"/>
    <mergeCell ref="O7:R7"/>
    <mergeCell ref="AE8:AF8"/>
    <mergeCell ref="AD12:AF12"/>
    <mergeCell ref="T10:W10"/>
    <mergeCell ref="Y10:AB10"/>
    <mergeCell ref="J5:M5"/>
    <mergeCell ref="J11:M11"/>
    <mergeCell ref="O11:R11"/>
    <mergeCell ref="T11:W11"/>
    <mergeCell ref="AD10:AG10"/>
    <mergeCell ref="AD11:AG11"/>
    <mergeCell ref="J12:L12"/>
    <mergeCell ref="O12:Q12"/>
    <mergeCell ref="Y11:AB11"/>
    <mergeCell ref="Y12:AA12"/>
    <mergeCell ref="T12:V12"/>
    <mergeCell ref="J13:L13"/>
    <mergeCell ref="T5:W5"/>
    <mergeCell ref="X5:X16"/>
    <mergeCell ref="T6:W6"/>
    <mergeCell ref="T7:W7"/>
    <mergeCell ref="T13:V13"/>
    <mergeCell ref="T14:V14"/>
    <mergeCell ref="T15:V15"/>
    <mergeCell ref="Y5:AB5"/>
    <mergeCell ref="AC5:AC16"/>
    <mergeCell ref="Y6:AB6"/>
    <mergeCell ref="Y7:AB7"/>
    <mergeCell ref="Z8:AA8"/>
    <mergeCell ref="Y13:AA13"/>
    <mergeCell ref="Y14:AA14"/>
    <mergeCell ref="Y15:AA15"/>
    <mergeCell ref="E5:H5"/>
    <mergeCell ref="C6:C8"/>
    <mergeCell ref="E6:H6"/>
    <mergeCell ref="E7:H7"/>
    <mergeCell ref="F8:G8"/>
    <mergeCell ref="O5:R5"/>
    <mergeCell ref="O6:R6"/>
    <mergeCell ref="J6:M6"/>
    <mergeCell ref="J7:M7"/>
    <mergeCell ref="AD6:AG6"/>
    <mergeCell ref="AD7:AG7"/>
    <mergeCell ref="AD13:AF13"/>
    <mergeCell ref="AD14:AF14"/>
    <mergeCell ref="AD15:AF15"/>
    <mergeCell ref="O14:Q14"/>
    <mergeCell ref="O15:Q15"/>
    <mergeCell ref="AF19:AG19"/>
    <mergeCell ref="AF20:AG20"/>
    <mergeCell ref="AF21:AG21"/>
    <mergeCell ref="AF22:AG22"/>
    <mergeCell ref="AF23:AG23"/>
    <mergeCell ref="AF24:AG24"/>
    <mergeCell ref="AD26:AF26"/>
    <mergeCell ref="AD32:AG32"/>
    <mergeCell ref="AD33:AG33"/>
    <mergeCell ref="AD36:AG36"/>
    <mergeCell ref="AD37:AG37"/>
    <mergeCell ref="AD38:AF38"/>
    <mergeCell ref="AD39:AF39"/>
    <mergeCell ref="AD40:AF40"/>
    <mergeCell ref="AD41:AF41"/>
    <mergeCell ref="AD42:AF42"/>
    <mergeCell ref="AD44:AG44"/>
    <mergeCell ref="AF45:AG45"/>
    <mergeCell ref="AF46:AG46"/>
    <mergeCell ref="AF47:AG47"/>
    <mergeCell ref="AF48:AG48"/>
    <mergeCell ref="AF49:AG49"/>
    <mergeCell ref="AF50:AG50"/>
    <mergeCell ref="AD51:AF51"/>
    <mergeCell ref="AD57:AG57"/>
    <mergeCell ref="AD58:AG58"/>
    <mergeCell ref="AD61:AG61"/>
    <mergeCell ref="AD62:AG62"/>
    <mergeCell ref="AF71:AG71"/>
    <mergeCell ref="AF72:AG72"/>
    <mergeCell ref="AF73:AG73"/>
    <mergeCell ref="AF74:AG74"/>
    <mergeCell ref="AF75:AG75"/>
    <mergeCell ref="AD76:AF76"/>
    <mergeCell ref="AD63:AF63"/>
    <mergeCell ref="AD64:AF64"/>
    <mergeCell ref="AD65:AF65"/>
    <mergeCell ref="AD66:AF66"/>
    <mergeCell ref="AD67:AF67"/>
    <mergeCell ref="AD69:AG69"/>
    <mergeCell ref="AF70:AG70"/>
    <mergeCell ref="J10:M10"/>
    <mergeCell ref="O10:R10"/>
    <mergeCell ref="O13:Q13"/>
    <mergeCell ref="E14:G14"/>
    <mergeCell ref="J14:L14"/>
    <mergeCell ref="E15:G15"/>
    <mergeCell ref="E16:G16"/>
    <mergeCell ref="J15:L15"/>
    <mergeCell ref="J16:L16"/>
    <mergeCell ref="J18:M18"/>
    <mergeCell ref="O18:R18"/>
    <mergeCell ref="T18:W18"/>
    <mergeCell ref="Y18:AB18"/>
    <mergeCell ref="AD18:AG18"/>
    <mergeCell ref="E18:H18"/>
    <mergeCell ref="G19:H19"/>
    <mergeCell ref="Q19:R19"/>
    <mergeCell ref="AA19:AB19"/>
    <mergeCell ref="G20:H20"/>
    <mergeCell ref="Q20:R20"/>
    <mergeCell ref="AA20:AB20"/>
    <mergeCell ref="V23:W23"/>
    <mergeCell ref="V24:W24"/>
    <mergeCell ref="V19:W19"/>
    <mergeCell ref="V20:W20"/>
    <mergeCell ref="V21:W21"/>
    <mergeCell ref="AA21:AB21"/>
    <mergeCell ref="V22:W22"/>
    <mergeCell ref="AA22:AB22"/>
    <mergeCell ref="AA23:AB23"/>
    <mergeCell ref="AA24:AB24"/>
    <mergeCell ref="E31:H31"/>
    <mergeCell ref="T31:W31"/>
    <mergeCell ref="Y31:AB31"/>
    <mergeCell ref="AD31:AG31"/>
    <mergeCell ref="E25:G25"/>
    <mergeCell ref="J25:L25"/>
    <mergeCell ref="O25:Q25"/>
    <mergeCell ref="T25:V25"/>
    <mergeCell ref="Y25:AA25"/>
    <mergeCell ref="AD25:AF25"/>
    <mergeCell ref="E28:AG29"/>
    <mergeCell ref="Q24:R24"/>
    <mergeCell ref="O31:R31"/>
    <mergeCell ref="G22:H22"/>
    <mergeCell ref="G23:H23"/>
    <mergeCell ref="L23:M23"/>
    <mergeCell ref="Q23:R23"/>
    <mergeCell ref="G24:H24"/>
    <mergeCell ref="I31:I42"/>
    <mergeCell ref="N31:N42"/>
    <mergeCell ref="Y36:AB36"/>
    <mergeCell ref="T37:W37"/>
    <mergeCell ref="Y37:AB37"/>
    <mergeCell ref="T38:V38"/>
    <mergeCell ref="Y38:AA38"/>
    <mergeCell ref="T39:V39"/>
    <mergeCell ref="Y39:AA39"/>
    <mergeCell ref="T40:V40"/>
    <mergeCell ref="Y40:AA40"/>
    <mergeCell ref="T41:V41"/>
    <mergeCell ref="Y41:AA41"/>
    <mergeCell ref="S31:S42"/>
    <mergeCell ref="X31:X42"/>
    <mergeCell ref="AC31:AC42"/>
    <mergeCell ref="T32:W32"/>
    <mergeCell ref="Y32:AB32"/>
    <mergeCell ref="Y33:AB33"/>
    <mergeCell ref="Z34:AA34"/>
    <mergeCell ref="Y42:AA42"/>
    <mergeCell ref="Y44:AB44"/>
    <mergeCell ref="AA45:AB45"/>
    <mergeCell ref="AA46:AB46"/>
    <mergeCell ref="AA47:AB47"/>
    <mergeCell ref="AA48:AB48"/>
    <mergeCell ref="AA49:AB49"/>
    <mergeCell ref="Y80:AB80"/>
    <mergeCell ref="AD80:AG80"/>
    <mergeCell ref="AD81:AG81"/>
    <mergeCell ref="AD82:AG82"/>
    <mergeCell ref="AE83:AF83"/>
    <mergeCell ref="AA50:AB50"/>
    <mergeCell ref="Y51:AA51"/>
    <mergeCell ref="E55:AG55"/>
    <mergeCell ref="E56:H56"/>
    <mergeCell ref="Y56:AB56"/>
    <mergeCell ref="AD56:AG56"/>
    <mergeCell ref="E79:AG79"/>
    <mergeCell ref="J80:M80"/>
    <mergeCell ref="J81:M81"/>
    <mergeCell ref="T80:W80"/>
    <mergeCell ref="T81:W81"/>
    <mergeCell ref="E81:H81"/>
    <mergeCell ref="E82:H82"/>
    <mergeCell ref="O81:R81"/>
    <mergeCell ref="O82:R82"/>
    <mergeCell ref="Y81:AB81"/>
    <mergeCell ref="Y82:AB82"/>
    <mergeCell ref="J82:M82"/>
    <mergeCell ref="K83:L83"/>
    <mergeCell ref="E85:H85"/>
    <mergeCell ref="J85:M85"/>
    <mergeCell ref="O85:R85"/>
    <mergeCell ref="T85:W85"/>
    <mergeCell ref="AD85:AG85"/>
    <mergeCell ref="C83:C85"/>
    <mergeCell ref="C86:C88"/>
    <mergeCell ref="E86:H86"/>
    <mergeCell ref="J86:M86"/>
    <mergeCell ref="O86:R86"/>
    <mergeCell ref="T86:W86"/>
    <mergeCell ref="AD86:AG86"/>
    <mergeCell ref="J87:L87"/>
    <mergeCell ref="O87:Q87"/>
    <mergeCell ref="AD87:AF87"/>
    <mergeCell ref="AD88:AF88"/>
    <mergeCell ref="AD89:AF89"/>
    <mergeCell ref="Y86:AB86"/>
    <mergeCell ref="Y87:AA87"/>
    <mergeCell ref="E88:G88"/>
    <mergeCell ref="J88:L88"/>
    <mergeCell ref="T87:V87"/>
    <mergeCell ref="T88:V88"/>
    <mergeCell ref="O88:Q88"/>
    <mergeCell ref="E89:G89"/>
    <mergeCell ref="J89:L89"/>
    <mergeCell ref="O89:Q89"/>
    <mergeCell ref="Y88:AA88"/>
    <mergeCell ref="Y89:AA89"/>
    <mergeCell ref="AD90:AF90"/>
    <mergeCell ref="AD91:AF91"/>
    <mergeCell ref="E90:G90"/>
    <mergeCell ref="J90:L90"/>
    <mergeCell ref="T89:V89"/>
    <mergeCell ref="T90:V90"/>
    <mergeCell ref="O80:R80"/>
    <mergeCell ref="X80:X91"/>
    <mergeCell ref="AC80:AC91"/>
    <mergeCell ref="C81:C82"/>
    <mergeCell ref="T82:W82"/>
    <mergeCell ref="Y85:AB85"/>
    <mergeCell ref="T91:V91"/>
    <mergeCell ref="O90:Q90"/>
    <mergeCell ref="E91:G91"/>
    <mergeCell ref="J91:L91"/>
    <mergeCell ref="O91:Q91"/>
    <mergeCell ref="J93:M93"/>
    <mergeCell ref="T93:W93"/>
    <mergeCell ref="L94:M94"/>
    <mergeCell ref="V94:W94"/>
    <mergeCell ref="AA95:AB95"/>
    <mergeCell ref="AA96:AB96"/>
    <mergeCell ref="AA97:AB97"/>
    <mergeCell ref="AA98:AB98"/>
    <mergeCell ref="AA99:AB99"/>
    <mergeCell ref="Y90:AA90"/>
    <mergeCell ref="Y91:AA91"/>
    <mergeCell ref="Y93:AB93"/>
    <mergeCell ref="AD93:AG93"/>
    <mergeCell ref="AA94:AB94"/>
    <mergeCell ref="AF94:AG94"/>
    <mergeCell ref="AF95:AG95"/>
    <mergeCell ref="Q98:R98"/>
    <mergeCell ref="Q99:R99"/>
    <mergeCell ref="J105:M105"/>
    <mergeCell ref="O105:R105"/>
    <mergeCell ref="Y105:AB105"/>
    <mergeCell ref="AD105:AG105"/>
    <mergeCell ref="J106:M106"/>
    <mergeCell ref="AD106:AG106"/>
    <mergeCell ref="J107:M107"/>
    <mergeCell ref="AD107:AG107"/>
    <mergeCell ref="L99:M99"/>
    <mergeCell ref="J100:L100"/>
    <mergeCell ref="O100:Q100"/>
    <mergeCell ref="T100:V100"/>
    <mergeCell ref="Y100:AA100"/>
    <mergeCell ref="AD100:AF100"/>
    <mergeCell ref="E104:AG104"/>
    <mergeCell ref="L122:M122"/>
    <mergeCell ref="L123:M123"/>
    <mergeCell ref="L124:M124"/>
    <mergeCell ref="J125:L125"/>
    <mergeCell ref="J129:M129"/>
    <mergeCell ref="V123:W123"/>
    <mergeCell ref="V124:W124"/>
    <mergeCell ref="T125:V125"/>
    <mergeCell ref="Y125:AA125"/>
    <mergeCell ref="E128:AG128"/>
    <mergeCell ref="T129:W129"/>
    <mergeCell ref="Y129:AB129"/>
    <mergeCell ref="E80:H80"/>
    <mergeCell ref="E87:G87"/>
    <mergeCell ref="E93:H93"/>
    <mergeCell ref="G94:H94"/>
    <mergeCell ref="G95:H95"/>
    <mergeCell ref="G96:H96"/>
    <mergeCell ref="G97:H97"/>
    <mergeCell ref="C106:C108"/>
    <mergeCell ref="C111:C113"/>
    <mergeCell ref="C130:C132"/>
    <mergeCell ref="C135:C137"/>
    <mergeCell ref="G98:H98"/>
    <mergeCell ref="G99:H99"/>
    <mergeCell ref="E100:G100"/>
    <mergeCell ref="E105:H105"/>
    <mergeCell ref="E106:H106"/>
    <mergeCell ref="E107:H107"/>
    <mergeCell ref="E110:H110"/>
    <mergeCell ref="E111:H111"/>
    <mergeCell ref="E112:G112"/>
    <mergeCell ref="E113:G113"/>
    <mergeCell ref="E114:G114"/>
    <mergeCell ref="E115:G115"/>
    <mergeCell ref="E116:G116"/>
    <mergeCell ref="E118:H118"/>
    <mergeCell ref="G119:H119"/>
    <mergeCell ref="G120:H120"/>
    <mergeCell ref="G121:H121"/>
    <mergeCell ref="G122:H122"/>
    <mergeCell ref="G123:H123"/>
    <mergeCell ref="E125:G125"/>
    <mergeCell ref="E129:H129"/>
    <mergeCell ref="J130:M130"/>
    <mergeCell ref="J131:M131"/>
    <mergeCell ref="E130:H130"/>
    <mergeCell ref="E131:H131"/>
    <mergeCell ref="E134:H134"/>
    <mergeCell ref="E135:H135"/>
    <mergeCell ref="E136:G136"/>
    <mergeCell ref="E137:G137"/>
    <mergeCell ref="E138:G138"/>
    <mergeCell ref="J174:L174"/>
    <mergeCell ref="J179:M179"/>
    <mergeCell ref="O179:R179"/>
    <mergeCell ref="T179:W179"/>
    <mergeCell ref="Y179:AB179"/>
    <mergeCell ref="AD179:AG179"/>
    <mergeCell ref="Q173:R173"/>
    <mergeCell ref="O174:Q174"/>
    <mergeCell ref="T174:V174"/>
    <mergeCell ref="Y174:AA174"/>
    <mergeCell ref="AD174:AF174"/>
    <mergeCell ref="T175:V175"/>
    <mergeCell ref="E178:AG178"/>
    <mergeCell ref="J36:M36"/>
    <mergeCell ref="O36:R36"/>
    <mergeCell ref="J37:M37"/>
    <mergeCell ref="O37:R37"/>
    <mergeCell ref="J38:L38"/>
    <mergeCell ref="O38:Q38"/>
    <mergeCell ref="J39:L39"/>
    <mergeCell ref="O39:Q39"/>
    <mergeCell ref="J40:L40"/>
    <mergeCell ref="O40:Q40"/>
    <mergeCell ref="J41:L41"/>
    <mergeCell ref="O41:Q41"/>
    <mergeCell ref="J42:L42"/>
    <mergeCell ref="O42:Q42"/>
    <mergeCell ref="L19:M19"/>
    <mergeCell ref="L20:M20"/>
    <mergeCell ref="G21:H21"/>
    <mergeCell ref="L21:M21"/>
    <mergeCell ref="Q21:R21"/>
    <mergeCell ref="L22:M22"/>
    <mergeCell ref="Q22:R22"/>
    <mergeCell ref="L24:M24"/>
    <mergeCell ref="J31:M31"/>
    <mergeCell ref="J32:M32"/>
    <mergeCell ref="O32:R32"/>
    <mergeCell ref="J33:M33"/>
    <mergeCell ref="O33:R33"/>
    <mergeCell ref="K34:L34"/>
    <mergeCell ref="P34:Q34"/>
    <mergeCell ref="C32:C34"/>
    <mergeCell ref="E32:H32"/>
    <mergeCell ref="E33:H33"/>
    <mergeCell ref="C35:C39"/>
    <mergeCell ref="E36:H36"/>
    <mergeCell ref="E37:H37"/>
    <mergeCell ref="E38:G38"/>
    <mergeCell ref="C57:C58"/>
    <mergeCell ref="V48:W48"/>
    <mergeCell ref="V49:W49"/>
    <mergeCell ref="V50:W50"/>
    <mergeCell ref="T51:V51"/>
    <mergeCell ref="T56:W56"/>
    <mergeCell ref="T33:W33"/>
    <mergeCell ref="T36:W36"/>
    <mergeCell ref="T42:V42"/>
    <mergeCell ref="T44:W44"/>
    <mergeCell ref="V45:W45"/>
    <mergeCell ref="V46:W46"/>
    <mergeCell ref="V47:W47"/>
    <mergeCell ref="E58:H58"/>
    <mergeCell ref="E61:H61"/>
    <mergeCell ref="C62:C64"/>
    <mergeCell ref="E62:H62"/>
    <mergeCell ref="E63:G63"/>
    <mergeCell ref="E64:G64"/>
    <mergeCell ref="E65:G65"/>
    <mergeCell ref="E66:G66"/>
    <mergeCell ref="G48:H48"/>
    <mergeCell ref="G49:H49"/>
    <mergeCell ref="G50:H50"/>
    <mergeCell ref="E51:G51"/>
    <mergeCell ref="I56:I67"/>
    <mergeCell ref="E57:H57"/>
    <mergeCell ref="C59:C61"/>
    <mergeCell ref="G75:H75"/>
    <mergeCell ref="E76:G76"/>
    <mergeCell ref="E67:G67"/>
    <mergeCell ref="E69:H69"/>
    <mergeCell ref="G70:H70"/>
    <mergeCell ref="G71:H71"/>
    <mergeCell ref="G72:H72"/>
    <mergeCell ref="G73:H73"/>
    <mergeCell ref="G74:H74"/>
    <mergeCell ref="J61:M61"/>
    <mergeCell ref="J62:M62"/>
    <mergeCell ref="L49:M49"/>
    <mergeCell ref="L50:M50"/>
    <mergeCell ref="J51:L51"/>
    <mergeCell ref="O51:Q51"/>
    <mergeCell ref="O52:Q52"/>
    <mergeCell ref="J56:M56"/>
    <mergeCell ref="N56:N67"/>
    <mergeCell ref="J67:L67"/>
    <mergeCell ref="L71:M71"/>
    <mergeCell ref="L72:M72"/>
    <mergeCell ref="L73:M73"/>
    <mergeCell ref="L74:M74"/>
    <mergeCell ref="L75:M75"/>
    <mergeCell ref="J76:L76"/>
    <mergeCell ref="Q72:R72"/>
    <mergeCell ref="Q73:R73"/>
    <mergeCell ref="Q74:R74"/>
    <mergeCell ref="Q75:R75"/>
    <mergeCell ref="O76:Q76"/>
    <mergeCell ref="J65:L65"/>
    <mergeCell ref="J66:L66"/>
    <mergeCell ref="J69:M69"/>
    <mergeCell ref="O69:R69"/>
    <mergeCell ref="L70:M70"/>
    <mergeCell ref="Q70:R70"/>
    <mergeCell ref="Q71:R71"/>
    <mergeCell ref="Q45:R45"/>
    <mergeCell ref="Q46:R46"/>
    <mergeCell ref="Q47:R47"/>
    <mergeCell ref="Q48:R48"/>
    <mergeCell ref="Q49:R49"/>
    <mergeCell ref="Q50:R50"/>
    <mergeCell ref="E39:G39"/>
    <mergeCell ref="E40:G40"/>
    <mergeCell ref="E41:G41"/>
    <mergeCell ref="E42:G42"/>
    <mergeCell ref="E44:H44"/>
    <mergeCell ref="O44:R44"/>
    <mergeCell ref="G45:H45"/>
    <mergeCell ref="J44:M44"/>
    <mergeCell ref="L45:M45"/>
    <mergeCell ref="G46:H46"/>
    <mergeCell ref="L46:M46"/>
    <mergeCell ref="G47:H47"/>
    <mergeCell ref="L47:M47"/>
    <mergeCell ref="L48:M48"/>
    <mergeCell ref="J57:M57"/>
    <mergeCell ref="J58:M58"/>
    <mergeCell ref="T57:W57"/>
    <mergeCell ref="T58:W58"/>
    <mergeCell ref="T61:W61"/>
    <mergeCell ref="Y61:AB61"/>
    <mergeCell ref="J63:L63"/>
    <mergeCell ref="J64:L64"/>
    <mergeCell ref="O56:R56"/>
    <mergeCell ref="S56:S67"/>
    <mergeCell ref="X56:X67"/>
    <mergeCell ref="AC56:AC67"/>
    <mergeCell ref="O57:R57"/>
    <mergeCell ref="Y57:AB57"/>
    <mergeCell ref="Y58:AB58"/>
    <mergeCell ref="Y66:AA66"/>
    <mergeCell ref="O67:Q67"/>
    <mergeCell ref="T67:V67"/>
    <mergeCell ref="Y67:AA67"/>
    <mergeCell ref="T69:W69"/>
    <mergeCell ref="Y69:AB69"/>
    <mergeCell ref="AA70:AB70"/>
    <mergeCell ref="AA73:AB73"/>
    <mergeCell ref="AA74:AB74"/>
    <mergeCell ref="V70:W70"/>
    <mergeCell ref="V71:W71"/>
    <mergeCell ref="AA71:AB71"/>
    <mergeCell ref="V72:W72"/>
    <mergeCell ref="AA72:AB72"/>
    <mergeCell ref="V73:W73"/>
    <mergeCell ref="V74:W74"/>
    <mergeCell ref="O58:R58"/>
    <mergeCell ref="O61:R61"/>
    <mergeCell ref="O62:R62"/>
    <mergeCell ref="T62:W62"/>
    <mergeCell ref="Y62:AB62"/>
    <mergeCell ref="O63:Q63"/>
    <mergeCell ref="T63:V63"/>
    <mergeCell ref="Y63:AA63"/>
    <mergeCell ref="O64:Q64"/>
    <mergeCell ref="T64:V64"/>
    <mergeCell ref="Y64:AA64"/>
    <mergeCell ref="O65:Q65"/>
    <mergeCell ref="T65:V65"/>
    <mergeCell ref="Y65:AA65"/>
    <mergeCell ref="O66:Q66"/>
    <mergeCell ref="T66:V66"/>
    <mergeCell ref="V75:W75"/>
    <mergeCell ref="AA75:AB75"/>
    <mergeCell ref="T76:V76"/>
    <mergeCell ref="Y76:AA76"/>
    <mergeCell ref="T107:W107"/>
    <mergeCell ref="T110:W110"/>
    <mergeCell ref="T114:V114"/>
    <mergeCell ref="Y114:AA114"/>
    <mergeCell ref="T115:V115"/>
    <mergeCell ref="Y115:AA115"/>
    <mergeCell ref="T116:V116"/>
    <mergeCell ref="Y116:AA116"/>
    <mergeCell ref="Q97:R97"/>
    <mergeCell ref="S105:S116"/>
    <mergeCell ref="X105:X116"/>
    <mergeCell ref="AC105:AC116"/>
    <mergeCell ref="T106:W106"/>
    <mergeCell ref="Y106:AB106"/>
    <mergeCell ref="Y107:AB107"/>
    <mergeCell ref="O93:R93"/>
    <mergeCell ref="Q94:R94"/>
    <mergeCell ref="L95:M95"/>
    <mergeCell ref="Q95:R95"/>
    <mergeCell ref="V95:W95"/>
    <mergeCell ref="Q96:R96"/>
    <mergeCell ref="V96:W96"/>
    <mergeCell ref="L96:M96"/>
    <mergeCell ref="L97:M97"/>
    <mergeCell ref="V97:W97"/>
    <mergeCell ref="L98:M98"/>
    <mergeCell ref="V98:W98"/>
    <mergeCell ref="V99:W99"/>
    <mergeCell ref="T101:V101"/>
    <mergeCell ref="Y110:AB110"/>
    <mergeCell ref="Y111:AB111"/>
    <mergeCell ref="T105:W105"/>
    <mergeCell ref="O106:R106"/>
    <mergeCell ref="O107:R107"/>
    <mergeCell ref="J110:M110"/>
    <mergeCell ref="O110:R110"/>
    <mergeCell ref="O111:R111"/>
    <mergeCell ref="T111:W111"/>
    <mergeCell ref="T112:V112"/>
    <mergeCell ref="Y112:AA112"/>
    <mergeCell ref="T113:V113"/>
    <mergeCell ref="Y113:AA113"/>
    <mergeCell ref="J116:L116"/>
    <mergeCell ref="O116:Q116"/>
    <mergeCell ref="O114:Q114"/>
    <mergeCell ref="O115:Q115"/>
    <mergeCell ref="J111:M111"/>
    <mergeCell ref="J112:L112"/>
    <mergeCell ref="O112:Q112"/>
    <mergeCell ref="J113:L113"/>
    <mergeCell ref="O113:Q113"/>
    <mergeCell ref="J114:L114"/>
    <mergeCell ref="J115:L115"/>
    <mergeCell ref="J118:M118"/>
    <mergeCell ref="O118:R118"/>
    <mergeCell ref="T118:W118"/>
    <mergeCell ref="Y118:AB118"/>
    <mergeCell ref="Q119:R119"/>
    <mergeCell ref="V119:W119"/>
    <mergeCell ref="AA119:AB119"/>
    <mergeCell ref="AA120:AB120"/>
    <mergeCell ref="AA121:AB121"/>
    <mergeCell ref="AA122:AB122"/>
    <mergeCell ref="AA123:AB123"/>
    <mergeCell ref="AA124:AB124"/>
    <mergeCell ref="Q121:R121"/>
    <mergeCell ref="Q122:R122"/>
    <mergeCell ref="Q123:R123"/>
    <mergeCell ref="Q124:R124"/>
    <mergeCell ref="O125:Q125"/>
    <mergeCell ref="O129:R129"/>
    <mergeCell ref="L119:M119"/>
    <mergeCell ref="L120:M120"/>
    <mergeCell ref="Q120:R120"/>
    <mergeCell ref="V120:W120"/>
    <mergeCell ref="L121:M121"/>
    <mergeCell ref="V121:W121"/>
    <mergeCell ref="V122:W122"/>
    <mergeCell ref="Y139:AA139"/>
    <mergeCell ref="Y140:AA140"/>
    <mergeCell ref="Y130:AB130"/>
    <mergeCell ref="Y131:AB131"/>
    <mergeCell ref="Y134:AB134"/>
    <mergeCell ref="Y135:AB135"/>
    <mergeCell ref="Y136:AA136"/>
    <mergeCell ref="Y137:AA137"/>
    <mergeCell ref="Y138:AA138"/>
    <mergeCell ref="T134:W134"/>
    <mergeCell ref="J135:M135"/>
    <mergeCell ref="O135:R135"/>
    <mergeCell ref="T135:W135"/>
    <mergeCell ref="G124:H124"/>
    <mergeCell ref="I129:I140"/>
    <mergeCell ref="N129:N140"/>
    <mergeCell ref="S129:S140"/>
    <mergeCell ref="X129:X140"/>
    <mergeCell ref="O130:R130"/>
    <mergeCell ref="O131:R131"/>
    <mergeCell ref="T140:V140"/>
    <mergeCell ref="T130:W130"/>
    <mergeCell ref="T131:W131"/>
    <mergeCell ref="J134:M134"/>
    <mergeCell ref="O134:R134"/>
    <mergeCell ref="J136:L136"/>
    <mergeCell ref="O136:Q136"/>
    <mergeCell ref="T136:V136"/>
    <mergeCell ref="J137:L137"/>
    <mergeCell ref="O137:Q137"/>
    <mergeCell ref="T137:V137"/>
    <mergeCell ref="J138:L138"/>
    <mergeCell ref="O138:Q138"/>
    <mergeCell ref="T138:V138"/>
    <mergeCell ref="J139:L139"/>
    <mergeCell ref="O139:Q139"/>
    <mergeCell ref="T139:V139"/>
    <mergeCell ref="J140:L140"/>
    <mergeCell ref="O140:Q140"/>
    <mergeCell ref="AA144:AB144"/>
    <mergeCell ref="AA145:AB145"/>
    <mergeCell ref="AA146:AB146"/>
    <mergeCell ref="AD138:AF138"/>
    <mergeCell ref="AD139:AF139"/>
    <mergeCell ref="Y142:AB142"/>
    <mergeCell ref="AD142:AG142"/>
    <mergeCell ref="AA143:AB143"/>
    <mergeCell ref="AF143:AG143"/>
    <mergeCell ref="AF144:AG144"/>
    <mergeCell ref="AF96:AG96"/>
    <mergeCell ref="AF97:AG97"/>
    <mergeCell ref="AF98:AG98"/>
    <mergeCell ref="AF99:AG99"/>
    <mergeCell ref="AD110:AG110"/>
    <mergeCell ref="AD111:AG111"/>
    <mergeCell ref="AD112:AF112"/>
    <mergeCell ref="AD113:AF113"/>
    <mergeCell ref="AD114:AF114"/>
    <mergeCell ref="AD115:AF115"/>
    <mergeCell ref="AD116:AF116"/>
    <mergeCell ref="AD118:AG118"/>
    <mergeCell ref="AF119:AG119"/>
    <mergeCell ref="AF120:AG120"/>
    <mergeCell ref="AD130:AG130"/>
    <mergeCell ref="AD131:AG131"/>
    <mergeCell ref="AD134:AG134"/>
    <mergeCell ref="AD135:AG135"/>
    <mergeCell ref="AD136:AF136"/>
    <mergeCell ref="AD137:AF137"/>
    <mergeCell ref="AF121:AG121"/>
    <mergeCell ref="AF122:AG122"/>
    <mergeCell ref="AF123:AG123"/>
    <mergeCell ref="AF124:AG124"/>
    <mergeCell ref="AD125:AF125"/>
    <mergeCell ref="AC129:AC140"/>
    <mergeCell ref="AD129:AG129"/>
    <mergeCell ref="AD140:AF140"/>
    <mergeCell ref="AF145:AG145"/>
    <mergeCell ref="AF146:AG146"/>
    <mergeCell ref="Y154:AB154"/>
    <mergeCell ref="Y155:AB155"/>
    <mergeCell ref="E154:H154"/>
    <mergeCell ref="J154:M154"/>
    <mergeCell ref="O154:R154"/>
    <mergeCell ref="T154:W154"/>
    <mergeCell ref="AD154:AG154"/>
    <mergeCell ref="O155:R155"/>
    <mergeCell ref="T155:W155"/>
    <mergeCell ref="AD155:AG155"/>
    <mergeCell ref="E139:G139"/>
    <mergeCell ref="E140:G140"/>
    <mergeCell ref="E142:H142"/>
    <mergeCell ref="J142:M142"/>
    <mergeCell ref="T142:W142"/>
    <mergeCell ref="L143:M143"/>
    <mergeCell ref="V143:W143"/>
    <mergeCell ref="Q146:R146"/>
    <mergeCell ref="Q147:R147"/>
    <mergeCell ref="AA147:AB147"/>
    <mergeCell ref="AF147:AG147"/>
    <mergeCell ref="O142:R142"/>
    <mergeCell ref="Q143:R143"/>
    <mergeCell ref="Q144:R144"/>
    <mergeCell ref="V144:W144"/>
    <mergeCell ref="Q145:R145"/>
    <mergeCell ref="V145:W145"/>
    <mergeCell ref="V146:W146"/>
    <mergeCell ref="V147:W147"/>
    <mergeCell ref="G148:H148"/>
    <mergeCell ref="L148:M148"/>
    <mergeCell ref="Q148:R148"/>
    <mergeCell ref="V148:W148"/>
    <mergeCell ref="AA148:AB148"/>
    <mergeCell ref="AF148:AG148"/>
    <mergeCell ref="G143:H143"/>
    <mergeCell ref="G144:H144"/>
    <mergeCell ref="L144:M144"/>
    <mergeCell ref="G145:H145"/>
    <mergeCell ref="L145:M145"/>
    <mergeCell ref="G146:H146"/>
    <mergeCell ref="G147:H147"/>
    <mergeCell ref="E149:G149"/>
    <mergeCell ref="J149:L149"/>
    <mergeCell ref="O149:Q149"/>
    <mergeCell ref="T149:V149"/>
    <mergeCell ref="Y149:AA149"/>
    <mergeCell ref="AD149:AF149"/>
    <mergeCell ref="E153:AG153"/>
    <mergeCell ref="J156:M156"/>
    <mergeCell ref="O156:R156"/>
    <mergeCell ref="T156:W156"/>
    <mergeCell ref="Y156:AB156"/>
    <mergeCell ref="AD156:AG156"/>
    <mergeCell ref="Z157:AA157"/>
    <mergeCell ref="Y163:AA163"/>
    <mergeCell ref="Y164:AA164"/>
    <mergeCell ref="Y165:AA165"/>
    <mergeCell ref="Y159:AB159"/>
    <mergeCell ref="Y160:AB160"/>
    <mergeCell ref="Y161:AA161"/>
    <mergeCell ref="AD161:AF161"/>
    <mergeCell ref="Y162:AA162"/>
    <mergeCell ref="AD162:AF162"/>
    <mergeCell ref="AD163:AF163"/>
    <mergeCell ref="E159:H159"/>
    <mergeCell ref="J159:M159"/>
    <mergeCell ref="O159:R159"/>
    <mergeCell ref="T159:W159"/>
    <mergeCell ref="AD159:AG159"/>
    <mergeCell ref="O160:R160"/>
    <mergeCell ref="T160:W160"/>
    <mergeCell ref="AD160:AG160"/>
    <mergeCell ref="J160:M160"/>
    <mergeCell ref="J161:L161"/>
    <mergeCell ref="O161:Q161"/>
    <mergeCell ref="T161:V161"/>
    <mergeCell ref="O162:Q162"/>
    <mergeCell ref="T162:V162"/>
    <mergeCell ref="O163:Q163"/>
    <mergeCell ref="T163:V163"/>
    <mergeCell ref="L146:M146"/>
    <mergeCell ref="L147:M147"/>
    <mergeCell ref="J150:L150"/>
    <mergeCell ref="C155:C159"/>
    <mergeCell ref="E155:H155"/>
    <mergeCell ref="J155:M155"/>
    <mergeCell ref="E156:H156"/>
    <mergeCell ref="J163:L163"/>
    <mergeCell ref="J164:L164"/>
    <mergeCell ref="O164:Q164"/>
    <mergeCell ref="T164:V164"/>
    <mergeCell ref="E165:G165"/>
    <mergeCell ref="J165:L165"/>
    <mergeCell ref="O165:Q165"/>
    <mergeCell ref="T165:V165"/>
    <mergeCell ref="AD164:AF164"/>
    <mergeCell ref="AD165:AF165"/>
    <mergeCell ref="C160:C162"/>
    <mergeCell ref="E160:H160"/>
    <mergeCell ref="E161:G161"/>
    <mergeCell ref="E162:G162"/>
    <mergeCell ref="J162:L162"/>
    <mergeCell ref="E163:G163"/>
    <mergeCell ref="E164:G164"/>
    <mergeCell ref="C208:C210"/>
    <mergeCell ref="E208:H208"/>
    <mergeCell ref="E209:G209"/>
    <mergeCell ref="E210:G210"/>
    <mergeCell ref="G198:H198"/>
    <mergeCell ref="E199:G199"/>
    <mergeCell ref="E202:H202"/>
    <mergeCell ref="I202:I213"/>
    <mergeCell ref="C203:C207"/>
    <mergeCell ref="E203:H203"/>
    <mergeCell ref="E204:H204"/>
    <mergeCell ref="C185:C187"/>
    <mergeCell ref="E185:H185"/>
    <mergeCell ref="E186:G186"/>
    <mergeCell ref="E187:G187"/>
    <mergeCell ref="E188:G188"/>
    <mergeCell ref="E189:G189"/>
    <mergeCell ref="G172:H172"/>
    <mergeCell ref="G173:H173"/>
    <mergeCell ref="E174:G174"/>
    <mergeCell ref="E179:H179"/>
    <mergeCell ref="I179:I190"/>
    <mergeCell ref="C180:C184"/>
    <mergeCell ref="E180:H180"/>
    <mergeCell ref="E190:G190"/>
    <mergeCell ref="E192:H192"/>
    <mergeCell ref="G193:H193"/>
    <mergeCell ref="G194:H194"/>
    <mergeCell ref="G195:H195"/>
    <mergeCell ref="G196:H196"/>
    <mergeCell ref="G197:H197"/>
    <mergeCell ref="F205:G205"/>
    <mergeCell ref="E207:H207"/>
    <mergeCell ref="E211:G211"/>
    <mergeCell ref="E212:G212"/>
    <mergeCell ref="E213:G213"/>
    <mergeCell ref="E215:H215"/>
    <mergeCell ref="G216:H216"/>
    <mergeCell ref="G217:H217"/>
    <mergeCell ref="G218:H218"/>
    <mergeCell ref="G219:H219"/>
    <mergeCell ref="G220:H220"/>
    <mergeCell ref="J232:L232"/>
    <mergeCell ref="J233:L233"/>
    <mergeCell ref="J234:L234"/>
    <mergeCell ref="J235:L235"/>
    <mergeCell ref="J222:L222"/>
    <mergeCell ref="J225:M225"/>
    <mergeCell ref="N225:N236"/>
    <mergeCell ref="J226:M226"/>
    <mergeCell ref="J227:M227"/>
    <mergeCell ref="J230:M230"/>
    <mergeCell ref="J231:M231"/>
    <mergeCell ref="J236:L236"/>
    <mergeCell ref="C231:C233"/>
    <mergeCell ref="E231:H231"/>
    <mergeCell ref="E232:G232"/>
    <mergeCell ref="E233:G233"/>
    <mergeCell ref="G221:H221"/>
    <mergeCell ref="E222:G222"/>
    <mergeCell ref="E225:H225"/>
    <mergeCell ref="I225:I236"/>
    <mergeCell ref="C226:C230"/>
    <mergeCell ref="E226:H226"/>
    <mergeCell ref="E227:H227"/>
    <mergeCell ref="L240:M240"/>
    <mergeCell ref="L241:M241"/>
    <mergeCell ref="E236:G236"/>
    <mergeCell ref="E238:H238"/>
    <mergeCell ref="J238:M238"/>
    <mergeCell ref="G239:H239"/>
    <mergeCell ref="L239:M239"/>
    <mergeCell ref="G240:H240"/>
    <mergeCell ref="G241:H241"/>
    <mergeCell ref="J208:M208"/>
    <mergeCell ref="J209:L209"/>
    <mergeCell ref="J212:L212"/>
    <mergeCell ref="J213:L213"/>
    <mergeCell ref="L198:M198"/>
    <mergeCell ref="J199:L199"/>
    <mergeCell ref="J202:M202"/>
    <mergeCell ref="N202:N213"/>
    <mergeCell ref="J203:M203"/>
    <mergeCell ref="J204:M204"/>
    <mergeCell ref="J207:M207"/>
    <mergeCell ref="J215:M215"/>
    <mergeCell ref="L216:M216"/>
    <mergeCell ref="L217:M217"/>
    <mergeCell ref="L218:M218"/>
    <mergeCell ref="L219:M219"/>
    <mergeCell ref="L220:M220"/>
    <mergeCell ref="L221:M221"/>
    <mergeCell ref="F228:G228"/>
    <mergeCell ref="E230:H230"/>
    <mergeCell ref="E234:G234"/>
    <mergeCell ref="E235:G235"/>
    <mergeCell ref="G242:H242"/>
    <mergeCell ref="L242:M242"/>
    <mergeCell ref="G243:H243"/>
    <mergeCell ref="L243:M243"/>
    <mergeCell ref="G244:H244"/>
    <mergeCell ref="L244:M244"/>
    <mergeCell ref="J245:L245"/>
    <mergeCell ref="J249:M249"/>
    <mergeCell ref="E249:H249"/>
    <mergeCell ref="E250:H250"/>
    <mergeCell ref="J250:M250"/>
    <mergeCell ref="O250:R250"/>
    <mergeCell ref="T250:W250"/>
    <mergeCell ref="Y250:AB250"/>
    <mergeCell ref="E251:H251"/>
    <mergeCell ref="J251:M251"/>
    <mergeCell ref="O251:R251"/>
    <mergeCell ref="T251:W251"/>
    <mergeCell ref="E254:H254"/>
    <mergeCell ref="J254:M254"/>
    <mergeCell ref="O254:R254"/>
    <mergeCell ref="T254:W254"/>
    <mergeCell ref="T260:V260"/>
    <mergeCell ref="Y260:AA260"/>
    <mergeCell ref="J260:L260"/>
    <mergeCell ref="O260:Q260"/>
    <mergeCell ref="L266:M266"/>
    <mergeCell ref="Q266:R266"/>
    <mergeCell ref="AA266:AB266"/>
    <mergeCell ref="Q267:R267"/>
    <mergeCell ref="AA267:AB267"/>
    <mergeCell ref="C278:C280"/>
    <mergeCell ref="E278:H278"/>
    <mergeCell ref="G265:H265"/>
    <mergeCell ref="G266:H266"/>
    <mergeCell ref="G267:H267"/>
    <mergeCell ref="G268:H268"/>
    <mergeCell ref="E269:G269"/>
    <mergeCell ref="I272:I283"/>
    <mergeCell ref="C273:C275"/>
    <mergeCell ref="T257:V257"/>
    <mergeCell ref="Y257:AA257"/>
    <mergeCell ref="J258:L258"/>
    <mergeCell ref="O258:Q258"/>
    <mergeCell ref="T258:V258"/>
    <mergeCell ref="Y258:AA258"/>
    <mergeCell ref="J259:L259"/>
    <mergeCell ref="O259:Q259"/>
    <mergeCell ref="T259:V259"/>
    <mergeCell ref="Y259:AA259"/>
    <mergeCell ref="V266:W266"/>
    <mergeCell ref="V267:W267"/>
    <mergeCell ref="V268:W268"/>
    <mergeCell ref="AA268:AB268"/>
    <mergeCell ref="Y269:AA269"/>
    <mergeCell ref="O272:R272"/>
    <mergeCell ref="T272:W272"/>
    <mergeCell ref="Y272:AB272"/>
    <mergeCell ref="L267:M267"/>
    <mergeCell ref="L268:M268"/>
    <mergeCell ref="Q268:R268"/>
    <mergeCell ref="J269:L269"/>
    <mergeCell ref="O269:Q269"/>
    <mergeCell ref="T269:V269"/>
    <mergeCell ref="J272:M272"/>
    <mergeCell ref="E245:G245"/>
    <mergeCell ref="E256:G256"/>
    <mergeCell ref="E257:G257"/>
    <mergeCell ref="E258:G258"/>
    <mergeCell ref="E259:G259"/>
    <mergeCell ref="E260:G260"/>
    <mergeCell ref="E262:H262"/>
    <mergeCell ref="T273:W273"/>
    <mergeCell ref="T274:W274"/>
    <mergeCell ref="Y274:AB274"/>
    <mergeCell ref="Z275:AA275"/>
    <mergeCell ref="O277:R277"/>
    <mergeCell ref="T277:W277"/>
    <mergeCell ref="Y277:AB277"/>
    <mergeCell ref="Y278:AB278"/>
    <mergeCell ref="Y283:AA283"/>
    <mergeCell ref="E280:G280"/>
    <mergeCell ref="E281:G281"/>
    <mergeCell ref="E282:G282"/>
    <mergeCell ref="E283:G283"/>
    <mergeCell ref="J281:L281"/>
    <mergeCell ref="J282:L282"/>
    <mergeCell ref="J283:L283"/>
    <mergeCell ref="O274:R274"/>
    <mergeCell ref="O278:R278"/>
    <mergeCell ref="N272:N283"/>
    <mergeCell ref="S272:S283"/>
    <mergeCell ref="X272:X283"/>
    <mergeCell ref="AC272:AC283"/>
    <mergeCell ref="O273:R273"/>
    <mergeCell ref="Y273:AB273"/>
    <mergeCell ref="O283:Q283"/>
    <mergeCell ref="J300:M300"/>
    <mergeCell ref="J301:M301"/>
    <mergeCell ref="L289:M289"/>
    <mergeCell ref="L290:M290"/>
    <mergeCell ref="L291:M291"/>
    <mergeCell ref="J292:L292"/>
    <mergeCell ref="J295:M295"/>
    <mergeCell ref="J296:M296"/>
    <mergeCell ref="J297:M297"/>
    <mergeCell ref="Q290:R290"/>
    <mergeCell ref="Q291:R291"/>
    <mergeCell ref="O292:Q292"/>
    <mergeCell ref="O295:R295"/>
    <mergeCell ref="O296:R296"/>
    <mergeCell ref="O297:R297"/>
    <mergeCell ref="O300:R300"/>
    <mergeCell ref="O301:R301"/>
    <mergeCell ref="O302:Q302"/>
    <mergeCell ref="O303:Q303"/>
    <mergeCell ref="O304:Q304"/>
    <mergeCell ref="O305:Q305"/>
    <mergeCell ref="O306:Q306"/>
    <mergeCell ref="O308:R308"/>
    <mergeCell ref="Q309:R309"/>
    <mergeCell ref="Q310:R310"/>
    <mergeCell ref="Q311:R311"/>
    <mergeCell ref="Q312:R312"/>
    <mergeCell ref="Q313:R313"/>
    <mergeCell ref="Q314:R314"/>
    <mergeCell ref="O315:Q315"/>
    <mergeCell ref="O318:R318"/>
    <mergeCell ref="O319:R319"/>
    <mergeCell ref="O320:R320"/>
    <mergeCell ref="O323:R323"/>
    <mergeCell ref="O324:R324"/>
    <mergeCell ref="O325:Q325"/>
    <mergeCell ref="O326:Q326"/>
    <mergeCell ref="O327:Q327"/>
    <mergeCell ref="O328:Q328"/>
    <mergeCell ref="O329:Q329"/>
    <mergeCell ref="O331:R331"/>
    <mergeCell ref="Q332:R332"/>
    <mergeCell ref="Q333:R333"/>
    <mergeCell ref="Q334:R334"/>
    <mergeCell ref="P345:Q345"/>
    <mergeCell ref="O347:R347"/>
    <mergeCell ref="Q335:R335"/>
    <mergeCell ref="Q336:R336"/>
    <mergeCell ref="Q337:R337"/>
    <mergeCell ref="O338:Q338"/>
    <mergeCell ref="O342:R342"/>
    <mergeCell ref="O343:R343"/>
    <mergeCell ref="O344:R344"/>
    <mergeCell ref="J325:L325"/>
    <mergeCell ref="J326:L326"/>
    <mergeCell ref="J315:L315"/>
    <mergeCell ref="J318:M318"/>
    <mergeCell ref="J319:M319"/>
    <mergeCell ref="J320:M320"/>
    <mergeCell ref="K321:L321"/>
    <mergeCell ref="J323:M323"/>
    <mergeCell ref="J324:M324"/>
    <mergeCell ref="T323:W323"/>
    <mergeCell ref="T324:W324"/>
    <mergeCell ref="T325:V325"/>
    <mergeCell ref="T326:V326"/>
    <mergeCell ref="T327:V327"/>
    <mergeCell ref="T328:V328"/>
    <mergeCell ref="T329:V329"/>
    <mergeCell ref="T338:V338"/>
    <mergeCell ref="T339:V339"/>
    <mergeCell ref="T340:W340"/>
    <mergeCell ref="T342:W342"/>
    <mergeCell ref="T343:W343"/>
    <mergeCell ref="T344:W344"/>
    <mergeCell ref="T347:W347"/>
    <mergeCell ref="T331:W331"/>
    <mergeCell ref="V332:W332"/>
    <mergeCell ref="V333:W333"/>
    <mergeCell ref="V334:W334"/>
    <mergeCell ref="V335:W335"/>
    <mergeCell ref="V336:W336"/>
    <mergeCell ref="V337:W337"/>
    <mergeCell ref="E272:H272"/>
    <mergeCell ref="E273:H273"/>
    <mergeCell ref="J273:M273"/>
    <mergeCell ref="J274:M274"/>
    <mergeCell ref="E274:H274"/>
    <mergeCell ref="E277:H277"/>
    <mergeCell ref="J277:M277"/>
    <mergeCell ref="J278:M278"/>
    <mergeCell ref="E279:G279"/>
    <mergeCell ref="J279:L279"/>
    <mergeCell ref="J280:L280"/>
    <mergeCell ref="E285:H285"/>
    <mergeCell ref="J285:M285"/>
    <mergeCell ref="G286:H286"/>
    <mergeCell ref="L286:M286"/>
    <mergeCell ref="G287:H287"/>
    <mergeCell ref="L287:M287"/>
    <mergeCell ref="L288:M288"/>
    <mergeCell ref="E296:H296"/>
    <mergeCell ref="E297:H297"/>
    <mergeCell ref="C296:C298"/>
    <mergeCell ref="C299:C303"/>
    <mergeCell ref="G288:H288"/>
    <mergeCell ref="G289:H289"/>
    <mergeCell ref="G290:H290"/>
    <mergeCell ref="G291:H291"/>
    <mergeCell ref="E292:G292"/>
    <mergeCell ref="E295:H295"/>
    <mergeCell ref="F298:G298"/>
    <mergeCell ref="J305:L305"/>
    <mergeCell ref="J306:L306"/>
    <mergeCell ref="E300:H300"/>
    <mergeCell ref="E301:H301"/>
    <mergeCell ref="E302:G302"/>
    <mergeCell ref="J302:L302"/>
    <mergeCell ref="E303:G303"/>
    <mergeCell ref="J303:L303"/>
    <mergeCell ref="J304:L304"/>
    <mergeCell ref="L309:M309"/>
    <mergeCell ref="L310:M310"/>
    <mergeCell ref="E304:G304"/>
    <mergeCell ref="E305:G305"/>
    <mergeCell ref="E306:G306"/>
    <mergeCell ref="E308:H308"/>
    <mergeCell ref="J308:M308"/>
    <mergeCell ref="G309:H309"/>
    <mergeCell ref="G310:H310"/>
    <mergeCell ref="G311:H311"/>
    <mergeCell ref="L311:M311"/>
    <mergeCell ref="G312:H312"/>
    <mergeCell ref="L312:M312"/>
    <mergeCell ref="G313:H313"/>
    <mergeCell ref="L313:M313"/>
    <mergeCell ref="L314:M314"/>
    <mergeCell ref="E323:H323"/>
    <mergeCell ref="E324:H324"/>
    <mergeCell ref="G314:H314"/>
    <mergeCell ref="E315:G315"/>
    <mergeCell ref="E318:H318"/>
    <mergeCell ref="C319:C321"/>
    <mergeCell ref="E319:H319"/>
    <mergeCell ref="E320:H320"/>
    <mergeCell ref="C322:C326"/>
    <mergeCell ref="E325:G325"/>
    <mergeCell ref="E326:G326"/>
    <mergeCell ref="E327:G327"/>
    <mergeCell ref="J327:L327"/>
    <mergeCell ref="E328:G328"/>
    <mergeCell ref="J328:L328"/>
    <mergeCell ref="J329:L329"/>
    <mergeCell ref="L333:M333"/>
    <mergeCell ref="L334:M334"/>
    <mergeCell ref="E329:G329"/>
    <mergeCell ref="E331:H331"/>
    <mergeCell ref="J331:M331"/>
    <mergeCell ref="G332:H332"/>
    <mergeCell ref="L332:M332"/>
    <mergeCell ref="G333:H333"/>
    <mergeCell ref="G334:H334"/>
    <mergeCell ref="G335:H335"/>
    <mergeCell ref="L335:M335"/>
    <mergeCell ref="G336:H336"/>
    <mergeCell ref="L336:M336"/>
    <mergeCell ref="G337:H337"/>
    <mergeCell ref="L337:M337"/>
    <mergeCell ref="J338:L338"/>
    <mergeCell ref="C343:C344"/>
    <mergeCell ref="C345:C350"/>
    <mergeCell ref="C367:C369"/>
    <mergeCell ref="C372:C374"/>
    <mergeCell ref="E338:G338"/>
    <mergeCell ref="E342:H342"/>
    <mergeCell ref="J342:M342"/>
    <mergeCell ref="E343:H343"/>
    <mergeCell ref="J343:M343"/>
    <mergeCell ref="E344:H344"/>
    <mergeCell ref="J344:M344"/>
    <mergeCell ref="E347:H347"/>
    <mergeCell ref="J347:M347"/>
    <mergeCell ref="E348:H348"/>
    <mergeCell ref="J348:M348"/>
    <mergeCell ref="E349:G349"/>
    <mergeCell ref="J349:L349"/>
    <mergeCell ref="J350:L350"/>
    <mergeCell ref="L359:M359"/>
    <mergeCell ref="L360:M360"/>
    <mergeCell ref="L361:M361"/>
    <mergeCell ref="J362:L362"/>
    <mergeCell ref="J366:M366"/>
    <mergeCell ref="J351:L351"/>
    <mergeCell ref="J352:L352"/>
    <mergeCell ref="J353:L353"/>
    <mergeCell ref="J355:M355"/>
    <mergeCell ref="L356:M356"/>
    <mergeCell ref="L357:M357"/>
    <mergeCell ref="L358:M358"/>
    <mergeCell ref="E350:G350"/>
    <mergeCell ref="E351:G351"/>
    <mergeCell ref="E352:G352"/>
    <mergeCell ref="E353:G353"/>
    <mergeCell ref="E355:H355"/>
    <mergeCell ref="G356:H356"/>
    <mergeCell ref="G357:H357"/>
    <mergeCell ref="E367:H367"/>
    <mergeCell ref="J367:M367"/>
    <mergeCell ref="E368:H368"/>
    <mergeCell ref="J368:M368"/>
    <mergeCell ref="F369:G369"/>
    <mergeCell ref="E371:H371"/>
    <mergeCell ref="E373:G373"/>
    <mergeCell ref="J373:L373"/>
    <mergeCell ref="E374:G374"/>
    <mergeCell ref="J374:L374"/>
    <mergeCell ref="E375:G375"/>
    <mergeCell ref="J375:L375"/>
    <mergeCell ref="E394:H394"/>
    <mergeCell ref="E398:G398"/>
    <mergeCell ref="G381:H381"/>
    <mergeCell ref="G382:H382"/>
    <mergeCell ref="G383:H383"/>
    <mergeCell ref="G384:H384"/>
    <mergeCell ref="G385:H385"/>
    <mergeCell ref="E386:G386"/>
    <mergeCell ref="I389:I400"/>
    <mergeCell ref="E402:H402"/>
    <mergeCell ref="G403:H403"/>
    <mergeCell ref="G404:H404"/>
    <mergeCell ref="G405:H405"/>
    <mergeCell ref="G406:H406"/>
    <mergeCell ref="G407:H407"/>
    <mergeCell ref="G408:H408"/>
    <mergeCell ref="E417:H417"/>
    <mergeCell ref="E418:H418"/>
    <mergeCell ref="E419:G419"/>
    <mergeCell ref="E420:G420"/>
    <mergeCell ref="E421:G421"/>
    <mergeCell ref="E422:G422"/>
    <mergeCell ref="E409:G409"/>
    <mergeCell ref="E412:H412"/>
    <mergeCell ref="I412:I423"/>
    <mergeCell ref="C413:C415"/>
    <mergeCell ref="E413:H413"/>
    <mergeCell ref="E414:H414"/>
    <mergeCell ref="C418:C420"/>
    <mergeCell ref="E423:G423"/>
    <mergeCell ref="J371:M371"/>
    <mergeCell ref="E372:H372"/>
    <mergeCell ref="J372:M372"/>
    <mergeCell ref="E376:G376"/>
    <mergeCell ref="J376:L376"/>
    <mergeCell ref="G358:H358"/>
    <mergeCell ref="G359:H359"/>
    <mergeCell ref="G360:H360"/>
    <mergeCell ref="G361:H361"/>
    <mergeCell ref="E362:G362"/>
    <mergeCell ref="I366:I377"/>
    <mergeCell ref="N366:N377"/>
    <mergeCell ref="E377:G377"/>
    <mergeCell ref="J377:L377"/>
    <mergeCell ref="E379:H379"/>
    <mergeCell ref="J379:M379"/>
    <mergeCell ref="G380:H380"/>
    <mergeCell ref="L380:M380"/>
    <mergeCell ref="L381:M381"/>
    <mergeCell ref="E389:H389"/>
    <mergeCell ref="C390:C392"/>
    <mergeCell ref="E390:H390"/>
    <mergeCell ref="E391:H391"/>
    <mergeCell ref="C395:C397"/>
    <mergeCell ref="E395:H395"/>
    <mergeCell ref="E396:G396"/>
    <mergeCell ref="E397:G397"/>
    <mergeCell ref="J390:M390"/>
    <mergeCell ref="J391:M391"/>
    <mergeCell ref="E399:G399"/>
    <mergeCell ref="E400:G400"/>
    <mergeCell ref="J417:M417"/>
    <mergeCell ref="J418:M418"/>
    <mergeCell ref="L408:M408"/>
    <mergeCell ref="J409:L409"/>
    <mergeCell ref="J412:M412"/>
    <mergeCell ref="N412:N423"/>
    <mergeCell ref="J413:M413"/>
    <mergeCell ref="J414:M414"/>
    <mergeCell ref="K415:L415"/>
    <mergeCell ref="J423:L423"/>
    <mergeCell ref="J394:M394"/>
    <mergeCell ref="J395:M395"/>
    <mergeCell ref="J396:L396"/>
    <mergeCell ref="J397:L397"/>
    <mergeCell ref="J398:L398"/>
    <mergeCell ref="J399:L399"/>
    <mergeCell ref="L382:M382"/>
    <mergeCell ref="L383:M383"/>
    <mergeCell ref="L384:M384"/>
    <mergeCell ref="L385:M385"/>
    <mergeCell ref="J386:L386"/>
    <mergeCell ref="J389:M389"/>
    <mergeCell ref="N389:N400"/>
    <mergeCell ref="J400:L400"/>
    <mergeCell ref="J402:M402"/>
    <mergeCell ref="L403:M403"/>
    <mergeCell ref="L404:M404"/>
    <mergeCell ref="L405:M405"/>
    <mergeCell ref="L406:M406"/>
    <mergeCell ref="L407:M407"/>
    <mergeCell ref="J419:L419"/>
    <mergeCell ref="J420:L420"/>
    <mergeCell ref="J421:L421"/>
    <mergeCell ref="J422:L422"/>
    <mergeCell ref="V384:W384"/>
    <mergeCell ref="V385:W385"/>
    <mergeCell ref="S389:S400"/>
    <mergeCell ref="T389:W389"/>
    <mergeCell ref="X389:X400"/>
    <mergeCell ref="T390:W390"/>
    <mergeCell ref="T391:W391"/>
    <mergeCell ref="T399:V399"/>
    <mergeCell ref="T400:V400"/>
    <mergeCell ref="S412:S423"/>
    <mergeCell ref="T412:W412"/>
    <mergeCell ref="X412:X423"/>
    <mergeCell ref="T413:W413"/>
    <mergeCell ref="T414:W414"/>
    <mergeCell ref="T423:V423"/>
    <mergeCell ref="O389:R389"/>
    <mergeCell ref="Y389:AB389"/>
    <mergeCell ref="O390:R390"/>
    <mergeCell ref="O391:R391"/>
    <mergeCell ref="O394:R394"/>
    <mergeCell ref="O395:R395"/>
    <mergeCell ref="O396:Q396"/>
    <mergeCell ref="O397:Q397"/>
    <mergeCell ref="O398:Q398"/>
    <mergeCell ref="O399:Q399"/>
    <mergeCell ref="O400:Q400"/>
    <mergeCell ref="O402:R402"/>
    <mergeCell ref="Y402:AB402"/>
    <mergeCell ref="Q403:R403"/>
    <mergeCell ref="V407:W407"/>
    <mergeCell ref="V408:W408"/>
    <mergeCell ref="T409:V409"/>
    <mergeCell ref="T402:W402"/>
    <mergeCell ref="V403:W403"/>
    <mergeCell ref="Q404:R404"/>
    <mergeCell ref="V404:W404"/>
    <mergeCell ref="Q405:R405"/>
    <mergeCell ref="V405:W405"/>
    <mergeCell ref="V406:W406"/>
    <mergeCell ref="Y403:AB403"/>
    <mergeCell ref="Y404:AB404"/>
    <mergeCell ref="Y405:AB405"/>
    <mergeCell ref="Y406:AB406"/>
    <mergeCell ref="Y407:AB407"/>
    <mergeCell ref="Y408:AB408"/>
    <mergeCell ref="Y409:AB409"/>
    <mergeCell ref="Y423:AA423"/>
    <mergeCell ref="O417:R417"/>
    <mergeCell ref="O418:R418"/>
    <mergeCell ref="O419:Q419"/>
    <mergeCell ref="O420:Q420"/>
    <mergeCell ref="O421:Q421"/>
    <mergeCell ref="O422:Q422"/>
    <mergeCell ref="O423:Q423"/>
    <mergeCell ref="Q406:R406"/>
    <mergeCell ref="Q407:R407"/>
    <mergeCell ref="Q408:R408"/>
    <mergeCell ref="O409:Q409"/>
    <mergeCell ref="O412:R412"/>
    <mergeCell ref="O413:R413"/>
    <mergeCell ref="O414:R414"/>
    <mergeCell ref="T280:V280"/>
    <mergeCell ref="T281:V281"/>
    <mergeCell ref="T282:V282"/>
    <mergeCell ref="T283:V283"/>
    <mergeCell ref="T285:W285"/>
    <mergeCell ref="V286:W286"/>
    <mergeCell ref="V287:W287"/>
    <mergeCell ref="V288:W288"/>
    <mergeCell ref="V289:W289"/>
    <mergeCell ref="T302:W302"/>
    <mergeCell ref="Y302:AB302"/>
    <mergeCell ref="T303:W303"/>
    <mergeCell ref="Y303:AB303"/>
    <mergeCell ref="T304:W304"/>
    <mergeCell ref="Y304:AB304"/>
    <mergeCell ref="Y305:AB305"/>
    <mergeCell ref="Y306:AB306"/>
    <mergeCell ref="T305:W305"/>
    <mergeCell ref="T306:W306"/>
    <mergeCell ref="T310:W310"/>
    <mergeCell ref="X310:AA310"/>
    <mergeCell ref="T311:W311"/>
    <mergeCell ref="X311:AA311"/>
    <mergeCell ref="Y314:AB314"/>
    <mergeCell ref="T314:W314"/>
    <mergeCell ref="T315:W315"/>
    <mergeCell ref="T316:W316"/>
    <mergeCell ref="T318:W318"/>
    <mergeCell ref="T319:W319"/>
    <mergeCell ref="T320:W320"/>
    <mergeCell ref="U321:V321"/>
    <mergeCell ref="Y315:AB315"/>
    <mergeCell ref="Y316:AB316"/>
    <mergeCell ref="Y318:AB318"/>
    <mergeCell ref="Y319:AB319"/>
    <mergeCell ref="Y320:AB320"/>
    <mergeCell ref="Y321:AB321"/>
    <mergeCell ref="Y323:AB323"/>
    <mergeCell ref="Z345:AA345"/>
    <mergeCell ref="Y347:AB347"/>
    <mergeCell ref="O351:Q351"/>
    <mergeCell ref="O352:Q352"/>
    <mergeCell ref="O353:Q353"/>
    <mergeCell ref="O355:R355"/>
    <mergeCell ref="Q356:R356"/>
    <mergeCell ref="Q357:R357"/>
    <mergeCell ref="Q358:R358"/>
    <mergeCell ref="Q359:R359"/>
    <mergeCell ref="Q360:R360"/>
    <mergeCell ref="Q361:R361"/>
    <mergeCell ref="O362:Q362"/>
    <mergeCell ref="E365:AG365"/>
    <mergeCell ref="E366:H366"/>
    <mergeCell ref="O366:R366"/>
    <mergeCell ref="AD366:AG366"/>
    <mergeCell ref="AD373:AG373"/>
    <mergeCell ref="AD374:AG374"/>
    <mergeCell ref="AD375:AG375"/>
    <mergeCell ref="AD376:AG376"/>
    <mergeCell ref="AD377:AG377"/>
    <mergeCell ref="T366:W366"/>
    <mergeCell ref="Y366:AB366"/>
    <mergeCell ref="AD367:AG367"/>
    <mergeCell ref="AD368:AG368"/>
    <mergeCell ref="AD369:AG369"/>
    <mergeCell ref="AD371:AG371"/>
    <mergeCell ref="AD372:AG372"/>
    <mergeCell ref="T371:W371"/>
    <mergeCell ref="T372:W372"/>
    <mergeCell ref="O367:R367"/>
    <mergeCell ref="T367:W367"/>
    <mergeCell ref="O368:R368"/>
    <mergeCell ref="T368:W368"/>
    <mergeCell ref="P369:Q369"/>
    <mergeCell ref="O371:R371"/>
    <mergeCell ref="O372:R372"/>
    <mergeCell ref="AD399:AG399"/>
    <mergeCell ref="AD400:AG400"/>
    <mergeCell ref="Y396:AB396"/>
    <mergeCell ref="Y397:AB397"/>
    <mergeCell ref="AD397:AG397"/>
    <mergeCell ref="Y398:AB398"/>
    <mergeCell ref="AD398:AG398"/>
    <mergeCell ref="Y399:AB399"/>
    <mergeCell ref="Y400:AB400"/>
    <mergeCell ref="AD417:AG417"/>
    <mergeCell ref="AD418:AG418"/>
    <mergeCell ref="AD419:AG419"/>
    <mergeCell ref="AD420:AG420"/>
    <mergeCell ref="AD421:AG421"/>
    <mergeCell ref="AD422:AG422"/>
    <mergeCell ref="AD423:AG423"/>
    <mergeCell ref="AD407:AG407"/>
    <mergeCell ref="AD408:AG408"/>
    <mergeCell ref="AD409:AG409"/>
    <mergeCell ref="AD412:AG412"/>
    <mergeCell ref="AD413:AG413"/>
    <mergeCell ref="AD414:AG414"/>
    <mergeCell ref="AD415:AG415"/>
    <mergeCell ref="T373:V373"/>
    <mergeCell ref="T374:V374"/>
    <mergeCell ref="T379:W379"/>
    <mergeCell ref="V380:W380"/>
    <mergeCell ref="V381:W381"/>
    <mergeCell ref="V382:W382"/>
    <mergeCell ref="V383:W383"/>
    <mergeCell ref="U392:V392"/>
    <mergeCell ref="T394:W394"/>
    <mergeCell ref="T395:W395"/>
    <mergeCell ref="T396:V396"/>
    <mergeCell ref="T397:V397"/>
    <mergeCell ref="T398:V398"/>
    <mergeCell ref="T417:W417"/>
    <mergeCell ref="T418:W418"/>
    <mergeCell ref="T419:V419"/>
    <mergeCell ref="T420:V420"/>
    <mergeCell ref="T421:V421"/>
    <mergeCell ref="T422:V422"/>
    <mergeCell ref="Y421:AA421"/>
    <mergeCell ref="Y422:AA422"/>
    <mergeCell ref="Y412:AB412"/>
    <mergeCell ref="Y413:AB413"/>
    <mergeCell ref="Y414:AB414"/>
    <mergeCell ref="Y417:AB417"/>
    <mergeCell ref="Y418:AB418"/>
    <mergeCell ref="Y419:AA419"/>
    <mergeCell ref="Y420:AA420"/>
    <mergeCell ref="Y368:AB368"/>
    <mergeCell ref="Y369:AB369"/>
    <mergeCell ref="Y371:AB371"/>
    <mergeCell ref="Y372:AB372"/>
    <mergeCell ref="Y373:AB373"/>
    <mergeCell ref="Y374:AB374"/>
    <mergeCell ref="AC366:AC377"/>
    <mergeCell ref="AC389:AC400"/>
    <mergeCell ref="AC412:AC423"/>
    <mergeCell ref="AA358:AB358"/>
    <mergeCell ref="AA359:AB359"/>
    <mergeCell ref="AA360:AB360"/>
    <mergeCell ref="AA361:AB361"/>
    <mergeCell ref="Y362:AA362"/>
    <mergeCell ref="Y367:AB367"/>
    <mergeCell ref="Y377:AB377"/>
    <mergeCell ref="AD391:AG391"/>
    <mergeCell ref="AD392:AG392"/>
    <mergeCell ref="Y401:AB401"/>
    <mergeCell ref="AD401:AG401"/>
    <mergeCell ref="AD402:AG402"/>
    <mergeCell ref="AD403:AG403"/>
    <mergeCell ref="AD404:AG404"/>
    <mergeCell ref="AD405:AG405"/>
    <mergeCell ref="AD406:AG406"/>
    <mergeCell ref="L428:M428"/>
    <mergeCell ref="L429:M429"/>
    <mergeCell ref="L430:M430"/>
    <mergeCell ref="L431:M431"/>
    <mergeCell ref="E432:G432"/>
    <mergeCell ref="J432:L432"/>
    <mergeCell ref="O432:Q432"/>
    <mergeCell ref="T432:V432"/>
    <mergeCell ref="G426:H426"/>
    <mergeCell ref="G427:H427"/>
    <mergeCell ref="L427:M427"/>
    <mergeCell ref="Q427:R427"/>
    <mergeCell ref="G428:H428"/>
    <mergeCell ref="Q428:R428"/>
    <mergeCell ref="Q429:R429"/>
    <mergeCell ref="Y375:AB375"/>
    <mergeCell ref="Y376:AB376"/>
    <mergeCell ref="AD389:AG389"/>
    <mergeCell ref="Y390:AB390"/>
    <mergeCell ref="AD390:AG390"/>
    <mergeCell ref="Y391:AB391"/>
    <mergeCell ref="Y392:AB392"/>
    <mergeCell ref="Y393:AB393"/>
    <mergeCell ref="AD393:AG393"/>
    <mergeCell ref="Y394:AB394"/>
    <mergeCell ref="AD394:AG394"/>
    <mergeCell ref="Y395:AB395"/>
    <mergeCell ref="AD395:AG395"/>
    <mergeCell ref="AD396:AG396"/>
    <mergeCell ref="E425:H425"/>
    <mergeCell ref="J425:M425"/>
    <mergeCell ref="O425:R425"/>
    <mergeCell ref="Y425:AB425"/>
    <mergeCell ref="L426:M426"/>
    <mergeCell ref="Q426:R426"/>
    <mergeCell ref="AA426:AB426"/>
    <mergeCell ref="G429:H429"/>
    <mergeCell ref="G430:H430"/>
    <mergeCell ref="G431:H431"/>
    <mergeCell ref="E436:H436"/>
    <mergeCell ref="V429:W429"/>
    <mergeCell ref="V430:W430"/>
    <mergeCell ref="V431:W431"/>
    <mergeCell ref="Q430:R430"/>
    <mergeCell ref="Q431:R431"/>
    <mergeCell ref="T425:W425"/>
    <mergeCell ref="V426:W426"/>
    <mergeCell ref="V427:W427"/>
    <mergeCell ref="AA427:AB427"/>
    <mergeCell ref="V428:W428"/>
    <mergeCell ref="AA428:AB428"/>
    <mergeCell ref="AA429:AB429"/>
    <mergeCell ref="Y436:AB436"/>
    <mergeCell ref="AD436:AG436"/>
    <mergeCell ref="J436:M436"/>
    <mergeCell ref="E437:H437"/>
    <mergeCell ref="J437:M437"/>
    <mergeCell ref="T436:W436"/>
    <mergeCell ref="T437:W437"/>
    <mergeCell ref="Y437:AB437"/>
    <mergeCell ref="AD437:AG437"/>
    <mergeCell ref="E438:H438"/>
    <mergeCell ref="J438:M438"/>
    <mergeCell ref="O438:R438"/>
    <mergeCell ref="T438:W438"/>
    <mergeCell ref="Y438:AB438"/>
    <mergeCell ref="AD438:AG438"/>
    <mergeCell ref="E444:G444"/>
    <mergeCell ref="E445:G445"/>
    <mergeCell ref="J445:M445"/>
    <mergeCell ref="O445:Q445"/>
    <mergeCell ref="E446:G446"/>
    <mergeCell ref="O446:Q446"/>
    <mergeCell ref="O447:Q447"/>
    <mergeCell ref="J446:M446"/>
    <mergeCell ref="J447:M447"/>
    <mergeCell ref="J449:M449"/>
    <mergeCell ref="O449:R449"/>
    <mergeCell ref="L450:M450"/>
    <mergeCell ref="Q450:R450"/>
    <mergeCell ref="Q451:R451"/>
    <mergeCell ref="G455:H455"/>
    <mergeCell ref="E456:G456"/>
    <mergeCell ref="E447:G447"/>
    <mergeCell ref="E449:H449"/>
    <mergeCell ref="G450:H450"/>
    <mergeCell ref="G451:H451"/>
    <mergeCell ref="G452:H452"/>
    <mergeCell ref="G453:H453"/>
    <mergeCell ref="G454:H454"/>
    <mergeCell ref="Y455:AB455"/>
    <mergeCell ref="Y456:AB456"/>
    <mergeCell ref="V451:W451"/>
    <mergeCell ref="V452:W452"/>
    <mergeCell ref="X452:AA452"/>
    <mergeCell ref="V453:W453"/>
    <mergeCell ref="V454:W454"/>
    <mergeCell ref="V455:W455"/>
    <mergeCell ref="T456:V456"/>
    <mergeCell ref="AA430:AB430"/>
    <mergeCell ref="AA431:AB431"/>
    <mergeCell ref="Y432:AA432"/>
    <mergeCell ref="E435:AG435"/>
    <mergeCell ref="O436:R436"/>
    <mergeCell ref="C437:C439"/>
    <mergeCell ref="O437:R437"/>
    <mergeCell ref="AD439:AG439"/>
    <mergeCell ref="Y441:AB441"/>
    <mergeCell ref="AD441:AG441"/>
    <mergeCell ref="AD442:AG442"/>
    <mergeCell ref="AD443:AG443"/>
    <mergeCell ref="AD444:AG444"/>
    <mergeCell ref="AD445:AG445"/>
    <mergeCell ref="AD446:AG446"/>
    <mergeCell ref="AD447:AG447"/>
    <mergeCell ref="J441:M441"/>
    <mergeCell ref="J442:M442"/>
    <mergeCell ref="T441:W441"/>
    <mergeCell ref="T442:W442"/>
    <mergeCell ref="E442:H442"/>
    <mergeCell ref="E443:G443"/>
    <mergeCell ref="O442:R442"/>
    <mergeCell ref="O443:Q443"/>
    <mergeCell ref="J443:L443"/>
    <mergeCell ref="J444:L444"/>
    <mergeCell ref="K439:L439"/>
    <mergeCell ref="Y439:AB439"/>
    <mergeCell ref="C440:C444"/>
    <mergeCell ref="E441:H441"/>
    <mergeCell ref="O441:R441"/>
    <mergeCell ref="O444:Q444"/>
    <mergeCell ref="Y444:AB444"/>
    <mergeCell ref="T443:V443"/>
    <mergeCell ref="T444:V444"/>
    <mergeCell ref="T445:V445"/>
    <mergeCell ref="T446:V446"/>
    <mergeCell ref="T447:V447"/>
    <mergeCell ref="T449:W449"/>
    <mergeCell ref="V450:W450"/>
    <mergeCell ref="Q452:R452"/>
    <mergeCell ref="Q453:R453"/>
    <mergeCell ref="Q454:R454"/>
    <mergeCell ref="Q455:R455"/>
    <mergeCell ref="O456:Q456"/>
    <mergeCell ref="O460:R460"/>
    <mergeCell ref="AC452:AF452"/>
    <mergeCell ref="AC453:AF453"/>
    <mergeCell ref="AC454:AF454"/>
    <mergeCell ref="AC455:AF455"/>
    <mergeCell ref="AC456:AF456"/>
    <mergeCell ref="Y442:AB442"/>
    <mergeCell ref="Y443:AB443"/>
    <mergeCell ref="Y445:AB445"/>
    <mergeCell ref="Y446:AB446"/>
    <mergeCell ref="Y447:AB447"/>
    <mergeCell ref="X451:AA451"/>
    <mergeCell ref="AC451:AF451"/>
    <mergeCell ref="L451:M451"/>
    <mergeCell ref="L452:M452"/>
    <mergeCell ref="L453:M453"/>
    <mergeCell ref="L454:M454"/>
    <mergeCell ref="L455:M455"/>
    <mergeCell ref="J456:L456"/>
    <mergeCell ref="J457:L457"/>
    <mergeCell ref="J460:M460"/>
    <mergeCell ref="AD463:AG463"/>
    <mergeCell ref="AD464:AG464"/>
    <mergeCell ref="T458:W458"/>
    <mergeCell ref="Y458:AB458"/>
    <mergeCell ref="T460:W460"/>
    <mergeCell ref="Y460:AB460"/>
    <mergeCell ref="AD460:AG460"/>
    <mergeCell ref="AD461:AG461"/>
    <mergeCell ref="AD462:AG462"/>
    <mergeCell ref="O466:R466"/>
    <mergeCell ref="O467:Q467"/>
    <mergeCell ref="J465:M465"/>
    <mergeCell ref="O465:R465"/>
    <mergeCell ref="C466:C468"/>
    <mergeCell ref="E466:H466"/>
    <mergeCell ref="J466:M466"/>
    <mergeCell ref="E467:G467"/>
    <mergeCell ref="E468:G468"/>
    <mergeCell ref="Y464:AB464"/>
    <mergeCell ref="Y465:AB465"/>
    <mergeCell ref="T466:W466"/>
    <mergeCell ref="Y466:AB466"/>
    <mergeCell ref="T467:V467"/>
    <mergeCell ref="Y467:AB467"/>
    <mergeCell ref="J467:L467"/>
    <mergeCell ref="J468:L468"/>
    <mergeCell ref="O468:Q468"/>
    <mergeCell ref="T468:V468"/>
    <mergeCell ref="E469:G469"/>
    <mergeCell ref="J469:L469"/>
    <mergeCell ref="E470:G470"/>
    <mergeCell ref="J470:L470"/>
    <mergeCell ref="E471:G471"/>
    <mergeCell ref="O470:Q470"/>
    <mergeCell ref="T470:V470"/>
    <mergeCell ref="T473:W473"/>
    <mergeCell ref="V474:W474"/>
    <mergeCell ref="AD473:AG473"/>
    <mergeCell ref="AD474:AG474"/>
    <mergeCell ref="AD470:AG470"/>
    <mergeCell ref="AD471:AG471"/>
    <mergeCell ref="AD472:AG472"/>
    <mergeCell ref="O473:R473"/>
    <mergeCell ref="Y473:AB473"/>
    <mergeCell ref="Q474:R474"/>
    <mergeCell ref="Y474:AB474"/>
    <mergeCell ref="E461:H461"/>
    <mergeCell ref="J461:M461"/>
    <mergeCell ref="G477:H477"/>
    <mergeCell ref="L477:M477"/>
    <mergeCell ref="G478:H478"/>
    <mergeCell ref="L478:M478"/>
    <mergeCell ref="E460:H460"/>
    <mergeCell ref="E462:H462"/>
    <mergeCell ref="E473:H473"/>
    <mergeCell ref="J473:M473"/>
    <mergeCell ref="G474:H474"/>
    <mergeCell ref="G475:H475"/>
    <mergeCell ref="G476:H476"/>
    <mergeCell ref="L475:M475"/>
    <mergeCell ref="Q475:R475"/>
    <mergeCell ref="V475:W475"/>
    <mergeCell ref="Y475:AB475"/>
    <mergeCell ref="AD475:AG475"/>
    <mergeCell ref="V478:W478"/>
    <mergeCell ref="Y478:AB478"/>
    <mergeCell ref="AD478:AG478"/>
    <mergeCell ref="L474:M474"/>
    <mergeCell ref="L476:M476"/>
    <mergeCell ref="Q476:R476"/>
    <mergeCell ref="V476:W476"/>
    <mergeCell ref="AD476:AG476"/>
    <mergeCell ref="V477:W477"/>
    <mergeCell ref="AD477:AG477"/>
    <mergeCell ref="O509:R509"/>
    <mergeCell ref="O510:R510"/>
    <mergeCell ref="O513:R513"/>
    <mergeCell ref="O514:R514"/>
    <mergeCell ref="O515:Q515"/>
    <mergeCell ref="O516:Q516"/>
    <mergeCell ref="O517:Q517"/>
    <mergeCell ref="O518:Q518"/>
    <mergeCell ref="Q499:R499"/>
    <mergeCell ref="Q500:R500"/>
    <mergeCell ref="Q501:R501"/>
    <mergeCell ref="Q502:R502"/>
    <mergeCell ref="O503:Q503"/>
    <mergeCell ref="O508:R508"/>
    <mergeCell ref="S508:S519"/>
    <mergeCell ref="O519:Q519"/>
    <mergeCell ref="E513:H513"/>
    <mergeCell ref="E514:H514"/>
    <mergeCell ref="E515:G515"/>
    <mergeCell ref="E516:G516"/>
    <mergeCell ref="E517:G517"/>
    <mergeCell ref="E518:G518"/>
    <mergeCell ref="E505:G505"/>
    <mergeCell ref="E508:H508"/>
    <mergeCell ref="I508:I519"/>
    <mergeCell ref="C509:C511"/>
    <mergeCell ref="E509:H509"/>
    <mergeCell ref="E510:H510"/>
    <mergeCell ref="C514:C516"/>
    <mergeCell ref="E519:G519"/>
    <mergeCell ref="AD508:AG508"/>
    <mergeCell ref="AD509:AG509"/>
    <mergeCell ref="Y510:AB510"/>
    <mergeCell ref="AD510:AG510"/>
    <mergeCell ref="Y511:AB511"/>
    <mergeCell ref="AD511:AG511"/>
    <mergeCell ref="AD512:AG512"/>
    <mergeCell ref="AD516:AG516"/>
    <mergeCell ref="AD517:AG517"/>
    <mergeCell ref="Y518:AB518"/>
    <mergeCell ref="AD518:AG518"/>
    <mergeCell ref="Y519:AB519"/>
    <mergeCell ref="AD519:AG519"/>
    <mergeCell ref="Y512:AB512"/>
    <mergeCell ref="Y513:AB513"/>
    <mergeCell ref="Y514:AB514"/>
    <mergeCell ref="Y515:AB515"/>
    <mergeCell ref="AD515:AG515"/>
    <mergeCell ref="Y516:AB516"/>
    <mergeCell ref="Y517:AB517"/>
    <mergeCell ref="O461:R461"/>
    <mergeCell ref="T461:W461"/>
    <mergeCell ref="J462:M462"/>
    <mergeCell ref="O462:R462"/>
    <mergeCell ref="Y461:AB461"/>
    <mergeCell ref="Y462:AB462"/>
    <mergeCell ref="C461:C463"/>
    <mergeCell ref="E465:H465"/>
    <mergeCell ref="U463:V463"/>
    <mergeCell ref="Y463:AB463"/>
    <mergeCell ref="AD465:AG465"/>
    <mergeCell ref="AD466:AG466"/>
    <mergeCell ref="AD467:AG467"/>
    <mergeCell ref="AD468:AG468"/>
    <mergeCell ref="AD469:AG469"/>
    <mergeCell ref="AD483:AG483"/>
    <mergeCell ref="AD484:AG484"/>
    <mergeCell ref="AD485:AG485"/>
    <mergeCell ref="AD486:AG486"/>
    <mergeCell ref="AD487:AG487"/>
    <mergeCell ref="AD488:AG488"/>
    <mergeCell ref="AD489:AG489"/>
    <mergeCell ref="AD513:AG513"/>
    <mergeCell ref="AD514:AG514"/>
    <mergeCell ref="J515:L515"/>
    <mergeCell ref="J516:L516"/>
    <mergeCell ref="J517:L517"/>
    <mergeCell ref="J518:L518"/>
    <mergeCell ref="J503:L503"/>
    <mergeCell ref="J508:M508"/>
    <mergeCell ref="N508:N519"/>
    <mergeCell ref="J509:M509"/>
    <mergeCell ref="J510:M510"/>
    <mergeCell ref="J513:M513"/>
    <mergeCell ref="J514:M514"/>
    <mergeCell ref="J519:L519"/>
    <mergeCell ref="T517:W517"/>
    <mergeCell ref="T518:W518"/>
    <mergeCell ref="V500:W500"/>
    <mergeCell ref="V501:W501"/>
    <mergeCell ref="V502:W502"/>
    <mergeCell ref="T503:V503"/>
    <mergeCell ref="T508:W508"/>
    <mergeCell ref="X508:X519"/>
    <mergeCell ref="T510:W510"/>
    <mergeCell ref="T519:W519"/>
    <mergeCell ref="E483:H483"/>
    <mergeCell ref="C484:C486"/>
    <mergeCell ref="E484:H484"/>
    <mergeCell ref="E485:H485"/>
    <mergeCell ref="E488:H488"/>
    <mergeCell ref="E496:H496"/>
    <mergeCell ref="G497:H497"/>
    <mergeCell ref="O496:R496"/>
    <mergeCell ref="T496:W496"/>
    <mergeCell ref="Q497:R497"/>
    <mergeCell ref="V497:W497"/>
    <mergeCell ref="Q498:R498"/>
    <mergeCell ref="V498:W498"/>
    <mergeCell ref="V499:W499"/>
    <mergeCell ref="G498:H498"/>
    <mergeCell ref="G499:H499"/>
    <mergeCell ref="G500:H500"/>
    <mergeCell ref="G501:H501"/>
    <mergeCell ref="G502:H502"/>
    <mergeCell ref="E503:G503"/>
    <mergeCell ref="E504:G504"/>
    <mergeCell ref="J496:M496"/>
    <mergeCell ref="L497:M497"/>
    <mergeCell ref="L498:M498"/>
    <mergeCell ref="L499:M499"/>
    <mergeCell ref="L500:M500"/>
    <mergeCell ref="L501:M501"/>
    <mergeCell ref="L502:M502"/>
    <mergeCell ref="T511:W511"/>
    <mergeCell ref="T512:W512"/>
    <mergeCell ref="T513:W513"/>
    <mergeCell ref="T514:W514"/>
    <mergeCell ref="T515:W515"/>
    <mergeCell ref="T516:W516"/>
    <mergeCell ref="Y468:AB468"/>
    <mergeCell ref="O469:Q469"/>
    <mergeCell ref="T469:V469"/>
    <mergeCell ref="Y469:AB469"/>
    <mergeCell ref="Y470:AB470"/>
    <mergeCell ref="J471:L471"/>
    <mergeCell ref="O471:Q471"/>
    <mergeCell ref="T471:V471"/>
    <mergeCell ref="Y471:AB471"/>
    <mergeCell ref="Y472:AB472"/>
    <mergeCell ref="I460:I471"/>
    <mergeCell ref="N460:N471"/>
    <mergeCell ref="S460:S471"/>
    <mergeCell ref="X460:X471"/>
    <mergeCell ref="AC460:AC471"/>
    <mergeCell ref="T462:W462"/>
    <mergeCell ref="T465:W465"/>
    <mergeCell ref="Y476:AB476"/>
    <mergeCell ref="Y477:AB477"/>
    <mergeCell ref="Y479:AB479"/>
    <mergeCell ref="AD479:AG479"/>
    <mergeCell ref="Y480:AB480"/>
    <mergeCell ref="AD480:AG480"/>
    <mergeCell ref="Q477:R477"/>
    <mergeCell ref="Q478:R478"/>
    <mergeCell ref="G479:H479"/>
    <mergeCell ref="L479:M479"/>
    <mergeCell ref="Q479:R479"/>
    <mergeCell ref="V479:W479"/>
    <mergeCell ref="E480:G480"/>
    <mergeCell ref="O492:Q492"/>
    <mergeCell ref="J493:L493"/>
    <mergeCell ref="O493:Q493"/>
    <mergeCell ref="J494:L494"/>
    <mergeCell ref="O494:Q494"/>
    <mergeCell ref="J480:L480"/>
    <mergeCell ref="O480:Q480"/>
    <mergeCell ref="I483:I494"/>
    <mergeCell ref="J483:M483"/>
    <mergeCell ref="N483:N494"/>
    <mergeCell ref="S483:S494"/>
    <mergeCell ref="P486:Q486"/>
    <mergeCell ref="AD490:AG490"/>
    <mergeCell ref="AD491:AG491"/>
    <mergeCell ref="AD492:AG492"/>
    <mergeCell ref="AD493:AG493"/>
    <mergeCell ref="AD494:AG494"/>
    <mergeCell ref="AD495:AG495"/>
    <mergeCell ref="AD496:AG496"/>
    <mergeCell ref="AD497:AG497"/>
    <mergeCell ref="AD498:AG498"/>
    <mergeCell ref="AD499:AG499"/>
    <mergeCell ref="AD500:AG500"/>
    <mergeCell ref="AD501:AG501"/>
    <mergeCell ref="AD502:AG502"/>
    <mergeCell ref="AD503:AG503"/>
    <mergeCell ref="AD520:AG520"/>
    <mergeCell ref="AD521:AG521"/>
    <mergeCell ref="AD522:AG522"/>
    <mergeCell ref="AD523:AG523"/>
    <mergeCell ref="AD524:AG524"/>
    <mergeCell ref="AD525:AG525"/>
    <mergeCell ref="AD526:AG526"/>
    <mergeCell ref="AD537:AG537"/>
    <mergeCell ref="AD538:AG538"/>
    <mergeCell ref="AD539:AG539"/>
    <mergeCell ref="AD540:AG540"/>
    <mergeCell ref="AD541:AG541"/>
    <mergeCell ref="AD542:AG542"/>
    <mergeCell ref="AD543:AG543"/>
    <mergeCell ref="AD527:AG527"/>
    <mergeCell ref="AD528:AG528"/>
    <mergeCell ref="AD532:AG532"/>
    <mergeCell ref="AD533:AG533"/>
    <mergeCell ref="AD534:AG534"/>
    <mergeCell ref="AD535:AG535"/>
    <mergeCell ref="AD536:AG536"/>
    <mergeCell ref="E492:G492"/>
    <mergeCell ref="J492:L492"/>
    <mergeCell ref="E493:G493"/>
    <mergeCell ref="E494:G494"/>
    <mergeCell ref="E521:H521"/>
    <mergeCell ref="J521:M521"/>
    <mergeCell ref="L522:M522"/>
    <mergeCell ref="G522:H522"/>
    <mergeCell ref="G523:H523"/>
    <mergeCell ref="G524:H524"/>
    <mergeCell ref="G525:H525"/>
    <mergeCell ref="L525:M525"/>
    <mergeCell ref="G526:H526"/>
    <mergeCell ref="G527:H527"/>
    <mergeCell ref="J537:M537"/>
    <mergeCell ref="J538:M538"/>
    <mergeCell ref="E538:H538"/>
    <mergeCell ref="E539:G539"/>
    <mergeCell ref="E540:G540"/>
    <mergeCell ref="E541:G541"/>
    <mergeCell ref="E542:G542"/>
    <mergeCell ref="E543:G543"/>
    <mergeCell ref="E528:G528"/>
    <mergeCell ref="J528:L528"/>
    <mergeCell ref="E529:G529"/>
    <mergeCell ref="E532:H532"/>
    <mergeCell ref="E533:H533"/>
    <mergeCell ref="E534:H534"/>
    <mergeCell ref="E537:H537"/>
    <mergeCell ref="J539:L539"/>
    <mergeCell ref="J540:L540"/>
    <mergeCell ref="J541:L541"/>
    <mergeCell ref="J542:L542"/>
    <mergeCell ref="L526:M526"/>
    <mergeCell ref="L527:M527"/>
    <mergeCell ref="I532:I543"/>
    <mergeCell ref="J532:M532"/>
    <mergeCell ref="N532:N543"/>
    <mergeCell ref="J533:M533"/>
    <mergeCell ref="J534:M534"/>
    <mergeCell ref="J543:L543"/>
    <mergeCell ref="T538:W538"/>
    <mergeCell ref="T539:V539"/>
    <mergeCell ref="T540:V540"/>
    <mergeCell ref="T541:V541"/>
    <mergeCell ref="T542:V542"/>
    <mergeCell ref="T543:V543"/>
    <mergeCell ref="T526:W526"/>
    <mergeCell ref="T527:W527"/>
    <mergeCell ref="T528:W528"/>
    <mergeCell ref="S532:S543"/>
    <mergeCell ref="T532:W532"/>
    <mergeCell ref="X532:X543"/>
    <mergeCell ref="T533:W533"/>
    <mergeCell ref="Y542:AB542"/>
    <mergeCell ref="Y543:AB543"/>
    <mergeCell ref="T534:W534"/>
    <mergeCell ref="T537:W537"/>
    <mergeCell ref="Y537:AB537"/>
    <mergeCell ref="Y538:AB538"/>
    <mergeCell ref="Y539:AB539"/>
    <mergeCell ref="Y540:AB540"/>
    <mergeCell ref="Y541:AB541"/>
    <mergeCell ref="O490:Q490"/>
    <mergeCell ref="O491:Q491"/>
    <mergeCell ref="O521:R521"/>
    <mergeCell ref="Q522:R522"/>
    <mergeCell ref="Q523:R523"/>
    <mergeCell ref="Q524:R524"/>
    <mergeCell ref="Q525:R525"/>
    <mergeCell ref="Q526:R526"/>
    <mergeCell ref="Q527:R527"/>
    <mergeCell ref="O528:Q528"/>
    <mergeCell ref="O532:R532"/>
    <mergeCell ref="O533:R533"/>
    <mergeCell ref="O534:R534"/>
    <mergeCell ref="O537:R537"/>
    <mergeCell ref="O483:R483"/>
    <mergeCell ref="O484:R484"/>
    <mergeCell ref="J485:M485"/>
    <mergeCell ref="O485:R485"/>
    <mergeCell ref="O488:R488"/>
    <mergeCell ref="O489:R489"/>
    <mergeCell ref="J490:L490"/>
    <mergeCell ref="J491:L491"/>
    <mergeCell ref="J484:M484"/>
    <mergeCell ref="J488:M488"/>
    <mergeCell ref="C489:C491"/>
    <mergeCell ref="E489:H489"/>
    <mergeCell ref="J489:M489"/>
    <mergeCell ref="E490:G490"/>
    <mergeCell ref="E491:G491"/>
    <mergeCell ref="L523:M523"/>
    <mergeCell ref="L524:M524"/>
    <mergeCell ref="O538:R538"/>
    <mergeCell ref="O539:Q539"/>
    <mergeCell ref="O540:Q540"/>
    <mergeCell ref="O541:Q541"/>
    <mergeCell ref="O542:Q542"/>
    <mergeCell ref="O543:Q543"/>
    <mergeCell ref="C533:C535"/>
    <mergeCell ref="C538:C540"/>
    <mergeCell ref="O650:R650"/>
    <mergeCell ref="O651:R651"/>
    <mergeCell ref="O655:R655"/>
    <mergeCell ref="O656:R656"/>
    <mergeCell ref="K653:L653"/>
    <mergeCell ref="U653:V653"/>
    <mergeCell ref="Y653:AB653"/>
    <mergeCell ref="AD653:AG653"/>
    <mergeCell ref="E647:G647"/>
    <mergeCell ref="J650:M650"/>
    <mergeCell ref="T650:W650"/>
    <mergeCell ref="AD650:AG650"/>
    <mergeCell ref="C651:C653"/>
    <mergeCell ref="O652:R652"/>
    <mergeCell ref="Y652:AB652"/>
    <mergeCell ref="T651:W651"/>
    <mergeCell ref="T652:W652"/>
    <mergeCell ref="T655:W655"/>
    <mergeCell ref="T656:W656"/>
    <mergeCell ref="T657:V657"/>
    <mergeCell ref="T658:V658"/>
    <mergeCell ref="T659:V659"/>
    <mergeCell ref="AD651:AG651"/>
    <mergeCell ref="AD652:AG652"/>
    <mergeCell ref="AD655:AG655"/>
    <mergeCell ref="AD656:AG656"/>
    <mergeCell ref="AD657:AG657"/>
    <mergeCell ref="AD658:AG658"/>
    <mergeCell ref="AD659:AG659"/>
    <mergeCell ref="AD668:AG668"/>
    <mergeCell ref="AD669:AG669"/>
    <mergeCell ref="AD670:AG670"/>
    <mergeCell ref="AD660:AG660"/>
    <mergeCell ref="AD661:AG661"/>
    <mergeCell ref="AD663:AG663"/>
    <mergeCell ref="AD664:AG664"/>
    <mergeCell ref="AD665:AG665"/>
    <mergeCell ref="AD666:AG666"/>
    <mergeCell ref="AD667:AG667"/>
    <mergeCell ref="J656:M656"/>
    <mergeCell ref="J657:L657"/>
    <mergeCell ref="O657:Q657"/>
    <mergeCell ref="J651:M651"/>
    <mergeCell ref="E652:H652"/>
    <mergeCell ref="J652:M652"/>
    <mergeCell ref="E655:H655"/>
    <mergeCell ref="J655:M655"/>
    <mergeCell ref="E656:H656"/>
    <mergeCell ref="E657:G657"/>
    <mergeCell ref="E658:G658"/>
    <mergeCell ref="J658:L658"/>
    <mergeCell ref="O658:Q658"/>
    <mergeCell ref="E659:G659"/>
    <mergeCell ref="J659:L659"/>
    <mergeCell ref="E660:G660"/>
    <mergeCell ref="O661:Q661"/>
    <mergeCell ref="J660:L660"/>
    <mergeCell ref="J661:L661"/>
    <mergeCell ref="J663:M663"/>
    <mergeCell ref="L664:M664"/>
    <mergeCell ref="L665:M665"/>
    <mergeCell ref="L666:M666"/>
    <mergeCell ref="L667:M667"/>
    <mergeCell ref="O659:Q659"/>
    <mergeCell ref="O660:Q660"/>
    <mergeCell ref="O663:R663"/>
    <mergeCell ref="Q664:R664"/>
    <mergeCell ref="Q665:R665"/>
    <mergeCell ref="Q666:R666"/>
    <mergeCell ref="Q667:R667"/>
    <mergeCell ref="J679:M679"/>
    <mergeCell ref="J680:L680"/>
    <mergeCell ref="T680:V680"/>
    <mergeCell ref="Y680:AB680"/>
    <mergeCell ref="AD680:AG680"/>
    <mergeCell ref="L668:M668"/>
    <mergeCell ref="L669:M669"/>
    <mergeCell ref="J670:L670"/>
    <mergeCell ref="J673:M673"/>
    <mergeCell ref="J674:M674"/>
    <mergeCell ref="J675:M675"/>
    <mergeCell ref="J678:M678"/>
    <mergeCell ref="L620:M620"/>
    <mergeCell ref="J631:M631"/>
    <mergeCell ref="O634:Q634"/>
    <mergeCell ref="T634:V634"/>
    <mergeCell ref="AD634:AF634"/>
    <mergeCell ref="Y634:AA634"/>
    <mergeCell ref="O635:Q635"/>
    <mergeCell ref="T635:V635"/>
    <mergeCell ref="Y635:AA635"/>
    <mergeCell ref="AD635:AF635"/>
    <mergeCell ref="O636:Q636"/>
    <mergeCell ref="T636:V636"/>
    <mergeCell ref="AD636:AF636"/>
    <mergeCell ref="Y636:AA636"/>
    <mergeCell ref="O637:Q637"/>
    <mergeCell ref="T637:V637"/>
    <mergeCell ref="Y637:AA637"/>
    <mergeCell ref="AD637:AF637"/>
    <mergeCell ref="L619:M619"/>
    <mergeCell ref="I626:I637"/>
    <mergeCell ref="N626:N637"/>
    <mergeCell ref="S626:S637"/>
    <mergeCell ref="X626:X637"/>
    <mergeCell ref="AC626:AC637"/>
    <mergeCell ref="Z629:AA629"/>
    <mergeCell ref="AD639:AG639"/>
    <mergeCell ref="AF640:AG640"/>
    <mergeCell ref="AF641:AG641"/>
    <mergeCell ref="AF642:AG642"/>
    <mergeCell ref="AF643:AG643"/>
    <mergeCell ref="AF644:AG644"/>
    <mergeCell ref="AF645:AG645"/>
    <mergeCell ref="AD646:AF646"/>
    <mergeCell ref="G641:H641"/>
    <mergeCell ref="L641:M641"/>
    <mergeCell ref="Q641:R641"/>
    <mergeCell ref="G642:H642"/>
    <mergeCell ref="Q642:R642"/>
    <mergeCell ref="G643:H643"/>
    <mergeCell ref="Q643:R643"/>
    <mergeCell ref="G644:H644"/>
    <mergeCell ref="L644:M644"/>
    <mergeCell ref="Q644:R644"/>
    <mergeCell ref="G645:H645"/>
    <mergeCell ref="L645:M645"/>
    <mergeCell ref="Q645:R645"/>
    <mergeCell ref="E646:G646"/>
    <mergeCell ref="T639:W639"/>
    <mergeCell ref="V640:W640"/>
    <mergeCell ref="V641:W641"/>
    <mergeCell ref="E637:G637"/>
    <mergeCell ref="E639:H639"/>
    <mergeCell ref="J639:M639"/>
    <mergeCell ref="O639:R639"/>
    <mergeCell ref="Y639:AB639"/>
    <mergeCell ref="Q640:R640"/>
    <mergeCell ref="AA640:AB640"/>
    <mergeCell ref="AA641:AB641"/>
    <mergeCell ref="AA642:AB642"/>
    <mergeCell ref="AA643:AB643"/>
    <mergeCell ref="AA644:AB644"/>
    <mergeCell ref="AA645:AB645"/>
    <mergeCell ref="L642:M642"/>
    <mergeCell ref="L643:M643"/>
    <mergeCell ref="V642:W642"/>
    <mergeCell ref="V643:W643"/>
    <mergeCell ref="V644:W644"/>
    <mergeCell ref="V645:W645"/>
    <mergeCell ref="J646:L646"/>
    <mergeCell ref="O646:Q646"/>
    <mergeCell ref="T646:V646"/>
    <mergeCell ref="Y646:AA646"/>
    <mergeCell ref="E650:H650"/>
    <mergeCell ref="E651:H651"/>
    <mergeCell ref="Y660:AB660"/>
    <mergeCell ref="Y661:AB661"/>
    <mergeCell ref="Y650:AB650"/>
    <mergeCell ref="Y651:AB651"/>
    <mergeCell ref="Y655:AB655"/>
    <mergeCell ref="Y656:AB656"/>
    <mergeCell ref="Y657:AB657"/>
    <mergeCell ref="Y658:AB658"/>
    <mergeCell ref="Y659:AB659"/>
    <mergeCell ref="J701:M701"/>
    <mergeCell ref="J702:M702"/>
    <mergeCell ref="J705:L705"/>
    <mergeCell ref="J706:L706"/>
    <mergeCell ref="J707:L707"/>
    <mergeCell ref="J709:M709"/>
    <mergeCell ref="L710:M710"/>
    <mergeCell ref="L711:M711"/>
    <mergeCell ref="L712:M712"/>
    <mergeCell ref="L713:M713"/>
    <mergeCell ref="L691:M691"/>
    <mergeCell ref="L692:M692"/>
    <mergeCell ref="J693:L693"/>
    <mergeCell ref="J696:M696"/>
    <mergeCell ref="N696:N707"/>
    <mergeCell ref="J697:M697"/>
    <mergeCell ref="J698:M698"/>
    <mergeCell ref="O702:R702"/>
    <mergeCell ref="O703:Q703"/>
    <mergeCell ref="T709:W709"/>
    <mergeCell ref="Y709:AB709"/>
    <mergeCell ref="AD709:AG709"/>
    <mergeCell ref="Q692:R692"/>
    <mergeCell ref="O693:Q693"/>
    <mergeCell ref="O696:R696"/>
    <mergeCell ref="S696:S707"/>
    <mergeCell ref="O697:R697"/>
    <mergeCell ref="O698:R698"/>
    <mergeCell ref="O701:R701"/>
    <mergeCell ref="AD710:AG710"/>
    <mergeCell ref="AD711:AG711"/>
    <mergeCell ref="AD712:AG712"/>
    <mergeCell ref="AD713:AG713"/>
    <mergeCell ref="V711:W711"/>
    <mergeCell ref="V712:W712"/>
    <mergeCell ref="V713:W713"/>
    <mergeCell ref="Q712:R712"/>
    <mergeCell ref="Q713:R713"/>
    <mergeCell ref="O709:R709"/>
    <mergeCell ref="Q710:R710"/>
    <mergeCell ref="V710:W710"/>
    <mergeCell ref="Y710:AB710"/>
    <mergeCell ref="Q711:R711"/>
    <mergeCell ref="Y711:AB711"/>
    <mergeCell ref="Y712:AB712"/>
    <mergeCell ref="Y713:AB713"/>
    <mergeCell ref="Q668:R668"/>
    <mergeCell ref="Q669:R669"/>
    <mergeCell ref="O670:Q670"/>
    <mergeCell ref="O673:R673"/>
    <mergeCell ref="O674:R674"/>
    <mergeCell ref="O675:R675"/>
    <mergeCell ref="O678:R678"/>
    <mergeCell ref="O679:R679"/>
    <mergeCell ref="O680:Q680"/>
    <mergeCell ref="J681:L681"/>
    <mergeCell ref="O681:Q681"/>
    <mergeCell ref="J682:L682"/>
    <mergeCell ref="O682:Q682"/>
    <mergeCell ref="O683:Q683"/>
    <mergeCell ref="J683:L683"/>
    <mergeCell ref="J684:L684"/>
    <mergeCell ref="J686:M686"/>
    <mergeCell ref="L687:M687"/>
    <mergeCell ref="L688:M688"/>
    <mergeCell ref="L689:M689"/>
    <mergeCell ref="L690:M690"/>
    <mergeCell ref="O684:Q684"/>
    <mergeCell ref="O686:R686"/>
    <mergeCell ref="Q687:R687"/>
    <mergeCell ref="Q688:R688"/>
    <mergeCell ref="Q689:R689"/>
    <mergeCell ref="Q690:R690"/>
    <mergeCell ref="Q691:R691"/>
    <mergeCell ref="J703:L703"/>
    <mergeCell ref="J704:L704"/>
    <mergeCell ref="O704:Q704"/>
    <mergeCell ref="O705:Q705"/>
    <mergeCell ref="O706:Q706"/>
    <mergeCell ref="O707:Q707"/>
  </mergeCells>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0" priority="1" operator="between">
      <formula>1</formula>
      <formula>95</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1" priority="2" operator="between">
      <formula>96</formula>
      <formula>195</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2" priority="3" operator="between">
      <formula>196</formula>
      <formula>260</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3" priority="4" operator="between">
      <formula>261</formula>
      <formula>299</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4" priority="5" operator="between">
      <formula>300</formula>
      <formula>350</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5" priority="6" operator="between">
      <formula>351</formula>
      <formula>450</formula>
    </cfRule>
  </conditionalFormatting>
  <conditionalFormatting sqref="H25 M25 R25 W25 AB25 AG25:AG27 H27 H30 AG30 H51:H52 M51:M52 R51:R52 W51:W52 AB51:AB52 AG51:AG52 H76 M76 R76 W76 AB76 AG76 H100:H101 M100:M101 R100:R101 W100:W101 AB100:AB101 AG100:AG101 H125 M125 R125 W125 AB125 AG125 H149 M149:M150 R149 W149 AB149 AG149:AG150 H174:H175 M174 R174 W174:W175 AB174:AB175 AG174 H199 M199 R199 W199 AB199 AG199 H222 M222 R222 W222 AB222 AG222 H245:H246 M245:M246 R245:R246 W245:W246 AB245:AB246 AG245:AG246 H269 M269 R269 W269 AB269 AG269 H292 M292 R292 W292 AB292 AG292 H315 M315 R315 H338 M338 R338 W338:W339 H362 M362 R362 W362:W363 AB362 AG362 H386 M386 R386 W386 H409 M409 R409:R410 W409 H432 M432 R432 W432 AB432 H456 M456:M457 R456 W456:W457 H480 M480 R480:R481 W480 H503:H505 M503 R503 W503 R505:R506 H528:H529 M528 R528:R530 H552 M552 R552:R553 W552 H575 M575:M576 R575 W575:W576 H599 M599 R599 W599 H623 M623 R623 W623 H646:H647 M646 R646 W646 AB646 AG646 H670:H671 M670 R670 W670 H693:H694 M693 R693 W693 H716 M716 R716:R717 W716 H739 M739 R739 W739 AB739:AB740 AG739 H764 M764 R764 W764 AB764 AG764 H789 M789 R789:R790 W789 AB789 AG789 H813:H814 M813:M814 R813:R814 W813:W814 AB813:AB814 AG813:AG814 H837:H838 M837:M838 R837:R838 W837:W838 AB837:AB838 AG837:AG838 H861 M861 H885 M885 R885 H908 M908 R908:R909 H932:H933 M932 R932 W932:W933 H957:H958 M957 R957 W957:W958 AB957 AG957 H980 M980 R980 W980:W981 AB980 H1004:H1005 M1004 R1004 W1004 AB1004 H1028 M1028:M1029 R1028 W1028 AB1028 H1052 M1052 R1052 W1052 AB1052 H1075 M1075 R1075 W1075 AB1075 AG1075 H1098:H1099 M1098:M1099 R1098:R1099 W1098:W1099 AB1098:AB1099 AG1098:AG1099 H1122 M1122 R1122 W1122 AB1122 AG1122 H1145:H1146 M1145:M1146 R1145:R1146 W1145:W1146 AB1145:AB1146 AG1145:AG1146 H1169:H1170 M1169:M1170 R1169:R1170 W1169:W1170 AB1169:AB1170 AG1169:AG1170 H1194 H1217 M1217 R1217 W1217 AB1217 AG1217">
    <cfRule type="cellIs" dxfId="6" priority="7" operator="between">
      <formula>451</formula>
      <formula>1000</formula>
    </cfRule>
  </conditionalFormatting>
  <hyperlinks>
    <hyperlink r:id="rId2" ref="E768"/>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sheetViews>
  <sheetFormatPr customHeight="1" defaultColWidth="12.63" defaultRowHeight="15.0" outlineLevelCol="1"/>
  <cols>
    <col customWidth="1" min="1" max="1" width="0.75"/>
    <col collapsed="1" customWidth="1" min="2" max="2" width="18.88"/>
    <col customWidth="1" hidden="1" min="3" max="3" width="18.88" outlineLevel="1"/>
    <col customWidth="1" min="5" max="5" width="10.13"/>
    <col customWidth="1" hidden="1" min="6" max="6" width="3.88"/>
    <col customWidth="1" min="7" max="7" width="10.13"/>
    <col customWidth="1" hidden="1" min="8" max="8" width="3.88"/>
    <col customWidth="1" min="9" max="13" width="6.38"/>
    <col collapsed="1" customWidth="1" min="14" max="14" width="6.38"/>
    <col customWidth="1" hidden="1" min="15" max="15" width="0.75" outlineLevel="1"/>
    <col customWidth="1" hidden="1" min="16" max="16" width="10.13" outlineLevel="1"/>
    <col customWidth="1" hidden="1" min="17" max="17" width="8.25" outlineLevel="1"/>
    <col customWidth="1" hidden="1" min="18" max="18" width="0.75" outlineLevel="1"/>
    <col customWidth="1" hidden="1" min="19" max="19" width="12.63" outlineLevel="1"/>
  </cols>
  <sheetData>
    <row r="1" ht="3.75" customHeight="1">
      <c r="A1" s="7691"/>
      <c r="B1" s="7692"/>
      <c r="C1" s="7692"/>
      <c r="D1" s="7692"/>
      <c r="E1" s="7692"/>
      <c r="F1" s="7692"/>
      <c r="G1" s="7692"/>
      <c r="H1" s="7692"/>
      <c r="I1" s="7692"/>
      <c r="J1" s="7692"/>
      <c r="K1" s="7692"/>
      <c r="L1" s="7692"/>
      <c r="M1" s="7692"/>
      <c r="N1" s="7692"/>
      <c r="O1" s="7693"/>
      <c r="P1" s="7693"/>
      <c r="Q1" s="7693"/>
      <c r="R1" s="7694"/>
      <c r="S1" s="7695"/>
    </row>
    <row r="2">
      <c r="A2" s="7696"/>
      <c r="B2" s="7697" t="s">
        <v>2206</v>
      </c>
      <c r="C2" s="539"/>
      <c r="D2" s="539"/>
      <c r="E2" s="539"/>
      <c r="F2" s="539"/>
      <c r="G2" s="539"/>
      <c r="H2" s="7698"/>
      <c r="I2" s="7699" t="s">
        <v>513</v>
      </c>
      <c r="J2" s="7699" t="s">
        <v>514</v>
      </c>
      <c r="K2" s="7699" t="s">
        <v>515</v>
      </c>
      <c r="L2" s="7699" t="s">
        <v>516</v>
      </c>
      <c r="M2" s="7699" t="s">
        <v>517</v>
      </c>
      <c r="N2" s="7700" t="s">
        <v>518</v>
      </c>
      <c r="O2" s="7701"/>
      <c r="P2" s="7702" t="s">
        <v>2207</v>
      </c>
      <c r="Q2" s="7703"/>
      <c r="R2" s="7704"/>
      <c r="S2" s="7705"/>
    </row>
    <row r="3" ht="18.75" customHeight="1">
      <c r="A3" s="7696"/>
      <c r="B3" s="7706" t="s">
        <v>985</v>
      </c>
      <c r="C3" s="7707" t="s">
        <v>2208</v>
      </c>
      <c r="D3" s="7708" t="str">
        <f t="array" ref="D3:D1322">IMAGE("https://raw.githubusercontent.com/darkbooker/RadicalRedSprites/main/Sprites/"&amp;UPPER(C3:C1322)&amp;".png",3)</f>
        <v/>
      </c>
      <c r="E3" s="7707" t="s">
        <v>2209</v>
      </c>
      <c r="F3" s="7707" t="str">
        <f t="shared" ref="F3:F199" si="1">IFERROR(VLOOKUP(E3,P$3:Q20,2,False),"")</f>
        <v/>
      </c>
      <c r="G3" s="7707" t="s">
        <v>2210</v>
      </c>
      <c r="H3" s="7707" t="str">
        <f t="shared" ref="H3:H199" si="2">IFERROR(VLOOKUP(G3,P$3:Q20,2,False),"")</f>
        <v/>
      </c>
      <c r="I3" s="7707">
        <v>45.0</v>
      </c>
      <c r="J3" s="7707">
        <v>49.0</v>
      </c>
      <c r="K3" s="7707">
        <v>49.0</v>
      </c>
      <c r="L3" s="7707">
        <v>65.0</v>
      </c>
      <c r="M3" s="7707">
        <v>65.0</v>
      </c>
      <c r="N3" s="7709">
        <v>45.0</v>
      </c>
      <c r="O3" s="7701"/>
      <c r="P3" s="7710" t="s">
        <v>2211</v>
      </c>
      <c r="Q3" s="7711" t="str">
        <f t="array" ref="Q3:Q20">IMAGE("https://raw.githubusercontent.com/msikma/pokesprite/master/misc/types/gen8/"&amp;P3:P20&amp;".png",4,32,32)
</f>
        <v/>
      </c>
      <c r="R3" s="7701"/>
      <c r="S3" s="7705" t="str">
        <f t="array" ref="S3:S1322">IMAGE("https://raw.githubusercontent.com/darkbooker/RadicalRedSprites/main/Sprites/"&amp;UPPER(C3:C1322)&amp;".png",4,64,64)</f>
        <v/>
      </c>
    </row>
    <row r="4" ht="18.75" customHeight="1">
      <c r="A4" s="7696"/>
      <c r="B4" s="7712" t="s">
        <v>1027</v>
      </c>
      <c r="C4" s="7713" t="s">
        <v>2212</v>
      </c>
      <c r="D4" s="7714"/>
      <c r="E4" s="7713" t="s">
        <v>2209</v>
      </c>
      <c r="F4" s="7713" t="str">
        <f t="shared" si="1"/>
        <v/>
      </c>
      <c r="G4" s="7713" t="s">
        <v>2210</v>
      </c>
      <c r="H4" s="7713" t="str">
        <f t="shared" si="2"/>
        <v/>
      </c>
      <c r="I4" s="7713">
        <v>60.0</v>
      </c>
      <c r="J4" s="7713">
        <v>62.0</v>
      </c>
      <c r="K4" s="7713">
        <v>63.0</v>
      </c>
      <c r="L4" s="7713">
        <v>80.0</v>
      </c>
      <c r="M4" s="7713">
        <v>80.0</v>
      </c>
      <c r="N4" s="7715">
        <v>60.0</v>
      </c>
      <c r="O4" s="7701"/>
      <c r="P4" s="7716" t="s">
        <v>2213</v>
      </c>
      <c r="Q4" s="7717"/>
      <c r="R4" s="7701"/>
      <c r="S4" s="7705"/>
    </row>
    <row r="5" ht="18.75" customHeight="1">
      <c r="A5" s="7696"/>
      <c r="B5" s="7718" t="s">
        <v>678</v>
      </c>
      <c r="C5" s="7719" t="s">
        <v>2214</v>
      </c>
      <c r="D5" s="7720"/>
      <c r="E5" s="7719" t="s">
        <v>2209</v>
      </c>
      <c r="F5" s="7719" t="str">
        <f t="shared" si="1"/>
        <v/>
      </c>
      <c r="G5" s="7719" t="s">
        <v>2210</v>
      </c>
      <c r="H5" s="7719" t="str">
        <f t="shared" si="2"/>
        <v/>
      </c>
      <c r="I5" s="7719">
        <v>80.0</v>
      </c>
      <c r="J5" s="7719">
        <v>82.0</v>
      </c>
      <c r="K5" s="7719">
        <v>83.0</v>
      </c>
      <c r="L5" s="7719">
        <v>100.0</v>
      </c>
      <c r="M5" s="7719">
        <v>100.0</v>
      </c>
      <c r="N5" s="7721">
        <v>80.0</v>
      </c>
      <c r="O5" s="7701"/>
      <c r="P5" s="7716" t="s">
        <v>2215</v>
      </c>
      <c r="Q5" s="7717"/>
      <c r="R5" s="7701"/>
      <c r="S5" s="7705"/>
    </row>
    <row r="6" ht="18.75" customHeight="1">
      <c r="A6" s="7696"/>
      <c r="B6" s="7712" t="s">
        <v>1060</v>
      </c>
      <c r="C6" s="7722" t="s">
        <v>2216</v>
      </c>
      <c r="D6" s="7714"/>
      <c r="E6" s="7722" t="s">
        <v>2209</v>
      </c>
      <c r="F6" s="7722" t="str">
        <f t="shared" si="1"/>
        <v/>
      </c>
      <c r="G6" s="7722" t="s">
        <v>2210</v>
      </c>
      <c r="H6" s="7722" t="str">
        <f t="shared" si="2"/>
        <v/>
      </c>
      <c r="I6" s="7713">
        <v>80.0</v>
      </c>
      <c r="J6" s="7713">
        <v>100.0</v>
      </c>
      <c r="K6" s="7713">
        <v>123.0</v>
      </c>
      <c r="L6" s="7713">
        <v>122.0</v>
      </c>
      <c r="M6" s="7713">
        <v>120.0</v>
      </c>
      <c r="N6" s="7715">
        <v>80.0</v>
      </c>
      <c r="O6" s="7701"/>
      <c r="P6" s="7716" t="s">
        <v>2217</v>
      </c>
      <c r="Q6" s="7717"/>
      <c r="R6" s="7701"/>
      <c r="S6" s="7705"/>
    </row>
    <row r="7" ht="18.75" customHeight="1">
      <c r="A7" s="7696"/>
      <c r="B7" s="7718" t="s">
        <v>979</v>
      </c>
      <c r="C7" s="7719" t="s">
        <v>2218</v>
      </c>
      <c r="D7" s="7720"/>
      <c r="E7" s="7719" t="s">
        <v>2219</v>
      </c>
      <c r="F7" s="7719" t="str">
        <f t="shared" si="1"/>
        <v/>
      </c>
      <c r="G7" s="7719"/>
      <c r="H7" s="7719" t="str">
        <f t="shared" si="2"/>
        <v/>
      </c>
      <c r="I7" s="7719">
        <v>39.0</v>
      </c>
      <c r="J7" s="7719">
        <v>52.0</v>
      </c>
      <c r="K7" s="7719">
        <v>43.0</v>
      </c>
      <c r="L7" s="7719">
        <v>60.0</v>
      </c>
      <c r="M7" s="7719">
        <v>50.0</v>
      </c>
      <c r="N7" s="7721">
        <v>65.0</v>
      </c>
      <c r="O7" s="7701"/>
      <c r="P7" s="7716" t="s">
        <v>2220</v>
      </c>
      <c r="Q7" s="7717"/>
      <c r="R7" s="7701"/>
      <c r="S7" s="7705"/>
    </row>
    <row r="8" ht="18.75" customHeight="1">
      <c r="A8" s="7696"/>
      <c r="B8" s="7712" t="s">
        <v>1017</v>
      </c>
      <c r="C8" s="7713" t="s">
        <v>2221</v>
      </c>
      <c r="D8" s="7714"/>
      <c r="E8" s="7713" t="s">
        <v>2219</v>
      </c>
      <c r="F8" s="7713" t="str">
        <f t="shared" si="1"/>
        <v/>
      </c>
      <c r="G8" s="7713"/>
      <c r="H8" s="7713" t="str">
        <f t="shared" si="2"/>
        <v/>
      </c>
      <c r="I8" s="7713">
        <v>58.0</v>
      </c>
      <c r="J8" s="7713">
        <v>64.0</v>
      </c>
      <c r="K8" s="7713">
        <v>58.0</v>
      </c>
      <c r="L8" s="7713">
        <v>80.0</v>
      </c>
      <c r="M8" s="7713">
        <v>65.0</v>
      </c>
      <c r="N8" s="7715">
        <v>80.0</v>
      </c>
      <c r="O8" s="7701"/>
      <c r="P8" s="7716" t="s">
        <v>2222</v>
      </c>
      <c r="Q8" s="7717"/>
      <c r="R8" s="7701"/>
      <c r="S8" s="7705"/>
    </row>
    <row r="9" ht="18.75" customHeight="1">
      <c r="A9" s="7696"/>
      <c r="B9" s="7718" t="s">
        <v>1717</v>
      </c>
      <c r="C9" s="7719" t="s">
        <v>2223</v>
      </c>
      <c r="D9" s="7720"/>
      <c r="E9" s="7719" t="s">
        <v>2219</v>
      </c>
      <c r="F9" s="7719" t="str">
        <f t="shared" si="1"/>
        <v/>
      </c>
      <c r="G9" s="7719" t="s">
        <v>2224</v>
      </c>
      <c r="H9" s="7719" t="str">
        <f t="shared" si="2"/>
        <v/>
      </c>
      <c r="I9" s="7719">
        <v>78.0</v>
      </c>
      <c r="J9" s="7719">
        <v>84.0</v>
      </c>
      <c r="K9" s="7719">
        <v>78.0</v>
      </c>
      <c r="L9" s="7719">
        <v>109.0</v>
      </c>
      <c r="M9" s="7719">
        <v>85.0</v>
      </c>
      <c r="N9" s="7721">
        <v>100.0</v>
      </c>
      <c r="O9" s="7701"/>
      <c r="P9" s="7716" t="s">
        <v>2225</v>
      </c>
      <c r="Q9" s="7717"/>
      <c r="R9" s="7701"/>
      <c r="S9" s="7705"/>
    </row>
    <row r="10" ht="18.75" customHeight="1">
      <c r="A10" s="7696"/>
      <c r="B10" s="7712" t="s">
        <v>680</v>
      </c>
      <c r="C10" s="7722" t="s">
        <v>2226</v>
      </c>
      <c r="D10" s="7714"/>
      <c r="E10" s="7722" t="s">
        <v>2219</v>
      </c>
      <c r="F10" s="7722" t="str">
        <f t="shared" si="1"/>
        <v/>
      </c>
      <c r="G10" s="7722" t="s">
        <v>2227</v>
      </c>
      <c r="H10" s="7722" t="str">
        <f t="shared" si="2"/>
        <v/>
      </c>
      <c r="I10" s="7713">
        <v>78.0</v>
      </c>
      <c r="J10" s="7713">
        <v>130.0</v>
      </c>
      <c r="K10" s="7713">
        <v>111.0</v>
      </c>
      <c r="L10" s="7713">
        <v>130.0</v>
      </c>
      <c r="M10" s="7713">
        <v>85.0</v>
      </c>
      <c r="N10" s="7715">
        <v>100.0</v>
      </c>
      <c r="O10" s="7701"/>
      <c r="P10" s="7716" t="s">
        <v>2228</v>
      </c>
      <c r="Q10" s="7717"/>
      <c r="R10" s="7701"/>
      <c r="S10" s="7705"/>
    </row>
    <row r="11" ht="18.75" customHeight="1">
      <c r="A11" s="7696"/>
      <c r="B11" s="7718" t="s">
        <v>1107</v>
      </c>
      <c r="C11" s="7723" t="s">
        <v>2229</v>
      </c>
      <c r="D11" s="7720"/>
      <c r="E11" s="7723" t="s">
        <v>2219</v>
      </c>
      <c r="F11" s="7723" t="str">
        <f t="shared" si="1"/>
        <v/>
      </c>
      <c r="G11" s="7723" t="s">
        <v>2224</v>
      </c>
      <c r="H11" s="7723" t="str">
        <f t="shared" si="2"/>
        <v/>
      </c>
      <c r="I11" s="7719">
        <v>78.0</v>
      </c>
      <c r="J11" s="7719">
        <v>104.0</v>
      </c>
      <c r="K11" s="7719">
        <v>78.0</v>
      </c>
      <c r="L11" s="7719">
        <v>159.0</v>
      </c>
      <c r="M11" s="7719">
        <v>115.0</v>
      </c>
      <c r="N11" s="7721">
        <v>100.0</v>
      </c>
      <c r="O11" s="7701"/>
      <c r="P11" s="7716" t="s">
        <v>2230</v>
      </c>
      <c r="Q11" s="7717"/>
      <c r="R11" s="7701"/>
      <c r="S11" s="7705"/>
    </row>
    <row r="12" ht="18.75" customHeight="1">
      <c r="A12" s="7696"/>
      <c r="B12" s="7712" t="s">
        <v>966</v>
      </c>
      <c r="C12" s="7713" t="s">
        <v>2231</v>
      </c>
      <c r="D12" s="7714"/>
      <c r="E12" s="7713" t="s">
        <v>2232</v>
      </c>
      <c r="F12" s="7713" t="str">
        <f t="shared" si="1"/>
        <v/>
      </c>
      <c r="G12" s="7713"/>
      <c r="H12" s="7713" t="str">
        <f t="shared" si="2"/>
        <v/>
      </c>
      <c r="I12" s="7713">
        <v>44.0</v>
      </c>
      <c r="J12" s="7713">
        <v>48.0</v>
      </c>
      <c r="K12" s="7713">
        <v>65.0</v>
      </c>
      <c r="L12" s="7713">
        <v>50.0</v>
      </c>
      <c r="M12" s="7713">
        <v>64.0</v>
      </c>
      <c r="N12" s="7715">
        <v>43.0</v>
      </c>
      <c r="O12" s="7701"/>
      <c r="P12" s="7716" t="s">
        <v>2233</v>
      </c>
      <c r="Q12" s="7717"/>
      <c r="R12" s="7701"/>
      <c r="S12" s="7705"/>
    </row>
    <row r="13" ht="18.75" customHeight="1">
      <c r="A13" s="7696"/>
      <c r="B13" s="7718" t="s">
        <v>1001</v>
      </c>
      <c r="C13" s="7719" t="s">
        <v>2234</v>
      </c>
      <c r="D13" s="7720"/>
      <c r="E13" s="7719" t="s">
        <v>2232</v>
      </c>
      <c r="F13" s="7719" t="str">
        <f t="shared" si="1"/>
        <v/>
      </c>
      <c r="G13" s="7719"/>
      <c r="H13" s="7719" t="str">
        <f t="shared" si="2"/>
        <v/>
      </c>
      <c r="I13" s="7719">
        <v>59.0</v>
      </c>
      <c r="J13" s="7719">
        <v>63.0</v>
      </c>
      <c r="K13" s="7719">
        <v>80.0</v>
      </c>
      <c r="L13" s="7719">
        <v>65.0</v>
      </c>
      <c r="M13" s="7719">
        <v>80.0</v>
      </c>
      <c r="N13" s="7721">
        <v>58.0</v>
      </c>
      <c r="O13" s="7701"/>
      <c r="P13" s="7716" t="s">
        <v>2235</v>
      </c>
      <c r="Q13" s="7717"/>
      <c r="R13" s="7701"/>
      <c r="S13" s="7705"/>
    </row>
    <row r="14" ht="18.75" customHeight="1">
      <c r="A14" s="7696"/>
      <c r="B14" s="7712" t="s">
        <v>2236</v>
      </c>
      <c r="C14" s="7713" t="s">
        <v>2237</v>
      </c>
      <c r="D14" s="7714"/>
      <c r="E14" s="7713" t="s">
        <v>2232</v>
      </c>
      <c r="F14" s="7713" t="str">
        <f t="shared" si="1"/>
        <v/>
      </c>
      <c r="G14" s="7713"/>
      <c r="H14" s="7713" t="str">
        <f t="shared" si="2"/>
        <v/>
      </c>
      <c r="I14" s="7713">
        <v>79.0</v>
      </c>
      <c r="J14" s="7713">
        <v>83.0</v>
      </c>
      <c r="K14" s="7713">
        <v>100.0</v>
      </c>
      <c r="L14" s="7713">
        <v>85.0</v>
      </c>
      <c r="M14" s="7713">
        <v>105.0</v>
      </c>
      <c r="N14" s="7715">
        <v>78.0</v>
      </c>
      <c r="O14" s="7701"/>
      <c r="P14" s="7716" t="s">
        <v>2238</v>
      </c>
      <c r="Q14" s="7717"/>
      <c r="R14" s="7701"/>
      <c r="S14" s="7705"/>
    </row>
    <row r="15" ht="18.75" customHeight="1">
      <c r="A15" s="7696"/>
      <c r="B15" s="7718" t="s">
        <v>1048</v>
      </c>
      <c r="C15" s="7723" t="s">
        <v>2239</v>
      </c>
      <c r="D15" s="7720"/>
      <c r="E15" s="7723" t="s">
        <v>2232</v>
      </c>
      <c r="F15" s="7723" t="str">
        <f t="shared" si="1"/>
        <v/>
      </c>
      <c r="G15" s="7723"/>
      <c r="H15" s="7723" t="str">
        <f t="shared" si="2"/>
        <v/>
      </c>
      <c r="I15" s="7719">
        <v>79.0</v>
      </c>
      <c r="J15" s="7719">
        <v>103.0</v>
      </c>
      <c r="K15" s="7719">
        <v>120.0</v>
      </c>
      <c r="L15" s="7719">
        <v>135.0</v>
      </c>
      <c r="M15" s="7719">
        <v>115.0</v>
      </c>
      <c r="N15" s="7721">
        <v>78.0</v>
      </c>
      <c r="O15" s="7701"/>
      <c r="P15" s="7716" t="s">
        <v>2240</v>
      </c>
      <c r="Q15" s="7717"/>
      <c r="R15" s="7701"/>
      <c r="S15" s="7705"/>
    </row>
    <row r="16" ht="18.75" customHeight="1">
      <c r="A16" s="7696"/>
      <c r="B16" s="7712" t="s">
        <v>2241</v>
      </c>
      <c r="C16" s="7713" t="s">
        <v>2242</v>
      </c>
      <c r="D16" s="7714"/>
      <c r="E16" s="7713" t="s">
        <v>2243</v>
      </c>
      <c r="F16" s="7713" t="str">
        <f t="shared" si="1"/>
        <v/>
      </c>
      <c r="G16" s="7713"/>
      <c r="H16" s="7713" t="str">
        <f t="shared" si="2"/>
        <v/>
      </c>
      <c r="I16" s="7713">
        <v>45.0</v>
      </c>
      <c r="J16" s="7713">
        <v>30.0</v>
      </c>
      <c r="K16" s="7713">
        <v>35.0</v>
      </c>
      <c r="L16" s="7713">
        <v>20.0</v>
      </c>
      <c r="M16" s="7713">
        <v>20.0</v>
      </c>
      <c r="N16" s="7715">
        <v>45.0</v>
      </c>
      <c r="O16" s="7701"/>
      <c r="P16" s="7716" t="s">
        <v>2244</v>
      </c>
      <c r="Q16" s="7717"/>
      <c r="R16" s="7701"/>
      <c r="S16" s="7705"/>
    </row>
    <row r="17" ht="18.75" customHeight="1">
      <c r="A17" s="7696"/>
      <c r="B17" s="7718" t="s">
        <v>2245</v>
      </c>
      <c r="C17" s="7719" t="s">
        <v>2246</v>
      </c>
      <c r="D17" s="7720"/>
      <c r="E17" s="7719" t="s">
        <v>2243</v>
      </c>
      <c r="F17" s="7719" t="str">
        <f t="shared" si="1"/>
        <v/>
      </c>
      <c r="G17" s="7719"/>
      <c r="H17" s="7719" t="str">
        <f t="shared" si="2"/>
        <v/>
      </c>
      <c r="I17" s="7719">
        <v>50.0</v>
      </c>
      <c r="J17" s="7719">
        <v>20.0</v>
      </c>
      <c r="K17" s="7719">
        <v>55.0</v>
      </c>
      <c r="L17" s="7719">
        <v>25.0</v>
      </c>
      <c r="M17" s="7719">
        <v>25.0</v>
      </c>
      <c r="N17" s="7721">
        <v>30.0</v>
      </c>
      <c r="O17" s="7701"/>
      <c r="P17" s="7716" t="s">
        <v>2247</v>
      </c>
      <c r="Q17" s="7717"/>
      <c r="R17" s="7701"/>
      <c r="S17" s="7705"/>
    </row>
    <row r="18" ht="18.75" customHeight="1">
      <c r="A18" s="7696"/>
      <c r="B18" s="7712" t="s">
        <v>136</v>
      </c>
      <c r="C18" s="7713" t="s">
        <v>2248</v>
      </c>
      <c r="D18" s="7714"/>
      <c r="E18" s="7713" t="s">
        <v>2243</v>
      </c>
      <c r="F18" s="7713" t="str">
        <f t="shared" si="1"/>
        <v/>
      </c>
      <c r="G18" s="7713" t="s">
        <v>2224</v>
      </c>
      <c r="H18" s="7713" t="str">
        <f t="shared" si="2"/>
        <v/>
      </c>
      <c r="I18" s="7713">
        <v>60.0</v>
      </c>
      <c r="J18" s="7713">
        <v>60.0</v>
      </c>
      <c r="K18" s="7713">
        <v>45.0</v>
      </c>
      <c r="L18" s="7713">
        <v>50.0</v>
      </c>
      <c r="M18" s="7713">
        <v>95.0</v>
      </c>
      <c r="N18" s="7724">
        <v>70.0</v>
      </c>
      <c r="O18" s="7725">
        <v>70.0</v>
      </c>
      <c r="P18" s="7716" t="s">
        <v>2249</v>
      </c>
      <c r="Q18" s="7717"/>
      <c r="R18" s="7701"/>
      <c r="S18" s="7705"/>
    </row>
    <row r="19" ht="18.75" customHeight="1">
      <c r="A19" s="7696"/>
      <c r="B19" s="7718" t="s">
        <v>2066</v>
      </c>
      <c r="C19" s="7723" t="s">
        <v>2250</v>
      </c>
      <c r="D19" s="7720"/>
      <c r="E19" s="7723" t="s">
        <v>2243</v>
      </c>
      <c r="F19" s="7723" t="str">
        <f t="shared" si="1"/>
        <v/>
      </c>
      <c r="G19" s="7723" t="s">
        <v>2224</v>
      </c>
      <c r="H19" s="7723" t="str">
        <f t="shared" si="2"/>
        <v/>
      </c>
      <c r="I19" s="7719">
        <v>60.0</v>
      </c>
      <c r="J19" s="7719">
        <v>45.0</v>
      </c>
      <c r="K19" s="7719">
        <v>100.0</v>
      </c>
      <c r="L19" s="7719">
        <v>140.0</v>
      </c>
      <c r="M19" s="7719">
        <v>100.0</v>
      </c>
      <c r="N19" s="7726">
        <v>90.0</v>
      </c>
      <c r="O19" s="7701"/>
      <c r="P19" s="7716" t="s">
        <v>2251</v>
      </c>
      <c r="Q19" s="7717"/>
      <c r="R19" s="7701"/>
      <c r="S19" s="7705"/>
    </row>
    <row r="20" ht="18.75" customHeight="1">
      <c r="A20" s="7696"/>
      <c r="B20" s="7712" t="s">
        <v>2252</v>
      </c>
      <c r="C20" s="7713" t="s">
        <v>2253</v>
      </c>
      <c r="D20" s="7714"/>
      <c r="E20" s="7713" t="s">
        <v>2243</v>
      </c>
      <c r="F20" s="7713" t="str">
        <f t="shared" si="1"/>
        <v/>
      </c>
      <c r="G20" s="7713" t="s">
        <v>2210</v>
      </c>
      <c r="H20" s="7713" t="str">
        <f t="shared" si="2"/>
        <v/>
      </c>
      <c r="I20" s="7713">
        <v>40.0</v>
      </c>
      <c r="J20" s="7713">
        <v>35.0</v>
      </c>
      <c r="K20" s="7713">
        <v>30.0</v>
      </c>
      <c r="L20" s="7713">
        <v>20.0</v>
      </c>
      <c r="M20" s="7713">
        <v>20.0</v>
      </c>
      <c r="N20" s="7715">
        <v>50.0</v>
      </c>
      <c r="O20" s="7701"/>
      <c r="P20" s="7727" t="s">
        <v>2254</v>
      </c>
      <c r="Q20" s="7728"/>
      <c r="R20" s="7701"/>
      <c r="S20" s="7705"/>
    </row>
    <row r="21" ht="18.75" customHeight="1">
      <c r="A21" s="7696"/>
      <c r="B21" s="7718" t="s">
        <v>2255</v>
      </c>
      <c r="C21" s="7719" t="s">
        <v>2256</v>
      </c>
      <c r="D21" s="7720"/>
      <c r="E21" s="7719" t="s">
        <v>2243</v>
      </c>
      <c r="F21" s="7719" t="str">
        <f t="shared" si="1"/>
        <v/>
      </c>
      <c r="G21" s="7719" t="s">
        <v>2210</v>
      </c>
      <c r="H21" s="7719" t="str">
        <f t="shared" si="2"/>
        <v/>
      </c>
      <c r="I21" s="7719">
        <v>45.0</v>
      </c>
      <c r="J21" s="7719">
        <v>25.0</v>
      </c>
      <c r="K21" s="7719">
        <v>50.0</v>
      </c>
      <c r="L21" s="7719">
        <v>25.0</v>
      </c>
      <c r="M21" s="7719">
        <v>25.0</v>
      </c>
      <c r="N21" s="7721">
        <v>35.0</v>
      </c>
      <c r="O21" s="7701"/>
      <c r="P21" s="7729"/>
      <c r="Q21" s="7729"/>
      <c r="R21" s="7704"/>
      <c r="S21" s="7705"/>
    </row>
    <row r="22" ht="18.75" customHeight="1">
      <c r="A22" s="7696"/>
      <c r="B22" s="7712" t="s">
        <v>2257</v>
      </c>
      <c r="C22" s="7713" t="s">
        <v>2258</v>
      </c>
      <c r="D22" s="7714"/>
      <c r="E22" s="7713" t="s">
        <v>2243</v>
      </c>
      <c r="F22" s="7713" t="str">
        <f t="shared" si="1"/>
        <v/>
      </c>
      <c r="G22" s="7713" t="s">
        <v>2210</v>
      </c>
      <c r="H22" s="7713" t="str">
        <f t="shared" si="2"/>
        <v/>
      </c>
      <c r="I22" s="7713">
        <v>65.0</v>
      </c>
      <c r="J22" s="7713">
        <v>90.0</v>
      </c>
      <c r="K22" s="7713">
        <v>40.0</v>
      </c>
      <c r="L22" s="7713">
        <v>45.0</v>
      </c>
      <c r="M22" s="7713">
        <v>80.0</v>
      </c>
      <c r="N22" s="7715">
        <v>75.0</v>
      </c>
      <c r="O22" s="7701"/>
      <c r="P22" s="7730">
        <v>1.0</v>
      </c>
      <c r="Q22" s="7731" t="str">
        <f t="shared" ref="Q22:Q26" si="3">IMAGE("https://i.ibb.co/RPvhxVR/Red1-5.png",3)</f>
        <v/>
      </c>
      <c r="R22" s="7704"/>
      <c r="S22" s="7705"/>
    </row>
    <row r="23" ht="18.75" customHeight="1">
      <c r="A23" s="7696"/>
      <c r="B23" s="7718" t="s">
        <v>1632</v>
      </c>
      <c r="C23" s="7723" t="s">
        <v>2259</v>
      </c>
      <c r="D23" s="7720"/>
      <c r="E23" s="7723" t="s">
        <v>2243</v>
      </c>
      <c r="F23" s="7723" t="str">
        <f t="shared" si="1"/>
        <v/>
      </c>
      <c r="G23" s="7723" t="s">
        <v>2210</v>
      </c>
      <c r="H23" s="7723" t="str">
        <f t="shared" si="2"/>
        <v/>
      </c>
      <c r="I23" s="7719">
        <v>65.0</v>
      </c>
      <c r="J23" s="7719">
        <v>150.0</v>
      </c>
      <c r="K23" s="7719">
        <v>40.0</v>
      </c>
      <c r="L23" s="7719">
        <v>15.0</v>
      </c>
      <c r="M23" s="7719">
        <v>80.0</v>
      </c>
      <c r="N23" s="7721">
        <v>145.0</v>
      </c>
      <c r="O23" s="7701"/>
      <c r="P23" s="7732">
        <v>2.0</v>
      </c>
      <c r="Q23" s="7731" t="str">
        <f t="shared" si="3"/>
        <v/>
      </c>
      <c r="R23" s="7704"/>
      <c r="S23" s="7705"/>
    </row>
    <row r="24" ht="18.75" customHeight="1">
      <c r="A24" s="7696"/>
      <c r="B24" s="7712" t="s">
        <v>2260</v>
      </c>
      <c r="C24" s="7713" t="s">
        <v>2261</v>
      </c>
      <c r="D24" s="7714"/>
      <c r="E24" s="7713" t="s">
        <v>2262</v>
      </c>
      <c r="F24" s="7713" t="str">
        <f t="shared" si="1"/>
        <v/>
      </c>
      <c r="G24" s="7713" t="s">
        <v>2224</v>
      </c>
      <c r="H24" s="7713" t="str">
        <f t="shared" si="2"/>
        <v/>
      </c>
      <c r="I24" s="7713">
        <v>40.0</v>
      </c>
      <c r="J24" s="7713">
        <v>45.0</v>
      </c>
      <c r="K24" s="7713">
        <v>40.0</v>
      </c>
      <c r="L24" s="7713">
        <v>35.0</v>
      </c>
      <c r="M24" s="7713">
        <v>35.0</v>
      </c>
      <c r="N24" s="7715">
        <v>56.0</v>
      </c>
      <c r="O24" s="7701"/>
      <c r="P24" s="7732">
        <v>3.0</v>
      </c>
      <c r="Q24" s="7731" t="str">
        <f t="shared" si="3"/>
        <v/>
      </c>
      <c r="R24" s="7704"/>
      <c r="S24" s="7705"/>
    </row>
    <row r="25" ht="18.75" customHeight="1">
      <c r="A25" s="7696"/>
      <c r="B25" s="7718" t="s">
        <v>2263</v>
      </c>
      <c r="C25" s="7719" t="s">
        <v>2264</v>
      </c>
      <c r="D25" s="7720"/>
      <c r="E25" s="7719" t="s">
        <v>2262</v>
      </c>
      <c r="F25" s="7719" t="str">
        <f t="shared" si="1"/>
        <v/>
      </c>
      <c r="G25" s="7719" t="s">
        <v>2224</v>
      </c>
      <c r="H25" s="7719" t="str">
        <f t="shared" si="2"/>
        <v/>
      </c>
      <c r="I25" s="7719">
        <v>63.0</v>
      </c>
      <c r="J25" s="7719">
        <v>60.0</v>
      </c>
      <c r="K25" s="7719">
        <v>55.0</v>
      </c>
      <c r="L25" s="7719">
        <v>50.0</v>
      </c>
      <c r="M25" s="7719">
        <v>50.0</v>
      </c>
      <c r="N25" s="7721">
        <v>71.0</v>
      </c>
      <c r="O25" s="7701"/>
      <c r="P25" s="7732">
        <v>4.0</v>
      </c>
      <c r="Q25" s="7731" t="str">
        <f t="shared" si="3"/>
        <v/>
      </c>
      <c r="R25" s="7704"/>
      <c r="S25" s="7705"/>
    </row>
    <row r="26" ht="18.75" customHeight="1">
      <c r="A26" s="7696"/>
      <c r="B26" s="7712" t="s">
        <v>2265</v>
      </c>
      <c r="C26" s="7713" t="s">
        <v>2266</v>
      </c>
      <c r="D26" s="7714"/>
      <c r="E26" s="7713" t="s">
        <v>2262</v>
      </c>
      <c r="F26" s="7713" t="str">
        <f t="shared" si="1"/>
        <v/>
      </c>
      <c r="G26" s="7713" t="s">
        <v>2224</v>
      </c>
      <c r="H26" s="7713" t="str">
        <f t="shared" si="2"/>
        <v/>
      </c>
      <c r="I26" s="7713">
        <v>83.0</v>
      </c>
      <c r="J26" s="7713">
        <v>80.0</v>
      </c>
      <c r="K26" s="7713">
        <v>75.0</v>
      </c>
      <c r="L26" s="7713">
        <v>70.0</v>
      </c>
      <c r="M26" s="7713">
        <v>70.0</v>
      </c>
      <c r="N26" s="7715">
        <v>101.0</v>
      </c>
      <c r="O26" s="7701"/>
      <c r="P26" s="7732">
        <v>5.0</v>
      </c>
      <c r="Q26" s="7731" t="str">
        <f t="shared" si="3"/>
        <v/>
      </c>
      <c r="R26" s="7704"/>
      <c r="S26" s="7705"/>
    </row>
    <row r="27" ht="18.75" customHeight="1">
      <c r="A27" s="7696"/>
      <c r="B27" s="7718" t="s">
        <v>1685</v>
      </c>
      <c r="C27" s="7723" t="s">
        <v>2267</v>
      </c>
      <c r="D27" s="7720"/>
      <c r="E27" s="7723" t="s">
        <v>2262</v>
      </c>
      <c r="F27" s="7723" t="str">
        <f t="shared" si="1"/>
        <v/>
      </c>
      <c r="G27" s="7723" t="s">
        <v>2224</v>
      </c>
      <c r="H27" s="7723" t="str">
        <f t="shared" si="2"/>
        <v/>
      </c>
      <c r="I27" s="7719">
        <v>83.0</v>
      </c>
      <c r="J27" s="7719">
        <v>80.0</v>
      </c>
      <c r="K27" s="7719">
        <v>80.0</v>
      </c>
      <c r="L27" s="7719">
        <v>135.0</v>
      </c>
      <c r="M27" s="7719">
        <v>80.0</v>
      </c>
      <c r="N27" s="7721">
        <v>121.0</v>
      </c>
      <c r="O27" s="7701"/>
      <c r="P27" s="7732">
        <v>6.0</v>
      </c>
      <c r="Q27" s="7733" t="str">
        <f t="shared" ref="Q27:Q31" si="4">IMAGE("https://i.ibb.co/HhY4z0w/Red6-10.png",3)</f>
        <v/>
      </c>
      <c r="R27" s="7704"/>
      <c r="S27" s="7705"/>
    </row>
    <row r="28" ht="18.75" customHeight="1">
      <c r="A28" s="7696"/>
      <c r="B28" s="7712" t="s">
        <v>2268</v>
      </c>
      <c r="C28" s="7713" t="s">
        <v>2269</v>
      </c>
      <c r="D28" s="7714"/>
      <c r="E28" s="7713" t="s">
        <v>2262</v>
      </c>
      <c r="F28" s="7713" t="str">
        <f t="shared" si="1"/>
        <v/>
      </c>
      <c r="G28" s="7713"/>
      <c r="H28" s="7713" t="str">
        <f t="shared" si="2"/>
        <v/>
      </c>
      <c r="I28" s="7713">
        <v>30.0</v>
      </c>
      <c r="J28" s="7713">
        <v>56.0</v>
      </c>
      <c r="K28" s="7713">
        <v>35.0</v>
      </c>
      <c r="L28" s="7713">
        <v>25.0</v>
      </c>
      <c r="M28" s="7713">
        <v>35.0</v>
      </c>
      <c r="N28" s="7715">
        <v>72.0</v>
      </c>
      <c r="O28" s="7701"/>
      <c r="P28" s="7732">
        <v>7.0</v>
      </c>
      <c r="Q28" s="7733" t="str">
        <f t="shared" si="4"/>
        <v/>
      </c>
      <c r="R28" s="7704"/>
      <c r="S28" s="7705"/>
    </row>
    <row r="29" ht="18.75" customHeight="1">
      <c r="A29" s="7696"/>
      <c r="B29" s="7718" t="s">
        <v>2270</v>
      </c>
      <c r="C29" s="7723" t="s">
        <v>2271</v>
      </c>
      <c r="D29" s="7720"/>
      <c r="E29" s="7723" t="s">
        <v>2272</v>
      </c>
      <c r="F29" s="7723" t="str">
        <f t="shared" si="1"/>
        <v/>
      </c>
      <c r="G29" s="7723" t="s">
        <v>2262</v>
      </c>
      <c r="H29" s="7723" t="str">
        <f t="shared" si="2"/>
        <v/>
      </c>
      <c r="I29" s="7719">
        <v>30.0</v>
      </c>
      <c r="J29" s="7719">
        <v>56.0</v>
      </c>
      <c r="K29" s="7719">
        <v>35.0</v>
      </c>
      <c r="L29" s="7719">
        <v>25.0</v>
      </c>
      <c r="M29" s="7719">
        <v>35.0</v>
      </c>
      <c r="N29" s="7721">
        <v>72.0</v>
      </c>
      <c r="O29" s="7701"/>
      <c r="P29" s="7732">
        <v>8.0</v>
      </c>
      <c r="Q29" s="7733" t="str">
        <f t="shared" si="4"/>
        <v/>
      </c>
      <c r="R29" s="7704"/>
      <c r="S29" s="7705"/>
    </row>
    <row r="30" ht="18.75" customHeight="1">
      <c r="A30" s="7696"/>
      <c r="B30" s="7712" t="s">
        <v>149</v>
      </c>
      <c r="C30" s="7713" t="s">
        <v>2273</v>
      </c>
      <c r="D30" s="7714"/>
      <c r="E30" s="7713" t="s">
        <v>2262</v>
      </c>
      <c r="F30" s="7713" t="str">
        <f t="shared" si="1"/>
        <v/>
      </c>
      <c r="G30" s="7713"/>
      <c r="H30" s="7713" t="str">
        <f t="shared" si="2"/>
        <v/>
      </c>
      <c r="I30" s="7713">
        <v>60.0</v>
      </c>
      <c r="J30" s="7713">
        <v>91.0</v>
      </c>
      <c r="K30" s="7713">
        <v>60.0</v>
      </c>
      <c r="L30" s="7713">
        <v>50.0</v>
      </c>
      <c r="M30" s="7713">
        <v>70.0</v>
      </c>
      <c r="N30" s="7715">
        <v>97.0</v>
      </c>
      <c r="O30" s="7701"/>
      <c r="P30" s="7732">
        <v>9.0</v>
      </c>
      <c r="Q30" s="7733" t="str">
        <f t="shared" si="4"/>
        <v/>
      </c>
      <c r="R30" s="7704"/>
      <c r="S30" s="7705"/>
    </row>
    <row r="31" ht="18.75" customHeight="1">
      <c r="A31" s="7696"/>
      <c r="B31" s="7718" t="s">
        <v>161</v>
      </c>
      <c r="C31" s="7723" t="s">
        <v>2274</v>
      </c>
      <c r="D31" s="7720"/>
      <c r="E31" s="7723" t="s">
        <v>2272</v>
      </c>
      <c r="F31" s="7723" t="str">
        <f t="shared" si="1"/>
        <v/>
      </c>
      <c r="G31" s="7723" t="s">
        <v>2262</v>
      </c>
      <c r="H31" s="7723" t="str">
        <f t="shared" si="2"/>
        <v/>
      </c>
      <c r="I31" s="7719">
        <v>75.0</v>
      </c>
      <c r="J31" s="7719">
        <v>86.0</v>
      </c>
      <c r="K31" s="7719">
        <v>70.0</v>
      </c>
      <c r="L31" s="7719">
        <v>40.0</v>
      </c>
      <c r="M31" s="7719">
        <v>80.0</v>
      </c>
      <c r="N31" s="7721">
        <v>77.0</v>
      </c>
      <c r="O31" s="7701"/>
      <c r="P31" s="7732">
        <v>10.0</v>
      </c>
      <c r="Q31" s="7733" t="str">
        <f t="shared" si="4"/>
        <v/>
      </c>
      <c r="R31" s="7704"/>
      <c r="S31" s="7705"/>
    </row>
    <row r="32" ht="18.75" customHeight="1">
      <c r="A32" s="7696"/>
      <c r="B32" s="7712" t="s">
        <v>2275</v>
      </c>
      <c r="C32" s="7713" t="s">
        <v>2276</v>
      </c>
      <c r="D32" s="7714"/>
      <c r="E32" s="7713" t="s">
        <v>2262</v>
      </c>
      <c r="F32" s="7713" t="str">
        <f t="shared" si="1"/>
        <v/>
      </c>
      <c r="G32" s="7713" t="s">
        <v>2224</v>
      </c>
      <c r="H32" s="7713" t="str">
        <f t="shared" si="2"/>
        <v/>
      </c>
      <c r="I32" s="7713">
        <v>40.0</v>
      </c>
      <c r="J32" s="7713">
        <v>60.0</v>
      </c>
      <c r="K32" s="7713">
        <v>30.0</v>
      </c>
      <c r="L32" s="7713">
        <v>31.0</v>
      </c>
      <c r="M32" s="7713">
        <v>31.0</v>
      </c>
      <c r="N32" s="7715">
        <v>70.0</v>
      </c>
      <c r="O32" s="7701"/>
      <c r="P32" s="7732">
        <v>11.0</v>
      </c>
      <c r="Q32" s="7733" t="str">
        <f t="shared" ref="Q32:Q36" si="5">IMAGE("https://i.ibb.co/SJscv2Q/Red11-15.png",3)</f>
        <v/>
      </c>
      <c r="R32" s="7704"/>
      <c r="S32" s="7705"/>
    </row>
    <row r="33" ht="18.75" customHeight="1">
      <c r="A33" s="7696"/>
      <c r="B33" s="7718" t="s">
        <v>1143</v>
      </c>
      <c r="C33" s="7719" t="s">
        <v>2277</v>
      </c>
      <c r="D33" s="7720"/>
      <c r="E33" s="7719" t="s">
        <v>2262</v>
      </c>
      <c r="F33" s="7719" t="str">
        <f t="shared" si="1"/>
        <v/>
      </c>
      <c r="G33" s="7719" t="s">
        <v>2224</v>
      </c>
      <c r="H33" s="7719" t="str">
        <f t="shared" si="2"/>
        <v/>
      </c>
      <c r="I33" s="7719">
        <v>65.0</v>
      </c>
      <c r="J33" s="7719">
        <v>100.0</v>
      </c>
      <c r="K33" s="7719">
        <v>65.0</v>
      </c>
      <c r="L33" s="7719">
        <v>61.0</v>
      </c>
      <c r="M33" s="7719">
        <v>61.0</v>
      </c>
      <c r="N33" s="7721">
        <v>115.0</v>
      </c>
      <c r="O33" s="7701"/>
      <c r="P33" s="7732">
        <v>12.0</v>
      </c>
      <c r="Q33" s="7733" t="str">
        <f t="shared" si="5"/>
        <v/>
      </c>
      <c r="R33" s="7704"/>
      <c r="S33" s="7705"/>
    </row>
    <row r="34" ht="18.75" customHeight="1">
      <c r="A34" s="7696"/>
      <c r="B34" s="7712" t="s">
        <v>2278</v>
      </c>
      <c r="C34" s="7713" t="s">
        <v>2279</v>
      </c>
      <c r="D34" s="7714"/>
      <c r="E34" s="7713" t="s">
        <v>2210</v>
      </c>
      <c r="F34" s="7713" t="str">
        <f t="shared" si="1"/>
        <v/>
      </c>
      <c r="G34" s="7713"/>
      <c r="H34" s="7713" t="str">
        <f t="shared" si="2"/>
        <v/>
      </c>
      <c r="I34" s="7713">
        <v>35.0</v>
      </c>
      <c r="J34" s="7713">
        <v>60.0</v>
      </c>
      <c r="K34" s="7713">
        <v>44.0</v>
      </c>
      <c r="L34" s="7713">
        <v>40.0</v>
      </c>
      <c r="M34" s="7713">
        <v>54.0</v>
      </c>
      <c r="N34" s="7715">
        <v>55.0</v>
      </c>
      <c r="O34" s="7701"/>
      <c r="P34" s="7732">
        <v>13.0</v>
      </c>
      <c r="Q34" s="7733" t="str">
        <f t="shared" si="5"/>
        <v/>
      </c>
      <c r="R34" s="7704"/>
      <c r="S34" s="7705"/>
    </row>
    <row r="35" ht="18.75" customHeight="1">
      <c r="A35" s="7696"/>
      <c r="B35" s="7718" t="s">
        <v>1000</v>
      </c>
      <c r="C35" s="7719" t="s">
        <v>2280</v>
      </c>
      <c r="D35" s="7720"/>
      <c r="E35" s="7719" t="s">
        <v>2210</v>
      </c>
      <c r="F35" s="7719" t="str">
        <f t="shared" si="1"/>
        <v/>
      </c>
      <c r="G35" s="7719" t="s">
        <v>2272</v>
      </c>
      <c r="H35" s="7719" t="str">
        <f t="shared" si="2"/>
        <v/>
      </c>
      <c r="I35" s="7719">
        <v>75.0</v>
      </c>
      <c r="J35" s="7719">
        <v>95.0</v>
      </c>
      <c r="K35" s="7719">
        <v>75.0</v>
      </c>
      <c r="L35" s="7719">
        <v>65.0</v>
      </c>
      <c r="M35" s="7719">
        <v>79.0</v>
      </c>
      <c r="N35" s="7721">
        <v>80.0</v>
      </c>
      <c r="O35" s="7701"/>
      <c r="P35" s="7732">
        <v>14.0</v>
      </c>
      <c r="Q35" s="7733" t="str">
        <f t="shared" si="5"/>
        <v/>
      </c>
      <c r="R35" s="7704"/>
      <c r="S35" s="7705"/>
    </row>
    <row r="36" ht="18.75" customHeight="1">
      <c r="A36" s="7696"/>
      <c r="B36" s="7712" t="s">
        <v>2281</v>
      </c>
      <c r="C36" s="7713" t="s">
        <v>2282</v>
      </c>
      <c r="D36" s="7714"/>
      <c r="E36" s="7713" t="s">
        <v>2283</v>
      </c>
      <c r="F36" s="7713" t="str">
        <f t="shared" si="1"/>
        <v/>
      </c>
      <c r="G36" s="7713"/>
      <c r="H36" s="7713" t="str">
        <f t="shared" si="2"/>
        <v/>
      </c>
      <c r="I36" s="7713">
        <v>35.0</v>
      </c>
      <c r="J36" s="7713">
        <v>55.0</v>
      </c>
      <c r="K36" s="7713">
        <v>40.0</v>
      </c>
      <c r="L36" s="7713">
        <v>50.0</v>
      </c>
      <c r="M36" s="7713">
        <v>50.0</v>
      </c>
      <c r="N36" s="7715">
        <v>90.0</v>
      </c>
      <c r="O36" s="7701"/>
      <c r="P36" s="7732">
        <v>15.0</v>
      </c>
      <c r="Q36" s="7733" t="str">
        <f t="shared" si="5"/>
        <v/>
      </c>
      <c r="R36" s="7704"/>
      <c r="S36" s="7705"/>
    </row>
    <row r="37" ht="18.75" customHeight="1">
      <c r="A37" s="7696"/>
      <c r="B37" s="7718" t="s">
        <v>2284</v>
      </c>
      <c r="C37" s="7723" t="s">
        <v>2285</v>
      </c>
      <c r="D37" s="7720"/>
      <c r="E37" s="7723" t="s">
        <v>2283</v>
      </c>
      <c r="F37" s="7723" t="str">
        <f t="shared" si="1"/>
        <v/>
      </c>
      <c r="G37" s="7723" t="s">
        <v>2286</v>
      </c>
      <c r="H37" s="7723" t="str">
        <f t="shared" si="2"/>
        <v/>
      </c>
      <c r="I37" s="7719">
        <v>35.0</v>
      </c>
      <c r="J37" s="7719">
        <v>55.0</v>
      </c>
      <c r="K37" s="7719">
        <v>40.0</v>
      </c>
      <c r="L37" s="7719">
        <v>50.0</v>
      </c>
      <c r="M37" s="7719">
        <v>50.0</v>
      </c>
      <c r="N37" s="7721">
        <v>90.0</v>
      </c>
      <c r="O37" s="7701"/>
      <c r="P37" s="7732">
        <v>16.0</v>
      </c>
      <c r="Q37" s="7733" t="str">
        <f t="shared" ref="Q37:Q46" si="6">IMAGE("https://i.ibb.co/8X8n5s0/Red16-25.png",3)</f>
        <v/>
      </c>
      <c r="R37" s="7704"/>
      <c r="S37" s="7705"/>
    </row>
    <row r="38" ht="18.75" customHeight="1">
      <c r="A38" s="7696"/>
      <c r="B38" s="7712" t="s">
        <v>2287</v>
      </c>
      <c r="C38" s="7722" t="s">
        <v>2288</v>
      </c>
      <c r="D38" s="7714"/>
      <c r="E38" s="7722" t="s">
        <v>2283</v>
      </c>
      <c r="F38" s="7722" t="str">
        <f t="shared" si="1"/>
        <v/>
      </c>
      <c r="G38" s="7722" t="s">
        <v>2289</v>
      </c>
      <c r="H38" s="7722" t="str">
        <f t="shared" si="2"/>
        <v/>
      </c>
      <c r="I38" s="7713">
        <v>35.0</v>
      </c>
      <c r="J38" s="7713">
        <v>55.0</v>
      </c>
      <c r="K38" s="7713">
        <v>40.0</v>
      </c>
      <c r="L38" s="7713">
        <v>50.0</v>
      </c>
      <c r="M38" s="7713">
        <v>50.0</v>
      </c>
      <c r="N38" s="7715">
        <v>90.0</v>
      </c>
      <c r="O38" s="7701"/>
      <c r="P38" s="7732">
        <v>17.0</v>
      </c>
      <c r="Q38" s="7733" t="str">
        <f t="shared" si="6"/>
        <v/>
      </c>
      <c r="R38" s="7704"/>
      <c r="S38" s="7705"/>
    </row>
    <row r="39" ht="18.75" customHeight="1">
      <c r="A39" s="7696"/>
      <c r="B39" s="7718" t="s">
        <v>2290</v>
      </c>
      <c r="C39" s="7723" t="s">
        <v>2291</v>
      </c>
      <c r="D39" s="7720"/>
      <c r="E39" s="7723" t="s">
        <v>2283</v>
      </c>
      <c r="F39" s="7723" t="str">
        <f t="shared" si="1"/>
        <v/>
      </c>
      <c r="G39" s="7723" t="s">
        <v>2292</v>
      </c>
      <c r="H39" s="7723" t="str">
        <f t="shared" si="2"/>
        <v/>
      </c>
      <c r="I39" s="7719">
        <v>35.0</v>
      </c>
      <c r="J39" s="7719">
        <v>55.0</v>
      </c>
      <c r="K39" s="7719">
        <v>40.0</v>
      </c>
      <c r="L39" s="7719">
        <v>50.0</v>
      </c>
      <c r="M39" s="7719">
        <v>50.0</v>
      </c>
      <c r="N39" s="7721">
        <v>90.0</v>
      </c>
      <c r="O39" s="7701"/>
      <c r="P39" s="7732">
        <v>18.0</v>
      </c>
      <c r="Q39" s="7733" t="str">
        <f t="shared" si="6"/>
        <v/>
      </c>
      <c r="R39" s="7704"/>
      <c r="S39" s="7705"/>
    </row>
    <row r="40" ht="18.75" customHeight="1">
      <c r="A40" s="7696"/>
      <c r="B40" s="7712" t="s">
        <v>2293</v>
      </c>
      <c r="C40" s="7722" t="s">
        <v>2294</v>
      </c>
      <c r="D40" s="7714"/>
      <c r="E40" s="7722" t="s">
        <v>2283</v>
      </c>
      <c r="F40" s="7722" t="str">
        <f t="shared" si="1"/>
        <v/>
      </c>
      <c r="G40" s="7722" t="s">
        <v>669</v>
      </c>
      <c r="H40" s="7722" t="str">
        <f t="shared" si="2"/>
        <v/>
      </c>
      <c r="I40" s="7713">
        <v>35.0</v>
      </c>
      <c r="J40" s="7713">
        <v>55.0</v>
      </c>
      <c r="K40" s="7713">
        <v>40.0</v>
      </c>
      <c r="L40" s="7713">
        <v>50.0</v>
      </c>
      <c r="M40" s="7713">
        <v>50.0</v>
      </c>
      <c r="N40" s="7715">
        <v>90.0</v>
      </c>
      <c r="O40" s="7701"/>
      <c r="P40" s="7732">
        <v>19.0</v>
      </c>
      <c r="Q40" s="7733" t="str">
        <f t="shared" si="6"/>
        <v/>
      </c>
      <c r="R40" s="7704"/>
      <c r="S40" s="7705"/>
    </row>
    <row r="41" ht="18.75" customHeight="1">
      <c r="A41" s="7696"/>
      <c r="B41" s="7718" t="s">
        <v>2048</v>
      </c>
      <c r="C41" s="7723" t="s">
        <v>2295</v>
      </c>
      <c r="D41" s="7720"/>
      <c r="E41" s="7723" t="s">
        <v>2283</v>
      </c>
      <c r="F41" s="7723" t="str">
        <f t="shared" si="1"/>
        <v/>
      </c>
      <c r="G41" s="7723" t="s">
        <v>2296</v>
      </c>
      <c r="H41" s="7723" t="str">
        <f t="shared" si="2"/>
        <v/>
      </c>
      <c r="I41" s="7719">
        <v>35.0</v>
      </c>
      <c r="J41" s="7719">
        <v>55.0</v>
      </c>
      <c r="K41" s="7719">
        <v>40.0</v>
      </c>
      <c r="L41" s="7719">
        <v>50.0</v>
      </c>
      <c r="M41" s="7719">
        <v>50.0</v>
      </c>
      <c r="N41" s="7721">
        <v>90.0</v>
      </c>
      <c r="O41" s="7701"/>
      <c r="P41" s="7732">
        <v>20.0</v>
      </c>
      <c r="Q41" s="7733" t="str">
        <f t="shared" si="6"/>
        <v/>
      </c>
      <c r="R41" s="7704"/>
      <c r="S41" s="7705"/>
    </row>
    <row r="42" ht="18.75" customHeight="1">
      <c r="A42" s="7696"/>
      <c r="B42" s="7712" t="s">
        <v>1374</v>
      </c>
      <c r="C42" s="7722" t="s">
        <v>2297</v>
      </c>
      <c r="D42" s="7714"/>
      <c r="E42" s="7722" t="s">
        <v>2283</v>
      </c>
      <c r="F42" s="7722" t="str">
        <f t="shared" si="1"/>
        <v/>
      </c>
      <c r="G42" s="7722" t="s">
        <v>2224</v>
      </c>
      <c r="H42" s="7722" t="str">
        <f t="shared" si="2"/>
        <v/>
      </c>
      <c r="I42" s="7713">
        <v>35.0</v>
      </c>
      <c r="J42" s="7713">
        <v>55.0</v>
      </c>
      <c r="K42" s="7713">
        <v>40.0</v>
      </c>
      <c r="L42" s="7713">
        <v>50.0</v>
      </c>
      <c r="M42" s="7713">
        <v>50.0</v>
      </c>
      <c r="N42" s="7715">
        <v>90.0</v>
      </c>
      <c r="O42" s="7701"/>
      <c r="P42" s="7732">
        <v>21.0</v>
      </c>
      <c r="Q42" s="7733" t="str">
        <f t="shared" si="6"/>
        <v/>
      </c>
      <c r="R42" s="7704"/>
      <c r="S42" s="7705"/>
    </row>
    <row r="43" ht="18.75" customHeight="1">
      <c r="A43" s="7696"/>
      <c r="B43" s="7718" t="s">
        <v>1460</v>
      </c>
      <c r="C43" s="7723" t="s">
        <v>2298</v>
      </c>
      <c r="D43" s="7720"/>
      <c r="E43" s="7723" t="s">
        <v>2283</v>
      </c>
      <c r="F43" s="7723" t="str">
        <f t="shared" si="1"/>
        <v/>
      </c>
      <c r="G43" s="7723" t="s">
        <v>2232</v>
      </c>
      <c r="H43" s="7723" t="str">
        <f t="shared" si="2"/>
        <v/>
      </c>
      <c r="I43" s="7719">
        <v>35.0</v>
      </c>
      <c r="J43" s="7719">
        <v>55.0</v>
      </c>
      <c r="K43" s="7719">
        <v>40.0</v>
      </c>
      <c r="L43" s="7719">
        <v>50.0</v>
      </c>
      <c r="M43" s="7719">
        <v>50.0</v>
      </c>
      <c r="N43" s="7721">
        <v>90.0</v>
      </c>
      <c r="O43" s="7701"/>
      <c r="P43" s="7732">
        <v>22.0</v>
      </c>
      <c r="Q43" s="7733" t="str">
        <f t="shared" si="6"/>
        <v/>
      </c>
      <c r="R43" s="7704"/>
      <c r="S43" s="7705"/>
    </row>
    <row r="44" ht="18.75" customHeight="1">
      <c r="A44" s="7696"/>
      <c r="B44" s="7712" t="s">
        <v>2299</v>
      </c>
      <c r="C44" s="7713" t="s">
        <v>2300</v>
      </c>
      <c r="D44" s="7714"/>
      <c r="E44" s="7713" t="s">
        <v>2283</v>
      </c>
      <c r="F44" s="7713" t="str">
        <f t="shared" si="1"/>
        <v/>
      </c>
      <c r="G44" s="7722" t="s">
        <v>2262</v>
      </c>
      <c r="H44" s="7713" t="str">
        <f t="shared" si="2"/>
        <v/>
      </c>
      <c r="I44" s="7713">
        <v>70.0</v>
      </c>
      <c r="J44" s="7713">
        <v>100.0</v>
      </c>
      <c r="K44" s="7713">
        <v>55.0</v>
      </c>
      <c r="L44" s="7713">
        <v>100.0</v>
      </c>
      <c r="M44" s="7713">
        <v>80.0</v>
      </c>
      <c r="N44" s="7715">
        <v>110.0</v>
      </c>
      <c r="O44" s="7701"/>
      <c r="P44" s="7732">
        <v>23.0</v>
      </c>
      <c r="Q44" s="7733" t="str">
        <f t="shared" si="6"/>
        <v/>
      </c>
      <c r="R44" s="7704"/>
      <c r="S44" s="7705"/>
    </row>
    <row r="45" ht="18.75" customHeight="1">
      <c r="A45" s="7696"/>
      <c r="B45" s="7718" t="s">
        <v>560</v>
      </c>
      <c r="C45" s="7723" t="s">
        <v>2301</v>
      </c>
      <c r="D45" s="7720"/>
      <c r="E45" s="7723" t="s">
        <v>2283</v>
      </c>
      <c r="F45" s="7723" t="str">
        <f t="shared" si="1"/>
        <v/>
      </c>
      <c r="G45" s="7723" t="s">
        <v>669</v>
      </c>
      <c r="H45" s="7723" t="str">
        <f t="shared" si="2"/>
        <v/>
      </c>
      <c r="I45" s="7719">
        <v>60.0</v>
      </c>
      <c r="J45" s="7719">
        <v>85.0</v>
      </c>
      <c r="K45" s="7719">
        <v>50.0</v>
      </c>
      <c r="L45" s="7719">
        <v>95.0</v>
      </c>
      <c r="M45" s="7719">
        <v>85.0</v>
      </c>
      <c r="N45" s="7721">
        <v>110.0</v>
      </c>
      <c r="O45" s="7701"/>
      <c r="P45" s="7732">
        <v>24.0</v>
      </c>
      <c r="Q45" s="7733" t="str">
        <f t="shared" si="6"/>
        <v/>
      </c>
      <c r="R45" s="7704"/>
      <c r="S45" s="7705"/>
    </row>
    <row r="46" ht="18.75" customHeight="1">
      <c r="A46" s="7696"/>
      <c r="B46" s="7712" t="s">
        <v>2302</v>
      </c>
      <c r="C46" s="7713" t="s">
        <v>2303</v>
      </c>
      <c r="D46" s="7714"/>
      <c r="E46" s="7713" t="s">
        <v>2304</v>
      </c>
      <c r="F46" s="7713" t="str">
        <f t="shared" si="1"/>
        <v/>
      </c>
      <c r="G46" s="7713"/>
      <c r="H46" s="7713" t="str">
        <f t="shared" si="2"/>
        <v/>
      </c>
      <c r="I46" s="7713">
        <v>50.0</v>
      </c>
      <c r="J46" s="7713">
        <v>75.0</v>
      </c>
      <c r="K46" s="7713">
        <v>85.0</v>
      </c>
      <c r="L46" s="7713">
        <v>20.0</v>
      </c>
      <c r="M46" s="7713">
        <v>30.0</v>
      </c>
      <c r="N46" s="7715">
        <v>40.0</v>
      </c>
      <c r="O46" s="7701"/>
      <c r="P46" s="7732">
        <v>25.0</v>
      </c>
      <c r="Q46" s="7733" t="str">
        <f t="shared" si="6"/>
        <v/>
      </c>
      <c r="R46" s="7704"/>
      <c r="S46" s="7705"/>
    </row>
    <row r="47" ht="18.75" customHeight="1">
      <c r="A47" s="7696"/>
      <c r="B47" s="7718" t="s">
        <v>2305</v>
      </c>
      <c r="C47" s="7723" t="s">
        <v>2306</v>
      </c>
      <c r="D47" s="7720"/>
      <c r="E47" s="7723" t="s">
        <v>2289</v>
      </c>
      <c r="F47" s="7723" t="str">
        <f t="shared" si="1"/>
        <v/>
      </c>
      <c r="G47" s="7723" t="s">
        <v>2286</v>
      </c>
      <c r="H47" s="7723" t="str">
        <f t="shared" si="2"/>
        <v/>
      </c>
      <c r="I47" s="7719">
        <v>50.0</v>
      </c>
      <c r="J47" s="7719">
        <v>75.0</v>
      </c>
      <c r="K47" s="7719">
        <v>90.0</v>
      </c>
      <c r="L47" s="7719">
        <v>10.0</v>
      </c>
      <c r="M47" s="7719">
        <v>35.0</v>
      </c>
      <c r="N47" s="7721">
        <v>40.0</v>
      </c>
      <c r="O47" s="7701"/>
      <c r="P47" s="7732">
        <v>26.0</v>
      </c>
      <c r="Q47" s="7733" t="str">
        <f t="shared" ref="Q47:Q50" si="7">IMAGE("https://i.ibb.co/19Tn2Lg/Red26-30.png",3)</f>
        <v/>
      </c>
      <c r="R47" s="7704"/>
      <c r="S47" s="7705"/>
    </row>
    <row r="48" ht="18.75" customHeight="1">
      <c r="A48" s="7696"/>
      <c r="B48" s="7712" t="s">
        <v>2307</v>
      </c>
      <c r="C48" s="7713" t="s">
        <v>2308</v>
      </c>
      <c r="D48" s="7714"/>
      <c r="E48" s="7713" t="s">
        <v>2304</v>
      </c>
      <c r="F48" s="7713" t="str">
        <f t="shared" si="1"/>
        <v/>
      </c>
      <c r="G48" s="7713"/>
      <c r="H48" s="7713" t="str">
        <f t="shared" si="2"/>
        <v/>
      </c>
      <c r="I48" s="7713">
        <v>75.0</v>
      </c>
      <c r="J48" s="7713">
        <v>110.0</v>
      </c>
      <c r="K48" s="7713">
        <v>120.0</v>
      </c>
      <c r="L48" s="7713">
        <v>25.0</v>
      </c>
      <c r="M48" s="7713">
        <v>65.0</v>
      </c>
      <c r="N48" s="7715">
        <v>65.0</v>
      </c>
      <c r="O48" s="7701"/>
      <c r="P48" s="7732">
        <v>27.0</v>
      </c>
      <c r="Q48" s="7733" t="str">
        <f t="shared" si="7"/>
        <v/>
      </c>
      <c r="R48" s="7704"/>
      <c r="S48" s="7705"/>
    </row>
    <row r="49" ht="18.75" customHeight="1">
      <c r="A49" s="7696"/>
      <c r="B49" s="7718" t="s">
        <v>934</v>
      </c>
      <c r="C49" s="7723" t="s">
        <v>2309</v>
      </c>
      <c r="D49" s="7720"/>
      <c r="E49" s="7723" t="s">
        <v>2289</v>
      </c>
      <c r="F49" s="7723" t="str">
        <f t="shared" si="1"/>
        <v/>
      </c>
      <c r="G49" s="7723" t="s">
        <v>2286</v>
      </c>
      <c r="H49" s="7723" t="str">
        <f t="shared" si="2"/>
        <v/>
      </c>
      <c r="I49" s="7719">
        <v>75.0</v>
      </c>
      <c r="J49" s="7719">
        <v>110.0</v>
      </c>
      <c r="K49" s="7719">
        <v>120.0</v>
      </c>
      <c r="L49" s="7719">
        <v>25.0</v>
      </c>
      <c r="M49" s="7719">
        <v>65.0</v>
      </c>
      <c r="N49" s="7721">
        <v>65.0</v>
      </c>
      <c r="O49" s="7701"/>
      <c r="P49" s="7732">
        <v>28.0</v>
      </c>
      <c r="Q49" s="7733" t="str">
        <f t="shared" si="7"/>
        <v/>
      </c>
      <c r="R49" s="7704"/>
      <c r="S49" s="7705"/>
    </row>
    <row r="50" ht="18.75" customHeight="1">
      <c r="A50" s="7696"/>
      <c r="B50" s="7712" t="s">
        <v>2310</v>
      </c>
      <c r="C50" s="7722" t="s">
        <v>2311</v>
      </c>
      <c r="D50" s="7714"/>
      <c r="E50" s="7722" t="s">
        <v>2210</v>
      </c>
      <c r="F50" s="7722" t="str">
        <f t="shared" si="1"/>
        <v/>
      </c>
      <c r="G50" s="7722"/>
      <c r="H50" s="7722" t="str">
        <f t="shared" si="2"/>
        <v/>
      </c>
      <c r="I50" s="7713">
        <v>55.0</v>
      </c>
      <c r="J50" s="7713">
        <v>47.0</v>
      </c>
      <c r="K50" s="7713">
        <v>52.0</v>
      </c>
      <c r="L50" s="7713">
        <v>40.0</v>
      </c>
      <c r="M50" s="7713">
        <v>40.0</v>
      </c>
      <c r="N50" s="7715">
        <v>41.0</v>
      </c>
      <c r="O50" s="7701"/>
      <c r="P50" s="7732">
        <v>29.0</v>
      </c>
      <c r="Q50" s="7733" t="str">
        <f t="shared" si="7"/>
        <v/>
      </c>
      <c r="R50" s="7704"/>
      <c r="S50" s="7705"/>
    </row>
    <row r="51" ht="18.75" customHeight="1">
      <c r="A51" s="7696"/>
      <c r="B51" s="7718" t="s">
        <v>2312</v>
      </c>
      <c r="C51" s="7719" t="s">
        <v>2313</v>
      </c>
      <c r="D51" s="7720"/>
      <c r="E51" s="7719" t="s">
        <v>2210</v>
      </c>
      <c r="F51" s="7719" t="str">
        <f t="shared" si="1"/>
        <v/>
      </c>
      <c r="G51" s="7719"/>
      <c r="H51" s="7719" t="str">
        <f t="shared" si="2"/>
        <v/>
      </c>
      <c r="I51" s="7719">
        <v>70.0</v>
      </c>
      <c r="J51" s="7719">
        <v>62.0</v>
      </c>
      <c r="K51" s="7719">
        <v>67.0</v>
      </c>
      <c r="L51" s="7719">
        <v>55.0</v>
      </c>
      <c r="M51" s="7719">
        <v>55.0</v>
      </c>
      <c r="N51" s="7721">
        <v>56.0</v>
      </c>
      <c r="O51" s="7701"/>
      <c r="P51" s="7734">
        <v>30.0</v>
      </c>
      <c r="Q51" s="7735" t="str">
        <f t="shared" ref="Q51:Q60" si="8">IMAGE("https://i.ibb.co/37bdwmF/Orange30-39.png",3)</f>
        <v/>
      </c>
      <c r="R51" s="7704"/>
      <c r="S51" s="7705"/>
    </row>
    <row r="52" ht="18.75" customHeight="1">
      <c r="A52" s="7696"/>
      <c r="B52" s="7712" t="s">
        <v>1455</v>
      </c>
      <c r="C52" s="7713" t="s">
        <v>2314</v>
      </c>
      <c r="D52" s="7714"/>
      <c r="E52" s="7713" t="s">
        <v>2210</v>
      </c>
      <c r="F52" s="7713" t="str">
        <f t="shared" si="1"/>
        <v/>
      </c>
      <c r="G52" s="7713" t="s">
        <v>2304</v>
      </c>
      <c r="H52" s="7713" t="str">
        <f t="shared" si="2"/>
        <v/>
      </c>
      <c r="I52" s="7713">
        <v>90.0</v>
      </c>
      <c r="J52" s="7713">
        <v>92.0</v>
      </c>
      <c r="K52" s="7713">
        <v>87.0</v>
      </c>
      <c r="L52" s="7713">
        <v>75.0</v>
      </c>
      <c r="M52" s="7713">
        <v>85.0</v>
      </c>
      <c r="N52" s="7715">
        <v>76.0</v>
      </c>
      <c r="O52" s="7701"/>
      <c r="P52" s="7734">
        <v>31.0</v>
      </c>
      <c r="Q52" s="7735" t="str">
        <f t="shared" si="8"/>
        <v/>
      </c>
      <c r="R52" s="7704"/>
      <c r="S52" s="7705"/>
    </row>
    <row r="53" ht="18.75" customHeight="1">
      <c r="A53" s="7696"/>
      <c r="B53" s="7718" t="s">
        <v>2315</v>
      </c>
      <c r="C53" s="7723" t="s">
        <v>2316</v>
      </c>
      <c r="D53" s="7720"/>
      <c r="E53" s="7723" t="s">
        <v>2210</v>
      </c>
      <c r="F53" s="7723" t="str">
        <f t="shared" si="1"/>
        <v/>
      </c>
      <c r="G53" s="7723"/>
      <c r="H53" s="7723" t="str">
        <f t="shared" si="2"/>
        <v/>
      </c>
      <c r="I53" s="7719">
        <v>46.0</v>
      </c>
      <c r="J53" s="7719">
        <v>57.0</v>
      </c>
      <c r="K53" s="7719">
        <v>40.0</v>
      </c>
      <c r="L53" s="7719">
        <v>40.0</v>
      </c>
      <c r="M53" s="7719">
        <v>40.0</v>
      </c>
      <c r="N53" s="7721">
        <v>50.0</v>
      </c>
      <c r="O53" s="7701"/>
      <c r="P53" s="7734">
        <v>32.0</v>
      </c>
      <c r="Q53" s="7735" t="str">
        <f t="shared" si="8"/>
        <v/>
      </c>
      <c r="R53" s="7704"/>
      <c r="S53" s="7705"/>
    </row>
    <row r="54" ht="18.75" customHeight="1">
      <c r="A54" s="7696"/>
      <c r="B54" s="7712" t="s">
        <v>2317</v>
      </c>
      <c r="C54" s="7713" t="s">
        <v>2318</v>
      </c>
      <c r="D54" s="7714"/>
      <c r="E54" s="7713" t="s">
        <v>2210</v>
      </c>
      <c r="F54" s="7713" t="str">
        <f t="shared" si="1"/>
        <v/>
      </c>
      <c r="G54" s="7713"/>
      <c r="H54" s="7713" t="str">
        <f t="shared" si="2"/>
        <v/>
      </c>
      <c r="I54" s="7713">
        <v>61.0</v>
      </c>
      <c r="J54" s="7713">
        <v>72.0</v>
      </c>
      <c r="K54" s="7713">
        <v>57.0</v>
      </c>
      <c r="L54" s="7713">
        <v>55.0</v>
      </c>
      <c r="M54" s="7713">
        <v>55.0</v>
      </c>
      <c r="N54" s="7715">
        <v>65.0</v>
      </c>
      <c r="O54" s="7701"/>
      <c r="P54" s="7734">
        <v>33.0</v>
      </c>
      <c r="Q54" s="7735" t="str">
        <f t="shared" si="8"/>
        <v/>
      </c>
      <c r="R54" s="7704"/>
      <c r="S54" s="7705"/>
    </row>
    <row r="55" ht="18.75" customHeight="1">
      <c r="A55" s="7696"/>
      <c r="B55" s="7718" t="s">
        <v>656</v>
      </c>
      <c r="C55" s="7719" t="s">
        <v>2319</v>
      </c>
      <c r="D55" s="7720"/>
      <c r="E55" s="7719" t="s">
        <v>2210</v>
      </c>
      <c r="F55" s="7719" t="str">
        <f t="shared" si="1"/>
        <v/>
      </c>
      <c r="G55" s="7719" t="s">
        <v>2304</v>
      </c>
      <c r="H55" s="7719" t="str">
        <f t="shared" si="2"/>
        <v/>
      </c>
      <c r="I55" s="7719">
        <v>81.0</v>
      </c>
      <c r="J55" s="7719">
        <v>102.0</v>
      </c>
      <c r="K55" s="7719">
        <v>77.0</v>
      </c>
      <c r="L55" s="7719">
        <v>85.0</v>
      </c>
      <c r="M55" s="7719">
        <v>75.0</v>
      </c>
      <c r="N55" s="7721">
        <v>85.0</v>
      </c>
      <c r="O55" s="7701"/>
      <c r="P55" s="7734">
        <v>34.0</v>
      </c>
      <c r="Q55" s="7735" t="str">
        <f t="shared" si="8"/>
        <v/>
      </c>
      <c r="R55" s="7704"/>
      <c r="S55" s="7705"/>
    </row>
    <row r="56" ht="18.75" customHeight="1">
      <c r="A56" s="7696"/>
      <c r="B56" s="7712" t="s">
        <v>1352</v>
      </c>
      <c r="C56" s="7713" t="s">
        <v>2320</v>
      </c>
      <c r="D56" s="7714"/>
      <c r="E56" s="7713" t="s">
        <v>2292</v>
      </c>
      <c r="F56" s="7713" t="str">
        <f t="shared" si="1"/>
        <v/>
      </c>
      <c r="G56" s="7713"/>
      <c r="H56" s="7713" t="str">
        <f t="shared" si="2"/>
        <v/>
      </c>
      <c r="I56" s="7713">
        <v>70.0</v>
      </c>
      <c r="J56" s="7713">
        <v>45.0</v>
      </c>
      <c r="K56" s="7713">
        <v>48.0</v>
      </c>
      <c r="L56" s="7713">
        <v>60.0</v>
      </c>
      <c r="M56" s="7713">
        <v>65.0</v>
      </c>
      <c r="N56" s="7715">
        <v>35.0</v>
      </c>
      <c r="O56" s="7701"/>
      <c r="P56" s="7734">
        <v>35.0</v>
      </c>
      <c r="Q56" s="7735" t="str">
        <f t="shared" si="8"/>
        <v/>
      </c>
      <c r="R56" s="7704"/>
      <c r="S56" s="7705"/>
    </row>
    <row r="57" ht="18.75" customHeight="1">
      <c r="A57" s="7696"/>
      <c r="B57" s="7718" t="s">
        <v>913</v>
      </c>
      <c r="C57" s="7719" t="s">
        <v>2321</v>
      </c>
      <c r="D57" s="7720"/>
      <c r="E57" s="7719" t="s">
        <v>2292</v>
      </c>
      <c r="F57" s="7719" t="str">
        <f t="shared" si="1"/>
        <v/>
      </c>
      <c r="G57" s="7719"/>
      <c r="H57" s="7719" t="str">
        <f t="shared" si="2"/>
        <v/>
      </c>
      <c r="I57" s="7719">
        <v>95.0</v>
      </c>
      <c r="J57" s="7719">
        <v>70.0</v>
      </c>
      <c r="K57" s="7719">
        <v>73.0</v>
      </c>
      <c r="L57" s="7719">
        <v>95.0</v>
      </c>
      <c r="M57" s="7719">
        <v>90.0</v>
      </c>
      <c r="N57" s="7721">
        <v>60.0</v>
      </c>
      <c r="O57" s="7701"/>
      <c r="P57" s="7734">
        <v>36.0</v>
      </c>
      <c r="Q57" s="7735" t="str">
        <f t="shared" si="8"/>
        <v/>
      </c>
      <c r="R57" s="7704"/>
      <c r="S57" s="7705"/>
    </row>
    <row r="58" ht="18.75" customHeight="1">
      <c r="A58" s="7696"/>
      <c r="B58" s="7712" t="s">
        <v>2322</v>
      </c>
      <c r="C58" s="7713" t="s">
        <v>2323</v>
      </c>
      <c r="D58" s="7714"/>
      <c r="E58" s="7713" t="s">
        <v>2219</v>
      </c>
      <c r="F58" s="7713" t="str">
        <f t="shared" si="1"/>
        <v/>
      </c>
      <c r="G58" s="7713"/>
      <c r="H58" s="7713" t="str">
        <f t="shared" si="2"/>
        <v/>
      </c>
      <c r="I58" s="7713">
        <v>38.0</v>
      </c>
      <c r="J58" s="7713">
        <v>41.0</v>
      </c>
      <c r="K58" s="7713">
        <v>40.0</v>
      </c>
      <c r="L58" s="7713">
        <v>50.0</v>
      </c>
      <c r="M58" s="7713">
        <v>65.0</v>
      </c>
      <c r="N58" s="7715">
        <v>65.0</v>
      </c>
      <c r="O58" s="7701"/>
      <c r="P58" s="7734">
        <v>37.0</v>
      </c>
      <c r="Q58" s="7735" t="str">
        <f t="shared" si="8"/>
        <v/>
      </c>
      <c r="R58" s="7704"/>
      <c r="S58" s="7705"/>
    </row>
    <row r="59" ht="18.75" customHeight="1">
      <c r="A59" s="7696"/>
      <c r="B59" s="7718" t="s">
        <v>2324</v>
      </c>
      <c r="C59" s="7723" t="s">
        <v>2325</v>
      </c>
      <c r="D59" s="7720"/>
      <c r="E59" s="7723" t="s">
        <v>2289</v>
      </c>
      <c r="F59" s="7723" t="str">
        <f t="shared" si="1"/>
        <v/>
      </c>
      <c r="G59" s="7723"/>
      <c r="H59" s="7723" t="str">
        <f t="shared" si="2"/>
        <v/>
      </c>
      <c r="I59" s="7719">
        <v>38.0</v>
      </c>
      <c r="J59" s="7719">
        <v>41.0</v>
      </c>
      <c r="K59" s="7719">
        <v>40.0</v>
      </c>
      <c r="L59" s="7719">
        <v>50.0</v>
      </c>
      <c r="M59" s="7719">
        <v>65.0</v>
      </c>
      <c r="N59" s="7721">
        <v>65.0</v>
      </c>
      <c r="O59" s="7701"/>
      <c r="P59" s="7734">
        <v>38.0</v>
      </c>
      <c r="Q59" s="7735" t="str">
        <f t="shared" si="8"/>
        <v/>
      </c>
      <c r="R59" s="7704"/>
      <c r="S59" s="7705"/>
    </row>
    <row r="60" ht="18.75" customHeight="1">
      <c r="A60" s="7696"/>
      <c r="B60" s="7712" t="s">
        <v>282</v>
      </c>
      <c r="C60" s="7713" t="s">
        <v>2326</v>
      </c>
      <c r="D60" s="7714"/>
      <c r="E60" s="7713" t="s">
        <v>2219</v>
      </c>
      <c r="F60" s="7713" t="str">
        <f t="shared" si="1"/>
        <v/>
      </c>
      <c r="G60" s="7713"/>
      <c r="H60" s="7713" t="str">
        <f t="shared" si="2"/>
        <v/>
      </c>
      <c r="I60" s="7713">
        <v>73.0</v>
      </c>
      <c r="J60" s="7713">
        <v>76.0</v>
      </c>
      <c r="K60" s="7713">
        <v>75.0</v>
      </c>
      <c r="L60" s="7713">
        <v>81.0</v>
      </c>
      <c r="M60" s="7713">
        <v>100.0</v>
      </c>
      <c r="N60" s="7715">
        <v>100.0</v>
      </c>
      <c r="O60" s="7701"/>
      <c r="P60" s="7734">
        <v>39.0</v>
      </c>
      <c r="Q60" s="7735" t="str">
        <f t="shared" si="8"/>
        <v/>
      </c>
      <c r="R60" s="7704"/>
      <c r="S60" s="7705"/>
    </row>
    <row r="61" ht="18.75" customHeight="1">
      <c r="A61" s="7696"/>
      <c r="B61" s="7718" t="s">
        <v>1227</v>
      </c>
      <c r="C61" s="7723" t="s">
        <v>2327</v>
      </c>
      <c r="D61" s="7720"/>
      <c r="E61" s="7723" t="s">
        <v>2289</v>
      </c>
      <c r="F61" s="7723" t="str">
        <f t="shared" si="1"/>
        <v/>
      </c>
      <c r="G61" s="7723" t="s">
        <v>2292</v>
      </c>
      <c r="H61" s="7723" t="str">
        <f t="shared" si="2"/>
        <v/>
      </c>
      <c r="I61" s="7719">
        <v>73.0</v>
      </c>
      <c r="J61" s="7719">
        <v>67.0</v>
      </c>
      <c r="K61" s="7719">
        <v>75.0</v>
      </c>
      <c r="L61" s="7719">
        <v>81.0</v>
      </c>
      <c r="M61" s="7719">
        <v>100.0</v>
      </c>
      <c r="N61" s="7721">
        <v>109.0</v>
      </c>
      <c r="O61" s="7701"/>
      <c r="P61" s="7734">
        <v>40.0</v>
      </c>
      <c r="Q61" s="7735" t="str">
        <f t="shared" ref="Q61:Q70" si="9">IMAGE("https://i.ibb.co/YbHsjZP/Orange40-49.png",3)</f>
        <v/>
      </c>
      <c r="R61" s="7704"/>
      <c r="S61" s="7705"/>
    </row>
    <row r="62" ht="18.75" customHeight="1">
      <c r="A62" s="7696"/>
      <c r="B62" s="7712" t="s">
        <v>1404</v>
      </c>
      <c r="C62" s="7713" t="s">
        <v>2328</v>
      </c>
      <c r="D62" s="7714"/>
      <c r="E62" s="7713" t="s">
        <v>2262</v>
      </c>
      <c r="F62" s="7713" t="str">
        <f t="shared" si="1"/>
        <v/>
      </c>
      <c r="G62" s="7713" t="s">
        <v>2292</v>
      </c>
      <c r="H62" s="7713" t="str">
        <f t="shared" si="2"/>
        <v/>
      </c>
      <c r="I62" s="7713">
        <v>115.0</v>
      </c>
      <c r="J62" s="7713">
        <v>45.0</v>
      </c>
      <c r="K62" s="7713">
        <v>20.0</v>
      </c>
      <c r="L62" s="7713">
        <v>45.0</v>
      </c>
      <c r="M62" s="7713">
        <v>25.0</v>
      </c>
      <c r="N62" s="7715">
        <v>20.0</v>
      </c>
      <c r="O62" s="7701"/>
      <c r="P62" s="7734">
        <v>41.0</v>
      </c>
      <c r="Q62" s="7735" t="str">
        <f t="shared" si="9"/>
        <v/>
      </c>
      <c r="R62" s="7704"/>
      <c r="S62" s="7705"/>
    </row>
    <row r="63" ht="18.75" customHeight="1">
      <c r="A63" s="7696"/>
      <c r="B63" s="7718" t="s">
        <v>172</v>
      </c>
      <c r="C63" s="7719" t="s">
        <v>2329</v>
      </c>
      <c r="D63" s="7720"/>
      <c r="E63" s="7719" t="s">
        <v>2262</v>
      </c>
      <c r="F63" s="7719" t="str">
        <f t="shared" si="1"/>
        <v/>
      </c>
      <c r="G63" s="7719" t="s">
        <v>2292</v>
      </c>
      <c r="H63" s="7719" t="str">
        <f t="shared" si="2"/>
        <v/>
      </c>
      <c r="I63" s="7719">
        <v>140.0</v>
      </c>
      <c r="J63" s="7719">
        <v>70.0</v>
      </c>
      <c r="K63" s="7719">
        <v>45.0</v>
      </c>
      <c r="L63" s="7719">
        <v>85.0</v>
      </c>
      <c r="M63" s="7719">
        <v>50.0</v>
      </c>
      <c r="N63" s="7721">
        <v>45.0</v>
      </c>
      <c r="O63" s="7701"/>
      <c r="P63" s="7734">
        <v>42.0</v>
      </c>
      <c r="Q63" s="7735" t="str">
        <f t="shared" si="9"/>
        <v/>
      </c>
      <c r="R63" s="7704"/>
      <c r="S63" s="7705"/>
    </row>
    <row r="64" ht="18.75" customHeight="1">
      <c r="A64" s="7696"/>
      <c r="B64" s="7712" t="s">
        <v>2330</v>
      </c>
      <c r="C64" s="7713" t="s">
        <v>2331</v>
      </c>
      <c r="D64" s="7714"/>
      <c r="E64" s="7713" t="s">
        <v>2210</v>
      </c>
      <c r="F64" s="7713" t="str">
        <f t="shared" si="1"/>
        <v/>
      </c>
      <c r="G64" s="7713" t="s">
        <v>2224</v>
      </c>
      <c r="H64" s="7713" t="str">
        <f t="shared" si="2"/>
        <v/>
      </c>
      <c r="I64" s="7713">
        <v>40.0</v>
      </c>
      <c r="J64" s="7713">
        <v>45.0</v>
      </c>
      <c r="K64" s="7713">
        <v>35.0</v>
      </c>
      <c r="L64" s="7713">
        <v>30.0</v>
      </c>
      <c r="M64" s="7713">
        <v>40.0</v>
      </c>
      <c r="N64" s="7715">
        <v>55.0</v>
      </c>
      <c r="O64" s="7701"/>
      <c r="P64" s="7734">
        <v>43.0</v>
      </c>
      <c r="Q64" s="7735" t="str">
        <f t="shared" si="9"/>
        <v/>
      </c>
      <c r="R64" s="7704"/>
      <c r="S64" s="7705"/>
    </row>
    <row r="65" ht="18.75" customHeight="1">
      <c r="A65" s="7696"/>
      <c r="B65" s="7718" t="s">
        <v>2332</v>
      </c>
      <c r="C65" s="7719" t="s">
        <v>2333</v>
      </c>
      <c r="D65" s="7720"/>
      <c r="E65" s="7719" t="s">
        <v>2210</v>
      </c>
      <c r="F65" s="7719" t="str">
        <f t="shared" si="1"/>
        <v/>
      </c>
      <c r="G65" s="7719" t="s">
        <v>2224</v>
      </c>
      <c r="H65" s="7719" t="str">
        <f t="shared" si="2"/>
        <v/>
      </c>
      <c r="I65" s="7719">
        <v>75.0</v>
      </c>
      <c r="J65" s="7719">
        <v>80.0</v>
      </c>
      <c r="K65" s="7719">
        <v>70.0</v>
      </c>
      <c r="L65" s="7719">
        <v>65.0</v>
      </c>
      <c r="M65" s="7719">
        <v>75.0</v>
      </c>
      <c r="N65" s="7721">
        <v>90.0</v>
      </c>
      <c r="O65" s="7701"/>
      <c r="P65" s="7734">
        <v>44.0</v>
      </c>
      <c r="Q65" s="7735" t="str">
        <f t="shared" si="9"/>
        <v/>
      </c>
      <c r="R65" s="7704"/>
      <c r="S65" s="7705"/>
    </row>
    <row r="66" ht="18.75" customHeight="1">
      <c r="A66" s="7696"/>
      <c r="B66" s="7712" t="s">
        <v>2334</v>
      </c>
      <c r="C66" s="7713" t="s">
        <v>2335</v>
      </c>
      <c r="D66" s="7714"/>
      <c r="E66" s="7713" t="s">
        <v>2209</v>
      </c>
      <c r="F66" s="7713" t="str">
        <f t="shared" si="1"/>
        <v/>
      </c>
      <c r="G66" s="7713" t="s">
        <v>2210</v>
      </c>
      <c r="H66" s="7713" t="str">
        <f t="shared" si="2"/>
        <v/>
      </c>
      <c r="I66" s="7713">
        <v>45.0</v>
      </c>
      <c r="J66" s="7713">
        <v>50.0</v>
      </c>
      <c r="K66" s="7713">
        <v>55.0</v>
      </c>
      <c r="L66" s="7713">
        <v>75.0</v>
      </c>
      <c r="M66" s="7713">
        <v>65.0</v>
      </c>
      <c r="N66" s="7715">
        <v>30.0</v>
      </c>
      <c r="O66" s="7701"/>
      <c r="P66" s="7734">
        <v>45.0</v>
      </c>
      <c r="Q66" s="7735" t="str">
        <f t="shared" si="9"/>
        <v/>
      </c>
      <c r="R66" s="7704"/>
      <c r="S66" s="7705"/>
    </row>
    <row r="67" ht="18.75" customHeight="1">
      <c r="A67" s="7696"/>
      <c r="B67" s="7718" t="s">
        <v>2336</v>
      </c>
      <c r="C67" s="7719" t="s">
        <v>2337</v>
      </c>
      <c r="D67" s="7720"/>
      <c r="E67" s="7719" t="s">
        <v>2209</v>
      </c>
      <c r="F67" s="7719" t="str">
        <f t="shared" si="1"/>
        <v/>
      </c>
      <c r="G67" s="7719" t="s">
        <v>2210</v>
      </c>
      <c r="H67" s="7719" t="str">
        <f t="shared" si="2"/>
        <v/>
      </c>
      <c r="I67" s="7719">
        <v>60.0</v>
      </c>
      <c r="J67" s="7719">
        <v>65.0</v>
      </c>
      <c r="K67" s="7719">
        <v>70.0</v>
      </c>
      <c r="L67" s="7719">
        <v>85.0</v>
      </c>
      <c r="M67" s="7719">
        <v>75.0</v>
      </c>
      <c r="N67" s="7721">
        <v>40.0</v>
      </c>
      <c r="O67" s="7701"/>
      <c r="P67" s="7734">
        <v>46.0</v>
      </c>
      <c r="Q67" s="7735" t="str">
        <f t="shared" si="9"/>
        <v/>
      </c>
      <c r="R67" s="7704"/>
      <c r="S67" s="7705"/>
    </row>
    <row r="68" ht="18.75" customHeight="1">
      <c r="A68" s="7696"/>
      <c r="B68" s="7712" t="s">
        <v>247</v>
      </c>
      <c r="C68" s="7713" t="s">
        <v>2338</v>
      </c>
      <c r="D68" s="7714"/>
      <c r="E68" s="7713" t="s">
        <v>2209</v>
      </c>
      <c r="F68" s="7713" t="str">
        <f t="shared" si="1"/>
        <v/>
      </c>
      <c r="G68" s="7713" t="s">
        <v>2210</v>
      </c>
      <c r="H68" s="7713" t="str">
        <f t="shared" si="2"/>
        <v/>
      </c>
      <c r="I68" s="7713">
        <v>75.0</v>
      </c>
      <c r="J68" s="7713">
        <v>80.0</v>
      </c>
      <c r="K68" s="7713">
        <v>85.0</v>
      </c>
      <c r="L68" s="7713">
        <v>110.0</v>
      </c>
      <c r="M68" s="7713">
        <v>90.0</v>
      </c>
      <c r="N68" s="7715">
        <v>50.0</v>
      </c>
      <c r="O68" s="7701"/>
      <c r="P68" s="7734">
        <v>47.0</v>
      </c>
      <c r="Q68" s="7735" t="str">
        <f t="shared" si="9"/>
        <v/>
      </c>
      <c r="R68" s="7704"/>
      <c r="S68" s="7705"/>
    </row>
    <row r="69" ht="18.75" customHeight="1">
      <c r="A69" s="7696"/>
      <c r="B69" s="7718" t="s">
        <v>2339</v>
      </c>
      <c r="C69" s="7719" t="s">
        <v>2340</v>
      </c>
      <c r="D69" s="7720"/>
      <c r="E69" s="7719" t="s">
        <v>2243</v>
      </c>
      <c r="F69" s="7719" t="str">
        <f t="shared" si="1"/>
        <v/>
      </c>
      <c r="G69" s="7719" t="s">
        <v>2209</v>
      </c>
      <c r="H69" s="7719" t="str">
        <f t="shared" si="2"/>
        <v/>
      </c>
      <c r="I69" s="7719">
        <v>35.0</v>
      </c>
      <c r="J69" s="7719">
        <v>70.0</v>
      </c>
      <c r="K69" s="7719">
        <v>55.0</v>
      </c>
      <c r="L69" s="7719">
        <v>45.0</v>
      </c>
      <c r="M69" s="7719">
        <v>55.0</v>
      </c>
      <c r="N69" s="7721">
        <v>25.0</v>
      </c>
      <c r="O69" s="7701"/>
      <c r="P69" s="7734">
        <v>48.0</v>
      </c>
      <c r="Q69" s="7735" t="str">
        <f t="shared" si="9"/>
        <v/>
      </c>
      <c r="R69" s="7704"/>
      <c r="S69" s="7705"/>
    </row>
    <row r="70" ht="18.75" customHeight="1">
      <c r="A70" s="7696"/>
      <c r="B70" s="7712" t="s">
        <v>185</v>
      </c>
      <c r="C70" s="7713" t="s">
        <v>2341</v>
      </c>
      <c r="D70" s="7714"/>
      <c r="E70" s="7713" t="s">
        <v>2243</v>
      </c>
      <c r="F70" s="7713" t="str">
        <f t="shared" si="1"/>
        <v/>
      </c>
      <c r="G70" s="7713" t="s">
        <v>2209</v>
      </c>
      <c r="H70" s="7713" t="str">
        <f t="shared" si="2"/>
        <v/>
      </c>
      <c r="I70" s="7713">
        <v>80.0</v>
      </c>
      <c r="J70" s="7713">
        <v>110.0</v>
      </c>
      <c r="K70" s="7713">
        <v>100.0</v>
      </c>
      <c r="L70" s="7713">
        <v>60.0</v>
      </c>
      <c r="M70" s="7713">
        <v>80.0</v>
      </c>
      <c r="N70" s="7715">
        <v>30.0</v>
      </c>
      <c r="O70" s="7701"/>
      <c r="P70" s="7734">
        <v>49.0</v>
      </c>
      <c r="Q70" s="7735" t="str">
        <f t="shared" si="9"/>
        <v/>
      </c>
      <c r="R70" s="7704"/>
      <c r="S70" s="7705"/>
    </row>
    <row r="71" ht="18.75" customHeight="1">
      <c r="A71" s="7696"/>
      <c r="B71" s="7718" t="s">
        <v>2342</v>
      </c>
      <c r="C71" s="7719" t="s">
        <v>2343</v>
      </c>
      <c r="D71" s="7720"/>
      <c r="E71" s="7719" t="s">
        <v>2243</v>
      </c>
      <c r="F71" s="7719" t="str">
        <f t="shared" si="1"/>
        <v/>
      </c>
      <c r="G71" s="7719" t="s">
        <v>2210</v>
      </c>
      <c r="H71" s="7719" t="str">
        <f t="shared" si="2"/>
        <v/>
      </c>
      <c r="I71" s="7719">
        <v>60.0</v>
      </c>
      <c r="J71" s="7719">
        <v>55.0</v>
      </c>
      <c r="K71" s="7719">
        <v>50.0</v>
      </c>
      <c r="L71" s="7719">
        <v>40.0</v>
      </c>
      <c r="M71" s="7719">
        <v>55.0</v>
      </c>
      <c r="N71" s="7721">
        <v>45.0</v>
      </c>
      <c r="O71" s="7701"/>
      <c r="P71" s="7734">
        <v>50.0</v>
      </c>
      <c r="Q71" s="7735" t="str">
        <f t="shared" ref="Q71:Q80" si="10">IMAGE("https://i.ibb.co/8KLPkvW/Orange50-59.png",3)</f>
        <v/>
      </c>
      <c r="R71" s="7704"/>
      <c r="S71" s="7705"/>
    </row>
    <row r="72" ht="18.75" customHeight="1">
      <c r="A72" s="7696"/>
      <c r="B72" s="7712" t="s">
        <v>198</v>
      </c>
      <c r="C72" s="7713" t="s">
        <v>2344</v>
      </c>
      <c r="D72" s="7714"/>
      <c r="E72" s="7713" t="s">
        <v>2243</v>
      </c>
      <c r="F72" s="7713" t="str">
        <f t="shared" si="1"/>
        <v/>
      </c>
      <c r="G72" s="7713" t="s">
        <v>2210</v>
      </c>
      <c r="H72" s="7713" t="str">
        <f t="shared" si="2"/>
        <v/>
      </c>
      <c r="I72" s="7713">
        <v>70.0</v>
      </c>
      <c r="J72" s="7713">
        <v>65.0</v>
      </c>
      <c r="K72" s="7713">
        <v>65.0</v>
      </c>
      <c r="L72" s="7713">
        <v>95.0</v>
      </c>
      <c r="M72" s="7713">
        <v>75.0</v>
      </c>
      <c r="N72" s="7715">
        <v>90.0</v>
      </c>
      <c r="O72" s="7701"/>
      <c r="P72" s="7734">
        <v>51.0</v>
      </c>
      <c r="Q72" s="7735" t="str">
        <f t="shared" si="10"/>
        <v/>
      </c>
      <c r="R72" s="7704"/>
      <c r="S72" s="7705"/>
    </row>
    <row r="73" ht="18.75" customHeight="1">
      <c r="A73" s="7696"/>
      <c r="B73" s="7718" t="s">
        <v>2345</v>
      </c>
      <c r="C73" s="7719" t="s">
        <v>2346</v>
      </c>
      <c r="D73" s="7720"/>
      <c r="E73" s="7719" t="s">
        <v>2304</v>
      </c>
      <c r="F73" s="7719" t="str">
        <f t="shared" si="1"/>
        <v/>
      </c>
      <c r="G73" s="7719"/>
      <c r="H73" s="7719" t="str">
        <f t="shared" si="2"/>
        <v/>
      </c>
      <c r="I73" s="7719">
        <v>10.0</v>
      </c>
      <c r="J73" s="7719">
        <v>55.0</v>
      </c>
      <c r="K73" s="7719">
        <v>25.0</v>
      </c>
      <c r="L73" s="7719">
        <v>35.0</v>
      </c>
      <c r="M73" s="7719">
        <v>45.0</v>
      </c>
      <c r="N73" s="7721">
        <v>95.0</v>
      </c>
      <c r="O73" s="7701"/>
      <c r="P73" s="7734">
        <v>52.0</v>
      </c>
      <c r="Q73" s="7735" t="str">
        <f t="shared" si="10"/>
        <v/>
      </c>
      <c r="R73" s="7704"/>
      <c r="S73" s="7705"/>
    </row>
    <row r="74" ht="18.75" customHeight="1">
      <c r="A74" s="7696"/>
      <c r="B74" s="7712" t="s">
        <v>2347</v>
      </c>
      <c r="C74" s="7722" t="s">
        <v>2348</v>
      </c>
      <c r="D74" s="7714"/>
      <c r="E74" s="7722" t="s">
        <v>2304</v>
      </c>
      <c r="F74" s="7722" t="str">
        <f t="shared" si="1"/>
        <v/>
      </c>
      <c r="G74" s="7722" t="s">
        <v>2286</v>
      </c>
      <c r="H74" s="7722" t="str">
        <f t="shared" si="2"/>
        <v/>
      </c>
      <c r="I74" s="7713">
        <v>10.0</v>
      </c>
      <c r="J74" s="7713">
        <v>55.0</v>
      </c>
      <c r="K74" s="7713">
        <v>30.0</v>
      </c>
      <c r="L74" s="7713">
        <v>35.0</v>
      </c>
      <c r="M74" s="7713">
        <v>45.0</v>
      </c>
      <c r="N74" s="7715">
        <v>90.0</v>
      </c>
      <c r="O74" s="7701"/>
      <c r="P74" s="7734">
        <v>53.0</v>
      </c>
      <c r="Q74" s="7735" t="str">
        <f t="shared" si="10"/>
        <v/>
      </c>
      <c r="R74" s="7704"/>
      <c r="S74" s="7705"/>
    </row>
    <row r="75" ht="18.75" customHeight="1">
      <c r="A75" s="7696"/>
      <c r="B75" s="7718" t="s">
        <v>210</v>
      </c>
      <c r="C75" s="7719" t="s">
        <v>2349</v>
      </c>
      <c r="D75" s="7720"/>
      <c r="E75" s="7719" t="s">
        <v>2304</v>
      </c>
      <c r="F75" s="7719" t="str">
        <f t="shared" si="1"/>
        <v/>
      </c>
      <c r="G75" s="7719"/>
      <c r="H75" s="7719" t="str">
        <f t="shared" si="2"/>
        <v/>
      </c>
      <c r="I75" s="7719">
        <v>35.0</v>
      </c>
      <c r="J75" s="7719">
        <v>100.0</v>
      </c>
      <c r="K75" s="7719">
        <v>50.0</v>
      </c>
      <c r="L75" s="7719">
        <v>50.0</v>
      </c>
      <c r="M75" s="7719">
        <v>70.0</v>
      </c>
      <c r="N75" s="7721">
        <v>120.0</v>
      </c>
      <c r="O75" s="7701"/>
      <c r="P75" s="7734">
        <v>54.0</v>
      </c>
      <c r="Q75" s="7735" t="str">
        <f t="shared" si="10"/>
        <v/>
      </c>
      <c r="R75" s="7704"/>
      <c r="S75" s="7705"/>
    </row>
    <row r="76" ht="18.75" customHeight="1">
      <c r="A76" s="7696"/>
      <c r="B76" s="7712" t="s">
        <v>221</v>
      </c>
      <c r="C76" s="7722" t="s">
        <v>2350</v>
      </c>
      <c r="D76" s="7714"/>
      <c r="E76" s="7722" t="s">
        <v>2304</v>
      </c>
      <c r="F76" s="7722" t="str">
        <f t="shared" si="1"/>
        <v/>
      </c>
      <c r="G76" s="7722" t="s">
        <v>2286</v>
      </c>
      <c r="H76" s="7722" t="str">
        <f t="shared" si="2"/>
        <v/>
      </c>
      <c r="I76" s="7713">
        <v>35.0</v>
      </c>
      <c r="J76" s="7713">
        <v>110.0</v>
      </c>
      <c r="K76" s="7713">
        <v>60.0</v>
      </c>
      <c r="L76" s="7713">
        <v>50.0</v>
      </c>
      <c r="M76" s="7713">
        <v>70.0</v>
      </c>
      <c r="N76" s="7715">
        <v>110.0</v>
      </c>
      <c r="O76" s="7701"/>
      <c r="P76" s="7734">
        <v>55.0</v>
      </c>
      <c r="Q76" s="7735" t="str">
        <f t="shared" si="10"/>
        <v/>
      </c>
      <c r="R76" s="7704"/>
      <c r="S76" s="7705"/>
    </row>
    <row r="77" ht="18.75" customHeight="1">
      <c r="A77" s="7696"/>
      <c r="B77" s="7718" t="s">
        <v>2351</v>
      </c>
      <c r="C77" s="7719" t="s">
        <v>2352</v>
      </c>
      <c r="D77" s="7720"/>
      <c r="E77" s="7719" t="s">
        <v>2262</v>
      </c>
      <c r="F77" s="7719" t="str">
        <f t="shared" si="1"/>
        <v/>
      </c>
      <c r="G77" s="7719"/>
      <c r="H77" s="7719" t="str">
        <f t="shared" si="2"/>
        <v/>
      </c>
      <c r="I77" s="7719">
        <v>40.0</v>
      </c>
      <c r="J77" s="7719">
        <v>45.0</v>
      </c>
      <c r="K77" s="7719">
        <v>35.0</v>
      </c>
      <c r="L77" s="7719">
        <v>40.0</v>
      </c>
      <c r="M77" s="7719">
        <v>40.0</v>
      </c>
      <c r="N77" s="7721">
        <v>90.0</v>
      </c>
      <c r="O77" s="7701"/>
      <c r="P77" s="7734">
        <v>56.0</v>
      </c>
      <c r="Q77" s="7735" t="str">
        <f t="shared" si="10"/>
        <v/>
      </c>
      <c r="R77" s="7704"/>
      <c r="S77" s="7705"/>
    </row>
    <row r="78" ht="18.75" customHeight="1">
      <c r="A78" s="7696"/>
      <c r="B78" s="7712" t="s">
        <v>2353</v>
      </c>
      <c r="C78" s="7722" t="s">
        <v>2354</v>
      </c>
      <c r="D78" s="7714"/>
      <c r="E78" s="7722" t="s">
        <v>2272</v>
      </c>
      <c r="F78" s="7722" t="str">
        <f t="shared" si="1"/>
        <v/>
      </c>
      <c r="G78" s="7722"/>
      <c r="H78" s="7722" t="str">
        <f t="shared" si="2"/>
        <v/>
      </c>
      <c r="I78" s="7713">
        <v>40.0</v>
      </c>
      <c r="J78" s="7713">
        <v>35.0</v>
      </c>
      <c r="K78" s="7713">
        <v>35.0</v>
      </c>
      <c r="L78" s="7713">
        <v>40.0</v>
      </c>
      <c r="M78" s="7713">
        <v>40.0</v>
      </c>
      <c r="N78" s="7715">
        <v>90.0</v>
      </c>
      <c r="O78" s="7701"/>
      <c r="P78" s="7734">
        <v>57.0</v>
      </c>
      <c r="Q78" s="7735" t="str">
        <f t="shared" si="10"/>
        <v/>
      </c>
      <c r="R78" s="7704"/>
      <c r="S78" s="7705"/>
    </row>
    <row r="79" ht="18.75" customHeight="1">
      <c r="A79" s="7696"/>
      <c r="B79" s="7718" t="s">
        <v>2355</v>
      </c>
      <c r="C79" s="7723" t="s">
        <v>2356</v>
      </c>
      <c r="D79" s="7720"/>
      <c r="E79" s="7723" t="s">
        <v>2286</v>
      </c>
      <c r="F79" s="7723" t="str">
        <f t="shared" si="1"/>
        <v/>
      </c>
      <c r="G79" s="7723"/>
      <c r="H79" s="7723" t="str">
        <f t="shared" si="2"/>
        <v/>
      </c>
      <c r="I79" s="7719">
        <v>50.0</v>
      </c>
      <c r="J79" s="7719">
        <v>65.0</v>
      </c>
      <c r="K79" s="7719">
        <v>55.0</v>
      </c>
      <c r="L79" s="7719">
        <v>40.0</v>
      </c>
      <c r="M79" s="7719">
        <v>40.0</v>
      </c>
      <c r="N79" s="7721">
        <v>40.0</v>
      </c>
      <c r="O79" s="7701"/>
      <c r="P79" s="7734">
        <v>58.0</v>
      </c>
      <c r="Q79" s="7735" t="str">
        <f t="shared" si="10"/>
        <v/>
      </c>
      <c r="R79" s="7704"/>
      <c r="S79" s="7705"/>
    </row>
    <row r="80" ht="18.75" customHeight="1">
      <c r="A80" s="7696"/>
      <c r="B80" s="7712" t="s">
        <v>231</v>
      </c>
      <c r="C80" s="7713" t="s">
        <v>2357</v>
      </c>
      <c r="D80" s="7714"/>
      <c r="E80" s="7713" t="s">
        <v>2262</v>
      </c>
      <c r="F80" s="7713" t="str">
        <f t="shared" si="1"/>
        <v/>
      </c>
      <c r="G80" s="7713"/>
      <c r="H80" s="7713" t="str">
        <f t="shared" si="2"/>
        <v/>
      </c>
      <c r="I80" s="7713">
        <v>65.0</v>
      </c>
      <c r="J80" s="7713">
        <v>80.0</v>
      </c>
      <c r="K80" s="7713">
        <v>60.0</v>
      </c>
      <c r="L80" s="7713">
        <v>60.0</v>
      </c>
      <c r="M80" s="7713">
        <v>65.0</v>
      </c>
      <c r="N80" s="7715">
        <v>115.0</v>
      </c>
      <c r="O80" s="7701"/>
      <c r="P80" s="7734">
        <v>59.0</v>
      </c>
      <c r="Q80" s="7735" t="str">
        <f t="shared" si="10"/>
        <v/>
      </c>
      <c r="R80" s="7704"/>
      <c r="S80" s="7705"/>
    </row>
    <row r="81" ht="18.75" customHeight="1">
      <c r="A81" s="7696"/>
      <c r="B81" s="7718" t="s">
        <v>240</v>
      </c>
      <c r="C81" s="7723" t="s">
        <v>2358</v>
      </c>
      <c r="D81" s="7720"/>
      <c r="E81" s="7723" t="s">
        <v>2272</v>
      </c>
      <c r="F81" s="7723" t="str">
        <f t="shared" si="1"/>
        <v/>
      </c>
      <c r="G81" s="7723"/>
      <c r="H81" s="7723" t="str">
        <f t="shared" si="2"/>
        <v/>
      </c>
      <c r="I81" s="7719">
        <v>65.0</v>
      </c>
      <c r="J81" s="7719">
        <v>60.0</v>
      </c>
      <c r="K81" s="7719">
        <v>60.0</v>
      </c>
      <c r="L81" s="7719">
        <v>55.0</v>
      </c>
      <c r="M81" s="7719">
        <v>65.0</v>
      </c>
      <c r="N81" s="7721">
        <v>115.0</v>
      </c>
      <c r="O81" s="7701"/>
      <c r="P81" s="7734">
        <v>60.0</v>
      </c>
      <c r="Q81" s="7735" t="str">
        <f t="shared" ref="Q81:Q90" si="11">IMAGE("https://i.ibb.co/JdWYwyH/Yellow60-69.png",3)</f>
        <v/>
      </c>
      <c r="R81" s="7704"/>
      <c r="S81" s="7705"/>
    </row>
    <row r="82" ht="18.75" customHeight="1">
      <c r="A82" s="7696"/>
      <c r="B82" s="7712" t="s">
        <v>2359</v>
      </c>
      <c r="C82" s="7713" t="s">
        <v>2360</v>
      </c>
      <c r="D82" s="7714"/>
      <c r="E82" s="7713" t="s">
        <v>2232</v>
      </c>
      <c r="F82" s="7713" t="str">
        <f t="shared" si="1"/>
        <v/>
      </c>
      <c r="G82" s="7713"/>
      <c r="H82" s="7713" t="str">
        <f t="shared" si="2"/>
        <v/>
      </c>
      <c r="I82" s="7713">
        <v>50.0</v>
      </c>
      <c r="J82" s="7713">
        <v>52.0</v>
      </c>
      <c r="K82" s="7713">
        <v>48.0</v>
      </c>
      <c r="L82" s="7713">
        <v>65.0</v>
      </c>
      <c r="M82" s="7713">
        <v>50.0</v>
      </c>
      <c r="N82" s="7715">
        <v>55.0</v>
      </c>
      <c r="O82" s="7701"/>
      <c r="P82" s="7734">
        <v>61.0</v>
      </c>
      <c r="Q82" s="7735" t="str">
        <f t="shared" si="11"/>
        <v/>
      </c>
      <c r="R82" s="7704"/>
      <c r="S82" s="7705"/>
    </row>
    <row r="83" ht="18.75" customHeight="1">
      <c r="A83" s="7696"/>
      <c r="B83" s="7718" t="s">
        <v>2166</v>
      </c>
      <c r="C83" s="7719" t="s">
        <v>2361</v>
      </c>
      <c r="D83" s="7720"/>
      <c r="E83" s="7719" t="s">
        <v>2232</v>
      </c>
      <c r="F83" s="7719" t="str">
        <f t="shared" si="1"/>
        <v/>
      </c>
      <c r="G83" s="7719" t="s">
        <v>669</v>
      </c>
      <c r="H83" s="7719" t="str">
        <f t="shared" si="2"/>
        <v/>
      </c>
      <c r="I83" s="7719">
        <v>80.0</v>
      </c>
      <c r="J83" s="7719">
        <v>82.0</v>
      </c>
      <c r="K83" s="7719">
        <v>78.0</v>
      </c>
      <c r="L83" s="7719">
        <v>100.0</v>
      </c>
      <c r="M83" s="7719">
        <v>80.0</v>
      </c>
      <c r="N83" s="7721">
        <v>100.0</v>
      </c>
      <c r="O83" s="7701"/>
      <c r="P83" s="7734">
        <v>62.0</v>
      </c>
      <c r="Q83" s="7735" t="str">
        <f t="shared" si="11"/>
        <v/>
      </c>
      <c r="R83" s="7704"/>
      <c r="S83" s="7705"/>
    </row>
    <row r="84" ht="18.75" customHeight="1">
      <c r="A84" s="7696"/>
      <c r="B84" s="7712" t="s">
        <v>2362</v>
      </c>
      <c r="C84" s="7713" t="s">
        <v>2363</v>
      </c>
      <c r="D84" s="7714"/>
      <c r="E84" s="7713" t="s">
        <v>2296</v>
      </c>
      <c r="F84" s="7713" t="str">
        <f t="shared" si="1"/>
        <v/>
      </c>
      <c r="G84" s="7713"/>
      <c r="H84" s="7713" t="str">
        <f t="shared" si="2"/>
        <v/>
      </c>
      <c r="I84" s="7713">
        <v>40.0</v>
      </c>
      <c r="J84" s="7713">
        <v>80.0</v>
      </c>
      <c r="K84" s="7713">
        <v>35.0</v>
      </c>
      <c r="L84" s="7713">
        <v>35.0</v>
      </c>
      <c r="M84" s="7713">
        <v>45.0</v>
      </c>
      <c r="N84" s="7715">
        <v>70.0</v>
      </c>
      <c r="O84" s="7701"/>
      <c r="P84" s="7734">
        <v>63.0</v>
      </c>
      <c r="Q84" s="7735" t="str">
        <f t="shared" si="11"/>
        <v/>
      </c>
      <c r="R84" s="7704"/>
      <c r="S84" s="7705"/>
    </row>
    <row r="85" ht="18.75" customHeight="1">
      <c r="A85" s="7696"/>
      <c r="B85" s="7718" t="s">
        <v>2364</v>
      </c>
      <c r="C85" s="7719" t="s">
        <v>2365</v>
      </c>
      <c r="D85" s="7720"/>
      <c r="E85" s="7719" t="s">
        <v>2296</v>
      </c>
      <c r="F85" s="7719" t="str">
        <f t="shared" si="1"/>
        <v/>
      </c>
      <c r="G85" s="7719"/>
      <c r="H85" s="7719" t="str">
        <f t="shared" si="2"/>
        <v/>
      </c>
      <c r="I85" s="7719">
        <v>65.0</v>
      </c>
      <c r="J85" s="7719">
        <v>105.0</v>
      </c>
      <c r="K85" s="7719">
        <v>60.0</v>
      </c>
      <c r="L85" s="7719">
        <v>60.0</v>
      </c>
      <c r="M85" s="7719">
        <v>70.0</v>
      </c>
      <c r="N85" s="7721">
        <v>95.0</v>
      </c>
      <c r="O85" s="7701"/>
      <c r="P85" s="7734">
        <v>64.0</v>
      </c>
      <c r="Q85" s="7735" t="str">
        <f t="shared" si="11"/>
        <v/>
      </c>
      <c r="R85" s="7704"/>
      <c r="S85" s="7705"/>
    </row>
    <row r="86" ht="18.75" customHeight="1">
      <c r="A86" s="7696"/>
      <c r="B86" s="7712" t="s">
        <v>2366</v>
      </c>
      <c r="C86" s="7713" t="s">
        <v>2367</v>
      </c>
      <c r="D86" s="7714"/>
      <c r="E86" s="7713" t="s">
        <v>2219</v>
      </c>
      <c r="F86" s="7713" t="str">
        <f t="shared" si="1"/>
        <v/>
      </c>
      <c r="G86" s="7713"/>
      <c r="H86" s="7713" t="str">
        <f t="shared" si="2"/>
        <v/>
      </c>
      <c r="I86" s="7713">
        <v>55.0</v>
      </c>
      <c r="J86" s="7713">
        <v>70.0</v>
      </c>
      <c r="K86" s="7713">
        <v>45.0</v>
      </c>
      <c r="L86" s="7713">
        <v>70.0</v>
      </c>
      <c r="M86" s="7713">
        <v>50.0</v>
      </c>
      <c r="N86" s="7715">
        <v>60.0</v>
      </c>
      <c r="O86" s="7701"/>
      <c r="P86" s="7734">
        <v>65.0</v>
      </c>
      <c r="Q86" s="7735" t="str">
        <f t="shared" si="11"/>
        <v/>
      </c>
      <c r="R86" s="7704"/>
      <c r="S86" s="7705"/>
    </row>
    <row r="87" ht="18.75" customHeight="1">
      <c r="A87" s="7696"/>
      <c r="B87" s="7718" t="s">
        <v>2368</v>
      </c>
      <c r="C87" s="7723" t="s">
        <v>2369</v>
      </c>
      <c r="D87" s="7720"/>
      <c r="E87" s="7723" t="s">
        <v>2219</v>
      </c>
      <c r="F87" s="7723" t="str">
        <f t="shared" si="1"/>
        <v/>
      </c>
      <c r="G87" s="7723" t="s">
        <v>2370</v>
      </c>
      <c r="H87" s="7723" t="str">
        <f t="shared" si="2"/>
        <v/>
      </c>
      <c r="I87" s="7719">
        <v>60.0</v>
      </c>
      <c r="J87" s="7719">
        <v>75.0</v>
      </c>
      <c r="K87" s="7719">
        <v>45.0</v>
      </c>
      <c r="L87" s="7719">
        <v>65.0</v>
      </c>
      <c r="M87" s="7719">
        <v>50.0</v>
      </c>
      <c r="N87" s="7721">
        <v>55.0</v>
      </c>
      <c r="O87" s="7701"/>
      <c r="P87" s="7734">
        <v>66.0</v>
      </c>
      <c r="Q87" s="7735" t="str">
        <f t="shared" si="11"/>
        <v/>
      </c>
      <c r="R87" s="7704"/>
      <c r="S87" s="7705"/>
    </row>
    <row r="88" ht="18.75" customHeight="1">
      <c r="A88" s="7696"/>
      <c r="B88" s="7712" t="s">
        <v>1157</v>
      </c>
      <c r="C88" s="7713" t="s">
        <v>2371</v>
      </c>
      <c r="D88" s="7714"/>
      <c r="E88" s="7713" t="s">
        <v>2219</v>
      </c>
      <c r="F88" s="7713" t="str">
        <f t="shared" si="1"/>
        <v/>
      </c>
      <c r="G88" s="7713"/>
      <c r="H88" s="7713" t="str">
        <f t="shared" si="2"/>
        <v/>
      </c>
      <c r="I88" s="7713">
        <v>90.0</v>
      </c>
      <c r="J88" s="7713">
        <v>110.0</v>
      </c>
      <c r="K88" s="7713">
        <v>80.0</v>
      </c>
      <c r="L88" s="7713">
        <v>100.0</v>
      </c>
      <c r="M88" s="7713">
        <v>80.0</v>
      </c>
      <c r="N88" s="7715">
        <v>95.0</v>
      </c>
      <c r="O88" s="7701"/>
      <c r="P88" s="7734">
        <v>67.0</v>
      </c>
      <c r="Q88" s="7735" t="str">
        <f t="shared" si="11"/>
        <v/>
      </c>
      <c r="R88" s="7704"/>
      <c r="S88" s="7705"/>
    </row>
    <row r="89" ht="18.75" customHeight="1">
      <c r="A89" s="7696"/>
      <c r="B89" s="7718" t="s">
        <v>1503</v>
      </c>
      <c r="C89" s="7723" t="s">
        <v>2372</v>
      </c>
      <c r="D89" s="7720"/>
      <c r="E89" s="7723" t="s">
        <v>2219</v>
      </c>
      <c r="F89" s="7723" t="str">
        <f t="shared" si="1"/>
        <v/>
      </c>
      <c r="G89" s="7723" t="s">
        <v>2370</v>
      </c>
      <c r="H89" s="7723" t="str">
        <f t="shared" si="2"/>
        <v/>
      </c>
      <c r="I89" s="7719">
        <v>95.0</v>
      </c>
      <c r="J89" s="7719">
        <v>125.0</v>
      </c>
      <c r="K89" s="7719">
        <v>80.0</v>
      </c>
      <c r="L89" s="7719">
        <v>85.0</v>
      </c>
      <c r="M89" s="7719">
        <v>80.0</v>
      </c>
      <c r="N89" s="7721">
        <v>90.0</v>
      </c>
      <c r="O89" s="7701"/>
      <c r="P89" s="7734">
        <v>68.0</v>
      </c>
      <c r="Q89" s="7735" t="str">
        <f t="shared" si="11"/>
        <v/>
      </c>
      <c r="R89" s="7704"/>
      <c r="S89" s="7705"/>
    </row>
    <row r="90" ht="18.75" customHeight="1">
      <c r="A90" s="7696"/>
      <c r="B90" s="7712" t="s">
        <v>2373</v>
      </c>
      <c r="C90" s="7713" t="s">
        <v>2374</v>
      </c>
      <c r="D90" s="7714"/>
      <c r="E90" s="7713" t="s">
        <v>2232</v>
      </c>
      <c r="F90" s="7713" t="str">
        <f t="shared" si="1"/>
        <v/>
      </c>
      <c r="G90" s="7713"/>
      <c r="H90" s="7713" t="str">
        <f t="shared" si="2"/>
        <v/>
      </c>
      <c r="I90" s="7713">
        <v>40.0</v>
      </c>
      <c r="J90" s="7713">
        <v>50.0</v>
      </c>
      <c r="K90" s="7713">
        <v>40.0</v>
      </c>
      <c r="L90" s="7713">
        <v>40.0</v>
      </c>
      <c r="M90" s="7713">
        <v>40.0</v>
      </c>
      <c r="N90" s="7715">
        <v>90.0</v>
      </c>
      <c r="O90" s="7701"/>
      <c r="P90" s="7734">
        <v>69.0</v>
      </c>
      <c r="Q90" s="7735" t="str">
        <f t="shared" si="11"/>
        <v/>
      </c>
      <c r="R90" s="7704"/>
      <c r="S90" s="7705"/>
    </row>
    <row r="91" ht="18.75" customHeight="1">
      <c r="A91" s="7696"/>
      <c r="B91" s="7718" t="s">
        <v>2375</v>
      </c>
      <c r="C91" s="7719" t="s">
        <v>2376</v>
      </c>
      <c r="D91" s="7720"/>
      <c r="E91" s="7719" t="s">
        <v>2232</v>
      </c>
      <c r="F91" s="7719" t="str">
        <f t="shared" si="1"/>
        <v/>
      </c>
      <c r="G91" s="7719"/>
      <c r="H91" s="7719" t="str">
        <f t="shared" si="2"/>
        <v/>
      </c>
      <c r="I91" s="7719">
        <v>65.0</v>
      </c>
      <c r="J91" s="7719">
        <v>65.0</v>
      </c>
      <c r="K91" s="7719">
        <v>65.0</v>
      </c>
      <c r="L91" s="7719">
        <v>50.0</v>
      </c>
      <c r="M91" s="7719">
        <v>50.0</v>
      </c>
      <c r="N91" s="7721">
        <v>90.0</v>
      </c>
      <c r="O91" s="7701"/>
      <c r="P91" s="7734">
        <v>70.0</v>
      </c>
      <c r="Q91" s="7735" t="str">
        <f t="shared" ref="Q91:Q100" si="12">IMAGE("https://i.ibb.co/GPVbDHT/Yellow70-79.png",3)</f>
        <v/>
      </c>
      <c r="R91" s="7704"/>
      <c r="S91" s="7705"/>
    </row>
    <row r="92" ht="18.75" customHeight="1">
      <c r="A92" s="7696"/>
      <c r="B92" s="7712" t="s">
        <v>2377</v>
      </c>
      <c r="C92" s="7713" t="s">
        <v>2378</v>
      </c>
      <c r="D92" s="7714"/>
      <c r="E92" s="7713" t="s">
        <v>2232</v>
      </c>
      <c r="F92" s="7713" t="str">
        <f t="shared" si="1"/>
        <v/>
      </c>
      <c r="G92" s="7713" t="s">
        <v>2296</v>
      </c>
      <c r="H92" s="7713" t="str">
        <f t="shared" si="2"/>
        <v/>
      </c>
      <c r="I92" s="7713">
        <v>90.0</v>
      </c>
      <c r="J92" s="7713">
        <v>95.0</v>
      </c>
      <c r="K92" s="7713">
        <v>95.0</v>
      </c>
      <c r="L92" s="7713">
        <v>70.0</v>
      </c>
      <c r="M92" s="7713">
        <v>90.0</v>
      </c>
      <c r="N92" s="7715">
        <v>70.0</v>
      </c>
      <c r="O92" s="7701"/>
      <c r="P92" s="7734">
        <v>71.0</v>
      </c>
      <c r="Q92" s="7735" t="str">
        <f t="shared" si="12"/>
        <v/>
      </c>
      <c r="R92" s="7704"/>
      <c r="S92" s="7705"/>
    </row>
    <row r="93" ht="18.75" customHeight="1">
      <c r="A93" s="7696"/>
      <c r="B93" s="7718" t="s">
        <v>2379</v>
      </c>
      <c r="C93" s="7719" t="s">
        <v>2380</v>
      </c>
      <c r="D93" s="7720"/>
      <c r="E93" s="7719" t="s">
        <v>669</v>
      </c>
      <c r="F93" s="7719" t="str">
        <f t="shared" si="1"/>
        <v/>
      </c>
      <c r="G93" s="7719"/>
      <c r="H93" s="7719" t="str">
        <f t="shared" si="2"/>
        <v/>
      </c>
      <c r="I93" s="7719">
        <v>25.0</v>
      </c>
      <c r="J93" s="7719">
        <v>20.0</v>
      </c>
      <c r="K93" s="7719">
        <v>15.0</v>
      </c>
      <c r="L93" s="7719">
        <v>105.0</v>
      </c>
      <c r="M93" s="7719">
        <v>55.0</v>
      </c>
      <c r="N93" s="7721">
        <v>90.0</v>
      </c>
      <c r="O93" s="7701"/>
      <c r="P93" s="7734">
        <v>72.0</v>
      </c>
      <c r="Q93" s="7735" t="str">
        <f t="shared" si="12"/>
        <v/>
      </c>
      <c r="R93" s="7704"/>
      <c r="S93" s="7705"/>
    </row>
    <row r="94" ht="18.75" customHeight="1">
      <c r="A94" s="7696"/>
      <c r="B94" s="7712" t="s">
        <v>2381</v>
      </c>
      <c r="C94" s="7713" t="s">
        <v>2382</v>
      </c>
      <c r="D94" s="7714"/>
      <c r="E94" s="7713" t="s">
        <v>669</v>
      </c>
      <c r="F94" s="7713" t="str">
        <f t="shared" si="1"/>
        <v/>
      </c>
      <c r="G94" s="7713"/>
      <c r="H94" s="7713" t="str">
        <f t="shared" si="2"/>
        <v/>
      </c>
      <c r="I94" s="7713">
        <v>40.0</v>
      </c>
      <c r="J94" s="7713">
        <v>35.0</v>
      </c>
      <c r="K94" s="7713">
        <v>30.0</v>
      </c>
      <c r="L94" s="7713">
        <v>120.0</v>
      </c>
      <c r="M94" s="7713">
        <v>70.0</v>
      </c>
      <c r="N94" s="7715">
        <v>105.0</v>
      </c>
      <c r="O94" s="7701"/>
      <c r="P94" s="7734">
        <v>73.0</v>
      </c>
      <c r="Q94" s="7735" t="str">
        <f t="shared" si="12"/>
        <v/>
      </c>
      <c r="R94" s="7704"/>
      <c r="S94" s="7705"/>
    </row>
    <row r="95" ht="18.75" customHeight="1">
      <c r="A95" s="7696"/>
      <c r="B95" s="7718" t="s">
        <v>1459</v>
      </c>
      <c r="C95" s="7719" t="s">
        <v>2383</v>
      </c>
      <c r="D95" s="7720"/>
      <c r="E95" s="7719" t="s">
        <v>669</v>
      </c>
      <c r="F95" s="7719" t="str">
        <f t="shared" si="1"/>
        <v/>
      </c>
      <c r="G95" s="7719"/>
      <c r="H95" s="7719" t="str">
        <f t="shared" si="2"/>
        <v/>
      </c>
      <c r="I95" s="7719">
        <v>55.0</v>
      </c>
      <c r="J95" s="7719">
        <v>50.0</v>
      </c>
      <c r="K95" s="7719">
        <v>45.0</v>
      </c>
      <c r="L95" s="7719">
        <v>135.0</v>
      </c>
      <c r="M95" s="7719">
        <v>95.0</v>
      </c>
      <c r="N95" s="7721">
        <v>120.0</v>
      </c>
      <c r="O95" s="7701"/>
      <c r="P95" s="7734">
        <v>74.0</v>
      </c>
      <c r="Q95" s="7735" t="str">
        <f t="shared" si="12"/>
        <v/>
      </c>
      <c r="R95" s="7704"/>
      <c r="S95" s="7705"/>
    </row>
    <row r="96" ht="18.75" customHeight="1">
      <c r="A96" s="7696"/>
      <c r="B96" s="7712" t="s">
        <v>2055</v>
      </c>
      <c r="C96" s="7722" t="s">
        <v>2384</v>
      </c>
      <c r="D96" s="7714"/>
      <c r="E96" s="7722" t="s">
        <v>669</v>
      </c>
      <c r="F96" s="7722" t="str">
        <f t="shared" si="1"/>
        <v/>
      </c>
      <c r="G96" s="7722"/>
      <c r="H96" s="7722" t="str">
        <f t="shared" si="2"/>
        <v/>
      </c>
      <c r="I96" s="7713">
        <v>55.0</v>
      </c>
      <c r="J96" s="7713">
        <v>50.0</v>
      </c>
      <c r="K96" s="7713">
        <v>65.0</v>
      </c>
      <c r="L96" s="7713">
        <v>175.0</v>
      </c>
      <c r="M96" s="7713">
        <v>105.0</v>
      </c>
      <c r="N96" s="7715">
        <v>150.0</v>
      </c>
      <c r="O96" s="7701"/>
      <c r="P96" s="7734">
        <v>75.0</v>
      </c>
      <c r="Q96" s="7735" t="str">
        <f t="shared" si="12"/>
        <v/>
      </c>
      <c r="R96" s="7704"/>
      <c r="S96" s="7705"/>
    </row>
    <row r="97" ht="18.75" customHeight="1">
      <c r="A97" s="7696"/>
      <c r="B97" s="7718" t="s">
        <v>2385</v>
      </c>
      <c r="C97" s="7719" t="s">
        <v>2386</v>
      </c>
      <c r="D97" s="7720"/>
      <c r="E97" s="7719" t="s">
        <v>2296</v>
      </c>
      <c r="F97" s="7719" t="str">
        <f t="shared" si="1"/>
        <v/>
      </c>
      <c r="G97" s="7719"/>
      <c r="H97" s="7719" t="str">
        <f t="shared" si="2"/>
        <v/>
      </c>
      <c r="I97" s="7719">
        <v>70.0</v>
      </c>
      <c r="J97" s="7719">
        <v>80.0</v>
      </c>
      <c r="K97" s="7719">
        <v>50.0</v>
      </c>
      <c r="L97" s="7719">
        <v>35.0</v>
      </c>
      <c r="M97" s="7719">
        <v>35.0</v>
      </c>
      <c r="N97" s="7721">
        <v>35.0</v>
      </c>
      <c r="O97" s="7701"/>
      <c r="P97" s="7734">
        <v>76.0</v>
      </c>
      <c r="Q97" s="7735" t="str">
        <f t="shared" si="12"/>
        <v/>
      </c>
      <c r="R97" s="7704"/>
      <c r="S97" s="7705"/>
    </row>
    <row r="98" ht="18.75" customHeight="1">
      <c r="A98" s="7696"/>
      <c r="B98" s="7712" t="s">
        <v>2387</v>
      </c>
      <c r="C98" s="7713" t="s">
        <v>2388</v>
      </c>
      <c r="D98" s="7714"/>
      <c r="E98" s="7713" t="s">
        <v>2296</v>
      </c>
      <c r="F98" s="7713" t="str">
        <f t="shared" si="1"/>
        <v/>
      </c>
      <c r="G98" s="7713"/>
      <c r="H98" s="7713" t="str">
        <f t="shared" si="2"/>
        <v/>
      </c>
      <c r="I98" s="7713">
        <v>80.0</v>
      </c>
      <c r="J98" s="7713">
        <v>100.0</v>
      </c>
      <c r="K98" s="7713">
        <v>70.0</v>
      </c>
      <c r="L98" s="7713">
        <v>50.0</v>
      </c>
      <c r="M98" s="7713">
        <v>60.0</v>
      </c>
      <c r="N98" s="7715">
        <v>45.0</v>
      </c>
      <c r="O98" s="7701"/>
      <c r="P98" s="7734">
        <v>77.0</v>
      </c>
      <c r="Q98" s="7735" t="str">
        <f t="shared" si="12"/>
        <v/>
      </c>
      <c r="R98" s="7704"/>
      <c r="S98" s="7705"/>
    </row>
    <row r="99" ht="18.75" customHeight="1">
      <c r="A99" s="7696"/>
      <c r="B99" s="7718" t="s">
        <v>1959</v>
      </c>
      <c r="C99" s="7719" t="s">
        <v>2389</v>
      </c>
      <c r="D99" s="7720"/>
      <c r="E99" s="7719" t="s">
        <v>2296</v>
      </c>
      <c r="F99" s="7719" t="str">
        <f t="shared" si="1"/>
        <v/>
      </c>
      <c r="G99" s="7719"/>
      <c r="H99" s="7719" t="str">
        <f t="shared" si="2"/>
        <v/>
      </c>
      <c r="I99" s="7719">
        <v>90.0</v>
      </c>
      <c r="J99" s="7719">
        <v>130.0</v>
      </c>
      <c r="K99" s="7719">
        <v>80.0</v>
      </c>
      <c r="L99" s="7719">
        <v>65.0</v>
      </c>
      <c r="M99" s="7719">
        <v>85.0</v>
      </c>
      <c r="N99" s="7721">
        <v>55.0</v>
      </c>
      <c r="O99" s="7701"/>
      <c r="P99" s="7734">
        <v>78.0</v>
      </c>
      <c r="Q99" s="7735" t="str">
        <f t="shared" si="12"/>
        <v/>
      </c>
      <c r="R99" s="7704"/>
      <c r="S99" s="7705"/>
    </row>
    <row r="100" ht="18.75" customHeight="1">
      <c r="A100" s="7696"/>
      <c r="B100" s="7712" t="s">
        <v>1816</v>
      </c>
      <c r="C100" s="7722" t="s">
        <v>2390</v>
      </c>
      <c r="D100" s="7714"/>
      <c r="E100" s="7722" t="s">
        <v>2296</v>
      </c>
      <c r="F100" s="7722" t="str">
        <f t="shared" si="1"/>
        <v/>
      </c>
      <c r="G100" s="7722"/>
      <c r="H100" s="7722" t="str">
        <f t="shared" si="2"/>
        <v/>
      </c>
      <c r="I100" s="7713">
        <v>90.0</v>
      </c>
      <c r="J100" s="7713">
        <v>145.0</v>
      </c>
      <c r="K100" s="7713">
        <v>110.0</v>
      </c>
      <c r="L100" s="7713">
        <v>65.0</v>
      </c>
      <c r="M100" s="7713">
        <v>115.0</v>
      </c>
      <c r="N100" s="7715">
        <v>75.0</v>
      </c>
      <c r="O100" s="7701"/>
      <c r="P100" s="7734">
        <v>79.0</v>
      </c>
      <c r="Q100" s="7735" t="str">
        <f t="shared" si="12"/>
        <v/>
      </c>
      <c r="R100" s="7704"/>
      <c r="S100" s="7705"/>
    </row>
    <row r="101" ht="18.75" customHeight="1">
      <c r="A101" s="7696"/>
      <c r="B101" s="7718" t="s">
        <v>2391</v>
      </c>
      <c r="C101" s="7719" t="s">
        <v>2392</v>
      </c>
      <c r="D101" s="7720"/>
      <c r="E101" s="7719" t="s">
        <v>2209</v>
      </c>
      <c r="F101" s="7719" t="str">
        <f t="shared" si="1"/>
        <v/>
      </c>
      <c r="G101" s="7719" t="s">
        <v>2210</v>
      </c>
      <c r="H101" s="7719" t="str">
        <f t="shared" si="2"/>
        <v/>
      </c>
      <c r="I101" s="7719">
        <v>50.0</v>
      </c>
      <c r="J101" s="7719">
        <v>75.0</v>
      </c>
      <c r="K101" s="7719">
        <v>35.0</v>
      </c>
      <c r="L101" s="7719">
        <v>70.0</v>
      </c>
      <c r="M101" s="7719">
        <v>30.0</v>
      </c>
      <c r="N101" s="7721">
        <v>40.0</v>
      </c>
      <c r="O101" s="7701"/>
      <c r="P101" s="7734">
        <v>80.0</v>
      </c>
      <c r="Q101" s="7735" t="str">
        <f t="shared" ref="Q101:Q110" si="13">IMAGE("https://i.ibb.co/fSHfwQB/Yellow80-89.png",3)</f>
        <v/>
      </c>
      <c r="R101" s="7704"/>
      <c r="S101" s="7705"/>
    </row>
    <row r="102" ht="18.75" customHeight="1">
      <c r="A102" s="7696"/>
      <c r="B102" s="7712" t="s">
        <v>2393</v>
      </c>
      <c r="C102" s="7713" t="s">
        <v>2394</v>
      </c>
      <c r="D102" s="7714"/>
      <c r="E102" s="7713" t="s">
        <v>2209</v>
      </c>
      <c r="F102" s="7713" t="str">
        <f t="shared" si="1"/>
        <v/>
      </c>
      <c r="G102" s="7713" t="s">
        <v>2210</v>
      </c>
      <c r="H102" s="7713" t="str">
        <f t="shared" si="2"/>
        <v/>
      </c>
      <c r="I102" s="7713">
        <v>65.0</v>
      </c>
      <c r="J102" s="7713">
        <v>90.0</v>
      </c>
      <c r="K102" s="7713">
        <v>50.0</v>
      </c>
      <c r="L102" s="7713">
        <v>85.0</v>
      </c>
      <c r="M102" s="7713">
        <v>45.0</v>
      </c>
      <c r="N102" s="7715">
        <v>55.0</v>
      </c>
      <c r="O102" s="7701"/>
      <c r="P102" s="7734">
        <v>81.0</v>
      </c>
      <c r="Q102" s="7735" t="str">
        <f t="shared" si="13"/>
        <v/>
      </c>
      <c r="R102" s="7704"/>
      <c r="S102" s="7705"/>
    </row>
    <row r="103" ht="18.75" customHeight="1">
      <c r="A103" s="7696"/>
      <c r="B103" s="7718" t="s">
        <v>261</v>
      </c>
      <c r="C103" s="7719" t="s">
        <v>2395</v>
      </c>
      <c r="D103" s="7720"/>
      <c r="E103" s="7719" t="s">
        <v>2209</v>
      </c>
      <c r="F103" s="7719" t="str">
        <f t="shared" si="1"/>
        <v/>
      </c>
      <c r="G103" s="7719" t="s">
        <v>2210</v>
      </c>
      <c r="H103" s="7719" t="str">
        <f t="shared" si="2"/>
        <v/>
      </c>
      <c r="I103" s="7719">
        <v>80.0</v>
      </c>
      <c r="J103" s="7719">
        <v>105.0</v>
      </c>
      <c r="K103" s="7719">
        <v>70.0</v>
      </c>
      <c r="L103" s="7719">
        <v>100.0</v>
      </c>
      <c r="M103" s="7719">
        <v>75.0</v>
      </c>
      <c r="N103" s="7721">
        <v>70.0</v>
      </c>
      <c r="O103" s="7701"/>
      <c r="P103" s="7734">
        <v>82.0</v>
      </c>
      <c r="Q103" s="7735" t="str">
        <f t="shared" si="13"/>
        <v/>
      </c>
      <c r="R103" s="7704"/>
      <c r="S103" s="7705"/>
    </row>
    <row r="104" ht="18.75" customHeight="1">
      <c r="A104" s="7696"/>
      <c r="B104" s="7712" t="s">
        <v>2396</v>
      </c>
      <c r="C104" s="7713" t="s">
        <v>2397</v>
      </c>
      <c r="D104" s="7714"/>
      <c r="E104" s="7713" t="s">
        <v>2232</v>
      </c>
      <c r="F104" s="7713" t="str">
        <f t="shared" si="1"/>
        <v/>
      </c>
      <c r="G104" s="7713" t="s">
        <v>2210</v>
      </c>
      <c r="H104" s="7713" t="str">
        <f t="shared" si="2"/>
        <v/>
      </c>
      <c r="I104" s="7713">
        <v>40.0</v>
      </c>
      <c r="J104" s="7713">
        <v>40.0</v>
      </c>
      <c r="K104" s="7713">
        <v>35.0</v>
      </c>
      <c r="L104" s="7713">
        <v>50.0</v>
      </c>
      <c r="M104" s="7713">
        <v>100.0</v>
      </c>
      <c r="N104" s="7715">
        <v>70.0</v>
      </c>
      <c r="O104" s="7701"/>
      <c r="P104" s="7734">
        <v>83.0</v>
      </c>
      <c r="Q104" s="7735" t="str">
        <f t="shared" si="13"/>
        <v/>
      </c>
      <c r="R104" s="7704"/>
      <c r="S104" s="7705"/>
    </row>
    <row r="105" ht="18.75" customHeight="1">
      <c r="A105" s="7696"/>
      <c r="B105" s="7718" t="s">
        <v>2398</v>
      </c>
      <c r="C105" s="7719" t="s">
        <v>2399</v>
      </c>
      <c r="D105" s="7720"/>
      <c r="E105" s="7719" t="s">
        <v>2232</v>
      </c>
      <c r="F105" s="7719" t="str">
        <f t="shared" si="1"/>
        <v/>
      </c>
      <c r="G105" s="7719" t="s">
        <v>2210</v>
      </c>
      <c r="H105" s="7719" t="str">
        <f t="shared" si="2"/>
        <v/>
      </c>
      <c r="I105" s="7719">
        <v>80.0</v>
      </c>
      <c r="J105" s="7719">
        <v>60.0</v>
      </c>
      <c r="K105" s="7719">
        <v>80.0</v>
      </c>
      <c r="L105" s="7719">
        <v>90.0</v>
      </c>
      <c r="M105" s="7719">
        <v>120.0</v>
      </c>
      <c r="N105" s="7721">
        <v>100.0</v>
      </c>
      <c r="O105" s="7701"/>
      <c r="P105" s="7734">
        <v>84.0</v>
      </c>
      <c r="Q105" s="7735" t="str">
        <f t="shared" si="13"/>
        <v/>
      </c>
      <c r="R105" s="7704"/>
      <c r="S105" s="7705"/>
    </row>
    <row r="106" ht="18.75" customHeight="1">
      <c r="A106" s="7696"/>
      <c r="B106" s="7712" t="s">
        <v>2400</v>
      </c>
      <c r="C106" s="7713" t="s">
        <v>2401</v>
      </c>
      <c r="D106" s="7714"/>
      <c r="E106" s="7713" t="s">
        <v>2370</v>
      </c>
      <c r="F106" s="7713" t="str">
        <f t="shared" si="1"/>
        <v/>
      </c>
      <c r="G106" s="7713" t="s">
        <v>2304</v>
      </c>
      <c r="H106" s="7713" t="str">
        <f t="shared" si="2"/>
        <v/>
      </c>
      <c r="I106" s="7713">
        <v>40.0</v>
      </c>
      <c r="J106" s="7713">
        <v>80.0</v>
      </c>
      <c r="K106" s="7713">
        <v>100.0</v>
      </c>
      <c r="L106" s="7713">
        <v>30.0</v>
      </c>
      <c r="M106" s="7713">
        <v>30.0</v>
      </c>
      <c r="N106" s="7715">
        <v>20.0</v>
      </c>
      <c r="O106" s="7701"/>
      <c r="P106" s="7734">
        <v>85.0</v>
      </c>
      <c r="Q106" s="7735" t="str">
        <f t="shared" si="13"/>
        <v/>
      </c>
      <c r="R106" s="7704"/>
      <c r="S106" s="7705"/>
    </row>
    <row r="107" ht="18.75" customHeight="1">
      <c r="A107" s="7696"/>
      <c r="B107" s="7718" t="s">
        <v>2402</v>
      </c>
      <c r="C107" s="7723" t="s">
        <v>2403</v>
      </c>
      <c r="D107" s="7720"/>
      <c r="E107" s="7723" t="s">
        <v>2370</v>
      </c>
      <c r="F107" s="7723" t="str">
        <f t="shared" si="1"/>
        <v/>
      </c>
      <c r="G107" s="7723" t="s">
        <v>2283</v>
      </c>
      <c r="H107" s="7723" t="str">
        <f t="shared" si="2"/>
        <v/>
      </c>
      <c r="I107" s="7719">
        <v>40.0</v>
      </c>
      <c r="J107" s="7719">
        <v>80.0</v>
      </c>
      <c r="K107" s="7719">
        <v>100.0</v>
      </c>
      <c r="L107" s="7719">
        <v>30.0</v>
      </c>
      <c r="M107" s="7719">
        <v>30.0</v>
      </c>
      <c r="N107" s="7721">
        <v>20.0</v>
      </c>
      <c r="O107" s="7701"/>
      <c r="P107" s="7734">
        <v>86.0</v>
      </c>
      <c r="Q107" s="7735" t="str">
        <f t="shared" si="13"/>
        <v/>
      </c>
      <c r="R107" s="7704"/>
      <c r="S107" s="7705"/>
    </row>
    <row r="108" ht="18.75" customHeight="1">
      <c r="A108" s="7696"/>
      <c r="B108" s="7712" t="s">
        <v>2404</v>
      </c>
      <c r="C108" s="7713" t="s">
        <v>2405</v>
      </c>
      <c r="D108" s="7714"/>
      <c r="E108" s="7713" t="s">
        <v>2370</v>
      </c>
      <c r="F108" s="7713" t="str">
        <f t="shared" si="1"/>
        <v/>
      </c>
      <c r="G108" s="7713" t="s">
        <v>2304</v>
      </c>
      <c r="H108" s="7713" t="str">
        <f t="shared" si="2"/>
        <v/>
      </c>
      <c r="I108" s="7713">
        <v>55.0</v>
      </c>
      <c r="J108" s="7713">
        <v>95.0</v>
      </c>
      <c r="K108" s="7713">
        <v>115.0</v>
      </c>
      <c r="L108" s="7713">
        <v>45.0</v>
      </c>
      <c r="M108" s="7713">
        <v>45.0</v>
      </c>
      <c r="N108" s="7715">
        <v>35.0</v>
      </c>
      <c r="O108" s="7701"/>
      <c r="P108" s="7734">
        <v>87.0</v>
      </c>
      <c r="Q108" s="7735" t="str">
        <f t="shared" si="13"/>
        <v/>
      </c>
      <c r="R108" s="7704"/>
      <c r="S108" s="7705"/>
    </row>
    <row r="109" ht="18.75" customHeight="1">
      <c r="A109" s="7696"/>
      <c r="B109" s="7718" t="s">
        <v>2406</v>
      </c>
      <c r="C109" s="7723" t="s">
        <v>2407</v>
      </c>
      <c r="D109" s="7720"/>
      <c r="E109" s="7723" t="s">
        <v>2370</v>
      </c>
      <c r="F109" s="7723" t="str">
        <f t="shared" si="1"/>
        <v/>
      </c>
      <c r="G109" s="7723" t="s">
        <v>2283</v>
      </c>
      <c r="H109" s="7723" t="str">
        <f t="shared" si="2"/>
        <v/>
      </c>
      <c r="I109" s="7719">
        <v>55.0</v>
      </c>
      <c r="J109" s="7719">
        <v>95.0</v>
      </c>
      <c r="K109" s="7719">
        <v>115.0</v>
      </c>
      <c r="L109" s="7719">
        <v>45.0</v>
      </c>
      <c r="M109" s="7719">
        <v>45.0</v>
      </c>
      <c r="N109" s="7721">
        <v>35.0</v>
      </c>
      <c r="O109" s="7701"/>
      <c r="P109" s="7734">
        <v>88.0</v>
      </c>
      <c r="Q109" s="7735" t="str">
        <f t="shared" si="13"/>
        <v/>
      </c>
      <c r="R109" s="7704"/>
      <c r="S109" s="7705"/>
    </row>
    <row r="110" ht="18.75" customHeight="1">
      <c r="A110" s="7696"/>
      <c r="B110" s="7712" t="s">
        <v>1615</v>
      </c>
      <c r="C110" s="7713" t="s">
        <v>2408</v>
      </c>
      <c r="D110" s="7714"/>
      <c r="E110" s="7713" t="s">
        <v>2370</v>
      </c>
      <c r="F110" s="7713" t="str">
        <f t="shared" si="1"/>
        <v/>
      </c>
      <c r="G110" s="7713" t="s">
        <v>2304</v>
      </c>
      <c r="H110" s="7713" t="str">
        <f t="shared" si="2"/>
        <v/>
      </c>
      <c r="I110" s="7713">
        <v>80.0</v>
      </c>
      <c r="J110" s="7713">
        <v>120.0</v>
      </c>
      <c r="K110" s="7713">
        <v>130.0</v>
      </c>
      <c r="L110" s="7713">
        <v>55.0</v>
      </c>
      <c r="M110" s="7713">
        <v>65.0</v>
      </c>
      <c r="N110" s="7715">
        <v>45.0</v>
      </c>
      <c r="O110" s="7701"/>
      <c r="P110" s="7734">
        <v>89.0</v>
      </c>
      <c r="Q110" s="7735" t="str">
        <f t="shared" si="13"/>
        <v/>
      </c>
      <c r="R110" s="7704"/>
      <c r="S110" s="7705"/>
    </row>
    <row r="111" ht="18.75" customHeight="1">
      <c r="A111" s="7696"/>
      <c r="B111" s="7718" t="s">
        <v>2409</v>
      </c>
      <c r="C111" s="7723" t="s">
        <v>2410</v>
      </c>
      <c r="D111" s="7720"/>
      <c r="E111" s="7723" t="s">
        <v>2370</v>
      </c>
      <c r="F111" s="7723" t="str">
        <f t="shared" si="1"/>
        <v/>
      </c>
      <c r="G111" s="7723" t="s">
        <v>2283</v>
      </c>
      <c r="H111" s="7723" t="str">
        <f t="shared" si="2"/>
        <v/>
      </c>
      <c r="I111" s="7719">
        <v>80.0</v>
      </c>
      <c r="J111" s="7719">
        <v>120.0</v>
      </c>
      <c r="K111" s="7719">
        <v>130.0</v>
      </c>
      <c r="L111" s="7719">
        <v>55.0</v>
      </c>
      <c r="M111" s="7719">
        <v>65.0</v>
      </c>
      <c r="N111" s="7721">
        <v>45.0</v>
      </c>
      <c r="O111" s="7701"/>
      <c r="P111" s="7734">
        <v>90.0</v>
      </c>
      <c r="Q111" s="7735" t="str">
        <f t="shared" ref="Q111:Q120" si="14">IMAGE("https://i.ibb.co/VCHvb2T/Green90-99.png",3)</f>
        <v/>
      </c>
      <c r="R111" s="7704"/>
      <c r="S111" s="7705"/>
    </row>
    <row r="112" ht="18.75" customHeight="1">
      <c r="A112" s="7696"/>
      <c r="B112" s="7712" t="s">
        <v>2411</v>
      </c>
      <c r="C112" s="7713" t="s">
        <v>2412</v>
      </c>
      <c r="D112" s="7714"/>
      <c r="E112" s="7713" t="s">
        <v>2219</v>
      </c>
      <c r="F112" s="7713" t="str">
        <f t="shared" si="1"/>
        <v/>
      </c>
      <c r="G112" s="7713"/>
      <c r="H112" s="7713" t="str">
        <f t="shared" si="2"/>
        <v/>
      </c>
      <c r="I112" s="7713">
        <v>50.0</v>
      </c>
      <c r="J112" s="7713">
        <v>85.0</v>
      </c>
      <c r="K112" s="7713">
        <v>55.0</v>
      </c>
      <c r="L112" s="7713">
        <v>65.0</v>
      </c>
      <c r="M112" s="7713">
        <v>65.0</v>
      </c>
      <c r="N112" s="7715">
        <v>90.0</v>
      </c>
      <c r="O112" s="7701"/>
      <c r="P112" s="7734">
        <v>91.0</v>
      </c>
      <c r="Q112" s="7735" t="str">
        <f t="shared" si="14"/>
        <v/>
      </c>
      <c r="R112" s="7704"/>
      <c r="S112" s="7705"/>
    </row>
    <row r="113" ht="18.75" customHeight="1">
      <c r="A113" s="7696"/>
      <c r="B113" s="7718" t="s">
        <v>2413</v>
      </c>
      <c r="C113" s="7723" t="s">
        <v>2414</v>
      </c>
      <c r="D113" s="7720"/>
      <c r="E113" s="7723" t="s">
        <v>669</v>
      </c>
      <c r="F113" s="7723" t="str">
        <f t="shared" si="1"/>
        <v/>
      </c>
      <c r="G113" s="7723"/>
      <c r="H113" s="7723" t="str">
        <f t="shared" si="2"/>
        <v/>
      </c>
      <c r="I113" s="7719">
        <v>50.0</v>
      </c>
      <c r="J113" s="7719">
        <v>85.0</v>
      </c>
      <c r="K113" s="7719">
        <v>55.0</v>
      </c>
      <c r="L113" s="7719">
        <v>65.0</v>
      </c>
      <c r="M113" s="7719">
        <v>65.0</v>
      </c>
      <c r="N113" s="7721">
        <v>90.0</v>
      </c>
      <c r="O113" s="7701"/>
      <c r="P113" s="7734">
        <v>92.0</v>
      </c>
      <c r="Q113" s="7735" t="str">
        <f t="shared" si="14"/>
        <v/>
      </c>
      <c r="R113" s="7704"/>
      <c r="S113" s="7705"/>
    </row>
    <row r="114" ht="18.75" customHeight="1">
      <c r="A114" s="7696"/>
      <c r="B114" s="7712" t="s">
        <v>1578</v>
      </c>
      <c r="C114" s="7713" t="s">
        <v>2415</v>
      </c>
      <c r="D114" s="7714"/>
      <c r="E114" s="7713" t="s">
        <v>2219</v>
      </c>
      <c r="F114" s="7713" t="str">
        <f t="shared" si="1"/>
        <v/>
      </c>
      <c r="G114" s="7713"/>
      <c r="H114" s="7713" t="str">
        <f t="shared" si="2"/>
        <v/>
      </c>
      <c r="I114" s="7713">
        <v>65.0</v>
      </c>
      <c r="J114" s="7713">
        <v>100.0</v>
      </c>
      <c r="K114" s="7713">
        <v>70.0</v>
      </c>
      <c r="L114" s="7713">
        <v>60.0</v>
      </c>
      <c r="M114" s="7713">
        <v>80.0</v>
      </c>
      <c r="N114" s="7715">
        <v>125.0</v>
      </c>
      <c r="O114" s="7701"/>
      <c r="P114" s="7734">
        <v>93.0</v>
      </c>
      <c r="Q114" s="7735" t="str">
        <f t="shared" si="14"/>
        <v/>
      </c>
      <c r="R114" s="7704"/>
      <c r="S114" s="7705"/>
    </row>
    <row r="115" ht="18.75" customHeight="1">
      <c r="A115" s="7696"/>
      <c r="B115" s="7718" t="s">
        <v>2416</v>
      </c>
      <c r="C115" s="7723" t="s">
        <v>2417</v>
      </c>
      <c r="D115" s="7720"/>
      <c r="E115" s="7723" t="s">
        <v>669</v>
      </c>
      <c r="F115" s="7723" t="str">
        <f t="shared" si="1"/>
        <v/>
      </c>
      <c r="G115" s="7723" t="s">
        <v>2292</v>
      </c>
      <c r="H115" s="7723" t="str">
        <f t="shared" si="2"/>
        <v/>
      </c>
      <c r="I115" s="7719">
        <v>65.0</v>
      </c>
      <c r="J115" s="7719">
        <v>100.0</v>
      </c>
      <c r="K115" s="7719">
        <v>70.0</v>
      </c>
      <c r="L115" s="7719">
        <v>60.0</v>
      </c>
      <c r="M115" s="7719">
        <v>80.0</v>
      </c>
      <c r="N115" s="7721">
        <v>125.0</v>
      </c>
      <c r="O115" s="7701"/>
      <c r="P115" s="7734">
        <v>94.0</v>
      </c>
      <c r="Q115" s="7735" t="str">
        <f t="shared" si="14"/>
        <v/>
      </c>
      <c r="R115" s="7704"/>
      <c r="S115" s="7705"/>
    </row>
    <row r="116" ht="18.75" customHeight="1">
      <c r="A116" s="7696"/>
      <c r="B116" s="7712" t="s">
        <v>978</v>
      </c>
      <c r="C116" s="7713" t="s">
        <v>2418</v>
      </c>
      <c r="D116" s="7714"/>
      <c r="E116" s="7713" t="s">
        <v>2232</v>
      </c>
      <c r="F116" s="7713" t="str">
        <f t="shared" si="1"/>
        <v/>
      </c>
      <c r="G116" s="7713" t="s">
        <v>669</v>
      </c>
      <c r="H116" s="7713" t="str">
        <f t="shared" si="2"/>
        <v/>
      </c>
      <c r="I116" s="7713">
        <v>90.0</v>
      </c>
      <c r="J116" s="7713">
        <v>65.0</v>
      </c>
      <c r="K116" s="7713">
        <v>65.0</v>
      </c>
      <c r="L116" s="7713">
        <v>40.0</v>
      </c>
      <c r="M116" s="7713">
        <v>40.0</v>
      </c>
      <c r="N116" s="7715">
        <v>15.0</v>
      </c>
      <c r="O116" s="7701"/>
      <c r="P116" s="7734">
        <v>95.0</v>
      </c>
      <c r="Q116" s="7735" t="str">
        <f t="shared" si="14"/>
        <v/>
      </c>
      <c r="R116" s="7704"/>
      <c r="S116" s="7705"/>
    </row>
    <row r="117" ht="18.75" customHeight="1">
      <c r="A117" s="7696"/>
      <c r="B117" s="7718" t="s">
        <v>2419</v>
      </c>
      <c r="C117" s="7723" t="s">
        <v>2420</v>
      </c>
      <c r="D117" s="7720"/>
      <c r="E117" s="7723" t="s">
        <v>669</v>
      </c>
      <c r="F117" s="7723" t="str">
        <f t="shared" si="1"/>
        <v/>
      </c>
      <c r="G117" s="7723"/>
      <c r="H117" s="7723" t="str">
        <f t="shared" si="2"/>
        <v/>
      </c>
      <c r="I117" s="7719">
        <v>90.0</v>
      </c>
      <c r="J117" s="7719">
        <v>65.0</v>
      </c>
      <c r="K117" s="7719">
        <v>65.0</v>
      </c>
      <c r="L117" s="7719">
        <v>40.0</v>
      </c>
      <c r="M117" s="7719">
        <v>40.0</v>
      </c>
      <c r="N117" s="7721">
        <v>15.0</v>
      </c>
      <c r="O117" s="7701"/>
      <c r="P117" s="7734">
        <v>96.0</v>
      </c>
      <c r="Q117" s="7735" t="str">
        <f t="shared" si="14"/>
        <v/>
      </c>
      <c r="R117" s="7704"/>
      <c r="S117" s="7705"/>
    </row>
    <row r="118" ht="18.75" customHeight="1">
      <c r="A118" s="7696"/>
      <c r="B118" s="7712" t="s">
        <v>1078</v>
      </c>
      <c r="C118" s="7713" t="s">
        <v>2421</v>
      </c>
      <c r="D118" s="7714"/>
      <c r="E118" s="7713" t="s">
        <v>2232</v>
      </c>
      <c r="F118" s="7713" t="str">
        <f t="shared" si="1"/>
        <v/>
      </c>
      <c r="G118" s="7713" t="s">
        <v>669</v>
      </c>
      <c r="H118" s="7713" t="str">
        <f t="shared" si="2"/>
        <v/>
      </c>
      <c r="I118" s="7713">
        <v>95.0</v>
      </c>
      <c r="J118" s="7713">
        <v>75.0</v>
      </c>
      <c r="K118" s="7713">
        <v>110.0</v>
      </c>
      <c r="L118" s="7713">
        <v>100.0</v>
      </c>
      <c r="M118" s="7713">
        <v>80.0</v>
      </c>
      <c r="N118" s="7715">
        <v>30.0</v>
      </c>
      <c r="O118" s="7701"/>
      <c r="P118" s="7734">
        <v>97.0</v>
      </c>
      <c r="Q118" s="7735" t="str">
        <f t="shared" si="14"/>
        <v/>
      </c>
      <c r="R118" s="7704"/>
      <c r="S118" s="7705"/>
    </row>
    <row r="119" ht="18.75" customHeight="1">
      <c r="A119" s="7696"/>
      <c r="B119" s="7718" t="s">
        <v>601</v>
      </c>
      <c r="C119" s="7723" t="s">
        <v>2422</v>
      </c>
      <c r="D119" s="7720"/>
      <c r="E119" s="7723" t="s">
        <v>2210</v>
      </c>
      <c r="F119" s="7723" t="str">
        <f t="shared" si="1"/>
        <v/>
      </c>
      <c r="G119" s="7723" t="s">
        <v>669</v>
      </c>
      <c r="H119" s="7723" t="str">
        <f t="shared" si="2"/>
        <v/>
      </c>
      <c r="I119" s="7719">
        <v>95.0</v>
      </c>
      <c r="J119" s="7719">
        <v>75.0</v>
      </c>
      <c r="K119" s="7719">
        <v>105.0</v>
      </c>
      <c r="L119" s="7719">
        <v>115.0</v>
      </c>
      <c r="M119" s="7719">
        <v>70.0</v>
      </c>
      <c r="N119" s="7721">
        <v>30.0</v>
      </c>
      <c r="O119" s="7701"/>
      <c r="P119" s="7734">
        <v>98.0</v>
      </c>
      <c r="Q119" s="7735" t="str">
        <f t="shared" si="14"/>
        <v/>
      </c>
      <c r="R119" s="7704"/>
      <c r="S119" s="7705"/>
    </row>
    <row r="120" ht="18.75" customHeight="1">
      <c r="A120" s="7696"/>
      <c r="B120" s="7712" t="s">
        <v>2092</v>
      </c>
      <c r="C120" s="7722" t="s">
        <v>2423</v>
      </c>
      <c r="D120" s="7714"/>
      <c r="E120" s="7722" t="s">
        <v>2210</v>
      </c>
      <c r="F120" s="7722" t="str">
        <f t="shared" si="1"/>
        <v/>
      </c>
      <c r="G120" s="7722" t="s">
        <v>669</v>
      </c>
      <c r="H120" s="7722" t="str">
        <f t="shared" si="2"/>
        <v/>
      </c>
      <c r="I120" s="7713">
        <v>95.0</v>
      </c>
      <c r="J120" s="7713">
        <v>75.0</v>
      </c>
      <c r="K120" s="7713">
        <v>180.0</v>
      </c>
      <c r="L120" s="7713">
        <v>130.0</v>
      </c>
      <c r="M120" s="7713">
        <v>80.0</v>
      </c>
      <c r="N120" s="7715">
        <v>30.0</v>
      </c>
      <c r="O120" s="7701"/>
      <c r="P120" s="7734">
        <v>99.0</v>
      </c>
      <c r="Q120" s="7735" t="str">
        <f t="shared" si="14"/>
        <v/>
      </c>
      <c r="R120" s="7704"/>
      <c r="S120" s="7705"/>
    </row>
    <row r="121" ht="18.75" customHeight="1">
      <c r="A121" s="7696"/>
      <c r="B121" s="7718" t="s">
        <v>2424</v>
      </c>
      <c r="C121" s="7719" t="s">
        <v>2425</v>
      </c>
      <c r="D121" s="7720"/>
      <c r="E121" s="7719" t="s">
        <v>2283</v>
      </c>
      <c r="F121" s="7719" t="str">
        <f t="shared" si="1"/>
        <v/>
      </c>
      <c r="G121" s="7719" t="s">
        <v>2286</v>
      </c>
      <c r="H121" s="7719" t="str">
        <f t="shared" si="2"/>
        <v/>
      </c>
      <c r="I121" s="7719">
        <v>25.0</v>
      </c>
      <c r="J121" s="7719">
        <v>35.0</v>
      </c>
      <c r="K121" s="7719">
        <v>70.0</v>
      </c>
      <c r="L121" s="7719">
        <v>95.0</v>
      </c>
      <c r="M121" s="7719">
        <v>55.0</v>
      </c>
      <c r="N121" s="7721">
        <v>45.0</v>
      </c>
      <c r="O121" s="7701"/>
      <c r="P121" s="7734">
        <v>100.0</v>
      </c>
      <c r="Q121" s="7735" t="str">
        <f t="shared" ref="Q121:Q130" si="15">IMAGE("https://i.ibb.co/LYwWxW7/Green100-109.png",3)</f>
        <v/>
      </c>
      <c r="R121" s="7704"/>
      <c r="S121" s="7705"/>
    </row>
    <row r="122" ht="18.75" customHeight="1">
      <c r="A122" s="7696"/>
      <c r="B122" s="7712" t="s">
        <v>2426</v>
      </c>
      <c r="C122" s="7713" t="s">
        <v>2427</v>
      </c>
      <c r="D122" s="7714"/>
      <c r="E122" s="7713" t="s">
        <v>2283</v>
      </c>
      <c r="F122" s="7713" t="str">
        <f t="shared" si="1"/>
        <v/>
      </c>
      <c r="G122" s="7713" t="s">
        <v>2286</v>
      </c>
      <c r="H122" s="7713" t="str">
        <f t="shared" si="2"/>
        <v/>
      </c>
      <c r="I122" s="7713">
        <v>50.0</v>
      </c>
      <c r="J122" s="7713">
        <v>60.0</v>
      </c>
      <c r="K122" s="7713">
        <v>95.0</v>
      </c>
      <c r="L122" s="7713">
        <v>120.0</v>
      </c>
      <c r="M122" s="7713">
        <v>70.0</v>
      </c>
      <c r="N122" s="7715">
        <v>70.0</v>
      </c>
      <c r="O122" s="7701"/>
      <c r="P122" s="7734">
        <v>101.0</v>
      </c>
      <c r="Q122" s="7735" t="str">
        <f t="shared" si="15"/>
        <v/>
      </c>
      <c r="R122" s="7704"/>
      <c r="S122" s="7705"/>
    </row>
    <row r="123" ht="18.75" customHeight="1">
      <c r="A123" s="7696"/>
      <c r="B123" s="7718" t="s">
        <v>268</v>
      </c>
      <c r="C123" s="7723" t="s">
        <v>2428</v>
      </c>
      <c r="D123" s="7720"/>
      <c r="E123" s="7723" t="s">
        <v>2224</v>
      </c>
      <c r="F123" s="7723" t="str">
        <f t="shared" si="1"/>
        <v/>
      </c>
      <c r="G123" s="7723" t="s">
        <v>2296</v>
      </c>
      <c r="H123" s="7723" t="str">
        <f t="shared" si="2"/>
        <v/>
      </c>
      <c r="I123" s="7719">
        <v>75.0</v>
      </c>
      <c r="J123" s="7719">
        <v>90.0</v>
      </c>
      <c r="K123" s="7719">
        <v>70.0</v>
      </c>
      <c r="L123" s="7719">
        <v>58.0</v>
      </c>
      <c r="M123" s="7719">
        <v>77.0</v>
      </c>
      <c r="N123" s="7721">
        <v>65.0</v>
      </c>
      <c r="O123" s="7701"/>
      <c r="P123" s="7734">
        <v>102.0</v>
      </c>
      <c r="Q123" s="7735" t="str">
        <f t="shared" si="15"/>
        <v/>
      </c>
      <c r="R123" s="7704"/>
      <c r="S123" s="7705"/>
    </row>
    <row r="124" ht="18.75" customHeight="1">
      <c r="A124" s="7696"/>
      <c r="B124" s="7712" t="s">
        <v>795</v>
      </c>
      <c r="C124" s="7722" t="s">
        <v>2429</v>
      </c>
      <c r="D124" s="7714"/>
      <c r="E124" s="7722" t="s">
        <v>2296</v>
      </c>
      <c r="F124" s="7722" t="str">
        <f t="shared" si="1"/>
        <v/>
      </c>
      <c r="G124" s="7722"/>
      <c r="H124" s="7722" t="str">
        <f t="shared" si="2"/>
        <v/>
      </c>
      <c r="I124" s="7713">
        <v>52.0</v>
      </c>
      <c r="J124" s="7713">
        <v>95.0</v>
      </c>
      <c r="K124" s="7713">
        <v>55.0</v>
      </c>
      <c r="L124" s="7713">
        <v>58.0</v>
      </c>
      <c r="M124" s="7713">
        <v>62.0</v>
      </c>
      <c r="N124" s="7715">
        <v>55.0</v>
      </c>
      <c r="O124" s="7701"/>
      <c r="P124" s="7734">
        <v>103.0</v>
      </c>
      <c r="Q124" s="7735" t="str">
        <f t="shared" si="15"/>
        <v/>
      </c>
      <c r="R124" s="7704"/>
      <c r="S124" s="7705"/>
    </row>
    <row r="125" ht="18.75" customHeight="1">
      <c r="A125" s="7696"/>
      <c r="B125" s="7718" t="s">
        <v>2430</v>
      </c>
      <c r="C125" s="7719" t="s">
        <v>2431</v>
      </c>
      <c r="D125" s="7720"/>
      <c r="E125" s="7719" t="s">
        <v>2262</v>
      </c>
      <c r="F125" s="7719" t="str">
        <f t="shared" si="1"/>
        <v/>
      </c>
      <c r="G125" s="7719" t="s">
        <v>2224</v>
      </c>
      <c r="H125" s="7719" t="str">
        <f t="shared" si="2"/>
        <v/>
      </c>
      <c r="I125" s="7719">
        <v>35.0</v>
      </c>
      <c r="J125" s="7719">
        <v>85.0</v>
      </c>
      <c r="K125" s="7719">
        <v>45.0</v>
      </c>
      <c r="L125" s="7719">
        <v>35.0</v>
      </c>
      <c r="M125" s="7719">
        <v>35.0</v>
      </c>
      <c r="N125" s="7721">
        <v>75.0</v>
      </c>
      <c r="O125" s="7701"/>
      <c r="P125" s="7734">
        <v>104.0</v>
      </c>
      <c r="Q125" s="7735" t="str">
        <f t="shared" si="15"/>
        <v/>
      </c>
      <c r="R125" s="7704"/>
      <c r="S125" s="7705"/>
    </row>
    <row r="126" ht="18.75" customHeight="1">
      <c r="A126" s="7696"/>
      <c r="B126" s="7712" t="s">
        <v>1799</v>
      </c>
      <c r="C126" s="7713" t="s">
        <v>2432</v>
      </c>
      <c r="D126" s="7714"/>
      <c r="E126" s="7713" t="s">
        <v>2262</v>
      </c>
      <c r="F126" s="7713" t="str">
        <f t="shared" si="1"/>
        <v/>
      </c>
      <c r="G126" s="7713" t="s">
        <v>2224</v>
      </c>
      <c r="H126" s="7713" t="str">
        <f t="shared" si="2"/>
        <v/>
      </c>
      <c r="I126" s="7713">
        <v>60.0</v>
      </c>
      <c r="J126" s="7713">
        <v>110.0</v>
      </c>
      <c r="K126" s="7713">
        <v>70.0</v>
      </c>
      <c r="L126" s="7713">
        <v>60.0</v>
      </c>
      <c r="M126" s="7713">
        <v>60.0</v>
      </c>
      <c r="N126" s="7715">
        <v>110.0</v>
      </c>
      <c r="O126" s="7701"/>
      <c r="P126" s="7734">
        <v>105.0</v>
      </c>
      <c r="Q126" s="7735" t="str">
        <f t="shared" si="15"/>
        <v/>
      </c>
      <c r="R126" s="7704"/>
      <c r="S126" s="7705"/>
    </row>
    <row r="127" ht="18.75" customHeight="1">
      <c r="A127" s="7696"/>
      <c r="B127" s="7718" t="s">
        <v>2433</v>
      </c>
      <c r="C127" s="7719" t="s">
        <v>2434</v>
      </c>
      <c r="D127" s="7720"/>
      <c r="E127" s="7719" t="s">
        <v>2232</v>
      </c>
      <c r="F127" s="7719" t="str">
        <f t="shared" si="1"/>
        <v/>
      </c>
      <c r="G127" s="7719"/>
      <c r="H127" s="7719" t="str">
        <f t="shared" si="2"/>
        <v/>
      </c>
      <c r="I127" s="7719">
        <v>65.0</v>
      </c>
      <c r="J127" s="7719">
        <v>45.0</v>
      </c>
      <c r="K127" s="7719">
        <v>55.0</v>
      </c>
      <c r="L127" s="7719">
        <v>45.0</v>
      </c>
      <c r="M127" s="7719">
        <v>70.0</v>
      </c>
      <c r="N127" s="7721">
        <v>45.0</v>
      </c>
      <c r="O127" s="7701"/>
      <c r="P127" s="7734">
        <v>106.0</v>
      </c>
      <c r="Q127" s="7735" t="str">
        <f t="shared" si="15"/>
        <v/>
      </c>
      <c r="R127" s="7704"/>
      <c r="S127" s="7705"/>
    </row>
    <row r="128" ht="18.75" customHeight="1">
      <c r="A128" s="7696"/>
      <c r="B128" s="7712" t="s">
        <v>2038</v>
      </c>
      <c r="C128" s="7713" t="s">
        <v>2435</v>
      </c>
      <c r="D128" s="7714"/>
      <c r="E128" s="7713" t="s">
        <v>2232</v>
      </c>
      <c r="F128" s="7713" t="str">
        <f t="shared" si="1"/>
        <v/>
      </c>
      <c r="G128" s="7713" t="s">
        <v>2289</v>
      </c>
      <c r="H128" s="7713" t="str">
        <f t="shared" si="2"/>
        <v/>
      </c>
      <c r="I128" s="7713">
        <v>95.0</v>
      </c>
      <c r="J128" s="7713">
        <v>50.0</v>
      </c>
      <c r="K128" s="7713">
        <v>80.0</v>
      </c>
      <c r="L128" s="7713">
        <v>90.0</v>
      </c>
      <c r="M128" s="7713">
        <v>95.0</v>
      </c>
      <c r="N128" s="7715">
        <v>70.0</v>
      </c>
      <c r="O128" s="7701"/>
      <c r="P128" s="7734">
        <v>107.0</v>
      </c>
      <c r="Q128" s="7735" t="str">
        <f t="shared" si="15"/>
        <v/>
      </c>
      <c r="R128" s="7704"/>
      <c r="S128" s="7705"/>
    </row>
    <row r="129" ht="18.75" customHeight="1">
      <c r="A129" s="7696"/>
      <c r="B129" s="7718" t="s">
        <v>2436</v>
      </c>
      <c r="C129" s="7719" t="s">
        <v>2437</v>
      </c>
      <c r="D129" s="7720"/>
      <c r="E129" s="7719" t="s">
        <v>2210</v>
      </c>
      <c r="F129" s="7719" t="str">
        <f t="shared" si="1"/>
        <v/>
      </c>
      <c r="G129" s="7719"/>
      <c r="H129" s="7719" t="str">
        <f t="shared" si="2"/>
        <v/>
      </c>
      <c r="I129" s="7719">
        <v>80.0</v>
      </c>
      <c r="J129" s="7719">
        <v>80.0</v>
      </c>
      <c r="K129" s="7719">
        <v>50.0</v>
      </c>
      <c r="L129" s="7719">
        <v>40.0</v>
      </c>
      <c r="M129" s="7719">
        <v>50.0</v>
      </c>
      <c r="N129" s="7721">
        <v>25.0</v>
      </c>
      <c r="O129" s="7701"/>
      <c r="P129" s="7734">
        <v>108.0</v>
      </c>
      <c r="Q129" s="7735" t="str">
        <f t="shared" si="15"/>
        <v/>
      </c>
      <c r="R129" s="7704"/>
      <c r="S129" s="7705"/>
    </row>
    <row r="130" ht="18.75" customHeight="1">
      <c r="A130" s="7696"/>
      <c r="B130" s="7712" t="s">
        <v>2438</v>
      </c>
      <c r="C130" s="7722" t="s">
        <v>2439</v>
      </c>
      <c r="D130" s="7714"/>
      <c r="E130" s="7722" t="s">
        <v>2210</v>
      </c>
      <c r="F130" s="7722" t="str">
        <f t="shared" si="1"/>
        <v/>
      </c>
      <c r="G130" s="7722" t="s">
        <v>2272</v>
      </c>
      <c r="H130" s="7722" t="str">
        <f t="shared" si="2"/>
        <v/>
      </c>
      <c r="I130" s="7713">
        <v>80.0</v>
      </c>
      <c r="J130" s="7713">
        <v>80.0</v>
      </c>
      <c r="K130" s="7713">
        <v>50.0</v>
      </c>
      <c r="L130" s="7713">
        <v>40.0</v>
      </c>
      <c r="M130" s="7713">
        <v>50.0</v>
      </c>
      <c r="N130" s="7715">
        <v>25.0</v>
      </c>
      <c r="O130" s="7701"/>
      <c r="P130" s="7734">
        <v>109.0</v>
      </c>
      <c r="Q130" s="7735" t="str">
        <f t="shared" si="15"/>
        <v/>
      </c>
      <c r="R130" s="7704"/>
      <c r="S130" s="7705"/>
    </row>
    <row r="131" ht="18.75" customHeight="1">
      <c r="A131" s="7696"/>
      <c r="B131" s="7718" t="s">
        <v>275</v>
      </c>
      <c r="C131" s="7719" t="s">
        <v>2440</v>
      </c>
      <c r="D131" s="7720"/>
      <c r="E131" s="7719" t="s">
        <v>2210</v>
      </c>
      <c r="F131" s="7719" t="str">
        <f t="shared" si="1"/>
        <v/>
      </c>
      <c r="G131" s="7719"/>
      <c r="H131" s="7719" t="str">
        <f t="shared" si="2"/>
        <v/>
      </c>
      <c r="I131" s="7719">
        <v>105.0</v>
      </c>
      <c r="J131" s="7719">
        <v>105.0</v>
      </c>
      <c r="K131" s="7719">
        <v>75.0</v>
      </c>
      <c r="L131" s="7719">
        <v>65.0</v>
      </c>
      <c r="M131" s="7719">
        <v>100.0</v>
      </c>
      <c r="N131" s="7721">
        <v>50.0</v>
      </c>
      <c r="O131" s="7701"/>
      <c r="P131" s="7734">
        <v>110.0</v>
      </c>
      <c r="Q131" s="7735" t="str">
        <f t="shared" ref="Q131:Q135" si="16">IMAGE("https://i.ibb.co/wNHY2zt/Green110-114.png",3)</f>
        <v/>
      </c>
      <c r="R131" s="7704"/>
      <c r="S131" s="7705"/>
    </row>
    <row r="132" ht="18.75" customHeight="1">
      <c r="A132" s="7696"/>
      <c r="B132" s="7712" t="s">
        <v>1759</v>
      </c>
      <c r="C132" s="7722" t="s">
        <v>2441</v>
      </c>
      <c r="D132" s="7714"/>
      <c r="E132" s="7722" t="s">
        <v>2210</v>
      </c>
      <c r="F132" s="7722" t="str">
        <f t="shared" si="1"/>
        <v/>
      </c>
      <c r="G132" s="7722" t="s">
        <v>2272</v>
      </c>
      <c r="H132" s="7722" t="str">
        <f t="shared" si="2"/>
        <v/>
      </c>
      <c r="I132" s="7713">
        <v>105.0</v>
      </c>
      <c r="J132" s="7713">
        <v>105.0</v>
      </c>
      <c r="K132" s="7713">
        <v>75.0</v>
      </c>
      <c r="L132" s="7713">
        <v>65.0</v>
      </c>
      <c r="M132" s="7713">
        <v>100.0</v>
      </c>
      <c r="N132" s="7715">
        <v>50.0</v>
      </c>
      <c r="O132" s="7701"/>
      <c r="P132" s="7734">
        <v>111.0</v>
      </c>
      <c r="Q132" s="7735" t="str">
        <f t="shared" si="16"/>
        <v/>
      </c>
      <c r="R132" s="7704"/>
      <c r="S132" s="7705"/>
    </row>
    <row r="133" ht="18.75" customHeight="1">
      <c r="A133" s="7696"/>
      <c r="B133" s="7718" t="s">
        <v>2442</v>
      </c>
      <c r="C133" s="7719" t="s">
        <v>2443</v>
      </c>
      <c r="D133" s="7720"/>
      <c r="E133" s="7719" t="s">
        <v>2232</v>
      </c>
      <c r="F133" s="7719" t="str">
        <f t="shared" si="1"/>
        <v/>
      </c>
      <c r="G133" s="7719"/>
      <c r="H133" s="7719" t="str">
        <f t="shared" si="2"/>
        <v/>
      </c>
      <c r="I133" s="7719">
        <v>30.0</v>
      </c>
      <c r="J133" s="7719">
        <v>65.0</v>
      </c>
      <c r="K133" s="7719">
        <v>100.0</v>
      </c>
      <c r="L133" s="7719">
        <v>45.0</v>
      </c>
      <c r="M133" s="7719">
        <v>25.0</v>
      </c>
      <c r="N133" s="7721">
        <v>40.0</v>
      </c>
      <c r="O133" s="7701"/>
      <c r="P133" s="7734">
        <v>112.0</v>
      </c>
      <c r="Q133" s="7735" t="str">
        <f t="shared" si="16"/>
        <v/>
      </c>
      <c r="R133" s="7704"/>
      <c r="S133" s="7705"/>
    </row>
    <row r="134" ht="18.75" customHeight="1">
      <c r="A134" s="7696"/>
      <c r="B134" s="7712" t="s">
        <v>912</v>
      </c>
      <c r="C134" s="7713" t="s">
        <v>2444</v>
      </c>
      <c r="D134" s="7714"/>
      <c r="E134" s="7713" t="s">
        <v>2232</v>
      </c>
      <c r="F134" s="7713" t="str">
        <f t="shared" si="1"/>
        <v/>
      </c>
      <c r="G134" s="7713" t="s">
        <v>2289</v>
      </c>
      <c r="H134" s="7713" t="str">
        <f t="shared" si="2"/>
        <v/>
      </c>
      <c r="I134" s="7713">
        <v>50.0</v>
      </c>
      <c r="J134" s="7713">
        <v>95.0</v>
      </c>
      <c r="K134" s="7713">
        <v>180.0</v>
      </c>
      <c r="L134" s="7713">
        <v>85.0</v>
      </c>
      <c r="M134" s="7713">
        <v>45.0</v>
      </c>
      <c r="N134" s="7715">
        <v>70.0</v>
      </c>
      <c r="O134" s="7701"/>
      <c r="P134" s="7734">
        <v>113.0</v>
      </c>
      <c r="Q134" s="7735" t="str">
        <f t="shared" si="16"/>
        <v/>
      </c>
      <c r="R134" s="7704"/>
      <c r="S134" s="7705"/>
    </row>
    <row r="135" ht="18.75" customHeight="1">
      <c r="A135" s="7696"/>
      <c r="B135" s="7718" t="s">
        <v>2445</v>
      </c>
      <c r="C135" s="7719" t="s">
        <v>2446</v>
      </c>
      <c r="D135" s="7720"/>
      <c r="E135" s="7719" t="s">
        <v>2447</v>
      </c>
      <c r="F135" s="7719" t="str">
        <f t="shared" si="1"/>
        <v/>
      </c>
      <c r="G135" s="7719" t="s">
        <v>2210</v>
      </c>
      <c r="H135" s="7719" t="str">
        <f t="shared" si="2"/>
        <v/>
      </c>
      <c r="I135" s="7719">
        <v>30.0</v>
      </c>
      <c r="J135" s="7719">
        <v>35.0</v>
      </c>
      <c r="K135" s="7719">
        <v>30.0</v>
      </c>
      <c r="L135" s="7719">
        <v>100.0</v>
      </c>
      <c r="M135" s="7719">
        <v>35.0</v>
      </c>
      <c r="N135" s="7721">
        <v>80.0</v>
      </c>
      <c r="O135" s="7701"/>
      <c r="P135" s="7734">
        <v>114.0</v>
      </c>
      <c r="Q135" s="7735" t="str">
        <f t="shared" si="16"/>
        <v/>
      </c>
      <c r="R135" s="7704"/>
      <c r="S135" s="7705"/>
    </row>
    <row r="136" ht="18.75" customHeight="1">
      <c r="A136" s="7696"/>
      <c r="B136" s="7712" t="s">
        <v>2448</v>
      </c>
      <c r="C136" s="7713" t="s">
        <v>2449</v>
      </c>
      <c r="D136" s="7714"/>
      <c r="E136" s="7713" t="s">
        <v>2447</v>
      </c>
      <c r="F136" s="7713" t="str">
        <f t="shared" si="1"/>
        <v/>
      </c>
      <c r="G136" s="7713" t="s">
        <v>2210</v>
      </c>
      <c r="H136" s="7713" t="str">
        <f t="shared" si="2"/>
        <v/>
      </c>
      <c r="I136" s="7713">
        <v>45.0</v>
      </c>
      <c r="J136" s="7713">
        <v>50.0</v>
      </c>
      <c r="K136" s="7713">
        <v>45.0</v>
      </c>
      <c r="L136" s="7713">
        <v>115.0</v>
      </c>
      <c r="M136" s="7713">
        <v>55.0</v>
      </c>
      <c r="N136" s="7715">
        <v>95.0</v>
      </c>
      <c r="O136" s="7701"/>
      <c r="P136" s="7734">
        <v>115.0</v>
      </c>
      <c r="Q136" s="7735" t="str">
        <f t="shared" ref="Q136:Q140" si="17">IMAGE("https://i.ibb.co/5hkQ6hG/Green115-119.png",3)</f>
        <v/>
      </c>
      <c r="R136" s="7704"/>
      <c r="S136" s="7705"/>
    </row>
    <row r="137" ht="18.75" customHeight="1">
      <c r="A137" s="7696"/>
      <c r="B137" s="7718" t="s">
        <v>1065</v>
      </c>
      <c r="C137" s="7719" t="s">
        <v>2450</v>
      </c>
      <c r="D137" s="7720"/>
      <c r="E137" s="7719" t="s">
        <v>2447</v>
      </c>
      <c r="F137" s="7719" t="str">
        <f t="shared" si="1"/>
        <v/>
      </c>
      <c r="G137" s="7719" t="s">
        <v>2210</v>
      </c>
      <c r="H137" s="7719" t="str">
        <f t="shared" si="2"/>
        <v/>
      </c>
      <c r="I137" s="7719">
        <v>60.0</v>
      </c>
      <c r="J137" s="7719">
        <v>65.0</v>
      </c>
      <c r="K137" s="7719">
        <v>60.0</v>
      </c>
      <c r="L137" s="7719">
        <v>130.0</v>
      </c>
      <c r="M137" s="7719">
        <v>75.0</v>
      </c>
      <c r="N137" s="7721">
        <v>110.0</v>
      </c>
      <c r="O137" s="7701"/>
      <c r="P137" s="7734">
        <v>116.0</v>
      </c>
      <c r="Q137" s="7735" t="str">
        <f t="shared" si="17"/>
        <v/>
      </c>
      <c r="R137" s="7704"/>
      <c r="S137" s="7705"/>
    </row>
    <row r="138" ht="18.75" customHeight="1">
      <c r="A138" s="7696"/>
      <c r="B138" s="7712" t="s">
        <v>868</v>
      </c>
      <c r="C138" s="7722" t="s">
        <v>2451</v>
      </c>
      <c r="D138" s="7714"/>
      <c r="E138" s="7722" t="s">
        <v>2447</v>
      </c>
      <c r="F138" s="7722" t="str">
        <f t="shared" si="1"/>
        <v/>
      </c>
      <c r="G138" s="7722" t="s">
        <v>2210</v>
      </c>
      <c r="H138" s="7722" t="str">
        <f t="shared" si="2"/>
        <v/>
      </c>
      <c r="I138" s="7713">
        <v>60.0</v>
      </c>
      <c r="J138" s="7713">
        <v>65.0</v>
      </c>
      <c r="K138" s="7713">
        <v>80.0</v>
      </c>
      <c r="L138" s="7713">
        <v>170.0</v>
      </c>
      <c r="M138" s="7713">
        <v>95.0</v>
      </c>
      <c r="N138" s="7715">
        <v>130.0</v>
      </c>
      <c r="O138" s="7701"/>
      <c r="P138" s="7734">
        <v>117.0</v>
      </c>
      <c r="Q138" s="7735" t="str">
        <f t="shared" si="17"/>
        <v/>
      </c>
      <c r="R138" s="7704"/>
      <c r="S138" s="7705"/>
    </row>
    <row r="139" ht="18.75" customHeight="1">
      <c r="A139" s="7696"/>
      <c r="B139" s="7718" t="s">
        <v>2452</v>
      </c>
      <c r="C139" s="7719" t="s">
        <v>2453</v>
      </c>
      <c r="D139" s="7720"/>
      <c r="E139" s="7719" t="s">
        <v>2370</v>
      </c>
      <c r="F139" s="7719" t="str">
        <f t="shared" si="1"/>
        <v/>
      </c>
      <c r="G139" s="7719" t="s">
        <v>2304</v>
      </c>
      <c r="H139" s="7719" t="str">
        <f t="shared" si="2"/>
        <v/>
      </c>
      <c r="I139" s="7719">
        <v>50.0</v>
      </c>
      <c r="J139" s="7719">
        <v>60.0</v>
      </c>
      <c r="K139" s="7719">
        <v>150.0</v>
      </c>
      <c r="L139" s="7719">
        <v>30.0</v>
      </c>
      <c r="M139" s="7719">
        <v>45.0</v>
      </c>
      <c r="N139" s="7721">
        <v>65.0</v>
      </c>
      <c r="O139" s="7701"/>
      <c r="P139" s="7734">
        <v>118.0</v>
      </c>
      <c r="Q139" s="7735" t="str">
        <f t="shared" si="17"/>
        <v/>
      </c>
      <c r="R139" s="7704"/>
      <c r="S139" s="7705"/>
    </row>
    <row r="140" ht="18.75" customHeight="1">
      <c r="A140" s="7696"/>
      <c r="B140" s="7712" t="s">
        <v>2454</v>
      </c>
      <c r="C140" s="7713" t="s">
        <v>2455</v>
      </c>
      <c r="D140" s="7714"/>
      <c r="E140" s="7713" t="s">
        <v>669</v>
      </c>
      <c r="F140" s="7713" t="str">
        <f t="shared" si="1"/>
        <v/>
      </c>
      <c r="G140" s="7713"/>
      <c r="H140" s="7713" t="str">
        <f t="shared" si="2"/>
        <v/>
      </c>
      <c r="I140" s="7713">
        <v>60.0</v>
      </c>
      <c r="J140" s="7713">
        <v>48.0</v>
      </c>
      <c r="K140" s="7713">
        <v>45.0</v>
      </c>
      <c r="L140" s="7713">
        <v>43.0</v>
      </c>
      <c r="M140" s="7713">
        <v>90.0</v>
      </c>
      <c r="N140" s="7715">
        <v>42.0</v>
      </c>
      <c r="O140" s="7701"/>
      <c r="P140" s="7734">
        <v>119.0</v>
      </c>
      <c r="Q140" s="7735" t="str">
        <f t="shared" si="17"/>
        <v/>
      </c>
      <c r="R140" s="7704"/>
      <c r="S140" s="7705"/>
    </row>
    <row r="141" ht="18.75" customHeight="1">
      <c r="A141" s="7696"/>
      <c r="B141" s="7718" t="s">
        <v>289</v>
      </c>
      <c r="C141" s="7719" t="s">
        <v>2456</v>
      </c>
      <c r="D141" s="7720"/>
      <c r="E141" s="7719" t="s">
        <v>669</v>
      </c>
      <c r="F141" s="7719" t="str">
        <f t="shared" si="1"/>
        <v/>
      </c>
      <c r="G141" s="7719"/>
      <c r="H141" s="7719" t="str">
        <f t="shared" si="2"/>
        <v/>
      </c>
      <c r="I141" s="7719">
        <v>85.0</v>
      </c>
      <c r="J141" s="7719">
        <v>73.0</v>
      </c>
      <c r="K141" s="7719">
        <v>70.0</v>
      </c>
      <c r="L141" s="7719">
        <v>73.0</v>
      </c>
      <c r="M141" s="7719">
        <v>115.0</v>
      </c>
      <c r="N141" s="7721">
        <v>67.0</v>
      </c>
      <c r="O141" s="7701"/>
      <c r="P141" s="7734">
        <v>120.0</v>
      </c>
      <c r="Q141" s="7735" t="str">
        <f t="shared" ref="Q141:Q144" si="18">IMAGE("https://i.ibb.co/vZy4yhV/Deep-Green120-123.png",3)</f>
        <v/>
      </c>
      <c r="R141" s="7704"/>
      <c r="S141" s="7705"/>
    </row>
    <row r="142" ht="18.75" customHeight="1">
      <c r="A142" s="7696"/>
      <c r="B142" s="7712" t="s">
        <v>2457</v>
      </c>
      <c r="C142" s="7713" t="s">
        <v>2458</v>
      </c>
      <c r="D142" s="7714"/>
      <c r="E142" s="7713" t="s">
        <v>2232</v>
      </c>
      <c r="F142" s="7713" t="str">
        <f t="shared" si="1"/>
        <v/>
      </c>
      <c r="G142" s="7713"/>
      <c r="H142" s="7713" t="str">
        <f t="shared" si="2"/>
        <v/>
      </c>
      <c r="I142" s="7713">
        <v>30.0</v>
      </c>
      <c r="J142" s="7713">
        <v>105.0</v>
      </c>
      <c r="K142" s="7713">
        <v>90.0</v>
      </c>
      <c r="L142" s="7713">
        <v>25.0</v>
      </c>
      <c r="M142" s="7713">
        <v>25.0</v>
      </c>
      <c r="N142" s="7715">
        <v>50.0</v>
      </c>
      <c r="O142" s="7701"/>
      <c r="P142" s="7734">
        <v>121.0</v>
      </c>
      <c r="Q142" s="7735" t="str">
        <f t="shared" si="18"/>
        <v/>
      </c>
      <c r="R142" s="7704"/>
      <c r="S142" s="7705"/>
    </row>
    <row r="143" ht="18.75" customHeight="1">
      <c r="A143" s="7696"/>
      <c r="B143" s="7718" t="s">
        <v>2162</v>
      </c>
      <c r="C143" s="7719" t="s">
        <v>2459</v>
      </c>
      <c r="D143" s="7720"/>
      <c r="E143" s="7719" t="s">
        <v>2232</v>
      </c>
      <c r="F143" s="7719" t="str">
        <f t="shared" si="1"/>
        <v/>
      </c>
      <c r="G143" s="7719"/>
      <c r="H143" s="7719" t="str">
        <f t="shared" si="2"/>
        <v/>
      </c>
      <c r="I143" s="7719">
        <v>55.0</v>
      </c>
      <c r="J143" s="7719">
        <v>130.0</v>
      </c>
      <c r="K143" s="7719">
        <v>115.0</v>
      </c>
      <c r="L143" s="7719">
        <v>50.0</v>
      </c>
      <c r="M143" s="7719">
        <v>50.0</v>
      </c>
      <c r="N143" s="7721">
        <v>75.0</v>
      </c>
      <c r="O143" s="7701"/>
      <c r="P143" s="7734">
        <v>122.0</v>
      </c>
      <c r="Q143" s="7735" t="str">
        <f t="shared" si="18"/>
        <v/>
      </c>
      <c r="R143" s="7704"/>
      <c r="S143" s="7705"/>
    </row>
    <row r="144" ht="18.75" customHeight="1">
      <c r="A144" s="7696"/>
      <c r="B144" s="7712" t="s">
        <v>1605</v>
      </c>
      <c r="C144" s="7722" t="s">
        <v>2460</v>
      </c>
      <c r="D144" s="7714"/>
      <c r="E144" s="7722" t="s">
        <v>2232</v>
      </c>
      <c r="F144" s="7722" t="str">
        <f t="shared" si="1"/>
        <v/>
      </c>
      <c r="G144" s="7722" t="s">
        <v>2286</v>
      </c>
      <c r="H144" s="7722" t="str">
        <f t="shared" si="2"/>
        <v/>
      </c>
      <c r="I144" s="7713">
        <v>55.0</v>
      </c>
      <c r="J144" s="7713">
        <v>150.0</v>
      </c>
      <c r="K144" s="7713">
        <v>125.0</v>
      </c>
      <c r="L144" s="7713">
        <v>50.0</v>
      </c>
      <c r="M144" s="7713">
        <v>70.0</v>
      </c>
      <c r="N144" s="7715">
        <v>110.0</v>
      </c>
      <c r="O144" s="7701"/>
      <c r="P144" s="7734">
        <v>123.0</v>
      </c>
      <c r="Q144" s="7735" t="str">
        <f t="shared" si="18"/>
        <v/>
      </c>
      <c r="R144" s="7704"/>
      <c r="S144" s="7705"/>
    </row>
    <row r="145" ht="18.75" customHeight="1">
      <c r="A145" s="7696"/>
      <c r="B145" s="7718" t="s">
        <v>2461</v>
      </c>
      <c r="C145" s="7719" t="s">
        <v>2462</v>
      </c>
      <c r="D145" s="7720"/>
      <c r="E145" s="7719" t="s">
        <v>2283</v>
      </c>
      <c r="F145" s="7719" t="str">
        <f t="shared" si="1"/>
        <v/>
      </c>
      <c r="G145" s="7719"/>
      <c r="H145" s="7719" t="str">
        <f t="shared" si="2"/>
        <v/>
      </c>
      <c r="I145" s="7719">
        <v>40.0</v>
      </c>
      <c r="J145" s="7719">
        <v>30.0</v>
      </c>
      <c r="K145" s="7719">
        <v>50.0</v>
      </c>
      <c r="L145" s="7719">
        <v>55.0</v>
      </c>
      <c r="M145" s="7719">
        <v>55.0</v>
      </c>
      <c r="N145" s="7721">
        <v>100.0</v>
      </c>
      <c r="O145" s="7701"/>
      <c r="P145" s="7734">
        <v>124.0</v>
      </c>
      <c r="Q145" s="7735" t="str">
        <f t="shared" ref="Q145:Q148" si="19">IMAGE("https://i.ibb.co/jrkFs95/Deep-Green124-127.png",3)</f>
        <v/>
      </c>
      <c r="R145" s="7704"/>
      <c r="S145" s="7705"/>
    </row>
    <row r="146" ht="18.75" customHeight="1">
      <c r="A146" s="7696"/>
      <c r="B146" s="7712" t="s">
        <v>1388</v>
      </c>
      <c r="C146" s="7722" t="s">
        <v>2463</v>
      </c>
      <c r="D146" s="7714"/>
      <c r="E146" s="7722" t="s">
        <v>2283</v>
      </c>
      <c r="F146" s="7722" t="str">
        <f t="shared" si="1"/>
        <v/>
      </c>
      <c r="G146" s="7722" t="s">
        <v>2209</v>
      </c>
      <c r="H146" s="7722" t="str">
        <f t="shared" si="2"/>
        <v/>
      </c>
      <c r="I146" s="7713">
        <v>40.0</v>
      </c>
      <c r="J146" s="7713">
        <v>30.0</v>
      </c>
      <c r="K146" s="7713">
        <v>50.0</v>
      </c>
      <c r="L146" s="7713">
        <v>55.0</v>
      </c>
      <c r="M146" s="7713">
        <v>55.0</v>
      </c>
      <c r="N146" s="7715">
        <v>100.0</v>
      </c>
      <c r="O146" s="7701"/>
      <c r="P146" s="7734">
        <v>125.0</v>
      </c>
      <c r="Q146" s="7735" t="str">
        <f t="shared" si="19"/>
        <v/>
      </c>
      <c r="R146" s="7704"/>
      <c r="S146" s="7705"/>
    </row>
    <row r="147" ht="18.75" customHeight="1">
      <c r="A147" s="7696"/>
      <c r="B147" s="7718" t="s">
        <v>1676</v>
      </c>
      <c r="C147" s="7719" t="s">
        <v>2464</v>
      </c>
      <c r="D147" s="7720"/>
      <c r="E147" s="7719" t="s">
        <v>2283</v>
      </c>
      <c r="F147" s="7719" t="str">
        <f t="shared" si="1"/>
        <v/>
      </c>
      <c r="G147" s="7719"/>
      <c r="H147" s="7719" t="str">
        <f t="shared" si="2"/>
        <v/>
      </c>
      <c r="I147" s="7719">
        <v>60.0</v>
      </c>
      <c r="J147" s="7719">
        <v>55.0</v>
      </c>
      <c r="K147" s="7719">
        <v>70.0</v>
      </c>
      <c r="L147" s="7719">
        <v>100.0</v>
      </c>
      <c r="M147" s="7719">
        <v>80.0</v>
      </c>
      <c r="N147" s="7721">
        <v>150.0</v>
      </c>
      <c r="O147" s="7701"/>
      <c r="P147" s="7734">
        <v>126.0</v>
      </c>
      <c r="Q147" s="7735" t="str">
        <f t="shared" si="19"/>
        <v/>
      </c>
      <c r="R147" s="7704"/>
      <c r="S147" s="7705"/>
    </row>
    <row r="148" ht="18.75" customHeight="1">
      <c r="A148" s="7696"/>
      <c r="B148" s="7712" t="s">
        <v>559</v>
      </c>
      <c r="C148" s="7722" t="s">
        <v>2465</v>
      </c>
      <c r="D148" s="7714"/>
      <c r="E148" s="7722" t="s">
        <v>2283</v>
      </c>
      <c r="F148" s="7722" t="str">
        <f t="shared" si="1"/>
        <v/>
      </c>
      <c r="G148" s="7722" t="s">
        <v>2209</v>
      </c>
      <c r="H148" s="7722" t="str">
        <f t="shared" si="2"/>
        <v/>
      </c>
      <c r="I148" s="7713">
        <v>60.0</v>
      </c>
      <c r="J148" s="7713">
        <v>55.0</v>
      </c>
      <c r="K148" s="7713">
        <v>70.0</v>
      </c>
      <c r="L148" s="7713">
        <v>95.0</v>
      </c>
      <c r="M148" s="7713">
        <v>80.0</v>
      </c>
      <c r="N148" s="7715">
        <v>150.0</v>
      </c>
      <c r="O148" s="7701"/>
      <c r="P148" s="7734">
        <v>127.0</v>
      </c>
      <c r="Q148" s="7735" t="str">
        <f t="shared" si="19"/>
        <v/>
      </c>
      <c r="R148" s="7704"/>
      <c r="S148" s="7705"/>
    </row>
    <row r="149" ht="18.75" customHeight="1">
      <c r="A149" s="7696"/>
      <c r="B149" s="7718" t="s">
        <v>2466</v>
      </c>
      <c r="C149" s="7719" t="s">
        <v>2467</v>
      </c>
      <c r="D149" s="7720"/>
      <c r="E149" s="7719" t="s">
        <v>2209</v>
      </c>
      <c r="F149" s="7719" t="str">
        <f t="shared" si="1"/>
        <v/>
      </c>
      <c r="G149" s="7719" t="s">
        <v>669</v>
      </c>
      <c r="H149" s="7719" t="str">
        <f t="shared" si="2"/>
        <v/>
      </c>
      <c r="I149" s="7719">
        <v>60.0</v>
      </c>
      <c r="J149" s="7719">
        <v>40.0</v>
      </c>
      <c r="K149" s="7719">
        <v>80.0</v>
      </c>
      <c r="L149" s="7719">
        <v>60.0</v>
      </c>
      <c r="M149" s="7719">
        <v>45.0</v>
      </c>
      <c r="N149" s="7721">
        <v>40.0</v>
      </c>
      <c r="O149" s="7701"/>
      <c r="P149" s="7734">
        <v>128.0</v>
      </c>
      <c r="Q149" s="7735" t="str">
        <f t="shared" ref="Q149:Q154" si="20">IMAGE("https://i.ibb.co/S7wDSPK/Deep-Green128-133.png",3)</f>
        <v/>
      </c>
      <c r="R149" s="7704"/>
      <c r="S149" s="7705"/>
    </row>
    <row r="150" ht="18.75" customHeight="1">
      <c r="A150" s="7696"/>
      <c r="B150" s="7712" t="s">
        <v>1310</v>
      </c>
      <c r="C150" s="7713" t="s">
        <v>2468</v>
      </c>
      <c r="D150" s="7714"/>
      <c r="E150" s="7713" t="s">
        <v>2209</v>
      </c>
      <c r="F150" s="7713" t="str">
        <f t="shared" si="1"/>
        <v/>
      </c>
      <c r="G150" s="7713" t="s">
        <v>669</v>
      </c>
      <c r="H150" s="7713" t="str">
        <f t="shared" si="2"/>
        <v/>
      </c>
      <c r="I150" s="7713">
        <v>95.0</v>
      </c>
      <c r="J150" s="7713">
        <v>95.0</v>
      </c>
      <c r="K150" s="7713">
        <v>85.0</v>
      </c>
      <c r="L150" s="7713">
        <v>125.0</v>
      </c>
      <c r="M150" s="7713">
        <v>75.0</v>
      </c>
      <c r="N150" s="7715">
        <v>55.0</v>
      </c>
      <c r="O150" s="7701"/>
      <c r="P150" s="7734">
        <v>129.0</v>
      </c>
      <c r="Q150" s="7735" t="str">
        <f t="shared" si="20"/>
        <v/>
      </c>
      <c r="R150" s="7704"/>
      <c r="S150" s="7705"/>
    </row>
    <row r="151" ht="18.75" customHeight="1">
      <c r="A151" s="7696"/>
      <c r="B151" s="7718" t="s">
        <v>2469</v>
      </c>
      <c r="C151" s="7723" t="s">
        <v>2470</v>
      </c>
      <c r="D151" s="7720"/>
      <c r="E151" s="7723" t="s">
        <v>2209</v>
      </c>
      <c r="F151" s="7723" t="str">
        <f t="shared" si="1"/>
        <v/>
      </c>
      <c r="G151" s="7723" t="s">
        <v>2227</v>
      </c>
      <c r="H151" s="7723" t="str">
        <f t="shared" si="2"/>
        <v/>
      </c>
      <c r="I151" s="7719">
        <v>95.0</v>
      </c>
      <c r="J151" s="7719">
        <v>105.0</v>
      </c>
      <c r="K151" s="7719">
        <v>85.0</v>
      </c>
      <c r="L151" s="7719">
        <v>125.0</v>
      </c>
      <c r="M151" s="7719">
        <v>75.0</v>
      </c>
      <c r="N151" s="7721">
        <v>45.0</v>
      </c>
      <c r="O151" s="7701"/>
      <c r="P151" s="7734">
        <v>130.0</v>
      </c>
      <c r="Q151" s="7735" t="str">
        <f t="shared" si="20"/>
        <v/>
      </c>
      <c r="R151" s="7704"/>
      <c r="S151" s="7705"/>
    </row>
    <row r="152" ht="18.75" customHeight="1">
      <c r="A152" s="7696"/>
      <c r="B152" s="7712" t="s">
        <v>2471</v>
      </c>
      <c r="C152" s="7713" t="s">
        <v>2472</v>
      </c>
      <c r="D152" s="7714"/>
      <c r="E152" s="7713" t="s">
        <v>2304</v>
      </c>
      <c r="F152" s="7713" t="str">
        <f t="shared" si="1"/>
        <v/>
      </c>
      <c r="G152" s="7713"/>
      <c r="H152" s="7713" t="str">
        <f t="shared" si="2"/>
        <v/>
      </c>
      <c r="I152" s="7713">
        <v>50.0</v>
      </c>
      <c r="J152" s="7713">
        <v>50.0</v>
      </c>
      <c r="K152" s="7713">
        <v>95.0</v>
      </c>
      <c r="L152" s="7713">
        <v>40.0</v>
      </c>
      <c r="M152" s="7713">
        <v>50.0</v>
      </c>
      <c r="N152" s="7715">
        <v>35.0</v>
      </c>
      <c r="O152" s="7701"/>
      <c r="P152" s="7734">
        <v>131.0</v>
      </c>
      <c r="Q152" s="7735" t="str">
        <f t="shared" si="20"/>
        <v/>
      </c>
      <c r="R152" s="7704"/>
      <c r="S152" s="7705"/>
    </row>
    <row r="153" ht="18.75" customHeight="1">
      <c r="A153" s="7696"/>
      <c r="B153" s="7718" t="s">
        <v>2473</v>
      </c>
      <c r="C153" s="7719" t="s">
        <v>2474</v>
      </c>
      <c r="D153" s="7720"/>
      <c r="E153" s="7719" t="s">
        <v>2304</v>
      </c>
      <c r="F153" s="7719" t="str">
        <f t="shared" si="1"/>
        <v/>
      </c>
      <c r="G153" s="7719"/>
      <c r="H153" s="7719" t="str">
        <f t="shared" si="2"/>
        <v/>
      </c>
      <c r="I153" s="7719">
        <v>80.0</v>
      </c>
      <c r="J153" s="7719">
        <v>80.0</v>
      </c>
      <c r="K153" s="7719">
        <v>110.0</v>
      </c>
      <c r="L153" s="7719">
        <v>30.0</v>
      </c>
      <c r="M153" s="7719">
        <v>80.0</v>
      </c>
      <c r="N153" s="7721">
        <v>45.0</v>
      </c>
      <c r="O153" s="7701"/>
      <c r="P153" s="7734">
        <v>132.0</v>
      </c>
      <c r="Q153" s="7735" t="str">
        <f t="shared" si="20"/>
        <v/>
      </c>
      <c r="R153" s="7704"/>
      <c r="S153" s="7705"/>
    </row>
    <row r="154" ht="18.75" customHeight="1">
      <c r="A154" s="7696"/>
      <c r="B154" s="7712" t="s">
        <v>1130</v>
      </c>
      <c r="C154" s="7722" t="s">
        <v>2475</v>
      </c>
      <c r="D154" s="7714"/>
      <c r="E154" s="7722" t="s">
        <v>2219</v>
      </c>
      <c r="F154" s="7722" t="str">
        <f t="shared" si="1"/>
        <v/>
      </c>
      <c r="G154" s="7722" t="s">
        <v>2447</v>
      </c>
      <c r="H154" s="7722" t="str">
        <f t="shared" si="2"/>
        <v/>
      </c>
      <c r="I154" s="7713">
        <v>60.0</v>
      </c>
      <c r="J154" s="7713">
        <v>80.0</v>
      </c>
      <c r="K154" s="7713">
        <v>110.0</v>
      </c>
      <c r="L154" s="7713">
        <v>50.0</v>
      </c>
      <c r="M154" s="7713">
        <v>80.0</v>
      </c>
      <c r="N154" s="7715">
        <v>45.0</v>
      </c>
      <c r="O154" s="7701"/>
      <c r="P154" s="7734">
        <v>133.0</v>
      </c>
      <c r="Q154" s="7735" t="str">
        <f t="shared" si="20"/>
        <v/>
      </c>
      <c r="R154" s="7704"/>
      <c r="S154" s="7705"/>
    </row>
    <row r="155" ht="18.75" customHeight="1">
      <c r="A155" s="7696"/>
      <c r="B155" s="7718" t="s">
        <v>561</v>
      </c>
      <c r="C155" s="7719" t="s">
        <v>2476</v>
      </c>
      <c r="D155" s="7720"/>
      <c r="E155" s="7719" t="s">
        <v>2296</v>
      </c>
      <c r="F155" s="7719" t="str">
        <f t="shared" si="1"/>
        <v/>
      </c>
      <c r="G155" s="7719"/>
      <c r="H155" s="7719" t="str">
        <f t="shared" si="2"/>
        <v/>
      </c>
      <c r="I155" s="7719">
        <v>50.0</v>
      </c>
      <c r="J155" s="7719">
        <v>120.0</v>
      </c>
      <c r="K155" s="7719">
        <v>53.0</v>
      </c>
      <c r="L155" s="7719">
        <v>35.0</v>
      </c>
      <c r="M155" s="7719">
        <v>110.0</v>
      </c>
      <c r="N155" s="7721">
        <v>87.0</v>
      </c>
      <c r="O155" s="7701"/>
      <c r="P155" s="7734">
        <v>134.0</v>
      </c>
      <c r="Q155" s="7735" t="str">
        <f t="shared" ref="Q155:Q160" si="21">IMAGE("https://i.ibb.co/Ycbt9P4/Deep-Green134-139.png",3)</f>
        <v/>
      </c>
      <c r="R155" s="7704"/>
      <c r="S155" s="7705"/>
    </row>
    <row r="156" ht="18.75" customHeight="1">
      <c r="A156" s="7696"/>
      <c r="B156" s="7712" t="s">
        <v>1025</v>
      </c>
      <c r="C156" s="7713" t="s">
        <v>2477</v>
      </c>
      <c r="D156" s="7714"/>
      <c r="E156" s="7713" t="s">
        <v>2296</v>
      </c>
      <c r="F156" s="7713" t="str">
        <f t="shared" si="1"/>
        <v/>
      </c>
      <c r="G156" s="7713"/>
      <c r="H156" s="7713" t="str">
        <f t="shared" si="2"/>
        <v/>
      </c>
      <c r="I156" s="7713">
        <v>50.0</v>
      </c>
      <c r="J156" s="7713">
        <v>115.0</v>
      </c>
      <c r="K156" s="7713">
        <v>79.0</v>
      </c>
      <c r="L156" s="7713">
        <v>35.0</v>
      </c>
      <c r="M156" s="7713">
        <v>110.0</v>
      </c>
      <c r="N156" s="7715">
        <v>76.0</v>
      </c>
      <c r="O156" s="7701"/>
      <c r="P156" s="7734">
        <v>135.0</v>
      </c>
      <c r="Q156" s="7735" t="str">
        <f t="shared" si="21"/>
        <v/>
      </c>
      <c r="R156" s="7704"/>
      <c r="S156" s="7705"/>
    </row>
    <row r="157" ht="18.75" customHeight="1">
      <c r="A157" s="7696"/>
      <c r="B157" s="7718" t="s">
        <v>2478</v>
      </c>
      <c r="C157" s="7719" t="s">
        <v>2479</v>
      </c>
      <c r="D157" s="7720"/>
      <c r="E157" s="7719" t="s">
        <v>2262</v>
      </c>
      <c r="F157" s="7719" t="str">
        <f t="shared" si="1"/>
        <v/>
      </c>
      <c r="G157" s="7719"/>
      <c r="H157" s="7719" t="str">
        <f t="shared" si="2"/>
        <v/>
      </c>
      <c r="I157" s="7719">
        <v>90.0</v>
      </c>
      <c r="J157" s="7719">
        <v>55.0</v>
      </c>
      <c r="K157" s="7719">
        <v>75.0</v>
      </c>
      <c r="L157" s="7719">
        <v>60.0</v>
      </c>
      <c r="M157" s="7719">
        <v>75.0</v>
      </c>
      <c r="N157" s="7721">
        <v>30.0</v>
      </c>
      <c r="O157" s="7701"/>
      <c r="P157" s="7734">
        <v>136.0</v>
      </c>
      <c r="Q157" s="7735" t="str">
        <f t="shared" si="21"/>
        <v/>
      </c>
      <c r="R157" s="7704"/>
      <c r="S157" s="7705"/>
    </row>
    <row r="158" ht="18.75" customHeight="1">
      <c r="A158" s="7696"/>
      <c r="B158" s="7712" t="s">
        <v>2480</v>
      </c>
      <c r="C158" s="7713" t="s">
        <v>2481</v>
      </c>
      <c r="D158" s="7714"/>
      <c r="E158" s="7713" t="s">
        <v>2210</v>
      </c>
      <c r="F158" s="7713" t="str">
        <f t="shared" si="1"/>
        <v/>
      </c>
      <c r="G158" s="7713"/>
      <c r="H158" s="7713" t="str">
        <f t="shared" si="2"/>
        <v/>
      </c>
      <c r="I158" s="7713">
        <v>40.0</v>
      </c>
      <c r="J158" s="7713">
        <v>65.0</v>
      </c>
      <c r="K158" s="7713">
        <v>95.0</v>
      </c>
      <c r="L158" s="7713">
        <v>60.0</v>
      </c>
      <c r="M158" s="7713">
        <v>45.0</v>
      </c>
      <c r="N158" s="7715">
        <v>35.0</v>
      </c>
      <c r="O158" s="7701"/>
      <c r="P158" s="7734">
        <v>137.0</v>
      </c>
      <c r="Q158" s="7735" t="str">
        <f t="shared" si="21"/>
        <v/>
      </c>
      <c r="R158" s="7704"/>
      <c r="S158" s="7705"/>
    </row>
    <row r="159" ht="18.75" customHeight="1">
      <c r="A159" s="7696"/>
      <c r="B159" s="7718" t="s">
        <v>2482</v>
      </c>
      <c r="C159" s="7719" t="s">
        <v>2483</v>
      </c>
      <c r="D159" s="7720"/>
      <c r="E159" s="7719" t="s">
        <v>2210</v>
      </c>
      <c r="F159" s="7719" t="str">
        <f t="shared" si="1"/>
        <v/>
      </c>
      <c r="G159" s="7719"/>
      <c r="H159" s="7719" t="str">
        <f t="shared" si="2"/>
        <v/>
      </c>
      <c r="I159" s="7719">
        <v>65.0</v>
      </c>
      <c r="J159" s="7719">
        <v>90.0</v>
      </c>
      <c r="K159" s="7719">
        <v>120.0</v>
      </c>
      <c r="L159" s="7719">
        <v>85.0</v>
      </c>
      <c r="M159" s="7719">
        <v>70.0</v>
      </c>
      <c r="N159" s="7721">
        <v>60.0</v>
      </c>
      <c r="O159" s="7701"/>
      <c r="P159" s="7734">
        <v>138.0</v>
      </c>
      <c r="Q159" s="7735" t="str">
        <f t="shared" si="21"/>
        <v/>
      </c>
      <c r="R159" s="7704"/>
      <c r="S159" s="7705"/>
    </row>
    <row r="160" ht="18.75" customHeight="1">
      <c r="A160" s="7696"/>
      <c r="B160" s="7712" t="s">
        <v>1194</v>
      </c>
      <c r="C160" s="7722" t="s">
        <v>2484</v>
      </c>
      <c r="D160" s="7714"/>
      <c r="E160" s="7722" t="s">
        <v>2210</v>
      </c>
      <c r="F160" s="7722" t="str">
        <f t="shared" si="1"/>
        <v/>
      </c>
      <c r="G160" s="7722" t="s">
        <v>2292</v>
      </c>
      <c r="H160" s="7722" t="str">
        <f t="shared" si="2"/>
        <v/>
      </c>
      <c r="I160" s="7713">
        <v>65.0</v>
      </c>
      <c r="J160" s="7713">
        <v>90.0</v>
      </c>
      <c r="K160" s="7713">
        <v>120.0</v>
      </c>
      <c r="L160" s="7713">
        <v>85.0</v>
      </c>
      <c r="M160" s="7713">
        <v>70.0</v>
      </c>
      <c r="N160" s="7715">
        <v>60.0</v>
      </c>
      <c r="O160" s="7701"/>
      <c r="P160" s="7734">
        <v>139.0</v>
      </c>
      <c r="Q160" s="7735" t="str">
        <f t="shared" si="21"/>
        <v/>
      </c>
      <c r="R160" s="7704"/>
      <c r="S160" s="7705"/>
    </row>
    <row r="161" ht="18.75" customHeight="1">
      <c r="A161" s="7696"/>
      <c r="B161" s="7718" t="s">
        <v>2485</v>
      </c>
      <c r="C161" s="7719" t="s">
        <v>2486</v>
      </c>
      <c r="D161" s="7720"/>
      <c r="E161" s="7719" t="s">
        <v>2304</v>
      </c>
      <c r="F161" s="7719" t="str">
        <f t="shared" si="1"/>
        <v/>
      </c>
      <c r="G161" s="7719" t="s">
        <v>2370</v>
      </c>
      <c r="H161" s="7719" t="str">
        <f t="shared" si="2"/>
        <v/>
      </c>
      <c r="I161" s="7719">
        <v>80.0</v>
      </c>
      <c r="J161" s="7719">
        <v>85.0</v>
      </c>
      <c r="K161" s="7719">
        <v>95.0</v>
      </c>
      <c r="L161" s="7719">
        <v>30.0</v>
      </c>
      <c r="M161" s="7719">
        <v>30.0</v>
      </c>
      <c r="N161" s="7721">
        <v>25.0</v>
      </c>
      <c r="O161" s="7701"/>
      <c r="P161" s="7734">
        <v>140.0</v>
      </c>
      <c r="Q161" s="7735" t="str">
        <f t="shared" ref="Q161:Q165" si="22">IMAGE("https://i.ibb.co/StKsq4m/Deep-Green140-144.png",3)</f>
        <v/>
      </c>
      <c r="R161" s="7704"/>
      <c r="S161" s="7705"/>
    </row>
    <row r="162" ht="18.75" customHeight="1">
      <c r="A162" s="7696"/>
      <c r="B162" s="7712" t="s">
        <v>2487</v>
      </c>
      <c r="C162" s="7713" t="s">
        <v>2488</v>
      </c>
      <c r="D162" s="7714"/>
      <c r="E162" s="7713" t="s">
        <v>2304</v>
      </c>
      <c r="F162" s="7713" t="str">
        <f t="shared" si="1"/>
        <v/>
      </c>
      <c r="G162" s="7713" t="s">
        <v>2370</v>
      </c>
      <c r="H162" s="7713" t="str">
        <f t="shared" si="2"/>
        <v/>
      </c>
      <c r="I162" s="7713">
        <v>105.0</v>
      </c>
      <c r="J162" s="7713">
        <v>130.0</v>
      </c>
      <c r="K162" s="7713">
        <v>120.0</v>
      </c>
      <c r="L162" s="7713">
        <v>45.0</v>
      </c>
      <c r="M162" s="7713">
        <v>45.0</v>
      </c>
      <c r="N162" s="7715">
        <v>40.0</v>
      </c>
      <c r="O162" s="7701"/>
      <c r="P162" s="7734">
        <v>141.0</v>
      </c>
      <c r="Q162" s="7735" t="str">
        <f t="shared" si="22"/>
        <v/>
      </c>
      <c r="R162" s="7704"/>
      <c r="S162" s="7705"/>
    </row>
    <row r="163" ht="18.75" customHeight="1">
      <c r="A163" s="7696"/>
      <c r="B163" s="7718" t="s">
        <v>1565</v>
      </c>
      <c r="C163" s="7719" t="s">
        <v>2489</v>
      </c>
      <c r="D163" s="7720"/>
      <c r="E163" s="7719" t="s">
        <v>2262</v>
      </c>
      <c r="F163" s="7719" t="str">
        <f t="shared" si="1"/>
        <v/>
      </c>
      <c r="G163" s="7719"/>
      <c r="H163" s="7719" t="str">
        <f t="shared" si="2"/>
        <v/>
      </c>
      <c r="I163" s="7719">
        <v>250.0</v>
      </c>
      <c r="J163" s="7719">
        <v>5.0</v>
      </c>
      <c r="K163" s="7719">
        <v>5.0</v>
      </c>
      <c r="L163" s="7719">
        <v>35.0</v>
      </c>
      <c r="M163" s="7719">
        <v>105.0</v>
      </c>
      <c r="N163" s="7721">
        <v>50.0</v>
      </c>
      <c r="O163" s="7701"/>
      <c r="P163" s="7734">
        <v>142.0</v>
      </c>
      <c r="Q163" s="7735" t="str">
        <f t="shared" si="22"/>
        <v/>
      </c>
      <c r="R163" s="7704"/>
      <c r="S163" s="7705"/>
    </row>
    <row r="164" ht="18.75" customHeight="1">
      <c r="A164" s="7696"/>
      <c r="B164" s="7712" t="s">
        <v>2490</v>
      </c>
      <c r="C164" s="7713" t="s">
        <v>2491</v>
      </c>
      <c r="D164" s="7714"/>
      <c r="E164" s="7713" t="s">
        <v>2209</v>
      </c>
      <c r="F164" s="7713" t="str">
        <f t="shared" si="1"/>
        <v/>
      </c>
      <c r="G164" s="7713"/>
      <c r="H164" s="7713" t="str">
        <f t="shared" si="2"/>
        <v/>
      </c>
      <c r="I164" s="7713">
        <v>65.0</v>
      </c>
      <c r="J164" s="7713">
        <v>55.0</v>
      </c>
      <c r="K164" s="7713">
        <v>115.0</v>
      </c>
      <c r="L164" s="7713">
        <v>100.0</v>
      </c>
      <c r="M164" s="7713">
        <v>40.0</v>
      </c>
      <c r="N164" s="7715">
        <v>60.0</v>
      </c>
      <c r="O164" s="7701"/>
      <c r="P164" s="7734">
        <v>143.0</v>
      </c>
      <c r="Q164" s="7735" t="str">
        <f t="shared" si="22"/>
        <v/>
      </c>
      <c r="R164" s="7704"/>
      <c r="S164" s="7705"/>
    </row>
    <row r="165" ht="18.75" customHeight="1">
      <c r="A165" s="7696"/>
      <c r="B165" s="7718" t="s">
        <v>2492</v>
      </c>
      <c r="C165" s="7719" t="s">
        <v>2493</v>
      </c>
      <c r="D165" s="7720"/>
      <c r="E165" s="7719" t="s">
        <v>2262</v>
      </c>
      <c r="F165" s="7719" t="str">
        <f t="shared" si="1"/>
        <v/>
      </c>
      <c r="G165" s="7719"/>
      <c r="H165" s="7719" t="str">
        <f t="shared" si="2"/>
        <v/>
      </c>
      <c r="I165" s="7719">
        <v>105.0</v>
      </c>
      <c r="J165" s="7719">
        <v>95.0</v>
      </c>
      <c r="K165" s="7719">
        <v>80.0</v>
      </c>
      <c r="L165" s="7719">
        <v>40.0</v>
      </c>
      <c r="M165" s="7719">
        <v>80.0</v>
      </c>
      <c r="N165" s="7721">
        <v>90.0</v>
      </c>
      <c r="O165" s="7701"/>
      <c r="P165" s="7734">
        <v>144.0</v>
      </c>
      <c r="Q165" s="7735" t="str">
        <f t="shared" si="22"/>
        <v/>
      </c>
      <c r="R165" s="7704"/>
      <c r="S165" s="7705"/>
    </row>
    <row r="166" ht="18.75" customHeight="1">
      <c r="A166" s="7696"/>
      <c r="B166" s="7712" t="s">
        <v>1217</v>
      </c>
      <c r="C166" s="7722" t="s">
        <v>2494</v>
      </c>
      <c r="D166" s="7714"/>
      <c r="E166" s="7722" t="s">
        <v>2262</v>
      </c>
      <c r="F166" s="7722" t="str">
        <f t="shared" si="1"/>
        <v/>
      </c>
      <c r="G166" s="7722"/>
      <c r="H166" s="7722" t="str">
        <f t="shared" si="2"/>
        <v/>
      </c>
      <c r="I166" s="7713">
        <v>105.0</v>
      </c>
      <c r="J166" s="7713">
        <v>125.0</v>
      </c>
      <c r="K166" s="7713">
        <v>100.0</v>
      </c>
      <c r="L166" s="7713">
        <v>60.0</v>
      </c>
      <c r="M166" s="7713">
        <v>100.0</v>
      </c>
      <c r="N166" s="7715">
        <v>100.0</v>
      </c>
      <c r="O166" s="7701"/>
      <c r="P166" s="7734">
        <v>145.0</v>
      </c>
      <c r="Q166" s="7735" t="str">
        <f t="shared" ref="Q166:Q170" si="23">IMAGE("https://i.ibb.co/W50j9ML/Deep-Green145-149.png",3)</f>
        <v/>
      </c>
      <c r="R166" s="7704"/>
      <c r="S166" s="7705"/>
    </row>
    <row r="167" ht="18.75" customHeight="1">
      <c r="A167" s="7696"/>
      <c r="B167" s="7718" t="s">
        <v>2495</v>
      </c>
      <c r="C167" s="7719" t="s">
        <v>2496</v>
      </c>
      <c r="D167" s="7720"/>
      <c r="E167" s="7719" t="s">
        <v>2232</v>
      </c>
      <c r="F167" s="7719" t="str">
        <f t="shared" si="1"/>
        <v/>
      </c>
      <c r="G167" s="7719"/>
      <c r="H167" s="7719" t="str">
        <f t="shared" si="2"/>
        <v/>
      </c>
      <c r="I167" s="7719">
        <v>30.0</v>
      </c>
      <c r="J167" s="7719">
        <v>40.0</v>
      </c>
      <c r="K167" s="7719">
        <v>70.0</v>
      </c>
      <c r="L167" s="7719">
        <v>70.0</v>
      </c>
      <c r="M167" s="7719">
        <v>25.0</v>
      </c>
      <c r="N167" s="7721">
        <v>60.0</v>
      </c>
      <c r="O167" s="7701"/>
      <c r="P167" s="7734">
        <v>146.0</v>
      </c>
      <c r="Q167" s="7735" t="str">
        <f t="shared" si="23"/>
        <v/>
      </c>
      <c r="R167" s="7704"/>
      <c r="S167" s="7705"/>
    </row>
    <row r="168" ht="18.75" customHeight="1">
      <c r="A168" s="7696"/>
      <c r="B168" s="7712" t="s">
        <v>2497</v>
      </c>
      <c r="C168" s="7713" t="s">
        <v>2498</v>
      </c>
      <c r="D168" s="7714"/>
      <c r="E168" s="7713" t="s">
        <v>2232</v>
      </c>
      <c r="F168" s="7713" t="str">
        <f t="shared" si="1"/>
        <v/>
      </c>
      <c r="G168" s="7713"/>
      <c r="H168" s="7713" t="str">
        <f t="shared" si="2"/>
        <v/>
      </c>
      <c r="I168" s="7713">
        <v>55.0</v>
      </c>
      <c r="J168" s="7713">
        <v>65.0</v>
      </c>
      <c r="K168" s="7713">
        <v>95.0</v>
      </c>
      <c r="L168" s="7713">
        <v>95.0</v>
      </c>
      <c r="M168" s="7713">
        <v>45.0</v>
      </c>
      <c r="N168" s="7715">
        <v>85.0</v>
      </c>
      <c r="O168" s="7701"/>
      <c r="P168" s="7734">
        <v>147.0</v>
      </c>
      <c r="Q168" s="7735" t="str">
        <f t="shared" si="23"/>
        <v/>
      </c>
      <c r="R168" s="7704"/>
      <c r="S168" s="7705"/>
    </row>
    <row r="169" ht="18.75" customHeight="1">
      <c r="A169" s="7696"/>
      <c r="B169" s="7718" t="s">
        <v>2499</v>
      </c>
      <c r="C169" s="7719" t="s">
        <v>2500</v>
      </c>
      <c r="D169" s="7720"/>
      <c r="E169" s="7719" t="s">
        <v>2232</v>
      </c>
      <c r="F169" s="7719" t="str">
        <f t="shared" si="1"/>
        <v/>
      </c>
      <c r="G169" s="7719"/>
      <c r="H169" s="7719" t="str">
        <f t="shared" si="2"/>
        <v/>
      </c>
      <c r="I169" s="7719">
        <v>45.0</v>
      </c>
      <c r="J169" s="7719">
        <v>67.0</v>
      </c>
      <c r="K169" s="7719">
        <v>60.0</v>
      </c>
      <c r="L169" s="7719">
        <v>35.0</v>
      </c>
      <c r="M169" s="7719">
        <v>50.0</v>
      </c>
      <c r="N169" s="7721">
        <v>63.0</v>
      </c>
      <c r="O169" s="7701"/>
      <c r="P169" s="7734">
        <v>148.0</v>
      </c>
      <c r="Q169" s="7735" t="str">
        <f t="shared" si="23"/>
        <v/>
      </c>
      <c r="R169" s="7704"/>
      <c r="S169" s="7705"/>
    </row>
    <row r="170" ht="18.75" customHeight="1">
      <c r="A170" s="7696"/>
      <c r="B170" s="7712" t="s">
        <v>2501</v>
      </c>
      <c r="C170" s="7713" t="s">
        <v>2502</v>
      </c>
      <c r="D170" s="7714"/>
      <c r="E170" s="7713" t="s">
        <v>2232</v>
      </c>
      <c r="F170" s="7713" t="str">
        <f t="shared" si="1"/>
        <v/>
      </c>
      <c r="G170" s="7713"/>
      <c r="H170" s="7713" t="str">
        <f t="shared" si="2"/>
        <v/>
      </c>
      <c r="I170" s="7713">
        <v>80.0</v>
      </c>
      <c r="J170" s="7713">
        <v>92.0</v>
      </c>
      <c r="K170" s="7713">
        <v>65.0</v>
      </c>
      <c r="L170" s="7713">
        <v>65.0</v>
      </c>
      <c r="M170" s="7713">
        <v>80.0</v>
      </c>
      <c r="N170" s="7715">
        <v>68.0</v>
      </c>
      <c r="O170" s="7701"/>
      <c r="P170" s="7734">
        <v>149.0</v>
      </c>
      <c r="Q170" s="7735" t="str">
        <f t="shared" si="23"/>
        <v/>
      </c>
      <c r="R170" s="7704"/>
      <c r="S170" s="7705"/>
    </row>
    <row r="171" ht="18.75" customHeight="1">
      <c r="A171" s="7696"/>
      <c r="B171" s="7718" t="s">
        <v>2503</v>
      </c>
      <c r="C171" s="7719" t="s">
        <v>2504</v>
      </c>
      <c r="D171" s="7720"/>
      <c r="E171" s="7719" t="s">
        <v>2232</v>
      </c>
      <c r="F171" s="7719" t="str">
        <f t="shared" si="1"/>
        <v/>
      </c>
      <c r="G171" s="7719"/>
      <c r="H171" s="7719" t="str">
        <f t="shared" si="2"/>
        <v/>
      </c>
      <c r="I171" s="7719">
        <v>30.0</v>
      </c>
      <c r="J171" s="7719">
        <v>45.0</v>
      </c>
      <c r="K171" s="7719">
        <v>55.0</v>
      </c>
      <c r="L171" s="7719">
        <v>70.0</v>
      </c>
      <c r="M171" s="7719">
        <v>55.0</v>
      </c>
      <c r="N171" s="7721">
        <v>85.0</v>
      </c>
      <c r="O171" s="7701"/>
      <c r="P171" s="7734">
        <v>150.0</v>
      </c>
      <c r="Q171" s="7735" t="str">
        <f t="shared" ref="Q171:Q175" si="24">IMAGE("https://i.ibb.co/vjmhN03/Cyan150-154.png",3)</f>
        <v/>
      </c>
      <c r="R171" s="7704"/>
      <c r="S171" s="7705"/>
    </row>
    <row r="172" ht="18.75" customHeight="1">
      <c r="A172" s="7696"/>
      <c r="B172" s="7712" t="s">
        <v>527</v>
      </c>
      <c r="C172" s="7713" t="s">
        <v>2505</v>
      </c>
      <c r="D172" s="7714"/>
      <c r="E172" s="7713" t="s">
        <v>2232</v>
      </c>
      <c r="F172" s="7713" t="str">
        <f t="shared" si="1"/>
        <v/>
      </c>
      <c r="G172" s="7713" t="s">
        <v>669</v>
      </c>
      <c r="H172" s="7713" t="str">
        <f t="shared" si="2"/>
        <v/>
      </c>
      <c r="I172" s="7713">
        <v>60.0</v>
      </c>
      <c r="J172" s="7713">
        <v>75.0</v>
      </c>
      <c r="K172" s="7713">
        <v>85.0</v>
      </c>
      <c r="L172" s="7713">
        <v>100.0</v>
      </c>
      <c r="M172" s="7713">
        <v>85.0</v>
      </c>
      <c r="N172" s="7715">
        <v>115.0</v>
      </c>
      <c r="O172" s="7701"/>
      <c r="P172" s="7734">
        <v>151.0</v>
      </c>
      <c r="Q172" s="7735" t="str">
        <f t="shared" si="24"/>
        <v/>
      </c>
      <c r="R172" s="7704"/>
      <c r="S172" s="7705"/>
    </row>
    <row r="173" ht="18.75" customHeight="1">
      <c r="A173" s="7696"/>
      <c r="B173" s="7718" t="s">
        <v>295</v>
      </c>
      <c r="C173" s="7723" t="s">
        <v>2506</v>
      </c>
      <c r="D173" s="7720"/>
      <c r="E173" s="7723" t="s">
        <v>669</v>
      </c>
      <c r="F173" s="7723" t="str">
        <f t="shared" si="1"/>
        <v/>
      </c>
      <c r="G173" s="7723" t="s">
        <v>2292</v>
      </c>
      <c r="H173" s="7723" t="str">
        <f t="shared" si="2"/>
        <v/>
      </c>
      <c r="I173" s="7719">
        <v>50.0</v>
      </c>
      <c r="J173" s="7719">
        <v>45.0</v>
      </c>
      <c r="K173" s="7719">
        <v>65.0</v>
      </c>
      <c r="L173" s="7719">
        <v>100.0</v>
      </c>
      <c r="M173" s="7719">
        <v>120.0</v>
      </c>
      <c r="N173" s="7721">
        <v>90.0</v>
      </c>
      <c r="O173" s="7701"/>
      <c r="P173" s="7734">
        <v>152.0</v>
      </c>
      <c r="Q173" s="7735" t="str">
        <f t="shared" si="24"/>
        <v/>
      </c>
      <c r="R173" s="7704"/>
      <c r="S173" s="7705"/>
    </row>
    <row r="174" ht="18.75" customHeight="1">
      <c r="A174" s="7696"/>
      <c r="B174" s="7712" t="s">
        <v>1432</v>
      </c>
      <c r="C174" s="7722" t="s">
        <v>2507</v>
      </c>
      <c r="D174" s="7714"/>
      <c r="E174" s="7722" t="s">
        <v>2289</v>
      </c>
      <c r="F174" s="7722" t="str">
        <f t="shared" si="1"/>
        <v/>
      </c>
      <c r="G174" s="7722" t="s">
        <v>669</v>
      </c>
      <c r="H174" s="7722" t="str">
        <f t="shared" si="2"/>
        <v/>
      </c>
      <c r="I174" s="7713">
        <v>50.0</v>
      </c>
      <c r="J174" s="7713">
        <v>65.0</v>
      </c>
      <c r="K174" s="7713">
        <v>65.0</v>
      </c>
      <c r="L174" s="7713">
        <v>90.0</v>
      </c>
      <c r="M174" s="7713">
        <v>90.0</v>
      </c>
      <c r="N174" s="7715">
        <v>100.0</v>
      </c>
      <c r="O174" s="7701"/>
      <c r="P174" s="7734">
        <v>153.0</v>
      </c>
      <c r="Q174" s="7735" t="str">
        <f t="shared" si="24"/>
        <v/>
      </c>
      <c r="R174" s="7704"/>
      <c r="S174" s="7705"/>
    </row>
    <row r="175" ht="18.75" customHeight="1">
      <c r="A175" s="7696"/>
      <c r="B175" s="7718" t="s">
        <v>821</v>
      </c>
      <c r="C175" s="7719" t="s">
        <v>2508</v>
      </c>
      <c r="D175" s="7720"/>
      <c r="E175" s="7719" t="s">
        <v>2243</v>
      </c>
      <c r="F175" s="7719" t="str">
        <f t="shared" si="1"/>
        <v/>
      </c>
      <c r="G175" s="7719" t="s">
        <v>2224</v>
      </c>
      <c r="H175" s="7719" t="str">
        <f t="shared" si="2"/>
        <v/>
      </c>
      <c r="I175" s="7719">
        <v>70.0</v>
      </c>
      <c r="J175" s="7719">
        <v>110.0</v>
      </c>
      <c r="K175" s="7719">
        <v>80.0</v>
      </c>
      <c r="L175" s="7719">
        <v>55.0</v>
      </c>
      <c r="M175" s="7719">
        <v>80.0</v>
      </c>
      <c r="N175" s="7721">
        <v>105.0</v>
      </c>
      <c r="O175" s="7701"/>
      <c r="P175" s="7734">
        <v>154.0</v>
      </c>
      <c r="Q175" s="7735" t="str">
        <f t="shared" si="24"/>
        <v/>
      </c>
      <c r="R175" s="7704"/>
      <c r="S175" s="7705"/>
    </row>
    <row r="176" ht="18.75" customHeight="1">
      <c r="A176" s="7696"/>
      <c r="B176" s="7712" t="s">
        <v>911</v>
      </c>
      <c r="C176" s="7713" t="s">
        <v>2509</v>
      </c>
      <c r="D176" s="7714"/>
      <c r="E176" s="7713" t="s">
        <v>2289</v>
      </c>
      <c r="F176" s="7713" t="str">
        <f t="shared" si="1"/>
        <v/>
      </c>
      <c r="G176" s="7713" t="s">
        <v>669</v>
      </c>
      <c r="H176" s="7713" t="str">
        <f t="shared" si="2"/>
        <v/>
      </c>
      <c r="I176" s="7713">
        <v>65.0</v>
      </c>
      <c r="J176" s="7713">
        <v>50.0</v>
      </c>
      <c r="K176" s="7713">
        <v>50.0</v>
      </c>
      <c r="L176" s="7713">
        <v>115.0</v>
      </c>
      <c r="M176" s="7713">
        <v>95.0</v>
      </c>
      <c r="N176" s="7715">
        <v>100.0</v>
      </c>
      <c r="O176" s="7701"/>
      <c r="P176" s="7734">
        <v>155.0</v>
      </c>
      <c r="Q176" s="7735" t="str">
        <f t="shared" ref="Q176:Q180" si="25">IMAGE("https://i.ibb.co/w6D1wyK/Cyan155-159.png",3)</f>
        <v/>
      </c>
      <c r="R176" s="7704"/>
      <c r="S176" s="7705"/>
    </row>
    <row r="177" ht="18.75" customHeight="1">
      <c r="A177" s="7696"/>
      <c r="B177" s="7718" t="s">
        <v>2510</v>
      </c>
      <c r="C177" s="7719" t="s">
        <v>2511</v>
      </c>
      <c r="D177" s="7720"/>
      <c r="E177" s="7719" t="s">
        <v>2283</v>
      </c>
      <c r="F177" s="7719" t="str">
        <f t="shared" si="1"/>
        <v/>
      </c>
      <c r="G177" s="7719"/>
      <c r="H177" s="7719" t="str">
        <f t="shared" si="2"/>
        <v/>
      </c>
      <c r="I177" s="7719">
        <v>65.0</v>
      </c>
      <c r="J177" s="7719">
        <v>83.0</v>
      </c>
      <c r="K177" s="7719">
        <v>57.0</v>
      </c>
      <c r="L177" s="7719">
        <v>95.0</v>
      </c>
      <c r="M177" s="7719">
        <v>85.0</v>
      </c>
      <c r="N177" s="7721">
        <v>105.0</v>
      </c>
      <c r="O177" s="7701"/>
      <c r="P177" s="7734">
        <v>156.0</v>
      </c>
      <c r="Q177" s="7735" t="str">
        <f t="shared" si="25"/>
        <v/>
      </c>
      <c r="R177" s="7704"/>
      <c r="S177" s="7705"/>
    </row>
    <row r="178" ht="18.75" customHeight="1">
      <c r="A178" s="7696"/>
      <c r="B178" s="7712" t="s">
        <v>2512</v>
      </c>
      <c r="C178" s="7713" t="s">
        <v>2513</v>
      </c>
      <c r="D178" s="7714"/>
      <c r="E178" s="7713" t="s">
        <v>2219</v>
      </c>
      <c r="F178" s="7713" t="str">
        <f t="shared" si="1"/>
        <v/>
      </c>
      <c r="G178" s="7713"/>
      <c r="H178" s="7713" t="str">
        <f t="shared" si="2"/>
        <v/>
      </c>
      <c r="I178" s="7713">
        <v>65.0</v>
      </c>
      <c r="J178" s="7713">
        <v>95.0</v>
      </c>
      <c r="K178" s="7713">
        <v>57.0</v>
      </c>
      <c r="L178" s="7713">
        <v>100.0</v>
      </c>
      <c r="M178" s="7713">
        <v>85.0</v>
      </c>
      <c r="N178" s="7715">
        <v>93.0</v>
      </c>
      <c r="O178" s="7701"/>
      <c r="P178" s="7734">
        <v>157.0</v>
      </c>
      <c r="Q178" s="7735" t="str">
        <f t="shared" si="25"/>
        <v/>
      </c>
      <c r="R178" s="7704"/>
      <c r="S178" s="7705"/>
    </row>
    <row r="179" ht="18.75" customHeight="1">
      <c r="A179" s="7696"/>
      <c r="B179" s="7718" t="s">
        <v>2514</v>
      </c>
      <c r="C179" s="7719" t="s">
        <v>2515</v>
      </c>
      <c r="D179" s="7720"/>
      <c r="E179" s="7719" t="s">
        <v>2243</v>
      </c>
      <c r="F179" s="7719" t="str">
        <f t="shared" si="1"/>
        <v/>
      </c>
      <c r="G179" s="7719"/>
      <c r="H179" s="7719" t="str">
        <f t="shared" si="2"/>
        <v/>
      </c>
      <c r="I179" s="7719">
        <v>65.0</v>
      </c>
      <c r="J179" s="7719">
        <v>125.0</v>
      </c>
      <c r="K179" s="7719">
        <v>100.0</v>
      </c>
      <c r="L179" s="7719">
        <v>55.0</v>
      </c>
      <c r="M179" s="7719">
        <v>70.0</v>
      </c>
      <c r="N179" s="7721">
        <v>85.0</v>
      </c>
      <c r="O179" s="7701"/>
      <c r="P179" s="7734">
        <v>158.0</v>
      </c>
      <c r="Q179" s="7735" t="str">
        <f t="shared" si="25"/>
        <v/>
      </c>
      <c r="R179" s="7704"/>
      <c r="S179" s="7705"/>
    </row>
    <row r="180" ht="18.75" customHeight="1">
      <c r="A180" s="7696"/>
      <c r="B180" s="7712" t="s">
        <v>1669</v>
      </c>
      <c r="C180" s="7722" t="s">
        <v>2516</v>
      </c>
      <c r="D180" s="7714"/>
      <c r="E180" s="7722" t="s">
        <v>2243</v>
      </c>
      <c r="F180" s="7722" t="str">
        <f t="shared" si="1"/>
        <v/>
      </c>
      <c r="G180" s="7722" t="s">
        <v>2224</v>
      </c>
      <c r="H180" s="7722" t="str">
        <f t="shared" si="2"/>
        <v/>
      </c>
      <c r="I180" s="7713">
        <v>65.0</v>
      </c>
      <c r="J180" s="7713">
        <v>155.0</v>
      </c>
      <c r="K180" s="7713">
        <v>120.0</v>
      </c>
      <c r="L180" s="7713">
        <v>65.0</v>
      </c>
      <c r="M180" s="7713">
        <v>90.0</v>
      </c>
      <c r="N180" s="7715">
        <v>105.0</v>
      </c>
      <c r="O180" s="7701"/>
      <c r="P180" s="7734">
        <v>159.0</v>
      </c>
      <c r="Q180" s="7735" t="str">
        <f t="shared" si="25"/>
        <v/>
      </c>
      <c r="R180" s="7704"/>
      <c r="S180" s="7705"/>
    </row>
    <row r="181" ht="18.75" customHeight="1">
      <c r="A181" s="7696"/>
      <c r="B181" s="7718" t="s">
        <v>1747</v>
      </c>
      <c r="C181" s="7719" t="s">
        <v>2517</v>
      </c>
      <c r="D181" s="7720"/>
      <c r="E181" s="7719" t="s">
        <v>2262</v>
      </c>
      <c r="F181" s="7719" t="str">
        <f t="shared" si="1"/>
        <v/>
      </c>
      <c r="G181" s="7719"/>
      <c r="H181" s="7719" t="str">
        <f t="shared" si="2"/>
        <v/>
      </c>
      <c r="I181" s="7719">
        <v>75.0</v>
      </c>
      <c r="J181" s="7719">
        <v>100.0</v>
      </c>
      <c r="K181" s="7719">
        <v>95.0</v>
      </c>
      <c r="L181" s="7719">
        <v>70.0</v>
      </c>
      <c r="M181" s="7719">
        <v>70.0</v>
      </c>
      <c r="N181" s="7721">
        <v>110.0</v>
      </c>
      <c r="O181" s="7701"/>
      <c r="P181" s="7734">
        <v>160.0</v>
      </c>
      <c r="Q181" s="7735" t="str">
        <f t="shared" ref="Q181:Q190" si="26">IMAGE("https://i.ibb.co/G5gfhNP/Cyan160-169.png",3)</f>
        <v/>
      </c>
      <c r="R181" s="7704"/>
      <c r="S181" s="7705"/>
    </row>
    <row r="182" ht="18.75" customHeight="1">
      <c r="A182" s="7696"/>
      <c r="B182" s="7712" t="s">
        <v>2518</v>
      </c>
      <c r="C182" s="7722" t="s">
        <v>2519</v>
      </c>
      <c r="D182" s="7714"/>
      <c r="E182" s="7722" t="s">
        <v>2296</v>
      </c>
      <c r="F182" s="7722" t="str">
        <f t="shared" si="1"/>
        <v/>
      </c>
      <c r="G182" s="7722"/>
      <c r="H182" s="7722" t="str">
        <f t="shared" si="2"/>
        <v/>
      </c>
      <c r="I182" s="7713">
        <v>75.0</v>
      </c>
      <c r="J182" s="7713">
        <v>110.0</v>
      </c>
      <c r="K182" s="7713">
        <v>105.0</v>
      </c>
      <c r="L182" s="7713">
        <v>60.0</v>
      </c>
      <c r="M182" s="7713">
        <v>70.0</v>
      </c>
      <c r="N182" s="7715">
        <v>100.0</v>
      </c>
      <c r="O182" s="7701"/>
      <c r="P182" s="7734">
        <v>161.0</v>
      </c>
      <c r="Q182" s="7735" t="str">
        <f t="shared" si="26"/>
        <v/>
      </c>
      <c r="R182" s="7704"/>
      <c r="S182" s="7705"/>
    </row>
    <row r="183" ht="18.75" customHeight="1">
      <c r="A183" s="7696"/>
      <c r="B183" s="7718" t="s">
        <v>2520</v>
      </c>
      <c r="C183" s="7723" t="s">
        <v>2521</v>
      </c>
      <c r="D183" s="7720"/>
      <c r="E183" s="7723" t="s">
        <v>2296</v>
      </c>
      <c r="F183" s="7723" t="str">
        <f t="shared" si="1"/>
        <v/>
      </c>
      <c r="G183" s="7723" t="s">
        <v>2219</v>
      </c>
      <c r="H183" s="7723" t="str">
        <f t="shared" si="2"/>
        <v/>
      </c>
      <c r="I183" s="7719">
        <v>75.0</v>
      </c>
      <c r="J183" s="7719">
        <v>110.0</v>
      </c>
      <c r="K183" s="7719">
        <v>105.0</v>
      </c>
      <c r="L183" s="7719">
        <v>60.0</v>
      </c>
      <c r="M183" s="7719">
        <v>70.0</v>
      </c>
      <c r="N183" s="7721">
        <v>100.0</v>
      </c>
      <c r="O183" s="7701"/>
      <c r="P183" s="7734">
        <v>162.0</v>
      </c>
      <c r="Q183" s="7735" t="str">
        <f t="shared" si="26"/>
        <v/>
      </c>
      <c r="R183" s="7704"/>
      <c r="S183" s="7705"/>
    </row>
    <row r="184" ht="18.75" customHeight="1">
      <c r="A184" s="7696"/>
      <c r="B184" s="7712" t="s">
        <v>2522</v>
      </c>
      <c r="C184" s="7722" t="s">
        <v>2523</v>
      </c>
      <c r="D184" s="7714"/>
      <c r="E184" s="7722" t="s">
        <v>2296</v>
      </c>
      <c r="F184" s="7722" t="str">
        <f t="shared" si="1"/>
        <v/>
      </c>
      <c r="G184" s="7722" t="s">
        <v>2232</v>
      </c>
      <c r="H184" s="7722" t="str">
        <f t="shared" si="2"/>
        <v/>
      </c>
      <c r="I184" s="7713">
        <v>75.0</v>
      </c>
      <c r="J184" s="7713">
        <v>110.0</v>
      </c>
      <c r="K184" s="7713">
        <v>105.0</v>
      </c>
      <c r="L184" s="7713">
        <v>60.0</v>
      </c>
      <c r="M184" s="7713">
        <v>70.0</v>
      </c>
      <c r="N184" s="7715">
        <v>100.0</v>
      </c>
      <c r="O184" s="7701"/>
      <c r="P184" s="7734">
        <v>163.0</v>
      </c>
      <c r="Q184" s="7735" t="str">
        <f t="shared" si="26"/>
        <v/>
      </c>
      <c r="R184" s="7704"/>
      <c r="S184" s="7705"/>
    </row>
    <row r="185" ht="18.75" customHeight="1">
      <c r="A185" s="7696"/>
      <c r="B185" s="7718" t="s">
        <v>2524</v>
      </c>
      <c r="C185" s="7719" t="s">
        <v>2525</v>
      </c>
      <c r="D185" s="7720"/>
      <c r="E185" s="7719" t="s">
        <v>2232</v>
      </c>
      <c r="F185" s="7719" t="str">
        <f t="shared" si="1"/>
        <v/>
      </c>
      <c r="G185" s="7719"/>
      <c r="H185" s="7719" t="str">
        <f t="shared" si="2"/>
        <v/>
      </c>
      <c r="I185" s="7719">
        <v>20.0</v>
      </c>
      <c r="J185" s="7719">
        <v>10.0</v>
      </c>
      <c r="K185" s="7719">
        <v>55.0</v>
      </c>
      <c r="L185" s="7719">
        <v>15.0</v>
      </c>
      <c r="M185" s="7719">
        <v>20.0</v>
      </c>
      <c r="N185" s="7721">
        <v>80.0</v>
      </c>
      <c r="O185" s="7701"/>
      <c r="P185" s="7734">
        <v>164.0</v>
      </c>
      <c r="Q185" s="7735" t="str">
        <f t="shared" si="26"/>
        <v/>
      </c>
      <c r="R185" s="7704"/>
      <c r="S185" s="7705"/>
    </row>
    <row r="186" ht="18.75" customHeight="1">
      <c r="A186" s="7696"/>
      <c r="B186" s="7712" t="s">
        <v>1216</v>
      </c>
      <c r="C186" s="7713" t="s">
        <v>2526</v>
      </c>
      <c r="D186" s="7714"/>
      <c r="E186" s="7713" t="s">
        <v>2232</v>
      </c>
      <c r="F186" s="7713" t="str">
        <f t="shared" si="1"/>
        <v/>
      </c>
      <c r="G186" s="7713" t="s">
        <v>2224</v>
      </c>
      <c r="H186" s="7713" t="str">
        <f t="shared" si="2"/>
        <v/>
      </c>
      <c r="I186" s="7713">
        <v>95.0</v>
      </c>
      <c r="J186" s="7713">
        <v>125.0</v>
      </c>
      <c r="K186" s="7713">
        <v>79.0</v>
      </c>
      <c r="L186" s="7713">
        <v>60.0</v>
      </c>
      <c r="M186" s="7713">
        <v>100.0</v>
      </c>
      <c r="N186" s="7715">
        <v>81.0</v>
      </c>
      <c r="O186" s="7701"/>
      <c r="P186" s="7734">
        <v>165.0</v>
      </c>
      <c r="Q186" s="7735" t="str">
        <f t="shared" si="26"/>
        <v/>
      </c>
      <c r="R186" s="7704"/>
      <c r="S186" s="7705"/>
    </row>
    <row r="187" ht="18.75" customHeight="1">
      <c r="A187" s="7696"/>
      <c r="B187" s="7718" t="s">
        <v>753</v>
      </c>
      <c r="C187" s="7723" t="s">
        <v>2527</v>
      </c>
      <c r="D187" s="7720"/>
      <c r="E187" s="7723" t="s">
        <v>2232</v>
      </c>
      <c r="F187" s="7723" t="str">
        <f t="shared" si="1"/>
        <v/>
      </c>
      <c r="G187" s="7723" t="s">
        <v>2272</v>
      </c>
      <c r="H187" s="7723" t="str">
        <f t="shared" si="2"/>
        <v/>
      </c>
      <c r="I187" s="7719">
        <v>95.0</v>
      </c>
      <c r="J187" s="7719">
        <v>155.0</v>
      </c>
      <c r="K187" s="7719">
        <v>109.0</v>
      </c>
      <c r="L187" s="7719">
        <v>70.0</v>
      </c>
      <c r="M187" s="7719">
        <v>130.0</v>
      </c>
      <c r="N187" s="7721">
        <v>81.0</v>
      </c>
      <c r="O187" s="7701"/>
      <c r="P187" s="7734">
        <v>166.0</v>
      </c>
      <c r="Q187" s="7735" t="str">
        <f t="shared" si="26"/>
        <v/>
      </c>
      <c r="R187" s="7704"/>
      <c r="S187" s="7705"/>
    </row>
    <row r="188" ht="18.75" customHeight="1">
      <c r="A188" s="7696"/>
      <c r="B188" s="7712" t="s">
        <v>2528</v>
      </c>
      <c r="C188" s="7713" t="s">
        <v>2529</v>
      </c>
      <c r="D188" s="7714"/>
      <c r="E188" s="7713" t="s">
        <v>2232</v>
      </c>
      <c r="F188" s="7713" t="str">
        <f t="shared" si="1"/>
        <v/>
      </c>
      <c r="G188" s="7713" t="s">
        <v>2289</v>
      </c>
      <c r="H188" s="7713" t="str">
        <f t="shared" si="2"/>
        <v/>
      </c>
      <c r="I188" s="7713">
        <v>130.0</v>
      </c>
      <c r="J188" s="7713">
        <v>85.0</v>
      </c>
      <c r="K188" s="7713">
        <v>80.0</v>
      </c>
      <c r="L188" s="7713">
        <v>85.0</v>
      </c>
      <c r="M188" s="7713">
        <v>95.0</v>
      </c>
      <c r="N188" s="7715">
        <v>60.0</v>
      </c>
      <c r="O188" s="7701"/>
      <c r="P188" s="7734">
        <v>167.0</v>
      </c>
      <c r="Q188" s="7735" t="str">
        <f t="shared" si="26"/>
        <v/>
      </c>
      <c r="R188" s="7704"/>
      <c r="S188" s="7705"/>
    </row>
    <row r="189" ht="18.75" customHeight="1">
      <c r="A189" s="7696"/>
      <c r="B189" s="7718" t="s">
        <v>1659</v>
      </c>
      <c r="C189" s="7723" t="s">
        <v>2530</v>
      </c>
      <c r="D189" s="7720"/>
      <c r="E189" s="7723" t="s">
        <v>2232</v>
      </c>
      <c r="F189" s="7723" t="str">
        <f t="shared" si="1"/>
        <v/>
      </c>
      <c r="G189" s="7723" t="s">
        <v>2227</v>
      </c>
      <c r="H189" s="7723" t="str">
        <f t="shared" si="2"/>
        <v/>
      </c>
      <c r="I189" s="7719">
        <v>130.0</v>
      </c>
      <c r="J189" s="7719">
        <v>105.0</v>
      </c>
      <c r="K189" s="7719">
        <v>90.0</v>
      </c>
      <c r="L189" s="7719">
        <v>115.0</v>
      </c>
      <c r="M189" s="7719">
        <v>105.0</v>
      </c>
      <c r="N189" s="7721">
        <v>70.0</v>
      </c>
      <c r="O189" s="7701"/>
      <c r="P189" s="7734">
        <v>168.0</v>
      </c>
      <c r="Q189" s="7735" t="str">
        <f t="shared" si="26"/>
        <v/>
      </c>
      <c r="R189" s="7704"/>
      <c r="S189" s="7705"/>
    </row>
    <row r="190" ht="18.75" customHeight="1">
      <c r="A190" s="7696"/>
      <c r="B190" s="7712" t="s">
        <v>2531</v>
      </c>
      <c r="C190" s="7713" t="s">
        <v>2532</v>
      </c>
      <c r="D190" s="7714"/>
      <c r="E190" s="7713" t="s">
        <v>2262</v>
      </c>
      <c r="F190" s="7713" t="str">
        <f t="shared" si="1"/>
        <v/>
      </c>
      <c r="G190" s="7713"/>
      <c r="H190" s="7713" t="str">
        <f t="shared" si="2"/>
        <v/>
      </c>
      <c r="I190" s="7713">
        <v>48.0</v>
      </c>
      <c r="J190" s="7713">
        <v>48.0</v>
      </c>
      <c r="K190" s="7713">
        <v>48.0</v>
      </c>
      <c r="L190" s="7713">
        <v>48.0</v>
      </c>
      <c r="M190" s="7713">
        <v>48.0</v>
      </c>
      <c r="N190" s="7715">
        <v>48.0</v>
      </c>
      <c r="O190" s="7701"/>
      <c r="P190" s="7734">
        <v>169.0</v>
      </c>
      <c r="Q190" s="7735" t="str">
        <f t="shared" si="26"/>
        <v/>
      </c>
      <c r="R190" s="7704"/>
      <c r="S190" s="7705"/>
    </row>
    <row r="191" ht="18.75" customHeight="1">
      <c r="A191" s="7696"/>
      <c r="B191" s="7718" t="s">
        <v>998</v>
      </c>
      <c r="C191" s="7719" t="s">
        <v>2533</v>
      </c>
      <c r="D191" s="7720"/>
      <c r="E191" s="7719" t="s">
        <v>2262</v>
      </c>
      <c r="F191" s="7719" t="str">
        <f t="shared" si="1"/>
        <v/>
      </c>
      <c r="G191" s="7719"/>
      <c r="H191" s="7719" t="str">
        <f t="shared" si="2"/>
        <v/>
      </c>
      <c r="I191" s="7719">
        <v>55.0</v>
      </c>
      <c r="J191" s="7719">
        <v>55.0</v>
      </c>
      <c r="K191" s="7719">
        <v>50.0</v>
      </c>
      <c r="L191" s="7719">
        <v>45.0</v>
      </c>
      <c r="M191" s="7719">
        <v>65.0</v>
      </c>
      <c r="N191" s="7721">
        <v>55.0</v>
      </c>
      <c r="O191" s="7701"/>
      <c r="P191" s="7734">
        <v>170.0</v>
      </c>
      <c r="Q191" s="7735" t="str">
        <f t="shared" ref="Q191:Q205" si="27">IMAGE("https://i.ibb.co/mGfbqw0/Cyan170-184.png",3)</f>
        <v/>
      </c>
      <c r="R191" s="7704"/>
      <c r="S191" s="7705"/>
    </row>
    <row r="192" ht="18.75" customHeight="1">
      <c r="A192" s="7696"/>
      <c r="B192" s="7712" t="s">
        <v>1793</v>
      </c>
      <c r="C192" s="7713" t="s">
        <v>2534</v>
      </c>
      <c r="D192" s="7714"/>
      <c r="E192" s="7713" t="s">
        <v>2232</v>
      </c>
      <c r="F192" s="7713" t="str">
        <f t="shared" si="1"/>
        <v/>
      </c>
      <c r="G192" s="7713"/>
      <c r="H192" s="7713" t="str">
        <f t="shared" si="2"/>
        <v/>
      </c>
      <c r="I192" s="7713">
        <v>130.0</v>
      </c>
      <c r="J192" s="7713">
        <v>65.0</v>
      </c>
      <c r="K192" s="7713">
        <v>60.0</v>
      </c>
      <c r="L192" s="7713">
        <v>110.0</v>
      </c>
      <c r="M192" s="7713">
        <v>95.0</v>
      </c>
      <c r="N192" s="7715">
        <v>65.0</v>
      </c>
      <c r="O192" s="7701"/>
      <c r="P192" s="7734">
        <v>171.0</v>
      </c>
      <c r="Q192" s="7735" t="str">
        <f t="shared" si="27"/>
        <v/>
      </c>
      <c r="R192" s="7704"/>
      <c r="S192" s="7705"/>
    </row>
    <row r="193" ht="18.75" customHeight="1">
      <c r="A193" s="7696"/>
      <c r="B193" s="7718" t="s">
        <v>1595</v>
      </c>
      <c r="C193" s="7719" t="s">
        <v>2535</v>
      </c>
      <c r="D193" s="7720"/>
      <c r="E193" s="7719" t="s">
        <v>2283</v>
      </c>
      <c r="F193" s="7719" t="str">
        <f t="shared" si="1"/>
        <v/>
      </c>
      <c r="G193" s="7719"/>
      <c r="H193" s="7719" t="str">
        <f t="shared" si="2"/>
        <v/>
      </c>
      <c r="I193" s="7719">
        <v>65.0</v>
      </c>
      <c r="J193" s="7719">
        <v>65.0</v>
      </c>
      <c r="K193" s="7719">
        <v>60.0</v>
      </c>
      <c r="L193" s="7719">
        <v>110.0</v>
      </c>
      <c r="M193" s="7719">
        <v>95.0</v>
      </c>
      <c r="N193" s="7721">
        <v>130.0</v>
      </c>
      <c r="O193" s="7701"/>
      <c r="P193" s="7734">
        <v>172.0</v>
      </c>
      <c r="Q193" s="7735" t="str">
        <f t="shared" si="27"/>
        <v/>
      </c>
      <c r="R193" s="7704"/>
      <c r="S193" s="7705"/>
    </row>
    <row r="194" ht="18.75" customHeight="1">
      <c r="A194" s="7696"/>
      <c r="B194" s="7712" t="s">
        <v>1467</v>
      </c>
      <c r="C194" s="7713" t="s">
        <v>2536</v>
      </c>
      <c r="D194" s="7714"/>
      <c r="E194" s="7713" t="s">
        <v>2219</v>
      </c>
      <c r="F194" s="7713" t="str">
        <f t="shared" si="1"/>
        <v/>
      </c>
      <c r="G194" s="7713"/>
      <c r="H194" s="7713" t="str">
        <f t="shared" si="2"/>
        <v/>
      </c>
      <c r="I194" s="7713">
        <v>65.0</v>
      </c>
      <c r="J194" s="7713">
        <v>130.0</v>
      </c>
      <c r="K194" s="7713">
        <v>70.0</v>
      </c>
      <c r="L194" s="7713">
        <v>65.0</v>
      </c>
      <c r="M194" s="7713">
        <v>100.0</v>
      </c>
      <c r="N194" s="7715">
        <v>95.0</v>
      </c>
      <c r="O194" s="7701"/>
      <c r="P194" s="7734">
        <v>173.0</v>
      </c>
      <c r="Q194" s="7735" t="str">
        <f t="shared" si="27"/>
        <v/>
      </c>
      <c r="R194" s="7704"/>
      <c r="S194" s="7705"/>
    </row>
    <row r="195" ht="18.75" customHeight="1">
      <c r="A195" s="7696"/>
      <c r="B195" s="7718" t="s">
        <v>2537</v>
      </c>
      <c r="C195" s="7719" t="s">
        <v>2538</v>
      </c>
      <c r="D195" s="7720"/>
      <c r="E195" s="7719" t="s">
        <v>2262</v>
      </c>
      <c r="F195" s="7719" t="str">
        <f t="shared" si="1"/>
        <v/>
      </c>
      <c r="G195" s="7719"/>
      <c r="H195" s="7719" t="str">
        <f t="shared" si="2"/>
        <v/>
      </c>
      <c r="I195" s="7719">
        <v>65.0</v>
      </c>
      <c r="J195" s="7719">
        <v>60.0</v>
      </c>
      <c r="K195" s="7719">
        <v>70.0</v>
      </c>
      <c r="L195" s="7719">
        <v>85.0</v>
      </c>
      <c r="M195" s="7719">
        <v>75.0</v>
      </c>
      <c r="N195" s="7721">
        <v>40.0</v>
      </c>
      <c r="O195" s="7701"/>
      <c r="P195" s="7734">
        <v>174.0</v>
      </c>
      <c r="Q195" s="7735" t="str">
        <f t="shared" si="27"/>
        <v/>
      </c>
      <c r="R195" s="7704"/>
      <c r="S195" s="7705"/>
    </row>
    <row r="196" ht="18.75" customHeight="1">
      <c r="A196" s="7696"/>
      <c r="B196" s="7712" t="s">
        <v>2539</v>
      </c>
      <c r="C196" s="7713" t="s">
        <v>2540</v>
      </c>
      <c r="D196" s="7714"/>
      <c r="E196" s="7713" t="s">
        <v>2370</v>
      </c>
      <c r="F196" s="7713" t="str">
        <f t="shared" si="1"/>
        <v/>
      </c>
      <c r="G196" s="7713" t="s">
        <v>2232</v>
      </c>
      <c r="H196" s="7713" t="str">
        <f t="shared" si="2"/>
        <v/>
      </c>
      <c r="I196" s="7713">
        <v>35.0</v>
      </c>
      <c r="J196" s="7713">
        <v>40.0</v>
      </c>
      <c r="K196" s="7713">
        <v>100.0</v>
      </c>
      <c r="L196" s="7713">
        <v>90.0</v>
      </c>
      <c r="M196" s="7713">
        <v>55.0</v>
      </c>
      <c r="N196" s="7715">
        <v>35.0</v>
      </c>
      <c r="O196" s="7701"/>
      <c r="P196" s="7734">
        <v>175.0</v>
      </c>
      <c r="Q196" s="7735" t="str">
        <f t="shared" si="27"/>
        <v/>
      </c>
      <c r="R196" s="7704"/>
      <c r="S196" s="7705"/>
    </row>
    <row r="197" ht="18.75" customHeight="1">
      <c r="A197" s="7696"/>
      <c r="B197" s="7718" t="s">
        <v>1670</v>
      </c>
      <c r="C197" s="7719" t="s">
        <v>2541</v>
      </c>
      <c r="D197" s="7720"/>
      <c r="E197" s="7719" t="s">
        <v>2370</v>
      </c>
      <c r="F197" s="7719" t="str">
        <f t="shared" si="1"/>
        <v/>
      </c>
      <c r="G197" s="7719" t="s">
        <v>2232</v>
      </c>
      <c r="H197" s="7719" t="str">
        <f t="shared" si="2"/>
        <v/>
      </c>
      <c r="I197" s="7719">
        <v>70.0</v>
      </c>
      <c r="J197" s="7719">
        <v>60.0</v>
      </c>
      <c r="K197" s="7719">
        <v>125.0</v>
      </c>
      <c r="L197" s="7719">
        <v>115.0</v>
      </c>
      <c r="M197" s="7719">
        <v>70.0</v>
      </c>
      <c r="N197" s="7721">
        <v>55.0</v>
      </c>
      <c r="O197" s="7701"/>
      <c r="P197" s="7734">
        <v>176.0</v>
      </c>
      <c r="Q197" s="7735" t="str">
        <f t="shared" si="27"/>
        <v/>
      </c>
      <c r="R197" s="7704"/>
      <c r="S197" s="7705"/>
    </row>
    <row r="198" ht="18.75" customHeight="1">
      <c r="A198" s="7696"/>
      <c r="B198" s="7712" t="s">
        <v>2542</v>
      </c>
      <c r="C198" s="7713" t="s">
        <v>2543</v>
      </c>
      <c r="D198" s="7714"/>
      <c r="E198" s="7713" t="s">
        <v>2370</v>
      </c>
      <c r="F198" s="7713" t="str">
        <f t="shared" si="1"/>
        <v/>
      </c>
      <c r="G198" s="7713" t="s">
        <v>2232</v>
      </c>
      <c r="H198" s="7713" t="str">
        <f t="shared" si="2"/>
        <v/>
      </c>
      <c r="I198" s="7713">
        <v>30.0</v>
      </c>
      <c r="J198" s="7713">
        <v>80.0</v>
      </c>
      <c r="K198" s="7713">
        <v>90.0</v>
      </c>
      <c r="L198" s="7713">
        <v>55.0</v>
      </c>
      <c r="M198" s="7713">
        <v>45.0</v>
      </c>
      <c r="N198" s="7715">
        <v>55.0</v>
      </c>
      <c r="O198" s="7701"/>
      <c r="P198" s="7734">
        <v>177.0</v>
      </c>
      <c r="Q198" s="7735" t="str">
        <f t="shared" si="27"/>
        <v/>
      </c>
      <c r="R198" s="7704"/>
      <c r="S198" s="7705"/>
    </row>
    <row r="199" ht="18.75" customHeight="1">
      <c r="A199" s="7696"/>
      <c r="B199" s="7718" t="s">
        <v>1668</v>
      </c>
      <c r="C199" s="7719" t="s">
        <v>2544</v>
      </c>
      <c r="D199" s="7720"/>
      <c r="E199" s="7719" t="s">
        <v>2370</v>
      </c>
      <c r="F199" s="7719" t="str">
        <f t="shared" si="1"/>
        <v/>
      </c>
      <c r="G199" s="7719" t="s">
        <v>2232</v>
      </c>
      <c r="H199" s="7719" t="str">
        <f t="shared" si="2"/>
        <v/>
      </c>
      <c r="I199" s="7719">
        <v>60.0</v>
      </c>
      <c r="J199" s="7719">
        <v>115.0</v>
      </c>
      <c r="K199" s="7719">
        <v>105.0</v>
      </c>
      <c r="L199" s="7719">
        <v>65.0</v>
      </c>
      <c r="M199" s="7719">
        <v>70.0</v>
      </c>
      <c r="N199" s="7721">
        <v>80.0</v>
      </c>
      <c r="O199" s="7701"/>
      <c r="P199" s="7734">
        <v>178.0</v>
      </c>
      <c r="Q199" s="7735" t="str">
        <f t="shared" si="27"/>
        <v/>
      </c>
      <c r="R199" s="7704"/>
      <c r="S199" s="7705"/>
    </row>
    <row r="200" ht="18.75" customHeight="1">
      <c r="A200" s="7696"/>
      <c r="B200" s="7712" t="s">
        <v>1181</v>
      </c>
      <c r="C200" s="7713" t="s">
        <v>2545</v>
      </c>
      <c r="D200" s="7714"/>
      <c r="E200" s="7713" t="s">
        <v>2370</v>
      </c>
      <c r="F200" s="7713" t="str">
        <f t="shared" ref="F200:F216" si="28">IFERROR(VLOOKUP(E200,P$3:Q218,2,False),"")</f>
        <v/>
      </c>
      <c r="G200" s="7713" t="s">
        <v>2224</v>
      </c>
      <c r="H200" s="7713" t="str">
        <f t="shared" ref="H200:H216" si="29">IFERROR(VLOOKUP(G200,P$3:Q218,2,False),"")</f>
        <v/>
      </c>
      <c r="I200" s="7713">
        <v>80.0</v>
      </c>
      <c r="J200" s="7713">
        <v>105.0</v>
      </c>
      <c r="K200" s="7713">
        <v>65.0</v>
      </c>
      <c r="L200" s="7713">
        <v>60.0</v>
      </c>
      <c r="M200" s="7713">
        <v>75.0</v>
      </c>
      <c r="N200" s="7715">
        <v>130.0</v>
      </c>
      <c r="O200" s="7701"/>
      <c r="P200" s="7734">
        <v>179.0</v>
      </c>
      <c r="Q200" s="7735" t="str">
        <f t="shared" si="27"/>
        <v/>
      </c>
      <c r="R200" s="7704"/>
      <c r="S200" s="7705"/>
    </row>
    <row r="201" ht="18.75" customHeight="1">
      <c r="A201" s="7696"/>
      <c r="B201" s="7718" t="s">
        <v>728</v>
      </c>
      <c r="C201" s="7723" t="s">
        <v>2546</v>
      </c>
      <c r="D201" s="7720"/>
      <c r="E201" s="7723" t="s">
        <v>2370</v>
      </c>
      <c r="F201" s="7723" t="str">
        <f t="shared" si="28"/>
        <v/>
      </c>
      <c r="G201" s="7723" t="s">
        <v>2224</v>
      </c>
      <c r="H201" s="7723" t="str">
        <f t="shared" si="29"/>
        <v/>
      </c>
      <c r="I201" s="7719">
        <v>80.0</v>
      </c>
      <c r="J201" s="7719">
        <v>135.0</v>
      </c>
      <c r="K201" s="7719">
        <v>85.0</v>
      </c>
      <c r="L201" s="7719">
        <v>70.0</v>
      </c>
      <c r="M201" s="7719">
        <v>95.0</v>
      </c>
      <c r="N201" s="7721">
        <v>150.0</v>
      </c>
      <c r="O201" s="7701"/>
      <c r="P201" s="7734">
        <v>180.0</v>
      </c>
      <c r="Q201" s="7735" t="str">
        <f t="shared" si="27"/>
        <v/>
      </c>
      <c r="R201" s="7704"/>
      <c r="S201" s="7705"/>
    </row>
    <row r="202" ht="18.75" customHeight="1">
      <c r="A202" s="7696"/>
      <c r="B202" s="7712" t="s">
        <v>1079</v>
      </c>
      <c r="C202" s="7713" t="s">
        <v>2547</v>
      </c>
      <c r="D202" s="7714"/>
      <c r="E202" s="7713" t="s">
        <v>2262</v>
      </c>
      <c r="F202" s="7713" t="str">
        <f t="shared" si="28"/>
        <v/>
      </c>
      <c r="G202" s="7713"/>
      <c r="H202" s="7713" t="str">
        <f t="shared" si="29"/>
        <v/>
      </c>
      <c r="I202" s="7713">
        <v>160.0</v>
      </c>
      <c r="J202" s="7713">
        <v>110.0</v>
      </c>
      <c r="K202" s="7713">
        <v>65.0</v>
      </c>
      <c r="L202" s="7713">
        <v>65.0</v>
      </c>
      <c r="M202" s="7713">
        <v>110.0</v>
      </c>
      <c r="N202" s="7715">
        <v>30.0</v>
      </c>
      <c r="O202" s="7701"/>
      <c r="P202" s="7734">
        <v>181.0</v>
      </c>
      <c r="Q202" s="7735" t="str">
        <f t="shared" si="27"/>
        <v/>
      </c>
      <c r="R202" s="7704"/>
      <c r="S202" s="7705"/>
    </row>
    <row r="203" ht="18.75" customHeight="1">
      <c r="A203" s="7696"/>
      <c r="B203" s="7718" t="s">
        <v>2130</v>
      </c>
      <c r="C203" s="7723" t="s">
        <v>2548</v>
      </c>
      <c r="D203" s="7720"/>
      <c r="E203" s="7723" t="s">
        <v>2262</v>
      </c>
      <c r="F203" s="7723" t="str">
        <f t="shared" si="28"/>
        <v/>
      </c>
      <c r="G203" s="7723" t="s">
        <v>2209</v>
      </c>
      <c r="H203" s="7723" t="str">
        <f t="shared" si="29"/>
        <v/>
      </c>
      <c r="I203" s="7719">
        <v>160.0</v>
      </c>
      <c r="J203" s="7719">
        <v>160.0</v>
      </c>
      <c r="K203" s="7719">
        <v>85.0</v>
      </c>
      <c r="L203" s="7719">
        <v>80.0</v>
      </c>
      <c r="M203" s="7719">
        <v>125.0</v>
      </c>
      <c r="N203" s="7721">
        <v>30.0</v>
      </c>
      <c r="O203" s="7701"/>
      <c r="P203" s="7734">
        <v>182.0</v>
      </c>
      <c r="Q203" s="7735" t="str">
        <f t="shared" si="27"/>
        <v/>
      </c>
      <c r="R203" s="7704"/>
      <c r="S203" s="7705"/>
    </row>
    <row r="204" ht="18.75" customHeight="1">
      <c r="A204" s="7696"/>
      <c r="B204" s="7712" t="s">
        <v>2549</v>
      </c>
      <c r="C204" s="7713" t="s">
        <v>2550</v>
      </c>
      <c r="D204" s="7714"/>
      <c r="E204" s="7713" t="s">
        <v>2289</v>
      </c>
      <c r="F204" s="7713" t="str">
        <f t="shared" si="28"/>
        <v/>
      </c>
      <c r="G204" s="7713" t="s">
        <v>2224</v>
      </c>
      <c r="H204" s="7713" t="str">
        <f t="shared" si="29"/>
        <v/>
      </c>
      <c r="I204" s="7713">
        <v>90.0</v>
      </c>
      <c r="J204" s="7713">
        <v>70.0</v>
      </c>
      <c r="K204" s="7713">
        <v>100.0</v>
      </c>
      <c r="L204" s="7713">
        <v>95.0</v>
      </c>
      <c r="M204" s="7713">
        <v>125.0</v>
      </c>
      <c r="N204" s="7715">
        <v>100.0</v>
      </c>
      <c r="O204" s="7701"/>
      <c r="P204" s="7734">
        <v>183.0</v>
      </c>
      <c r="Q204" s="7735" t="str">
        <f t="shared" si="27"/>
        <v/>
      </c>
      <c r="R204" s="7704"/>
      <c r="S204" s="7705"/>
    </row>
    <row r="205" ht="18.75" customHeight="1">
      <c r="A205" s="7696"/>
      <c r="B205" s="7718" t="s">
        <v>1253</v>
      </c>
      <c r="C205" s="7723" t="s">
        <v>2551</v>
      </c>
      <c r="D205" s="7720"/>
      <c r="E205" s="7723" t="s">
        <v>669</v>
      </c>
      <c r="F205" s="7723" t="str">
        <f t="shared" si="28"/>
        <v/>
      </c>
      <c r="G205" s="7723" t="s">
        <v>2224</v>
      </c>
      <c r="H205" s="7723" t="str">
        <f t="shared" si="29"/>
        <v/>
      </c>
      <c r="I205" s="7719">
        <v>90.0</v>
      </c>
      <c r="J205" s="7719">
        <v>70.0</v>
      </c>
      <c r="K205" s="7719">
        <v>95.0</v>
      </c>
      <c r="L205" s="7719">
        <v>125.0</v>
      </c>
      <c r="M205" s="7719">
        <v>100.0</v>
      </c>
      <c r="N205" s="7721">
        <v>100.0</v>
      </c>
      <c r="O205" s="7701"/>
      <c r="P205" s="7734">
        <v>184.0</v>
      </c>
      <c r="Q205" s="7735" t="str">
        <f t="shared" si="27"/>
        <v/>
      </c>
      <c r="R205" s="7704"/>
      <c r="S205" s="7705"/>
    </row>
    <row r="206" ht="18.75" customHeight="1">
      <c r="A206" s="7696"/>
      <c r="B206" s="7712" t="s">
        <v>1093</v>
      </c>
      <c r="C206" s="7713" t="s">
        <v>2552</v>
      </c>
      <c r="D206" s="7714"/>
      <c r="E206" s="7713" t="s">
        <v>2283</v>
      </c>
      <c r="F206" s="7713" t="str">
        <f t="shared" si="28"/>
        <v/>
      </c>
      <c r="G206" s="7713" t="s">
        <v>2224</v>
      </c>
      <c r="H206" s="7713" t="str">
        <f t="shared" si="29"/>
        <v/>
      </c>
      <c r="I206" s="7713">
        <v>90.0</v>
      </c>
      <c r="J206" s="7713">
        <v>90.0</v>
      </c>
      <c r="K206" s="7713">
        <v>85.0</v>
      </c>
      <c r="L206" s="7713">
        <v>125.0</v>
      </c>
      <c r="M206" s="7713">
        <v>90.0</v>
      </c>
      <c r="N206" s="7715">
        <v>100.0</v>
      </c>
      <c r="O206" s="7701"/>
      <c r="P206" s="7734">
        <v>185.0</v>
      </c>
      <c r="Q206" s="7735" t="str">
        <f t="shared" ref="Q206:Q220" si="30">IMAGE("https://i.ibb.co/Dg30ShP/Cyan185-199.png",3)</f>
        <v/>
      </c>
      <c r="R206" s="7704"/>
      <c r="S206" s="7705"/>
    </row>
    <row r="207" ht="18.75" customHeight="1">
      <c r="A207" s="7696"/>
      <c r="B207" s="7718" t="s">
        <v>1705</v>
      </c>
      <c r="C207" s="7723" t="s">
        <v>2553</v>
      </c>
      <c r="D207" s="7720"/>
      <c r="E207" s="7723" t="s">
        <v>2296</v>
      </c>
      <c r="F207" s="7723" t="str">
        <f t="shared" si="28"/>
        <v/>
      </c>
      <c r="G207" s="7723" t="s">
        <v>2224</v>
      </c>
      <c r="H207" s="7723" t="str">
        <f t="shared" si="29"/>
        <v/>
      </c>
      <c r="I207" s="7719">
        <v>90.0</v>
      </c>
      <c r="J207" s="7719">
        <v>125.0</v>
      </c>
      <c r="K207" s="7719">
        <v>90.0</v>
      </c>
      <c r="L207" s="7719">
        <v>85.0</v>
      </c>
      <c r="M207" s="7719">
        <v>90.0</v>
      </c>
      <c r="N207" s="7721">
        <v>100.0</v>
      </c>
      <c r="O207" s="7701"/>
      <c r="P207" s="7734">
        <v>186.0</v>
      </c>
      <c r="Q207" s="7735" t="str">
        <f t="shared" si="30"/>
        <v/>
      </c>
      <c r="R207" s="7704"/>
      <c r="S207" s="7705"/>
    </row>
    <row r="208" ht="18.75" customHeight="1">
      <c r="A208" s="7696"/>
      <c r="B208" s="7712" t="s">
        <v>2554</v>
      </c>
      <c r="C208" s="7713" t="s">
        <v>2555</v>
      </c>
      <c r="D208" s="7714"/>
      <c r="E208" s="7713" t="s">
        <v>2219</v>
      </c>
      <c r="F208" s="7713" t="str">
        <f t="shared" si="28"/>
        <v/>
      </c>
      <c r="G208" s="7713" t="s">
        <v>2224</v>
      </c>
      <c r="H208" s="7713" t="str">
        <f t="shared" si="29"/>
        <v/>
      </c>
      <c r="I208" s="7713">
        <v>90.0</v>
      </c>
      <c r="J208" s="7713">
        <v>100.0</v>
      </c>
      <c r="K208" s="7713">
        <v>90.0</v>
      </c>
      <c r="L208" s="7713">
        <v>125.0</v>
      </c>
      <c r="M208" s="7713">
        <v>85.0</v>
      </c>
      <c r="N208" s="7715">
        <v>90.0</v>
      </c>
      <c r="O208" s="7701"/>
      <c r="P208" s="7734">
        <v>187.0</v>
      </c>
      <c r="Q208" s="7735" t="str">
        <f t="shared" si="30"/>
        <v/>
      </c>
      <c r="R208" s="7704"/>
      <c r="S208" s="7705"/>
    </row>
    <row r="209" ht="18.75" customHeight="1">
      <c r="A209" s="7696"/>
      <c r="B209" s="7718" t="s">
        <v>1330</v>
      </c>
      <c r="C209" s="7723" t="s">
        <v>2556</v>
      </c>
      <c r="D209" s="7720"/>
      <c r="E209" s="7723" t="s">
        <v>2272</v>
      </c>
      <c r="F209" s="7723" t="str">
        <f t="shared" si="28"/>
        <v/>
      </c>
      <c r="G209" s="7723" t="s">
        <v>2224</v>
      </c>
      <c r="H209" s="7723" t="str">
        <f t="shared" si="29"/>
        <v/>
      </c>
      <c r="I209" s="7719">
        <v>90.0</v>
      </c>
      <c r="J209" s="7719">
        <v>85.0</v>
      </c>
      <c r="K209" s="7719">
        <v>90.0</v>
      </c>
      <c r="L209" s="7719">
        <v>100.0</v>
      </c>
      <c r="M209" s="7719">
        <v>125.0</v>
      </c>
      <c r="N209" s="7721">
        <v>90.0</v>
      </c>
      <c r="O209" s="7701"/>
      <c r="P209" s="7734">
        <v>188.0</v>
      </c>
      <c r="Q209" s="7735" t="str">
        <f t="shared" si="30"/>
        <v/>
      </c>
      <c r="R209" s="7704"/>
      <c r="S209" s="7705"/>
    </row>
    <row r="210" ht="18.75" customHeight="1">
      <c r="A210" s="7696"/>
      <c r="B210" s="7712" t="s">
        <v>2557</v>
      </c>
      <c r="C210" s="7713" t="s">
        <v>2558</v>
      </c>
      <c r="D210" s="7714"/>
      <c r="E210" s="7713" t="s">
        <v>2227</v>
      </c>
      <c r="F210" s="7713" t="str">
        <f t="shared" si="28"/>
        <v/>
      </c>
      <c r="G210" s="7713"/>
      <c r="H210" s="7713" t="str">
        <f t="shared" si="29"/>
        <v/>
      </c>
      <c r="I210" s="7713">
        <v>41.0</v>
      </c>
      <c r="J210" s="7713">
        <v>64.0</v>
      </c>
      <c r="K210" s="7713">
        <v>45.0</v>
      </c>
      <c r="L210" s="7713">
        <v>50.0</v>
      </c>
      <c r="M210" s="7713">
        <v>50.0</v>
      </c>
      <c r="N210" s="7715">
        <v>50.0</v>
      </c>
      <c r="O210" s="7701"/>
      <c r="P210" s="7734">
        <v>189.0</v>
      </c>
      <c r="Q210" s="7735" t="str">
        <f t="shared" si="30"/>
        <v/>
      </c>
      <c r="R210" s="7704"/>
      <c r="S210" s="7705"/>
    </row>
    <row r="211" ht="18.75" customHeight="1">
      <c r="A211" s="7696"/>
      <c r="B211" s="7718" t="s">
        <v>2559</v>
      </c>
      <c r="C211" s="7719" t="s">
        <v>2560</v>
      </c>
      <c r="D211" s="7720"/>
      <c r="E211" s="7719" t="s">
        <v>2227</v>
      </c>
      <c r="F211" s="7719" t="str">
        <f t="shared" si="28"/>
        <v/>
      </c>
      <c r="G211" s="7719"/>
      <c r="H211" s="7719" t="str">
        <f t="shared" si="29"/>
        <v/>
      </c>
      <c r="I211" s="7719">
        <v>61.0</v>
      </c>
      <c r="J211" s="7719">
        <v>84.0</v>
      </c>
      <c r="K211" s="7719">
        <v>65.0</v>
      </c>
      <c r="L211" s="7719">
        <v>70.0</v>
      </c>
      <c r="M211" s="7719">
        <v>70.0</v>
      </c>
      <c r="N211" s="7721">
        <v>70.0</v>
      </c>
      <c r="O211" s="7701"/>
      <c r="P211" s="7734">
        <v>190.0</v>
      </c>
      <c r="Q211" s="7735" t="str">
        <f t="shared" si="30"/>
        <v/>
      </c>
      <c r="R211" s="7704"/>
      <c r="S211" s="7705"/>
    </row>
    <row r="212" ht="18.75" customHeight="1">
      <c r="A212" s="7696"/>
      <c r="B212" s="7712" t="s">
        <v>1660</v>
      </c>
      <c r="C212" s="7713" t="s">
        <v>2561</v>
      </c>
      <c r="D212" s="7714"/>
      <c r="E212" s="7713" t="s">
        <v>2227</v>
      </c>
      <c r="F212" s="7713" t="str">
        <f t="shared" si="28"/>
        <v/>
      </c>
      <c r="G212" s="7713" t="s">
        <v>2224</v>
      </c>
      <c r="H212" s="7713" t="str">
        <f t="shared" si="29"/>
        <v/>
      </c>
      <c r="I212" s="7713">
        <v>91.0</v>
      </c>
      <c r="J212" s="7713">
        <v>134.0</v>
      </c>
      <c r="K212" s="7713">
        <v>95.0</v>
      </c>
      <c r="L212" s="7713">
        <v>100.0</v>
      </c>
      <c r="M212" s="7713">
        <v>100.0</v>
      </c>
      <c r="N212" s="7715">
        <v>80.0</v>
      </c>
      <c r="O212" s="7701"/>
      <c r="P212" s="7734">
        <v>191.0</v>
      </c>
      <c r="Q212" s="7735" t="str">
        <f t="shared" si="30"/>
        <v/>
      </c>
      <c r="R212" s="7704"/>
      <c r="S212" s="7705"/>
    </row>
    <row r="213" ht="18.75" customHeight="1">
      <c r="A213" s="7696"/>
      <c r="B213" s="7718" t="s">
        <v>2562</v>
      </c>
      <c r="C213" s="7719" t="s">
        <v>2563</v>
      </c>
      <c r="D213" s="7720"/>
      <c r="E213" s="7719" t="s">
        <v>669</v>
      </c>
      <c r="F213" s="7719" t="str">
        <f t="shared" si="28"/>
        <v/>
      </c>
      <c r="G213" s="7719"/>
      <c r="H213" s="7719" t="str">
        <f t="shared" si="29"/>
        <v/>
      </c>
      <c r="I213" s="7719">
        <v>106.0</v>
      </c>
      <c r="J213" s="7719">
        <v>110.0</v>
      </c>
      <c r="K213" s="7719">
        <v>90.0</v>
      </c>
      <c r="L213" s="7719">
        <v>154.0</v>
      </c>
      <c r="M213" s="7719">
        <v>90.0</v>
      </c>
      <c r="N213" s="7721">
        <v>130.0</v>
      </c>
      <c r="O213" s="7701"/>
      <c r="P213" s="7734">
        <v>192.0</v>
      </c>
      <c r="Q213" s="7735" t="str">
        <f t="shared" si="30"/>
        <v/>
      </c>
      <c r="R213" s="7704"/>
      <c r="S213" s="7705"/>
    </row>
    <row r="214" ht="18.75" customHeight="1">
      <c r="A214" s="7696"/>
      <c r="B214" s="7712" t="s">
        <v>1889</v>
      </c>
      <c r="C214" s="7722" t="s">
        <v>2564</v>
      </c>
      <c r="D214" s="7714"/>
      <c r="E214" s="7722" t="s">
        <v>669</v>
      </c>
      <c r="F214" s="7722" t="str">
        <f t="shared" si="28"/>
        <v/>
      </c>
      <c r="G214" s="7722" t="s">
        <v>2296</v>
      </c>
      <c r="H214" s="7722" t="str">
        <f t="shared" si="29"/>
        <v/>
      </c>
      <c r="I214" s="7713">
        <v>106.0</v>
      </c>
      <c r="J214" s="7713">
        <v>190.0</v>
      </c>
      <c r="K214" s="7713">
        <v>100.0</v>
      </c>
      <c r="L214" s="7713">
        <v>154.0</v>
      </c>
      <c r="M214" s="7713">
        <v>100.0</v>
      </c>
      <c r="N214" s="7715">
        <v>130.0</v>
      </c>
      <c r="O214" s="7701"/>
      <c r="P214" s="7734">
        <v>193.0</v>
      </c>
      <c r="Q214" s="7735" t="str">
        <f t="shared" si="30"/>
        <v/>
      </c>
      <c r="R214" s="7704"/>
      <c r="S214" s="7705"/>
    </row>
    <row r="215" ht="18.75" customHeight="1">
      <c r="A215" s="7696"/>
      <c r="B215" s="7718" t="s">
        <v>1331</v>
      </c>
      <c r="C215" s="7723" t="s">
        <v>2565</v>
      </c>
      <c r="D215" s="7720"/>
      <c r="E215" s="7723" t="s">
        <v>669</v>
      </c>
      <c r="F215" s="7723" t="str">
        <f t="shared" si="28"/>
        <v/>
      </c>
      <c r="G215" s="7723"/>
      <c r="H215" s="7723" t="str">
        <f t="shared" si="29"/>
        <v/>
      </c>
      <c r="I215" s="7719">
        <v>106.0</v>
      </c>
      <c r="J215" s="7719">
        <v>150.0</v>
      </c>
      <c r="K215" s="7719">
        <v>70.0</v>
      </c>
      <c r="L215" s="7719">
        <v>194.0</v>
      </c>
      <c r="M215" s="7719">
        <v>120.0</v>
      </c>
      <c r="N215" s="7721">
        <v>140.0</v>
      </c>
      <c r="O215" s="7701"/>
      <c r="P215" s="7734">
        <v>194.0</v>
      </c>
      <c r="Q215" s="7735" t="str">
        <f t="shared" si="30"/>
        <v/>
      </c>
      <c r="R215" s="7704"/>
      <c r="S215" s="7705"/>
    </row>
    <row r="216" ht="18.75" customHeight="1">
      <c r="A216" s="7696"/>
      <c r="B216" s="7736" t="s">
        <v>1767</v>
      </c>
      <c r="C216" s="7737" t="s">
        <v>2566</v>
      </c>
      <c r="D216" s="7738"/>
      <c r="E216" s="7737" t="s">
        <v>669</v>
      </c>
      <c r="F216" s="7737" t="str">
        <f t="shared" si="28"/>
        <v/>
      </c>
      <c r="G216" s="7737"/>
      <c r="H216" s="7737" t="str">
        <f t="shared" si="29"/>
        <v/>
      </c>
      <c r="I216" s="7737">
        <v>100.0</v>
      </c>
      <c r="J216" s="7737">
        <v>100.0</v>
      </c>
      <c r="K216" s="7737">
        <v>100.0</v>
      </c>
      <c r="L216" s="7737">
        <v>100.0</v>
      </c>
      <c r="M216" s="7737">
        <v>100.0</v>
      </c>
      <c r="N216" s="7739">
        <v>100.0</v>
      </c>
      <c r="O216" s="7701"/>
      <c r="P216" s="7734">
        <v>195.0</v>
      </c>
      <c r="Q216" s="7735" t="str">
        <f t="shared" si="30"/>
        <v/>
      </c>
      <c r="R216" s="7704"/>
      <c r="S216" s="7705"/>
    </row>
    <row r="217">
      <c r="A217" s="7696"/>
      <c r="B217" s="7694"/>
      <c r="C217" s="7694"/>
      <c r="D217" s="7694"/>
      <c r="E217" s="7694"/>
      <c r="F217" s="7694"/>
      <c r="G217" s="7694"/>
      <c r="H217" s="7694"/>
      <c r="I217" s="7694"/>
      <c r="J217" s="7694"/>
      <c r="K217" s="7694"/>
      <c r="L217" s="7694"/>
      <c r="M217" s="7694"/>
      <c r="N217" s="7694"/>
      <c r="O217" s="7696"/>
      <c r="P217" s="7734">
        <v>196.0</v>
      </c>
      <c r="Q217" s="7735" t="str">
        <f t="shared" si="30"/>
        <v/>
      </c>
      <c r="R217" s="7694"/>
      <c r="S217" s="7705"/>
    </row>
    <row r="218">
      <c r="A218" s="7696"/>
      <c r="B218" s="7697" t="s">
        <v>2567</v>
      </c>
      <c r="C218" s="7740"/>
      <c r="D218" s="7740"/>
      <c r="E218" s="7740"/>
      <c r="F218" s="7740"/>
      <c r="G218" s="7740"/>
      <c r="H218" s="7741"/>
      <c r="I218" s="7699" t="s">
        <v>513</v>
      </c>
      <c r="J218" s="7699" t="s">
        <v>514</v>
      </c>
      <c r="K218" s="7699" t="s">
        <v>515</v>
      </c>
      <c r="L218" s="7699" t="s">
        <v>516</v>
      </c>
      <c r="M218" s="7699" t="s">
        <v>517</v>
      </c>
      <c r="N218" s="7700" t="s">
        <v>518</v>
      </c>
      <c r="O218" s="7701"/>
      <c r="P218" s="7734">
        <v>197.0</v>
      </c>
      <c r="Q218" s="7735" t="str">
        <f t="shared" si="30"/>
        <v/>
      </c>
      <c r="R218" s="7704"/>
      <c r="S218" s="7705"/>
    </row>
    <row r="219" ht="18.75" customHeight="1">
      <c r="A219" s="7696"/>
      <c r="B219" s="7742" t="s">
        <v>2568</v>
      </c>
      <c r="C219" s="7743" t="s">
        <v>2569</v>
      </c>
      <c r="D219" s="7744"/>
      <c r="E219" s="7745" t="s">
        <v>2209</v>
      </c>
      <c r="F219" s="7745" t="str">
        <f t="shared" ref="F219:F313" si="31">IFERROR(VLOOKUP(E219,P$3:Q236,2,False),"")</f>
        <v/>
      </c>
      <c r="G219" s="7745"/>
      <c r="H219" s="7745" t="str">
        <f t="shared" ref="H219:H313" si="32">IFERROR(VLOOKUP(G219,P$3:Q236,2,False),"")</f>
        <v/>
      </c>
      <c r="I219" s="7745">
        <v>45.0</v>
      </c>
      <c r="J219" s="7745">
        <v>49.0</v>
      </c>
      <c r="K219" s="7745">
        <v>65.0</v>
      </c>
      <c r="L219" s="7745">
        <v>49.0</v>
      </c>
      <c r="M219" s="7745">
        <v>65.0</v>
      </c>
      <c r="N219" s="7746">
        <v>45.0</v>
      </c>
      <c r="O219" s="7701"/>
      <c r="P219" s="7734">
        <v>198.0</v>
      </c>
      <c r="Q219" s="7735" t="str">
        <f t="shared" si="30"/>
        <v/>
      </c>
      <c r="R219" s="7704"/>
      <c r="S219" s="7705"/>
    </row>
    <row r="220" ht="18.75" customHeight="1">
      <c r="A220" s="7696"/>
      <c r="B220" s="7712" t="s">
        <v>2570</v>
      </c>
      <c r="C220" s="7713" t="s">
        <v>2571</v>
      </c>
      <c r="D220" s="7714"/>
      <c r="E220" s="7713" t="s">
        <v>2209</v>
      </c>
      <c r="F220" s="7713" t="str">
        <f t="shared" si="31"/>
        <v/>
      </c>
      <c r="G220" s="7713"/>
      <c r="H220" s="7713" t="str">
        <f t="shared" si="32"/>
        <v/>
      </c>
      <c r="I220" s="7713">
        <v>60.0</v>
      </c>
      <c r="J220" s="7713">
        <v>62.0</v>
      </c>
      <c r="K220" s="7713">
        <v>80.0</v>
      </c>
      <c r="L220" s="7713">
        <v>63.0</v>
      </c>
      <c r="M220" s="7713">
        <v>80.0</v>
      </c>
      <c r="N220" s="7715">
        <v>60.0</v>
      </c>
      <c r="O220" s="7701"/>
      <c r="P220" s="7734">
        <v>199.0</v>
      </c>
      <c r="Q220" s="7735" t="str">
        <f t="shared" si="30"/>
        <v/>
      </c>
      <c r="R220" s="7704"/>
      <c r="S220" s="7705"/>
    </row>
    <row r="221" ht="18.75" customHeight="1">
      <c r="A221" s="7696"/>
      <c r="B221" s="7718" t="s">
        <v>300</v>
      </c>
      <c r="C221" s="7719" t="s">
        <v>2572</v>
      </c>
      <c r="D221" s="7720"/>
      <c r="E221" s="7719" t="s">
        <v>2209</v>
      </c>
      <c r="F221" s="7719" t="str">
        <f t="shared" si="31"/>
        <v/>
      </c>
      <c r="G221" s="7719" t="s">
        <v>2292</v>
      </c>
      <c r="H221" s="7719" t="str">
        <f t="shared" si="32"/>
        <v/>
      </c>
      <c r="I221" s="7719">
        <v>80.0</v>
      </c>
      <c r="J221" s="7719">
        <v>82.0</v>
      </c>
      <c r="K221" s="7719">
        <v>100.0</v>
      </c>
      <c r="L221" s="7719">
        <v>83.0</v>
      </c>
      <c r="M221" s="7719">
        <v>100.0</v>
      </c>
      <c r="N221" s="7721">
        <v>80.0</v>
      </c>
      <c r="O221" s="7701"/>
      <c r="P221" s="7734">
        <v>200.0</v>
      </c>
      <c r="Q221" s="7735" t="str">
        <f t="shared" ref="Q221:Q230" si="33">IMAGE("https://i.ibb.co/RhGyk89/Cyan200-209.png",3)</f>
        <v/>
      </c>
      <c r="R221" s="7704"/>
      <c r="S221" s="7705"/>
    </row>
    <row r="222" ht="18.75" customHeight="1">
      <c r="A222" s="7696"/>
      <c r="B222" s="7712" t="s">
        <v>2573</v>
      </c>
      <c r="C222" s="7713" t="s">
        <v>2574</v>
      </c>
      <c r="D222" s="7714"/>
      <c r="E222" s="7722" t="s">
        <v>2219</v>
      </c>
      <c r="F222" s="7722" t="str">
        <f t="shared" si="31"/>
        <v/>
      </c>
      <c r="G222" s="7722"/>
      <c r="H222" s="7722" t="str">
        <f t="shared" si="32"/>
        <v/>
      </c>
      <c r="I222" s="7713">
        <v>39.0</v>
      </c>
      <c r="J222" s="7713">
        <v>52.0</v>
      </c>
      <c r="K222" s="7713">
        <v>43.0</v>
      </c>
      <c r="L222" s="7713">
        <v>60.0</v>
      </c>
      <c r="M222" s="7713">
        <v>50.0</v>
      </c>
      <c r="N222" s="7715">
        <v>65.0</v>
      </c>
      <c r="O222" s="7701"/>
      <c r="P222" s="7734">
        <v>201.0</v>
      </c>
      <c r="Q222" s="7735" t="str">
        <f t="shared" si="33"/>
        <v/>
      </c>
      <c r="R222" s="7704"/>
      <c r="S222" s="7705"/>
    </row>
    <row r="223" ht="18.75" customHeight="1">
      <c r="A223" s="7696"/>
      <c r="B223" s="7718" t="s">
        <v>2575</v>
      </c>
      <c r="C223" s="7719" t="s">
        <v>2576</v>
      </c>
      <c r="D223" s="7720"/>
      <c r="E223" s="7719" t="s">
        <v>2219</v>
      </c>
      <c r="F223" s="7719" t="str">
        <f t="shared" si="31"/>
        <v/>
      </c>
      <c r="G223" s="7719"/>
      <c r="H223" s="7719" t="str">
        <f t="shared" si="32"/>
        <v/>
      </c>
      <c r="I223" s="7719">
        <v>58.0</v>
      </c>
      <c r="J223" s="7719">
        <v>64.0</v>
      </c>
      <c r="K223" s="7719">
        <v>58.0</v>
      </c>
      <c r="L223" s="7719">
        <v>80.0</v>
      </c>
      <c r="M223" s="7719">
        <v>65.0</v>
      </c>
      <c r="N223" s="7721">
        <v>80.0</v>
      </c>
      <c r="O223" s="7701"/>
      <c r="P223" s="7734">
        <v>202.0</v>
      </c>
      <c r="Q223" s="7735" t="str">
        <f t="shared" si="33"/>
        <v/>
      </c>
      <c r="R223" s="7704"/>
      <c r="S223" s="7705"/>
    </row>
    <row r="224" ht="18.75" customHeight="1">
      <c r="A224" s="7696"/>
      <c r="B224" s="7712" t="s">
        <v>2577</v>
      </c>
      <c r="C224" s="7713" t="s">
        <v>2578</v>
      </c>
      <c r="D224" s="7714"/>
      <c r="E224" s="7713" t="s">
        <v>2219</v>
      </c>
      <c r="F224" s="7713" t="str">
        <f t="shared" si="31"/>
        <v/>
      </c>
      <c r="G224" s="7713"/>
      <c r="H224" s="7713" t="str">
        <f t="shared" si="32"/>
        <v/>
      </c>
      <c r="I224" s="7713">
        <v>78.0</v>
      </c>
      <c r="J224" s="7713">
        <v>84.0</v>
      </c>
      <c r="K224" s="7713">
        <v>78.0</v>
      </c>
      <c r="L224" s="7713">
        <v>109.0</v>
      </c>
      <c r="M224" s="7713">
        <v>85.0</v>
      </c>
      <c r="N224" s="7715">
        <v>100.0</v>
      </c>
      <c r="O224" s="7701"/>
      <c r="P224" s="7734">
        <v>203.0</v>
      </c>
      <c r="Q224" s="7735" t="str">
        <f t="shared" si="33"/>
        <v/>
      </c>
      <c r="R224" s="7704"/>
      <c r="S224" s="7705"/>
    </row>
    <row r="225" ht="18.75" customHeight="1">
      <c r="A225" s="7696"/>
      <c r="B225" s="7718" t="s">
        <v>2579</v>
      </c>
      <c r="C225" s="7723" t="s">
        <v>2580</v>
      </c>
      <c r="D225" s="7720"/>
      <c r="E225" s="7719" t="s">
        <v>2219</v>
      </c>
      <c r="F225" s="7719" t="str">
        <f t="shared" si="31"/>
        <v/>
      </c>
      <c r="G225" s="7719" t="s">
        <v>2447</v>
      </c>
      <c r="H225" s="7719" t="str">
        <f t="shared" si="32"/>
        <v/>
      </c>
      <c r="I225" s="7719">
        <v>73.0</v>
      </c>
      <c r="J225" s="7719">
        <v>84.0</v>
      </c>
      <c r="K225" s="7719">
        <v>78.0</v>
      </c>
      <c r="L225" s="7719">
        <v>119.0</v>
      </c>
      <c r="M225" s="7719">
        <v>85.0</v>
      </c>
      <c r="N225" s="7721">
        <v>95.0</v>
      </c>
      <c r="O225" s="7701"/>
      <c r="P225" s="7734">
        <v>204.0</v>
      </c>
      <c r="Q225" s="7735" t="str">
        <f t="shared" si="33"/>
        <v/>
      </c>
      <c r="R225" s="7704"/>
      <c r="S225" s="7705"/>
    </row>
    <row r="226" ht="18.75" customHeight="1">
      <c r="A226" s="7696"/>
      <c r="B226" s="7712" t="s">
        <v>2581</v>
      </c>
      <c r="C226" s="7713" t="s">
        <v>2582</v>
      </c>
      <c r="D226" s="7714"/>
      <c r="E226" s="7722" t="s">
        <v>2232</v>
      </c>
      <c r="F226" s="7722" t="str">
        <f t="shared" si="31"/>
        <v/>
      </c>
      <c r="G226" s="7722"/>
      <c r="H226" s="7722" t="str">
        <f t="shared" si="32"/>
        <v/>
      </c>
      <c r="I226" s="7713">
        <v>50.0</v>
      </c>
      <c r="J226" s="7713">
        <v>65.0</v>
      </c>
      <c r="K226" s="7713">
        <v>64.0</v>
      </c>
      <c r="L226" s="7713">
        <v>44.0</v>
      </c>
      <c r="M226" s="7713">
        <v>48.0</v>
      </c>
      <c r="N226" s="7715">
        <v>43.0</v>
      </c>
      <c r="O226" s="7701"/>
      <c r="P226" s="7734">
        <v>205.0</v>
      </c>
      <c r="Q226" s="7735" t="str">
        <f t="shared" si="33"/>
        <v/>
      </c>
      <c r="R226" s="7704"/>
      <c r="S226" s="7705"/>
    </row>
    <row r="227" ht="18.75" customHeight="1">
      <c r="A227" s="7696"/>
      <c r="B227" s="7718" t="s">
        <v>2583</v>
      </c>
      <c r="C227" s="7719" t="s">
        <v>2584</v>
      </c>
      <c r="D227" s="7720"/>
      <c r="E227" s="7723" t="s">
        <v>2232</v>
      </c>
      <c r="F227" s="7723" t="str">
        <f t="shared" si="31"/>
        <v/>
      </c>
      <c r="G227" s="7723"/>
      <c r="H227" s="7723" t="str">
        <f t="shared" si="32"/>
        <v/>
      </c>
      <c r="I227" s="7719">
        <v>65.0</v>
      </c>
      <c r="J227" s="7719">
        <v>80.0</v>
      </c>
      <c r="K227" s="7719">
        <v>80.0</v>
      </c>
      <c r="L227" s="7719">
        <v>59.0</v>
      </c>
      <c r="M227" s="7719">
        <v>63.0</v>
      </c>
      <c r="N227" s="7721">
        <v>58.0</v>
      </c>
      <c r="O227" s="7701"/>
      <c r="P227" s="7734">
        <v>206.0</v>
      </c>
      <c r="Q227" s="7735" t="str">
        <f t="shared" si="33"/>
        <v/>
      </c>
      <c r="R227" s="7704"/>
      <c r="S227" s="7705"/>
    </row>
    <row r="228" ht="18.75" customHeight="1">
      <c r="A228" s="7696"/>
      <c r="B228" s="7712" t="s">
        <v>2109</v>
      </c>
      <c r="C228" s="7713" t="s">
        <v>2585</v>
      </c>
      <c r="D228" s="7714"/>
      <c r="E228" s="7713" t="s">
        <v>2232</v>
      </c>
      <c r="F228" s="7713" t="str">
        <f t="shared" si="31"/>
        <v/>
      </c>
      <c r="G228" s="7713"/>
      <c r="H228" s="7713" t="str">
        <f t="shared" si="32"/>
        <v/>
      </c>
      <c r="I228" s="7713">
        <v>85.0</v>
      </c>
      <c r="J228" s="7713">
        <v>105.0</v>
      </c>
      <c r="K228" s="7713">
        <v>100.0</v>
      </c>
      <c r="L228" s="7713">
        <v>79.0</v>
      </c>
      <c r="M228" s="7713">
        <v>83.0</v>
      </c>
      <c r="N228" s="7715">
        <v>78.0</v>
      </c>
      <c r="O228" s="7701"/>
      <c r="P228" s="7734">
        <v>207.0</v>
      </c>
      <c r="Q228" s="7735" t="str">
        <f t="shared" si="33"/>
        <v/>
      </c>
      <c r="R228" s="7704"/>
      <c r="S228" s="7705"/>
    </row>
    <row r="229" ht="18.75" customHeight="1">
      <c r="A229" s="7696"/>
      <c r="B229" s="7718" t="s">
        <v>2586</v>
      </c>
      <c r="C229" s="7719" t="s">
        <v>2587</v>
      </c>
      <c r="D229" s="7720"/>
      <c r="E229" s="7719" t="s">
        <v>2262</v>
      </c>
      <c r="F229" s="7719" t="str">
        <f t="shared" si="31"/>
        <v/>
      </c>
      <c r="G229" s="7719"/>
      <c r="H229" s="7719" t="str">
        <f t="shared" si="32"/>
        <v/>
      </c>
      <c r="I229" s="7719">
        <v>35.0</v>
      </c>
      <c r="J229" s="7719">
        <v>46.0</v>
      </c>
      <c r="K229" s="7719">
        <v>34.0</v>
      </c>
      <c r="L229" s="7719">
        <v>35.0</v>
      </c>
      <c r="M229" s="7719">
        <v>45.0</v>
      </c>
      <c r="N229" s="7721">
        <v>20.0</v>
      </c>
      <c r="O229" s="7701"/>
      <c r="P229" s="7734">
        <v>208.0</v>
      </c>
      <c r="Q229" s="7735" t="str">
        <f t="shared" si="33"/>
        <v/>
      </c>
      <c r="R229" s="7704"/>
      <c r="S229" s="7705"/>
    </row>
    <row r="230" ht="18.75" customHeight="1">
      <c r="A230" s="7696"/>
      <c r="B230" s="7712" t="s">
        <v>2588</v>
      </c>
      <c r="C230" s="7713" t="s">
        <v>2589</v>
      </c>
      <c r="D230" s="7714"/>
      <c r="E230" s="7713" t="s">
        <v>2262</v>
      </c>
      <c r="F230" s="7713" t="str">
        <f t="shared" si="31"/>
        <v/>
      </c>
      <c r="G230" s="7713"/>
      <c r="H230" s="7713" t="str">
        <f t="shared" si="32"/>
        <v/>
      </c>
      <c r="I230" s="7713">
        <v>85.0</v>
      </c>
      <c r="J230" s="7713">
        <v>86.0</v>
      </c>
      <c r="K230" s="7713">
        <v>64.0</v>
      </c>
      <c r="L230" s="7713">
        <v>45.0</v>
      </c>
      <c r="M230" s="7713">
        <v>55.0</v>
      </c>
      <c r="N230" s="7715">
        <v>90.0</v>
      </c>
      <c r="O230" s="7701"/>
      <c r="P230" s="7734">
        <v>209.0</v>
      </c>
      <c r="Q230" s="7735" t="str">
        <f t="shared" si="33"/>
        <v/>
      </c>
      <c r="R230" s="7704"/>
      <c r="S230" s="7705"/>
    </row>
    <row r="231" ht="18.75" customHeight="1">
      <c r="A231" s="7696"/>
      <c r="B231" s="7718" t="s">
        <v>2590</v>
      </c>
      <c r="C231" s="7719" t="s">
        <v>2591</v>
      </c>
      <c r="D231" s="7720"/>
      <c r="E231" s="7723" t="s">
        <v>2262</v>
      </c>
      <c r="F231" s="7723" t="str">
        <f t="shared" si="31"/>
        <v/>
      </c>
      <c r="G231" s="7723" t="s">
        <v>2224</v>
      </c>
      <c r="H231" s="7723" t="str">
        <f t="shared" si="32"/>
        <v/>
      </c>
      <c r="I231" s="7719">
        <v>60.0</v>
      </c>
      <c r="J231" s="7719">
        <v>30.0</v>
      </c>
      <c r="K231" s="7719">
        <v>30.0</v>
      </c>
      <c r="L231" s="7719">
        <v>36.0</v>
      </c>
      <c r="M231" s="7719">
        <v>56.0</v>
      </c>
      <c r="N231" s="7721">
        <v>50.0</v>
      </c>
      <c r="O231" s="7701"/>
      <c r="P231" s="7734">
        <v>210.0</v>
      </c>
      <c r="Q231" s="7735" t="str">
        <f t="shared" ref="Q231:Q245" si="34">IMAGE("https://i.ibb.co/s1dkXCK/Cyan210-224.png",3)</f>
        <v/>
      </c>
      <c r="R231" s="7704"/>
      <c r="S231" s="7705"/>
    </row>
    <row r="232" ht="18.75" customHeight="1">
      <c r="A232" s="7696"/>
      <c r="B232" s="7712" t="s">
        <v>2592</v>
      </c>
      <c r="C232" s="7713" t="s">
        <v>2593</v>
      </c>
      <c r="D232" s="7714"/>
      <c r="E232" s="7713" t="s">
        <v>2262</v>
      </c>
      <c r="F232" s="7713" t="str">
        <f t="shared" si="31"/>
        <v/>
      </c>
      <c r="G232" s="7713" t="s">
        <v>2224</v>
      </c>
      <c r="H232" s="7713" t="str">
        <f t="shared" si="32"/>
        <v/>
      </c>
      <c r="I232" s="7713">
        <v>110.0</v>
      </c>
      <c r="J232" s="7713">
        <v>50.0</v>
      </c>
      <c r="K232" s="7713">
        <v>50.0</v>
      </c>
      <c r="L232" s="7713">
        <v>86.0</v>
      </c>
      <c r="M232" s="7713">
        <v>96.0</v>
      </c>
      <c r="N232" s="7715">
        <v>70.0</v>
      </c>
      <c r="O232" s="7701"/>
      <c r="P232" s="7734">
        <v>211.0</v>
      </c>
      <c r="Q232" s="7735" t="str">
        <f t="shared" si="34"/>
        <v/>
      </c>
      <c r="R232" s="7704"/>
      <c r="S232" s="7705"/>
    </row>
    <row r="233" ht="18.75" customHeight="1">
      <c r="A233" s="7696"/>
      <c r="B233" s="7718" t="s">
        <v>2594</v>
      </c>
      <c r="C233" s="7719" t="s">
        <v>2595</v>
      </c>
      <c r="D233" s="7720"/>
      <c r="E233" s="7719" t="s">
        <v>2243</v>
      </c>
      <c r="F233" s="7719" t="str">
        <f t="shared" si="31"/>
        <v/>
      </c>
      <c r="G233" s="7719" t="s">
        <v>2224</v>
      </c>
      <c r="H233" s="7719" t="str">
        <f t="shared" si="32"/>
        <v/>
      </c>
      <c r="I233" s="7719">
        <v>40.0</v>
      </c>
      <c r="J233" s="7719">
        <v>20.0</v>
      </c>
      <c r="K233" s="7719">
        <v>30.0</v>
      </c>
      <c r="L233" s="7719">
        <v>40.0</v>
      </c>
      <c r="M233" s="7719">
        <v>80.0</v>
      </c>
      <c r="N233" s="7721">
        <v>55.0</v>
      </c>
      <c r="O233" s="7701"/>
      <c r="P233" s="7734">
        <v>212.0</v>
      </c>
      <c r="Q233" s="7735" t="str">
        <f t="shared" si="34"/>
        <v/>
      </c>
      <c r="R233" s="7704"/>
      <c r="S233" s="7705"/>
    </row>
    <row r="234" ht="18.75" customHeight="1">
      <c r="A234" s="7696"/>
      <c r="B234" s="7712" t="s">
        <v>2596</v>
      </c>
      <c r="C234" s="7713" t="s">
        <v>2597</v>
      </c>
      <c r="D234" s="7714"/>
      <c r="E234" s="7713" t="s">
        <v>2243</v>
      </c>
      <c r="F234" s="7713" t="str">
        <f t="shared" si="31"/>
        <v/>
      </c>
      <c r="G234" s="7713" t="s">
        <v>2296</v>
      </c>
      <c r="H234" s="7713" t="str">
        <f t="shared" si="32"/>
        <v/>
      </c>
      <c r="I234" s="7713">
        <v>55.0</v>
      </c>
      <c r="J234" s="7713">
        <v>90.0</v>
      </c>
      <c r="K234" s="7713">
        <v>50.0</v>
      </c>
      <c r="L234" s="7713">
        <v>35.0</v>
      </c>
      <c r="M234" s="7713">
        <v>100.0</v>
      </c>
      <c r="N234" s="7715">
        <v>85.0</v>
      </c>
      <c r="O234" s="7701"/>
      <c r="P234" s="7734">
        <v>213.0</v>
      </c>
      <c r="Q234" s="7735" t="str">
        <f t="shared" si="34"/>
        <v/>
      </c>
      <c r="R234" s="7704"/>
      <c r="S234" s="7705"/>
    </row>
    <row r="235" ht="18.75" customHeight="1">
      <c r="A235" s="7696"/>
      <c r="B235" s="7718" t="s">
        <v>2598</v>
      </c>
      <c r="C235" s="7719" t="s">
        <v>2599</v>
      </c>
      <c r="D235" s="7720"/>
      <c r="E235" s="7723" t="s">
        <v>2243</v>
      </c>
      <c r="F235" s="7723" t="str">
        <f t="shared" si="31"/>
        <v/>
      </c>
      <c r="G235" s="7723" t="s">
        <v>2210</v>
      </c>
      <c r="H235" s="7723" t="str">
        <f t="shared" si="32"/>
        <v/>
      </c>
      <c r="I235" s="7719">
        <v>40.0</v>
      </c>
      <c r="J235" s="7719">
        <v>60.0</v>
      </c>
      <c r="K235" s="7719">
        <v>40.0</v>
      </c>
      <c r="L235" s="7719">
        <v>40.0</v>
      </c>
      <c r="M235" s="7719">
        <v>40.0</v>
      </c>
      <c r="N235" s="7721">
        <v>30.0</v>
      </c>
      <c r="O235" s="7701"/>
      <c r="P235" s="7734">
        <v>214.0</v>
      </c>
      <c r="Q235" s="7735" t="str">
        <f t="shared" si="34"/>
        <v/>
      </c>
      <c r="R235" s="7704"/>
      <c r="S235" s="7705"/>
    </row>
    <row r="236" ht="18.75" customHeight="1">
      <c r="A236" s="7696"/>
      <c r="B236" s="7712" t="s">
        <v>305</v>
      </c>
      <c r="C236" s="7713" t="s">
        <v>2600</v>
      </c>
      <c r="D236" s="7714"/>
      <c r="E236" s="7713" t="s">
        <v>2243</v>
      </c>
      <c r="F236" s="7713" t="str">
        <f t="shared" si="31"/>
        <v/>
      </c>
      <c r="G236" s="7713" t="s">
        <v>2210</v>
      </c>
      <c r="H236" s="7713" t="str">
        <f t="shared" si="32"/>
        <v/>
      </c>
      <c r="I236" s="7713">
        <v>70.0</v>
      </c>
      <c r="J236" s="7713">
        <v>95.0</v>
      </c>
      <c r="K236" s="7713">
        <v>70.0</v>
      </c>
      <c r="L236" s="7713">
        <v>60.0</v>
      </c>
      <c r="M236" s="7713">
        <v>70.0</v>
      </c>
      <c r="N236" s="7715">
        <v>70.0</v>
      </c>
      <c r="O236" s="7701"/>
      <c r="P236" s="7734">
        <v>215.0</v>
      </c>
      <c r="Q236" s="7735" t="str">
        <f t="shared" si="34"/>
        <v/>
      </c>
      <c r="R236" s="7704"/>
      <c r="S236" s="7705"/>
    </row>
    <row r="237" ht="18.75" customHeight="1">
      <c r="A237" s="7696"/>
      <c r="B237" s="7718" t="s">
        <v>1169</v>
      </c>
      <c r="C237" s="7719" t="s">
        <v>2601</v>
      </c>
      <c r="D237" s="7720"/>
      <c r="E237" s="7719" t="s">
        <v>2210</v>
      </c>
      <c r="F237" s="7719" t="str">
        <f t="shared" si="31"/>
        <v/>
      </c>
      <c r="G237" s="7719" t="s">
        <v>2224</v>
      </c>
      <c r="H237" s="7719" t="str">
        <f t="shared" si="32"/>
        <v/>
      </c>
      <c r="I237" s="7719">
        <v>85.0</v>
      </c>
      <c r="J237" s="7719">
        <v>90.0</v>
      </c>
      <c r="K237" s="7719">
        <v>80.0</v>
      </c>
      <c r="L237" s="7719">
        <v>90.0</v>
      </c>
      <c r="M237" s="7719">
        <v>80.0</v>
      </c>
      <c r="N237" s="7721">
        <v>130.0</v>
      </c>
      <c r="O237" s="7701"/>
      <c r="P237" s="7734">
        <v>216.0</v>
      </c>
      <c r="Q237" s="7735" t="str">
        <f t="shared" si="34"/>
        <v/>
      </c>
      <c r="R237" s="7704"/>
      <c r="S237" s="7705"/>
    </row>
    <row r="238" ht="18.75" customHeight="1">
      <c r="A238" s="7696"/>
      <c r="B238" s="7712" t="s">
        <v>2602</v>
      </c>
      <c r="C238" s="7713" t="s">
        <v>2603</v>
      </c>
      <c r="D238" s="7714"/>
      <c r="E238" s="7713" t="s">
        <v>2232</v>
      </c>
      <c r="F238" s="7713" t="str">
        <f t="shared" si="31"/>
        <v/>
      </c>
      <c r="G238" s="7713" t="s">
        <v>2283</v>
      </c>
      <c r="H238" s="7713" t="str">
        <f t="shared" si="32"/>
        <v/>
      </c>
      <c r="I238" s="7713">
        <v>75.0</v>
      </c>
      <c r="J238" s="7713">
        <v>38.0</v>
      </c>
      <c r="K238" s="7713">
        <v>38.0</v>
      </c>
      <c r="L238" s="7713">
        <v>56.0</v>
      </c>
      <c r="M238" s="7713">
        <v>56.0</v>
      </c>
      <c r="N238" s="7715">
        <v>67.0</v>
      </c>
      <c r="O238" s="7701"/>
      <c r="P238" s="7734">
        <v>217.0</v>
      </c>
      <c r="Q238" s="7735" t="str">
        <f t="shared" si="34"/>
        <v/>
      </c>
      <c r="R238" s="7704"/>
      <c r="S238" s="7705"/>
    </row>
    <row r="239" ht="18.75" customHeight="1">
      <c r="A239" s="7696"/>
      <c r="B239" s="7718" t="s">
        <v>2163</v>
      </c>
      <c r="C239" s="7719" t="s">
        <v>2604</v>
      </c>
      <c r="D239" s="7720"/>
      <c r="E239" s="7723" t="s">
        <v>2232</v>
      </c>
      <c r="F239" s="7723" t="str">
        <f t="shared" si="31"/>
        <v/>
      </c>
      <c r="G239" s="7723" t="s">
        <v>2283</v>
      </c>
      <c r="H239" s="7723" t="str">
        <f t="shared" si="32"/>
        <v/>
      </c>
      <c r="I239" s="7719">
        <v>125.0</v>
      </c>
      <c r="J239" s="7719">
        <v>58.0</v>
      </c>
      <c r="K239" s="7719">
        <v>58.0</v>
      </c>
      <c r="L239" s="7719">
        <v>76.0</v>
      </c>
      <c r="M239" s="7719">
        <v>76.0</v>
      </c>
      <c r="N239" s="7721">
        <v>67.0</v>
      </c>
      <c r="O239" s="7701"/>
      <c r="P239" s="7734">
        <v>218.0</v>
      </c>
      <c r="Q239" s="7735" t="str">
        <f t="shared" si="34"/>
        <v/>
      </c>
      <c r="R239" s="7704"/>
      <c r="S239" s="7705"/>
    </row>
    <row r="240" ht="18.75" customHeight="1">
      <c r="A240" s="7696"/>
      <c r="B240" s="7712" t="s">
        <v>2605</v>
      </c>
      <c r="C240" s="7713" t="s">
        <v>2606</v>
      </c>
      <c r="D240" s="7714"/>
      <c r="E240" s="7713" t="s">
        <v>2283</v>
      </c>
      <c r="F240" s="7713" t="str">
        <f t="shared" si="31"/>
        <v/>
      </c>
      <c r="G240" s="7713"/>
      <c r="H240" s="7713" t="str">
        <f t="shared" si="32"/>
        <v/>
      </c>
      <c r="I240" s="7713">
        <v>20.0</v>
      </c>
      <c r="J240" s="7713">
        <v>40.0</v>
      </c>
      <c r="K240" s="7713">
        <v>15.0</v>
      </c>
      <c r="L240" s="7713">
        <v>35.0</v>
      </c>
      <c r="M240" s="7713">
        <v>35.0</v>
      </c>
      <c r="N240" s="7715">
        <v>60.0</v>
      </c>
      <c r="O240" s="7701"/>
      <c r="P240" s="7734">
        <v>219.0</v>
      </c>
      <c r="Q240" s="7735" t="str">
        <f t="shared" si="34"/>
        <v/>
      </c>
      <c r="R240" s="7704"/>
      <c r="S240" s="7705"/>
    </row>
    <row r="241" ht="18.75" customHeight="1">
      <c r="A241" s="7696"/>
      <c r="B241" s="7718" t="s">
        <v>2607</v>
      </c>
      <c r="C241" s="7719" t="s">
        <v>2608</v>
      </c>
      <c r="D241" s="7720"/>
      <c r="E241" s="7719" t="s">
        <v>2292</v>
      </c>
      <c r="F241" s="7719" t="str">
        <f t="shared" si="31"/>
        <v/>
      </c>
      <c r="G241" s="7719"/>
      <c r="H241" s="7719" t="str">
        <f t="shared" si="32"/>
        <v/>
      </c>
      <c r="I241" s="7719">
        <v>50.0</v>
      </c>
      <c r="J241" s="7719">
        <v>25.0</v>
      </c>
      <c r="K241" s="7719">
        <v>28.0</v>
      </c>
      <c r="L241" s="7719">
        <v>45.0</v>
      </c>
      <c r="M241" s="7719">
        <v>55.0</v>
      </c>
      <c r="N241" s="7721">
        <v>15.0</v>
      </c>
      <c r="O241" s="7701"/>
      <c r="P241" s="7734">
        <v>220.0</v>
      </c>
      <c r="Q241" s="7735" t="str">
        <f t="shared" si="34"/>
        <v/>
      </c>
      <c r="R241" s="7704"/>
      <c r="S241" s="7705"/>
    </row>
    <row r="242" ht="18.75" customHeight="1">
      <c r="A242" s="7696"/>
      <c r="B242" s="7712" t="s">
        <v>2609</v>
      </c>
      <c r="C242" s="7713" t="s">
        <v>2610</v>
      </c>
      <c r="D242" s="7714"/>
      <c r="E242" s="7713" t="s">
        <v>2262</v>
      </c>
      <c r="F242" s="7713" t="str">
        <f t="shared" si="31"/>
        <v/>
      </c>
      <c r="G242" s="7713" t="s">
        <v>2292</v>
      </c>
      <c r="H242" s="7713" t="str">
        <f t="shared" si="32"/>
        <v/>
      </c>
      <c r="I242" s="7713">
        <v>90.0</v>
      </c>
      <c r="J242" s="7713">
        <v>30.0</v>
      </c>
      <c r="K242" s="7713">
        <v>15.0</v>
      </c>
      <c r="L242" s="7713">
        <v>40.0</v>
      </c>
      <c r="M242" s="7713">
        <v>20.0</v>
      </c>
      <c r="N242" s="7715">
        <v>15.0</v>
      </c>
      <c r="O242" s="7701"/>
      <c r="P242" s="7734">
        <v>221.0</v>
      </c>
      <c r="Q242" s="7735" t="str">
        <f t="shared" si="34"/>
        <v/>
      </c>
      <c r="R242" s="7704"/>
      <c r="S242" s="7705"/>
    </row>
    <row r="243" ht="18.75" customHeight="1">
      <c r="A243" s="7696"/>
      <c r="B243" s="7718" t="s">
        <v>2611</v>
      </c>
      <c r="C243" s="7719" t="s">
        <v>2612</v>
      </c>
      <c r="D243" s="7720"/>
      <c r="E243" s="7723" t="s">
        <v>2292</v>
      </c>
      <c r="F243" s="7723" t="str">
        <f t="shared" si="31"/>
        <v/>
      </c>
      <c r="G243" s="7723"/>
      <c r="H243" s="7723" t="str">
        <f t="shared" si="32"/>
        <v/>
      </c>
      <c r="I243" s="7719">
        <v>35.0</v>
      </c>
      <c r="J243" s="7719">
        <v>20.0</v>
      </c>
      <c r="K243" s="7719">
        <v>65.0</v>
      </c>
      <c r="L243" s="7719">
        <v>40.0</v>
      </c>
      <c r="M243" s="7719">
        <v>65.0</v>
      </c>
      <c r="N243" s="7721">
        <v>20.0</v>
      </c>
      <c r="O243" s="7701"/>
      <c r="P243" s="7734">
        <v>222.0</v>
      </c>
      <c r="Q243" s="7735" t="str">
        <f t="shared" si="34"/>
        <v/>
      </c>
      <c r="R243" s="7704"/>
      <c r="S243" s="7705"/>
    </row>
    <row r="244" ht="18.75" customHeight="1">
      <c r="A244" s="7696"/>
      <c r="B244" s="7712" t="s">
        <v>1417</v>
      </c>
      <c r="C244" s="7713" t="s">
        <v>2613</v>
      </c>
      <c r="D244" s="7714"/>
      <c r="E244" s="7713" t="s">
        <v>2292</v>
      </c>
      <c r="F244" s="7713" t="str">
        <f t="shared" si="31"/>
        <v/>
      </c>
      <c r="G244" s="7713" t="s">
        <v>2224</v>
      </c>
      <c r="H244" s="7713" t="str">
        <f t="shared" si="32"/>
        <v/>
      </c>
      <c r="I244" s="7713">
        <v>55.0</v>
      </c>
      <c r="J244" s="7713">
        <v>40.0</v>
      </c>
      <c r="K244" s="7713">
        <v>85.0</v>
      </c>
      <c r="L244" s="7713">
        <v>80.0</v>
      </c>
      <c r="M244" s="7713">
        <v>105.0</v>
      </c>
      <c r="N244" s="7715">
        <v>40.0</v>
      </c>
      <c r="O244" s="7701"/>
      <c r="P244" s="7734">
        <v>223.0</v>
      </c>
      <c r="Q244" s="7735" t="str">
        <f t="shared" si="34"/>
        <v/>
      </c>
      <c r="R244" s="7704"/>
      <c r="S244" s="7705"/>
    </row>
    <row r="245" ht="18.75" customHeight="1">
      <c r="A245" s="7696"/>
      <c r="B245" s="7718" t="s">
        <v>2614</v>
      </c>
      <c r="C245" s="7719" t="s">
        <v>2615</v>
      </c>
      <c r="D245" s="7720"/>
      <c r="E245" s="7723" t="s">
        <v>669</v>
      </c>
      <c r="F245" s="7723" t="str">
        <f t="shared" si="31"/>
        <v/>
      </c>
      <c r="G245" s="7723" t="s">
        <v>2224</v>
      </c>
      <c r="H245" s="7723" t="str">
        <f t="shared" si="32"/>
        <v/>
      </c>
      <c r="I245" s="7719">
        <v>40.0</v>
      </c>
      <c r="J245" s="7719">
        <v>50.0</v>
      </c>
      <c r="K245" s="7719">
        <v>45.0</v>
      </c>
      <c r="L245" s="7719">
        <v>70.0</v>
      </c>
      <c r="M245" s="7719">
        <v>45.0</v>
      </c>
      <c r="N245" s="7721">
        <v>70.0</v>
      </c>
      <c r="O245" s="7701"/>
      <c r="P245" s="7734">
        <v>224.0</v>
      </c>
      <c r="Q245" s="7735" t="str">
        <f t="shared" si="34"/>
        <v/>
      </c>
      <c r="R245" s="7704"/>
      <c r="S245" s="7705"/>
    </row>
    <row r="246" ht="18.75" customHeight="1">
      <c r="A246" s="7696"/>
      <c r="B246" s="7712" t="s">
        <v>2616</v>
      </c>
      <c r="C246" s="7713" t="s">
        <v>2617</v>
      </c>
      <c r="D246" s="7714"/>
      <c r="E246" s="7713" t="s">
        <v>669</v>
      </c>
      <c r="F246" s="7713" t="str">
        <f t="shared" si="31"/>
        <v/>
      </c>
      <c r="G246" s="7713" t="s">
        <v>2224</v>
      </c>
      <c r="H246" s="7713" t="str">
        <f t="shared" si="32"/>
        <v/>
      </c>
      <c r="I246" s="7713">
        <v>65.0</v>
      </c>
      <c r="J246" s="7713">
        <v>75.0</v>
      </c>
      <c r="K246" s="7713">
        <v>70.0</v>
      </c>
      <c r="L246" s="7713">
        <v>105.0</v>
      </c>
      <c r="M246" s="7713">
        <v>70.0</v>
      </c>
      <c r="N246" s="7715">
        <v>105.0</v>
      </c>
      <c r="O246" s="7701"/>
      <c r="P246" s="7734">
        <v>225.0</v>
      </c>
      <c r="Q246" s="7735" t="str">
        <f t="shared" ref="Q246:Q276" si="35">IMAGE("https://i.ibb.co/PW6QNPC/Cyan225-250.png",3)</f>
        <v/>
      </c>
      <c r="R246" s="7704"/>
      <c r="S246" s="7705"/>
    </row>
    <row r="247" ht="18.75" customHeight="1">
      <c r="A247" s="7696"/>
      <c r="B247" s="7718" t="s">
        <v>2618</v>
      </c>
      <c r="C247" s="7719" t="s">
        <v>2619</v>
      </c>
      <c r="D247" s="7720"/>
      <c r="E247" s="7723" t="s">
        <v>2283</v>
      </c>
      <c r="F247" s="7723" t="str">
        <f t="shared" si="31"/>
        <v/>
      </c>
      <c r="G247" s="7723"/>
      <c r="H247" s="7723" t="str">
        <f t="shared" si="32"/>
        <v/>
      </c>
      <c r="I247" s="7719">
        <v>55.0</v>
      </c>
      <c r="J247" s="7719">
        <v>40.0</v>
      </c>
      <c r="K247" s="7719">
        <v>40.0</v>
      </c>
      <c r="L247" s="7719">
        <v>65.0</v>
      </c>
      <c r="M247" s="7719">
        <v>45.0</v>
      </c>
      <c r="N247" s="7721">
        <v>35.0</v>
      </c>
      <c r="O247" s="7701"/>
      <c r="P247" s="7734">
        <v>226.0</v>
      </c>
      <c r="Q247" s="7735" t="str">
        <f t="shared" si="35"/>
        <v/>
      </c>
      <c r="R247" s="7704"/>
      <c r="S247" s="7705"/>
    </row>
    <row r="248" ht="18.75" customHeight="1">
      <c r="A248" s="7696"/>
      <c r="B248" s="7712" t="s">
        <v>2620</v>
      </c>
      <c r="C248" s="7713" t="s">
        <v>2621</v>
      </c>
      <c r="D248" s="7714"/>
      <c r="E248" s="7713" t="s">
        <v>2283</v>
      </c>
      <c r="F248" s="7713" t="str">
        <f t="shared" si="31"/>
        <v/>
      </c>
      <c r="G248" s="7713"/>
      <c r="H248" s="7713" t="str">
        <f t="shared" si="32"/>
        <v/>
      </c>
      <c r="I248" s="7713">
        <v>70.0</v>
      </c>
      <c r="J248" s="7713">
        <v>55.0</v>
      </c>
      <c r="K248" s="7713">
        <v>55.0</v>
      </c>
      <c r="L248" s="7713">
        <v>80.0</v>
      </c>
      <c r="M248" s="7713">
        <v>60.0</v>
      </c>
      <c r="N248" s="7715">
        <v>45.0</v>
      </c>
      <c r="O248" s="7701"/>
      <c r="P248" s="7734">
        <v>227.0</v>
      </c>
      <c r="Q248" s="7735" t="str">
        <f t="shared" si="35"/>
        <v/>
      </c>
      <c r="R248" s="7704"/>
      <c r="S248" s="7705"/>
    </row>
    <row r="249" ht="18.75" customHeight="1">
      <c r="A249" s="7696"/>
      <c r="B249" s="7718" t="s">
        <v>2622</v>
      </c>
      <c r="C249" s="7719" t="s">
        <v>2623</v>
      </c>
      <c r="D249" s="7720"/>
      <c r="E249" s="7719" t="s">
        <v>2283</v>
      </c>
      <c r="F249" s="7719" t="str">
        <f t="shared" si="31"/>
        <v/>
      </c>
      <c r="G249" s="7719"/>
      <c r="H249" s="7719" t="str">
        <f t="shared" si="32"/>
        <v/>
      </c>
      <c r="I249" s="7719">
        <v>90.0</v>
      </c>
      <c r="J249" s="7719">
        <v>75.0</v>
      </c>
      <c r="K249" s="7719">
        <v>85.0</v>
      </c>
      <c r="L249" s="7719">
        <v>115.0</v>
      </c>
      <c r="M249" s="7719">
        <v>90.0</v>
      </c>
      <c r="N249" s="7721">
        <v>55.0</v>
      </c>
      <c r="O249" s="7701"/>
      <c r="P249" s="7734">
        <v>228.0</v>
      </c>
      <c r="Q249" s="7735" t="str">
        <f t="shared" si="35"/>
        <v/>
      </c>
      <c r="R249" s="7704"/>
      <c r="S249" s="7705"/>
    </row>
    <row r="250" ht="18.75" customHeight="1">
      <c r="A250" s="7696"/>
      <c r="B250" s="7712" t="s">
        <v>563</v>
      </c>
      <c r="C250" s="7722" t="s">
        <v>2624</v>
      </c>
      <c r="D250" s="7714"/>
      <c r="E250" s="7713" t="s">
        <v>2283</v>
      </c>
      <c r="F250" s="7713" t="str">
        <f t="shared" si="31"/>
        <v/>
      </c>
      <c r="G250" s="7713" t="s">
        <v>2227</v>
      </c>
      <c r="H250" s="7713" t="str">
        <f t="shared" si="32"/>
        <v/>
      </c>
      <c r="I250" s="7713">
        <v>90.0</v>
      </c>
      <c r="J250" s="7713">
        <v>95.0</v>
      </c>
      <c r="K250" s="7713">
        <v>105.0</v>
      </c>
      <c r="L250" s="7713">
        <v>165.0</v>
      </c>
      <c r="M250" s="7713">
        <v>110.0</v>
      </c>
      <c r="N250" s="7715">
        <v>45.0</v>
      </c>
      <c r="O250" s="7701"/>
      <c r="P250" s="7734">
        <v>229.0</v>
      </c>
      <c r="Q250" s="7735" t="str">
        <f t="shared" si="35"/>
        <v/>
      </c>
      <c r="R250" s="7704"/>
      <c r="S250" s="7705"/>
    </row>
    <row r="251" ht="18.75" customHeight="1">
      <c r="A251" s="7696"/>
      <c r="B251" s="7718" t="s">
        <v>254</v>
      </c>
      <c r="C251" s="7719" t="s">
        <v>2625</v>
      </c>
      <c r="D251" s="7720"/>
      <c r="E251" s="7719" t="s">
        <v>2209</v>
      </c>
      <c r="F251" s="7719" t="str">
        <f t="shared" si="31"/>
        <v/>
      </c>
      <c r="G251" s="7719" t="s">
        <v>2292</v>
      </c>
      <c r="H251" s="7719" t="str">
        <f t="shared" si="32"/>
        <v/>
      </c>
      <c r="I251" s="7719">
        <v>75.0</v>
      </c>
      <c r="J251" s="7719">
        <v>80.0</v>
      </c>
      <c r="K251" s="7719">
        <v>95.0</v>
      </c>
      <c r="L251" s="7719">
        <v>90.0</v>
      </c>
      <c r="M251" s="7719">
        <v>100.0</v>
      </c>
      <c r="N251" s="7721">
        <v>50.0</v>
      </c>
      <c r="O251" s="7701"/>
      <c r="P251" s="7734">
        <v>230.0</v>
      </c>
      <c r="Q251" s="7735" t="str">
        <f t="shared" si="35"/>
        <v/>
      </c>
      <c r="R251" s="7704"/>
      <c r="S251" s="7705"/>
    </row>
    <row r="252" ht="18.75" customHeight="1">
      <c r="A252" s="7696"/>
      <c r="B252" s="7712" t="s">
        <v>2626</v>
      </c>
      <c r="C252" s="7713" t="s">
        <v>2627</v>
      </c>
      <c r="D252" s="7714"/>
      <c r="E252" s="7713" t="s">
        <v>2232</v>
      </c>
      <c r="F252" s="7713" t="str">
        <f t="shared" si="31"/>
        <v/>
      </c>
      <c r="G252" s="7713" t="s">
        <v>2292</v>
      </c>
      <c r="H252" s="7713" t="str">
        <f t="shared" si="32"/>
        <v/>
      </c>
      <c r="I252" s="7713">
        <v>70.0</v>
      </c>
      <c r="J252" s="7713">
        <v>20.0</v>
      </c>
      <c r="K252" s="7713">
        <v>50.0</v>
      </c>
      <c r="L252" s="7713">
        <v>20.0</v>
      </c>
      <c r="M252" s="7713">
        <v>50.0</v>
      </c>
      <c r="N252" s="7715">
        <v>40.0</v>
      </c>
      <c r="O252" s="7701"/>
      <c r="P252" s="7734">
        <v>231.0</v>
      </c>
      <c r="Q252" s="7735" t="str">
        <f t="shared" si="35"/>
        <v/>
      </c>
      <c r="R252" s="7704"/>
      <c r="S252" s="7705"/>
    </row>
    <row r="253" ht="18.75" customHeight="1">
      <c r="A253" s="7696"/>
      <c r="B253" s="7718" t="s">
        <v>2041</v>
      </c>
      <c r="C253" s="7719" t="s">
        <v>2628</v>
      </c>
      <c r="D253" s="7720"/>
      <c r="E253" s="7723" t="s">
        <v>2232</v>
      </c>
      <c r="F253" s="7723" t="str">
        <f t="shared" si="31"/>
        <v/>
      </c>
      <c r="G253" s="7723" t="s">
        <v>2292</v>
      </c>
      <c r="H253" s="7723" t="str">
        <f t="shared" si="32"/>
        <v/>
      </c>
      <c r="I253" s="7719">
        <v>100.0</v>
      </c>
      <c r="J253" s="7719">
        <v>50.0</v>
      </c>
      <c r="K253" s="7719">
        <v>80.0</v>
      </c>
      <c r="L253" s="7719">
        <v>60.0</v>
      </c>
      <c r="M253" s="7719">
        <v>80.0</v>
      </c>
      <c r="N253" s="7721">
        <v>50.0</v>
      </c>
      <c r="O253" s="7701"/>
      <c r="P253" s="7734">
        <v>232.0</v>
      </c>
      <c r="Q253" s="7735" t="str">
        <f t="shared" si="35"/>
        <v/>
      </c>
      <c r="R253" s="7704"/>
      <c r="S253" s="7705"/>
    </row>
    <row r="254" ht="18.75" customHeight="1">
      <c r="A254" s="7696"/>
      <c r="B254" s="7712" t="s">
        <v>137</v>
      </c>
      <c r="C254" s="7713" t="s">
        <v>2629</v>
      </c>
      <c r="D254" s="7714"/>
      <c r="E254" s="7722" t="s">
        <v>2370</v>
      </c>
      <c r="F254" s="7722" t="str">
        <f t="shared" si="31"/>
        <v/>
      </c>
      <c r="G254" s="7722"/>
      <c r="H254" s="7722" t="str">
        <f t="shared" si="32"/>
        <v/>
      </c>
      <c r="I254" s="7713">
        <v>90.0</v>
      </c>
      <c r="J254" s="7713">
        <v>100.0</v>
      </c>
      <c r="K254" s="7713">
        <v>115.0</v>
      </c>
      <c r="L254" s="7713">
        <v>30.0</v>
      </c>
      <c r="M254" s="7713">
        <v>65.0</v>
      </c>
      <c r="N254" s="7715">
        <v>30.0</v>
      </c>
      <c r="O254" s="7701"/>
      <c r="P254" s="7734">
        <v>233.0</v>
      </c>
      <c r="Q254" s="7735" t="str">
        <f t="shared" si="35"/>
        <v/>
      </c>
      <c r="R254" s="7704"/>
      <c r="S254" s="7705"/>
    </row>
    <row r="255" ht="18.75" customHeight="1">
      <c r="A255" s="7696"/>
      <c r="B255" s="7718" t="s">
        <v>523</v>
      </c>
      <c r="C255" s="7719" t="s">
        <v>2630</v>
      </c>
      <c r="D255" s="7720"/>
      <c r="E255" s="7723" t="s">
        <v>2232</v>
      </c>
      <c r="F255" s="7723" t="str">
        <f t="shared" si="31"/>
        <v/>
      </c>
      <c r="G255" s="7723"/>
      <c r="H255" s="7723" t="str">
        <f t="shared" si="32"/>
        <v/>
      </c>
      <c r="I255" s="7719">
        <v>90.0</v>
      </c>
      <c r="J255" s="7719">
        <v>75.0</v>
      </c>
      <c r="K255" s="7719">
        <v>75.0</v>
      </c>
      <c r="L255" s="7719">
        <v>90.0</v>
      </c>
      <c r="M255" s="7719">
        <v>100.0</v>
      </c>
      <c r="N255" s="7721">
        <v>70.0</v>
      </c>
      <c r="O255" s="7701"/>
      <c r="P255" s="7734">
        <v>234.0</v>
      </c>
      <c r="Q255" s="7735" t="str">
        <f t="shared" si="35"/>
        <v/>
      </c>
      <c r="R255" s="7704"/>
      <c r="S255" s="7705"/>
    </row>
    <row r="256" ht="18.75" customHeight="1">
      <c r="A256" s="7696"/>
      <c r="B256" s="7712" t="s">
        <v>2631</v>
      </c>
      <c r="C256" s="7713" t="s">
        <v>2632</v>
      </c>
      <c r="D256" s="7714"/>
      <c r="E256" s="7722" t="s">
        <v>2209</v>
      </c>
      <c r="F256" s="7722" t="str">
        <f t="shared" si="31"/>
        <v/>
      </c>
      <c r="G256" s="7722" t="s">
        <v>2224</v>
      </c>
      <c r="H256" s="7722" t="str">
        <f t="shared" si="32"/>
        <v/>
      </c>
      <c r="I256" s="7713">
        <v>35.0</v>
      </c>
      <c r="J256" s="7713">
        <v>35.0</v>
      </c>
      <c r="K256" s="7713">
        <v>40.0</v>
      </c>
      <c r="L256" s="7713">
        <v>35.0</v>
      </c>
      <c r="M256" s="7713">
        <v>55.0</v>
      </c>
      <c r="N256" s="7715">
        <v>50.0</v>
      </c>
      <c r="O256" s="7701"/>
      <c r="P256" s="7734">
        <v>235.0</v>
      </c>
      <c r="Q256" s="7735" t="str">
        <f t="shared" si="35"/>
        <v/>
      </c>
      <c r="R256" s="7704"/>
      <c r="S256" s="7705"/>
    </row>
    <row r="257" ht="18.75" customHeight="1">
      <c r="A257" s="7696"/>
      <c r="B257" s="7718" t="s">
        <v>2633</v>
      </c>
      <c r="C257" s="7719" t="s">
        <v>2634</v>
      </c>
      <c r="D257" s="7720"/>
      <c r="E257" s="7723" t="s">
        <v>2209</v>
      </c>
      <c r="F257" s="7723" t="str">
        <f t="shared" si="31"/>
        <v/>
      </c>
      <c r="G257" s="7723" t="s">
        <v>2224</v>
      </c>
      <c r="H257" s="7723" t="str">
        <f t="shared" si="32"/>
        <v/>
      </c>
      <c r="I257" s="7719">
        <v>55.0</v>
      </c>
      <c r="J257" s="7719">
        <v>45.0</v>
      </c>
      <c r="K257" s="7719">
        <v>50.0</v>
      </c>
      <c r="L257" s="7719">
        <v>45.0</v>
      </c>
      <c r="M257" s="7719">
        <v>65.0</v>
      </c>
      <c r="N257" s="7721">
        <v>80.0</v>
      </c>
      <c r="O257" s="7701"/>
      <c r="P257" s="7734">
        <v>236.0</v>
      </c>
      <c r="Q257" s="7735" t="str">
        <f t="shared" si="35"/>
        <v/>
      </c>
      <c r="R257" s="7704"/>
      <c r="S257" s="7705"/>
    </row>
    <row r="258" ht="18.75" customHeight="1">
      <c r="A258" s="7696"/>
      <c r="B258" s="7712" t="s">
        <v>1046</v>
      </c>
      <c r="C258" s="7713" t="s">
        <v>2635</v>
      </c>
      <c r="D258" s="7714"/>
      <c r="E258" s="7722" t="s">
        <v>2209</v>
      </c>
      <c r="F258" s="7722" t="str">
        <f t="shared" si="31"/>
        <v/>
      </c>
      <c r="G258" s="7722" t="s">
        <v>2224</v>
      </c>
      <c r="H258" s="7722" t="str">
        <f t="shared" si="32"/>
        <v/>
      </c>
      <c r="I258" s="7713">
        <v>75.0</v>
      </c>
      <c r="J258" s="7713">
        <v>85.0</v>
      </c>
      <c r="K258" s="7713">
        <v>70.0</v>
      </c>
      <c r="L258" s="7713">
        <v>35.0</v>
      </c>
      <c r="M258" s="7713">
        <v>95.0</v>
      </c>
      <c r="N258" s="7715">
        <v>110.0</v>
      </c>
      <c r="O258" s="7701"/>
      <c r="P258" s="7734">
        <v>237.0</v>
      </c>
      <c r="Q258" s="7735" t="str">
        <f t="shared" si="35"/>
        <v/>
      </c>
      <c r="R258" s="7704"/>
      <c r="S258" s="7705"/>
    </row>
    <row r="259" ht="18.75" customHeight="1">
      <c r="A259" s="7696"/>
      <c r="B259" s="7718" t="s">
        <v>2636</v>
      </c>
      <c r="C259" s="7719" t="s">
        <v>2637</v>
      </c>
      <c r="D259" s="7720"/>
      <c r="E259" s="7723" t="s">
        <v>2262</v>
      </c>
      <c r="F259" s="7723" t="str">
        <f t="shared" si="31"/>
        <v/>
      </c>
      <c r="G259" s="7723"/>
      <c r="H259" s="7723" t="str">
        <f t="shared" si="32"/>
        <v/>
      </c>
      <c r="I259" s="7719">
        <v>55.0</v>
      </c>
      <c r="J259" s="7719">
        <v>70.0</v>
      </c>
      <c r="K259" s="7719">
        <v>55.0</v>
      </c>
      <c r="L259" s="7719">
        <v>40.0</v>
      </c>
      <c r="M259" s="7719">
        <v>55.0</v>
      </c>
      <c r="N259" s="7721">
        <v>85.0</v>
      </c>
      <c r="O259" s="7701"/>
      <c r="P259" s="7734">
        <v>238.0</v>
      </c>
      <c r="Q259" s="7735" t="str">
        <f t="shared" si="35"/>
        <v/>
      </c>
      <c r="R259" s="7704"/>
      <c r="S259" s="7705"/>
    </row>
    <row r="260" ht="18.75" customHeight="1">
      <c r="A260" s="7696"/>
      <c r="B260" s="7712" t="s">
        <v>2638</v>
      </c>
      <c r="C260" s="7713" t="s">
        <v>2639</v>
      </c>
      <c r="D260" s="7714"/>
      <c r="E260" s="7713" t="s">
        <v>2209</v>
      </c>
      <c r="F260" s="7713" t="str">
        <f t="shared" si="31"/>
        <v/>
      </c>
      <c r="G260" s="7713"/>
      <c r="H260" s="7713" t="str">
        <f t="shared" si="32"/>
        <v/>
      </c>
      <c r="I260" s="7713">
        <v>30.0</v>
      </c>
      <c r="J260" s="7713">
        <v>30.0</v>
      </c>
      <c r="K260" s="7713">
        <v>30.0</v>
      </c>
      <c r="L260" s="7713">
        <v>30.0</v>
      </c>
      <c r="M260" s="7713">
        <v>30.0</v>
      </c>
      <c r="N260" s="7715">
        <v>30.0</v>
      </c>
      <c r="O260" s="7701"/>
      <c r="P260" s="7734">
        <v>239.0</v>
      </c>
      <c r="Q260" s="7735" t="str">
        <f t="shared" si="35"/>
        <v/>
      </c>
      <c r="R260" s="7704"/>
      <c r="S260" s="7705"/>
    </row>
    <row r="261" ht="18.75" customHeight="1">
      <c r="A261" s="7696"/>
      <c r="B261" s="7718" t="s">
        <v>1109</v>
      </c>
      <c r="C261" s="7719" t="s">
        <v>2640</v>
      </c>
      <c r="D261" s="7720"/>
      <c r="E261" s="7723" t="s">
        <v>2209</v>
      </c>
      <c r="F261" s="7723" t="str">
        <f t="shared" si="31"/>
        <v/>
      </c>
      <c r="G261" s="7723"/>
      <c r="H261" s="7723" t="str">
        <f t="shared" si="32"/>
        <v/>
      </c>
      <c r="I261" s="7719">
        <v>95.0</v>
      </c>
      <c r="J261" s="7719">
        <v>75.0</v>
      </c>
      <c r="K261" s="7719">
        <v>55.0</v>
      </c>
      <c r="L261" s="7719">
        <v>135.0</v>
      </c>
      <c r="M261" s="7719">
        <v>85.0</v>
      </c>
      <c r="N261" s="7721">
        <v>55.0</v>
      </c>
      <c r="O261" s="7701"/>
      <c r="P261" s="7734">
        <v>240.0</v>
      </c>
      <c r="Q261" s="7735" t="str">
        <f t="shared" si="35"/>
        <v/>
      </c>
      <c r="R261" s="7704"/>
      <c r="S261" s="7705"/>
    </row>
    <row r="262" ht="18.75" customHeight="1">
      <c r="A262" s="7696"/>
      <c r="B262" s="7712" t="s">
        <v>793</v>
      </c>
      <c r="C262" s="7713" t="s">
        <v>2641</v>
      </c>
      <c r="D262" s="7714"/>
      <c r="E262" s="7713" t="s">
        <v>2243</v>
      </c>
      <c r="F262" s="7713" t="str">
        <f t="shared" si="31"/>
        <v/>
      </c>
      <c r="G262" s="7713" t="s">
        <v>2224</v>
      </c>
      <c r="H262" s="7713" t="str">
        <f t="shared" si="32"/>
        <v/>
      </c>
      <c r="I262" s="7713">
        <v>65.0</v>
      </c>
      <c r="J262" s="7713">
        <v>65.0</v>
      </c>
      <c r="K262" s="7713">
        <v>45.0</v>
      </c>
      <c r="L262" s="7713">
        <v>75.0</v>
      </c>
      <c r="M262" s="7713">
        <v>45.0</v>
      </c>
      <c r="N262" s="7715">
        <v>95.0</v>
      </c>
      <c r="O262" s="7701"/>
      <c r="P262" s="7734">
        <v>241.0</v>
      </c>
      <c r="Q262" s="7735" t="str">
        <f t="shared" si="35"/>
        <v/>
      </c>
      <c r="R262" s="7704"/>
      <c r="S262" s="7705"/>
    </row>
    <row r="263" ht="18.75" customHeight="1">
      <c r="A263" s="7696"/>
      <c r="B263" s="7718" t="s">
        <v>2642</v>
      </c>
      <c r="C263" s="7719" t="s">
        <v>2643</v>
      </c>
      <c r="D263" s="7720"/>
      <c r="E263" s="7723" t="s">
        <v>2232</v>
      </c>
      <c r="F263" s="7723" t="str">
        <f t="shared" si="31"/>
        <v/>
      </c>
      <c r="G263" s="7723" t="s">
        <v>2304</v>
      </c>
      <c r="H263" s="7723" t="str">
        <f t="shared" si="32"/>
        <v/>
      </c>
      <c r="I263" s="7719">
        <v>55.0</v>
      </c>
      <c r="J263" s="7719">
        <v>45.0</v>
      </c>
      <c r="K263" s="7719">
        <v>45.0</v>
      </c>
      <c r="L263" s="7719">
        <v>25.0</v>
      </c>
      <c r="M263" s="7719">
        <v>25.0</v>
      </c>
      <c r="N263" s="7721">
        <v>15.0</v>
      </c>
      <c r="O263" s="7701"/>
      <c r="P263" s="7734">
        <v>242.0</v>
      </c>
      <c r="Q263" s="7735" t="str">
        <f t="shared" si="35"/>
        <v/>
      </c>
      <c r="R263" s="7704"/>
      <c r="S263" s="7705"/>
    </row>
    <row r="264" ht="18.75" customHeight="1">
      <c r="A264" s="7696"/>
      <c r="B264" s="7712" t="s">
        <v>2644</v>
      </c>
      <c r="C264" s="7722" t="s">
        <v>2645</v>
      </c>
      <c r="D264" s="7714"/>
      <c r="E264" s="7713" t="s">
        <v>2210</v>
      </c>
      <c r="F264" s="7713" t="str">
        <f t="shared" si="31"/>
        <v/>
      </c>
      <c r="G264" s="7713" t="s">
        <v>2304</v>
      </c>
      <c r="H264" s="7713" t="str">
        <f t="shared" si="32"/>
        <v/>
      </c>
      <c r="I264" s="7713">
        <v>55.0</v>
      </c>
      <c r="J264" s="7713">
        <v>45.0</v>
      </c>
      <c r="K264" s="7713">
        <v>45.0</v>
      </c>
      <c r="L264" s="7713">
        <v>25.0</v>
      </c>
      <c r="M264" s="7713">
        <v>25.0</v>
      </c>
      <c r="N264" s="7715">
        <v>15.0</v>
      </c>
      <c r="O264" s="7701"/>
      <c r="P264" s="7734">
        <v>243.0</v>
      </c>
      <c r="Q264" s="7735" t="str">
        <f t="shared" si="35"/>
        <v/>
      </c>
      <c r="R264" s="7704"/>
      <c r="S264" s="7705"/>
    </row>
    <row r="265" ht="18.75" customHeight="1">
      <c r="A265" s="7696"/>
      <c r="B265" s="7718" t="s">
        <v>2646</v>
      </c>
      <c r="C265" s="7719" t="s">
        <v>2647</v>
      </c>
      <c r="D265" s="7720"/>
      <c r="E265" s="7723" t="s">
        <v>2232</v>
      </c>
      <c r="F265" s="7723" t="str">
        <f t="shared" si="31"/>
        <v/>
      </c>
      <c r="G265" s="7723" t="s">
        <v>2304</v>
      </c>
      <c r="H265" s="7723" t="str">
        <f t="shared" si="32"/>
        <v/>
      </c>
      <c r="I265" s="7719">
        <v>100.0</v>
      </c>
      <c r="J265" s="7719">
        <v>85.0</v>
      </c>
      <c r="K265" s="7719">
        <v>90.0</v>
      </c>
      <c r="L265" s="7719">
        <v>65.0</v>
      </c>
      <c r="M265" s="7719">
        <v>65.0</v>
      </c>
      <c r="N265" s="7721">
        <v>35.0</v>
      </c>
      <c r="O265" s="7701"/>
      <c r="P265" s="7734">
        <v>244.0</v>
      </c>
      <c r="Q265" s="7735" t="str">
        <f t="shared" si="35"/>
        <v/>
      </c>
      <c r="R265" s="7704"/>
      <c r="S265" s="7705"/>
    </row>
    <row r="266" ht="18.75" customHeight="1">
      <c r="A266" s="7696"/>
      <c r="B266" s="7712" t="s">
        <v>1317</v>
      </c>
      <c r="C266" s="7713" t="s">
        <v>2648</v>
      </c>
      <c r="D266" s="7714"/>
      <c r="E266" s="7722" t="s">
        <v>669</v>
      </c>
      <c r="F266" s="7722" t="str">
        <f t="shared" si="31"/>
        <v/>
      </c>
      <c r="G266" s="7722"/>
      <c r="H266" s="7722" t="str">
        <f t="shared" si="32"/>
        <v/>
      </c>
      <c r="I266" s="7713">
        <v>65.0</v>
      </c>
      <c r="J266" s="7713">
        <v>65.0</v>
      </c>
      <c r="K266" s="7713">
        <v>60.0</v>
      </c>
      <c r="L266" s="7713">
        <v>130.0</v>
      </c>
      <c r="M266" s="7713">
        <v>95.0</v>
      </c>
      <c r="N266" s="7715">
        <v>110.0</v>
      </c>
      <c r="O266" s="7701"/>
      <c r="P266" s="7734">
        <v>245.0</v>
      </c>
      <c r="Q266" s="7735" t="str">
        <f t="shared" si="35"/>
        <v/>
      </c>
      <c r="R266" s="7704"/>
      <c r="S266" s="7705"/>
    </row>
    <row r="267" ht="18.75" customHeight="1">
      <c r="A267" s="7696"/>
      <c r="B267" s="7718" t="s">
        <v>2649</v>
      </c>
      <c r="C267" s="7719" t="s">
        <v>2650</v>
      </c>
      <c r="D267" s="7720"/>
      <c r="E267" s="7719" t="s">
        <v>2272</v>
      </c>
      <c r="F267" s="7719" t="str">
        <f t="shared" si="31"/>
        <v/>
      </c>
      <c r="G267" s="7719"/>
      <c r="H267" s="7719" t="str">
        <f t="shared" si="32"/>
        <v/>
      </c>
      <c r="I267" s="7719">
        <v>95.0</v>
      </c>
      <c r="J267" s="7719">
        <v>65.0</v>
      </c>
      <c r="K267" s="7719">
        <v>110.0</v>
      </c>
      <c r="L267" s="7719">
        <v>60.0</v>
      </c>
      <c r="M267" s="7719">
        <v>130.0</v>
      </c>
      <c r="N267" s="7721">
        <v>65.0</v>
      </c>
      <c r="O267" s="7701"/>
      <c r="P267" s="7734">
        <v>246.0</v>
      </c>
      <c r="Q267" s="7735" t="str">
        <f t="shared" si="35"/>
        <v/>
      </c>
      <c r="R267" s="7704"/>
      <c r="S267" s="7705"/>
    </row>
    <row r="268" ht="18.75" customHeight="1">
      <c r="A268" s="7696"/>
      <c r="B268" s="7712" t="s">
        <v>2651</v>
      </c>
      <c r="C268" s="7713" t="s">
        <v>2652</v>
      </c>
      <c r="D268" s="7714"/>
      <c r="E268" s="7713" t="s">
        <v>2272</v>
      </c>
      <c r="F268" s="7713" t="str">
        <f t="shared" si="31"/>
        <v/>
      </c>
      <c r="G268" s="7713" t="s">
        <v>2224</v>
      </c>
      <c r="H268" s="7713" t="str">
        <f t="shared" si="32"/>
        <v/>
      </c>
      <c r="I268" s="7713">
        <v>60.0</v>
      </c>
      <c r="J268" s="7713">
        <v>85.0</v>
      </c>
      <c r="K268" s="7713">
        <v>42.0</v>
      </c>
      <c r="L268" s="7713">
        <v>85.0</v>
      </c>
      <c r="M268" s="7713">
        <v>42.0</v>
      </c>
      <c r="N268" s="7715">
        <v>91.0</v>
      </c>
      <c r="O268" s="7701"/>
      <c r="P268" s="7734">
        <v>247.0</v>
      </c>
      <c r="Q268" s="7735" t="str">
        <f t="shared" si="35"/>
        <v/>
      </c>
      <c r="R268" s="7704"/>
      <c r="S268" s="7705"/>
    </row>
    <row r="269" ht="18.75" customHeight="1">
      <c r="A269" s="7696"/>
      <c r="B269" s="7718" t="s">
        <v>2653</v>
      </c>
      <c r="C269" s="7719" t="s">
        <v>2654</v>
      </c>
      <c r="D269" s="7720"/>
      <c r="E269" s="7723" t="s">
        <v>2232</v>
      </c>
      <c r="F269" s="7723" t="str">
        <f t="shared" si="31"/>
        <v/>
      </c>
      <c r="G269" s="7723" t="s">
        <v>669</v>
      </c>
      <c r="H269" s="7723" t="str">
        <f t="shared" si="32"/>
        <v/>
      </c>
      <c r="I269" s="7719">
        <v>95.0</v>
      </c>
      <c r="J269" s="7719">
        <v>75.0</v>
      </c>
      <c r="K269" s="7719">
        <v>80.0</v>
      </c>
      <c r="L269" s="7719">
        <v>100.0</v>
      </c>
      <c r="M269" s="7719">
        <v>110.0</v>
      </c>
      <c r="N269" s="7721">
        <v>30.0</v>
      </c>
      <c r="O269" s="7701"/>
      <c r="P269" s="7734">
        <v>248.0</v>
      </c>
      <c r="Q269" s="7735" t="str">
        <f t="shared" si="35"/>
        <v/>
      </c>
      <c r="R269" s="7704"/>
      <c r="S269" s="7705"/>
    </row>
    <row r="270" ht="18.75" customHeight="1">
      <c r="A270" s="7696"/>
      <c r="B270" s="7712" t="s">
        <v>2655</v>
      </c>
      <c r="C270" s="7722" t="s">
        <v>2656</v>
      </c>
      <c r="D270" s="7714"/>
      <c r="E270" s="7713" t="s">
        <v>2210</v>
      </c>
      <c r="F270" s="7713" t="str">
        <f t="shared" si="31"/>
        <v/>
      </c>
      <c r="G270" s="7713" t="s">
        <v>669</v>
      </c>
      <c r="H270" s="7713" t="str">
        <f t="shared" si="32"/>
        <v/>
      </c>
      <c r="I270" s="7713">
        <v>95.0</v>
      </c>
      <c r="J270" s="7713">
        <v>65.0</v>
      </c>
      <c r="K270" s="7713">
        <v>80.0</v>
      </c>
      <c r="L270" s="7713">
        <v>110.0</v>
      </c>
      <c r="M270" s="7713">
        <v>110.0</v>
      </c>
      <c r="N270" s="7715">
        <v>30.0</v>
      </c>
      <c r="O270" s="7701"/>
      <c r="P270" s="7734">
        <v>249.0</v>
      </c>
      <c r="Q270" s="7735" t="str">
        <f t="shared" si="35"/>
        <v/>
      </c>
      <c r="R270" s="7704"/>
      <c r="S270" s="7705"/>
    </row>
    <row r="271" ht="18.75" customHeight="1">
      <c r="A271" s="7696"/>
      <c r="B271" s="7718" t="s">
        <v>1426</v>
      </c>
      <c r="C271" s="7719" t="s">
        <v>2657</v>
      </c>
      <c r="D271" s="7720"/>
      <c r="E271" s="7719" t="s">
        <v>2447</v>
      </c>
      <c r="F271" s="7719" t="str">
        <f t="shared" si="31"/>
        <v/>
      </c>
      <c r="G271" s="7719"/>
      <c r="H271" s="7719" t="str">
        <f t="shared" si="32"/>
        <v/>
      </c>
      <c r="I271" s="7719">
        <v>60.0</v>
      </c>
      <c r="J271" s="7719">
        <v>60.0</v>
      </c>
      <c r="K271" s="7719">
        <v>60.0</v>
      </c>
      <c r="L271" s="7719">
        <v>85.0</v>
      </c>
      <c r="M271" s="7719">
        <v>85.0</v>
      </c>
      <c r="N271" s="7721">
        <v>85.0</v>
      </c>
      <c r="O271" s="7701"/>
      <c r="P271" s="7734">
        <v>250.0</v>
      </c>
      <c r="Q271" s="7735" t="str">
        <f t="shared" si="35"/>
        <v/>
      </c>
      <c r="R271" s="7704"/>
      <c r="S271" s="7705"/>
    </row>
    <row r="272" ht="18.75" customHeight="1">
      <c r="A272" s="7696"/>
      <c r="B272" s="7712" t="s">
        <v>2658</v>
      </c>
      <c r="C272" s="7713" t="s">
        <v>2659</v>
      </c>
      <c r="D272" s="7714"/>
      <c r="E272" s="7713" t="s">
        <v>669</v>
      </c>
      <c r="F272" s="7713" t="str">
        <f t="shared" si="31"/>
        <v/>
      </c>
      <c r="G272" s="7713"/>
      <c r="H272" s="7713" t="str">
        <f t="shared" si="32"/>
        <v/>
      </c>
      <c r="I272" s="7713">
        <v>48.0</v>
      </c>
      <c r="J272" s="7722">
        <v>48.0</v>
      </c>
      <c r="K272" s="7713">
        <v>48.0</v>
      </c>
      <c r="L272" s="7722">
        <v>96.0</v>
      </c>
      <c r="M272" s="7713">
        <v>48.0</v>
      </c>
      <c r="N272" s="7724">
        <v>96.0</v>
      </c>
      <c r="O272" s="7701"/>
      <c r="P272" s="7734">
        <v>251.0</v>
      </c>
      <c r="Q272" s="7735" t="str">
        <f t="shared" si="35"/>
        <v/>
      </c>
      <c r="R272" s="7704"/>
      <c r="S272" s="7705"/>
    </row>
    <row r="273" ht="18.75" customHeight="1">
      <c r="A273" s="7696"/>
      <c r="B273" s="7718" t="s">
        <v>2660</v>
      </c>
      <c r="C273" s="7719" t="s">
        <v>2661</v>
      </c>
      <c r="D273" s="7720"/>
      <c r="E273" s="7719" t="s">
        <v>669</v>
      </c>
      <c r="F273" s="7719" t="str">
        <f t="shared" si="31"/>
        <v/>
      </c>
      <c r="G273" s="7719"/>
      <c r="H273" s="7719" t="str">
        <f t="shared" si="32"/>
        <v/>
      </c>
      <c r="I273" s="7719">
        <v>190.0</v>
      </c>
      <c r="J273" s="7719">
        <v>33.0</v>
      </c>
      <c r="K273" s="7719">
        <v>58.0</v>
      </c>
      <c r="L273" s="7719">
        <v>33.0</v>
      </c>
      <c r="M273" s="7719">
        <v>58.0</v>
      </c>
      <c r="N273" s="7721">
        <v>33.0</v>
      </c>
      <c r="O273" s="7701"/>
      <c r="P273" s="7734">
        <v>252.0</v>
      </c>
      <c r="Q273" s="7735" t="str">
        <f t="shared" si="35"/>
        <v/>
      </c>
      <c r="R273" s="7704"/>
      <c r="S273" s="7705"/>
    </row>
    <row r="274" ht="18.75" customHeight="1">
      <c r="A274" s="7696"/>
      <c r="B274" s="7712" t="s">
        <v>2662</v>
      </c>
      <c r="C274" s="7713" t="s">
        <v>2663</v>
      </c>
      <c r="D274" s="7714"/>
      <c r="E274" s="7713" t="s">
        <v>2262</v>
      </c>
      <c r="F274" s="7713" t="str">
        <f t="shared" si="31"/>
        <v/>
      </c>
      <c r="G274" s="7713" t="s">
        <v>669</v>
      </c>
      <c r="H274" s="7713" t="str">
        <f t="shared" si="32"/>
        <v/>
      </c>
      <c r="I274" s="7713">
        <v>70.0</v>
      </c>
      <c r="J274" s="7713">
        <v>80.0</v>
      </c>
      <c r="K274" s="7713">
        <v>65.0</v>
      </c>
      <c r="L274" s="7713">
        <v>90.0</v>
      </c>
      <c r="M274" s="7713">
        <v>65.0</v>
      </c>
      <c r="N274" s="7715">
        <v>85.0</v>
      </c>
      <c r="O274" s="7701"/>
      <c r="P274" s="7734">
        <v>253.0</v>
      </c>
      <c r="Q274" s="7735" t="str">
        <f t="shared" si="35"/>
        <v/>
      </c>
      <c r="R274" s="7704"/>
      <c r="S274" s="7705"/>
    </row>
    <row r="275" ht="18.75" customHeight="1">
      <c r="A275" s="7696"/>
      <c r="B275" s="7718" t="s">
        <v>2664</v>
      </c>
      <c r="C275" s="7719" t="s">
        <v>2665</v>
      </c>
      <c r="D275" s="7720"/>
      <c r="E275" s="7723" t="s">
        <v>2243</v>
      </c>
      <c r="F275" s="7723" t="str">
        <f t="shared" si="31"/>
        <v/>
      </c>
      <c r="G275" s="7723"/>
      <c r="H275" s="7723" t="str">
        <f t="shared" si="32"/>
        <v/>
      </c>
      <c r="I275" s="7719">
        <v>50.0</v>
      </c>
      <c r="J275" s="7719">
        <v>65.0</v>
      </c>
      <c r="K275" s="7719">
        <v>90.0</v>
      </c>
      <c r="L275" s="7719">
        <v>35.0</v>
      </c>
      <c r="M275" s="7719">
        <v>35.0</v>
      </c>
      <c r="N275" s="7721">
        <v>15.0</v>
      </c>
      <c r="O275" s="7701"/>
      <c r="P275" s="7734">
        <v>254.0</v>
      </c>
      <c r="Q275" s="7735" t="str">
        <f t="shared" si="35"/>
        <v/>
      </c>
      <c r="R275" s="7704"/>
      <c r="S275" s="7705"/>
    </row>
    <row r="276" ht="18.75" customHeight="1">
      <c r="A276" s="7696"/>
      <c r="B276" s="7712" t="s">
        <v>2666</v>
      </c>
      <c r="C276" s="7713" t="s">
        <v>2667</v>
      </c>
      <c r="D276" s="7714"/>
      <c r="E276" s="7713" t="s">
        <v>2243</v>
      </c>
      <c r="F276" s="7713" t="str">
        <f t="shared" si="31"/>
        <v/>
      </c>
      <c r="G276" s="7713" t="s">
        <v>2286</v>
      </c>
      <c r="H276" s="7713" t="str">
        <f t="shared" si="32"/>
        <v/>
      </c>
      <c r="I276" s="7713">
        <v>75.0</v>
      </c>
      <c r="J276" s="7713">
        <v>90.0</v>
      </c>
      <c r="K276" s="7713">
        <v>140.0</v>
      </c>
      <c r="L276" s="7713">
        <v>60.0</v>
      </c>
      <c r="M276" s="7713">
        <v>60.0</v>
      </c>
      <c r="N276" s="7715">
        <v>40.0</v>
      </c>
      <c r="O276" s="7701"/>
      <c r="P276" s="7734">
        <v>255.0</v>
      </c>
      <c r="Q276" s="7735" t="str">
        <f t="shared" si="35"/>
        <v/>
      </c>
      <c r="R276" s="7704"/>
      <c r="S276" s="7705"/>
    </row>
    <row r="277" ht="18.75" customHeight="1">
      <c r="A277" s="7696"/>
      <c r="B277" s="7718" t="s">
        <v>2668</v>
      </c>
      <c r="C277" s="7719" t="s">
        <v>2669</v>
      </c>
      <c r="D277" s="7720"/>
      <c r="E277" s="7723" t="s">
        <v>2262</v>
      </c>
      <c r="F277" s="7723" t="str">
        <f t="shared" si="31"/>
        <v/>
      </c>
      <c r="G277" s="7723"/>
      <c r="H277" s="7723" t="str">
        <f t="shared" si="32"/>
        <v/>
      </c>
      <c r="I277" s="7719">
        <v>100.0</v>
      </c>
      <c r="J277" s="7719">
        <v>70.0</v>
      </c>
      <c r="K277" s="7719">
        <v>80.0</v>
      </c>
      <c r="L277" s="7719">
        <v>65.0</v>
      </c>
      <c r="M277" s="7719">
        <v>75.0</v>
      </c>
      <c r="N277" s="7721">
        <v>45.0</v>
      </c>
      <c r="O277" s="7701"/>
      <c r="P277" s="7734"/>
      <c r="Q277" s="7735"/>
      <c r="R277" s="7704"/>
      <c r="S277" s="7705"/>
    </row>
    <row r="278" ht="18.75" customHeight="1">
      <c r="A278" s="7696"/>
      <c r="B278" s="7712" t="s">
        <v>2670</v>
      </c>
      <c r="C278" s="7713" t="s">
        <v>2671</v>
      </c>
      <c r="D278" s="7714"/>
      <c r="E278" s="7713" t="s">
        <v>2304</v>
      </c>
      <c r="F278" s="7713" t="str">
        <f t="shared" si="31"/>
        <v/>
      </c>
      <c r="G278" s="7713" t="s">
        <v>2224</v>
      </c>
      <c r="H278" s="7713" t="str">
        <f t="shared" si="32"/>
        <v/>
      </c>
      <c r="I278" s="7713">
        <v>65.0</v>
      </c>
      <c r="J278" s="7713">
        <v>75.0</v>
      </c>
      <c r="K278" s="7713">
        <v>105.0</v>
      </c>
      <c r="L278" s="7713">
        <v>35.0</v>
      </c>
      <c r="M278" s="7713">
        <v>65.0</v>
      </c>
      <c r="N278" s="7715">
        <v>85.0</v>
      </c>
      <c r="O278" s="7701"/>
      <c r="P278" s="7734"/>
      <c r="Q278" s="7735"/>
      <c r="R278" s="7704"/>
      <c r="S278" s="7705"/>
    </row>
    <row r="279" ht="18.75" customHeight="1">
      <c r="A279" s="7696"/>
      <c r="B279" s="7718" t="s">
        <v>2672</v>
      </c>
      <c r="C279" s="7719" t="s">
        <v>2673</v>
      </c>
      <c r="D279" s="7720"/>
      <c r="E279" s="7719" t="s">
        <v>2286</v>
      </c>
      <c r="F279" s="7719" t="str">
        <f t="shared" si="31"/>
        <v/>
      </c>
      <c r="G279" s="7719" t="s">
        <v>2304</v>
      </c>
      <c r="H279" s="7719" t="str">
        <f t="shared" si="32"/>
        <v/>
      </c>
      <c r="I279" s="7719">
        <v>75.0</v>
      </c>
      <c r="J279" s="7719">
        <v>85.0</v>
      </c>
      <c r="K279" s="7719">
        <v>200.0</v>
      </c>
      <c r="L279" s="7719">
        <v>55.0</v>
      </c>
      <c r="M279" s="7719">
        <v>65.0</v>
      </c>
      <c r="N279" s="7721">
        <v>30.0</v>
      </c>
      <c r="O279" s="7701"/>
      <c r="P279" s="7704"/>
      <c r="Q279" s="7704"/>
      <c r="R279" s="7704"/>
      <c r="S279" s="7705"/>
    </row>
    <row r="280" ht="18.75" customHeight="1">
      <c r="A280" s="7696"/>
      <c r="B280" s="7712" t="s">
        <v>2674</v>
      </c>
      <c r="C280" s="7722" t="s">
        <v>2675</v>
      </c>
      <c r="D280" s="7714"/>
      <c r="E280" s="7713" t="s">
        <v>2286</v>
      </c>
      <c r="F280" s="7713" t="str">
        <f t="shared" si="31"/>
        <v/>
      </c>
      <c r="G280" s="7713" t="s">
        <v>2304</v>
      </c>
      <c r="H280" s="7713" t="str">
        <f t="shared" si="32"/>
        <v/>
      </c>
      <c r="I280" s="7713">
        <v>75.0</v>
      </c>
      <c r="J280" s="7713">
        <v>125.0</v>
      </c>
      <c r="K280" s="7713">
        <v>230.0</v>
      </c>
      <c r="L280" s="7713">
        <v>55.0</v>
      </c>
      <c r="M280" s="7713">
        <v>95.0</v>
      </c>
      <c r="N280" s="7715">
        <v>30.0</v>
      </c>
      <c r="O280" s="7701"/>
      <c r="P280" s="7704"/>
      <c r="Q280" s="7704"/>
      <c r="R280" s="7704"/>
      <c r="S280" s="7705"/>
    </row>
    <row r="281" ht="18.75" customHeight="1">
      <c r="A281" s="7696"/>
      <c r="B281" s="7718" t="s">
        <v>964</v>
      </c>
      <c r="C281" s="7719" t="s">
        <v>2676</v>
      </c>
      <c r="D281" s="7720"/>
      <c r="E281" s="7719" t="s">
        <v>2292</v>
      </c>
      <c r="F281" s="7719" t="str">
        <f t="shared" si="31"/>
        <v/>
      </c>
      <c r="G281" s="7719"/>
      <c r="H281" s="7719" t="str">
        <f t="shared" si="32"/>
        <v/>
      </c>
      <c r="I281" s="7719">
        <v>60.0</v>
      </c>
      <c r="J281" s="7719">
        <v>80.0</v>
      </c>
      <c r="K281" s="7719">
        <v>50.0</v>
      </c>
      <c r="L281" s="7719">
        <v>40.0</v>
      </c>
      <c r="M281" s="7719">
        <v>40.0</v>
      </c>
      <c r="N281" s="7721">
        <v>30.0</v>
      </c>
      <c r="O281" s="7701"/>
      <c r="P281" s="7704"/>
      <c r="Q281" s="7704"/>
      <c r="R281" s="7704"/>
      <c r="S281" s="7705"/>
    </row>
    <row r="282" ht="18.75" customHeight="1">
      <c r="A282" s="7696"/>
      <c r="B282" s="7712" t="s">
        <v>1435</v>
      </c>
      <c r="C282" s="7713" t="s">
        <v>2677</v>
      </c>
      <c r="D282" s="7714"/>
      <c r="E282" s="7713" t="s">
        <v>2292</v>
      </c>
      <c r="F282" s="7713" t="str">
        <f t="shared" si="31"/>
        <v/>
      </c>
      <c r="G282" s="7713" t="s">
        <v>2296</v>
      </c>
      <c r="H282" s="7713" t="str">
        <f t="shared" si="32"/>
        <v/>
      </c>
      <c r="I282" s="7713">
        <v>100.0</v>
      </c>
      <c r="J282" s="7713">
        <v>120.0</v>
      </c>
      <c r="K282" s="7713">
        <v>75.0</v>
      </c>
      <c r="L282" s="7713">
        <v>60.0</v>
      </c>
      <c r="M282" s="7713">
        <v>60.0</v>
      </c>
      <c r="N282" s="7715">
        <v>45.0</v>
      </c>
      <c r="O282" s="7701"/>
      <c r="P282" s="7704"/>
      <c r="Q282" s="7704"/>
      <c r="R282" s="7704"/>
      <c r="S282" s="7705"/>
    </row>
    <row r="283" ht="18.75" customHeight="1">
      <c r="A283" s="7696"/>
      <c r="B283" s="7718" t="s">
        <v>2678</v>
      </c>
      <c r="C283" s="7719" t="s">
        <v>2679</v>
      </c>
      <c r="D283" s="7720"/>
      <c r="E283" s="7719" t="s">
        <v>2232</v>
      </c>
      <c r="F283" s="7719" t="str">
        <f t="shared" si="31"/>
        <v/>
      </c>
      <c r="G283" s="7719" t="s">
        <v>2210</v>
      </c>
      <c r="H283" s="7719" t="str">
        <f t="shared" si="32"/>
        <v/>
      </c>
      <c r="I283" s="7719">
        <v>80.0</v>
      </c>
      <c r="J283" s="7719">
        <v>105.0</v>
      </c>
      <c r="K283" s="7719">
        <v>85.0</v>
      </c>
      <c r="L283" s="7719">
        <v>55.0</v>
      </c>
      <c r="M283" s="7719">
        <v>55.0</v>
      </c>
      <c r="N283" s="7721">
        <v>85.0</v>
      </c>
      <c r="O283" s="7701"/>
      <c r="P283" s="7704"/>
      <c r="Q283" s="7704"/>
      <c r="R283" s="7704"/>
      <c r="S283" s="7705"/>
    </row>
    <row r="284" ht="18.75" customHeight="1">
      <c r="A284" s="7696"/>
      <c r="B284" s="7712" t="s">
        <v>1838</v>
      </c>
      <c r="C284" s="7722" t="s">
        <v>2680</v>
      </c>
      <c r="D284" s="7714"/>
      <c r="E284" s="7713" t="s">
        <v>2272</v>
      </c>
      <c r="F284" s="7713" t="str">
        <f t="shared" si="31"/>
        <v/>
      </c>
      <c r="G284" s="7713" t="s">
        <v>2210</v>
      </c>
      <c r="H284" s="7713" t="str">
        <f t="shared" si="32"/>
        <v/>
      </c>
      <c r="I284" s="7713">
        <v>65.0</v>
      </c>
      <c r="J284" s="7713">
        <v>95.0</v>
      </c>
      <c r="K284" s="7713">
        <v>85.0</v>
      </c>
      <c r="L284" s="7713">
        <v>55.0</v>
      </c>
      <c r="M284" s="7713">
        <v>55.0</v>
      </c>
      <c r="N284" s="7715">
        <v>85.0</v>
      </c>
      <c r="O284" s="7701"/>
      <c r="P284" s="7704"/>
      <c r="Q284" s="7704"/>
      <c r="R284" s="7704"/>
      <c r="S284" s="7705"/>
    </row>
    <row r="285" ht="18.75" customHeight="1">
      <c r="A285" s="7696"/>
      <c r="B285" s="7718" t="s">
        <v>820</v>
      </c>
      <c r="C285" s="7719" t="s">
        <v>2681</v>
      </c>
      <c r="D285" s="7720"/>
      <c r="E285" s="7719" t="s">
        <v>2243</v>
      </c>
      <c r="F285" s="7719" t="str">
        <f t="shared" si="31"/>
        <v/>
      </c>
      <c r="G285" s="7719" t="s">
        <v>2286</v>
      </c>
      <c r="H285" s="7719" t="str">
        <f t="shared" si="32"/>
        <v/>
      </c>
      <c r="I285" s="7719">
        <v>70.0</v>
      </c>
      <c r="J285" s="7719">
        <v>130.0</v>
      </c>
      <c r="K285" s="7719">
        <v>100.0</v>
      </c>
      <c r="L285" s="7719">
        <v>55.0</v>
      </c>
      <c r="M285" s="7719">
        <v>80.0</v>
      </c>
      <c r="N285" s="7721">
        <v>65.0</v>
      </c>
      <c r="O285" s="7701"/>
      <c r="P285" s="7704"/>
      <c r="Q285" s="7704"/>
      <c r="R285" s="7704"/>
      <c r="S285" s="7705"/>
    </row>
    <row r="286" ht="18.75" customHeight="1">
      <c r="A286" s="7696"/>
      <c r="B286" s="7712" t="s">
        <v>840</v>
      </c>
      <c r="C286" s="7722" t="s">
        <v>2682</v>
      </c>
      <c r="D286" s="7714"/>
      <c r="E286" s="7713" t="s">
        <v>2243</v>
      </c>
      <c r="F286" s="7713" t="str">
        <f t="shared" si="31"/>
        <v/>
      </c>
      <c r="G286" s="7713" t="s">
        <v>2286</v>
      </c>
      <c r="H286" s="7713" t="str">
        <f t="shared" si="32"/>
        <v/>
      </c>
      <c r="I286" s="7713">
        <v>70.0</v>
      </c>
      <c r="J286" s="7713">
        <v>150.0</v>
      </c>
      <c r="K286" s="7713">
        <v>140.0</v>
      </c>
      <c r="L286" s="7713">
        <v>65.0</v>
      </c>
      <c r="M286" s="7713">
        <v>100.0</v>
      </c>
      <c r="N286" s="7715">
        <v>75.0</v>
      </c>
      <c r="O286" s="7701"/>
      <c r="P286" s="7704"/>
      <c r="Q286" s="7704"/>
      <c r="R286" s="7704"/>
      <c r="S286" s="7705"/>
    </row>
    <row r="287" ht="18.75" customHeight="1">
      <c r="A287" s="7696"/>
      <c r="B287" s="7718" t="s">
        <v>162</v>
      </c>
      <c r="C287" s="7719" t="s">
        <v>2683</v>
      </c>
      <c r="D287" s="7720"/>
      <c r="E287" s="7719" t="s">
        <v>2243</v>
      </c>
      <c r="F287" s="7719" t="str">
        <f t="shared" si="31"/>
        <v/>
      </c>
      <c r="G287" s="7719" t="s">
        <v>2370</v>
      </c>
      <c r="H287" s="7719" t="str">
        <f t="shared" si="32"/>
        <v/>
      </c>
      <c r="I287" s="7719">
        <v>20.0</v>
      </c>
      <c r="J287" s="7719">
        <v>10.0</v>
      </c>
      <c r="K287" s="7719">
        <v>230.0</v>
      </c>
      <c r="L287" s="7719">
        <v>10.0</v>
      </c>
      <c r="M287" s="7719">
        <v>230.0</v>
      </c>
      <c r="N287" s="7721">
        <v>5.0</v>
      </c>
      <c r="O287" s="7701"/>
      <c r="P287" s="7704"/>
      <c r="Q287" s="7704"/>
      <c r="R287" s="7704"/>
      <c r="S287" s="7705"/>
    </row>
    <row r="288" ht="18.75" customHeight="1">
      <c r="A288" s="7696"/>
      <c r="B288" s="7712" t="s">
        <v>2083</v>
      </c>
      <c r="C288" s="7713" t="s">
        <v>2684</v>
      </c>
      <c r="D288" s="7714"/>
      <c r="E288" s="7713" t="s">
        <v>2243</v>
      </c>
      <c r="F288" s="7713" t="str">
        <f t="shared" si="31"/>
        <v/>
      </c>
      <c r="G288" s="7713" t="s">
        <v>2296</v>
      </c>
      <c r="H288" s="7713" t="str">
        <f t="shared" si="32"/>
        <v/>
      </c>
      <c r="I288" s="7713">
        <v>80.0</v>
      </c>
      <c r="J288" s="7713">
        <v>125.0</v>
      </c>
      <c r="K288" s="7713">
        <v>75.0</v>
      </c>
      <c r="L288" s="7713">
        <v>40.0</v>
      </c>
      <c r="M288" s="7713">
        <v>95.0</v>
      </c>
      <c r="N288" s="7715">
        <v>85.0</v>
      </c>
      <c r="O288" s="7701"/>
      <c r="P288" s="7704"/>
      <c r="Q288" s="7704"/>
      <c r="R288" s="7704"/>
      <c r="S288" s="7705"/>
    </row>
    <row r="289" ht="18.75" customHeight="1">
      <c r="A289" s="7696"/>
      <c r="B289" s="7718" t="s">
        <v>1997</v>
      </c>
      <c r="C289" s="7723" t="s">
        <v>2685</v>
      </c>
      <c r="D289" s="7720"/>
      <c r="E289" s="7719" t="s">
        <v>2243</v>
      </c>
      <c r="F289" s="7719" t="str">
        <f t="shared" si="31"/>
        <v/>
      </c>
      <c r="G289" s="7719" t="s">
        <v>2296</v>
      </c>
      <c r="H289" s="7719" t="str">
        <f t="shared" si="32"/>
        <v/>
      </c>
      <c r="I289" s="7719">
        <v>80.0</v>
      </c>
      <c r="J289" s="7719">
        <v>185.0</v>
      </c>
      <c r="K289" s="7719">
        <v>115.0</v>
      </c>
      <c r="L289" s="7719">
        <v>40.0</v>
      </c>
      <c r="M289" s="7719">
        <v>105.0</v>
      </c>
      <c r="N289" s="7721">
        <v>75.0</v>
      </c>
      <c r="O289" s="7701"/>
      <c r="P289" s="7704"/>
      <c r="Q289" s="7704"/>
      <c r="R289" s="7704"/>
      <c r="S289" s="7705"/>
    </row>
    <row r="290" ht="18.75" customHeight="1">
      <c r="A290" s="7696"/>
      <c r="B290" s="7712" t="s">
        <v>2686</v>
      </c>
      <c r="C290" s="7713" t="s">
        <v>2687</v>
      </c>
      <c r="D290" s="7714"/>
      <c r="E290" s="7722" t="s">
        <v>2272</v>
      </c>
      <c r="F290" s="7722" t="str">
        <f t="shared" si="31"/>
        <v/>
      </c>
      <c r="G290" s="7722" t="s">
        <v>2289</v>
      </c>
      <c r="H290" s="7722" t="str">
        <f t="shared" si="32"/>
        <v/>
      </c>
      <c r="I290" s="7713">
        <v>55.0</v>
      </c>
      <c r="J290" s="7713">
        <v>95.0</v>
      </c>
      <c r="K290" s="7713">
        <v>55.0</v>
      </c>
      <c r="L290" s="7713">
        <v>35.0</v>
      </c>
      <c r="M290" s="7713">
        <v>75.0</v>
      </c>
      <c r="N290" s="7715">
        <v>115.0</v>
      </c>
      <c r="O290" s="7701"/>
      <c r="P290" s="7704"/>
      <c r="Q290" s="7704"/>
      <c r="R290" s="7704"/>
      <c r="S290" s="7705"/>
    </row>
    <row r="291" ht="18.75" customHeight="1">
      <c r="A291" s="7696"/>
      <c r="B291" s="7718" t="s">
        <v>1473</v>
      </c>
      <c r="C291" s="7723" t="s">
        <v>2688</v>
      </c>
      <c r="D291" s="7720"/>
      <c r="E291" s="7719" t="s">
        <v>2210</v>
      </c>
      <c r="F291" s="7719" t="str">
        <f t="shared" si="31"/>
        <v/>
      </c>
      <c r="G291" s="7719" t="s">
        <v>2296</v>
      </c>
      <c r="H291" s="7719" t="str">
        <f t="shared" si="32"/>
        <v/>
      </c>
      <c r="I291" s="7719">
        <v>55.0</v>
      </c>
      <c r="J291" s="7719">
        <v>95.0</v>
      </c>
      <c r="K291" s="7719">
        <v>55.0</v>
      </c>
      <c r="L291" s="7719">
        <v>35.0</v>
      </c>
      <c r="M291" s="7719">
        <v>75.0</v>
      </c>
      <c r="N291" s="7721">
        <v>115.0</v>
      </c>
      <c r="O291" s="7701"/>
      <c r="P291" s="7704"/>
      <c r="Q291" s="7704"/>
      <c r="R291" s="7704"/>
      <c r="S291" s="7705"/>
    </row>
    <row r="292" ht="18.75" customHeight="1">
      <c r="A292" s="7696"/>
      <c r="B292" s="7712" t="s">
        <v>2689</v>
      </c>
      <c r="C292" s="7713" t="s">
        <v>2690</v>
      </c>
      <c r="D292" s="7714"/>
      <c r="E292" s="7722" t="s">
        <v>2262</v>
      </c>
      <c r="F292" s="7722" t="str">
        <f t="shared" si="31"/>
        <v/>
      </c>
      <c r="G292" s="7722"/>
      <c r="H292" s="7722" t="str">
        <f t="shared" si="32"/>
        <v/>
      </c>
      <c r="I292" s="7713">
        <v>60.0</v>
      </c>
      <c r="J292" s="7713">
        <v>80.0</v>
      </c>
      <c r="K292" s="7713">
        <v>50.0</v>
      </c>
      <c r="L292" s="7713">
        <v>50.0</v>
      </c>
      <c r="M292" s="7713">
        <v>50.0</v>
      </c>
      <c r="N292" s="7715">
        <v>40.0</v>
      </c>
      <c r="O292" s="7701"/>
      <c r="P292" s="7704"/>
      <c r="Q292" s="7704"/>
      <c r="R292" s="7704"/>
      <c r="S292" s="7705"/>
    </row>
    <row r="293" ht="18.75" customHeight="1">
      <c r="A293" s="7696"/>
      <c r="B293" s="7718" t="s">
        <v>1299</v>
      </c>
      <c r="C293" s="7719" t="s">
        <v>2691</v>
      </c>
      <c r="D293" s="7720"/>
      <c r="E293" s="7719" t="s">
        <v>2262</v>
      </c>
      <c r="F293" s="7719" t="str">
        <f t="shared" si="31"/>
        <v/>
      </c>
      <c r="G293" s="7719"/>
      <c r="H293" s="7719" t="str">
        <f t="shared" si="32"/>
        <v/>
      </c>
      <c r="I293" s="7719">
        <v>90.0</v>
      </c>
      <c r="J293" s="7719">
        <v>130.0</v>
      </c>
      <c r="K293" s="7719">
        <v>75.0</v>
      </c>
      <c r="L293" s="7719">
        <v>75.0</v>
      </c>
      <c r="M293" s="7719">
        <v>75.0</v>
      </c>
      <c r="N293" s="7721">
        <v>55.0</v>
      </c>
      <c r="O293" s="7701"/>
      <c r="P293" s="7704"/>
      <c r="Q293" s="7704"/>
      <c r="R293" s="7704"/>
      <c r="S293" s="7705"/>
    </row>
    <row r="294" ht="18.75" customHeight="1">
      <c r="A294" s="7696"/>
      <c r="B294" s="7712" t="s">
        <v>2692</v>
      </c>
      <c r="C294" s="7713" t="s">
        <v>2693</v>
      </c>
      <c r="D294" s="7714"/>
      <c r="E294" s="7722" t="s">
        <v>2219</v>
      </c>
      <c r="F294" s="7722" t="str">
        <f t="shared" si="31"/>
        <v/>
      </c>
      <c r="G294" s="7722"/>
      <c r="H294" s="7722" t="str">
        <f t="shared" si="32"/>
        <v/>
      </c>
      <c r="I294" s="7713">
        <v>40.0</v>
      </c>
      <c r="J294" s="7713">
        <v>40.0</v>
      </c>
      <c r="K294" s="7713">
        <v>40.0</v>
      </c>
      <c r="L294" s="7713">
        <v>70.0</v>
      </c>
      <c r="M294" s="7713">
        <v>40.0</v>
      </c>
      <c r="N294" s="7715">
        <v>20.0</v>
      </c>
      <c r="O294" s="7701"/>
      <c r="P294" s="7704"/>
      <c r="Q294" s="7704"/>
      <c r="R294" s="7704"/>
      <c r="S294" s="7705"/>
    </row>
    <row r="295" ht="18.75" customHeight="1">
      <c r="A295" s="7696"/>
      <c r="B295" s="7718" t="s">
        <v>150</v>
      </c>
      <c r="C295" s="7719" t="s">
        <v>2694</v>
      </c>
      <c r="D295" s="7720"/>
      <c r="E295" s="7723" t="s">
        <v>2219</v>
      </c>
      <c r="F295" s="7723" t="str">
        <f t="shared" si="31"/>
        <v/>
      </c>
      <c r="G295" s="7723" t="s">
        <v>2370</v>
      </c>
      <c r="H295" s="7723" t="str">
        <f t="shared" si="32"/>
        <v/>
      </c>
      <c r="I295" s="7719">
        <v>60.0</v>
      </c>
      <c r="J295" s="7719">
        <v>50.0</v>
      </c>
      <c r="K295" s="7719">
        <v>120.0</v>
      </c>
      <c r="L295" s="7719">
        <v>90.0</v>
      </c>
      <c r="M295" s="7719">
        <v>80.0</v>
      </c>
      <c r="N295" s="7721">
        <v>30.0</v>
      </c>
      <c r="O295" s="7701"/>
      <c r="P295" s="7704"/>
      <c r="Q295" s="7704"/>
      <c r="R295" s="7704"/>
      <c r="S295" s="7705"/>
    </row>
    <row r="296" ht="18.75" customHeight="1">
      <c r="A296" s="7696"/>
      <c r="B296" s="7712" t="s">
        <v>2695</v>
      </c>
      <c r="C296" s="7713" t="s">
        <v>2696</v>
      </c>
      <c r="D296" s="7714"/>
      <c r="E296" s="7713" t="s">
        <v>2289</v>
      </c>
      <c r="F296" s="7713" t="str">
        <f t="shared" si="31"/>
        <v/>
      </c>
      <c r="G296" s="7713" t="s">
        <v>2304</v>
      </c>
      <c r="H296" s="7713" t="str">
        <f t="shared" si="32"/>
        <v/>
      </c>
      <c r="I296" s="7713">
        <v>50.0</v>
      </c>
      <c r="J296" s="7713">
        <v>50.0</v>
      </c>
      <c r="K296" s="7713">
        <v>40.0</v>
      </c>
      <c r="L296" s="7713">
        <v>30.0</v>
      </c>
      <c r="M296" s="7713">
        <v>30.0</v>
      </c>
      <c r="N296" s="7715">
        <v>50.0</v>
      </c>
      <c r="O296" s="7701"/>
      <c r="P296" s="7704"/>
      <c r="Q296" s="7704"/>
      <c r="R296" s="7704"/>
      <c r="S296" s="7705"/>
    </row>
    <row r="297" ht="18.75" customHeight="1">
      <c r="A297" s="7696"/>
      <c r="B297" s="7718" t="s">
        <v>2697</v>
      </c>
      <c r="C297" s="7719" t="s">
        <v>2698</v>
      </c>
      <c r="D297" s="7720"/>
      <c r="E297" s="7723" t="s">
        <v>2289</v>
      </c>
      <c r="F297" s="7723" t="str">
        <f t="shared" si="31"/>
        <v/>
      </c>
      <c r="G297" s="7723" t="s">
        <v>2304</v>
      </c>
      <c r="H297" s="7723" t="str">
        <f t="shared" si="32"/>
        <v/>
      </c>
      <c r="I297" s="7719">
        <v>100.0</v>
      </c>
      <c r="J297" s="7719">
        <v>100.0</v>
      </c>
      <c r="K297" s="7719">
        <v>80.0</v>
      </c>
      <c r="L297" s="7719">
        <v>60.0</v>
      </c>
      <c r="M297" s="7719">
        <v>60.0</v>
      </c>
      <c r="N297" s="7721">
        <v>50.0</v>
      </c>
      <c r="O297" s="7701"/>
      <c r="P297" s="7704"/>
      <c r="Q297" s="7704"/>
      <c r="R297" s="7704"/>
      <c r="S297" s="7705"/>
    </row>
    <row r="298" ht="18.75" customHeight="1">
      <c r="A298" s="7696"/>
      <c r="B298" s="7712" t="s">
        <v>173</v>
      </c>
      <c r="C298" s="7713" t="s">
        <v>2699</v>
      </c>
      <c r="D298" s="7714"/>
      <c r="E298" s="7713" t="s">
        <v>2232</v>
      </c>
      <c r="F298" s="7713" t="str">
        <f t="shared" si="31"/>
        <v/>
      </c>
      <c r="G298" s="7713" t="s">
        <v>2370</v>
      </c>
      <c r="H298" s="7713" t="str">
        <f t="shared" si="32"/>
        <v/>
      </c>
      <c r="I298" s="7713">
        <v>85.0</v>
      </c>
      <c r="J298" s="7713">
        <v>55.0</v>
      </c>
      <c r="K298" s="7713">
        <v>100.0</v>
      </c>
      <c r="L298" s="7713">
        <v>65.0</v>
      </c>
      <c r="M298" s="7713">
        <v>100.0</v>
      </c>
      <c r="N298" s="7715">
        <v>35.0</v>
      </c>
      <c r="O298" s="7701"/>
      <c r="P298" s="7704"/>
      <c r="Q298" s="7704"/>
      <c r="R298" s="7704"/>
      <c r="S298" s="7705"/>
    </row>
    <row r="299" ht="18.75" customHeight="1">
      <c r="A299" s="7696"/>
      <c r="B299" s="7718" t="s">
        <v>2700</v>
      </c>
      <c r="C299" s="7723" t="s">
        <v>2701</v>
      </c>
      <c r="D299" s="7720"/>
      <c r="E299" s="7719" t="s">
        <v>2447</v>
      </c>
      <c r="F299" s="7719" t="str">
        <f t="shared" si="31"/>
        <v/>
      </c>
      <c r="G299" s="7719"/>
      <c r="H299" s="7719" t="str">
        <f t="shared" si="32"/>
        <v/>
      </c>
      <c r="I299" s="7719">
        <v>60.0</v>
      </c>
      <c r="J299" s="7719">
        <v>55.0</v>
      </c>
      <c r="K299" s="7719">
        <v>100.0</v>
      </c>
      <c r="L299" s="7719">
        <v>65.0</v>
      </c>
      <c r="M299" s="7719">
        <v>100.0</v>
      </c>
      <c r="N299" s="7721">
        <v>30.0</v>
      </c>
      <c r="O299" s="7701"/>
      <c r="P299" s="7704"/>
      <c r="Q299" s="7704"/>
      <c r="R299" s="7704"/>
      <c r="S299" s="7705"/>
    </row>
    <row r="300" ht="18.75" customHeight="1">
      <c r="A300" s="7696"/>
      <c r="B300" s="7712" t="s">
        <v>2702</v>
      </c>
      <c r="C300" s="7713" t="s">
        <v>2703</v>
      </c>
      <c r="D300" s="7714"/>
      <c r="E300" s="7713" t="s">
        <v>2232</v>
      </c>
      <c r="F300" s="7713" t="str">
        <f t="shared" si="31"/>
        <v/>
      </c>
      <c r="G300" s="7713"/>
      <c r="H300" s="7713" t="str">
        <f t="shared" si="32"/>
        <v/>
      </c>
      <c r="I300" s="7713">
        <v>35.0</v>
      </c>
      <c r="J300" s="7713">
        <v>65.0</v>
      </c>
      <c r="K300" s="7713">
        <v>35.0</v>
      </c>
      <c r="L300" s="7713">
        <v>65.0</v>
      </c>
      <c r="M300" s="7713">
        <v>35.0</v>
      </c>
      <c r="N300" s="7715">
        <v>65.0</v>
      </c>
      <c r="O300" s="7701"/>
      <c r="P300" s="7704"/>
      <c r="Q300" s="7704"/>
      <c r="R300" s="7704"/>
      <c r="S300" s="7705"/>
    </row>
    <row r="301" ht="18.75" customHeight="1">
      <c r="A301" s="7696"/>
      <c r="B301" s="7718" t="s">
        <v>2042</v>
      </c>
      <c r="C301" s="7719" t="s">
        <v>2704</v>
      </c>
      <c r="D301" s="7720"/>
      <c r="E301" s="7719" t="s">
        <v>2232</v>
      </c>
      <c r="F301" s="7719" t="str">
        <f t="shared" si="31"/>
        <v/>
      </c>
      <c r="G301" s="7719"/>
      <c r="H301" s="7719" t="str">
        <f t="shared" si="32"/>
        <v/>
      </c>
      <c r="I301" s="7719">
        <v>75.0</v>
      </c>
      <c r="J301" s="7719">
        <v>105.0</v>
      </c>
      <c r="K301" s="7719">
        <v>75.0</v>
      </c>
      <c r="L301" s="7719">
        <v>105.0</v>
      </c>
      <c r="M301" s="7719">
        <v>75.0</v>
      </c>
      <c r="N301" s="7721">
        <v>75.0</v>
      </c>
      <c r="O301" s="7701"/>
      <c r="P301" s="7704"/>
      <c r="Q301" s="7704"/>
      <c r="R301" s="7704"/>
      <c r="S301" s="7705"/>
    </row>
    <row r="302" ht="18.75" customHeight="1">
      <c r="A302" s="7696"/>
      <c r="B302" s="7712" t="s">
        <v>2705</v>
      </c>
      <c r="C302" s="7713" t="s">
        <v>2706</v>
      </c>
      <c r="D302" s="7714"/>
      <c r="E302" s="7713" t="s">
        <v>2289</v>
      </c>
      <c r="F302" s="7713" t="str">
        <f t="shared" si="31"/>
        <v/>
      </c>
      <c r="G302" s="7713" t="s">
        <v>2224</v>
      </c>
      <c r="H302" s="7713" t="str">
        <f t="shared" si="32"/>
        <v/>
      </c>
      <c r="I302" s="7713">
        <v>45.0</v>
      </c>
      <c r="J302" s="7713">
        <v>100.0</v>
      </c>
      <c r="K302" s="7713">
        <v>45.0</v>
      </c>
      <c r="L302" s="7713">
        <v>65.0</v>
      </c>
      <c r="M302" s="7713">
        <v>45.0</v>
      </c>
      <c r="N302" s="7715">
        <v>105.0</v>
      </c>
      <c r="O302" s="7701"/>
      <c r="P302" s="7704"/>
      <c r="Q302" s="7704"/>
      <c r="R302" s="7704"/>
      <c r="S302" s="7705"/>
    </row>
    <row r="303" ht="18.75" customHeight="1">
      <c r="A303" s="7696"/>
      <c r="B303" s="7718" t="s">
        <v>525</v>
      </c>
      <c r="C303" s="7719" t="s">
        <v>2707</v>
      </c>
      <c r="D303" s="7720"/>
      <c r="E303" s="7723" t="s">
        <v>2232</v>
      </c>
      <c r="F303" s="7723" t="str">
        <f t="shared" si="31"/>
        <v/>
      </c>
      <c r="G303" s="7723" t="s">
        <v>2224</v>
      </c>
      <c r="H303" s="7723" t="str">
        <f t="shared" si="32"/>
        <v/>
      </c>
      <c r="I303" s="7719">
        <v>85.0</v>
      </c>
      <c r="J303" s="7719">
        <v>40.0</v>
      </c>
      <c r="K303" s="7719">
        <v>70.0</v>
      </c>
      <c r="L303" s="7719">
        <v>90.0</v>
      </c>
      <c r="M303" s="7719">
        <v>140.0</v>
      </c>
      <c r="N303" s="7721">
        <v>70.0</v>
      </c>
      <c r="O303" s="7701"/>
      <c r="P303" s="7704"/>
      <c r="Q303" s="7704"/>
      <c r="R303" s="7704"/>
      <c r="S303" s="7705"/>
    </row>
    <row r="304" ht="18.75" customHeight="1">
      <c r="A304" s="7696"/>
      <c r="B304" s="7712" t="s">
        <v>2708</v>
      </c>
      <c r="C304" s="7713" t="s">
        <v>2709</v>
      </c>
      <c r="D304" s="7714"/>
      <c r="E304" s="7713" t="s">
        <v>2286</v>
      </c>
      <c r="F304" s="7713" t="str">
        <f t="shared" si="31"/>
        <v/>
      </c>
      <c r="G304" s="7713" t="s">
        <v>2224</v>
      </c>
      <c r="H304" s="7713" t="str">
        <f t="shared" si="32"/>
        <v/>
      </c>
      <c r="I304" s="7713">
        <v>65.0</v>
      </c>
      <c r="J304" s="7713">
        <v>80.0</v>
      </c>
      <c r="K304" s="7713">
        <v>140.0</v>
      </c>
      <c r="L304" s="7713">
        <v>40.0</v>
      </c>
      <c r="M304" s="7713">
        <v>70.0</v>
      </c>
      <c r="N304" s="7715">
        <v>70.0</v>
      </c>
      <c r="O304" s="7701"/>
      <c r="P304" s="7704"/>
      <c r="Q304" s="7704"/>
      <c r="R304" s="7704"/>
      <c r="S304" s="7705"/>
    </row>
    <row r="305" ht="18.75" customHeight="1">
      <c r="A305" s="7696"/>
      <c r="B305" s="7718" t="s">
        <v>1142</v>
      </c>
      <c r="C305" s="7719" t="s">
        <v>2710</v>
      </c>
      <c r="D305" s="7720"/>
      <c r="E305" s="7719" t="s">
        <v>2272</v>
      </c>
      <c r="F305" s="7719" t="str">
        <f t="shared" si="31"/>
        <v/>
      </c>
      <c r="G305" s="7719" t="s">
        <v>2219</v>
      </c>
      <c r="H305" s="7719" t="str">
        <f t="shared" si="32"/>
        <v/>
      </c>
      <c r="I305" s="7719">
        <v>45.0</v>
      </c>
      <c r="J305" s="7719">
        <v>60.0</v>
      </c>
      <c r="K305" s="7719">
        <v>30.0</v>
      </c>
      <c r="L305" s="7719">
        <v>80.0</v>
      </c>
      <c r="M305" s="7719">
        <v>50.0</v>
      </c>
      <c r="N305" s="7721">
        <v>65.0</v>
      </c>
      <c r="O305" s="7701"/>
      <c r="P305" s="7704"/>
      <c r="Q305" s="7704"/>
      <c r="R305" s="7704"/>
      <c r="S305" s="7705"/>
    </row>
    <row r="306" ht="18.75" customHeight="1">
      <c r="A306" s="7696"/>
      <c r="B306" s="7712" t="s">
        <v>2711</v>
      </c>
      <c r="C306" s="7713" t="s">
        <v>2712</v>
      </c>
      <c r="D306" s="7714"/>
      <c r="E306" s="7713" t="s">
        <v>2272</v>
      </c>
      <c r="F306" s="7713" t="str">
        <f t="shared" si="31"/>
        <v/>
      </c>
      <c r="G306" s="7713" t="s">
        <v>2219</v>
      </c>
      <c r="H306" s="7713" t="str">
        <f t="shared" si="32"/>
        <v/>
      </c>
      <c r="I306" s="7713">
        <v>75.0</v>
      </c>
      <c r="J306" s="7713">
        <v>90.0</v>
      </c>
      <c r="K306" s="7713">
        <v>50.0</v>
      </c>
      <c r="L306" s="7713">
        <v>110.0</v>
      </c>
      <c r="M306" s="7713">
        <v>80.0</v>
      </c>
      <c r="N306" s="7715">
        <v>95.0</v>
      </c>
      <c r="O306" s="7701"/>
      <c r="P306" s="7704"/>
      <c r="Q306" s="7704"/>
      <c r="R306" s="7704"/>
      <c r="S306" s="7705"/>
    </row>
    <row r="307" ht="18.75" customHeight="1">
      <c r="A307" s="7696"/>
      <c r="B307" s="7718" t="s">
        <v>1255</v>
      </c>
      <c r="C307" s="7723" t="s">
        <v>2713</v>
      </c>
      <c r="D307" s="7720"/>
      <c r="E307" s="7719" t="s">
        <v>2272</v>
      </c>
      <c r="F307" s="7719" t="str">
        <f t="shared" si="31"/>
        <v/>
      </c>
      <c r="G307" s="7719" t="s">
        <v>2219</v>
      </c>
      <c r="H307" s="7719" t="str">
        <f t="shared" si="32"/>
        <v/>
      </c>
      <c r="I307" s="7719">
        <v>75.0</v>
      </c>
      <c r="J307" s="7719">
        <v>110.0</v>
      </c>
      <c r="K307" s="7719">
        <v>90.0</v>
      </c>
      <c r="L307" s="7719">
        <v>140.0</v>
      </c>
      <c r="M307" s="7719">
        <v>90.0</v>
      </c>
      <c r="N307" s="7721">
        <v>115.0</v>
      </c>
      <c r="O307" s="7701"/>
      <c r="P307" s="7704"/>
      <c r="Q307" s="7704"/>
      <c r="R307" s="7704"/>
      <c r="S307" s="7705"/>
    </row>
    <row r="308" ht="18.75" customHeight="1">
      <c r="A308" s="7696"/>
      <c r="B308" s="7712" t="s">
        <v>751</v>
      </c>
      <c r="C308" s="7713" t="s">
        <v>2714</v>
      </c>
      <c r="D308" s="7714"/>
      <c r="E308" s="7713" t="s">
        <v>2232</v>
      </c>
      <c r="F308" s="7713" t="str">
        <f t="shared" si="31"/>
        <v/>
      </c>
      <c r="G308" s="7713" t="s">
        <v>2227</v>
      </c>
      <c r="H308" s="7713" t="str">
        <f t="shared" si="32"/>
        <v/>
      </c>
      <c r="I308" s="7713">
        <v>75.0</v>
      </c>
      <c r="J308" s="7713">
        <v>95.0</v>
      </c>
      <c r="K308" s="7713">
        <v>95.0</v>
      </c>
      <c r="L308" s="7713">
        <v>95.0</v>
      </c>
      <c r="M308" s="7713">
        <v>95.0</v>
      </c>
      <c r="N308" s="7715">
        <v>85.0</v>
      </c>
      <c r="O308" s="7701"/>
      <c r="P308" s="7704"/>
      <c r="Q308" s="7704"/>
      <c r="R308" s="7704"/>
      <c r="S308" s="7705"/>
    </row>
    <row r="309" ht="18.75" customHeight="1">
      <c r="A309" s="7696"/>
      <c r="B309" s="7718" t="s">
        <v>2715</v>
      </c>
      <c r="C309" s="7719" t="s">
        <v>2716</v>
      </c>
      <c r="D309" s="7720"/>
      <c r="E309" s="7719" t="s">
        <v>2304</v>
      </c>
      <c r="F309" s="7719" t="str">
        <f t="shared" si="31"/>
        <v/>
      </c>
      <c r="G309" s="7719"/>
      <c r="H309" s="7719" t="str">
        <f t="shared" si="32"/>
        <v/>
      </c>
      <c r="I309" s="7719">
        <v>90.0</v>
      </c>
      <c r="J309" s="7719">
        <v>60.0</v>
      </c>
      <c r="K309" s="7719">
        <v>60.0</v>
      </c>
      <c r="L309" s="7719">
        <v>40.0</v>
      </c>
      <c r="M309" s="7719">
        <v>40.0</v>
      </c>
      <c r="N309" s="7721">
        <v>40.0</v>
      </c>
      <c r="O309" s="7701"/>
      <c r="P309" s="7704"/>
      <c r="Q309" s="7704"/>
      <c r="R309" s="7704"/>
      <c r="S309" s="7705"/>
    </row>
    <row r="310" ht="18.75" customHeight="1">
      <c r="A310" s="7696"/>
      <c r="B310" s="7712" t="s">
        <v>1996</v>
      </c>
      <c r="C310" s="7713" t="s">
        <v>2717</v>
      </c>
      <c r="D310" s="7714"/>
      <c r="E310" s="7713" t="s">
        <v>2304</v>
      </c>
      <c r="F310" s="7713" t="str">
        <f t="shared" si="31"/>
        <v/>
      </c>
      <c r="G310" s="7713"/>
      <c r="H310" s="7713" t="str">
        <f t="shared" si="32"/>
        <v/>
      </c>
      <c r="I310" s="7713">
        <v>90.0</v>
      </c>
      <c r="J310" s="7713">
        <v>120.0</v>
      </c>
      <c r="K310" s="7713">
        <v>120.0</v>
      </c>
      <c r="L310" s="7713">
        <v>60.0</v>
      </c>
      <c r="M310" s="7713">
        <v>60.0</v>
      </c>
      <c r="N310" s="7715">
        <v>50.0</v>
      </c>
      <c r="O310" s="7701"/>
      <c r="P310" s="7704"/>
      <c r="Q310" s="7704"/>
      <c r="R310" s="7704"/>
      <c r="S310" s="7705"/>
    </row>
    <row r="311" ht="18.75" customHeight="1">
      <c r="A311" s="7696"/>
      <c r="B311" s="7718" t="s">
        <v>1651</v>
      </c>
      <c r="C311" s="7719" t="s">
        <v>2718</v>
      </c>
      <c r="D311" s="7720"/>
      <c r="E311" s="7719" t="s">
        <v>2262</v>
      </c>
      <c r="F311" s="7719" t="str">
        <f t="shared" si="31"/>
        <v/>
      </c>
      <c r="G311" s="7719"/>
      <c r="H311" s="7719" t="str">
        <f t="shared" si="32"/>
        <v/>
      </c>
      <c r="I311" s="7719">
        <v>85.0</v>
      </c>
      <c r="J311" s="7719">
        <v>80.0</v>
      </c>
      <c r="K311" s="7719">
        <v>90.0</v>
      </c>
      <c r="L311" s="7719">
        <v>105.0</v>
      </c>
      <c r="M311" s="7719">
        <v>95.0</v>
      </c>
      <c r="N311" s="7721">
        <v>60.0</v>
      </c>
      <c r="O311" s="7701"/>
      <c r="P311" s="7704"/>
      <c r="Q311" s="7704"/>
      <c r="R311" s="7704"/>
      <c r="S311" s="7705"/>
    </row>
    <row r="312" ht="18.75" customHeight="1">
      <c r="A312" s="7696"/>
      <c r="B312" s="7712" t="s">
        <v>2719</v>
      </c>
      <c r="C312" s="7713" t="s">
        <v>2720</v>
      </c>
      <c r="D312" s="7714"/>
      <c r="E312" s="7722" t="s">
        <v>2262</v>
      </c>
      <c r="F312" s="7722" t="str">
        <f t="shared" si="31"/>
        <v/>
      </c>
      <c r="G312" s="7722"/>
      <c r="H312" s="7722" t="str">
        <f t="shared" si="32"/>
        <v/>
      </c>
      <c r="I312" s="7713">
        <v>73.0</v>
      </c>
      <c r="J312" s="7713">
        <v>95.0</v>
      </c>
      <c r="K312" s="7713">
        <v>62.0</v>
      </c>
      <c r="L312" s="7713">
        <v>85.0</v>
      </c>
      <c r="M312" s="7713">
        <v>65.0</v>
      </c>
      <c r="N312" s="7715">
        <v>85.0</v>
      </c>
      <c r="O312" s="7701"/>
      <c r="P312" s="7704"/>
      <c r="Q312" s="7704"/>
      <c r="R312" s="7704"/>
      <c r="S312" s="7705"/>
    </row>
    <row r="313" ht="18.75" customHeight="1">
      <c r="A313" s="7696"/>
      <c r="B313" s="7718" t="s">
        <v>1472</v>
      </c>
      <c r="C313" s="7719" t="s">
        <v>2721</v>
      </c>
      <c r="D313" s="7720"/>
      <c r="E313" s="7719" t="s">
        <v>2262</v>
      </c>
      <c r="F313" s="7719" t="str">
        <f t="shared" si="31"/>
        <v/>
      </c>
      <c r="G313" s="7719"/>
      <c r="H313" s="7719" t="str">
        <f t="shared" si="32"/>
        <v/>
      </c>
      <c r="I313" s="7719">
        <v>55.0</v>
      </c>
      <c r="J313" s="7719">
        <v>20.0</v>
      </c>
      <c r="K313" s="7719">
        <v>35.0</v>
      </c>
      <c r="L313" s="7719">
        <v>20.0</v>
      </c>
      <c r="M313" s="7719">
        <v>45.0</v>
      </c>
      <c r="N313" s="7721">
        <v>75.0</v>
      </c>
      <c r="O313" s="7701"/>
      <c r="P313" s="7704"/>
      <c r="Q313" s="7704"/>
      <c r="R313" s="7704"/>
      <c r="S313" s="7705"/>
    </row>
    <row r="314" ht="18.75" customHeight="1">
      <c r="A314" s="7696"/>
      <c r="B314" s="7712" t="s">
        <v>2722</v>
      </c>
      <c r="C314" s="7713" t="s">
        <v>2723</v>
      </c>
      <c r="D314" s="7714"/>
      <c r="E314" s="7722" t="s">
        <v>2296</v>
      </c>
      <c r="F314" s="7722" t="str">
        <f t="shared" ref="F314:F330" si="36">IFERROR(VLOOKUP(E314,P$3:Q332,2,False),"")</f>
        <v/>
      </c>
      <c r="G314" s="7722"/>
      <c r="H314" s="7722" t="str">
        <f t="shared" ref="H314:H330" si="37">IFERROR(VLOOKUP(G314,P$3:Q332,2,False),"")</f>
        <v/>
      </c>
      <c r="I314" s="7713">
        <v>35.0</v>
      </c>
      <c r="J314" s="7713">
        <v>35.0</v>
      </c>
      <c r="K314" s="7713">
        <v>35.0</v>
      </c>
      <c r="L314" s="7713">
        <v>35.0</v>
      </c>
      <c r="M314" s="7713">
        <v>35.0</v>
      </c>
      <c r="N314" s="7715">
        <v>35.0</v>
      </c>
      <c r="O314" s="7701"/>
      <c r="P314" s="7704"/>
      <c r="Q314" s="7704"/>
      <c r="R314" s="7704"/>
      <c r="S314" s="7705"/>
    </row>
    <row r="315" ht="18.75" customHeight="1">
      <c r="A315" s="7696"/>
      <c r="B315" s="7718" t="s">
        <v>1015</v>
      </c>
      <c r="C315" s="7719" t="s">
        <v>2724</v>
      </c>
      <c r="D315" s="7720"/>
      <c r="E315" s="7719" t="s">
        <v>2296</v>
      </c>
      <c r="F315" s="7719" t="str">
        <f t="shared" si="36"/>
        <v/>
      </c>
      <c r="G315" s="7719"/>
      <c r="H315" s="7719" t="str">
        <f t="shared" si="37"/>
        <v/>
      </c>
      <c r="I315" s="7719">
        <v>50.0</v>
      </c>
      <c r="J315" s="7719">
        <v>95.0</v>
      </c>
      <c r="K315" s="7719">
        <v>95.0</v>
      </c>
      <c r="L315" s="7719">
        <v>35.0</v>
      </c>
      <c r="M315" s="7719">
        <v>110.0</v>
      </c>
      <c r="N315" s="7721">
        <v>70.0</v>
      </c>
      <c r="O315" s="7701"/>
      <c r="P315" s="7704"/>
      <c r="Q315" s="7704"/>
      <c r="R315" s="7704"/>
      <c r="S315" s="7705"/>
    </row>
    <row r="316" ht="18.75" customHeight="1">
      <c r="A316" s="7696"/>
      <c r="B316" s="7712" t="s">
        <v>2725</v>
      </c>
      <c r="C316" s="7713" t="s">
        <v>2726</v>
      </c>
      <c r="D316" s="7714"/>
      <c r="E316" s="7722" t="s">
        <v>2289</v>
      </c>
      <c r="F316" s="7722" t="str">
        <f t="shared" si="36"/>
        <v/>
      </c>
      <c r="G316" s="7722" t="s">
        <v>669</v>
      </c>
      <c r="H316" s="7722" t="str">
        <f t="shared" si="37"/>
        <v/>
      </c>
      <c r="I316" s="7713">
        <v>45.0</v>
      </c>
      <c r="J316" s="7713">
        <v>30.0</v>
      </c>
      <c r="K316" s="7713">
        <v>15.0</v>
      </c>
      <c r="L316" s="7713">
        <v>85.0</v>
      </c>
      <c r="M316" s="7713">
        <v>65.0</v>
      </c>
      <c r="N316" s="7715">
        <v>65.0</v>
      </c>
      <c r="O316" s="7701"/>
      <c r="P316" s="7704"/>
      <c r="Q316" s="7704"/>
      <c r="R316" s="7704"/>
      <c r="S316" s="7705"/>
    </row>
    <row r="317" ht="18.75" customHeight="1">
      <c r="A317" s="7696"/>
      <c r="B317" s="7718" t="s">
        <v>2727</v>
      </c>
      <c r="C317" s="7719" t="s">
        <v>2728</v>
      </c>
      <c r="D317" s="7720"/>
      <c r="E317" s="7723" t="s">
        <v>2283</v>
      </c>
      <c r="F317" s="7723" t="str">
        <f t="shared" si="36"/>
        <v/>
      </c>
      <c r="G317" s="7723"/>
      <c r="H317" s="7723" t="str">
        <f t="shared" si="37"/>
        <v/>
      </c>
      <c r="I317" s="7719">
        <v>45.0</v>
      </c>
      <c r="J317" s="7719">
        <v>63.0</v>
      </c>
      <c r="K317" s="7719">
        <v>37.0</v>
      </c>
      <c r="L317" s="7719">
        <v>65.0</v>
      </c>
      <c r="M317" s="7719">
        <v>55.0</v>
      </c>
      <c r="N317" s="7721">
        <v>95.0</v>
      </c>
      <c r="O317" s="7701"/>
      <c r="P317" s="7704"/>
      <c r="Q317" s="7704"/>
      <c r="R317" s="7704"/>
      <c r="S317" s="7705"/>
    </row>
    <row r="318" ht="18.75" customHeight="1">
      <c r="A318" s="7696"/>
      <c r="B318" s="7712" t="s">
        <v>2729</v>
      </c>
      <c r="C318" s="7713" t="s">
        <v>2730</v>
      </c>
      <c r="D318" s="7714"/>
      <c r="E318" s="7713" t="s">
        <v>2219</v>
      </c>
      <c r="F318" s="7713" t="str">
        <f t="shared" si="36"/>
        <v/>
      </c>
      <c r="G318" s="7713"/>
      <c r="H318" s="7713" t="str">
        <f t="shared" si="37"/>
        <v/>
      </c>
      <c r="I318" s="7713">
        <v>45.0</v>
      </c>
      <c r="J318" s="7713">
        <v>75.0</v>
      </c>
      <c r="K318" s="7713">
        <v>37.0</v>
      </c>
      <c r="L318" s="7713">
        <v>70.0</v>
      </c>
      <c r="M318" s="7713">
        <v>55.0</v>
      </c>
      <c r="N318" s="7715">
        <v>83.0</v>
      </c>
      <c r="O318" s="7701"/>
      <c r="P318" s="7704"/>
      <c r="Q318" s="7704"/>
      <c r="R318" s="7704"/>
      <c r="S318" s="7705"/>
    </row>
    <row r="319" ht="18.75" customHeight="1">
      <c r="A319" s="7696"/>
      <c r="B319" s="7718" t="s">
        <v>2127</v>
      </c>
      <c r="C319" s="7719" t="s">
        <v>2731</v>
      </c>
      <c r="D319" s="7720"/>
      <c r="E319" s="7723" t="s">
        <v>2262</v>
      </c>
      <c r="F319" s="7723" t="str">
        <f t="shared" si="36"/>
        <v/>
      </c>
      <c r="G319" s="7723"/>
      <c r="H319" s="7723" t="str">
        <f t="shared" si="37"/>
        <v/>
      </c>
      <c r="I319" s="7719">
        <v>95.0</v>
      </c>
      <c r="J319" s="7719">
        <v>85.0</v>
      </c>
      <c r="K319" s="7719">
        <v>105.0</v>
      </c>
      <c r="L319" s="7719">
        <v>40.0</v>
      </c>
      <c r="M319" s="7719">
        <v>70.0</v>
      </c>
      <c r="N319" s="7721">
        <v>100.0</v>
      </c>
      <c r="O319" s="7701"/>
      <c r="P319" s="7704"/>
      <c r="Q319" s="7704"/>
      <c r="R319" s="7704"/>
      <c r="S319" s="7705"/>
    </row>
    <row r="320" ht="18.75" customHeight="1">
      <c r="A320" s="7696"/>
      <c r="B320" s="7712" t="s">
        <v>1287</v>
      </c>
      <c r="C320" s="7713" t="s">
        <v>2732</v>
      </c>
      <c r="D320" s="7714"/>
      <c r="E320" s="7713" t="s">
        <v>2262</v>
      </c>
      <c r="F320" s="7713" t="str">
        <f t="shared" si="36"/>
        <v/>
      </c>
      <c r="G320" s="7713"/>
      <c r="H320" s="7713" t="str">
        <f t="shared" si="37"/>
        <v/>
      </c>
      <c r="I320" s="7713">
        <v>255.0</v>
      </c>
      <c r="J320" s="7713">
        <v>10.0</v>
      </c>
      <c r="K320" s="7713">
        <v>10.0</v>
      </c>
      <c r="L320" s="7713">
        <v>75.0</v>
      </c>
      <c r="M320" s="7713">
        <v>135.0</v>
      </c>
      <c r="N320" s="7715">
        <v>55.0</v>
      </c>
      <c r="O320" s="7701"/>
      <c r="P320" s="7704"/>
      <c r="Q320" s="7704"/>
      <c r="R320" s="7704"/>
      <c r="S320" s="7705"/>
    </row>
    <row r="321" ht="18.75" customHeight="1">
      <c r="A321" s="7696"/>
      <c r="B321" s="7718" t="s">
        <v>1652</v>
      </c>
      <c r="C321" s="7719" t="s">
        <v>2733</v>
      </c>
      <c r="D321" s="7720"/>
      <c r="E321" s="7719" t="s">
        <v>2283</v>
      </c>
      <c r="F321" s="7719" t="str">
        <f t="shared" si="36"/>
        <v/>
      </c>
      <c r="G321" s="7719"/>
      <c r="H321" s="7719" t="str">
        <f t="shared" si="37"/>
        <v/>
      </c>
      <c r="I321" s="7719">
        <v>90.0</v>
      </c>
      <c r="J321" s="7719">
        <v>85.0</v>
      </c>
      <c r="K321" s="7719">
        <v>75.0</v>
      </c>
      <c r="L321" s="7719">
        <v>115.0</v>
      </c>
      <c r="M321" s="7719">
        <v>100.0</v>
      </c>
      <c r="N321" s="7721">
        <v>115.0</v>
      </c>
      <c r="O321" s="7701"/>
      <c r="P321" s="7704"/>
      <c r="Q321" s="7704"/>
      <c r="R321" s="7704"/>
      <c r="S321" s="7705"/>
    </row>
    <row r="322" ht="18.75" customHeight="1">
      <c r="A322" s="7696"/>
      <c r="B322" s="7712" t="s">
        <v>2734</v>
      </c>
      <c r="C322" s="7713" t="s">
        <v>2735</v>
      </c>
      <c r="D322" s="7714"/>
      <c r="E322" s="7713" t="s">
        <v>2219</v>
      </c>
      <c r="F322" s="7713" t="str">
        <f t="shared" si="36"/>
        <v/>
      </c>
      <c r="G322" s="7713"/>
      <c r="H322" s="7713" t="str">
        <f t="shared" si="37"/>
        <v/>
      </c>
      <c r="I322" s="7713">
        <v>115.0</v>
      </c>
      <c r="J322" s="7713">
        <v>115.0</v>
      </c>
      <c r="K322" s="7713">
        <v>85.0</v>
      </c>
      <c r="L322" s="7713">
        <v>90.0</v>
      </c>
      <c r="M322" s="7713">
        <v>75.0</v>
      </c>
      <c r="N322" s="7715">
        <v>100.0</v>
      </c>
      <c r="O322" s="7701"/>
      <c r="P322" s="7704"/>
      <c r="Q322" s="7704"/>
      <c r="R322" s="7704"/>
      <c r="S322" s="7705"/>
    </row>
    <row r="323" ht="18.75" customHeight="1">
      <c r="A323" s="7696"/>
      <c r="B323" s="7718" t="s">
        <v>2736</v>
      </c>
      <c r="C323" s="7719" t="s">
        <v>2737</v>
      </c>
      <c r="D323" s="7720"/>
      <c r="E323" s="7719" t="s">
        <v>2232</v>
      </c>
      <c r="F323" s="7719" t="str">
        <f t="shared" si="36"/>
        <v/>
      </c>
      <c r="G323" s="7719"/>
      <c r="H323" s="7719" t="str">
        <f t="shared" si="37"/>
        <v/>
      </c>
      <c r="I323" s="7719">
        <v>100.0</v>
      </c>
      <c r="J323" s="7719">
        <v>75.0</v>
      </c>
      <c r="K323" s="7719">
        <v>115.0</v>
      </c>
      <c r="L323" s="7719">
        <v>90.0</v>
      </c>
      <c r="M323" s="7719">
        <v>115.0</v>
      </c>
      <c r="N323" s="7721">
        <v>85.0</v>
      </c>
      <c r="O323" s="7701"/>
      <c r="P323" s="7704"/>
      <c r="Q323" s="7704"/>
      <c r="R323" s="7704"/>
      <c r="S323" s="7705"/>
    </row>
    <row r="324" ht="18.75" customHeight="1">
      <c r="A324" s="7696"/>
      <c r="B324" s="7712" t="s">
        <v>2738</v>
      </c>
      <c r="C324" s="7713" t="s">
        <v>2739</v>
      </c>
      <c r="D324" s="7714"/>
      <c r="E324" s="7713" t="s">
        <v>2370</v>
      </c>
      <c r="F324" s="7713" t="str">
        <f t="shared" si="36"/>
        <v/>
      </c>
      <c r="G324" s="7713" t="s">
        <v>2304</v>
      </c>
      <c r="H324" s="7713" t="str">
        <f t="shared" si="37"/>
        <v/>
      </c>
      <c r="I324" s="7713">
        <v>50.0</v>
      </c>
      <c r="J324" s="7713">
        <v>64.0</v>
      </c>
      <c r="K324" s="7713">
        <v>50.0</v>
      </c>
      <c r="L324" s="7713">
        <v>45.0</v>
      </c>
      <c r="M324" s="7713">
        <v>50.0</v>
      </c>
      <c r="N324" s="7715">
        <v>41.0</v>
      </c>
      <c r="O324" s="7701"/>
      <c r="P324" s="7704"/>
      <c r="Q324" s="7704"/>
      <c r="R324" s="7704"/>
      <c r="S324" s="7705"/>
    </row>
    <row r="325" ht="18.75" customHeight="1">
      <c r="A325" s="7696"/>
      <c r="B325" s="7718" t="s">
        <v>2740</v>
      </c>
      <c r="C325" s="7719" t="s">
        <v>2741</v>
      </c>
      <c r="D325" s="7720"/>
      <c r="E325" s="7723" t="s">
        <v>2370</v>
      </c>
      <c r="F325" s="7723" t="str">
        <f t="shared" si="36"/>
        <v/>
      </c>
      <c r="G325" s="7723" t="s">
        <v>2304</v>
      </c>
      <c r="H325" s="7723" t="str">
        <f t="shared" si="37"/>
        <v/>
      </c>
      <c r="I325" s="7719">
        <v>70.0</v>
      </c>
      <c r="J325" s="7719">
        <v>84.0</v>
      </c>
      <c r="K325" s="7719">
        <v>70.0</v>
      </c>
      <c r="L325" s="7719">
        <v>65.0</v>
      </c>
      <c r="M325" s="7719">
        <v>70.0</v>
      </c>
      <c r="N325" s="7721">
        <v>51.0</v>
      </c>
      <c r="O325" s="7701"/>
      <c r="P325" s="7704"/>
      <c r="Q325" s="7704"/>
      <c r="R325" s="7704"/>
      <c r="S325" s="7705"/>
    </row>
    <row r="326" ht="18.75" customHeight="1">
      <c r="A326" s="7696"/>
      <c r="B326" s="7712" t="s">
        <v>59</v>
      </c>
      <c r="C326" s="7713" t="s">
        <v>2742</v>
      </c>
      <c r="D326" s="7714"/>
      <c r="E326" s="7713" t="s">
        <v>2370</v>
      </c>
      <c r="F326" s="7713" t="str">
        <f t="shared" si="36"/>
        <v/>
      </c>
      <c r="G326" s="7713" t="s">
        <v>2272</v>
      </c>
      <c r="H326" s="7713" t="str">
        <f t="shared" si="37"/>
        <v/>
      </c>
      <c r="I326" s="7713">
        <v>100.0</v>
      </c>
      <c r="J326" s="7713">
        <v>134.0</v>
      </c>
      <c r="K326" s="7713">
        <v>110.0</v>
      </c>
      <c r="L326" s="7713">
        <v>95.0</v>
      </c>
      <c r="M326" s="7713">
        <v>100.0</v>
      </c>
      <c r="N326" s="7715">
        <v>61.0</v>
      </c>
      <c r="O326" s="7701"/>
      <c r="P326" s="7704"/>
      <c r="Q326" s="7704"/>
      <c r="R326" s="7704"/>
      <c r="S326" s="7705"/>
    </row>
    <row r="327" ht="18.75" customHeight="1">
      <c r="A327" s="7696"/>
      <c r="B327" s="7718" t="s">
        <v>2743</v>
      </c>
      <c r="C327" s="7723" t="s">
        <v>2744</v>
      </c>
      <c r="D327" s="7720"/>
      <c r="E327" s="7719" t="s">
        <v>2370</v>
      </c>
      <c r="F327" s="7719" t="str">
        <f t="shared" si="36"/>
        <v/>
      </c>
      <c r="G327" s="7719" t="s">
        <v>2272</v>
      </c>
      <c r="H327" s="7719" t="str">
        <f t="shared" si="37"/>
        <v/>
      </c>
      <c r="I327" s="7719">
        <v>100.0</v>
      </c>
      <c r="J327" s="7719">
        <v>164.0</v>
      </c>
      <c r="K327" s="7719">
        <v>150.0</v>
      </c>
      <c r="L327" s="7719">
        <v>95.0</v>
      </c>
      <c r="M327" s="7719">
        <v>120.0</v>
      </c>
      <c r="N327" s="7721">
        <v>71.0</v>
      </c>
      <c r="O327" s="7701"/>
      <c r="P327" s="7704"/>
      <c r="Q327" s="7704"/>
      <c r="R327" s="7704"/>
      <c r="S327" s="7705"/>
    </row>
    <row r="328" ht="18.75" customHeight="1">
      <c r="A328" s="7696"/>
      <c r="B328" s="7712" t="s">
        <v>2745</v>
      </c>
      <c r="C328" s="7713" t="s">
        <v>2746</v>
      </c>
      <c r="D328" s="7714"/>
      <c r="E328" s="7713" t="s">
        <v>669</v>
      </c>
      <c r="F328" s="7713" t="str">
        <f t="shared" si="36"/>
        <v/>
      </c>
      <c r="G328" s="7713" t="s">
        <v>2224</v>
      </c>
      <c r="H328" s="7713" t="str">
        <f t="shared" si="37"/>
        <v/>
      </c>
      <c r="I328" s="7713">
        <v>106.0</v>
      </c>
      <c r="J328" s="7713">
        <v>90.0</v>
      </c>
      <c r="K328" s="7713">
        <v>130.0</v>
      </c>
      <c r="L328" s="7713">
        <v>90.0</v>
      </c>
      <c r="M328" s="7713">
        <v>154.0</v>
      </c>
      <c r="N328" s="7715">
        <v>110.0</v>
      </c>
      <c r="O328" s="7701"/>
      <c r="P328" s="7704"/>
      <c r="Q328" s="7704"/>
      <c r="R328" s="7704"/>
      <c r="S328" s="7705"/>
    </row>
    <row r="329" ht="18.75" customHeight="1">
      <c r="A329" s="7696"/>
      <c r="B329" s="7718" t="s">
        <v>679</v>
      </c>
      <c r="C329" s="7723" t="s">
        <v>2747</v>
      </c>
      <c r="D329" s="7720"/>
      <c r="E329" s="7723" t="s">
        <v>2219</v>
      </c>
      <c r="F329" s="7723" t="str">
        <f t="shared" si="36"/>
        <v/>
      </c>
      <c r="G329" s="7723" t="s">
        <v>2224</v>
      </c>
      <c r="H329" s="7723" t="str">
        <f t="shared" si="37"/>
        <v/>
      </c>
      <c r="I329" s="7719">
        <v>106.0</v>
      </c>
      <c r="J329" s="7719">
        <v>130.0</v>
      </c>
      <c r="K329" s="7719">
        <v>90.0</v>
      </c>
      <c r="L329" s="7719">
        <v>110.0</v>
      </c>
      <c r="M329" s="7719">
        <v>154.0</v>
      </c>
      <c r="N329" s="7721">
        <v>90.0</v>
      </c>
      <c r="O329" s="7701"/>
      <c r="P329" s="7704"/>
      <c r="Q329" s="7704"/>
      <c r="R329" s="7704"/>
      <c r="S329" s="7705"/>
    </row>
    <row r="330" ht="18.75" customHeight="1">
      <c r="A330" s="7696"/>
      <c r="B330" s="7736" t="s">
        <v>1815</v>
      </c>
      <c r="C330" s="7737" t="s">
        <v>2748</v>
      </c>
      <c r="D330" s="7738"/>
      <c r="E330" s="7737" t="s">
        <v>669</v>
      </c>
      <c r="F330" s="7737" t="str">
        <f t="shared" si="36"/>
        <v/>
      </c>
      <c r="G330" s="7737" t="s">
        <v>2209</v>
      </c>
      <c r="H330" s="7737" t="str">
        <f t="shared" si="37"/>
        <v/>
      </c>
      <c r="I330" s="7737">
        <v>100.0</v>
      </c>
      <c r="J330" s="7737">
        <v>100.0</v>
      </c>
      <c r="K330" s="7737">
        <v>100.0</v>
      </c>
      <c r="L330" s="7737">
        <v>100.0</v>
      </c>
      <c r="M330" s="7737">
        <v>100.0</v>
      </c>
      <c r="N330" s="7739">
        <v>100.0</v>
      </c>
      <c r="O330" s="7701"/>
      <c r="P330" s="7704"/>
      <c r="Q330" s="7704"/>
      <c r="R330" s="7704"/>
      <c r="S330" s="7705"/>
    </row>
    <row r="331">
      <c r="A331" s="7696"/>
      <c r="B331" s="7694"/>
      <c r="C331" s="7694"/>
      <c r="D331" s="7694"/>
      <c r="E331" s="7694"/>
      <c r="F331" s="7694"/>
      <c r="G331" s="7694"/>
      <c r="H331" s="7694"/>
      <c r="I331" s="7694"/>
      <c r="J331" s="7694"/>
      <c r="K331" s="7694"/>
      <c r="L331" s="7694"/>
      <c r="M331" s="7694"/>
      <c r="N331" s="7694"/>
      <c r="O331" s="7696"/>
      <c r="P331" s="7696"/>
      <c r="Q331" s="7694"/>
      <c r="R331" s="7704"/>
      <c r="S331" s="7705"/>
    </row>
    <row r="332">
      <c r="A332" s="7696"/>
      <c r="B332" s="7697" t="s">
        <v>2749</v>
      </c>
      <c r="C332" s="7740"/>
      <c r="D332" s="7740"/>
      <c r="E332" s="7740"/>
      <c r="F332" s="7740"/>
      <c r="G332" s="7740"/>
      <c r="H332" s="7741"/>
      <c r="I332" s="7699" t="s">
        <v>513</v>
      </c>
      <c r="J332" s="7699" t="s">
        <v>514</v>
      </c>
      <c r="K332" s="7699" t="s">
        <v>515</v>
      </c>
      <c r="L332" s="7699" t="s">
        <v>516</v>
      </c>
      <c r="M332" s="7699" t="s">
        <v>517</v>
      </c>
      <c r="N332" s="7700" t="s">
        <v>518</v>
      </c>
      <c r="O332" s="7701"/>
      <c r="P332" s="7704"/>
      <c r="Q332" s="7704"/>
      <c r="R332" s="7704"/>
      <c r="S332" s="7705"/>
    </row>
    <row r="333" ht="18.75" customHeight="1">
      <c r="A333" s="7696"/>
      <c r="B333" s="7742" t="s">
        <v>993</v>
      </c>
      <c r="C333" s="7743" t="s">
        <v>2750</v>
      </c>
      <c r="D333" s="7744"/>
      <c r="E333" s="7747" t="s">
        <v>2209</v>
      </c>
      <c r="F333" s="7747" t="str">
        <f t="shared" ref="F333:F477" si="38">IFERROR(VLOOKUP(E333,P$3:Q350,2,False),"")</f>
        <v/>
      </c>
      <c r="G333" s="7747"/>
      <c r="H333" s="7747" t="str">
        <f t="shared" ref="H333:H477" si="39">IFERROR(VLOOKUP(G333,P$3:Q350,2,False),"")</f>
        <v/>
      </c>
      <c r="I333" s="7745">
        <v>40.0</v>
      </c>
      <c r="J333" s="7745">
        <v>45.0</v>
      </c>
      <c r="K333" s="7745">
        <v>35.0</v>
      </c>
      <c r="L333" s="7745">
        <v>65.0</v>
      </c>
      <c r="M333" s="7745">
        <v>55.0</v>
      </c>
      <c r="N333" s="7746">
        <v>70.0</v>
      </c>
      <c r="O333" s="7701"/>
      <c r="P333" s="7704"/>
      <c r="Q333" s="7704"/>
      <c r="R333" s="7704"/>
      <c r="S333" s="7705"/>
    </row>
    <row r="334" ht="18.75" customHeight="1">
      <c r="A334" s="7696"/>
      <c r="B334" s="7712" t="s">
        <v>2751</v>
      </c>
      <c r="C334" s="7713" t="s">
        <v>2752</v>
      </c>
      <c r="D334" s="7714"/>
      <c r="E334" s="7713" t="s">
        <v>2209</v>
      </c>
      <c r="F334" s="7713" t="str">
        <f t="shared" si="38"/>
        <v/>
      </c>
      <c r="G334" s="7713"/>
      <c r="H334" s="7713" t="str">
        <f t="shared" si="39"/>
        <v/>
      </c>
      <c r="I334" s="7713">
        <v>50.0</v>
      </c>
      <c r="J334" s="7713">
        <v>65.0</v>
      </c>
      <c r="K334" s="7713">
        <v>45.0</v>
      </c>
      <c r="L334" s="7713">
        <v>85.0</v>
      </c>
      <c r="M334" s="7713">
        <v>65.0</v>
      </c>
      <c r="N334" s="7715">
        <v>95.0</v>
      </c>
      <c r="O334" s="7701"/>
      <c r="P334" s="7704"/>
      <c r="Q334" s="7704"/>
      <c r="R334" s="7704"/>
      <c r="S334" s="7705"/>
    </row>
    <row r="335" ht="18.75" customHeight="1">
      <c r="A335" s="7696"/>
      <c r="B335" s="7718" t="s">
        <v>1034</v>
      </c>
      <c r="C335" s="7719" t="s">
        <v>2753</v>
      </c>
      <c r="D335" s="7720"/>
      <c r="E335" s="7719" t="s">
        <v>2209</v>
      </c>
      <c r="F335" s="7719" t="str">
        <f t="shared" si="38"/>
        <v/>
      </c>
      <c r="G335" s="7723" t="s">
        <v>2227</v>
      </c>
      <c r="H335" s="7719" t="str">
        <f t="shared" si="39"/>
        <v/>
      </c>
      <c r="I335" s="7719">
        <v>70.0</v>
      </c>
      <c r="J335" s="7719">
        <v>105.0</v>
      </c>
      <c r="K335" s="7719">
        <v>65.0</v>
      </c>
      <c r="L335" s="7719">
        <v>85.0</v>
      </c>
      <c r="M335" s="7719">
        <v>85.0</v>
      </c>
      <c r="N335" s="7721">
        <v>120.0</v>
      </c>
      <c r="O335" s="7701"/>
      <c r="P335" s="7704"/>
      <c r="Q335" s="7704"/>
      <c r="R335" s="7704"/>
      <c r="S335" s="7705"/>
    </row>
    <row r="336" ht="18.75" customHeight="1">
      <c r="A336" s="7696"/>
      <c r="B336" s="7712" t="s">
        <v>599</v>
      </c>
      <c r="C336" s="7722" t="s">
        <v>2754</v>
      </c>
      <c r="D336" s="7714"/>
      <c r="E336" s="7713" t="s">
        <v>2209</v>
      </c>
      <c r="F336" s="7713" t="str">
        <f t="shared" si="38"/>
        <v/>
      </c>
      <c r="G336" s="7713" t="s">
        <v>2227</v>
      </c>
      <c r="H336" s="7713" t="str">
        <f t="shared" si="39"/>
        <v/>
      </c>
      <c r="I336" s="7713">
        <v>70.0</v>
      </c>
      <c r="J336" s="7713">
        <v>135.0</v>
      </c>
      <c r="K336" s="7713">
        <v>75.0</v>
      </c>
      <c r="L336" s="7713">
        <v>110.0</v>
      </c>
      <c r="M336" s="7713">
        <v>85.0</v>
      </c>
      <c r="N336" s="7715">
        <v>145.0</v>
      </c>
      <c r="O336" s="7701"/>
      <c r="P336" s="7704"/>
      <c r="Q336" s="7704"/>
      <c r="R336" s="7704"/>
      <c r="S336" s="7705"/>
    </row>
    <row r="337" ht="18.75" customHeight="1">
      <c r="A337" s="7696"/>
      <c r="B337" s="7718" t="s">
        <v>2755</v>
      </c>
      <c r="C337" s="7719" t="s">
        <v>2756</v>
      </c>
      <c r="D337" s="7720"/>
      <c r="E337" s="7719" t="s">
        <v>2219</v>
      </c>
      <c r="F337" s="7719" t="str">
        <f t="shared" si="38"/>
        <v/>
      </c>
      <c r="G337" s="7719"/>
      <c r="H337" s="7719" t="str">
        <f t="shared" si="39"/>
        <v/>
      </c>
      <c r="I337" s="7719">
        <v>45.0</v>
      </c>
      <c r="J337" s="7719">
        <v>60.0</v>
      </c>
      <c r="K337" s="7719">
        <v>40.0</v>
      </c>
      <c r="L337" s="7719">
        <v>70.0</v>
      </c>
      <c r="M337" s="7719">
        <v>50.0</v>
      </c>
      <c r="N337" s="7721">
        <v>45.0</v>
      </c>
      <c r="O337" s="7701"/>
      <c r="P337" s="7704"/>
      <c r="Q337" s="7704"/>
      <c r="R337" s="7704"/>
      <c r="S337" s="7705"/>
    </row>
    <row r="338" ht="18.75" customHeight="1">
      <c r="A338" s="7696"/>
      <c r="B338" s="7712" t="s">
        <v>2757</v>
      </c>
      <c r="C338" s="7713" t="s">
        <v>2758</v>
      </c>
      <c r="D338" s="7714"/>
      <c r="E338" s="7713" t="s">
        <v>2219</v>
      </c>
      <c r="F338" s="7713" t="str">
        <f t="shared" si="38"/>
        <v/>
      </c>
      <c r="G338" s="7713" t="s">
        <v>2296</v>
      </c>
      <c r="H338" s="7713" t="str">
        <f t="shared" si="39"/>
        <v/>
      </c>
      <c r="I338" s="7713">
        <v>60.0</v>
      </c>
      <c r="J338" s="7713">
        <v>85.0</v>
      </c>
      <c r="K338" s="7713">
        <v>60.0</v>
      </c>
      <c r="L338" s="7713">
        <v>85.0</v>
      </c>
      <c r="M338" s="7713">
        <v>60.0</v>
      </c>
      <c r="N338" s="7715">
        <v>55.0</v>
      </c>
      <c r="O338" s="7701"/>
      <c r="P338" s="7704"/>
      <c r="Q338" s="7704"/>
      <c r="R338" s="7704"/>
      <c r="S338" s="7705"/>
    </row>
    <row r="339" ht="18.75" customHeight="1">
      <c r="A339" s="7696"/>
      <c r="B339" s="7718" t="s">
        <v>1550</v>
      </c>
      <c r="C339" s="7719" t="s">
        <v>2759</v>
      </c>
      <c r="D339" s="7720"/>
      <c r="E339" s="7723" t="s">
        <v>2219</v>
      </c>
      <c r="F339" s="7723" t="str">
        <f t="shared" si="38"/>
        <v/>
      </c>
      <c r="G339" s="7723" t="s">
        <v>2296</v>
      </c>
      <c r="H339" s="7723" t="str">
        <f t="shared" si="39"/>
        <v/>
      </c>
      <c r="I339" s="7719">
        <v>80.0</v>
      </c>
      <c r="J339" s="7719">
        <v>120.0</v>
      </c>
      <c r="K339" s="7719">
        <v>70.0</v>
      </c>
      <c r="L339" s="7719">
        <v>110.0</v>
      </c>
      <c r="M339" s="7719">
        <v>70.0</v>
      </c>
      <c r="N339" s="7721">
        <v>80.0</v>
      </c>
      <c r="O339" s="7701"/>
      <c r="P339" s="7704"/>
      <c r="Q339" s="7704"/>
      <c r="R339" s="7704"/>
      <c r="S339" s="7705"/>
    </row>
    <row r="340" ht="18.75" customHeight="1">
      <c r="A340" s="7696"/>
      <c r="B340" s="7712" t="s">
        <v>1080</v>
      </c>
      <c r="C340" s="7722" t="s">
        <v>2760</v>
      </c>
      <c r="D340" s="7714"/>
      <c r="E340" s="7713" t="s">
        <v>2219</v>
      </c>
      <c r="F340" s="7713" t="str">
        <f t="shared" si="38"/>
        <v/>
      </c>
      <c r="G340" s="7713" t="s">
        <v>2296</v>
      </c>
      <c r="H340" s="7713" t="str">
        <f t="shared" si="39"/>
        <v/>
      </c>
      <c r="I340" s="7713">
        <v>80.0</v>
      </c>
      <c r="J340" s="7713">
        <v>160.0</v>
      </c>
      <c r="K340" s="7713">
        <v>80.0</v>
      </c>
      <c r="L340" s="7713">
        <v>130.0</v>
      </c>
      <c r="M340" s="7713">
        <v>80.0</v>
      </c>
      <c r="N340" s="7715">
        <v>100.0</v>
      </c>
      <c r="O340" s="7701"/>
      <c r="P340" s="7704"/>
      <c r="Q340" s="7704"/>
      <c r="R340" s="7704"/>
      <c r="S340" s="7705"/>
    </row>
    <row r="341" ht="18.75" customHeight="1">
      <c r="A341" s="7696"/>
      <c r="B341" s="7718" t="s">
        <v>2761</v>
      </c>
      <c r="C341" s="7719" t="s">
        <v>2762</v>
      </c>
      <c r="D341" s="7720"/>
      <c r="E341" s="7719" t="s">
        <v>2232</v>
      </c>
      <c r="F341" s="7719" t="str">
        <f t="shared" si="38"/>
        <v/>
      </c>
      <c r="G341" s="7719"/>
      <c r="H341" s="7719" t="str">
        <f t="shared" si="39"/>
        <v/>
      </c>
      <c r="I341" s="7719">
        <v>50.0</v>
      </c>
      <c r="J341" s="7719">
        <v>70.0</v>
      </c>
      <c r="K341" s="7719">
        <v>50.0</v>
      </c>
      <c r="L341" s="7719">
        <v>50.0</v>
      </c>
      <c r="M341" s="7719">
        <v>50.0</v>
      </c>
      <c r="N341" s="7721">
        <v>40.0</v>
      </c>
      <c r="O341" s="7701"/>
      <c r="P341" s="7704"/>
      <c r="Q341" s="7704"/>
      <c r="R341" s="7704"/>
      <c r="S341" s="7705"/>
    </row>
    <row r="342" ht="18.75" customHeight="1">
      <c r="A342" s="7696"/>
      <c r="B342" s="7712" t="s">
        <v>2763</v>
      </c>
      <c r="C342" s="7713" t="s">
        <v>2764</v>
      </c>
      <c r="D342" s="7714"/>
      <c r="E342" s="7713" t="s">
        <v>2232</v>
      </c>
      <c r="F342" s="7713" t="str">
        <f t="shared" si="38"/>
        <v/>
      </c>
      <c r="G342" s="7713" t="s">
        <v>2304</v>
      </c>
      <c r="H342" s="7713" t="str">
        <f t="shared" si="39"/>
        <v/>
      </c>
      <c r="I342" s="7713">
        <v>70.0</v>
      </c>
      <c r="J342" s="7713">
        <v>85.0</v>
      </c>
      <c r="K342" s="7713">
        <v>70.0</v>
      </c>
      <c r="L342" s="7713">
        <v>60.0</v>
      </c>
      <c r="M342" s="7713">
        <v>70.0</v>
      </c>
      <c r="N342" s="7715">
        <v>50.0</v>
      </c>
      <c r="O342" s="7701"/>
      <c r="P342" s="7704"/>
      <c r="Q342" s="7704"/>
      <c r="R342" s="7704"/>
      <c r="S342" s="7705"/>
    </row>
    <row r="343" ht="18.75" customHeight="1">
      <c r="A343" s="7696"/>
      <c r="B343" s="7718" t="s">
        <v>1625</v>
      </c>
      <c r="C343" s="7719" t="s">
        <v>2765</v>
      </c>
      <c r="D343" s="7720"/>
      <c r="E343" s="7719" t="s">
        <v>2232</v>
      </c>
      <c r="F343" s="7719" t="str">
        <f t="shared" si="38"/>
        <v/>
      </c>
      <c r="G343" s="7719" t="s">
        <v>2304</v>
      </c>
      <c r="H343" s="7719" t="str">
        <f t="shared" si="39"/>
        <v/>
      </c>
      <c r="I343" s="7719">
        <v>100.0</v>
      </c>
      <c r="J343" s="7719">
        <v>110.0</v>
      </c>
      <c r="K343" s="7719">
        <v>90.0</v>
      </c>
      <c r="L343" s="7719">
        <v>85.0</v>
      </c>
      <c r="M343" s="7719">
        <v>90.0</v>
      </c>
      <c r="N343" s="7721">
        <v>60.0</v>
      </c>
      <c r="O343" s="7701"/>
      <c r="P343" s="7704"/>
      <c r="Q343" s="7704"/>
      <c r="R343" s="7704"/>
      <c r="S343" s="7705"/>
    </row>
    <row r="344" ht="18.75" customHeight="1">
      <c r="A344" s="7696"/>
      <c r="B344" s="7712" t="s">
        <v>1788</v>
      </c>
      <c r="C344" s="7722" t="s">
        <v>2766</v>
      </c>
      <c r="D344" s="7714"/>
      <c r="E344" s="7713" t="s">
        <v>2232</v>
      </c>
      <c r="F344" s="7713" t="str">
        <f t="shared" si="38"/>
        <v/>
      </c>
      <c r="G344" s="7713" t="s">
        <v>2304</v>
      </c>
      <c r="H344" s="7713" t="str">
        <f t="shared" si="39"/>
        <v/>
      </c>
      <c r="I344" s="7713">
        <v>100.0</v>
      </c>
      <c r="J344" s="7713">
        <v>150.0</v>
      </c>
      <c r="K344" s="7713">
        <v>110.0</v>
      </c>
      <c r="L344" s="7713">
        <v>95.0</v>
      </c>
      <c r="M344" s="7713">
        <v>110.0</v>
      </c>
      <c r="N344" s="7715">
        <v>70.0</v>
      </c>
      <c r="O344" s="7701"/>
      <c r="P344" s="7704"/>
      <c r="Q344" s="7704"/>
      <c r="R344" s="7704"/>
      <c r="S344" s="7705"/>
    </row>
    <row r="345" ht="18.75" customHeight="1">
      <c r="A345" s="7696"/>
      <c r="B345" s="7718" t="s">
        <v>2767</v>
      </c>
      <c r="C345" s="7719" t="s">
        <v>2768</v>
      </c>
      <c r="D345" s="7720"/>
      <c r="E345" s="7719" t="s">
        <v>2272</v>
      </c>
      <c r="F345" s="7719" t="str">
        <f t="shared" si="38"/>
        <v/>
      </c>
      <c r="G345" s="7719"/>
      <c r="H345" s="7719" t="str">
        <f t="shared" si="39"/>
        <v/>
      </c>
      <c r="I345" s="7719">
        <v>35.0</v>
      </c>
      <c r="J345" s="7719">
        <v>55.0</v>
      </c>
      <c r="K345" s="7719">
        <v>35.0</v>
      </c>
      <c r="L345" s="7719">
        <v>30.0</v>
      </c>
      <c r="M345" s="7719">
        <v>30.0</v>
      </c>
      <c r="N345" s="7721">
        <v>35.0</v>
      </c>
      <c r="O345" s="7701"/>
      <c r="P345" s="7704"/>
      <c r="Q345" s="7704"/>
      <c r="R345" s="7704"/>
      <c r="S345" s="7705"/>
    </row>
    <row r="346" ht="18.75" customHeight="1">
      <c r="A346" s="7696"/>
      <c r="B346" s="7712" t="s">
        <v>186</v>
      </c>
      <c r="C346" s="7713" t="s">
        <v>2769</v>
      </c>
      <c r="D346" s="7714"/>
      <c r="E346" s="7713" t="s">
        <v>2272</v>
      </c>
      <c r="F346" s="7713" t="str">
        <f t="shared" si="38"/>
        <v/>
      </c>
      <c r="G346" s="7713"/>
      <c r="H346" s="7713" t="str">
        <f t="shared" si="39"/>
        <v/>
      </c>
      <c r="I346" s="7713">
        <v>70.0</v>
      </c>
      <c r="J346" s="7713">
        <v>95.0</v>
      </c>
      <c r="K346" s="7713">
        <v>70.0</v>
      </c>
      <c r="L346" s="7713">
        <v>60.0</v>
      </c>
      <c r="M346" s="7713">
        <v>60.0</v>
      </c>
      <c r="N346" s="7715">
        <v>70.0</v>
      </c>
      <c r="O346" s="7701"/>
      <c r="P346" s="7704"/>
      <c r="Q346" s="7704"/>
      <c r="R346" s="7704"/>
      <c r="S346" s="7705"/>
    </row>
    <row r="347" ht="18.75" customHeight="1">
      <c r="A347" s="7696"/>
      <c r="B347" s="7718" t="s">
        <v>2770</v>
      </c>
      <c r="C347" s="7719" t="s">
        <v>2771</v>
      </c>
      <c r="D347" s="7720"/>
      <c r="E347" s="7719" t="s">
        <v>2262</v>
      </c>
      <c r="F347" s="7719" t="str">
        <f t="shared" si="38"/>
        <v/>
      </c>
      <c r="G347" s="7719"/>
      <c r="H347" s="7719" t="str">
        <f t="shared" si="39"/>
        <v/>
      </c>
      <c r="I347" s="7719">
        <v>38.0</v>
      </c>
      <c r="J347" s="7719">
        <v>30.0</v>
      </c>
      <c r="K347" s="7719">
        <v>41.0</v>
      </c>
      <c r="L347" s="7719">
        <v>30.0</v>
      </c>
      <c r="M347" s="7719">
        <v>41.0</v>
      </c>
      <c r="N347" s="7721">
        <v>60.0</v>
      </c>
      <c r="O347" s="7701"/>
      <c r="P347" s="7704"/>
      <c r="Q347" s="7704"/>
      <c r="R347" s="7704"/>
      <c r="S347" s="7705"/>
    </row>
    <row r="348" ht="18.75" customHeight="1">
      <c r="A348" s="7696"/>
      <c r="B348" s="7712" t="s">
        <v>2772</v>
      </c>
      <c r="C348" s="7722" t="s">
        <v>2773</v>
      </c>
      <c r="D348" s="7714"/>
      <c r="E348" s="7722" t="s">
        <v>2272</v>
      </c>
      <c r="F348" s="7722" t="str">
        <f t="shared" si="38"/>
        <v/>
      </c>
      <c r="G348" s="7722" t="s">
        <v>2262</v>
      </c>
      <c r="H348" s="7722" t="str">
        <f t="shared" si="39"/>
        <v/>
      </c>
      <c r="I348" s="7713">
        <v>38.0</v>
      </c>
      <c r="J348" s="7713">
        <v>30.0</v>
      </c>
      <c r="K348" s="7713">
        <v>41.0</v>
      </c>
      <c r="L348" s="7713">
        <v>30.0</v>
      </c>
      <c r="M348" s="7713">
        <v>41.0</v>
      </c>
      <c r="N348" s="7715">
        <v>60.0</v>
      </c>
      <c r="O348" s="7701"/>
      <c r="P348" s="7704"/>
      <c r="Q348" s="7704"/>
      <c r="R348" s="7704"/>
      <c r="S348" s="7705"/>
    </row>
    <row r="349" ht="18.75" customHeight="1">
      <c r="A349" s="7696"/>
      <c r="B349" s="7718" t="s">
        <v>199</v>
      </c>
      <c r="C349" s="7719" t="s">
        <v>2774</v>
      </c>
      <c r="D349" s="7720"/>
      <c r="E349" s="7719" t="s">
        <v>2262</v>
      </c>
      <c r="F349" s="7719" t="str">
        <f t="shared" si="38"/>
        <v/>
      </c>
      <c r="G349" s="7719"/>
      <c r="H349" s="7719" t="str">
        <f t="shared" si="39"/>
        <v/>
      </c>
      <c r="I349" s="7719">
        <v>85.0</v>
      </c>
      <c r="J349" s="7719">
        <v>85.0</v>
      </c>
      <c r="K349" s="7719">
        <v>61.0</v>
      </c>
      <c r="L349" s="7719">
        <v>50.0</v>
      </c>
      <c r="M349" s="7719">
        <v>61.0</v>
      </c>
      <c r="N349" s="7721">
        <v>100.0</v>
      </c>
      <c r="O349" s="7701"/>
      <c r="P349" s="7704"/>
      <c r="Q349" s="7704"/>
      <c r="R349" s="7704"/>
      <c r="S349" s="7705"/>
    </row>
    <row r="350" ht="18.75" customHeight="1">
      <c r="A350" s="7696"/>
      <c r="B350" s="7712" t="s">
        <v>2775</v>
      </c>
      <c r="C350" s="7722" t="s">
        <v>2776</v>
      </c>
      <c r="D350" s="7714"/>
      <c r="E350" s="7722" t="s">
        <v>2272</v>
      </c>
      <c r="F350" s="7722" t="str">
        <f t="shared" si="38"/>
        <v/>
      </c>
      <c r="G350" s="7722" t="s">
        <v>2262</v>
      </c>
      <c r="H350" s="7722" t="str">
        <f t="shared" si="39"/>
        <v/>
      </c>
      <c r="I350" s="7713">
        <v>78.0</v>
      </c>
      <c r="J350" s="7713">
        <v>70.0</v>
      </c>
      <c r="K350" s="7713">
        <v>61.0</v>
      </c>
      <c r="L350" s="7713">
        <v>50.0</v>
      </c>
      <c r="M350" s="7713">
        <v>61.0</v>
      </c>
      <c r="N350" s="7715">
        <v>100.0</v>
      </c>
      <c r="O350" s="7701"/>
      <c r="P350" s="7704"/>
      <c r="Q350" s="7704"/>
      <c r="R350" s="7704"/>
      <c r="S350" s="7705"/>
    </row>
    <row r="351" ht="18.75" customHeight="1">
      <c r="A351" s="7696"/>
      <c r="B351" s="7718" t="s">
        <v>2777</v>
      </c>
      <c r="C351" s="7719" t="s">
        <v>2778</v>
      </c>
      <c r="D351" s="7720"/>
      <c r="E351" s="7719" t="s">
        <v>2243</v>
      </c>
      <c r="F351" s="7719" t="str">
        <f t="shared" si="38"/>
        <v/>
      </c>
      <c r="G351" s="7719"/>
      <c r="H351" s="7719" t="str">
        <f t="shared" si="39"/>
        <v/>
      </c>
      <c r="I351" s="7719">
        <v>45.0</v>
      </c>
      <c r="J351" s="7719">
        <v>45.0</v>
      </c>
      <c r="K351" s="7719">
        <v>35.0</v>
      </c>
      <c r="L351" s="7719">
        <v>20.0</v>
      </c>
      <c r="M351" s="7719">
        <v>30.0</v>
      </c>
      <c r="N351" s="7721">
        <v>20.0</v>
      </c>
      <c r="O351" s="7701"/>
      <c r="P351" s="7704"/>
      <c r="Q351" s="7704"/>
      <c r="R351" s="7704"/>
      <c r="S351" s="7705"/>
    </row>
    <row r="352" ht="18.75" customHeight="1">
      <c r="A352" s="7696"/>
      <c r="B352" s="7712" t="s">
        <v>2779</v>
      </c>
      <c r="C352" s="7713" t="s">
        <v>2780</v>
      </c>
      <c r="D352" s="7714"/>
      <c r="E352" s="7722" t="s">
        <v>2243</v>
      </c>
      <c r="F352" s="7722" t="str">
        <f t="shared" si="38"/>
        <v/>
      </c>
      <c r="G352" s="7722"/>
      <c r="H352" s="7722" t="str">
        <f t="shared" si="39"/>
        <v/>
      </c>
      <c r="I352" s="7713">
        <v>50.0</v>
      </c>
      <c r="J352" s="7713">
        <v>35.0</v>
      </c>
      <c r="K352" s="7713">
        <v>55.0</v>
      </c>
      <c r="L352" s="7713">
        <v>25.0</v>
      </c>
      <c r="M352" s="7713">
        <v>25.0</v>
      </c>
      <c r="N352" s="7715">
        <v>15.0</v>
      </c>
      <c r="O352" s="7701"/>
      <c r="P352" s="7704"/>
      <c r="Q352" s="7704"/>
      <c r="R352" s="7704"/>
      <c r="S352" s="7705"/>
    </row>
    <row r="353" ht="18.75" customHeight="1">
      <c r="A353" s="7696"/>
      <c r="B353" s="7718" t="s">
        <v>211</v>
      </c>
      <c r="C353" s="7719" t="s">
        <v>2781</v>
      </c>
      <c r="D353" s="7720"/>
      <c r="E353" s="7723" t="s">
        <v>2243</v>
      </c>
      <c r="F353" s="7723" t="str">
        <f t="shared" si="38"/>
        <v/>
      </c>
      <c r="G353" s="7723" t="s">
        <v>2224</v>
      </c>
      <c r="H353" s="7723" t="str">
        <f t="shared" si="39"/>
        <v/>
      </c>
      <c r="I353" s="7719">
        <v>60.0</v>
      </c>
      <c r="J353" s="7719">
        <v>60.0</v>
      </c>
      <c r="K353" s="7719">
        <v>50.0</v>
      </c>
      <c r="L353" s="7719">
        <v>105.0</v>
      </c>
      <c r="M353" s="7719">
        <v>50.0</v>
      </c>
      <c r="N353" s="7721">
        <v>75.0</v>
      </c>
      <c r="O353" s="7701"/>
      <c r="P353" s="7704"/>
      <c r="Q353" s="7704"/>
      <c r="R353" s="7704"/>
      <c r="S353" s="7705"/>
    </row>
    <row r="354" ht="18.75" customHeight="1">
      <c r="A354" s="7696"/>
      <c r="B354" s="7712" t="s">
        <v>2782</v>
      </c>
      <c r="C354" s="7713" t="s">
        <v>2783</v>
      </c>
      <c r="D354" s="7714"/>
      <c r="E354" s="7713" t="s">
        <v>2243</v>
      </c>
      <c r="F354" s="7713" t="str">
        <f t="shared" si="38"/>
        <v/>
      </c>
      <c r="G354" s="7713"/>
      <c r="H354" s="7713" t="str">
        <f t="shared" si="39"/>
        <v/>
      </c>
      <c r="I354" s="7713">
        <v>50.0</v>
      </c>
      <c r="J354" s="7713">
        <v>35.0</v>
      </c>
      <c r="K354" s="7713">
        <v>55.0</v>
      </c>
      <c r="L354" s="7713">
        <v>25.0</v>
      </c>
      <c r="M354" s="7713">
        <v>25.0</v>
      </c>
      <c r="N354" s="7715">
        <v>15.0</v>
      </c>
      <c r="O354" s="7701"/>
      <c r="P354" s="7704"/>
      <c r="Q354" s="7704"/>
      <c r="R354" s="7704"/>
      <c r="S354" s="7705"/>
    </row>
    <row r="355" ht="18.75" customHeight="1">
      <c r="A355" s="7696"/>
      <c r="B355" s="7718" t="s">
        <v>222</v>
      </c>
      <c r="C355" s="7719" t="s">
        <v>2784</v>
      </c>
      <c r="D355" s="7720"/>
      <c r="E355" s="7723" t="s">
        <v>2243</v>
      </c>
      <c r="F355" s="7723" t="str">
        <f t="shared" si="38"/>
        <v/>
      </c>
      <c r="G355" s="7723" t="s">
        <v>2210</v>
      </c>
      <c r="H355" s="7723" t="str">
        <f t="shared" si="39"/>
        <v/>
      </c>
      <c r="I355" s="7719">
        <v>80.0</v>
      </c>
      <c r="J355" s="7719">
        <v>40.0</v>
      </c>
      <c r="K355" s="7719">
        <v>70.0</v>
      </c>
      <c r="L355" s="7719">
        <v>60.0</v>
      </c>
      <c r="M355" s="7719">
        <v>90.0</v>
      </c>
      <c r="N355" s="7721">
        <v>65.0</v>
      </c>
      <c r="O355" s="7701"/>
      <c r="P355" s="7704"/>
      <c r="Q355" s="7704"/>
      <c r="R355" s="7704"/>
      <c r="S355" s="7705"/>
    </row>
    <row r="356" ht="18.75" customHeight="1">
      <c r="A356" s="7696"/>
      <c r="B356" s="7712" t="s">
        <v>2785</v>
      </c>
      <c r="C356" s="7713" t="s">
        <v>2786</v>
      </c>
      <c r="D356" s="7714"/>
      <c r="E356" s="7713" t="s">
        <v>2232</v>
      </c>
      <c r="F356" s="7713" t="str">
        <f t="shared" si="38"/>
        <v/>
      </c>
      <c r="G356" s="7713" t="s">
        <v>2209</v>
      </c>
      <c r="H356" s="7713" t="str">
        <f t="shared" si="39"/>
        <v/>
      </c>
      <c r="I356" s="7713">
        <v>40.0</v>
      </c>
      <c r="J356" s="7713">
        <v>30.0</v>
      </c>
      <c r="K356" s="7713">
        <v>30.0</v>
      </c>
      <c r="L356" s="7713">
        <v>40.0</v>
      </c>
      <c r="M356" s="7713">
        <v>50.0</v>
      </c>
      <c r="N356" s="7715">
        <v>30.0</v>
      </c>
      <c r="O356" s="7701"/>
      <c r="P356" s="7704"/>
      <c r="Q356" s="7704"/>
      <c r="R356" s="7704"/>
      <c r="S356" s="7705"/>
    </row>
    <row r="357" ht="18.75" customHeight="1">
      <c r="A357" s="7696"/>
      <c r="B357" s="7718" t="s">
        <v>2787</v>
      </c>
      <c r="C357" s="7719" t="s">
        <v>2788</v>
      </c>
      <c r="D357" s="7720"/>
      <c r="E357" s="7719" t="s">
        <v>2232</v>
      </c>
      <c r="F357" s="7719" t="str">
        <f t="shared" si="38"/>
        <v/>
      </c>
      <c r="G357" s="7719" t="s">
        <v>2209</v>
      </c>
      <c r="H357" s="7719" t="str">
        <f t="shared" si="39"/>
        <v/>
      </c>
      <c r="I357" s="7719">
        <v>60.0</v>
      </c>
      <c r="J357" s="7719">
        <v>50.0</v>
      </c>
      <c r="K357" s="7719">
        <v>50.0</v>
      </c>
      <c r="L357" s="7719">
        <v>60.0</v>
      </c>
      <c r="M357" s="7719">
        <v>70.0</v>
      </c>
      <c r="N357" s="7721">
        <v>50.0</v>
      </c>
      <c r="O357" s="7701"/>
      <c r="P357" s="7704"/>
      <c r="Q357" s="7704"/>
      <c r="R357" s="7704"/>
      <c r="S357" s="7705"/>
    </row>
    <row r="358" ht="18.75" customHeight="1">
      <c r="A358" s="7696"/>
      <c r="B358" s="7712" t="s">
        <v>524</v>
      </c>
      <c r="C358" s="7713" t="s">
        <v>2789</v>
      </c>
      <c r="D358" s="7714"/>
      <c r="E358" s="7713" t="s">
        <v>2232</v>
      </c>
      <c r="F358" s="7713" t="str">
        <f t="shared" si="38"/>
        <v/>
      </c>
      <c r="G358" s="7713" t="s">
        <v>2209</v>
      </c>
      <c r="H358" s="7713" t="str">
        <f t="shared" si="39"/>
        <v/>
      </c>
      <c r="I358" s="7713">
        <v>80.0</v>
      </c>
      <c r="J358" s="7713">
        <v>70.0</v>
      </c>
      <c r="K358" s="7713">
        <v>70.0</v>
      </c>
      <c r="L358" s="7713">
        <v>100.0</v>
      </c>
      <c r="M358" s="7713">
        <v>100.0</v>
      </c>
      <c r="N358" s="7715">
        <v>70.0</v>
      </c>
      <c r="O358" s="7701"/>
      <c r="P358" s="7704"/>
      <c r="Q358" s="7704"/>
      <c r="R358" s="7704"/>
      <c r="S358" s="7705"/>
    </row>
    <row r="359" ht="18.75" customHeight="1">
      <c r="A359" s="7696"/>
      <c r="B359" s="7718" t="s">
        <v>2790</v>
      </c>
      <c r="C359" s="7719" t="s">
        <v>2791</v>
      </c>
      <c r="D359" s="7720"/>
      <c r="E359" s="7719" t="s">
        <v>2209</v>
      </c>
      <c r="F359" s="7719" t="str">
        <f t="shared" si="38"/>
        <v/>
      </c>
      <c r="G359" s="7719"/>
      <c r="H359" s="7719" t="str">
        <f t="shared" si="39"/>
        <v/>
      </c>
      <c r="I359" s="7719">
        <v>40.0</v>
      </c>
      <c r="J359" s="7719">
        <v>40.0</v>
      </c>
      <c r="K359" s="7719">
        <v>50.0</v>
      </c>
      <c r="L359" s="7719">
        <v>30.0</v>
      </c>
      <c r="M359" s="7719">
        <v>30.0</v>
      </c>
      <c r="N359" s="7721">
        <v>30.0</v>
      </c>
      <c r="O359" s="7701"/>
      <c r="P359" s="7704"/>
      <c r="Q359" s="7704"/>
      <c r="R359" s="7704"/>
      <c r="S359" s="7705"/>
    </row>
    <row r="360" ht="18.75" customHeight="1">
      <c r="A360" s="7696"/>
      <c r="B360" s="7712" t="s">
        <v>2792</v>
      </c>
      <c r="C360" s="7713" t="s">
        <v>2793</v>
      </c>
      <c r="D360" s="7714"/>
      <c r="E360" s="7713" t="s">
        <v>2209</v>
      </c>
      <c r="F360" s="7713" t="str">
        <f t="shared" si="38"/>
        <v/>
      </c>
      <c r="G360" s="7713" t="s">
        <v>2272</v>
      </c>
      <c r="H360" s="7713" t="str">
        <f t="shared" si="39"/>
        <v/>
      </c>
      <c r="I360" s="7713">
        <v>70.0</v>
      </c>
      <c r="J360" s="7713">
        <v>70.0</v>
      </c>
      <c r="K360" s="7713">
        <v>40.0</v>
      </c>
      <c r="L360" s="7713">
        <v>60.0</v>
      </c>
      <c r="M360" s="7713">
        <v>40.0</v>
      </c>
      <c r="N360" s="7715">
        <v>60.0</v>
      </c>
      <c r="O360" s="7701"/>
      <c r="P360" s="7704"/>
      <c r="Q360" s="7704"/>
      <c r="R360" s="7704"/>
      <c r="S360" s="7705"/>
    </row>
    <row r="361" ht="18.75" customHeight="1">
      <c r="A361" s="7696"/>
      <c r="B361" s="7718" t="s">
        <v>1203</v>
      </c>
      <c r="C361" s="7719" t="s">
        <v>2794</v>
      </c>
      <c r="D361" s="7720"/>
      <c r="E361" s="7723" t="s">
        <v>2209</v>
      </c>
      <c r="F361" s="7723" t="str">
        <f t="shared" si="38"/>
        <v/>
      </c>
      <c r="G361" s="7723" t="s">
        <v>2272</v>
      </c>
      <c r="H361" s="7723" t="str">
        <f t="shared" si="39"/>
        <v/>
      </c>
      <c r="I361" s="7719">
        <v>90.0</v>
      </c>
      <c r="J361" s="7719">
        <v>120.0</v>
      </c>
      <c r="K361" s="7719">
        <v>60.0</v>
      </c>
      <c r="L361" s="7719">
        <v>110.0</v>
      </c>
      <c r="M361" s="7719">
        <v>60.0</v>
      </c>
      <c r="N361" s="7721">
        <v>80.0</v>
      </c>
      <c r="O361" s="7701"/>
      <c r="P361" s="7704"/>
      <c r="Q361" s="7704"/>
      <c r="R361" s="7704"/>
      <c r="S361" s="7705"/>
    </row>
    <row r="362" ht="18.75" customHeight="1">
      <c r="A362" s="7696"/>
      <c r="B362" s="7712" t="s">
        <v>2795</v>
      </c>
      <c r="C362" s="7713" t="s">
        <v>2796</v>
      </c>
      <c r="D362" s="7714"/>
      <c r="E362" s="7713" t="s">
        <v>2262</v>
      </c>
      <c r="F362" s="7713" t="str">
        <f t="shared" si="38"/>
        <v/>
      </c>
      <c r="G362" s="7713" t="s">
        <v>2224</v>
      </c>
      <c r="H362" s="7713" t="str">
        <f t="shared" si="39"/>
        <v/>
      </c>
      <c r="I362" s="7713">
        <v>40.0</v>
      </c>
      <c r="J362" s="7713">
        <v>55.0</v>
      </c>
      <c r="K362" s="7713">
        <v>30.0</v>
      </c>
      <c r="L362" s="7713">
        <v>30.0</v>
      </c>
      <c r="M362" s="7713">
        <v>30.0</v>
      </c>
      <c r="N362" s="7715">
        <v>85.0</v>
      </c>
      <c r="O362" s="7701"/>
      <c r="P362" s="7704"/>
      <c r="Q362" s="7704"/>
      <c r="R362" s="7704"/>
      <c r="S362" s="7705"/>
    </row>
    <row r="363" ht="18.75" customHeight="1">
      <c r="A363" s="7696"/>
      <c r="B363" s="7718" t="s">
        <v>852</v>
      </c>
      <c r="C363" s="7719" t="s">
        <v>2797</v>
      </c>
      <c r="D363" s="7720"/>
      <c r="E363" s="7719" t="s">
        <v>2262</v>
      </c>
      <c r="F363" s="7719" t="str">
        <f t="shared" si="38"/>
        <v/>
      </c>
      <c r="G363" s="7719" t="s">
        <v>2224</v>
      </c>
      <c r="H363" s="7719" t="str">
        <f t="shared" si="39"/>
        <v/>
      </c>
      <c r="I363" s="7719">
        <v>60.0</v>
      </c>
      <c r="J363" s="7719">
        <v>85.0</v>
      </c>
      <c r="K363" s="7719">
        <v>60.0</v>
      </c>
      <c r="L363" s="7719">
        <v>75.0</v>
      </c>
      <c r="M363" s="7719">
        <v>50.0</v>
      </c>
      <c r="N363" s="7721">
        <v>125.0</v>
      </c>
      <c r="O363" s="7701"/>
      <c r="P363" s="7704"/>
      <c r="Q363" s="7704"/>
      <c r="R363" s="7704"/>
      <c r="S363" s="7705"/>
    </row>
    <row r="364" ht="18.75" customHeight="1">
      <c r="A364" s="7696"/>
      <c r="B364" s="7712" t="s">
        <v>2798</v>
      </c>
      <c r="C364" s="7713" t="s">
        <v>2799</v>
      </c>
      <c r="D364" s="7714"/>
      <c r="E364" s="7713" t="s">
        <v>2232</v>
      </c>
      <c r="F364" s="7713" t="str">
        <f t="shared" si="38"/>
        <v/>
      </c>
      <c r="G364" s="7713" t="s">
        <v>2224</v>
      </c>
      <c r="H364" s="7713" t="str">
        <f t="shared" si="39"/>
        <v/>
      </c>
      <c r="I364" s="7713">
        <v>40.0</v>
      </c>
      <c r="J364" s="7713">
        <v>30.0</v>
      </c>
      <c r="K364" s="7713">
        <v>30.0</v>
      </c>
      <c r="L364" s="7713">
        <v>55.0</v>
      </c>
      <c r="M364" s="7713">
        <v>30.0</v>
      </c>
      <c r="N364" s="7715">
        <v>85.0</v>
      </c>
      <c r="O364" s="7701"/>
      <c r="P364" s="7704"/>
      <c r="Q364" s="7704"/>
      <c r="R364" s="7704"/>
      <c r="S364" s="7705"/>
    </row>
    <row r="365" ht="18.75" customHeight="1">
      <c r="A365" s="7696"/>
      <c r="B365" s="7718" t="s">
        <v>1225</v>
      </c>
      <c r="C365" s="7719" t="s">
        <v>2800</v>
      </c>
      <c r="D365" s="7720"/>
      <c r="E365" s="7723" t="s">
        <v>2232</v>
      </c>
      <c r="F365" s="7723" t="str">
        <f t="shared" si="38"/>
        <v/>
      </c>
      <c r="G365" s="7723" t="s">
        <v>2224</v>
      </c>
      <c r="H365" s="7723" t="str">
        <f t="shared" si="39"/>
        <v/>
      </c>
      <c r="I365" s="7719">
        <v>60.0</v>
      </c>
      <c r="J365" s="7719">
        <v>50.0</v>
      </c>
      <c r="K365" s="7719">
        <v>100.0</v>
      </c>
      <c r="L365" s="7719">
        <v>95.0</v>
      </c>
      <c r="M365" s="7719">
        <v>70.0</v>
      </c>
      <c r="N365" s="7721">
        <v>65.0</v>
      </c>
      <c r="O365" s="7701"/>
      <c r="P365" s="7704"/>
      <c r="Q365" s="7704"/>
      <c r="R365" s="7704"/>
      <c r="S365" s="7705"/>
    </row>
    <row r="366" ht="18.75" customHeight="1">
      <c r="A366" s="7696"/>
      <c r="B366" s="7712" t="s">
        <v>2801</v>
      </c>
      <c r="C366" s="7713" t="s">
        <v>2802</v>
      </c>
      <c r="D366" s="7714"/>
      <c r="E366" s="7722" t="s">
        <v>669</v>
      </c>
      <c r="F366" s="7722" t="str">
        <f t="shared" si="38"/>
        <v/>
      </c>
      <c r="G366" s="7722" t="s">
        <v>2292</v>
      </c>
      <c r="H366" s="7722" t="str">
        <f t="shared" si="39"/>
        <v/>
      </c>
      <c r="I366" s="7713">
        <v>28.0</v>
      </c>
      <c r="J366" s="7713">
        <v>25.0</v>
      </c>
      <c r="K366" s="7713">
        <v>25.0</v>
      </c>
      <c r="L366" s="7713">
        <v>45.0</v>
      </c>
      <c r="M366" s="7713">
        <v>35.0</v>
      </c>
      <c r="N366" s="7715">
        <v>40.0</v>
      </c>
      <c r="O366" s="7701"/>
      <c r="P366" s="7704"/>
      <c r="Q366" s="7704"/>
      <c r="R366" s="7704"/>
      <c r="S366" s="7705"/>
    </row>
    <row r="367" ht="18.75" customHeight="1">
      <c r="A367" s="7696"/>
      <c r="B367" s="7718" t="s">
        <v>2803</v>
      </c>
      <c r="C367" s="7719" t="s">
        <v>2804</v>
      </c>
      <c r="D367" s="7720"/>
      <c r="E367" s="7719" t="s">
        <v>669</v>
      </c>
      <c r="F367" s="7719" t="str">
        <f t="shared" si="38"/>
        <v/>
      </c>
      <c r="G367" s="7719" t="s">
        <v>2292</v>
      </c>
      <c r="H367" s="7719" t="str">
        <f t="shared" si="39"/>
        <v/>
      </c>
      <c r="I367" s="7719">
        <v>38.0</v>
      </c>
      <c r="J367" s="7719">
        <v>35.0</v>
      </c>
      <c r="K367" s="7719">
        <v>35.0</v>
      </c>
      <c r="L367" s="7719">
        <v>65.0</v>
      </c>
      <c r="M367" s="7719">
        <v>55.0</v>
      </c>
      <c r="N367" s="7721">
        <v>50.0</v>
      </c>
      <c r="O367" s="7701"/>
      <c r="P367" s="7704"/>
      <c r="Q367" s="7704"/>
      <c r="R367" s="7704"/>
      <c r="S367" s="7705"/>
    </row>
    <row r="368" ht="18.75" customHeight="1">
      <c r="A368" s="7696"/>
      <c r="B368" s="7712" t="s">
        <v>1033</v>
      </c>
      <c r="C368" s="7713" t="s">
        <v>2805</v>
      </c>
      <c r="D368" s="7714"/>
      <c r="E368" s="7713" t="s">
        <v>669</v>
      </c>
      <c r="F368" s="7713" t="str">
        <f t="shared" si="38"/>
        <v/>
      </c>
      <c r="G368" s="7713" t="s">
        <v>2292</v>
      </c>
      <c r="H368" s="7713" t="str">
        <f t="shared" si="39"/>
        <v/>
      </c>
      <c r="I368" s="7713">
        <v>68.0</v>
      </c>
      <c r="J368" s="7713">
        <v>65.0</v>
      </c>
      <c r="K368" s="7713">
        <v>65.0</v>
      </c>
      <c r="L368" s="7713">
        <v>125.0</v>
      </c>
      <c r="M368" s="7713">
        <v>115.0</v>
      </c>
      <c r="N368" s="7715">
        <v>80.0</v>
      </c>
      <c r="O368" s="7701"/>
      <c r="P368" s="7704"/>
      <c r="Q368" s="7704"/>
      <c r="R368" s="7704"/>
      <c r="S368" s="7705"/>
    </row>
    <row r="369" ht="18.75" customHeight="1">
      <c r="A369" s="7696"/>
      <c r="B369" s="7718" t="s">
        <v>2806</v>
      </c>
      <c r="C369" s="7723" t="s">
        <v>2807</v>
      </c>
      <c r="D369" s="7720"/>
      <c r="E369" s="7719" t="s">
        <v>669</v>
      </c>
      <c r="F369" s="7719" t="str">
        <f t="shared" si="38"/>
        <v/>
      </c>
      <c r="G369" s="7719" t="s">
        <v>2292</v>
      </c>
      <c r="H369" s="7719" t="str">
        <f t="shared" si="39"/>
        <v/>
      </c>
      <c r="I369" s="7719">
        <v>68.0</v>
      </c>
      <c r="J369" s="7719">
        <v>85.0</v>
      </c>
      <c r="K369" s="7719">
        <v>65.0</v>
      </c>
      <c r="L369" s="7719">
        <v>165.0</v>
      </c>
      <c r="M369" s="7719">
        <v>135.0</v>
      </c>
      <c r="N369" s="7721">
        <v>100.0</v>
      </c>
      <c r="O369" s="7701"/>
      <c r="P369" s="7704"/>
      <c r="Q369" s="7704"/>
      <c r="R369" s="7704"/>
      <c r="S369" s="7705"/>
    </row>
    <row r="370" ht="18.75" customHeight="1">
      <c r="A370" s="7696"/>
      <c r="B370" s="7712" t="s">
        <v>2808</v>
      </c>
      <c r="C370" s="7713" t="s">
        <v>2809</v>
      </c>
      <c r="D370" s="7714"/>
      <c r="E370" s="7713" t="s">
        <v>2243</v>
      </c>
      <c r="F370" s="7713" t="str">
        <f t="shared" si="38"/>
        <v/>
      </c>
      <c r="G370" s="7713" t="s">
        <v>2232</v>
      </c>
      <c r="H370" s="7713" t="str">
        <f t="shared" si="39"/>
        <v/>
      </c>
      <c r="I370" s="7713">
        <v>40.0</v>
      </c>
      <c r="J370" s="7713">
        <v>30.0</v>
      </c>
      <c r="K370" s="7713">
        <v>32.0</v>
      </c>
      <c r="L370" s="7713">
        <v>50.0</v>
      </c>
      <c r="M370" s="7713">
        <v>52.0</v>
      </c>
      <c r="N370" s="7715">
        <v>65.0</v>
      </c>
      <c r="O370" s="7701"/>
      <c r="P370" s="7704"/>
      <c r="Q370" s="7704"/>
      <c r="R370" s="7704"/>
      <c r="S370" s="7705"/>
    </row>
    <row r="371" ht="18.75" customHeight="1">
      <c r="A371" s="7696"/>
      <c r="B371" s="7718" t="s">
        <v>269</v>
      </c>
      <c r="C371" s="7719" t="s">
        <v>2810</v>
      </c>
      <c r="D371" s="7720"/>
      <c r="E371" s="7719" t="s">
        <v>2232</v>
      </c>
      <c r="F371" s="7719" t="str">
        <f t="shared" si="38"/>
        <v/>
      </c>
      <c r="G371" s="7719" t="s">
        <v>2243</v>
      </c>
      <c r="H371" s="7719" t="str">
        <f t="shared" si="39"/>
        <v/>
      </c>
      <c r="I371" s="7719">
        <v>80.0</v>
      </c>
      <c r="J371" s="7719">
        <v>60.0</v>
      </c>
      <c r="K371" s="7719">
        <v>62.0</v>
      </c>
      <c r="L371" s="7719">
        <v>100.0</v>
      </c>
      <c r="M371" s="7719">
        <v>82.0</v>
      </c>
      <c r="N371" s="7721">
        <v>80.0</v>
      </c>
      <c r="O371" s="7701"/>
      <c r="P371" s="7704"/>
      <c r="Q371" s="7704"/>
      <c r="R371" s="7704"/>
      <c r="S371" s="7705"/>
    </row>
    <row r="372" ht="18.75" customHeight="1">
      <c r="A372" s="7696"/>
      <c r="B372" s="7712" t="s">
        <v>2811</v>
      </c>
      <c r="C372" s="7713" t="s">
        <v>2812</v>
      </c>
      <c r="D372" s="7714"/>
      <c r="E372" s="7722" t="s">
        <v>2209</v>
      </c>
      <c r="F372" s="7722" t="str">
        <f t="shared" si="38"/>
        <v/>
      </c>
      <c r="G372" s="7722"/>
      <c r="H372" s="7722" t="str">
        <f t="shared" si="39"/>
        <v/>
      </c>
      <c r="I372" s="7713">
        <v>60.0</v>
      </c>
      <c r="J372" s="7713">
        <v>40.0</v>
      </c>
      <c r="K372" s="7713">
        <v>60.0</v>
      </c>
      <c r="L372" s="7713">
        <v>40.0</v>
      </c>
      <c r="M372" s="7713">
        <v>60.0</v>
      </c>
      <c r="N372" s="7715">
        <v>35.0</v>
      </c>
      <c r="O372" s="7701"/>
      <c r="P372" s="7704"/>
      <c r="Q372" s="7704"/>
      <c r="R372" s="7704"/>
      <c r="S372" s="7705"/>
    </row>
    <row r="373" ht="18.75" customHeight="1">
      <c r="A373" s="7696"/>
      <c r="B373" s="7718" t="s">
        <v>2813</v>
      </c>
      <c r="C373" s="7719" t="s">
        <v>2814</v>
      </c>
      <c r="D373" s="7720"/>
      <c r="E373" s="7719" t="s">
        <v>2209</v>
      </c>
      <c r="F373" s="7719" t="str">
        <f t="shared" si="38"/>
        <v/>
      </c>
      <c r="G373" s="7719" t="s">
        <v>2296</v>
      </c>
      <c r="H373" s="7719" t="str">
        <f t="shared" si="39"/>
        <v/>
      </c>
      <c r="I373" s="7719">
        <v>60.0</v>
      </c>
      <c r="J373" s="7719">
        <v>130.0</v>
      </c>
      <c r="K373" s="7719">
        <v>80.0</v>
      </c>
      <c r="L373" s="7719">
        <v>60.0</v>
      </c>
      <c r="M373" s="7719">
        <v>60.0</v>
      </c>
      <c r="N373" s="7721">
        <v>70.0</v>
      </c>
      <c r="O373" s="7701"/>
      <c r="P373" s="7704"/>
      <c r="Q373" s="7704"/>
      <c r="R373" s="7704"/>
      <c r="S373" s="7705"/>
    </row>
    <row r="374" ht="18.75" customHeight="1">
      <c r="A374" s="7696"/>
      <c r="B374" s="7712" t="s">
        <v>2815</v>
      </c>
      <c r="C374" s="7713" t="s">
        <v>2816</v>
      </c>
      <c r="D374" s="7714"/>
      <c r="E374" s="7713" t="s">
        <v>2262</v>
      </c>
      <c r="F374" s="7713" t="str">
        <f t="shared" si="38"/>
        <v/>
      </c>
      <c r="G374" s="7713"/>
      <c r="H374" s="7713" t="str">
        <f t="shared" si="39"/>
        <v/>
      </c>
      <c r="I374" s="7713">
        <v>60.0</v>
      </c>
      <c r="J374" s="7713">
        <v>60.0</v>
      </c>
      <c r="K374" s="7713">
        <v>60.0</v>
      </c>
      <c r="L374" s="7713">
        <v>35.0</v>
      </c>
      <c r="M374" s="7713">
        <v>35.0</v>
      </c>
      <c r="N374" s="7715">
        <v>30.0</v>
      </c>
      <c r="O374" s="7701"/>
      <c r="P374" s="7704"/>
      <c r="Q374" s="7704"/>
      <c r="R374" s="7704"/>
      <c r="S374" s="7705"/>
    </row>
    <row r="375" ht="18.75" customHeight="1">
      <c r="A375" s="7696"/>
      <c r="B375" s="7718" t="s">
        <v>2817</v>
      </c>
      <c r="C375" s="7719" t="s">
        <v>2818</v>
      </c>
      <c r="D375" s="7720"/>
      <c r="E375" s="7719" t="s">
        <v>2262</v>
      </c>
      <c r="F375" s="7719" t="str">
        <f t="shared" si="38"/>
        <v/>
      </c>
      <c r="G375" s="7719"/>
      <c r="H375" s="7719" t="str">
        <f t="shared" si="39"/>
        <v/>
      </c>
      <c r="I375" s="7719">
        <v>80.0</v>
      </c>
      <c r="J375" s="7719">
        <v>80.0</v>
      </c>
      <c r="K375" s="7719">
        <v>80.0</v>
      </c>
      <c r="L375" s="7719">
        <v>55.0</v>
      </c>
      <c r="M375" s="7719">
        <v>55.0</v>
      </c>
      <c r="N375" s="7721">
        <v>90.0</v>
      </c>
      <c r="O375" s="7701"/>
      <c r="P375" s="7704"/>
      <c r="Q375" s="7704"/>
      <c r="R375" s="7704"/>
      <c r="S375" s="7705"/>
    </row>
    <row r="376" ht="18.75" customHeight="1">
      <c r="A376" s="7696"/>
      <c r="B376" s="7712" t="s">
        <v>1031</v>
      </c>
      <c r="C376" s="7713" t="s">
        <v>2819</v>
      </c>
      <c r="D376" s="7714"/>
      <c r="E376" s="7713" t="s">
        <v>2262</v>
      </c>
      <c r="F376" s="7713" t="str">
        <f t="shared" si="38"/>
        <v/>
      </c>
      <c r="G376" s="7713"/>
      <c r="H376" s="7713" t="str">
        <f t="shared" si="39"/>
        <v/>
      </c>
      <c r="I376" s="7713">
        <v>150.0</v>
      </c>
      <c r="J376" s="7713">
        <v>160.0</v>
      </c>
      <c r="K376" s="7713">
        <v>100.0</v>
      </c>
      <c r="L376" s="7713">
        <v>95.0</v>
      </c>
      <c r="M376" s="7713">
        <v>65.0</v>
      </c>
      <c r="N376" s="7715">
        <v>100.0</v>
      </c>
      <c r="O376" s="7701"/>
      <c r="P376" s="7704"/>
      <c r="Q376" s="7704"/>
      <c r="R376" s="7704"/>
      <c r="S376" s="7705"/>
    </row>
    <row r="377" ht="18.75" customHeight="1">
      <c r="A377" s="7696"/>
      <c r="B377" s="7718" t="s">
        <v>2820</v>
      </c>
      <c r="C377" s="7719" t="s">
        <v>2821</v>
      </c>
      <c r="D377" s="7720"/>
      <c r="E377" s="7719" t="s">
        <v>2243</v>
      </c>
      <c r="F377" s="7719" t="str">
        <f t="shared" si="38"/>
        <v/>
      </c>
      <c r="G377" s="7719" t="s">
        <v>2304</v>
      </c>
      <c r="H377" s="7719" t="str">
        <f t="shared" si="39"/>
        <v/>
      </c>
      <c r="I377" s="7719">
        <v>31.0</v>
      </c>
      <c r="J377" s="7719">
        <v>45.0</v>
      </c>
      <c r="K377" s="7719">
        <v>90.0</v>
      </c>
      <c r="L377" s="7719">
        <v>30.0</v>
      </c>
      <c r="M377" s="7719">
        <v>30.0</v>
      </c>
      <c r="N377" s="7721">
        <v>40.0</v>
      </c>
      <c r="O377" s="7701"/>
      <c r="P377" s="7704"/>
      <c r="Q377" s="7704"/>
      <c r="R377" s="7704"/>
      <c r="S377" s="7705"/>
    </row>
    <row r="378" ht="18.75" customHeight="1">
      <c r="A378" s="7696"/>
      <c r="B378" s="7712" t="s">
        <v>2822</v>
      </c>
      <c r="C378" s="7713" t="s">
        <v>2823</v>
      </c>
      <c r="D378" s="7714"/>
      <c r="E378" s="7713" t="s">
        <v>2243</v>
      </c>
      <c r="F378" s="7713" t="str">
        <f t="shared" si="38"/>
        <v/>
      </c>
      <c r="G378" s="7713" t="s">
        <v>2224</v>
      </c>
      <c r="H378" s="7713" t="str">
        <f t="shared" si="39"/>
        <v/>
      </c>
      <c r="I378" s="7713">
        <v>61.0</v>
      </c>
      <c r="J378" s="7713">
        <v>90.0</v>
      </c>
      <c r="K378" s="7713">
        <v>45.0</v>
      </c>
      <c r="L378" s="7713">
        <v>50.0</v>
      </c>
      <c r="M378" s="7713">
        <v>50.0</v>
      </c>
      <c r="N378" s="7715">
        <v>160.0</v>
      </c>
      <c r="O378" s="7701"/>
      <c r="P378" s="7704"/>
      <c r="Q378" s="7704"/>
      <c r="R378" s="7704"/>
      <c r="S378" s="7705"/>
    </row>
    <row r="379" ht="18.75" customHeight="1">
      <c r="A379" s="7696"/>
      <c r="B379" s="7718" t="s">
        <v>1731</v>
      </c>
      <c r="C379" s="7719" t="s">
        <v>2824</v>
      </c>
      <c r="D379" s="7720"/>
      <c r="E379" s="7719" t="s">
        <v>2243</v>
      </c>
      <c r="F379" s="7719" t="str">
        <f t="shared" si="38"/>
        <v/>
      </c>
      <c r="G379" s="7719" t="s">
        <v>2447</v>
      </c>
      <c r="H379" s="7719" t="str">
        <f t="shared" si="39"/>
        <v/>
      </c>
      <c r="I379" s="7719">
        <v>1.0</v>
      </c>
      <c r="J379" s="7719">
        <v>90.0</v>
      </c>
      <c r="K379" s="7719">
        <v>45.0</v>
      </c>
      <c r="L379" s="7719">
        <v>30.0</v>
      </c>
      <c r="M379" s="7719">
        <v>30.0</v>
      </c>
      <c r="N379" s="7721">
        <v>40.0</v>
      </c>
      <c r="O379" s="7701"/>
      <c r="P379" s="7704"/>
      <c r="Q379" s="7704"/>
      <c r="R379" s="7704"/>
      <c r="S379" s="7705"/>
    </row>
    <row r="380" ht="18.75" customHeight="1">
      <c r="A380" s="7696"/>
      <c r="B380" s="7712" t="s">
        <v>2825</v>
      </c>
      <c r="C380" s="7713" t="s">
        <v>2826</v>
      </c>
      <c r="D380" s="7714"/>
      <c r="E380" s="7713" t="s">
        <v>2262</v>
      </c>
      <c r="F380" s="7713" t="str">
        <f t="shared" si="38"/>
        <v/>
      </c>
      <c r="G380" s="7713"/>
      <c r="H380" s="7713" t="str">
        <f t="shared" si="39"/>
        <v/>
      </c>
      <c r="I380" s="7713">
        <v>64.0</v>
      </c>
      <c r="J380" s="7713">
        <v>51.0</v>
      </c>
      <c r="K380" s="7713">
        <v>23.0</v>
      </c>
      <c r="L380" s="7713">
        <v>51.0</v>
      </c>
      <c r="M380" s="7713">
        <v>23.0</v>
      </c>
      <c r="N380" s="7715">
        <v>28.0</v>
      </c>
      <c r="O380" s="7701"/>
      <c r="P380" s="7704"/>
      <c r="Q380" s="7704"/>
      <c r="R380" s="7704"/>
      <c r="S380" s="7705"/>
    </row>
    <row r="381" ht="18.75" customHeight="1">
      <c r="A381" s="7696"/>
      <c r="B381" s="7718" t="s">
        <v>2827</v>
      </c>
      <c r="C381" s="7719" t="s">
        <v>2828</v>
      </c>
      <c r="D381" s="7720"/>
      <c r="E381" s="7723" t="s">
        <v>2262</v>
      </c>
      <c r="F381" s="7723" t="str">
        <f t="shared" si="38"/>
        <v/>
      </c>
      <c r="G381" s="7723"/>
      <c r="H381" s="7723" t="str">
        <f t="shared" si="39"/>
        <v/>
      </c>
      <c r="I381" s="7719">
        <v>84.0</v>
      </c>
      <c r="J381" s="7719">
        <v>71.0</v>
      </c>
      <c r="K381" s="7719">
        <v>43.0</v>
      </c>
      <c r="L381" s="7719">
        <v>71.0</v>
      </c>
      <c r="M381" s="7719">
        <v>43.0</v>
      </c>
      <c r="N381" s="7721">
        <v>48.0</v>
      </c>
      <c r="O381" s="7701"/>
      <c r="P381" s="7704"/>
      <c r="Q381" s="7704"/>
      <c r="R381" s="7704"/>
      <c r="S381" s="7705"/>
    </row>
    <row r="382" ht="18.75" customHeight="1">
      <c r="A382" s="7696"/>
      <c r="B382" s="7712" t="s">
        <v>1267</v>
      </c>
      <c r="C382" s="7713" t="s">
        <v>2829</v>
      </c>
      <c r="D382" s="7714"/>
      <c r="E382" s="7713" t="s">
        <v>2262</v>
      </c>
      <c r="F382" s="7713" t="str">
        <f t="shared" si="38"/>
        <v/>
      </c>
      <c r="G382" s="7713"/>
      <c r="H382" s="7713" t="str">
        <f t="shared" si="39"/>
        <v/>
      </c>
      <c r="I382" s="7713">
        <v>104.0</v>
      </c>
      <c r="J382" s="7713">
        <v>81.0</v>
      </c>
      <c r="K382" s="7713">
        <v>63.0</v>
      </c>
      <c r="L382" s="7713">
        <v>91.0</v>
      </c>
      <c r="M382" s="7713">
        <v>73.0</v>
      </c>
      <c r="N382" s="7715">
        <v>73.0</v>
      </c>
      <c r="O382" s="7701"/>
      <c r="P382" s="7704"/>
      <c r="Q382" s="7704"/>
      <c r="R382" s="7704"/>
      <c r="S382" s="7705"/>
    </row>
    <row r="383" ht="18.75" customHeight="1">
      <c r="A383" s="7696"/>
      <c r="B383" s="7718" t="s">
        <v>2830</v>
      </c>
      <c r="C383" s="7719" t="s">
        <v>2831</v>
      </c>
      <c r="D383" s="7720"/>
      <c r="E383" s="7723" t="s">
        <v>2296</v>
      </c>
      <c r="F383" s="7723" t="str">
        <f t="shared" si="38"/>
        <v/>
      </c>
      <c r="G383" s="7723"/>
      <c r="H383" s="7723" t="str">
        <f t="shared" si="39"/>
        <v/>
      </c>
      <c r="I383" s="7719">
        <v>72.0</v>
      </c>
      <c r="J383" s="7719">
        <v>60.0</v>
      </c>
      <c r="K383" s="7719">
        <v>30.0</v>
      </c>
      <c r="L383" s="7719">
        <v>20.0</v>
      </c>
      <c r="M383" s="7719">
        <v>30.0</v>
      </c>
      <c r="N383" s="7721">
        <v>25.0</v>
      </c>
      <c r="O383" s="7701"/>
      <c r="P383" s="7704"/>
      <c r="Q383" s="7704"/>
      <c r="R383" s="7704"/>
      <c r="S383" s="7705"/>
    </row>
    <row r="384" ht="18.75" customHeight="1">
      <c r="A384" s="7696"/>
      <c r="B384" s="7712" t="s">
        <v>1035</v>
      </c>
      <c r="C384" s="7713" t="s">
        <v>2832</v>
      </c>
      <c r="D384" s="7714"/>
      <c r="E384" s="7713" t="s">
        <v>2296</v>
      </c>
      <c r="F384" s="7713" t="str">
        <f t="shared" si="38"/>
        <v/>
      </c>
      <c r="G384" s="7713"/>
      <c r="H384" s="7713" t="str">
        <f t="shared" si="39"/>
        <v/>
      </c>
      <c r="I384" s="7713">
        <v>144.0</v>
      </c>
      <c r="J384" s="7713">
        <v>120.0</v>
      </c>
      <c r="K384" s="7713">
        <v>60.0</v>
      </c>
      <c r="L384" s="7713">
        <v>40.0</v>
      </c>
      <c r="M384" s="7713">
        <v>60.0</v>
      </c>
      <c r="N384" s="7715">
        <v>50.0</v>
      </c>
      <c r="O384" s="7701"/>
      <c r="P384" s="7704"/>
      <c r="Q384" s="7704"/>
      <c r="R384" s="7704"/>
      <c r="S384" s="7705"/>
    </row>
    <row r="385" ht="18.75" customHeight="1">
      <c r="A385" s="7696"/>
      <c r="B385" s="7718" t="s">
        <v>2833</v>
      </c>
      <c r="C385" s="7719" t="s">
        <v>2834</v>
      </c>
      <c r="D385" s="7720"/>
      <c r="E385" s="7723" t="s">
        <v>2262</v>
      </c>
      <c r="F385" s="7723" t="str">
        <f t="shared" si="38"/>
        <v/>
      </c>
      <c r="G385" s="7723" t="s">
        <v>2292</v>
      </c>
      <c r="H385" s="7723" t="str">
        <f t="shared" si="39"/>
        <v/>
      </c>
      <c r="I385" s="7719">
        <v>50.0</v>
      </c>
      <c r="J385" s="7719">
        <v>20.0</v>
      </c>
      <c r="K385" s="7719">
        <v>40.0</v>
      </c>
      <c r="L385" s="7719">
        <v>20.0</v>
      </c>
      <c r="M385" s="7719">
        <v>40.0</v>
      </c>
      <c r="N385" s="7721">
        <v>20.0</v>
      </c>
      <c r="O385" s="7701"/>
      <c r="P385" s="7704"/>
      <c r="Q385" s="7704"/>
      <c r="R385" s="7704"/>
      <c r="S385" s="7705"/>
    </row>
    <row r="386" ht="18.75" customHeight="1">
      <c r="A386" s="7696"/>
      <c r="B386" s="7712" t="s">
        <v>2835</v>
      </c>
      <c r="C386" s="7713" t="s">
        <v>2836</v>
      </c>
      <c r="D386" s="7714"/>
      <c r="E386" s="7722" t="s">
        <v>2370</v>
      </c>
      <c r="F386" s="7722" t="str">
        <f t="shared" si="38"/>
        <v/>
      </c>
      <c r="G386" s="7722"/>
      <c r="H386" s="7722" t="str">
        <f t="shared" si="39"/>
        <v/>
      </c>
      <c r="I386" s="7713">
        <v>30.0</v>
      </c>
      <c r="J386" s="7713">
        <v>45.0</v>
      </c>
      <c r="K386" s="7713">
        <v>135.0</v>
      </c>
      <c r="L386" s="7713">
        <v>45.0</v>
      </c>
      <c r="M386" s="7713">
        <v>90.0</v>
      </c>
      <c r="N386" s="7715">
        <v>30.0</v>
      </c>
      <c r="O386" s="7701"/>
      <c r="P386" s="7704"/>
      <c r="Q386" s="7704"/>
      <c r="R386" s="7704"/>
      <c r="S386" s="7705"/>
    </row>
    <row r="387" ht="18.75" customHeight="1">
      <c r="A387" s="7696"/>
      <c r="B387" s="7718" t="s">
        <v>2837</v>
      </c>
      <c r="C387" s="7719" t="s">
        <v>2838</v>
      </c>
      <c r="D387" s="7720"/>
      <c r="E387" s="7719" t="s">
        <v>2262</v>
      </c>
      <c r="F387" s="7719" t="str">
        <f t="shared" si="38"/>
        <v/>
      </c>
      <c r="G387" s="7719"/>
      <c r="H387" s="7719" t="str">
        <f t="shared" si="39"/>
        <v/>
      </c>
      <c r="I387" s="7719">
        <v>50.0</v>
      </c>
      <c r="J387" s="7719">
        <v>45.0</v>
      </c>
      <c r="K387" s="7719">
        <v>45.0</v>
      </c>
      <c r="L387" s="7719">
        <v>35.0</v>
      </c>
      <c r="M387" s="7719">
        <v>35.0</v>
      </c>
      <c r="N387" s="7721">
        <v>50.0</v>
      </c>
      <c r="O387" s="7701"/>
      <c r="P387" s="7704"/>
      <c r="Q387" s="7704"/>
      <c r="R387" s="7704"/>
      <c r="S387" s="7705"/>
    </row>
    <row r="388" ht="18.75" customHeight="1">
      <c r="A388" s="7696"/>
      <c r="B388" s="7712" t="s">
        <v>290</v>
      </c>
      <c r="C388" s="7713" t="s">
        <v>2839</v>
      </c>
      <c r="D388" s="7714"/>
      <c r="E388" s="7722" t="s">
        <v>2262</v>
      </c>
      <c r="F388" s="7722" t="str">
        <f t="shared" si="38"/>
        <v/>
      </c>
      <c r="G388" s="7722"/>
      <c r="H388" s="7722" t="str">
        <f t="shared" si="39"/>
        <v/>
      </c>
      <c r="I388" s="7713">
        <v>70.0</v>
      </c>
      <c r="J388" s="7713">
        <v>65.0</v>
      </c>
      <c r="K388" s="7713">
        <v>65.0</v>
      </c>
      <c r="L388" s="7713">
        <v>65.0</v>
      </c>
      <c r="M388" s="7713">
        <v>55.0</v>
      </c>
      <c r="N388" s="7715">
        <v>90.0</v>
      </c>
      <c r="O388" s="7701"/>
      <c r="P388" s="7704"/>
      <c r="Q388" s="7704"/>
      <c r="R388" s="7704"/>
      <c r="S388" s="7705"/>
    </row>
    <row r="389" ht="18.75" customHeight="1">
      <c r="A389" s="7696"/>
      <c r="B389" s="7718" t="s">
        <v>1390</v>
      </c>
      <c r="C389" s="7719" t="s">
        <v>2840</v>
      </c>
      <c r="D389" s="7720"/>
      <c r="E389" s="7719" t="s">
        <v>2272</v>
      </c>
      <c r="F389" s="7719" t="str">
        <f t="shared" si="38"/>
        <v/>
      </c>
      <c r="G389" s="7719" t="s">
        <v>2447</v>
      </c>
      <c r="H389" s="7719" t="str">
        <f t="shared" si="39"/>
        <v/>
      </c>
      <c r="I389" s="7719">
        <v>50.0</v>
      </c>
      <c r="J389" s="7719">
        <v>75.0</v>
      </c>
      <c r="K389" s="7719">
        <v>75.0</v>
      </c>
      <c r="L389" s="7719">
        <v>65.0</v>
      </c>
      <c r="M389" s="7719">
        <v>65.0</v>
      </c>
      <c r="N389" s="7721">
        <v>50.0</v>
      </c>
      <c r="O389" s="7701"/>
      <c r="P389" s="7704"/>
      <c r="Q389" s="7704"/>
      <c r="R389" s="7704"/>
      <c r="S389" s="7705"/>
    </row>
    <row r="390" ht="18.75" customHeight="1">
      <c r="A390" s="7696"/>
      <c r="B390" s="7712" t="s">
        <v>2178</v>
      </c>
      <c r="C390" s="7722" t="s">
        <v>2841</v>
      </c>
      <c r="D390" s="7714"/>
      <c r="E390" s="7713" t="s">
        <v>2272</v>
      </c>
      <c r="F390" s="7713" t="str">
        <f t="shared" si="38"/>
        <v/>
      </c>
      <c r="G390" s="7713" t="s">
        <v>2447</v>
      </c>
      <c r="H390" s="7713" t="str">
        <f t="shared" si="39"/>
        <v/>
      </c>
      <c r="I390" s="7713">
        <v>50.0</v>
      </c>
      <c r="J390" s="7713">
        <v>85.0</v>
      </c>
      <c r="K390" s="7713">
        <v>125.0</v>
      </c>
      <c r="L390" s="7713">
        <v>85.0</v>
      </c>
      <c r="M390" s="7713">
        <v>115.0</v>
      </c>
      <c r="N390" s="7715">
        <v>20.0</v>
      </c>
      <c r="O390" s="7701"/>
      <c r="P390" s="7704"/>
      <c r="Q390" s="7704"/>
      <c r="R390" s="7704"/>
      <c r="S390" s="7705"/>
    </row>
    <row r="391" ht="18.75" customHeight="1">
      <c r="A391" s="7696"/>
      <c r="B391" s="7718" t="s">
        <v>1377</v>
      </c>
      <c r="C391" s="7719" t="s">
        <v>2842</v>
      </c>
      <c r="D391" s="7720"/>
      <c r="E391" s="7719" t="s">
        <v>2286</v>
      </c>
      <c r="F391" s="7719" t="str">
        <f t="shared" si="38"/>
        <v/>
      </c>
      <c r="G391" s="7719" t="s">
        <v>2292</v>
      </c>
      <c r="H391" s="7719" t="str">
        <f t="shared" si="39"/>
        <v/>
      </c>
      <c r="I391" s="7719">
        <v>50.0</v>
      </c>
      <c r="J391" s="7719">
        <v>85.0</v>
      </c>
      <c r="K391" s="7719">
        <v>85.0</v>
      </c>
      <c r="L391" s="7719">
        <v>55.0</v>
      </c>
      <c r="M391" s="7719">
        <v>55.0</v>
      </c>
      <c r="N391" s="7721">
        <v>50.0</v>
      </c>
      <c r="O391" s="7701"/>
      <c r="P391" s="7704"/>
      <c r="Q391" s="7704"/>
      <c r="R391" s="7704"/>
      <c r="S391" s="7705"/>
    </row>
    <row r="392" ht="18.75" customHeight="1">
      <c r="A392" s="7696"/>
      <c r="B392" s="7712" t="s">
        <v>1252</v>
      </c>
      <c r="C392" s="7722" t="s">
        <v>2843</v>
      </c>
      <c r="D392" s="7714"/>
      <c r="E392" s="7713" t="s">
        <v>2286</v>
      </c>
      <c r="F392" s="7713" t="str">
        <f t="shared" si="38"/>
        <v/>
      </c>
      <c r="G392" s="7713" t="s">
        <v>2292</v>
      </c>
      <c r="H392" s="7713" t="str">
        <f t="shared" si="39"/>
        <v/>
      </c>
      <c r="I392" s="7713">
        <v>50.0</v>
      </c>
      <c r="J392" s="7713">
        <v>105.0</v>
      </c>
      <c r="K392" s="7713">
        <v>125.0</v>
      </c>
      <c r="L392" s="7713">
        <v>55.0</v>
      </c>
      <c r="M392" s="7713">
        <v>95.0</v>
      </c>
      <c r="N392" s="7715">
        <v>50.0</v>
      </c>
      <c r="O392" s="7701"/>
      <c r="P392" s="7704"/>
      <c r="Q392" s="7704"/>
      <c r="R392" s="7704"/>
      <c r="S392" s="7705"/>
    </row>
    <row r="393" ht="18.75" customHeight="1">
      <c r="A393" s="7696"/>
      <c r="B393" s="7718" t="s">
        <v>1635</v>
      </c>
      <c r="C393" s="7719" t="s">
        <v>2844</v>
      </c>
      <c r="D393" s="7720"/>
      <c r="E393" s="7719" t="s">
        <v>2286</v>
      </c>
      <c r="F393" s="7719" t="str">
        <f t="shared" si="38"/>
        <v/>
      </c>
      <c r="G393" s="7719" t="s">
        <v>2370</v>
      </c>
      <c r="H393" s="7719" t="str">
        <f t="shared" si="39"/>
        <v/>
      </c>
      <c r="I393" s="7719">
        <v>50.0</v>
      </c>
      <c r="J393" s="7719">
        <v>70.0</v>
      </c>
      <c r="K393" s="7719">
        <v>100.0</v>
      </c>
      <c r="L393" s="7719">
        <v>40.0</v>
      </c>
      <c r="M393" s="7719">
        <v>40.0</v>
      </c>
      <c r="N393" s="7721">
        <v>30.0</v>
      </c>
      <c r="O393" s="7701"/>
      <c r="P393" s="7704"/>
      <c r="Q393" s="7704"/>
      <c r="R393" s="7704"/>
      <c r="S393" s="7705"/>
    </row>
    <row r="394" ht="18.75" customHeight="1">
      <c r="A394" s="7696"/>
      <c r="B394" s="7712" t="s">
        <v>2845</v>
      </c>
      <c r="C394" s="7713" t="s">
        <v>2846</v>
      </c>
      <c r="D394" s="7714"/>
      <c r="E394" s="7722" t="s">
        <v>2286</v>
      </c>
      <c r="F394" s="7722" t="str">
        <f t="shared" si="38"/>
        <v/>
      </c>
      <c r="G394" s="7722" t="s">
        <v>2370</v>
      </c>
      <c r="H394" s="7722" t="str">
        <f t="shared" si="39"/>
        <v/>
      </c>
      <c r="I394" s="7713">
        <v>60.0</v>
      </c>
      <c r="J394" s="7713">
        <v>90.0</v>
      </c>
      <c r="K394" s="7713">
        <v>140.0</v>
      </c>
      <c r="L394" s="7713">
        <v>50.0</v>
      </c>
      <c r="M394" s="7713">
        <v>50.0</v>
      </c>
      <c r="N394" s="7715">
        <v>40.0</v>
      </c>
      <c r="O394" s="7701"/>
      <c r="P394" s="7704"/>
      <c r="Q394" s="7704"/>
      <c r="R394" s="7704"/>
      <c r="S394" s="7705"/>
    </row>
    <row r="395" ht="18.75" customHeight="1">
      <c r="A395" s="7696"/>
      <c r="B395" s="7718" t="s">
        <v>1076</v>
      </c>
      <c r="C395" s="7719" t="s">
        <v>2847</v>
      </c>
      <c r="D395" s="7720"/>
      <c r="E395" s="7719" t="s">
        <v>2286</v>
      </c>
      <c r="F395" s="7719" t="str">
        <f t="shared" si="38"/>
        <v/>
      </c>
      <c r="G395" s="7719" t="s">
        <v>2370</v>
      </c>
      <c r="H395" s="7719" t="str">
        <f t="shared" si="39"/>
        <v/>
      </c>
      <c r="I395" s="7719">
        <v>70.0</v>
      </c>
      <c r="J395" s="7719">
        <v>110.0</v>
      </c>
      <c r="K395" s="7719">
        <v>180.0</v>
      </c>
      <c r="L395" s="7719">
        <v>60.0</v>
      </c>
      <c r="M395" s="7719">
        <v>60.0</v>
      </c>
      <c r="N395" s="7721">
        <v>50.0</v>
      </c>
      <c r="O395" s="7701"/>
      <c r="P395" s="7704"/>
      <c r="Q395" s="7704"/>
      <c r="R395" s="7704"/>
      <c r="S395" s="7705"/>
    </row>
    <row r="396" ht="18.75" customHeight="1">
      <c r="A396" s="7696"/>
      <c r="B396" s="7712" t="s">
        <v>951</v>
      </c>
      <c r="C396" s="7722" t="s">
        <v>2848</v>
      </c>
      <c r="D396" s="7714"/>
      <c r="E396" s="7713" t="s">
        <v>2286</v>
      </c>
      <c r="F396" s="7713" t="str">
        <f t="shared" si="38"/>
        <v/>
      </c>
      <c r="G396" s="7713"/>
      <c r="H396" s="7713" t="str">
        <f t="shared" si="39"/>
        <v/>
      </c>
      <c r="I396" s="7713">
        <v>70.0</v>
      </c>
      <c r="J396" s="7713">
        <v>140.0</v>
      </c>
      <c r="K396" s="7713">
        <v>230.0</v>
      </c>
      <c r="L396" s="7713">
        <v>60.0</v>
      </c>
      <c r="M396" s="7713">
        <v>80.0</v>
      </c>
      <c r="N396" s="7715">
        <v>50.0</v>
      </c>
      <c r="O396" s="7701"/>
      <c r="P396" s="7704"/>
      <c r="Q396" s="7704"/>
      <c r="R396" s="7704"/>
      <c r="S396" s="7705"/>
    </row>
    <row r="397" ht="18.75" customHeight="1">
      <c r="A397" s="7696"/>
      <c r="B397" s="7718" t="s">
        <v>990</v>
      </c>
      <c r="C397" s="7719" t="s">
        <v>2849</v>
      </c>
      <c r="D397" s="7720"/>
      <c r="E397" s="7719" t="s">
        <v>2296</v>
      </c>
      <c r="F397" s="7719" t="str">
        <f t="shared" si="38"/>
        <v/>
      </c>
      <c r="G397" s="7719" t="s">
        <v>669</v>
      </c>
      <c r="H397" s="7719" t="str">
        <f t="shared" si="39"/>
        <v/>
      </c>
      <c r="I397" s="7719">
        <v>30.0</v>
      </c>
      <c r="J397" s="7719">
        <v>40.0</v>
      </c>
      <c r="K397" s="7719">
        <v>55.0</v>
      </c>
      <c r="L397" s="7719">
        <v>40.0</v>
      </c>
      <c r="M397" s="7719">
        <v>55.0</v>
      </c>
      <c r="N397" s="7721">
        <v>60.0</v>
      </c>
      <c r="O397" s="7701"/>
      <c r="P397" s="7704"/>
      <c r="Q397" s="7704"/>
      <c r="R397" s="7704"/>
      <c r="S397" s="7705"/>
    </row>
    <row r="398" ht="18.75" customHeight="1">
      <c r="A398" s="7696"/>
      <c r="B398" s="7712" t="s">
        <v>2850</v>
      </c>
      <c r="C398" s="7713" t="s">
        <v>2851</v>
      </c>
      <c r="D398" s="7714"/>
      <c r="E398" s="7722" t="s">
        <v>2296</v>
      </c>
      <c r="F398" s="7722" t="str">
        <f t="shared" si="38"/>
        <v/>
      </c>
      <c r="G398" s="7722" t="s">
        <v>669</v>
      </c>
      <c r="H398" s="7722" t="str">
        <f t="shared" si="39"/>
        <v/>
      </c>
      <c r="I398" s="7713">
        <v>60.0</v>
      </c>
      <c r="J398" s="7713">
        <v>60.0</v>
      </c>
      <c r="K398" s="7713">
        <v>75.0</v>
      </c>
      <c r="L398" s="7713">
        <v>60.0</v>
      </c>
      <c r="M398" s="7713">
        <v>75.0</v>
      </c>
      <c r="N398" s="7715">
        <v>80.0</v>
      </c>
      <c r="O398" s="7701"/>
      <c r="P398" s="7704"/>
      <c r="Q398" s="7704"/>
      <c r="R398" s="7704"/>
      <c r="S398" s="7705"/>
    </row>
    <row r="399" ht="18.75" customHeight="1">
      <c r="A399" s="7696"/>
      <c r="B399" s="7718" t="s">
        <v>1884</v>
      </c>
      <c r="C399" s="7723" t="s">
        <v>2852</v>
      </c>
      <c r="D399" s="7720"/>
      <c r="E399" s="7719" t="s">
        <v>2296</v>
      </c>
      <c r="F399" s="7719" t="str">
        <f t="shared" si="38"/>
        <v/>
      </c>
      <c r="G399" s="7719" t="s">
        <v>669</v>
      </c>
      <c r="H399" s="7719" t="str">
        <f t="shared" si="39"/>
        <v/>
      </c>
      <c r="I399" s="7719">
        <v>60.0</v>
      </c>
      <c r="J399" s="7719">
        <v>100.0</v>
      </c>
      <c r="K399" s="7719">
        <v>85.0</v>
      </c>
      <c r="L399" s="7719">
        <v>80.0</v>
      </c>
      <c r="M399" s="7719">
        <v>85.0</v>
      </c>
      <c r="N399" s="7721">
        <v>100.0</v>
      </c>
      <c r="O399" s="7701"/>
      <c r="P399" s="7704"/>
      <c r="Q399" s="7704"/>
      <c r="R399" s="7704"/>
      <c r="S399" s="7705"/>
    </row>
    <row r="400" ht="18.75" customHeight="1">
      <c r="A400" s="7696"/>
      <c r="B400" s="7712" t="s">
        <v>1410</v>
      </c>
      <c r="C400" s="7713" t="s">
        <v>2853</v>
      </c>
      <c r="D400" s="7714"/>
      <c r="E400" s="7713" t="s">
        <v>2283</v>
      </c>
      <c r="F400" s="7713" t="str">
        <f t="shared" si="38"/>
        <v/>
      </c>
      <c r="G400" s="7713"/>
      <c r="H400" s="7713" t="str">
        <f t="shared" si="39"/>
        <v/>
      </c>
      <c r="I400" s="7713">
        <v>40.0</v>
      </c>
      <c r="J400" s="7713">
        <v>45.0</v>
      </c>
      <c r="K400" s="7713">
        <v>40.0</v>
      </c>
      <c r="L400" s="7713">
        <v>65.0</v>
      </c>
      <c r="M400" s="7713">
        <v>40.0</v>
      </c>
      <c r="N400" s="7715">
        <v>65.0</v>
      </c>
      <c r="O400" s="7701"/>
      <c r="P400" s="7704"/>
      <c r="Q400" s="7704"/>
      <c r="R400" s="7704"/>
      <c r="S400" s="7705"/>
    </row>
    <row r="401" ht="18.75" customHeight="1">
      <c r="A401" s="7696"/>
      <c r="B401" s="7718" t="s">
        <v>2854</v>
      </c>
      <c r="C401" s="7719" t="s">
        <v>2855</v>
      </c>
      <c r="D401" s="7720"/>
      <c r="E401" s="7719" t="s">
        <v>2283</v>
      </c>
      <c r="F401" s="7719" t="str">
        <f t="shared" si="38"/>
        <v/>
      </c>
      <c r="G401" s="7719"/>
      <c r="H401" s="7719" t="str">
        <f t="shared" si="39"/>
        <v/>
      </c>
      <c r="I401" s="7719">
        <v>70.0</v>
      </c>
      <c r="J401" s="7719">
        <v>75.0</v>
      </c>
      <c r="K401" s="7719">
        <v>60.0</v>
      </c>
      <c r="L401" s="7719">
        <v>105.0</v>
      </c>
      <c r="M401" s="7719">
        <v>60.0</v>
      </c>
      <c r="N401" s="7721">
        <v>105.0</v>
      </c>
      <c r="O401" s="7701"/>
      <c r="P401" s="7704"/>
      <c r="Q401" s="7704"/>
      <c r="R401" s="7704"/>
      <c r="S401" s="7705"/>
    </row>
    <row r="402" ht="18.75" customHeight="1">
      <c r="A402" s="7696"/>
      <c r="B402" s="7712" t="s">
        <v>768</v>
      </c>
      <c r="C402" s="7722" t="s">
        <v>2856</v>
      </c>
      <c r="D402" s="7714"/>
      <c r="E402" s="7713" t="s">
        <v>2283</v>
      </c>
      <c r="F402" s="7713" t="str">
        <f t="shared" si="38"/>
        <v/>
      </c>
      <c r="G402" s="7713"/>
      <c r="H402" s="7713" t="str">
        <f t="shared" si="39"/>
        <v/>
      </c>
      <c r="I402" s="7713">
        <v>70.0</v>
      </c>
      <c r="J402" s="7713">
        <v>75.0</v>
      </c>
      <c r="K402" s="7713">
        <v>80.0</v>
      </c>
      <c r="L402" s="7713">
        <v>135.0</v>
      </c>
      <c r="M402" s="7713">
        <v>80.0</v>
      </c>
      <c r="N402" s="7715">
        <v>135.0</v>
      </c>
      <c r="O402" s="7701"/>
      <c r="P402" s="7704"/>
      <c r="Q402" s="7704"/>
      <c r="R402" s="7704"/>
      <c r="S402" s="7705"/>
    </row>
    <row r="403" ht="18.75" customHeight="1">
      <c r="A403" s="7696"/>
      <c r="B403" s="7718" t="s">
        <v>1032</v>
      </c>
      <c r="C403" s="7719" t="s">
        <v>2857</v>
      </c>
      <c r="D403" s="7720"/>
      <c r="E403" s="7719" t="s">
        <v>2283</v>
      </c>
      <c r="F403" s="7719" t="str">
        <f t="shared" si="38"/>
        <v/>
      </c>
      <c r="G403" s="7719"/>
      <c r="H403" s="7719" t="str">
        <f t="shared" si="39"/>
        <v/>
      </c>
      <c r="I403" s="7719">
        <v>60.0</v>
      </c>
      <c r="J403" s="7719">
        <v>50.0</v>
      </c>
      <c r="K403" s="7719">
        <v>40.0</v>
      </c>
      <c r="L403" s="7719">
        <v>85.0</v>
      </c>
      <c r="M403" s="7719">
        <v>75.0</v>
      </c>
      <c r="N403" s="7721">
        <v>110.0</v>
      </c>
      <c r="O403" s="7701"/>
      <c r="P403" s="7704"/>
      <c r="Q403" s="7704"/>
      <c r="R403" s="7704"/>
      <c r="S403" s="7705"/>
    </row>
    <row r="404" ht="18.75" customHeight="1">
      <c r="A404" s="7696"/>
      <c r="B404" s="7712" t="s">
        <v>2156</v>
      </c>
      <c r="C404" s="7713" t="s">
        <v>2858</v>
      </c>
      <c r="D404" s="7714"/>
      <c r="E404" s="7722" t="s">
        <v>2283</v>
      </c>
      <c r="F404" s="7722" t="str">
        <f t="shared" si="38"/>
        <v/>
      </c>
      <c r="G404" s="7722"/>
      <c r="H404" s="7722" t="str">
        <f t="shared" si="39"/>
        <v/>
      </c>
      <c r="I404" s="7713">
        <v>60.0</v>
      </c>
      <c r="J404" s="7713">
        <v>85.0</v>
      </c>
      <c r="K404" s="7713">
        <v>75.0</v>
      </c>
      <c r="L404" s="7713">
        <v>50.0</v>
      </c>
      <c r="M404" s="7713">
        <v>40.0</v>
      </c>
      <c r="N404" s="7715">
        <v>110.0</v>
      </c>
      <c r="O404" s="7701"/>
      <c r="P404" s="7704"/>
      <c r="Q404" s="7704"/>
      <c r="R404" s="7704"/>
      <c r="S404" s="7705"/>
    </row>
    <row r="405" ht="18.75" customHeight="1">
      <c r="A405" s="7696"/>
      <c r="B405" s="7718" t="s">
        <v>1370</v>
      </c>
      <c r="C405" s="7719" t="s">
        <v>2859</v>
      </c>
      <c r="D405" s="7720"/>
      <c r="E405" s="7719" t="s">
        <v>2243</v>
      </c>
      <c r="F405" s="7719" t="str">
        <f t="shared" si="38"/>
        <v/>
      </c>
      <c r="G405" s="7719" t="s">
        <v>2283</v>
      </c>
      <c r="H405" s="7719" t="str">
        <f t="shared" si="39"/>
        <v/>
      </c>
      <c r="I405" s="7719">
        <v>85.0</v>
      </c>
      <c r="J405" s="7719">
        <v>47.0</v>
      </c>
      <c r="K405" s="7719">
        <v>75.0</v>
      </c>
      <c r="L405" s="7719">
        <v>90.0</v>
      </c>
      <c r="M405" s="7719">
        <v>85.0</v>
      </c>
      <c r="N405" s="7721">
        <v>100.0</v>
      </c>
      <c r="O405" s="7701"/>
      <c r="P405" s="7704"/>
      <c r="Q405" s="7704"/>
      <c r="R405" s="7704"/>
      <c r="S405" s="7705"/>
    </row>
    <row r="406" ht="18.75" customHeight="1">
      <c r="A406" s="7696"/>
      <c r="B406" s="7712" t="s">
        <v>2155</v>
      </c>
      <c r="C406" s="7713" t="s">
        <v>2860</v>
      </c>
      <c r="D406" s="7714"/>
      <c r="E406" s="7713" t="s">
        <v>2243</v>
      </c>
      <c r="F406" s="7713" t="str">
        <f t="shared" si="38"/>
        <v/>
      </c>
      <c r="G406" s="7713" t="s">
        <v>2292</v>
      </c>
      <c r="H406" s="7713" t="str">
        <f t="shared" si="39"/>
        <v/>
      </c>
      <c r="I406" s="7713">
        <v>85.0</v>
      </c>
      <c r="J406" s="7713">
        <v>90.0</v>
      </c>
      <c r="K406" s="7713">
        <v>75.0</v>
      </c>
      <c r="L406" s="7713">
        <v>47.0</v>
      </c>
      <c r="M406" s="7713">
        <v>85.0</v>
      </c>
      <c r="N406" s="7715">
        <v>100.0</v>
      </c>
      <c r="O406" s="7701"/>
      <c r="P406" s="7704"/>
      <c r="Q406" s="7704"/>
      <c r="R406" s="7704"/>
      <c r="S406" s="7705"/>
    </row>
    <row r="407" ht="18.75" customHeight="1">
      <c r="A407" s="7696"/>
      <c r="B407" s="7718" t="s">
        <v>2861</v>
      </c>
      <c r="C407" s="7719" t="s">
        <v>2862</v>
      </c>
      <c r="D407" s="7720"/>
      <c r="E407" s="7719" t="s">
        <v>2209</v>
      </c>
      <c r="F407" s="7719" t="str">
        <f t="shared" si="38"/>
        <v/>
      </c>
      <c r="G407" s="7719" t="s">
        <v>2210</v>
      </c>
      <c r="H407" s="7719" t="str">
        <f t="shared" si="39"/>
        <v/>
      </c>
      <c r="I407" s="7719">
        <v>50.0</v>
      </c>
      <c r="J407" s="7719">
        <v>60.0</v>
      </c>
      <c r="K407" s="7719">
        <v>45.0</v>
      </c>
      <c r="L407" s="7719">
        <v>100.0</v>
      </c>
      <c r="M407" s="7719">
        <v>80.0</v>
      </c>
      <c r="N407" s="7721">
        <v>65.0</v>
      </c>
      <c r="O407" s="7701"/>
      <c r="P407" s="7704"/>
      <c r="Q407" s="7704"/>
      <c r="R407" s="7704"/>
      <c r="S407" s="7705"/>
    </row>
    <row r="408" ht="18.75" customHeight="1">
      <c r="A408" s="7696"/>
      <c r="B408" s="7712" t="s">
        <v>1362</v>
      </c>
      <c r="C408" s="7713" t="s">
        <v>2863</v>
      </c>
      <c r="D408" s="7714"/>
      <c r="E408" s="7713" t="s">
        <v>2210</v>
      </c>
      <c r="F408" s="7713" t="str">
        <f t="shared" si="38"/>
        <v/>
      </c>
      <c r="G408" s="7713"/>
      <c r="H408" s="7713" t="str">
        <f t="shared" si="39"/>
        <v/>
      </c>
      <c r="I408" s="7713">
        <v>70.0</v>
      </c>
      <c r="J408" s="7713">
        <v>43.0</v>
      </c>
      <c r="K408" s="7713">
        <v>53.0</v>
      </c>
      <c r="L408" s="7713">
        <v>43.0</v>
      </c>
      <c r="M408" s="7713">
        <v>53.0</v>
      </c>
      <c r="N408" s="7715">
        <v>40.0</v>
      </c>
      <c r="O408" s="7701"/>
      <c r="P408" s="7704"/>
      <c r="Q408" s="7704"/>
      <c r="R408" s="7704"/>
      <c r="S408" s="7705"/>
    </row>
    <row r="409" ht="18.75" customHeight="1">
      <c r="A409" s="7696"/>
      <c r="B409" s="7718" t="s">
        <v>296</v>
      </c>
      <c r="C409" s="7719" t="s">
        <v>2864</v>
      </c>
      <c r="D409" s="7720"/>
      <c r="E409" s="7719" t="s">
        <v>2210</v>
      </c>
      <c r="F409" s="7719" t="str">
        <f t="shared" si="38"/>
        <v/>
      </c>
      <c r="G409" s="7719"/>
      <c r="H409" s="7719" t="str">
        <f t="shared" si="39"/>
        <v/>
      </c>
      <c r="I409" s="7719">
        <v>100.0</v>
      </c>
      <c r="J409" s="7719">
        <v>53.0</v>
      </c>
      <c r="K409" s="7719">
        <v>88.0</v>
      </c>
      <c r="L409" s="7719">
        <v>93.0</v>
      </c>
      <c r="M409" s="7719">
        <v>88.0</v>
      </c>
      <c r="N409" s="7721">
        <v>55.0</v>
      </c>
      <c r="O409" s="7701"/>
      <c r="P409" s="7704"/>
      <c r="Q409" s="7704"/>
      <c r="R409" s="7704"/>
      <c r="S409" s="7705"/>
    </row>
    <row r="410" ht="18.75" customHeight="1">
      <c r="A410" s="7696"/>
      <c r="B410" s="7712" t="s">
        <v>2865</v>
      </c>
      <c r="C410" s="7713" t="s">
        <v>2866</v>
      </c>
      <c r="D410" s="7714"/>
      <c r="E410" s="7713" t="s">
        <v>2232</v>
      </c>
      <c r="F410" s="7713" t="str">
        <f t="shared" si="38"/>
        <v/>
      </c>
      <c r="G410" s="7713" t="s">
        <v>2272</v>
      </c>
      <c r="H410" s="7713" t="str">
        <f t="shared" si="39"/>
        <v/>
      </c>
      <c r="I410" s="7713">
        <v>45.0</v>
      </c>
      <c r="J410" s="7713">
        <v>90.0</v>
      </c>
      <c r="K410" s="7713">
        <v>20.0</v>
      </c>
      <c r="L410" s="7713">
        <v>65.0</v>
      </c>
      <c r="M410" s="7713">
        <v>20.0</v>
      </c>
      <c r="N410" s="7715">
        <v>65.0</v>
      </c>
      <c r="O410" s="7701"/>
      <c r="P410" s="7704"/>
      <c r="Q410" s="7704"/>
      <c r="R410" s="7704"/>
      <c r="S410" s="7705"/>
    </row>
    <row r="411" ht="18.75" customHeight="1">
      <c r="A411" s="7696"/>
      <c r="B411" s="7718" t="s">
        <v>2867</v>
      </c>
      <c r="C411" s="7719" t="s">
        <v>2868</v>
      </c>
      <c r="D411" s="7720"/>
      <c r="E411" s="7719" t="s">
        <v>2232</v>
      </c>
      <c r="F411" s="7719" t="str">
        <f t="shared" si="38"/>
        <v/>
      </c>
      <c r="G411" s="7719" t="s">
        <v>2272</v>
      </c>
      <c r="H411" s="7719" t="str">
        <f t="shared" si="39"/>
        <v/>
      </c>
      <c r="I411" s="7719">
        <v>70.0</v>
      </c>
      <c r="J411" s="7719">
        <v>120.0</v>
      </c>
      <c r="K411" s="7719">
        <v>40.0</v>
      </c>
      <c r="L411" s="7719">
        <v>95.0</v>
      </c>
      <c r="M411" s="7719">
        <v>40.0</v>
      </c>
      <c r="N411" s="7721">
        <v>95.0</v>
      </c>
      <c r="O411" s="7701"/>
      <c r="P411" s="7704"/>
      <c r="Q411" s="7704"/>
      <c r="R411" s="7704"/>
      <c r="S411" s="7705"/>
    </row>
    <row r="412" ht="18.75" customHeight="1">
      <c r="A412" s="7696"/>
      <c r="B412" s="7712" t="s">
        <v>1301</v>
      </c>
      <c r="C412" s="7722" t="s">
        <v>2869</v>
      </c>
      <c r="D412" s="7714"/>
      <c r="E412" s="7713" t="s">
        <v>2232</v>
      </c>
      <c r="F412" s="7713" t="str">
        <f t="shared" si="38"/>
        <v/>
      </c>
      <c r="G412" s="7713" t="s">
        <v>2272</v>
      </c>
      <c r="H412" s="7713" t="str">
        <f t="shared" si="39"/>
        <v/>
      </c>
      <c r="I412" s="7713">
        <v>70.0</v>
      </c>
      <c r="J412" s="7713">
        <v>140.0</v>
      </c>
      <c r="K412" s="7713">
        <v>70.0</v>
      </c>
      <c r="L412" s="7713">
        <v>110.0</v>
      </c>
      <c r="M412" s="7713">
        <v>65.0</v>
      </c>
      <c r="N412" s="7715">
        <v>105.0</v>
      </c>
      <c r="O412" s="7701"/>
      <c r="P412" s="7704"/>
      <c r="Q412" s="7704"/>
      <c r="R412" s="7704"/>
      <c r="S412" s="7705"/>
    </row>
    <row r="413" ht="18.75" customHeight="1">
      <c r="A413" s="7696"/>
      <c r="B413" s="7718" t="s">
        <v>2870</v>
      </c>
      <c r="C413" s="7719" t="s">
        <v>2871</v>
      </c>
      <c r="D413" s="7720"/>
      <c r="E413" s="7723" t="s">
        <v>2232</v>
      </c>
      <c r="F413" s="7723" t="str">
        <f t="shared" si="38"/>
        <v/>
      </c>
      <c r="G413" s="7723"/>
      <c r="H413" s="7723" t="str">
        <f t="shared" si="39"/>
        <v/>
      </c>
      <c r="I413" s="7719">
        <v>130.0</v>
      </c>
      <c r="J413" s="7719">
        <v>70.0</v>
      </c>
      <c r="K413" s="7719">
        <v>35.0</v>
      </c>
      <c r="L413" s="7719">
        <v>70.0</v>
      </c>
      <c r="M413" s="7719">
        <v>35.0</v>
      </c>
      <c r="N413" s="7721">
        <v>60.0</v>
      </c>
      <c r="O413" s="7701"/>
      <c r="P413" s="7704"/>
      <c r="Q413" s="7704"/>
      <c r="R413" s="7704"/>
      <c r="S413" s="7705"/>
    </row>
    <row r="414" ht="18.75" customHeight="1">
      <c r="A414" s="7696"/>
      <c r="B414" s="7712" t="s">
        <v>276</v>
      </c>
      <c r="C414" s="7713" t="s">
        <v>2872</v>
      </c>
      <c r="D414" s="7714"/>
      <c r="E414" s="7713" t="s">
        <v>2232</v>
      </c>
      <c r="F414" s="7713" t="str">
        <f t="shared" si="38"/>
        <v/>
      </c>
      <c r="G414" s="7713"/>
      <c r="H414" s="7713" t="str">
        <f t="shared" si="39"/>
        <v/>
      </c>
      <c r="I414" s="7713">
        <v>150.0</v>
      </c>
      <c r="J414" s="7713">
        <v>50.0</v>
      </c>
      <c r="K414" s="7713">
        <v>80.0</v>
      </c>
      <c r="L414" s="7713">
        <v>105.0</v>
      </c>
      <c r="M414" s="7713">
        <v>80.0</v>
      </c>
      <c r="N414" s="7715">
        <v>50.0</v>
      </c>
      <c r="O414" s="7701"/>
      <c r="P414" s="7704"/>
      <c r="Q414" s="7704"/>
      <c r="R414" s="7704"/>
      <c r="S414" s="7705"/>
    </row>
    <row r="415" ht="18.75" customHeight="1">
      <c r="A415" s="7696"/>
      <c r="B415" s="7718" t="s">
        <v>992</v>
      </c>
      <c r="C415" s="7719" t="s">
        <v>2873</v>
      </c>
      <c r="D415" s="7720"/>
      <c r="E415" s="7723" t="s">
        <v>2219</v>
      </c>
      <c r="F415" s="7723" t="str">
        <f t="shared" si="38"/>
        <v/>
      </c>
      <c r="G415" s="7723" t="s">
        <v>2304</v>
      </c>
      <c r="H415" s="7723" t="str">
        <f t="shared" si="39"/>
        <v/>
      </c>
      <c r="I415" s="7719">
        <v>60.0</v>
      </c>
      <c r="J415" s="7719">
        <v>60.0</v>
      </c>
      <c r="K415" s="7719">
        <v>40.0</v>
      </c>
      <c r="L415" s="7719">
        <v>65.0</v>
      </c>
      <c r="M415" s="7719">
        <v>45.0</v>
      </c>
      <c r="N415" s="7721">
        <v>35.0</v>
      </c>
      <c r="O415" s="7701"/>
      <c r="P415" s="7704"/>
      <c r="Q415" s="7704"/>
      <c r="R415" s="7704"/>
      <c r="S415" s="7705"/>
    </row>
    <row r="416" ht="18.75" customHeight="1">
      <c r="A416" s="7696"/>
      <c r="B416" s="7712" t="s">
        <v>2874</v>
      </c>
      <c r="C416" s="7713" t="s">
        <v>2875</v>
      </c>
      <c r="D416" s="7714"/>
      <c r="E416" s="7713" t="s">
        <v>2219</v>
      </c>
      <c r="F416" s="7713" t="str">
        <f t="shared" si="38"/>
        <v/>
      </c>
      <c r="G416" s="7713" t="s">
        <v>2304</v>
      </c>
      <c r="H416" s="7713" t="str">
        <f t="shared" si="39"/>
        <v/>
      </c>
      <c r="I416" s="7713">
        <v>90.0</v>
      </c>
      <c r="J416" s="7713">
        <v>100.0</v>
      </c>
      <c r="K416" s="7713">
        <v>70.0</v>
      </c>
      <c r="L416" s="7713">
        <v>105.0</v>
      </c>
      <c r="M416" s="7713">
        <v>75.0</v>
      </c>
      <c r="N416" s="7715">
        <v>40.0</v>
      </c>
      <c r="O416" s="7701"/>
      <c r="P416" s="7704"/>
      <c r="Q416" s="7704"/>
      <c r="R416" s="7704"/>
      <c r="S416" s="7705"/>
    </row>
    <row r="417" ht="18.75" customHeight="1">
      <c r="A417" s="7696"/>
      <c r="B417" s="7718" t="s">
        <v>628</v>
      </c>
      <c r="C417" s="7723" t="s">
        <v>2876</v>
      </c>
      <c r="D417" s="7720"/>
      <c r="E417" s="7723" t="s">
        <v>2219</v>
      </c>
      <c r="F417" s="7723" t="str">
        <f t="shared" si="38"/>
        <v/>
      </c>
      <c r="G417" s="7723" t="s">
        <v>2304</v>
      </c>
      <c r="H417" s="7723" t="str">
        <f t="shared" si="39"/>
        <v/>
      </c>
      <c r="I417" s="7719">
        <v>90.0</v>
      </c>
      <c r="J417" s="7719">
        <v>100.0</v>
      </c>
      <c r="K417" s="7719">
        <v>110.0</v>
      </c>
      <c r="L417" s="7719">
        <v>145.0</v>
      </c>
      <c r="M417" s="7719">
        <v>115.0</v>
      </c>
      <c r="N417" s="7721">
        <v>20.0</v>
      </c>
      <c r="O417" s="7701"/>
      <c r="P417" s="7704"/>
      <c r="Q417" s="7704"/>
      <c r="R417" s="7704"/>
      <c r="S417" s="7705"/>
    </row>
    <row r="418" ht="18.75" customHeight="1">
      <c r="A418" s="7696"/>
      <c r="B418" s="7712" t="s">
        <v>2014</v>
      </c>
      <c r="C418" s="7713" t="s">
        <v>2877</v>
      </c>
      <c r="D418" s="7714"/>
      <c r="E418" s="7722" t="s">
        <v>2219</v>
      </c>
      <c r="F418" s="7722" t="str">
        <f t="shared" si="38"/>
        <v/>
      </c>
      <c r="G418" s="7722"/>
      <c r="H418" s="7722" t="str">
        <f t="shared" si="39"/>
        <v/>
      </c>
      <c r="I418" s="7713">
        <v>70.0</v>
      </c>
      <c r="J418" s="7713">
        <v>75.0</v>
      </c>
      <c r="K418" s="7713">
        <v>140.0</v>
      </c>
      <c r="L418" s="7713">
        <v>95.0</v>
      </c>
      <c r="M418" s="7713">
        <v>70.0</v>
      </c>
      <c r="N418" s="7715">
        <v>20.0</v>
      </c>
      <c r="O418" s="7701"/>
      <c r="P418" s="7704"/>
      <c r="Q418" s="7704"/>
      <c r="R418" s="7704"/>
      <c r="S418" s="7705"/>
    </row>
    <row r="419" ht="18.75" customHeight="1">
      <c r="A419" s="7696"/>
      <c r="B419" s="7718" t="s">
        <v>2878</v>
      </c>
      <c r="C419" s="7719" t="s">
        <v>2879</v>
      </c>
      <c r="D419" s="7720"/>
      <c r="E419" s="7719" t="s">
        <v>669</v>
      </c>
      <c r="F419" s="7719" t="str">
        <f t="shared" si="38"/>
        <v/>
      </c>
      <c r="G419" s="7719"/>
      <c r="H419" s="7719" t="str">
        <f t="shared" si="39"/>
        <v/>
      </c>
      <c r="I419" s="7719">
        <v>60.0</v>
      </c>
      <c r="J419" s="7719">
        <v>25.0</v>
      </c>
      <c r="K419" s="7719">
        <v>35.0</v>
      </c>
      <c r="L419" s="7719">
        <v>70.0</v>
      </c>
      <c r="M419" s="7719">
        <v>80.0</v>
      </c>
      <c r="N419" s="7721">
        <v>60.0</v>
      </c>
      <c r="O419" s="7701"/>
      <c r="P419" s="7704"/>
      <c r="Q419" s="7704"/>
      <c r="R419" s="7704"/>
      <c r="S419" s="7705"/>
    </row>
    <row r="420" ht="18.75" customHeight="1">
      <c r="A420" s="7696"/>
      <c r="B420" s="7712" t="s">
        <v>232</v>
      </c>
      <c r="C420" s="7713" t="s">
        <v>2880</v>
      </c>
      <c r="D420" s="7714"/>
      <c r="E420" s="7722" t="s">
        <v>669</v>
      </c>
      <c r="F420" s="7722" t="str">
        <f t="shared" si="38"/>
        <v/>
      </c>
      <c r="G420" s="7722"/>
      <c r="H420" s="7722" t="str">
        <f t="shared" si="39"/>
        <v/>
      </c>
      <c r="I420" s="7713">
        <v>90.0</v>
      </c>
      <c r="J420" s="7713">
        <v>45.0</v>
      </c>
      <c r="K420" s="7713">
        <v>65.0</v>
      </c>
      <c r="L420" s="7713">
        <v>90.0</v>
      </c>
      <c r="M420" s="7713">
        <v>110.0</v>
      </c>
      <c r="N420" s="7715">
        <v>80.0</v>
      </c>
      <c r="O420" s="7701"/>
      <c r="P420" s="7704"/>
      <c r="Q420" s="7704"/>
      <c r="R420" s="7704"/>
      <c r="S420" s="7705"/>
    </row>
    <row r="421" ht="18.75" customHeight="1">
      <c r="A421" s="7696"/>
      <c r="B421" s="7718" t="s">
        <v>241</v>
      </c>
      <c r="C421" s="7719" t="s">
        <v>2881</v>
      </c>
      <c r="D421" s="7720"/>
      <c r="E421" s="7719" t="s">
        <v>2262</v>
      </c>
      <c r="F421" s="7719" t="str">
        <f t="shared" si="38"/>
        <v/>
      </c>
      <c r="G421" s="7719"/>
      <c r="H421" s="7719" t="str">
        <f t="shared" si="39"/>
        <v/>
      </c>
      <c r="I421" s="7719">
        <v>80.0</v>
      </c>
      <c r="J421" s="7719">
        <v>80.0</v>
      </c>
      <c r="K421" s="7719">
        <v>80.0</v>
      </c>
      <c r="L421" s="7719">
        <v>80.0</v>
      </c>
      <c r="M421" s="7719">
        <v>80.0</v>
      </c>
      <c r="N421" s="7721">
        <v>80.0</v>
      </c>
      <c r="O421" s="7701"/>
      <c r="P421" s="7704"/>
      <c r="Q421" s="7704"/>
      <c r="R421" s="7704"/>
      <c r="S421" s="7705"/>
    </row>
    <row r="422" ht="18.75" customHeight="1">
      <c r="A422" s="7696"/>
      <c r="B422" s="7712" t="s">
        <v>2882</v>
      </c>
      <c r="C422" s="7713" t="s">
        <v>2883</v>
      </c>
      <c r="D422" s="7714"/>
      <c r="E422" s="7713" t="s">
        <v>2304</v>
      </c>
      <c r="F422" s="7713" t="str">
        <f t="shared" si="38"/>
        <v/>
      </c>
      <c r="G422" s="7713"/>
      <c r="H422" s="7713" t="str">
        <f t="shared" si="39"/>
        <v/>
      </c>
      <c r="I422" s="7713">
        <v>45.0</v>
      </c>
      <c r="J422" s="7713">
        <v>100.0</v>
      </c>
      <c r="K422" s="7713">
        <v>45.0</v>
      </c>
      <c r="L422" s="7713">
        <v>45.0</v>
      </c>
      <c r="M422" s="7713">
        <v>45.0</v>
      </c>
      <c r="N422" s="7715">
        <v>10.0</v>
      </c>
      <c r="O422" s="7701"/>
      <c r="P422" s="7704"/>
      <c r="Q422" s="7704"/>
      <c r="R422" s="7704"/>
      <c r="S422" s="7705"/>
    </row>
    <row r="423" ht="18.75" customHeight="1">
      <c r="A423" s="7696"/>
      <c r="B423" s="7718" t="s">
        <v>2884</v>
      </c>
      <c r="C423" s="7719" t="s">
        <v>2885</v>
      </c>
      <c r="D423" s="7720"/>
      <c r="E423" s="7719" t="s">
        <v>2304</v>
      </c>
      <c r="F423" s="7719" t="str">
        <f t="shared" si="38"/>
        <v/>
      </c>
      <c r="G423" s="7719" t="s">
        <v>2227</v>
      </c>
      <c r="H423" s="7719" t="str">
        <f t="shared" si="39"/>
        <v/>
      </c>
      <c r="I423" s="7719">
        <v>50.0</v>
      </c>
      <c r="J423" s="7719">
        <v>70.0</v>
      </c>
      <c r="K423" s="7719">
        <v>50.0</v>
      </c>
      <c r="L423" s="7719">
        <v>50.0</v>
      </c>
      <c r="M423" s="7719">
        <v>50.0</v>
      </c>
      <c r="N423" s="7721">
        <v>70.0</v>
      </c>
      <c r="O423" s="7701"/>
      <c r="P423" s="7704"/>
      <c r="Q423" s="7704"/>
      <c r="R423" s="7704"/>
      <c r="S423" s="7705"/>
    </row>
    <row r="424" ht="18.75" customHeight="1">
      <c r="A424" s="7696"/>
      <c r="B424" s="7712" t="s">
        <v>1687</v>
      </c>
      <c r="C424" s="7713" t="s">
        <v>2886</v>
      </c>
      <c r="D424" s="7714"/>
      <c r="E424" s="7713" t="s">
        <v>2304</v>
      </c>
      <c r="F424" s="7713" t="str">
        <f t="shared" si="38"/>
        <v/>
      </c>
      <c r="G424" s="7713" t="s">
        <v>2227</v>
      </c>
      <c r="H424" s="7713" t="str">
        <f t="shared" si="39"/>
        <v/>
      </c>
      <c r="I424" s="7713">
        <v>100.0</v>
      </c>
      <c r="J424" s="7713">
        <v>100.0</v>
      </c>
      <c r="K424" s="7713">
        <v>80.0</v>
      </c>
      <c r="L424" s="7713">
        <v>100.0</v>
      </c>
      <c r="M424" s="7713">
        <v>80.0</v>
      </c>
      <c r="N424" s="7715">
        <v>100.0</v>
      </c>
      <c r="O424" s="7701"/>
      <c r="P424" s="7704"/>
      <c r="Q424" s="7704"/>
      <c r="R424" s="7704"/>
      <c r="S424" s="7705"/>
    </row>
    <row r="425" ht="18.75" customHeight="1">
      <c r="A425" s="7696"/>
      <c r="B425" s="7718" t="s">
        <v>475</v>
      </c>
      <c r="C425" s="7719" t="s">
        <v>2887</v>
      </c>
      <c r="D425" s="7720"/>
      <c r="E425" s="7719" t="s">
        <v>2209</v>
      </c>
      <c r="F425" s="7719" t="str">
        <f t="shared" si="38"/>
        <v/>
      </c>
      <c r="G425" s="7719"/>
      <c r="H425" s="7719" t="str">
        <f t="shared" si="39"/>
        <v/>
      </c>
      <c r="I425" s="7719">
        <v>50.0</v>
      </c>
      <c r="J425" s="7719">
        <v>85.0</v>
      </c>
      <c r="K425" s="7719">
        <v>40.0</v>
      </c>
      <c r="L425" s="7719">
        <v>85.0</v>
      </c>
      <c r="M425" s="7719">
        <v>40.0</v>
      </c>
      <c r="N425" s="7721">
        <v>35.0</v>
      </c>
      <c r="O425" s="7701"/>
      <c r="P425" s="7704"/>
      <c r="Q425" s="7704"/>
      <c r="R425" s="7704"/>
      <c r="S425" s="7705"/>
    </row>
    <row r="426" ht="18.75" customHeight="1">
      <c r="A426" s="7696"/>
      <c r="B426" s="7712" t="s">
        <v>1626</v>
      </c>
      <c r="C426" s="7713" t="s">
        <v>2888</v>
      </c>
      <c r="D426" s="7714"/>
      <c r="E426" s="7722" t="s">
        <v>2209</v>
      </c>
      <c r="F426" s="7722" t="str">
        <f t="shared" si="38"/>
        <v/>
      </c>
      <c r="G426" s="7722" t="s">
        <v>2272</v>
      </c>
      <c r="H426" s="7722" t="str">
        <f t="shared" si="39"/>
        <v/>
      </c>
      <c r="I426" s="7713">
        <v>70.0</v>
      </c>
      <c r="J426" s="7713">
        <v>120.0</v>
      </c>
      <c r="K426" s="7713">
        <v>60.0</v>
      </c>
      <c r="L426" s="7713">
        <v>120.0</v>
      </c>
      <c r="M426" s="7713">
        <v>60.0</v>
      </c>
      <c r="N426" s="7715">
        <v>55.0</v>
      </c>
      <c r="O426" s="7701"/>
      <c r="P426" s="7704"/>
      <c r="Q426" s="7704"/>
      <c r="R426" s="7704"/>
      <c r="S426" s="7705"/>
    </row>
    <row r="427" ht="18.75" customHeight="1">
      <c r="A427" s="7696"/>
      <c r="B427" s="7718" t="s">
        <v>2889</v>
      </c>
      <c r="C427" s="7719" t="s">
        <v>2890</v>
      </c>
      <c r="D427" s="7720"/>
      <c r="E427" s="7719" t="s">
        <v>2262</v>
      </c>
      <c r="F427" s="7719" t="str">
        <f t="shared" si="38"/>
        <v/>
      </c>
      <c r="G427" s="7719" t="s">
        <v>2224</v>
      </c>
      <c r="H427" s="7719" t="str">
        <f t="shared" si="39"/>
        <v/>
      </c>
      <c r="I427" s="7719">
        <v>45.0</v>
      </c>
      <c r="J427" s="7719">
        <v>40.0</v>
      </c>
      <c r="K427" s="7719">
        <v>60.0</v>
      </c>
      <c r="L427" s="7719">
        <v>40.0</v>
      </c>
      <c r="M427" s="7719">
        <v>75.0</v>
      </c>
      <c r="N427" s="7721">
        <v>50.0</v>
      </c>
      <c r="O427" s="7701"/>
      <c r="P427" s="7704"/>
      <c r="Q427" s="7704"/>
      <c r="R427" s="7704"/>
      <c r="S427" s="7705"/>
    </row>
    <row r="428" ht="18.75" customHeight="1">
      <c r="A428" s="7696"/>
      <c r="B428" s="7712" t="s">
        <v>2891</v>
      </c>
      <c r="C428" s="7713" t="s">
        <v>2892</v>
      </c>
      <c r="D428" s="7714"/>
      <c r="E428" s="7713" t="s">
        <v>2227</v>
      </c>
      <c r="F428" s="7713" t="str">
        <f t="shared" si="38"/>
        <v/>
      </c>
      <c r="G428" s="7713" t="s">
        <v>2224</v>
      </c>
      <c r="H428" s="7713" t="str">
        <f t="shared" si="39"/>
        <v/>
      </c>
      <c r="I428" s="7713">
        <v>85.0</v>
      </c>
      <c r="J428" s="7713">
        <v>70.0</v>
      </c>
      <c r="K428" s="7713">
        <v>90.0</v>
      </c>
      <c r="L428" s="7713">
        <v>70.0</v>
      </c>
      <c r="M428" s="7713">
        <v>105.0</v>
      </c>
      <c r="N428" s="7715">
        <v>80.0</v>
      </c>
      <c r="O428" s="7701"/>
      <c r="P428" s="7704"/>
      <c r="Q428" s="7704"/>
      <c r="R428" s="7704"/>
      <c r="S428" s="7705"/>
    </row>
    <row r="429" ht="18.75" customHeight="1">
      <c r="A429" s="7696"/>
      <c r="B429" s="7718" t="s">
        <v>854</v>
      </c>
      <c r="C429" s="7723" t="s">
        <v>2893</v>
      </c>
      <c r="D429" s="7720"/>
      <c r="E429" s="7719" t="s">
        <v>2227</v>
      </c>
      <c r="F429" s="7719" t="str">
        <f t="shared" si="38"/>
        <v/>
      </c>
      <c r="G429" s="7719" t="s">
        <v>2292</v>
      </c>
      <c r="H429" s="7719" t="str">
        <f t="shared" si="39"/>
        <v/>
      </c>
      <c r="I429" s="7719">
        <v>85.0</v>
      </c>
      <c r="J429" s="7719">
        <v>110.0</v>
      </c>
      <c r="K429" s="7719">
        <v>110.0</v>
      </c>
      <c r="L429" s="7719">
        <v>110.0</v>
      </c>
      <c r="M429" s="7719">
        <v>105.0</v>
      </c>
      <c r="N429" s="7721">
        <v>80.0</v>
      </c>
      <c r="O429" s="7701"/>
      <c r="P429" s="7704"/>
      <c r="Q429" s="7704"/>
      <c r="R429" s="7704"/>
      <c r="S429" s="7705"/>
    </row>
    <row r="430" ht="18.75" customHeight="1">
      <c r="A430" s="7696"/>
      <c r="B430" s="7712" t="s">
        <v>2126</v>
      </c>
      <c r="C430" s="7713" t="s">
        <v>2894</v>
      </c>
      <c r="D430" s="7714"/>
      <c r="E430" s="7722" t="s">
        <v>2262</v>
      </c>
      <c r="F430" s="7722" t="str">
        <f t="shared" si="38"/>
        <v/>
      </c>
      <c r="G430" s="7722"/>
      <c r="H430" s="7722" t="str">
        <f t="shared" si="39"/>
        <v/>
      </c>
      <c r="I430" s="7713">
        <v>73.0</v>
      </c>
      <c r="J430" s="7713">
        <v>115.0</v>
      </c>
      <c r="K430" s="7713">
        <v>70.0</v>
      </c>
      <c r="L430" s="7713">
        <v>60.0</v>
      </c>
      <c r="M430" s="7713">
        <v>70.0</v>
      </c>
      <c r="N430" s="7715">
        <v>100.0</v>
      </c>
      <c r="O430" s="7701"/>
      <c r="P430" s="7704"/>
      <c r="Q430" s="7704"/>
      <c r="R430" s="7704"/>
      <c r="S430" s="7705"/>
    </row>
    <row r="431" ht="18.75" customHeight="1">
      <c r="A431" s="7696"/>
      <c r="B431" s="7718" t="s">
        <v>1141</v>
      </c>
      <c r="C431" s="7719" t="s">
        <v>2895</v>
      </c>
      <c r="D431" s="7720"/>
      <c r="E431" s="7719" t="s">
        <v>2210</v>
      </c>
      <c r="F431" s="7719" t="str">
        <f t="shared" si="38"/>
        <v/>
      </c>
      <c r="G431" s="7719"/>
      <c r="H431" s="7719" t="str">
        <f t="shared" si="39"/>
        <v/>
      </c>
      <c r="I431" s="7719">
        <v>83.0</v>
      </c>
      <c r="J431" s="7719">
        <v>100.0</v>
      </c>
      <c r="K431" s="7719">
        <v>83.0</v>
      </c>
      <c r="L431" s="7719">
        <v>100.0</v>
      </c>
      <c r="M431" s="7719">
        <v>83.0</v>
      </c>
      <c r="N431" s="7721">
        <v>85.0</v>
      </c>
      <c r="O431" s="7701"/>
      <c r="P431" s="7704"/>
      <c r="Q431" s="7704"/>
      <c r="R431" s="7704"/>
      <c r="S431" s="7705"/>
    </row>
    <row r="432" ht="18.75" customHeight="1">
      <c r="A432" s="7696"/>
      <c r="B432" s="7712" t="s">
        <v>476</v>
      </c>
      <c r="C432" s="7713" t="s">
        <v>2896</v>
      </c>
      <c r="D432" s="7714"/>
      <c r="E432" s="7713" t="s">
        <v>2370</v>
      </c>
      <c r="F432" s="7713" t="str">
        <f t="shared" si="38"/>
        <v/>
      </c>
      <c r="G432" s="7713" t="s">
        <v>669</v>
      </c>
      <c r="H432" s="7713" t="str">
        <f t="shared" si="39"/>
        <v/>
      </c>
      <c r="I432" s="7713">
        <v>90.0</v>
      </c>
      <c r="J432" s="7713">
        <v>55.0</v>
      </c>
      <c r="K432" s="7713">
        <v>65.0</v>
      </c>
      <c r="L432" s="7713">
        <v>105.0</v>
      </c>
      <c r="M432" s="7713">
        <v>85.0</v>
      </c>
      <c r="N432" s="7715">
        <v>90.0</v>
      </c>
      <c r="O432" s="7701"/>
      <c r="P432" s="7704"/>
      <c r="Q432" s="7704"/>
      <c r="R432" s="7704"/>
      <c r="S432" s="7705"/>
    </row>
    <row r="433" ht="18.75" customHeight="1">
      <c r="A433" s="7696"/>
      <c r="B433" s="7718" t="s">
        <v>2897</v>
      </c>
      <c r="C433" s="7719" t="s">
        <v>2898</v>
      </c>
      <c r="D433" s="7720"/>
      <c r="E433" s="7719" t="s">
        <v>2370</v>
      </c>
      <c r="F433" s="7719" t="str">
        <f t="shared" si="38"/>
        <v/>
      </c>
      <c r="G433" s="7719" t="s">
        <v>669</v>
      </c>
      <c r="H433" s="7719" t="str">
        <f t="shared" si="39"/>
        <v/>
      </c>
      <c r="I433" s="7719">
        <v>90.0</v>
      </c>
      <c r="J433" s="7719">
        <v>105.0</v>
      </c>
      <c r="K433" s="7719">
        <v>85.0</v>
      </c>
      <c r="L433" s="7719">
        <v>55.0</v>
      </c>
      <c r="M433" s="7719">
        <v>65.0</v>
      </c>
      <c r="N433" s="7721">
        <v>90.0</v>
      </c>
      <c r="O433" s="7701"/>
      <c r="P433" s="7704"/>
      <c r="Q433" s="7704"/>
      <c r="R433" s="7704"/>
      <c r="S433" s="7705"/>
    </row>
    <row r="434" ht="18.75" customHeight="1">
      <c r="A434" s="7696"/>
      <c r="B434" s="7712" t="s">
        <v>2899</v>
      </c>
      <c r="C434" s="7713" t="s">
        <v>2900</v>
      </c>
      <c r="D434" s="7714"/>
      <c r="E434" s="7713" t="s">
        <v>2232</v>
      </c>
      <c r="F434" s="7713" t="str">
        <f t="shared" si="38"/>
        <v/>
      </c>
      <c r="G434" s="7713" t="s">
        <v>2304</v>
      </c>
      <c r="H434" s="7713" t="str">
        <f t="shared" si="39"/>
        <v/>
      </c>
      <c r="I434" s="7713">
        <v>50.0</v>
      </c>
      <c r="J434" s="7713">
        <v>48.0</v>
      </c>
      <c r="K434" s="7713">
        <v>43.0</v>
      </c>
      <c r="L434" s="7713">
        <v>46.0</v>
      </c>
      <c r="M434" s="7713">
        <v>41.0</v>
      </c>
      <c r="N434" s="7715">
        <v>60.0</v>
      </c>
      <c r="O434" s="7701"/>
      <c r="P434" s="7704"/>
      <c r="Q434" s="7704"/>
      <c r="R434" s="7704"/>
      <c r="S434" s="7705"/>
    </row>
    <row r="435" ht="18.75" customHeight="1">
      <c r="A435" s="7696"/>
      <c r="B435" s="7718" t="s">
        <v>1644</v>
      </c>
      <c r="C435" s="7719" t="s">
        <v>2901</v>
      </c>
      <c r="D435" s="7720"/>
      <c r="E435" s="7719" t="s">
        <v>2232</v>
      </c>
      <c r="F435" s="7719" t="str">
        <f t="shared" si="38"/>
        <v/>
      </c>
      <c r="G435" s="7719" t="s">
        <v>2304</v>
      </c>
      <c r="H435" s="7719" t="str">
        <f t="shared" si="39"/>
        <v/>
      </c>
      <c r="I435" s="7719">
        <v>110.0</v>
      </c>
      <c r="J435" s="7719">
        <v>78.0</v>
      </c>
      <c r="K435" s="7719">
        <v>73.0</v>
      </c>
      <c r="L435" s="7719">
        <v>76.0</v>
      </c>
      <c r="M435" s="7719">
        <v>71.0</v>
      </c>
      <c r="N435" s="7721">
        <v>60.0</v>
      </c>
      <c r="O435" s="7701"/>
      <c r="P435" s="7704"/>
      <c r="Q435" s="7704"/>
      <c r="R435" s="7704"/>
      <c r="S435" s="7705"/>
    </row>
    <row r="436" ht="18.75" customHeight="1">
      <c r="A436" s="7696"/>
      <c r="B436" s="7712" t="s">
        <v>991</v>
      </c>
      <c r="C436" s="7713" t="s">
        <v>2902</v>
      </c>
      <c r="D436" s="7714"/>
      <c r="E436" s="7722" t="s">
        <v>2232</v>
      </c>
      <c r="F436" s="7722" t="str">
        <f t="shared" si="38"/>
        <v/>
      </c>
      <c r="G436" s="7722"/>
      <c r="H436" s="7722" t="str">
        <f t="shared" si="39"/>
        <v/>
      </c>
      <c r="I436" s="7713">
        <v>43.0</v>
      </c>
      <c r="J436" s="7713">
        <v>80.0</v>
      </c>
      <c r="K436" s="7713">
        <v>65.0</v>
      </c>
      <c r="L436" s="7713">
        <v>50.0</v>
      </c>
      <c r="M436" s="7713">
        <v>35.0</v>
      </c>
      <c r="N436" s="7715">
        <v>35.0</v>
      </c>
      <c r="O436" s="7701"/>
      <c r="P436" s="7704"/>
      <c r="Q436" s="7704"/>
      <c r="R436" s="7704"/>
      <c r="S436" s="7705"/>
    </row>
    <row r="437" ht="18.75" customHeight="1">
      <c r="A437" s="7696"/>
      <c r="B437" s="7718" t="s">
        <v>1030</v>
      </c>
      <c r="C437" s="7719" t="s">
        <v>2903</v>
      </c>
      <c r="D437" s="7720"/>
      <c r="E437" s="7719" t="s">
        <v>2232</v>
      </c>
      <c r="F437" s="7719" t="str">
        <f t="shared" si="38"/>
        <v/>
      </c>
      <c r="G437" s="7719" t="s">
        <v>2272</v>
      </c>
      <c r="H437" s="7719" t="str">
        <f t="shared" si="39"/>
        <v/>
      </c>
      <c r="I437" s="7719">
        <v>63.0</v>
      </c>
      <c r="J437" s="7719">
        <v>120.0</v>
      </c>
      <c r="K437" s="7719">
        <v>85.0</v>
      </c>
      <c r="L437" s="7719">
        <v>90.0</v>
      </c>
      <c r="M437" s="7719">
        <v>55.0</v>
      </c>
      <c r="N437" s="7721">
        <v>55.0</v>
      </c>
      <c r="O437" s="7701"/>
      <c r="P437" s="7704"/>
      <c r="Q437" s="7704"/>
      <c r="R437" s="7704"/>
      <c r="S437" s="7705"/>
    </row>
    <row r="438" ht="18.75" customHeight="1">
      <c r="A438" s="7696"/>
      <c r="B438" s="7712" t="s">
        <v>2904</v>
      </c>
      <c r="C438" s="7713" t="s">
        <v>2905</v>
      </c>
      <c r="D438" s="7714"/>
      <c r="E438" s="7713" t="s">
        <v>2304</v>
      </c>
      <c r="F438" s="7713" t="str">
        <f t="shared" si="38"/>
        <v/>
      </c>
      <c r="G438" s="7713" t="s">
        <v>669</v>
      </c>
      <c r="H438" s="7713" t="str">
        <f t="shared" si="39"/>
        <v/>
      </c>
      <c r="I438" s="7713">
        <v>40.0</v>
      </c>
      <c r="J438" s="7713">
        <v>40.0</v>
      </c>
      <c r="K438" s="7713">
        <v>55.0</v>
      </c>
      <c r="L438" s="7713">
        <v>40.0</v>
      </c>
      <c r="M438" s="7713">
        <v>70.0</v>
      </c>
      <c r="N438" s="7715">
        <v>55.0</v>
      </c>
      <c r="O438" s="7701"/>
      <c r="P438" s="7704"/>
      <c r="Q438" s="7704"/>
      <c r="R438" s="7704"/>
      <c r="S438" s="7705"/>
    </row>
    <row r="439" ht="18.75" customHeight="1">
      <c r="A439" s="7696"/>
      <c r="B439" s="7718" t="s">
        <v>2906</v>
      </c>
      <c r="C439" s="7719" t="s">
        <v>2907</v>
      </c>
      <c r="D439" s="7720"/>
      <c r="E439" s="7719" t="s">
        <v>2304</v>
      </c>
      <c r="F439" s="7719" t="str">
        <f t="shared" si="38"/>
        <v/>
      </c>
      <c r="G439" s="7719" t="s">
        <v>669</v>
      </c>
      <c r="H439" s="7719" t="str">
        <f t="shared" si="39"/>
        <v/>
      </c>
      <c r="I439" s="7719">
        <v>60.0</v>
      </c>
      <c r="J439" s="7719">
        <v>70.0</v>
      </c>
      <c r="K439" s="7719">
        <v>105.0</v>
      </c>
      <c r="L439" s="7719">
        <v>80.0</v>
      </c>
      <c r="M439" s="7719">
        <v>120.0</v>
      </c>
      <c r="N439" s="7721">
        <v>75.0</v>
      </c>
      <c r="O439" s="7701"/>
      <c r="P439" s="7704"/>
      <c r="Q439" s="7704"/>
      <c r="R439" s="7704"/>
      <c r="S439" s="7705"/>
    </row>
    <row r="440" ht="18.75" customHeight="1">
      <c r="A440" s="7696"/>
      <c r="B440" s="7712" t="s">
        <v>477</v>
      </c>
      <c r="C440" s="7713" t="s">
        <v>2908</v>
      </c>
      <c r="D440" s="7714"/>
      <c r="E440" s="7713" t="s">
        <v>2370</v>
      </c>
      <c r="F440" s="7713" t="str">
        <f t="shared" si="38"/>
        <v/>
      </c>
      <c r="G440" s="7713" t="s">
        <v>2209</v>
      </c>
      <c r="H440" s="7713" t="str">
        <f t="shared" si="39"/>
        <v/>
      </c>
      <c r="I440" s="7713">
        <v>66.0</v>
      </c>
      <c r="J440" s="7713">
        <v>41.0</v>
      </c>
      <c r="K440" s="7713">
        <v>77.0</v>
      </c>
      <c r="L440" s="7713">
        <v>61.0</v>
      </c>
      <c r="M440" s="7713">
        <v>87.0</v>
      </c>
      <c r="N440" s="7715">
        <v>23.0</v>
      </c>
      <c r="O440" s="7701"/>
      <c r="P440" s="7704"/>
      <c r="Q440" s="7704"/>
      <c r="R440" s="7704"/>
      <c r="S440" s="7705"/>
    </row>
    <row r="441" ht="18.75" customHeight="1">
      <c r="A441" s="7696"/>
      <c r="B441" s="7718" t="s">
        <v>1452</v>
      </c>
      <c r="C441" s="7719" t="s">
        <v>2909</v>
      </c>
      <c r="D441" s="7720"/>
      <c r="E441" s="7719" t="s">
        <v>2370</v>
      </c>
      <c r="F441" s="7719" t="str">
        <f t="shared" si="38"/>
        <v/>
      </c>
      <c r="G441" s="7719" t="s">
        <v>2209</v>
      </c>
      <c r="H441" s="7719" t="str">
        <f t="shared" si="39"/>
        <v/>
      </c>
      <c r="I441" s="7719">
        <v>86.0</v>
      </c>
      <c r="J441" s="7719">
        <v>81.0</v>
      </c>
      <c r="K441" s="7719">
        <v>97.0</v>
      </c>
      <c r="L441" s="7719">
        <v>81.0</v>
      </c>
      <c r="M441" s="7719">
        <v>107.0</v>
      </c>
      <c r="N441" s="7721">
        <v>43.0</v>
      </c>
      <c r="O441" s="7701"/>
      <c r="P441" s="7704"/>
      <c r="Q441" s="7704"/>
      <c r="R441" s="7704"/>
      <c r="S441" s="7705"/>
    </row>
    <row r="442" ht="18.75" customHeight="1">
      <c r="A442" s="7696"/>
      <c r="B442" s="7712" t="s">
        <v>2910</v>
      </c>
      <c r="C442" s="7713" t="s">
        <v>2911</v>
      </c>
      <c r="D442" s="7714"/>
      <c r="E442" s="7713" t="s">
        <v>2370</v>
      </c>
      <c r="F442" s="7713" t="str">
        <f t="shared" si="38"/>
        <v/>
      </c>
      <c r="G442" s="7713" t="s">
        <v>2243</v>
      </c>
      <c r="H442" s="7713" t="str">
        <f t="shared" si="39"/>
        <v/>
      </c>
      <c r="I442" s="7713">
        <v>45.0</v>
      </c>
      <c r="J442" s="7713">
        <v>95.0</v>
      </c>
      <c r="K442" s="7713">
        <v>50.0</v>
      </c>
      <c r="L442" s="7713">
        <v>40.0</v>
      </c>
      <c r="M442" s="7713">
        <v>50.0</v>
      </c>
      <c r="N442" s="7715">
        <v>75.0</v>
      </c>
      <c r="O442" s="7701"/>
      <c r="P442" s="7704"/>
      <c r="Q442" s="7704"/>
      <c r="R442" s="7704"/>
      <c r="S442" s="7705"/>
    </row>
    <row r="443" ht="18.75" customHeight="1">
      <c r="A443" s="7696"/>
      <c r="B443" s="7718" t="s">
        <v>2912</v>
      </c>
      <c r="C443" s="7719" t="s">
        <v>2913</v>
      </c>
      <c r="D443" s="7720"/>
      <c r="E443" s="7719" t="s">
        <v>2370</v>
      </c>
      <c r="F443" s="7719" t="str">
        <f t="shared" si="38"/>
        <v/>
      </c>
      <c r="G443" s="7719" t="s">
        <v>2243</v>
      </c>
      <c r="H443" s="7719" t="str">
        <f t="shared" si="39"/>
        <v/>
      </c>
      <c r="I443" s="7719">
        <v>100.0</v>
      </c>
      <c r="J443" s="7719">
        <v>125.0</v>
      </c>
      <c r="K443" s="7719">
        <v>100.0</v>
      </c>
      <c r="L443" s="7719">
        <v>45.0</v>
      </c>
      <c r="M443" s="7719">
        <v>80.0</v>
      </c>
      <c r="N443" s="7721">
        <v>45.0</v>
      </c>
      <c r="O443" s="7701"/>
      <c r="P443" s="7704"/>
      <c r="Q443" s="7704"/>
      <c r="R443" s="7704"/>
      <c r="S443" s="7705"/>
    </row>
    <row r="444" ht="18.75" customHeight="1">
      <c r="A444" s="7696"/>
      <c r="B444" s="7712" t="s">
        <v>2914</v>
      </c>
      <c r="C444" s="7713" t="s">
        <v>2915</v>
      </c>
      <c r="D444" s="7714"/>
      <c r="E444" s="7713" t="s">
        <v>2232</v>
      </c>
      <c r="F444" s="7713" t="str">
        <f t="shared" si="38"/>
        <v/>
      </c>
      <c r="G444" s="7713"/>
      <c r="H444" s="7713" t="str">
        <f t="shared" si="39"/>
        <v/>
      </c>
      <c r="I444" s="7713">
        <v>20.0</v>
      </c>
      <c r="J444" s="7713">
        <v>15.0</v>
      </c>
      <c r="K444" s="7713">
        <v>20.0</v>
      </c>
      <c r="L444" s="7713">
        <v>10.0</v>
      </c>
      <c r="M444" s="7713">
        <v>55.0</v>
      </c>
      <c r="N444" s="7715">
        <v>80.0</v>
      </c>
      <c r="O444" s="7701"/>
      <c r="P444" s="7704"/>
      <c r="Q444" s="7704"/>
      <c r="R444" s="7704"/>
      <c r="S444" s="7705"/>
    </row>
    <row r="445" ht="18.75" customHeight="1">
      <c r="A445" s="7696"/>
      <c r="B445" s="7718" t="s">
        <v>1658</v>
      </c>
      <c r="C445" s="7719" t="s">
        <v>2916</v>
      </c>
      <c r="D445" s="7720"/>
      <c r="E445" s="7723" t="s">
        <v>2232</v>
      </c>
      <c r="F445" s="7723" t="str">
        <f t="shared" si="38"/>
        <v/>
      </c>
      <c r="G445" s="7723"/>
      <c r="H445" s="7723" t="str">
        <f t="shared" si="39"/>
        <v/>
      </c>
      <c r="I445" s="7719">
        <v>95.0</v>
      </c>
      <c r="J445" s="7719">
        <v>60.0</v>
      </c>
      <c r="K445" s="7719">
        <v>84.0</v>
      </c>
      <c r="L445" s="7719">
        <v>100.0</v>
      </c>
      <c r="M445" s="7719">
        <v>125.0</v>
      </c>
      <c r="N445" s="7721">
        <v>86.0</v>
      </c>
      <c r="O445" s="7701"/>
      <c r="P445" s="7704"/>
      <c r="Q445" s="7704"/>
      <c r="R445" s="7704"/>
      <c r="S445" s="7705"/>
    </row>
    <row r="446" ht="18.75" customHeight="1">
      <c r="A446" s="7696"/>
      <c r="B446" s="7712" t="s">
        <v>248</v>
      </c>
      <c r="C446" s="7713" t="s">
        <v>2917</v>
      </c>
      <c r="D446" s="7714"/>
      <c r="E446" s="7713" t="s">
        <v>2262</v>
      </c>
      <c r="F446" s="7713" t="str">
        <f t="shared" si="38"/>
        <v/>
      </c>
      <c r="G446" s="7713"/>
      <c r="H446" s="7713" t="str">
        <f t="shared" si="39"/>
        <v/>
      </c>
      <c r="I446" s="7713">
        <v>85.0</v>
      </c>
      <c r="J446" s="7713">
        <v>85.0</v>
      </c>
      <c r="K446" s="7713">
        <v>85.0</v>
      </c>
      <c r="L446" s="7713">
        <v>85.0</v>
      </c>
      <c r="M446" s="7713">
        <v>85.0</v>
      </c>
      <c r="N446" s="7715">
        <v>85.0</v>
      </c>
      <c r="O446" s="7701"/>
      <c r="P446" s="7704"/>
      <c r="Q446" s="7704"/>
      <c r="R446" s="7704"/>
      <c r="S446" s="7705"/>
    </row>
    <row r="447" ht="18.75" customHeight="1">
      <c r="A447" s="7696"/>
      <c r="B447" s="7718" t="s">
        <v>255</v>
      </c>
      <c r="C447" s="7719" t="s">
        <v>2918</v>
      </c>
      <c r="D447" s="7720"/>
      <c r="E447" s="7723" t="s">
        <v>2262</v>
      </c>
      <c r="F447" s="7723" t="str">
        <f t="shared" si="38"/>
        <v/>
      </c>
      <c r="G447" s="7723"/>
      <c r="H447" s="7723" t="str">
        <f t="shared" si="39"/>
        <v/>
      </c>
      <c r="I447" s="7719">
        <v>85.0</v>
      </c>
      <c r="J447" s="7719">
        <v>100.0</v>
      </c>
      <c r="K447" s="7719">
        <v>70.0</v>
      </c>
      <c r="L447" s="7719">
        <v>60.0</v>
      </c>
      <c r="M447" s="7719">
        <v>120.0</v>
      </c>
      <c r="N447" s="7721">
        <v>40.0</v>
      </c>
      <c r="O447" s="7701"/>
      <c r="P447" s="7704"/>
      <c r="Q447" s="7704"/>
      <c r="R447" s="7704"/>
      <c r="S447" s="7705"/>
    </row>
    <row r="448" ht="18.75" customHeight="1">
      <c r="A448" s="7696"/>
      <c r="B448" s="7712" t="s">
        <v>2919</v>
      </c>
      <c r="C448" s="7713" t="s">
        <v>2920</v>
      </c>
      <c r="D448" s="7714"/>
      <c r="E448" s="7713" t="s">
        <v>2447</v>
      </c>
      <c r="F448" s="7713" t="str">
        <f t="shared" si="38"/>
        <v/>
      </c>
      <c r="G448" s="7713"/>
      <c r="H448" s="7713" t="str">
        <f t="shared" si="39"/>
        <v/>
      </c>
      <c r="I448" s="7713">
        <v>44.0</v>
      </c>
      <c r="J448" s="7713">
        <v>75.0</v>
      </c>
      <c r="K448" s="7713">
        <v>35.0</v>
      </c>
      <c r="L448" s="7713">
        <v>63.0</v>
      </c>
      <c r="M448" s="7713">
        <v>33.0</v>
      </c>
      <c r="N448" s="7715">
        <v>45.0</v>
      </c>
      <c r="O448" s="7701"/>
      <c r="P448" s="7704"/>
      <c r="Q448" s="7704"/>
      <c r="R448" s="7704"/>
      <c r="S448" s="7705"/>
    </row>
    <row r="449" ht="18.75" customHeight="1">
      <c r="A449" s="7696"/>
      <c r="B449" s="7718" t="s">
        <v>2921</v>
      </c>
      <c r="C449" s="7719" t="s">
        <v>2922</v>
      </c>
      <c r="D449" s="7720"/>
      <c r="E449" s="7723" t="s">
        <v>2447</v>
      </c>
      <c r="F449" s="7723" t="str">
        <f t="shared" si="38"/>
        <v/>
      </c>
      <c r="G449" s="7723"/>
      <c r="H449" s="7723" t="str">
        <f t="shared" si="39"/>
        <v/>
      </c>
      <c r="I449" s="7719">
        <v>64.0</v>
      </c>
      <c r="J449" s="7719">
        <v>115.0</v>
      </c>
      <c r="K449" s="7719">
        <v>65.0</v>
      </c>
      <c r="L449" s="7719">
        <v>83.0</v>
      </c>
      <c r="M449" s="7719">
        <v>63.0</v>
      </c>
      <c r="N449" s="7721">
        <v>65.0</v>
      </c>
      <c r="O449" s="7701"/>
      <c r="P449" s="7704"/>
      <c r="Q449" s="7704"/>
      <c r="R449" s="7704"/>
      <c r="S449" s="7705"/>
    </row>
    <row r="450" ht="18.75" customHeight="1">
      <c r="A450" s="7696"/>
      <c r="B450" s="7712" t="s">
        <v>1834</v>
      </c>
      <c r="C450" s="7722" t="s">
        <v>2923</v>
      </c>
      <c r="D450" s="7714"/>
      <c r="E450" s="7722" t="s">
        <v>2447</v>
      </c>
      <c r="F450" s="7722" t="str">
        <f t="shared" si="38"/>
        <v/>
      </c>
      <c r="G450" s="7722" t="s">
        <v>2262</v>
      </c>
      <c r="H450" s="7722" t="str">
        <f t="shared" si="39"/>
        <v/>
      </c>
      <c r="I450" s="7713">
        <v>64.0</v>
      </c>
      <c r="J450" s="7713">
        <v>165.0</v>
      </c>
      <c r="K450" s="7713">
        <v>75.0</v>
      </c>
      <c r="L450" s="7713">
        <v>93.0</v>
      </c>
      <c r="M450" s="7713">
        <v>83.0</v>
      </c>
      <c r="N450" s="7715">
        <v>75.0</v>
      </c>
      <c r="O450" s="7701"/>
      <c r="P450" s="7704"/>
      <c r="Q450" s="7704"/>
      <c r="R450" s="7704"/>
      <c r="S450" s="7705"/>
    </row>
    <row r="451" ht="18.75" customHeight="1">
      <c r="A451" s="7696"/>
      <c r="B451" s="7718" t="s">
        <v>2924</v>
      </c>
      <c r="C451" s="7719" t="s">
        <v>2925</v>
      </c>
      <c r="D451" s="7720"/>
      <c r="E451" s="7719" t="s">
        <v>2447</v>
      </c>
      <c r="F451" s="7719" t="str">
        <f t="shared" si="38"/>
        <v/>
      </c>
      <c r="G451" s="7719"/>
      <c r="H451" s="7719" t="str">
        <f t="shared" si="39"/>
        <v/>
      </c>
      <c r="I451" s="7719">
        <v>20.0</v>
      </c>
      <c r="J451" s="7719">
        <v>40.0</v>
      </c>
      <c r="K451" s="7719">
        <v>90.0</v>
      </c>
      <c r="L451" s="7719">
        <v>30.0</v>
      </c>
      <c r="M451" s="7719">
        <v>90.0</v>
      </c>
      <c r="N451" s="7721">
        <v>25.0</v>
      </c>
      <c r="O451" s="7701"/>
      <c r="P451" s="7704"/>
      <c r="Q451" s="7704"/>
      <c r="R451" s="7704"/>
      <c r="S451" s="7705"/>
    </row>
    <row r="452" ht="18.75" customHeight="1">
      <c r="A452" s="7696"/>
      <c r="B452" s="7712" t="s">
        <v>2926</v>
      </c>
      <c r="C452" s="7713" t="s">
        <v>2927</v>
      </c>
      <c r="D452" s="7714"/>
      <c r="E452" s="7722" t="s">
        <v>2447</v>
      </c>
      <c r="F452" s="7722" t="str">
        <f t="shared" si="38"/>
        <v/>
      </c>
      <c r="G452" s="7722"/>
      <c r="H452" s="7722" t="str">
        <f t="shared" si="39"/>
        <v/>
      </c>
      <c r="I452" s="7713">
        <v>40.0</v>
      </c>
      <c r="J452" s="7713">
        <v>70.0</v>
      </c>
      <c r="K452" s="7713">
        <v>130.0</v>
      </c>
      <c r="L452" s="7713">
        <v>60.0</v>
      </c>
      <c r="M452" s="7713">
        <v>130.0</v>
      </c>
      <c r="N452" s="7715">
        <v>25.0</v>
      </c>
      <c r="O452" s="7701"/>
      <c r="P452" s="7704"/>
      <c r="Q452" s="7704"/>
      <c r="R452" s="7704"/>
      <c r="S452" s="7705"/>
    </row>
    <row r="453" ht="18.75" customHeight="1">
      <c r="A453" s="7696"/>
      <c r="B453" s="7718" t="s">
        <v>1551</v>
      </c>
      <c r="C453" s="7719" t="s">
        <v>2928</v>
      </c>
      <c r="D453" s="7720"/>
      <c r="E453" s="7719" t="s">
        <v>2209</v>
      </c>
      <c r="F453" s="7719" t="str">
        <f t="shared" si="38"/>
        <v/>
      </c>
      <c r="G453" s="7719" t="s">
        <v>2227</v>
      </c>
      <c r="H453" s="7719" t="str">
        <f t="shared" si="39"/>
        <v/>
      </c>
      <c r="I453" s="7719">
        <v>99.0</v>
      </c>
      <c r="J453" s="7719">
        <v>68.0</v>
      </c>
      <c r="K453" s="7719">
        <v>83.0</v>
      </c>
      <c r="L453" s="7719">
        <v>92.0</v>
      </c>
      <c r="M453" s="7719">
        <v>87.0</v>
      </c>
      <c r="N453" s="7721">
        <v>81.0</v>
      </c>
      <c r="O453" s="7701"/>
      <c r="P453" s="7704"/>
      <c r="Q453" s="7704"/>
      <c r="R453" s="7704"/>
      <c r="S453" s="7705"/>
    </row>
    <row r="454" ht="18.75" customHeight="1">
      <c r="A454" s="7696"/>
      <c r="B454" s="7712" t="s">
        <v>2929</v>
      </c>
      <c r="C454" s="7713" t="s">
        <v>2930</v>
      </c>
      <c r="D454" s="7714"/>
      <c r="E454" s="7713" t="s">
        <v>669</v>
      </c>
      <c r="F454" s="7713" t="str">
        <f t="shared" si="38"/>
        <v/>
      </c>
      <c r="G454" s="7713"/>
      <c r="H454" s="7713" t="str">
        <f t="shared" si="39"/>
        <v/>
      </c>
      <c r="I454" s="7713">
        <v>90.0</v>
      </c>
      <c r="J454" s="7713">
        <v>50.0</v>
      </c>
      <c r="K454" s="7713">
        <v>80.0</v>
      </c>
      <c r="L454" s="7713">
        <v>95.0</v>
      </c>
      <c r="M454" s="7713">
        <v>90.0</v>
      </c>
      <c r="N454" s="7715">
        <v>80.0</v>
      </c>
      <c r="O454" s="7701"/>
      <c r="P454" s="7704"/>
      <c r="Q454" s="7704"/>
      <c r="R454" s="7704"/>
      <c r="S454" s="7705"/>
    </row>
    <row r="455" ht="18.75" customHeight="1">
      <c r="A455" s="7696"/>
      <c r="B455" s="7718" t="s">
        <v>2931</v>
      </c>
      <c r="C455" s="7719" t="s">
        <v>2932</v>
      </c>
      <c r="D455" s="7720"/>
      <c r="E455" s="7719" t="s">
        <v>2272</v>
      </c>
      <c r="F455" s="7719" t="str">
        <f t="shared" si="38"/>
        <v/>
      </c>
      <c r="G455" s="7719"/>
      <c r="H455" s="7719" t="str">
        <f t="shared" si="39"/>
        <v/>
      </c>
      <c r="I455" s="7719">
        <v>65.0</v>
      </c>
      <c r="J455" s="7719">
        <v>130.0</v>
      </c>
      <c r="K455" s="7719">
        <v>60.0</v>
      </c>
      <c r="L455" s="7719">
        <v>75.0</v>
      </c>
      <c r="M455" s="7719">
        <v>60.0</v>
      </c>
      <c r="N455" s="7721">
        <v>75.0</v>
      </c>
      <c r="O455" s="7701"/>
      <c r="P455" s="7704"/>
      <c r="Q455" s="7704"/>
      <c r="R455" s="7704"/>
      <c r="S455" s="7705"/>
    </row>
    <row r="456" ht="18.75" customHeight="1">
      <c r="A456" s="7696"/>
      <c r="B456" s="7712" t="s">
        <v>1732</v>
      </c>
      <c r="C456" s="7722" t="s">
        <v>2933</v>
      </c>
      <c r="D456" s="7714"/>
      <c r="E456" s="7713" t="s">
        <v>2272</v>
      </c>
      <c r="F456" s="7713" t="str">
        <f t="shared" si="38"/>
        <v/>
      </c>
      <c r="G456" s="7713" t="s">
        <v>2292</v>
      </c>
      <c r="H456" s="7713" t="str">
        <f t="shared" si="39"/>
        <v/>
      </c>
      <c r="I456" s="7713">
        <v>65.0</v>
      </c>
      <c r="J456" s="7713">
        <v>150.0</v>
      </c>
      <c r="K456" s="7713">
        <v>60.0</v>
      </c>
      <c r="L456" s="7713">
        <v>115.0</v>
      </c>
      <c r="M456" s="7713">
        <v>60.0</v>
      </c>
      <c r="N456" s="7715">
        <v>115.0</v>
      </c>
      <c r="O456" s="7701"/>
      <c r="P456" s="7704"/>
      <c r="Q456" s="7704"/>
      <c r="R456" s="7704"/>
      <c r="S456" s="7705"/>
    </row>
    <row r="457" ht="18.75" customHeight="1">
      <c r="A457" s="7696"/>
      <c r="B457" s="7718" t="s">
        <v>2934</v>
      </c>
      <c r="C457" s="7719" t="s">
        <v>2935</v>
      </c>
      <c r="D457" s="7720"/>
      <c r="E457" s="7719" t="s">
        <v>669</v>
      </c>
      <c r="F457" s="7719" t="str">
        <f t="shared" si="38"/>
        <v/>
      </c>
      <c r="G457" s="7719"/>
      <c r="H457" s="7719" t="str">
        <f t="shared" si="39"/>
        <v/>
      </c>
      <c r="I457" s="7719">
        <v>95.0</v>
      </c>
      <c r="J457" s="7719">
        <v>23.0</v>
      </c>
      <c r="K457" s="7719">
        <v>48.0</v>
      </c>
      <c r="L457" s="7719">
        <v>23.0</v>
      </c>
      <c r="M457" s="7719">
        <v>48.0</v>
      </c>
      <c r="N457" s="7721">
        <v>23.0</v>
      </c>
      <c r="O457" s="7701"/>
      <c r="P457" s="7704"/>
      <c r="Q457" s="7704"/>
      <c r="R457" s="7704"/>
      <c r="S457" s="7705"/>
    </row>
    <row r="458" ht="18.75" customHeight="1">
      <c r="A458" s="7696"/>
      <c r="B458" s="7712" t="s">
        <v>2936</v>
      </c>
      <c r="C458" s="7713" t="s">
        <v>2937</v>
      </c>
      <c r="D458" s="7714"/>
      <c r="E458" s="7722" t="s">
        <v>2289</v>
      </c>
      <c r="F458" s="7722" t="str">
        <f t="shared" si="38"/>
        <v/>
      </c>
      <c r="G458" s="7722"/>
      <c r="H458" s="7722" t="str">
        <f t="shared" si="39"/>
        <v/>
      </c>
      <c r="I458" s="7713">
        <v>50.0</v>
      </c>
      <c r="J458" s="7713">
        <v>50.0</v>
      </c>
      <c r="K458" s="7713">
        <v>50.0</v>
      </c>
      <c r="L458" s="7713">
        <v>50.0</v>
      </c>
      <c r="M458" s="7713">
        <v>50.0</v>
      </c>
      <c r="N458" s="7715">
        <v>50.0</v>
      </c>
      <c r="O458" s="7701"/>
      <c r="P458" s="7704"/>
      <c r="Q458" s="7704"/>
      <c r="R458" s="7704"/>
      <c r="S458" s="7705"/>
    </row>
    <row r="459" ht="18.75" customHeight="1">
      <c r="A459" s="7696"/>
      <c r="B459" s="7718" t="s">
        <v>2938</v>
      </c>
      <c r="C459" s="7719" t="s">
        <v>2939</v>
      </c>
      <c r="D459" s="7720"/>
      <c r="E459" s="7719" t="s">
        <v>2289</v>
      </c>
      <c r="F459" s="7719" t="str">
        <f t="shared" si="38"/>
        <v/>
      </c>
      <c r="G459" s="7719"/>
      <c r="H459" s="7719" t="str">
        <f t="shared" si="39"/>
        <v/>
      </c>
      <c r="I459" s="7719">
        <v>80.0</v>
      </c>
      <c r="J459" s="7719">
        <v>80.0</v>
      </c>
      <c r="K459" s="7719">
        <v>80.0</v>
      </c>
      <c r="L459" s="7719">
        <v>80.0</v>
      </c>
      <c r="M459" s="7719">
        <v>80.0</v>
      </c>
      <c r="N459" s="7721">
        <v>80.0</v>
      </c>
      <c r="O459" s="7701"/>
      <c r="P459" s="7704"/>
      <c r="Q459" s="7704"/>
      <c r="R459" s="7704"/>
      <c r="S459" s="7705"/>
    </row>
    <row r="460" ht="18.75" customHeight="1">
      <c r="A460" s="7696"/>
      <c r="B460" s="7712" t="s">
        <v>916</v>
      </c>
      <c r="C460" s="7722" t="s">
        <v>2940</v>
      </c>
      <c r="D460" s="7714"/>
      <c r="E460" s="7713" t="s">
        <v>2289</v>
      </c>
      <c r="F460" s="7713" t="str">
        <f t="shared" si="38"/>
        <v/>
      </c>
      <c r="G460" s="7713"/>
      <c r="H460" s="7713" t="str">
        <f t="shared" si="39"/>
        <v/>
      </c>
      <c r="I460" s="7713">
        <v>80.0</v>
      </c>
      <c r="J460" s="7713">
        <v>135.0</v>
      </c>
      <c r="K460" s="7713">
        <v>80.0</v>
      </c>
      <c r="L460" s="7713">
        <v>105.0</v>
      </c>
      <c r="M460" s="7713">
        <v>80.0</v>
      </c>
      <c r="N460" s="7715">
        <v>100.0</v>
      </c>
      <c r="O460" s="7701"/>
      <c r="P460" s="7704"/>
      <c r="Q460" s="7704"/>
      <c r="R460" s="7704"/>
      <c r="S460" s="7705"/>
    </row>
    <row r="461" ht="18.75" customHeight="1">
      <c r="A461" s="7696"/>
      <c r="B461" s="7718" t="s">
        <v>2941</v>
      </c>
      <c r="C461" s="7719" t="s">
        <v>2942</v>
      </c>
      <c r="D461" s="7720"/>
      <c r="E461" s="7719" t="s">
        <v>2289</v>
      </c>
      <c r="F461" s="7719" t="str">
        <f t="shared" si="38"/>
        <v/>
      </c>
      <c r="G461" s="7719" t="s">
        <v>2232</v>
      </c>
      <c r="H461" s="7719" t="str">
        <f t="shared" si="39"/>
        <v/>
      </c>
      <c r="I461" s="7719">
        <v>70.0</v>
      </c>
      <c r="J461" s="7719">
        <v>40.0</v>
      </c>
      <c r="K461" s="7719">
        <v>50.0</v>
      </c>
      <c r="L461" s="7719">
        <v>55.0</v>
      </c>
      <c r="M461" s="7719">
        <v>50.0</v>
      </c>
      <c r="N461" s="7721">
        <v>25.0</v>
      </c>
      <c r="O461" s="7701"/>
      <c r="P461" s="7704"/>
      <c r="Q461" s="7704"/>
      <c r="R461" s="7704"/>
      <c r="S461" s="7705"/>
    </row>
    <row r="462" ht="18.75" customHeight="1">
      <c r="A462" s="7696"/>
      <c r="B462" s="7712" t="s">
        <v>2943</v>
      </c>
      <c r="C462" s="7713" t="s">
        <v>2944</v>
      </c>
      <c r="D462" s="7714"/>
      <c r="E462" s="7722" t="s">
        <v>2289</v>
      </c>
      <c r="F462" s="7722" t="str">
        <f t="shared" si="38"/>
        <v/>
      </c>
      <c r="G462" s="7722" t="s">
        <v>2232</v>
      </c>
      <c r="H462" s="7722" t="str">
        <f t="shared" si="39"/>
        <v/>
      </c>
      <c r="I462" s="7713">
        <v>90.0</v>
      </c>
      <c r="J462" s="7713">
        <v>60.0</v>
      </c>
      <c r="K462" s="7713">
        <v>70.0</v>
      </c>
      <c r="L462" s="7713">
        <v>75.0</v>
      </c>
      <c r="M462" s="7713">
        <v>70.0</v>
      </c>
      <c r="N462" s="7715">
        <v>45.0</v>
      </c>
      <c r="O462" s="7701"/>
      <c r="P462" s="7704"/>
      <c r="Q462" s="7704"/>
      <c r="R462" s="7704"/>
      <c r="S462" s="7705"/>
    </row>
    <row r="463" ht="18.75" customHeight="1">
      <c r="A463" s="7696"/>
      <c r="B463" s="7718" t="s">
        <v>1530</v>
      </c>
      <c r="C463" s="7719" t="s">
        <v>2945</v>
      </c>
      <c r="D463" s="7720"/>
      <c r="E463" s="7719" t="s">
        <v>2289</v>
      </c>
      <c r="F463" s="7719" t="str">
        <f t="shared" si="38"/>
        <v/>
      </c>
      <c r="G463" s="7719" t="s">
        <v>2232</v>
      </c>
      <c r="H463" s="7719" t="str">
        <f t="shared" si="39"/>
        <v/>
      </c>
      <c r="I463" s="7719">
        <v>90.0</v>
      </c>
      <c r="J463" s="7719">
        <v>80.0</v>
      </c>
      <c r="K463" s="7719">
        <v>90.0</v>
      </c>
      <c r="L463" s="7719">
        <v>95.0</v>
      </c>
      <c r="M463" s="7719">
        <v>90.0</v>
      </c>
      <c r="N463" s="7721">
        <v>65.0</v>
      </c>
      <c r="O463" s="7701"/>
      <c r="P463" s="7704"/>
      <c r="Q463" s="7704"/>
      <c r="R463" s="7704"/>
      <c r="S463" s="7705"/>
    </row>
    <row r="464" ht="18.75" customHeight="1">
      <c r="A464" s="7696"/>
      <c r="B464" s="7712" t="s">
        <v>1418</v>
      </c>
      <c r="C464" s="7713" t="s">
        <v>2946</v>
      </c>
      <c r="D464" s="7714"/>
      <c r="E464" s="7713" t="s">
        <v>2232</v>
      </c>
      <c r="F464" s="7713" t="str">
        <f t="shared" si="38"/>
        <v/>
      </c>
      <c r="G464" s="7713"/>
      <c r="H464" s="7713" t="str">
        <f t="shared" si="39"/>
        <v/>
      </c>
      <c r="I464" s="7713">
        <v>35.0</v>
      </c>
      <c r="J464" s="7713">
        <v>64.0</v>
      </c>
      <c r="K464" s="7713">
        <v>85.0</v>
      </c>
      <c r="L464" s="7713">
        <v>74.0</v>
      </c>
      <c r="M464" s="7713">
        <v>55.0</v>
      </c>
      <c r="N464" s="7715">
        <v>32.0</v>
      </c>
      <c r="O464" s="7701"/>
      <c r="P464" s="7704"/>
      <c r="Q464" s="7704"/>
      <c r="R464" s="7704"/>
      <c r="S464" s="7705"/>
    </row>
    <row r="465" ht="18.75" customHeight="1">
      <c r="A465" s="7696"/>
      <c r="B465" s="7718" t="s">
        <v>2033</v>
      </c>
      <c r="C465" s="7719" t="s">
        <v>2947</v>
      </c>
      <c r="D465" s="7720"/>
      <c r="E465" s="7719" t="s">
        <v>2232</v>
      </c>
      <c r="F465" s="7719" t="str">
        <f t="shared" si="38"/>
        <v/>
      </c>
      <c r="G465" s="7719" t="s">
        <v>2272</v>
      </c>
      <c r="H465" s="7719" t="str">
        <f t="shared" si="39"/>
        <v/>
      </c>
      <c r="I465" s="7719">
        <v>55.0</v>
      </c>
      <c r="J465" s="7719">
        <v>104.0</v>
      </c>
      <c r="K465" s="7719">
        <v>105.0</v>
      </c>
      <c r="L465" s="7719">
        <v>94.0</v>
      </c>
      <c r="M465" s="7719">
        <v>75.0</v>
      </c>
      <c r="N465" s="7721">
        <v>52.0</v>
      </c>
      <c r="O465" s="7701"/>
      <c r="P465" s="7704"/>
      <c r="Q465" s="7704"/>
      <c r="R465" s="7704"/>
      <c r="S465" s="7705"/>
    </row>
    <row r="466" ht="18.75" customHeight="1">
      <c r="A466" s="7696"/>
      <c r="B466" s="7712" t="s">
        <v>1057</v>
      </c>
      <c r="C466" s="7713" t="s">
        <v>2948</v>
      </c>
      <c r="D466" s="7714"/>
      <c r="E466" s="7722" t="s">
        <v>2232</v>
      </c>
      <c r="F466" s="7722" t="str">
        <f t="shared" si="38"/>
        <v/>
      </c>
      <c r="G466" s="7722" t="s">
        <v>2292</v>
      </c>
      <c r="H466" s="7722" t="str">
        <f t="shared" si="39"/>
        <v/>
      </c>
      <c r="I466" s="7713">
        <v>55.0</v>
      </c>
      <c r="J466" s="7713">
        <v>84.0</v>
      </c>
      <c r="K466" s="7713">
        <v>105.0</v>
      </c>
      <c r="L466" s="7713">
        <v>104.0</v>
      </c>
      <c r="M466" s="7713">
        <v>75.0</v>
      </c>
      <c r="N466" s="7715">
        <v>52.0</v>
      </c>
      <c r="O466" s="7701"/>
      <c r="P466" s="7704"/>
      <c r="Q466" s="7704"/>
      <c r="R466" s="7704"/>
      <c r="S466" s="7705"/>
    </row>
    <row r="467" ht="18.75" customHeight="1">
      <c r="A467" s="7696"/>
      <c r="B467" s="7718" t="s">
        <v>2949</v>
      </c>
      <c r="C467" s="7719" t="s">
        <v>2950</v>
      </c>
      <c r="D467" s="7720"/>
      <c r="E467" s="7719" t="s">
        <v>2232</v>
      </c>
      <c r="F467" s="7719" t="str">
        <f t="shared" si="38"/>
        <v/>
      </c>
      <c r="G467" s="7719" t="s">
        <v>2370</v>
      </c>
      <c r="H467" s="7719" t="str">
        <f t="shared" si="39"/>
        <v/>
      </c>
      <c r="I467" s="7719">
        <v>100.0</v>
      </c>
      <c r="J467" s="7719">
        <v>105.0</v>
      </c>
      <c r="K467" s="7719">
        <v>115.0</v>
      </c>
      <c r="L467" s="7719">
        <v>45.0</v>
      </c>
      <c r="M467" s="7719">
        <v>65.0</v>
      </c>
      <c r="N467" s="7721">
        <v>55.0</v>
      </c>
      <c r="O467" s="7701"/>
      <c r="P467" s="7704"/>
      <c r="Q467" s="7704"/>
      <c r="R467" s="7704"/>
      <c r="S467" s="7705"/>
    </row>
    <row r="468" ht="18.75" customHeight="1">
      <c r="A468" s="7696"/>
      <c r="B468" s="7712" t="s">
        <v>262</v>
      </c>
      <c r="C468" s="7713" t="s">
        <v>2951</v>
      </c>
      <c r="D468" s="7714"/>
      <c r="E468" s="7713" t="s">
        <v>2232</v>
      </c>
      <c r="F468" s="7713" t="str">
        <f t="shared" si="38"/>
        <v/>
      </c>
      <c r="G468" s="7713" t="s">
        <v>2292</v>
      </c>
      <c r="H468" s="7713" t="str">
        <f t="shared" si="39"/>
        <v/>
      </c>
      <c r="I468" s="7713">
        <v>43.0</v>
      </c>
      <c r="J468" s="7713">
        <v>30.0</v>
      </c>
      <c r="K468" s="7713">
        <v>55.0</v>
      </c>
      <c r="L468" s="7713">
        <v>100.0</v>
      </c>
      <c r="M468" s="7713">
        <v>65.0</v>
      </c>
      <c r="N468" s="7715">
        <v>97.0</v>
      </c>
      <c r="O468" s="7701"/>
      <c r="P468" s="7704"/>
      <c r="Q468" s="7704"/>
      <c r="R468" s="7704"/>
      <c r="S468" s="7705"/>
    </row>
    <row r="469" ht="18.75" customHeight="1">
      <c r="A469" s="7696"/>
      <c r="B469" s="7718" t="s">
        <v>2952</v>
      </c>
      <c r="C469" s="7719" t="s">
        <v>2953</v>
      </c>
      <c r="D469" s="7720"/>
      <c r="E469" s="7719" t="s">
        <v>2227</v>
      </c>
      <c r="F469" s="7719" t="str">
        <f t="shared" si="38"/>
        <v/>
      </c>
      <c r="G469" s="7719"/>
      <c r="H469" s="7719" t="str">
        <f t="shared" si="39"/>
        <v/>
      </c>
      <c r="I469" s="7719">
        <v>45.0</v>
      </c>
      <c r="J469" s="7719">
        <v>75.0</v>
      </c>
      <c r="K469" s="7719">
        <v>60.0</v>
      </c>
      <c r="L469" s="7719">
        <v>40.0</v>
      </c>
      <c r="M469" s="7719">
        <v>30.0</v>
      </c>
      <c r="N469" s="7721">
        <v>50.0</v>
      </c>
      <c r="O469" s="7701"/>
      <c r="P469" s="7704"/>
      <c r="Q469" s="7704"/>
      <c r="R469" s="7704"/>
      <c r="S469" s="7705"/>
    </row>
    <row r="470" ht="18.75" customHeight="1">
      <c r="A470" s="7696"/>
      <c r="B470" s="7712" t="s">
        <v>2954</v>
      </c>
      <c r="C470" s="7713" t="s">
        <v>2955</v>
      </c>
      <c r="D470" s="7714"/>
      <c r="E470" s="7722" t="s">
        <v>2227</v>
      </c>
      <c r="F470" s="7722" t="str">
        <f t="shared" si="38"/>
        <v/>
      </c>
      <c r="G470" s="7722"/>
      <c r="H470" s="7722" t="str">
        <f t="shared" si="39"/>
        <v/>
      </c>
      <c r="I470" s="7713">
        <v>65.0</v>
      </c>
      <c r="J470" s="7713">
        <v>95.0</v>
      </c>
      <c r="K470" s="7713">
        <v>100.0</v>
      </c>
      <c r="L470" s="7713">
        <v>60.0</v>
      </c>
      <c r="M470" s="7713">
        <v>50.0</v>
      </c>
      <c r="N470" s="7715">
        <v>50.0</v>
      </c>
      <c r="O470" s="7701"/>
      <c r="P470" s="7704"/>
      <c r="Q470" s="7704"/>
      <c r="R470" s="7704"/>
      <c r="S470" s="7705"/>
    </row>
    <row r="471" ht="18.75" customHeight="1">
      <c r="A471" s="7696"/>
      <c r="B471" s="7718" t="s">
        <v>1645</v>
      </c>
      <c r="C471" s="7719" t="s">
        <v>2956</v>
      </c>
      <c r="D471" s="7720"/>
      <c r="E471" s="7719" t="s">
        <v>2227</v>
      </c>
      <c r="F471" s="7719" t="str">
        <f t="shared" si="38"/>
        <v/>
      </c>
      <c r="G471" s="7719" t="s">
        <v>2224</v>
      </c>
      <c r="H471" s="7719" t="str">
        <f t="shared" si="39"/>
        <v/>
      </c>
      <c r="I471" s="7719">
        <v>95.0</v>
      </c>
      <c r="J471" s="7719">
        <v>135.0</v>
      </c>
      <c r="K471" s="7719">
        <v>80.0</v>
      </c>
      <c r="L471" s="7719">
        <v>110.0</v>
      </c>
      <c r="M471" s="7719">
        <v>80.0</v>
      </c>
      <c r="N471" s="7721">
        <v>100.0</v>
      </c>
      <c r="O471" s="7701"/>
      <c r="P471" s="7704"/>
      <c r="Q471" s="7704"/>
      <c r="R471" s="7704"/>
      <c r="S471" s="7705"/>
    </row>
    <row r="472" ht="18.75" customHeight="1">
      <c r="A472" s="7696"/>
      <c r="B472" s="7712" t="s">
        <v>1344</v>
      </c>
      <c r="C472" s="7722" t="s">
        <v>2957</v>
      </c>
      <c r="D472" s="7714"/>
      <c r="E472" s="7713" t="s">
        <v>2227</v>
      </c>
      <c r="F472" s="7713" t="str">
        <f t="shared" si="38"/>
        <v/>
      </c>
      <c r="G472" s="7713" t="s">
        <v>2224</v>
      </c>
      <c r="H472" s="7713" t="str">
        <f t="shared" si="39"/>
        <v/>
      </c>
      <c r="I472" s="7713">
        <v>95.0</v>
      </c>
      <c r="J472" s="7713">
        <v>145.0</v>
      </c>
      <c r="K472" s="7713">
        <v>130.0</v>
      </c>
      <c r="L472" s="7713">
        <v>120.0</v>
      </c>
      <c r="M472" s="7713">
        <v>90.0</v>
      </c>
      <c r="N472" s="7715">
        <v>120.0</v>
      </c>
      <c r="O472" s="7701"/>
      <c r="P472" s="7704"/>
      <c r="Q472" s="7704"/>
      <c r="R472" s="7704"/>
      <c r="S472" s="7705"/>
    </row>
    <row r="473" ht="18.75" customHeight="1">
      <c r="A473" s="7696"/>
      <c r="B473" s="7718" t="s">
        <v>2958</v>
      </c>
      <c r="C473" s="7719" t="s">
        <v>2959</v>
      </c>
      <c r="D473" s="7720"/>
      <c r="E473" s="7719" t="s">
        <v>2286</v>
      </c>
      <c r="F473" s="7719" t="str">
        <f t="shared" si="38"/>
        <v/>
      </c>
      <c r="G473" s="7719" t="s">
        <v>669</v>
      </c>
      <c r="H473" s="7719" t="str">
        <f t="shared" si="39"/>
        <v/>
      </c>
      <c r="I473" s="7719">
        <v>40.0</v>
      </c>
      <c r="J473" s="7719">
        <v>55.0</v>
      </c>
      <c r="K473" s="7719">
        <v>80.0</v>
      </c>
      <c r="L473" s="7719">
        <v>35.0</v>
      </c>
      <c r="M473" s="7719">
        <v>60.0</v>
      </c>
      <c r="N473" s="7721">
        <v>30.0</v>
      </c>
      <c r="O473" s="7701"/>
      <c r="P473" s="7704"/>
      <c r="Q473" s="7704"/>
      <c r="R473" s="7704"/>
      <c r="S473" s="7705"/>
    </row>
    <row r="474" ht="18.75" customHeight="1">
      <c r="A474" s="7696"/>
      <c r="B474" s="7712" t="s">
        <v>2960</v>
      </c>
      <c r="C474" s="7713" t="s">
        <v>2961</v>
      </c>
      <c r="D474" s="7714"/>
      <c r="E474" s="7722" t="s">
        <v>2286</v>
      </c>
      <c r="F474" s="7722" t="str">
        <f t="shared" si="38"/>
        <v/>
      </c>
      <c r="G474" s="7722" t="s">
        <v>669</v>
      </c>
      <c r="H474" s="7722" t="str">
        <f t="shared" si="39"/>
        <v/>
      </c>
      <c r="I474" s="7713">
        <v>60.0</v>
      </c>
      <c r="J474" s="7713">
        <v>75.0</v>
      </c>
      <c r="K474" s="7713">
        <v>100.0</v>
      </c>
      <c r="L474" s="7713">
        <v>55.0</v>
      </c>
      <c r="M474" s="7713">
        <v>80.0</v>
      </c>
      <c r="N474" s="7715">
        <v>50.0</v>
      </c>
      <c r="O474" s="7701"/>
      <c r="P474" s="7704"/>
      <c r="Q474" s="7704"/>
      <c r="R474" s="7704"/>
      <c r="S474" s="7705"/>
    </row>
    <row r="475" ht="18.75" customHeight="1">
      <c r="A475" s="7696"/>
      <c r="B475" s="7718" t="s">
        <v>1745</v>
      </c>
      <c r="C475" s="7719" t="s">
        <v>2962</v>
      </c>
      <c r="D475" s="7720"/>
      <c r="E475" s="7719" t="s">
        <v>2286</v>
      </c>
      <c r="F475" s="7719" t="str">
        <f t="shared" si="38"/>
        <v/>
      </c>
      <c r="G475" s="7719" t="s">
        <v>669</v>
      </c>
      <c r="H475" s="7719" t="str">
        <f t="shared" si="39"/>
        <v/>
      </c>
      <c r="I475" s="7719">
        <v>80.0</v>
      </c>
      <c r="J475" s="7719">
        <v>135.0</v>
      </c>
      <c r="K475" s="7719">
        <v>130.0</v>
      </c>
      <c r="L475" s="7719">
        <v>95.0</v>
      </c>
      <c r="M475" s="7719">
        <v>90.0</v>
      </c>
      <c r="N475" s="7721">
        <v>70.0</v>
      </c>
      <c r="O475" s="7701"/>
      <c r="P475" s="7704"/>
      <c r="Q475" s="7704"/>
      <c r="R475" s="7704"/>
      <c r="S475" s="7705"/>
    </row>
    <row r="476" ht="18.75" customHeight="1">
      <c r="A476" s="7696"/>
      <c r="B476" s="7712" t="s">
        <v>2075</v>
      </c>
      <c r="C476" s="7722" t="s">
        <v>2963</v>
      </c>
      <c r="D476" s="7714"/>
      <c r="E476" s="7713" t="s">
        <v>2286</v>
      </c>
      <c r="F476" s="7713" t="str">
        <f t="shared" si="38"/>
        <v/>
      </c>
      <c r="G476" s="7713" t="s">
        <v>669</v>
      </c>
      <c r="H476" s="7713" t="str">
        <f t="shared" si="39"/>
        <v/>
      </c>
      <c r="I476" s="7713">
        <v>80.0</v>
      </c>
      <c r="J476" s="7713">
        <v>145.0</v>
      </c>
      <c r="K476" s="7713">
        <v>150.0</v>
      </c>
      <c r="L476" s="7713">
        <v>105.0</v>
      </c>
      <c r="M476" s="7713">
        <v>110.0</v>
      </c>
      <c r="N476" s="7715">
        <v>110.0</v>
      </c>
      <c r="O476" s="7701"/>
      <c r="P476" s="7704"/>
      <c r="Q476" s="7704"/>
      <c r="R476" s="7704"/>
      <c r="S476" s="7705"/>
    </row>
    <row r="477" ht="18.75" customHeight="1">
      <c r="A477" s="7696"/>
      <c r="B477" s="7718" t="s">
        <v>2964</v>
      </c>
      <c r="C477" s="7719" t="s">
        <v>2965</v>
      </c>
      <c r="D477" s="7720"/>
      <c r="E477" s="7719" t="s">
        <v>2370</v>
      </c>
      <c r="F477" s="7719" t="str">
        <f t="shared" si="38"/>
        <v/>
      </c>
      <c r="G477" s="7719"/>
      <c r="H477" s="7719" t="str">
        <f t="shared" si="39"/>
        <v/>
      </c>
      <c r="I477" s="7719">
        <v>80.0</v>
      </c>
      <c r="J477" s="7719">
        <v>100.0</v>
      </c>
      <c r="K477" s="7719">
        <v>200.0</v>
      </c>
      <c r="L477" s="7719">
        <v>50.0</v>
      </c>
      <c r="M477" s="7719">
        <v>100.0</v>
      </c>
      <c r="N477" s="7721">
        <v>50.0</v>
      </c>
      <c r="O477" s="7701"/>
      <c r="P477" s="7704"/>
      <c r="Q477" s="7704"/>
      <c r="R477" s="7704"/>
      <c r="S477" s="7705"/>
    </row>
    <row r="478" ht="18.75" customHeight="1">
      <c r="A478" s="7696"/>
      <c r="B478" s="7712" t="s">
        <v>1657</v>
      </c>
      <c r="C478" s="7713" t="s">
        <v>2966</v>
      </c>
      <c r="D478" s="7714"/>
      <c r="E478" s="7722" t="s">
        <v>2289</v>
      </c>
      <c r="F478" s="7722" t="str">
        <f t="shared" ref="F478:F494" si="40">IFERROR(VLOOKUP(E478,P$3:Q496,2,False),"")</f>
        <v/>
      </c>
      <c r="G478" s="7722"/>
      <c r="H478" s="7722" t="str">
        <f t="shared" ref="H478:H494" si="41">IFERROR(VLOOKUP(G478,P$3:Q496,2,False),"")</f>
        <v/>
      </c>
      <c r="I478" s="7713">
        <v>80.0</v>
      </c>
      <c r="J478" s="7713">
        <v>50.0</v>
      </c>
      <c r="K478" s="7713">
        <v>100.0</v>
      </c>
      <c r="L478" s="7713">
        <v>100.0</v>
      </c>
      <c r="M478" s="7713">
        <v>200.0</v>
      </c>
      <c r="N478" s="7715">
        <v>50.0</v>
      </c>
      <c r="O478" s="7701"/>
      <c r="P478" s="7704"/>
      <c r="Q478" s="7704"/>
      <c r="R478" s="7704"/>
      <c r="S478" s="7705"/>
    </row>
    <row r="479" ht="18.75" customHeight="1">
      <c r="A479" s="7696"/>
      <c r="B479" s="7718" t="s">
        <v>2967</v>
      </c>
      <c r="C479" s="7719" t="s">
        <v>2968</v>
      </c>
      <c r="D479" s="7720"/>
      <c r="E479" s="7719" t="s">
        <v>2286</v>
      </c>
      <c r="F479" s="7719" t="str">
        <f t="shared" si="40"/>
        <v/>
      </c>
      <c r="G479" s="7719"/>
      <c r="H479" s="7719" t="str">
        <f t="shared" si="41"/>
        <v/>
      </c>
      <c r="I479" s="7719">
        <v>80.0</v>
      </c>
      <c r="J479" s="7719">
        <v>75.0</v>
      </c>
      <c r="K479" s="7719">
        <v>150.0</v>
      </c>
      <c r="L479" s="7719">
        <v>75.0</v>
      </c>
      <c r="M479" s="7719">
        <v>150.0</v>
      </c>
      <c r="N479" s="7721">
        <v>50.0</v>
      </c>
      <c r="O479" s="7701"/>
      <c r="P479" s="7704"/>
      <c r="Q479" s="7704"/>
      <c r="R479" s="7704"/>
      <c r="S479" s="7705"/>
    </row>
    <row r="480" ht="18.75" customHeight="1">
      <c r="A480" s="7696"/>
      <c r="B480" s="7712" t="s">
        <v>1110</v>
      </c>
      <c r="C480" s="7713" t="s">
        <v>2969</v>
      </c>
      <c r="D480" s="7714"/>
      <c r="E480" s="7713" t="s">
        <v>2227</v>
      </c>
      <c r="F480" s="7713" t="str">
        <f t="shared" si="40"/>
        <v/>
      </c>
      <c r="G480" s="7713" t="s">
        <v>669</v>
      </c>
      <c r="H480" s="7713" t="str">
        <f t="shared" si="41"/>
        <v/>
      </c>
      <c r="I480" s="7713">
        <v>80.0</v>
      </c>
      <c r="J480" s="7713">
        <v>80.0</v>
      </c>
      <c r="K480" s="7713">
        <v>90.0</v>
      </c>
      <c r="L480" s="7713">
        <v>110.0</v>
      </c>
      <c r="M480" s="7713">
        <v>130.0</v>
      </c>
      <c r="N480" s="7715">
        <v>110.0</v>
      </c>
      <c r="O480" s="7701"/>
      <c r="P480" s="7704"/>
      <c r="Q480" s="7704"/>
      <c r="R480" s="7704"/>
      <c r="S480" s="7705"/>
    </row>
    <row r="481" ht="18.75" customHeight="1">
      <c r="A481" s="7696"/>
      <c r="B481" s="7718" t="s">
        <v>2970</v>
      </c>
      <c r="C481" s="7723" t="s">
        <v>2971</v>
      </c>
      <c r="D481" s="7720"/>
      <c r="E481" s="7719" t="s">
        <v>2227</v>
      </c>
      <c r="F481" s="7719" t="str">
        <f t="shared" si="40"/>
        <v/>
      </c>
      <c r="G481" s="7719" t="s">
        <v>669</v>
      </c>
      <c r="H481" s="7719" t="str">
        <f t="shared" si="41"/>
        <v/>
      </c>
      <c r="I481" s="7719">
        <v>80.0</v>
      </c>
      <c r="J481" s="7719">
        <v>100.0</v>
      </c>
      <c r="K481" s="7719">
        <v>120.0</v>
      </c>
      <c r="L481" s="7719">
        <v>140.0</v>
      </c>
      <c r="M481" s="7719">
        <v>150.0</v>
      </c>
      <c r="N481" s="7721">
        <v>110.0</v>
      </c>
      <c r="O481" s="7701"/>
      <c r="P481" s="7704"/>
      <c r="Q481" s="7704"/>
      <c r="R481" s="7704"/>
      <c r="S481" s="7705"/>
    </row>
    <row r="482" ht="18.75" customHeight="1">
      <c r="A482" s="7696"/>
      <c r="B482" s="7712" t="s">
        <v>2972</v>
      </c>
      <c r="C482" s="7713" t="s">
        <v>2973</v>
      </c>
      <c r="D482" s="7714"/>
      <c r="E482" s="7722" t="s">
        <v>2227</v>
      </c>
      <c r="F482" s="7722" t="str">
        <f t="shared" si="40"/>
        <v/>
      </c>
      <c r="G482" s="7722" t="s">
        <v>669</v>
      </c>
      <c r="H482" s="7722" t="str">
        <f t="shared" si="41"/>
        <v/>
      </c>
      <c r="I482" s="7713">
        <v>80.0</v>
      </c>
      <c r="J482" s="7713">
        <v>90.0</v>
      </c>
      <c r="K482" s="7713">
        <v>80.0</v>
      </c>
      <c r="L482" s="7713">
        <v>130.0</v>
      </c>
      <c r="M482" s="7713">
        <v>110.0</v>
      </c>
      <c r="N482" s="7715">
        <v>110.0</v>
      </c>
      <c r="O482" s="7701"/>
      <c r="P482" s="7704"/>
      <c r="Q482" s="7704"/>
      <c r="R482" s="7704"/>
      <c r="S482" s="7705"/>
    </row>
    <row r="483" ht="18.75" customHeight="1">
      <c r="A483" s="7696"/>
      <c r="B483" s="7718" t="s">
        <v>2974</v>
      </c>
      <c r="C483" s="7723" t="s">
        <v>2975</v>
      </c>
      <c r="D483" s="7720"/>
      <c r="E483" s="7719" t="s">
        <v>2227</v>
      </c>
      <c r="F483" s="7719" t="str">
        <f t="shared" si="40"/>
        <v/>
      </c>
      <c r="G483" s="7719" t="s">
        <v>669</v>
      </c>
      <c r="H483" s="7719" t="str">
        <f t="shared" si="41"/>
        <v/>
      </c>
      <c r="I483" s="7719">
        <v>80.0</v>
      </c>
      <c r="J483" s="7719">
        <v>130.0</v>
      </c>
      <c r="K483" s="7719">
        <v>100.0</v>
      </c>
      <c r="L483" s="7719">
        <v>160.0</v>
      </c>
      <c r="M483" s="7719">
        <v>120.0</v>
      </c>
      <c r="N483" s="7721">
        <v>110.0</v>
      </c>
      <c r="O483" s="7701"/>
      <c r="P483" s="7704"/>
      <c r="Q483" s="7704"/>
      <c r="R483" s="7704"/>
      <c r="S483" s="7705"/>
    </row>
    <row r="484" ht="18.75" customHeight="1">
      <c r="A484" s="7696"/>
      <c r="B484" s="7712" t="s">
        <v>2976</v>
      </c>
      <c r="C484" s="7713" t="s">
        <v>2977</v>
      </c>
      <c r="D484" s="7714"/>
      <c r="E484" s="7713" t="s">
        <v>2232</v>
      </c>
      <c r="F484" s="7713" t="str">
        <f t="shared" si="40"/>
        <v/>
      </c>
      <c r="G484" s="7713"/>
      <c r="H484" s="7713" t="str">
        <f t="shared" si="41"/>
        <v/>
      </c>
      <c r="I484" s="7713">
        <v>100.0</v>
      </c>
      <c r="J484" s="7713">
        <v>100.0</v>
      </c>
      <c r="K484" s="7713">
        <v>90.0</v>
      </c>
      <c r="L484" s="7713">
        <v>150.0</v>
      </c>
      <c r="M484" s="7713">
        <v>140.0</v>
      </c>
      <c r="N484" s="7715">
        <v>90.0</v>
      </c>
      <c r="O484" s="7701"/>
      <c r="P484" s="7704"/>
      <c r="Q484" s="7704"/>
      <c r="R484" s="7704"/>
      <c r="S484" s="7705"/>
    </row>
    <row r="485" ht="18.75" customHeight="1">
      <c r="A485" s="7696"/>
      <c r="B485" s="7718" t="s">
        <v>1925</v>
      </c>
      <c r="C485" s="7723" t="s">
        <v>2978</v>
      </c>
      <c r="D485" s="7720"/>
      <c r="E485" s="7719" t="s">
        <v>2232</v>
      </c>
      <c r="F485" s="7719" t="str">
        <f t="shared" si="40"/>
        <v/>
      </c>
      <c r="G485" s="7719"/>
      <c r="H485" s="7719" t="str">
        <f t="shared" si="41"/>
        <v/>
      </c>
      <c r="I485" s="7719">
        <v>100.0</v>
      </c>
      <c r="J485" s="7719">
        <v>150.0</v>
      </c>
      <c r="K485" s="7719">
        <v>90.0</v>
      </c>
      <c r="L485" s="7719">
        <v>180.0</v>
      </c>
      <c r="M485" s="7719">
        <v>160.0</v>
      </c>
      <c r="N485" s="7721">
        <v>90.0</v>
      </c>
      <c r="O485" s="7701"/>
      <c r="P485" s="7704"/>
      <c r="Q485" s="7704"/>
      <c r="R485" s="7704"/>
      <c r="S485" s="7705"/>
    </row>
    <row r="486" ht="18.75" customHeight="1">
      <c r="A486" s="7696"/>
      <c r="B486" s="7712" t="s">
        <v>2979</v>
      </c>
      <c r="C486" s="7713" t="s">
        <v>2980</v>
      </c>
      <c r="D486" s="7714"/>
      <c r="E486" s="7713" t="s">
        <v>2304</v>
      </c>
      <c r="F486" s="7713" t="str">
        <f t="shared" si="40"/>
        <v/>
      </c>
      <c r="G486" s="7713"/>
      <c r="H486" s="7713" t="str">
        <f t="shared" si="41"/>
        <v/>
      </c>
      <c r="I486" s="7713">
        <v>100.0</v>
      </c>
      <c r="J486" s="7713">
        <v>150.0</v>
      </c>
      <c r="K486" s="7713">
        <v>140.0</v>
      </c>
      <c r="L486" s="7713">
        <v>100.0</v>
      </c>
      <c r="M486" s="7713">
        <v>90.0</v>
      </c>
      <c r="N486" s="7715">
        <v>90.0</v>
      </c>
      <c r="O486" s="7701"/>
      <c r="P486" s="7704"/>
      <c r="Q486" s="7704"/>
      <c r="R486" s="7704"/>
      <c r="S486" s="7705"/>
    </row>
    <row r="487" ht="18.75" customHeight="1">
      <c r="A487" s="7696"/>
      <c r="B487" s="7718" t="s">
        <v>1936</v>
      </c>
      <c r="C487" s="7723" t="s">
        <v>2981</v>
      </c>
      <c r="D487" s="7720"/>
      <c r="E487" s="7719" t="s">
        <v>2304</v>
      </c>
      <c r="F487" s="7719" t="str">
        <f t="shared" si="40"/>
        <v/>
      </c>
      <c r="G487" s="7719" t="s">
        <v>2219</v>
      </c>
      <c r="H487" s="7719" t="str">
        <f t="shared" si="41"/>
        <v/>
      </c>
      <c r="I487" s="7719">
        <v>100.0</v>
      </c>
      <c r="J487" s="7719">
        <v>180.0</v>
      </c>
      <c r="K487" s="7719">
        <v>160.0</v>
      </c>
      <c r="L487" s="7719">
        <v>150.0</v>
      </c>
      <c r="M487" s="7719">
        <v>90.0</v>
      </c>
      <c r="N487" s="7721">
        <v>90.0</v>
      </c>
      <c r="O487" s="7701"/>
      <c r="P487" s="7704"/>
      <c r="Q487" s="7704"/>
      <c r="R487" s="7704"/>
      <c r="S487" s="7705"/>
    </row>
    <row r="488" ht="18.75" customHeight="1">
      <c r="A488" s="7696"/>
      <c r="B488" s="7712" t="s">
        <v>2982</v>
      </c>
      <c r="C488" s="7713" t="s">
        <v>2983</v>
      </c>
      <c r="D488" s="7714"/>
      <c r="E488" s="7713" t="s">
        <v>2227</v>
      </c>
      <c r="F488" s="7713" t="str">
        <f t="shared" si="40"/>
        <v/>
      </c>
      <c r="G488" s="7713" t="s">
        <v>2224</v>
      </c>
      <c r="H488" s="7713" t="str">
        <f t="shared" si="41"/>
        <v/>
      </c>
      <c r="I488" s="7713">
        <v>105.0</v>
      </c>
      <c r="J488" s="7713">
        <v>150.0</v>
      </c>
      <c r="K488" s="7713">
        <v>90.0</v>
      </c>
      <c r="L488" s="7713">
        <v>150.0</v>
      </c>
      <c r="M488" s="7713">
        <v>90.0</v>
      </c>
      <c r="N488" s="7715">
        <v>95.0</v>
      </c>
      <c r="O488" s="7701"/>
      <c r="P488" s="7704"/>
      <c r="Q488" s="7704"/>
      <c r="R488" s="7704"/>
      <c r="S488" s="7705"/>
    </row>
    <row r="489" ht="18.75" customHeight="1">
      <c r="A489" s="7696"/>
      <c r="B489" s="7718" t="s">
        <v>1913</v>
      </c>
      <c r="C489" s="7723" t="s">
        <v>2984</v>
      </c>
      <c r="D489" s="7720"/>
      <c r="E489" s="7719" t="s">
        <v>2227</v>
      </c>
      <c r="F489" s="7719" t="str">
        <f t="shared" si="40"/>
        <v/>
      </c>
      <c r="G489" s="7719" t="s">
        <v>2224</v>
      </c>
      <c r="H489" s="7719" t="str">
        <f t="shared" si="41"/>
        <v/>
      </c>
      <c r="I489" s="7719">
        <v>105.0</v>
      </c>
      <c r="J489" s="7719">
        <v>180.0</v>
      </c>
      <c r="K489" s="7719">
        <v>100.0</v>
      </c>
      <c r="L489" s="7719">
        <v>180.0</v>
      </c>
      <c r="M489" s="7719">
        <v>100.0</v>
      </c>
      <c r="N489" s="7721">
        <v>115.0</v>
      </c>
      <c r="O489" s="7701"/>
      <c r="P489" s="7704"/>
      <c r="Q489" s="7704"/>
      <c r="R489" s="7704"/>
      <c r="S489" s="7705"/>
    </row>
    <row r="490" ht="18.75" customHeight="1">
      <c r="A490" s="7696"/>
      <c r="B490" s="7712" t="s">
        <v>2985</v>
      </c>
      <c r="C490" s="7713" t="s">
        <v>2986</v>
      </c>
      <c r="D490" s="7714"/>
      <c r="E490" s="7722" t="s">
        <v>2286</v>
      </c>
      <c r="F490" s="7722" t="str">
        <f t="shared" si="40"/>
        <v/>
      </c>
      <c r="G490" s="7722" t="s">
        <v>669</v>
      </c>
      <c r="H490" s="7722" t="str">
        <f t="shared" si="41"/>
        <v/>
      </c>
      <c r="I490" s="7713">
        <v>100.0</v>
      </c>
      <c r="J490" s="7713">
        <v>100.0</v>
      </c>
      <c r="K490" s="7713">
        <v>100.0</v>
      </c>
      <c r="L490" s="7713">
        <v>100.0</v>
      </c>
      <c r="M490" s="7713">
        <v>100.0</v>
      </c>
      <c r="N490" s="7715">
        <v>100.0</v>
      </c>
      <c r="O490" s="7701"/>
      <c r="P490" s="7704"/>
      <c r="Q490" s="7704"/>
      <c r="R490" s="7704"/>
      <c r="S490" s="7705"/>
    </row>
    <row r="491" ht="18.75" customHeight="1">
      <c r="A491" s="7696"/>
      <c r="B491" s="7718" t="s">
        <v>2987</v>
      </c>
      <c r="C491" s="7719" t="s">
        <v>2988</v>
      </c>
      <c r="D491" s="7720"/>
      <c r="E491" s="7719" t="s">
        <v>669</v>
      </c>
      <c r="F491" s="7719" t="str">
        <f t="shared" si="40"/>
        <v/>
      </c>
      <c r="G491" s="7719"/>
      <c r="H491" s="7719" t="str">
        <f t="shared" si="41"/>
        <v/>
      </c>
      <c r="I491" s="7719">
        <v>50.0</v>
      </c>
      <c r="J491" s="7719">
        <v>150.0</v>
      </c>
      <c r="K491" s="7719">
        <v>50.0</v>
      </c>
      <c r="L491" s="7719">
        <v>150.0</v>
      </c>
      <c r="M491" s="7719">
        <v>50.0</v>
      </c>
      <c r="N491" s="7721">
        <v>150.0</v>
      </c>
      <c r="O491" s="7701"/>
      <c r="P491" s="7704"/>
      <c r="Q491" s="7704"/>
      <c r="R491" s="7704"/>
      <c r="S491" s="7705"/>
    </row>
    <row r="492" ht="18.75" customHeight="1">
      <c r="A492" s="7696"/>
      <c r="B492" s="7712" t="s">
        <v>1069</v>
      </c>
      <c r="C492" s="7722" t="s">
        <v>2989</v>
      </c>
      <c r="D492" s="7714"/>
      <c r="E492" s="7713" t="s">
        <v>669</v>
      </c>
      <c r="F492" s="7713" t="str">
        <f t="shared" si="40"/>
        <v/>
      </c>
      <c r="G492" s="7713"/>
      <c r="H492" s="7713" t="str">
        <f t="shared" si="41"/>
        <v/>
      </c>
      <c r="I492" s="7713">
        <v>50.0</v>
      </c>
      <c r="J492" s="7713">
        <v>180.0</v>
      </c>
      <c r="K492" s="7713">
        <v>20.0</v>
      </c>
      <c r="L492" s="7713">
        <v>180.0</v>
      </c>
      <c r="M492" s="7713">
        <v>20.0</v>
      </c>
      <c r="N492" s="7715">
        <v>150.0</v>
      </c>
      <c r="O492" s="7701"/>
      <c r="P492" s="7704"/>
      <c r="Q492" s="7704"/>
      <c r="R492" s="7704"/>
      <c r="S492" s="7705"/>
    </row>
    <row r="493" ht="18.75" customHeight="1">
      <c r="A493" s="7696"/>
      <c r="B493" s="7718" t="s">
        <v>2990</v>
      </c>
      <c r="C493" s="7723" t="s">
        <v>2991</v>
      </c>
      <c r="D493" s="7720"/>
      <c r="E493" s="7719" t="s">
        <v>669</v>
      </c>
      <c r="F493" s="7719" t="str">
        <f t="shared" si="40"/>
        <v/>
      </c>
      <c r="G493" s="7719"/>
      <c r="H493" s="7719" t="str">
        <f t="shared" si="41"/>
        <v/>
      </c>
      <c r="I493" s="7719">
        <v>50.0</v>
      </c>
      <c r="J493" s="7719">
        <v>70.0</v>
      </c>
      <c r="K493" s="7719">
        <v>160.0</v>
      </c>
      <c r="L493" s="7719">
        <v>70.0</v>
      </c>
      <c r="M493" s="7719">
        <v>160.0</v>
      </c>
      <c r="N493" s="7721">
        <v>90.0</v>
      </c>
      <c r="O493" s="7701"/>
      <c r="P493" s="7704"/>
      <c r="Q493" s="7704"/>
      <c r="R493" s="7704"/>
      <c r="S493" s="7705"/>
    </row>
    <row r="494" ht="18.75" customHeight="1">
      <c r="A494" s="7696"/>
      <c r="B494" s="7736" t="s">
        <v>2992</v>
      </c>
      <c r="C494" s="7748" t="s">
        <v>2993</v>
      </c>
      <c r="D494" s="7738"/>
      <c r="E494" s="7748" t="s">
        <v>669</v>
      </c>
      <c r="F494" s="7748" t="str">
        <f t="shared" si="40"/>
        <v/>
      </c>
      <c r="G494" s="7748"/>
      <c r="H494" s="7748" t="str">
        <f t="shared" si="41"/>
        <v/>
      </c>
      <c r="I494" s="7737">
        <v>50.0</v>
      </c>
      <c r="J494" s="7737">
        <v>95.0</v>
      </c>
      <c r="K494" s="7737">
        <v>90.0</v>
      </c>
      <c r="L494" s="7737">
        <v>95.0</v>
      </c>
      <c r="M494" s="7737">
        <v>90.0</v>
      </c>
      <c r="N494" s="7739">
        <v>180.0</v>
      </c>
      <c r="O494" s="7701"/>
      <c r="P494" s="7704"/>
      <c r="Q494" s="7704"/>
      <c r="R494" s="7704"/>
      <c r="S494" s="7705"/>
    </row>
    <row r="495">
      <c r="A495" s="7696"/>
      <c r="B495" s="7694"/>
      <c r="C495" s="7694"/>
      <c r="D495" s="7694"/>
      <c r="E495" s="7694"/>
      <c r="F495" s="7694"/>
      <c r="G495" s="7694"/>
      <c r="H495" s="7694"/>
      <c r="I495" s="7694"/>
      <c r="J495" s="7694"/>
      <c r="K495" s="7694"/>
      <c r="L495" s="7694"/>
      <c r="M495" s="7694"/>
      <c r="N495" s="7694"/>
      <c r="O495" s="7696"/>
      <c r="P495" s="7696"/>
      <c r="Q495" s="7704"/>
      <c r="R495" s="7704"/>
      <c r="S495" s="7705"/>
    </row>
    <row r="496">
      <c r="A496" s="7696"/>
      <c r="B496" s="7697" t="s">
        <v>2994</v>
      </c>
      <c r="C496" s="7740"/>
      <c r="D496" s="7740"/>
      <c r="E496" s="7740"/>
      <c r="F496" s="7740"/>
      <c r="G496" s="7740"/>
      <c r="H496" s="7741"/>
      <c r="I496" s="7699" t="s">
        <v>513</v>
      </c>
      <c r="J496" s="7699" t="s">
        <v>514</v>
      </c>
      <c r="K496" s="7699" t="s">
        <v>515</v>
      </c>
      <c r="L496" s="7699" t="s">
        <v>516</v>
      </c>
      <c r="M496" s="7699" t="s">
        <v>517</v>
      </c>
      <c r="N496" s="7700" t="s">
        <v>518</v>
      </c>
      <c r="O496" s="7701"/>
      <c r="P496" s="7704"/>
      <c r="Q496" s="7704"/>
      <c r="R496" s="7704"/>
      <c r="S496" s="7705"/>
    </row>
    <row r="497" ht="18.75" customHeight="1">
      <c r="A497" s="7696"/>
      <c r="B497" s="7742" t="s">
        <v>2995</v>
      </c>
      <c r="C497" s="7743" t="s">
        <v>2996</v>
      </c>
      <c r="D497" s="7744"/>
      <c r="E497" s="7719" t="s">
        <v>2209</v>
      </c>
      <c r="F497" s="7719" t="str">
        <f t="shared" ref="F497:F591" si="42">IFERROR(VLOOKUP(E497,P$3:Q514,2,False),"")</f>
        <v/>
      </c>
      <c r="G497" s="7719"/>
      <c r="H497" s="7719" t="str">
        <f t="shared" ref="H497:H591" si="43">IFERROR(VLOOKUP(G497,P$3:Q514,2,False),"")</f>
        <v/>
      </c>
      <c r="I497" s="7719">
        <v>55.0</v>
      </c>
      <c r="J497" s="7719">
        <v>68.0</v>
      </c>
      <c r="K497" s="7719">
        <v>64.0</v>
      </c>
      <c r="L497" s="7719">
        <v>45.0</v>
      </c>
      <c r="M497" s="7719">
        <v>55.0</v>
      </c>
      <c r="N497" s="7721">
        <v>31.0</v>
      </c>
      <c r="O497" s="7701"/>
      <c r="P497" s="7704"/>
      <c r="Q497" s="7704"/>
      <c r="R497" s="7704"/>
      <c r="S497" s="7705"/>
    </row>
    <row r="498" ht="18.75" customHeight="1">
      <c r="A498" s="7696"/>
      <c r="B498" s="7712" t="s">
        <v>2997</v>
      </c>
      <c r="C498" s="7713" t="s">
        <v>2998</v>
      </c>
      <c r="D498" s="7714"/>
      <c r="E498" s="7722" t="s">
        <v>2209</v>
      </c>
      <c r="F498" s="7722" t="str">
        <f t="shared" si="42"/>
        <v/>
      </c>
      <c r="G498" s="7722"/>
      <c r="H498" s="7722" t="str">
        <f t="shared" si="43"/>
        <v/>
      </c>
      <c r="I498" s="7713">
        <v>75.0</v>
      </c>
      <c r="J498" s="7713">
        <v>89.0</v>
      </c>
      <c r="K498" s="7713">
        <v>85.0</v>
      </c>
      <c r="L498" s="7713">
        <v>55.0</v>
      </c>
      <c r="M498" s="7713">
        <v>65.0</v>
      </c>
      <c r="N498" s="7715">
        <v>36.0</v>
      </c>
      <c r="O498" s="7701"/>
      <c r="P498" s="7704"/>
      <c r="Q498" s="7704"/>
      <c r="R498" s="7704"/>
      <c r="S498" s="7705"/>
    </row>
    <row r="499" ht="18.75" customHeight="1">
      <c r="A499" s="7696"/>
      <c r="B499" s="7718" t="s">
        <v>1214</v>
      </c>
      <c r="C499" s="7719" t="s">
        <v>2999</v>
      </c>
      <c r="D499" s="7720"/>
      <c r="E499" s="7719" t="s">
        <v>2209</v>
      </c>
      <c r="F499" s="7719" t="str">
        <f t="shared" si="42"/>
        <v/>
      </c>
      <c r="G499" s="7719" t="s">
        <v>2304</v>
      </c>
      <c r="H499" s="7719" t="str">
        <f t="shared" si="43"/>
        <v/>
      </c>
      <c r="I499" s="7719">
        <v>95.0</v>
      </c>
      <c r="J499" s="7719">
        <v>109.0</v>
      </c>
      <c r="K499" s="7719">
        <v>105.0</v>
      </c>
      <c r="L499" s="7719">
        <v>75.0</v>
      </c>
      <c r="M499" s="7719">
        <v>85.0</v>
      </c>
      <c r="N499" s="7721">
        <v>56.0</v>
      </c>
      <c r="O499" s="7701"/>
      <c r="P499" s="7704"/>
      <c r="Q499" s="7704"/>
      <c r="R499" s="7704"/>
      <c r="S499" s="7705"/>
    </row>
    <row r="500" ht="18.75" customHeight="1">
      <c r="A500" s="7696"/>
      <c r="B500" s="7712" t="s">
        <v>3000</v>
      </c>
      <c r="C500" s="7713" t="s">
        <v>3001</v>
      </c>
      <c r="D500" s="7714"/>
      <c r="E500" s="7713" t="s">
        <v>2219</v>
      </c>
      <c r="F500" s="7713" t="str">
        <f t="shared" si="42"/>
        <v/>
      </c>
      <c r="G500" s="7713"/>
      <c r="H500" s="7713" t="str">
        <f t="shared" si="43"/>
        <v/>
      </c>
      <c r="I500" s="7713">
        <v>44.0</v>
      </c>
      <c r="J500" s="7713">
        <v>58.0</v>
      </c>
      <c r="K500" s="7713">
        <v>44.0</v>
      </c>
      <c r="L500" s="7713">
        <v>58.0</v>
      </c>
      <c r="M500" s="7713">
        <v>44.0</v>
      </c>
      <c r="N500" s="7715">
        <v>61.0</v>
      </c>
      <c r="O500" s="7701"/>
      <c r="P500" s="7704"/>
      <c r="Q500" s="7704"/>
      <c r="R500" s="7704"/>
      <c r="S500" s="7705"/>
    </row>
    <row r="501" ht="18.75" customHeight="1">
      <c r="A501" s="7696"/>
      <c r="B501" s="7718" t="s">
        <v>3002</v>
      </c>
      <c r="C501" s="7719" t="s">
        <v>3003</v>
      </c>
      <c r="D501" s="7720"/>
      <c r="E501" s="7719" t="s">
        <v>2219</v>
      </c>
      <c r="F501" s="7719" t="str">
        <f t="shared" si="42"/>
        <v/>
      </c>
      <c r="G501" s="7719" t="s">
        <v>2296</v>
      </c>
      <c r="H501" s="7719" t="str">
        <f t="shared" si="43"/>
        <v/>
      </c>
      <c r="I501" s="7719">
        <v>64.0</v>
      </c>
      <c r="J501" s="7719">
        <v>78.0</v>
      </c>
      <c r="K501" s="7719">
        <v>52.0</v>
      </c>
      <c r="L501" s="7719">
        <v>78.0</v>
      </c>
      <c r="M501" s="7719">
        <v>52.0</v>
      </c>
      <c r="N501" s="7721">
        <v>81.0</v>
      </c>
      <c r="O501" s="7701"/>
      <c r="P501" s="7704"/>
      <c r="Q501" s="7704"/>
      <c r="R501" s="7704"/>
      <c r="S501" s="7705"/>
    </row>
    <row r="502" ht="18.75" customHeight="1">
      <c r="A502" s="7696"/>
      <c r="B502" s="7712" t="s">
        <v>1213</v>
      </c>
      <c r="C502" s="7713" t="s">
        <v>3004</v>
      </c>
      <c r="D502" s="7714"/>
      <c r="E502" s="7722" t="s">
        <v>2219</v>
      </c>
      <c r="F502" s="7722" t="str">
        <f t="shared" si="42"/>
        <v/>
      </c>
      <c r="G502" s="7722" t="s">
        <v>2296</v>
      </c>
      <c r="H502" s="7722" t="str">
        <f t="shared" si="43"/>
        <v/>
      </c>
      <c r="I502" s="7713">
        <v>76.0</v>
      </c>
      <c r="J502" s="7713">
        <v>110.0</v>
      </c>
      <c r="K502" s="7713">
        <v>71.0</v>
      </c>
      <c r="L502" s="7713">
        <v>110.0</v>
      </c>
      <c r="M502" s="7713">
        <v>71.0</v>
      </c>
      <c r="N502" s="7715">
        <v>113.0</v>
      </c>
      <c r="O502" s="7701"/>
      <c r="P502" s="7704"/>
      <c r="Q502" s="7704"/>
      <c r="R502" s="7704"/>
      <c r="S502" s="7705"/>
    </row>
    <row r="503" ht="18.75" customHeight="1">
      <c r="A503" s="7696"/>
      <c r="B503" s="7718" t="s">
        <v>3005</v>
      </c>
      <c r="C503" s="7719" t="s">
        <v>3006</v>
      </c>
      <c r="D503" s="7720"/>
      <c r="E503" s="7719" t="s">
        <v>2232</v>
      </c>
      <c r="F503" s="7719" t="str">
        <f t="shared" si="42"/>
        <v/>
      </c>
      <c r="G503" s="7719"/>
      <c r="H503" s="7719" t="str">
        <f t="shared" si="43"/>
        <v/>
      </c>
      <c r="I503" s="7719">
        <v>53.0</v>
      </c>
      <c r="J503" s="7719">
        <v>51.0</v>
      </c>
      <c r="K503" s="7719">
        <v>53.0</v>
      </c>
      <c r="L503" s="7719">
        <v>61.0</v>
      </c>
      <c r="M503" s="7719">
        <v>56.0</v>
      </c>
      <c r="N503" s="7721">
        <v>40.0</v>
      </c>
      <c r="O503" s="7701"/>
      <c r="P503" s="7704"/>
      <c r="Q503" s="7704"/>
      <c r="R503" s="7704"/>
      <c r="S503" s="7705"/>
    </row>
    <row r="504" ht="18.75" customHeight="1">
      <c r="A504" s="7696"/>
      <c r="B504" s="7712" t="s">
        <v>3007</v>
      </c>
      <c r="C504" s="7713" t="s">
        <v>3008</v>
      </c>
      <c r="D504" s="7714"/>
      <c r="E504" s="7713" t="s">
        <v>2232</v>
      </c>
      <c r="F504" s="7713" t="str">
        <f t="shared" si="42"/>
        <v/>
      </c>
      <c r="G504" s="7713"/>
      <c r="H504" s="7713" t="str">
        <f t="shared" si="43"/>
        <v/>
      </c>
      <c r="I504" s="7713">
        <v>64.0</v>
      </c>
      <c r="J504" s="7713">
        <v>66.0</v>
      </c>
      <c r="K504" s="7713">
        <v>68.0</v>
      </c>
      <c r="L504" s="7713">
        <v>81.0</v>
      </c>
      <c r="M504" s="7713">
        <v>76.0</v>
      </c>
      <c r="N504" s="7715">
        <v>50.0</v>
      </c>
      <c r="O504" s="7701"/>
      <c r="P504" s="7704"/>
      <c r="Q504" s="7704"/>
      <c r="R504" s="7704"/>
      <c r="S504" s="7705"/>
    </row>
    <row r="505" ht="18.75" customHeight="1">
      <c r="A505" s="7696"/>
      <c r="B505" s="7718" t="s">
        <v>1131</v>
      </c>
      <c r="C505" s="7719" t="s">
        <v>3009</v>
      </c>
      <c r="D505" s="7720"/>
      <c r="E505" s="7719" t="s">
        <v>2232</v>
      </c>
      <c r="F505" s="7719" t="str">
        <f t="shared" si="42"/>
        <v/>
      </c>
      <c r="G505" s="7719" t="s">
        <v>2286</v>
      </c>
      <c r="H505" s="7719" t="str">
        <f t="shared" si="43"/>
        <v/>
      </c>
      <c r="I505" s="7719">
        <v>84.0</v>
      </c>
      <c r="J505" s="7719">
        <v>86.0</v>
      </c>
      <c r="K505" s="7719">
        <v>88.0</v>
      </c>
      <c r="L505" s="7719">
        <v>111.0</v>
      </c>
      <c r="M505" s="7719">
        <v>101.0</v>
      </c>
      <c r="N505" s="7721">
        <v>60.0</v>
      </c>
      <c r="O505" s="7701"/>
      <c r="P505" s="7704"/>
      <c r="Q505" s="7704"/>
      <c r="R505" s="7704"/>
      <c r="S505" s="7705"/>
    </row>
    <row r="506" ht="18.75" customHeight="1">
      <c r="A506" s="7696"/>
      <c r="B506" s="7712" t="s">
        <v>3010</v>
      </c>
      <c r="C506" s="7713" t="s">
        <v>3011</v>
      </c>
      <c r="D506" s="7714"/>
      <c r="E506" s="7722" t="s">
        <v>2262</v>
      </c>
      <c r="F506" s="7722" t="str">
        <f t="shared" si="42"/>
        <v/>
      </c>
      <c r="G506" s="7722" t="s">
        <v>2224</v>
      </c>
      <c r="H506" s="7722" t="str">
        <f t="shared" si="43"/>
        <v/>
      </c>
      <c r="I506" s="7713">
        <v>40.0</v>
      </c>
      <c r="J506" s="7713">
        <v>55.0</v>
      </c>
      <c r="K506" s="7713">
        <v>30.0</v>
      </c>
      <c r="L506" s="7713">
        <v>30.0</v>
      </c>
      <c r="M506" s="7713">
        <v>30.0</v>
      </c>
      <c r="N506" s="7715">
        <v>60.0</v>
      </c>
      <c r="O506" s="7701"/>
      <c r="P506" s="7704"/>
      <c r="Q506" s="7704"/>
      <c r="R506" s="7704"/>
      <c r="S506" s="7705"/>
    </row>
    <row r="507" ht="18.75" customHeight="1">
      <c r="A507" s="7696"/>
      <c r="B507" s="7718" t="s">
        <v>3012</v>
      </c>
      <c r="C507" s="7719" t="s">
        <v>3013</v>
      </c>
      <c r="D507" s="7720"/>
      <c r="E507" s="7719" t="s">
        <v>2262</v>
      </c>
      <c r="F507" s="7719" t="str">
        <f t="shared" si="42"/>
        <v/>
      </c>
      <c r="G507" s="7719" t="s">
        <v>2224</v>
      </c>
      <c r="H507" s="7719" t="str">
        <f t="shared" si="43"/>
        <v/>
      </c>
      <c r="I507" s="7719">
        <v>55.0</v>
      </c>
      <c r="J507" s="7719">
        <v>75.0</v>
      </c>
      <c r="K507" s="7719">
        <v>50.0</v>
      </c>
      <c r="L507" s="7719">
        <v>40.0</v>
      </c>
      <c r="M507" s="7719">
        <v>40.0</v>
      </c>
      <c r="N507" s="7721">
        <v>80.0</v>
      </c>
      <c r="O507" s="7701"/>
      <c r="P507" s="7704"/>
      <c r="Q507" s="7704"/>
      <c r="R507" s="7704"/>
      <c r="S507" s="7705"/>
    </row>
    <row r="508" ht="18.75" customHeight="1">
      <c r="A508" s="7696"/>
      <c r="B508" s="7712" t="s">
        <v>3014</v>
      </c>
      <c r="C508" s="7713" t="s">
        <v>3015</v>
      </c>
      <c r="D508" s="7714"/>
      <c r="E508" s="7713" t="s">
        <v>2262</v>
      </c>
      <c r="F508" s="7713" t="str">
        <f t="shared" si="42"/>
        <v/>
      </c>
      <c r="G508" s="7713" t="s">
        <v>2224</v>
      </c>
      <c r="H508" s="7713" t="str">
        <f t="shared" si="43"/>
        <v/>
      </c>
      <c r="I508" s="7713">
        <v>85.0</v>
      </c>
      <c r="J508" s="7713">
        <v>120.0</v>
      </c>
      <c r="K508" s="7713">
        <v>70.0</v>
      </c>
      <c r="L508" s="7713">
        <v>50.0</v>
      </c>
      <c r="M508" s="7713">
        <v>60.0</v>
      </c>
      <c r="N508" s="7715">
        <v>100.0</v>
      </c>
      <c r="O508" s="7701"/>
      <c r="P508" s="7704"/>
      <c r="Q508" s="7704"/>
      <c r="R508" s="7704"/>
      <c r="S508" s="7705"/>
    </row>
    <row r="509" ht="18.75" customHeight="1">
      <c r="A509" s="7696"/>
      <c r="B509" s="7718" t="s">
        <v>3016</v>
      </c>
      <c r="C509" s="7719" t="s">
        <v>3017</v>
      </c>
      <c r="D509" s="7720"/>
      <c r="E509" s="7719" t="s">
        <v>2262</v>
      </c>
      <c r="F509" s="7719" t="str">
        <f t="shared" si="42"/>
        <v/>
      </c>
      <c r="G509" s="7719"/>
      <c r="H509" s="7719" t="str">
        <f t="shared" si="43"/>
        <v/>
      </c>
      <c r="I509" s="7719">
        <v>59.0</v>
      </c>
      <c r="J509" s="7719">
        <v>45.0</v>
      </c>
      <c r="K509" s="7719">
        <v>40.0</v>
      </c>
      <c r="L509" s="7719">
        <v>35.0</v>
      </c>
      <c r="M509" s="7719">
        <v>40.0</v>
      </c>
      <c r="N509" s="7721">
        <v>31.0</v>
      </c>
      <c r="O509" s="7701"/>
      <c r="P509" s="7704"/>
      <c r="Q509" s="7704"/>
      <c r="R509" s="7704"/>
      <c r="S509" s="7705"/>
    </row>
    <row r="510" ht="18.75" customHeight="1">
      <c r="A510" s="7696"/>
      <c r="B510" s="7712" t="s">
        <v>301</v>
      </c>
      <c r="C510" s="7713" t="s">
        <v>3018</v>
      </c>
      <c r="D510" s="7714"/>
      <c r="E510" s="7722" t="s">
        <v>2262</v>
      </c>
      <c r="F510" s="7722" t="str">
        <f t="shared" si="42"/>
        <v/>
      </c>
      <c r="G510" s="7722" t="s">
        <v>2232</v>
      </c>
      <c r="H510" s="7722" t="str">
        <f t="shared" si="43"/>
        <v/>
      </c>
      <c r="I510" s="7713">
        <v>79.0</v>
      </c>
      <c r="J510" s="7713">
        <v>85.0</v>
      </c>
      <c r="K510" s="7713">
        <v>80.0</v>
      </c>
      <c r="L510" s="7713">
        <v>55.0</v>
      </c>
      <c r="M510" s="7713">
        <v>80.0</v>
      </c>
      <c r="N510" s="7715">
        <v>50.0</v>
      </c>
      <c r="O510" s="7701"/>
      <c r="P510" s="7704"/>
      <c r="Q510" s="7704"/>
      <c r="R510" s="7704"/>
      <c r="S510" s="7705"/>
    </row>
    <row r="511" ht="18.75" customHeight="1">
      <c r="A511" s="7696"/>
      <c r="B511" s="7718" t="s">
        <v>3019</v>
      </c>
      <c r="C511" s="7719" t="s">
        <v>3020</v>
      </c>
      <c r="D511" s="7720"/>
      <c r="E511" s="7719" t="s">
        <v>2243</v>
      </c>
      <c r="F511" s="7719" t="str">
        <f t="shared" si="42"/>
        <v/>
      </c>
      <c r="G511" s="7719"/>
      <c r="H511" s="7719" t="str">
        <f t="shared" si="43"/>
        <v/>
      </c>
      <c r="I511" s="7719">
        <v>37.0</v>
      </c>
      <c r="J511" s="7719">
        <v>40.0</v>
      </c>
      <c r="K511" s="7719">
        <v>41.0</v>
      </c>
      <c r="L511" s="7719">
        <v>40.0</v>
      </c>
      <c r="M511" s="7719">
        <v>41.0</v>
      </c>
      <c r="N511" s="7721">
        <v>25.0</v>
      </c>
      <c r="O511" s="7701"/>
      <c r="P511" s="7704"/>
      <c r="Q511" s="7704"/>
      <c r="R511" s="7704"/>
      <c r="S511" s="7705"/>
    </row>
    <row r="512" ht="18.75" customHeight="1">
      <c r="A512" s="7696"/>
      <c r="B512" s="7712" t="s">
        <v>306</v>
      </c>
      <c r="C512" s="7713" t="s">
        <v>3021</v>
      </c>
      <c r="D512" s="7714"/>
      <c r="E512" s="7713" t="s">
        <v>2243</v>
      </c>
      <c r="F512" s="7713" t="str">
        <f t="shared" si="42"/>
        <v/>
      </c>
      <c r="G512" s="7713"/>
      <c r="H512" s="7713" t="str">
        <f t="shared" si="43"/>
        <v/>
      </c>
      <c r="I512" s="7713">
        <v>77.0</v>
      </c>
      <c r="J512" s="7713">
        <v>95.0</v>
      </c>
      <c r="K512" s="7713">
        <v>71.0</v>
      </c>
      <c r="L512" s="7713">
        <v>55.0</v>
      </c>
      <c r="M512" s="7713">
        <v>71.0</v>
      </c>
      <c r="N512" s="7715">
        <v>80.0</v>
      </c>
      <c r="O512" s="7701"/>
      <c r="P512" s="7704"/>
      <c r="Q512" s="7704"/>
      <c r="R512" s="7704"/>
      <c r="S512" s="7705"/>
    </row>
    <row r="513" ht="18.75" customHeight="1">
      <c r="A513" s="7696"/>
      <c r="B513" s="7718" t="s">
        <v>3022</v>
      </c>
      <c r="C513" s="7719" t="s">
        <v>3023</v>
      </c>
      <c r="D513" s="7720"/>
      <c r="E513" s="7719" t="s">
        <v>2283</v>
      </c>
      <c r="F513" s="7719" t="str">
        <f t="shared" si="42"/>
        <v/>
      </c>
      <c r="G513" s="7719"/>
      <c r="H513" s="7719" t="str">
        <f t="shared" si="43"/>
        <v/>
      </c>
      <c r="I513" s="7719">
        <v>45.0</v>
      </c>
      <c r="J513" s="7719">
        <v>65.0</v>
      </c>
      <c r="K513" s="7719">
        <v>34.0</v>
      </c>
      <c r="L513" s="7719">
        <v>40.0</v>
      </c>
      <c r="M513" s="7719">
        <v>34.0</v>
      </c>
      <c r="N513" s="7721">
        <v>45.0</v>
      </c>
      <c r="O513" s="7701"/>
      <c r="P513" s="7704"/>
      <c r="Q513" s="7704"/>
      <c r="R513" s="7704"/>
      <c r="S513" s="7705"/>
    </row>
    <row r="514" ht="18.75" customHeight="1">
      <c r="A514" s="7696"/>
      <c r="B514" s="7712" t="s">
        <v>3024</v>
      </c>
      <c r="C514" s="7713" t="s">
        <v>3025</v>
      </c>
      <c r="D514" s="7714"/>
      <c r="E514" s="7722" t="s">
        <v>2283</v>
      </c>
      <c r="F514" s="7722" t="str">
        <f t="shared" si="42"/>
        <v/>
      </c>
      <c r="G514" s="7722"/>
      <c r="H514" s="7722" t="str">
        <f t="shared" si="43"/>
        <v/>
      </c>
      <c r="I514" s="7713">
        <v>60.0</v>
      </c>
      <c r="J514" s="7713">
        <v>85.0</v>
      </c>
      <c r="K514" s="7713">
        <v>49.0</v>
      </c>
      <c r="L514" s="7713">
        <v>60.0</v>
      </c>
      <c r="M514" s="7713">
        <v>49.0</v>
      </c>
      <c r="N514" s="7715">
        <v>60.0</v>
      </c>
      <c r="O514" s="7701"/>
      <c r="P514" s="7704"/>
      <c r="Q514" s="7704"/>
      <c r="R514" s="7704"/>
      <c r="S514" s="7705"/>
    </row>
    <row r="515" ht="18.75" customHeight="1">
      <c r="A515" s="7696"/>
      <c r="B515" s="7718" t="s">
        <v>3026</v>
      </c>
      <c r="C515" s="7719" t="s">
        <v>3027</v>
      </c>
      <c r="D515" s="7720"/>
      <c r="E515" s="7719" t="s">
        <v>2283</v>
      </c>
      <c r="F515" s="7719" t="str">
        <f t="shared" si="42"/>
        <v/>
      </c>
      <c r="G515" s="7719"/>
      <c r="H515" s="7719" t="str">
        <f t="shared" si="43"/>
        <v/>
      </c>
      <c r="I515" s="7719">
        <v>80.0</v>
      </c>
      <c r="J515" s="7719">
        <v>120.0</v>
      </c>
      <c r="K515" s="7719">
        <v>79.0</v>
      </c>
      <c r="L515" s="7719">
        <v>95.0</v>
      </c>
      <c r="M515" s="7719">
        <v>79.0</v>
      </c>
      <c r="N515" s="7721">
        <v>70.0</v>
      </c>
      <c r="O515" s="7701"/>
      <c r="P515" s="7704"/>
      <c r="Q515" s="7704"/>
      <c r="R515" s="7704"/>
      <c r="S515" s="7705"/>
    </row>
    <row r="516" ht="18.75" customHeight="1">
      <c r="A516" s="7696"/>
      <c r="B516" s="7712" t="s">
        <v>3028</v>
      </c>
      <c r="C516" s="7713" t="s">
        <v>3029</v>
      </c>
      <c r="D516" s="7714"/>
      <c r="E516" s="7713" t="s">
        <v>2209</v>
      </c>
      <c r="F516" s="7713" t="str">
        <f t="shared" si="42"/>
        <v/>
      </c>
      <c r="G516" s="7713" t="s">
        <v>2210</v>
      </c>
      <c r="H516" s="7713" t="str">
        <f t="shared" si="43"/>
        <v/>
      </c>
      <c r="I516" s="7713">
        <v>40.0</v>
      </c>
      <c r="J516" s="7713">
        <v>30.0</v>
      </c>
      <c r="K516" s="7713">
        <v>35.0</v>
      </c>
      <c r="L516" s="7713">
        <v>50.0</v>
      </c>
      <c r="M516" s="7713">
        <v>70.0</v>
      </c>
      <c r="N516" s="7715">
        <v>55.0</v>
      </c>
      <c r="O516" s="7701"/>
      <c r="P516" s="7704"/>
      <c r="Q516" s="7704"/>
      <c r="R516" s="7704"/>
      <c r="S516" s="7705"/>
    </row>
    <row r="517" ht="18.75" customHeight="1">
      <c r="A517" s="7696"/>
      <c r="B517" s="7718" t="s">
        <v>1465</v>
      </c>
      <c r="C517" s="7719" t="s">
        <v>3030</v>
      </c>
      <c r="D517" s="7720"/>
      <c r="E517" s="7719" t="s">
        <v>2209</v>
      </c>
      <c r="F517" s="7719" t="str">
        <f t="shared" si="42"/>
        <v/>
      </c>
      <c r="G517" s="7719" t="s">
        <v>2210</v>
      </c>
      <c r="H517" s="7719" t="str">
        <f t="shared" si="43"/>
        <v/>
      </c>
      <c r="I517" s="7719">
        <v>60.0</v>
      </c>
      <c r="J517" s="7719">
        <v>70.0</v>
      </c>
      <c r="K517" s="7719">
        <v>65.0</v>
      </c>
      <c r="L517" s="7719">
        <v>125.0</v>
      </c>
      <c r="M517" s="7719">
        <v>105.0</v>
      </c>
      <c r="N517" s="7721">
        <v>90.0</v>
      </c>
      <c r="O517" s="7701"/>
      <c r="P517" s="7704"/>
      <c r="Q517" s="7704"/>
      <c r="R517" s="7704"/>
      <c r="S517" s="7705"/>
    </row>
    <row r="518" ht="18.75" customHeight="1">
      <c r="A518" s="7696"/>
      <c r="B518" s="7712" t="s">
        <v>3031</v>
      </c>
      <c r="C518" s="7713" t="s">
        <v>3032</v>
      </c>
      <c r="D518" s="7714"/>
      <c r="E518" s="7722" t="s">
        <v>2370</v>
      </c>
      <c r="F518" s="7722" t="str">
        <f t="shared" si="42"/>
        <v/>
      </c>
      <c r="G518" s="7722"/>
      <c r="H518" s="7722" t="str">
        <f t="shared" si="43"/>
        <v/>
      </c>
      <c r="I518" s="7713">
        <v>67.0</v>
      </c>
      <c r="J518" s="7713">
        <v>125.0</v>
      </c>
      <c r="K518" s="7713">
        <v>40.0</v>
      </c>
      <c r="L518" s="7713">
        <v>30.0</v>
      </c>
      <c r="M518" s="7713">
        <v>30.0</v>
      </c>
      <c r="N518" s="7715">
        <v>58.0</v>
      </c>
      <c r="O518" s="7701"/>
      <c r="P518" s="7704"/>
      <c r="Q518" s="7704"/>
      <c r="R518" s="7704"/>
      <c r="S518" s="7705"/>
    </row>
    <row r="519" ht="18.75" customHeight="1">
      <c r="A519" s="7696"/>
      <c r="B519" s="7718" t="s">
        <v>1481</v>
      </c>
      <c r="C519" s="7719" t="s">
        <v>3033</v>
      </c>
      <c r="D519" s="7720"/>
      <c r="E519" s="7719" t="s">
        <v>2370</v>
      </c>
      <c r="F519" s="7719" t="str">
        <f t="shared" si="42"/>
        <v/>
      </c>
      <c r="G519" s="7719"/>
      <c r="H519" s="7719" t="str">
        <f t="shared" si="43"/>
        <v/>
      </c>
      <c r="I519" s="7719">
        <v>97.0</v>
      </c>
      <c r="J519" s="7719">
        <v>165.0</v>
      </c>
      <c r="K519" s="7719">
        <v>60.0</v>
      </c>
      <c r="L519" s="7719">
        <v>65.0</v>
      </c>
      <c r="M519" s="7719">
        <v>50.0</v>
      </c>
      <c r="N519" s="7721">
        <v>58.0</v>
      </c>
      <c r="O519" s="7701"/>
      <c r="P519" s="7704"/>
      <c r="Q519" s="7704"/>
      <c r="R519" s="7704"/>
      <c r="S519" s="7705"/>
    </row>
    <row r="520" ht="18.75" customHeight="1">
      <c r="A520" s="7696"/>
      <c r="B520" s="7712" t="s">
        <v>3034</v>
      </c>
      <c r="C520" s="7713" t="s">
        <v>3035</v>
      </c>
      <c r="D520" s="7714"/>
      <c r="E520" s="7713" t="s">
        <v>2370</v>
      </c>
      <c r="F520" s="7713" t="str">
        <f t="shared" si="42"/>
        <v/>
      </c>
      <c r="G520" s="7713" t="s">
        <v>2286</v>
      </c>
      <c r="H520" s="7713" t="str">
        <f t="shared" si="43"/>
        <v/>
      </c>
      <c r="I520" s="7713">
        <v>30.0</v>
      </c>
      <c r="J520" s="7713">
        <v>42.0</v>
      </c>
      <c r="K520" s="7713">
        <v>118.0</v>
      </c>
      <c r="L520" s="7713">
        <v>42.0</v>
      </c>
      <c r="M520" s="7713">
        <v>88.0</v>
      </c>
      <c r="N520" s="7715">
        <v>30.0</v>
      </c>
      <c r="O520" s="7701"/>
      <c r="P520" s="7704"/>
      <c r="Q520" s="7704"/>
      <c r="R520" s="7704"/>
      <c r="S520" s="7705"/>
    </row>
    <row r="521" ht="18.75" customHeight="1">
      <c r="A521" s="7696"/>
      <c r="B521" s="7718" t="s">
        <v>138</v>
      </c>
      <c r="C521" s="7719" t="s">
        <v>3036</v>
      </c>
      <c r="D521" s="7720"/>
      <c r="E521" s="7719" t="s">
        <v>2370</v>
      </c>
      <c r="F521" s="7719" t="str">
        <f t="shared" si="42"/>
        <v/>
      </c>
      <c r="G521" s="7719" t="s">
        <v>2286</v>
      </c>
      <c r="H521" s="7719" t="str">
        <f t="shared" si="43"/>
        <v/>
      </c>
      <c r="I521" s="7719">
        <v>60.0</v>
      </c>
      <c r="J521" s="7719">
        <v>52.0</v>
      </c>
      <c r="K521" s="7719">
        <v>168.0</v>
      </c>
      <c r="L521" s="7719">
        <v>47.0</v>
      </c>
      <c r="M521" s="7719">
        <v>138.0</v>
      </c>
      <c r="N521" s="7721">
        <v>30.0</v>
      </c>
      <c r="O521" s="7701"/>
      <c r="P521" s="7704"/>
      <c r="Q521" s="7704"/>
      <c r="R521" s="7704"/>
      <c r="S521" s="7705"/>
    </row>
    <row r="522" ht="18.75" customHeight="1">
      <c r="A522" s="7696"/>
      <c r="B522" s="7712" t="s">
        <v>3037</v>
      </c>
      <c r="C522" s="7713" t="s">
        <v>3038</v>
      </c>
      <c r="D522" s="7714"/>
      <c r="E522" s="7722" t="s">
        <v>2243</v>
      </c>
      <c r="F522" s="7722" t="str">
        <f t="shared" si="42"/>
        <v/>
      </c>
      <c r="G522" s="7722"/>
      <c r="H522" s="7722" t="str">
        <f t="shared" si="43"/>
        <v/>
      </c>
      <c r="I522" s="7713">
        <v>40.0</v>
      </c>
      <c r="J522" s="7713">
        <v>29.0</v>
      </c>
      <c r="K522" s="7713">
        <v>45.0</v>
      </c>
      <c r="L522" s="7713">
        <v>29.0</v>
      </c>
      <c r="M522" s="7713">
        <v>45.0</v>
      </c>
      <c r="N522" s="7715">
        <v>36.0</v>
      </c>
      <c r="O522" s="7701"/>
      <c r="P522" s="7704"/>
      <c r="Q522" s="7704"/>
      <c r="R522" s="7704"/>
      <c r="S522" s="7705"/>
    </row>
    <row r="523" ht="18.75" customHeight="1">
      <c r="A523" s="7696"/>
      <c r="B523" s="7718" t="s">
        <v>3039</v>
      </c>
      <c r="C523" s="7723" t="s">
        <v>3040</v>
      </c>
      <c r="D523" s="7720"/>
      <c r="E523" s="7719" t="s">
        <v>2243</v>
      </c>
      <c r="F523" s="7719" t="str">
        <f t="shared" si="42"/>
        <v/>
      </c>
      <c r="G523" s="7719"/>
      <c r="H523" s="7719" t="str">
        <f t="shared" si="43"/>
        <v/>
      </c>
      <c r="I523" s="7719">
        <v>40.0</v>
      </c>
      <c r="J523" s="7719">
        <v>29.0</v>
      </c>
      <c r="K523" s="7719">
        <v>45.0</v>
      </c>
      <c r="L523" s="7719">
        <v>29.0</v>
      </c>
      <c r="M523" s="7719">
        <v>45.0</v>
      </c>
      <c r="N523" s="7721">
        <v>36.0</v>
      </c>
      <c r="O523" s="7701"/>
      <c r="P523" s="7704"/>
      <c r="Q523" s="7704"/>
      <c r="R523" s="7704"/>
      <c r="S523" s="7705"/>
    </row>
    <row r="524" ht="18.75" customHeight="1">
      <c r="A524" s="7696"/>
      <c r="B524" s="7712" t="s">
        <v>3041</v>
      </c>
      <c r="C524" s="7722" t="s">
        <v>3042</v>
      </c>
      <c r="D524" s="7714"/>
      <c r="E524" s="7713" t="s">
        <v>2243</v>
      </c>
      <c r="F524" s="7713" t="str">
        <f t="shared" si="42"/>
        <v/>
      </c>
      <c r="G524" s="7713"/>
      <c r="H524" s="7713" t="str">
        <f t="shared" si="43"/>
        <v/>
      </c>
      <c r="I524" s="7713">
        <v>40.0</v>
      </c>
      <c r="J524" s="7713">
        <v>29.0</v>
      </c>
      <c r="K524" s="7713">
        <v>45.0</v>
      </c>
      <c r="L524" s="7713">
        <v>29.0</v>
      </c>
      <c r="M524" s="7713">
        <v>45.0</v>
      </c>
      <c r="N524" s="7715">
        <v>36.0</v>
      </c>
      <c r="O524" s="7701"/>
      <c r="P524" s="7704"/>
      <c r="Q524" s="7704"/>
      <c r="R524" s="7704"/>
      <c r="S524" s="7705"/>
    </row>
    <row r="525" ht="18.75" customHeight="1">
      <c r="A525" s="7696"/>
      <c r="B525" s="7718" t="s">
        <v>151</v>
      </c>
      <c r="C525" s="7719" t="s">
        <v>3043</v>
      </c>
      <c r="D525" s="7720"/>
      <c r="E525" s="7719" t="s">
        <v>2243</v>
      </c>
      <c r="F525" s="7719" t="str">
        <f t="shared" si="42"/>
        <v/>
      </c>
      <c r="G525" s="7719" t="s">
        <v>2209</v>
      </c>
      <c r="H525" s="7719" t="str">
        <f t="shared" si="43"/>
        <v/>
      </c>
      <c r="I525" s="7719">
        <v>60.0</v>
      </c>
      <c r="J525" s="7719">
        <v>59.0</v>
      </c>
      <c r="K525" s="7719">
        <v>85.0</v>
      </c>
      <c r="L525" s="7719">
        <v>79.0</v>
      </c>
      <c r="M525" s="7719">
        <v>105.0</v>
      </c>
      <c r="N525" s="7721">
        <v>36.0</v>
      </c>
      <c r="O525" s="7701"/>
      <c r="P525" s="7704"/>
      <c r="Q525" s="7704"/>
      <c r="R525" s="7704"/>
      <c r="S525" s="7705"/>
    </row>
    <row r="526" ht="18.75" customHeight="1">
      <c r="A526" s="7696"/>
      <c r="B526" s="7712" t="s">
        <v>1397</v>
      </c>
      <c r="C526" s="7722" t="s">
        <v>3044</v>
      </c>
      <c r="D526" s="7714"/>
      <c r="E526" s="7713" t="s">
        <v>2243</v>
      </c>
      <c r="F526" s="7713" t="str">
        <f t="shared" si="42"/>
        <v/>
      </c>
      <c r="G526" s="7713" t="s">
        <v>2304</v>
      </c>
      <c r="H526" s="7713" t="str">
        <f t="shared" si="43"/>
        <v/>
      </c>
      <c r="I526" s="7713">
        <v>60.0</v>
      </c>
      <c r="J526" s="7713">
        <v>59.0</v>
      </c>
      <c r="K526" s="7713">
        <v>105.0</v>
      </c>
      <c r="L526" s="7713">
        <v>79.0</v>
      </c>
      <c r="M526" s="7713">
        <v>85.0</v>
      </c>
      <c r="N526" s="7715">
        <v>36.0</v>
      </c>
      <c r="O526" s="7701"/>
      <c r="P526" s="7704"/>
      <c r="Q526" s="7704"/>
      <c r="R526" s="7704"/>
      <c r="S526" s="7705"/>
    </row>
    <row r="527" ht="18.75" customHeight="1">
      <c r="A527" s="7696"/>
      <c r="B527" s="7718" t="s">
        <v>3045</v>
      </c>
      <c r="C527" s="7723" t="s">
        <v>3046</v>
      </c>
      <c r="D527" s="7720"/>
      <c r="E527" s="7719" t="s">
        <v>2243</v>
      </c>
      <c r="F527" s="7719" t="str">
        <f t="shared" si="42"/>
        <v/>
      </c>
      <c r="G527" s="7719" t="s">
        <v>2286</v>
      </c>
      <c r="H527" s="7719" t="str">
        <f t="shared" si="43"/>
        <v/>
      </c>
      <c r="I527" s="7719">
        <v>60.0</v>
      </c>
      <c r="J527" s="7719">
        <v>59.0</v>
      </c>
      <c r="K527" s="7719">
        <v>95.0</v>
      </c>
      <c r="L527" s="7719">
        <v>79.0</v>
      </c>
      <c r="M527" s="7719">
        <v>95.0</v>
      </c>
      <c r="N527" s="7721">
        <v>36.0</v>
      </c>
      <c r="O527" s="7701"/>
      <c r="P527" s="7704"/>
      <c r="Q527" s="7704"/>
      <c r="R527" s="7704"/>
      <c r="S527" s="7705"/>
    </row>
    <row r="528" ht="18.75" customHeight="1">
      <c r="A528" s="7696"/>
      <c r="B528" s="7712" t="s">
        <v>163</v>
      </c>
      <c r="C528" s="7713" t="s">
        <v>3047</v>
      </c>
      <c r="D528" s="7714"/>
      <c r="E528" s="7713" t="s">
        <v>2243</v>
      </c>
      <c r="F528" s="7713" t="str">
        <f t="shared" si="42"/>
        <v/>
      </c>
      <c r="G528" s="7713" t="s">
        <v>2224</v>
      </c>
      <c r="H528" s="7713" t="str">
        <f t="shared" si="43"/>
        <v/>
      </c>
      <c r="I528" s="7713">
        <v>70.0</v>
      </c>
      <c r="J528" s="7713">
        <v>84.0</v>
      </c>
      <c r="K528" s="7713">
        <v>50.0</v>
      </c>
      <c r="L528" s="7713">
        <v>94.0</v>
      </c>
      <c r="M528" s="7713">
        <v>50.0</v>
      </c>
      <c r="N528" s="7715">
        <v>80.0</v>
      </c>
      <c r="O528" s="7701"/>
      <c r="P528" s="7704"/>
      <c r="Q528" s="7704"/>
      <c r="R528" s="7704"/>
      <c r="S528" s="7705"/>
    </row>
    <row r="529" ht="18.75" customHeight="1">
      <c r="A529" s="7696"/>
      <c r="B529" s="7718" t="s">
        <v>3048</v>
      </c>
      <c r="C529" s="7719" t="s">
        <v>3049</v>
      </c>
      <c r="D529" s="7720"/>
      <c r="E529" s="7719" t="s">
        <v>2243</v>
      </c>
      <c r="F529" s="7719" t="str">
        <f t="shared" si="42"/>
        <v/>
      </c>
      <c r="G529" s="7719" t="s">
        <v>2224</v>
      </c>
      <c r="H529" s="7719" t="str">
        <f t="shared" si="43"/>
        <v/>
      </c>
      <c r="I529" s="7719">
        <v>30.0</v>
      </c>
      <c r="J529" s="7719">
        <v>30.0</v>
      </c>
      <c r="K529" s="7719">
        <v>42.0</v>
      </c>
      <c r="L529" s="7719">
        <v>30.0</v>
      </c>
      <c r="M529" s="7719">
        <v>42.0</v>
      </c>
      <c r="N529" s="7721">
        <v>70.0</v>
      </c>
      <c r="O529" s="7701"/>
      <c r="P529" s="7704"/>
      <c r="Q529" s="7704"/>
      <c r="R529" s="7704"/>
      <c r="S529" s="7705"/>
    </row>
    <row r="530" ht="18.75" customHeight="1">
      <c r="A530" s="7696"/>
      <c r="B530" s="7712" t="s">
        <v>3050</v>
      </c>
      <c r="C530" s="7713" t="s">
        <v>3051</v>
      </c>
      <c r="D530" s="7714"/>
      <c r="E530" s="7722" t="s">
        <v>2243</v>
      </c>
      <c r="F530" s="7722" t="str">
        <f t="shared" si="42"/>
        <v/>
      </c>
      <c r="G530" s="7722" t="s">
        <v>2224</v>
      </c>
      <c r="H530" s="7722" t="str">
        <f t="shared" si="43"/>
        <v/>
      </c>
      <c r="I530" s="7713">
        <v>85.0</v>
      </c>
      <c r="J530" s="7713">
        <v>80.0</v>
      </c>
      <c r="K530" s="7713">
        <v>102.0</v>
      </c>
      <c r="L530" s="7713">
        <v>80.0</v>
      </c>
      <c r="M530" s="7713">
        <v>102.0</v>
      </c>
      <c r="N530" s="7715">
        <v>40.0</v>
      </c>
      <c r="O530" s="7701"/>
      <c r="P530" s="7704"/>
      <c r="Q530" s="7704"/>
      <c r="R530" s="7704"/>
      <c r="S530" s="7705"/>
    </row>
    <row r="531" ht="18.75" customHeight="1">
      <c r="A531" s="7696"/>
      <c r="B531" s="7718" t="s">
        <v>174</v>
      </c>
      <c r="C531" s="7719" t="s">
        <v>3052</v>
      </c>
      <c r="D531" s="7720"/>
      <c r="E531" s="7719" t="s">
        <v>2283</v>
      </c>
      <c r="F531" s="7719" t="str">
        <f t="shared" si="42"/>
        <v/>
      </c>
      <c r="G531" s="7719"/>
      <c r="H531" s="7719" t="str">
        <f t="shared" si="43"/>
        <v/>
      </c>
      <c r="I531" s="7719">
        <v>75.0</v>
      </c>
      <c r="J531" s="7719">
        <v>45.0</v>
      </c>
      <c r="K531" s="7719">
        <v>70.0</v>
      </c>
      <c r="L531" s="7719">
        <v>45.0</v>
      </c>
      <c r="M531" s="7719">
        <v>95.0</v>
      </c>
      <c r="N531" s="7721">
        <v>95.0</v>
      </c>
      <c r="O531" s="7701"/>
      <c r="P531" s="7704"/>
      <c r="Q531" s="7704"/>
      <c r="R531" s="7704"/>
      <c r="S531" s="7705"/>
    </row>
    <row r="532" ht="18.75" customHeight="1">
      <c r="A532" s="7696"/>
      <c r="B532" s="7712" t="s">
        <v>3053</v>
      </c>
      <c r="C532" s="7713" t="s">
        <v>3054</v>
      </c>
      <c r="D532" s="7714"/>
      <c r="E532" s="7713" t="s">
        <v>2232</v>
      </c>
      <c r="F532" s="7713" t="str">
        <f t="shared" si="42"/>
        <v/>
      </c>
      <c r="G532" s="7713"/>
      <c r="H532" s="7713" t="str">
        <f t="shared" si="43"/>
        <v/>
      </c>
      <c r="I532" s="7713">
        <v>55.0</v>
      </c>
      <c r="J532" s="7713">
        <v>65.0</v>
      </c>
      <c r="K532" s="7713">
        <v>35.0</v>
      </c>
      <c r="L532" s="7713">
        <v>60.0</v>
      </c>
      <c r="M532" s="7713">
        <v>30.0</v>
      </c>
      <c r="N532" s="7715">
        <v>85.0</v>
      </c>
      <c r="O532" s="7701"/>
      <c r="P532" s="7704"/>
      <c r="Q532" s="7704"/>
      <c r="R532" s="7704"/>
      <c r="S532" s="7705"/>
    </row>
    <row r="533" ht="18.75" customHeight="1">
      <c r="A533" s="7696"/>
      <c r="B533" s="7718" t="s">
        <v>1970</v>
      </c>
      <c r="C533" s="7719" t="s">
        <v>3055</v>
      </c>
      <c r="D533" s="7720"/>
      <c r="E533" s="7719" t="s">
        <v>2232</v>
      </c>
      <c r="F533" s="7719" t="str">
        <f t="shared" si="42"/>
        <v/>
      </c>
      <c r="G533" s="7719"/>
      <c r="H533" s="7719" t="str">
        <f t="shared" si="43"/>
        <v/>
      </c>
      <c r="I533" s="7719">
        <v>85.0</v>
      </c>
      <c r="J533" s="7719">
        <v>90.0</v>
      </c>
      <c r="K533" s="7719">
        <v>55.0</v>
      </c>
      <c r="L533" s="7719">
        <v>95.0</v>
      </c>
      <c r="M533" s="7719">
        <v>50.0</v>
      </c>
      <c r="N533" s="7721">
        <v>115.0</v>
      </c>
      <c r="O533" s="7701"/>
      <c r="P533" s="7704"/>
      <c r="Q533" s="7704"/>
      <c r="R533" s="7704"/>
      <c r="S533" s="7705"/>
    </row>
    <row r="534" ht="18.75" customHeight="1">
      <c r="A534" s="7696"/>
      <c r="B534" s="7712" t="s">
        <v>3056</v>
      </c>
      <c r="C534" s="7713" t="s">
        <v>3057</v>
      </c>
      <c r="D534" s="7714"/>
      <c r="E534" s="7722" t="s">
        <v>2209</v>
      </c>
      <c r="F534" s="7722" t="str">
        <f t="shared" si="42"/>
        <v/>
      </c>
      <c r="G534" s="7722"/>
      <c r="H534" s="7722" t="str">
        <f t="shared" si="43"/>
        <v/>
      </c>
      <c r="I534" s="7713">
        <v>45.0</v>
      </c>
      <c r="J534" s="7713">
        <v>35.0</v>
      </c>
      <c r="K534" s="7713">
        <v>45.0</v>
      </c>
      <c r="L534" s="7713">
        <v>62.0</v>
      </c>
      <c r="M534" s="7713">
        <v>53.0</v>
      </c>
      <c r="N534" s="7715">
        <v>35.0</v>
      </c>
      <c r="O534" s="7701"/>
      <c r="P534" s="7704"/>
      <c r="Q534" s="7704"/>
      <c r="R534" s="7704"/>
      <c r="S534" s="7705"/>
    </row>
    <row r="535" ht="18.75" customHeight="1">
      <c r="A535" s="7696"/>
      <c r="B535" s="7718" t="s">
        <v>187</v>
      </c>
      <c r="C535" s="7719" t="s">
        <v>3058</v>
      </c>
      <c r="D535" s="7720"/>
      <c r="E535" s="7719" t="s">
        <v>2209</v>
      </c>
      <c r="F535" s="7719" t="str">
        <f t="shared" si="42"/>
        <v/>
      </c>
      <c r="G535" s="7719"/>
      <c r="H535" s="7719" t="str">
        <f t="shared" si="43"/>
        <v/>
      </c>
      <c r="I535" s="7719">
        <v>70.0</v>
      </c>
      <c r="J535" s="7719">
        <v>100.0</v>
      </c>
      <c r="K535" s="7719">
        <v>70.0</v>
      </c>
      <c r="L535" s="7719">
        <v>60.0</v>
      </c>
      <c r="M535" s="7719">
        <v>78.0</v>
      </c>
      <c r="N535" s="7721">
        <v>85.0</v>
      </c>
      <c r="O535" s="7701"/>
      <c r="P535" s="7704"/>
      <c r="Q535" s="7704"/>
      <c r="R535" s="7704"/>
      <c r="S535" s="7705"/>
    </row>
    <row r="536" ht="18.75" customHeight="1">
      <c r="A536" s="7696"/>
      <c r="B536" s="7712" t="s">
        <v>3059</v>
      </c>
      <c r="C536" s="7713" t="s">
        <v>3060</v>
      </c>
      <c r="D536" s="7714"/>
      <c r="E536" s="7713" t="s">
        <v>2232</v>
      </c>
      <c r="F536" s="7713" t="str">
        <f t="shared" si="42"/>
        <v/>
      </c>
      <c r="G536" s="7713"/>
      <c r="H536" s="7713" t="str">
        <f t="shared" si="43"/>
        <v/>
      </c>
      <c r="I536" s="7713">
        <v>76.0</v>
      </c>
      <c r="J536" s="7713">
        <v>48.0</v>
      </c>
      <c r="K536" s="7713">
        <v>48.0</v>
      </c>
      <c r="L536" s="7713">
        <v>57.0</v>
      </c>
      <c r="M536" s="7713">
        <v>62.0</v>
      </c>
      <c r="N536" s="7715">
        <v>34.0</v>
      </c>
      <c r="O536" s="7701"/>
      <c r="P536" s="7704"/>
      <c r="Q536" s="7704"/>
      <c r="R536" s="7704"/>
      <c r="S536" s="7705"/>
    </row>
    <row r="537" ht="18.75" customHeight="1">
      <c r="A537" s="7696"/>
      <c r="B537" s="7718" t="s">
        <v>3061</v>
      </c>
      <c r="C537" s="7719" t="s">
        <v>3062</v>
      </c>
      <c r="D537" s="7720"/>
      <c r="E537" s="7719" t="s">
        <v>2232</v>
      </c>
      <c r="F537" s="7719" t="str">
        <f t="shared" si="42"/>
        <v/>
      </c>
      <c r="G537" s="7719" t="s">
        <v>2304</v>
      </c>
      <c r="H537" s="7719" t="str">
        <f t="shared" si="43"/>
        <v/>
      </c>
      <c r="I537" s="7719">
        <v>111.0</v>
      </c>
      <c r="J537" s="7719">
        <v>83.0</v>
      </c>
      <c r="K537" s="7719">
        <v>68.0</v>
      </c>
      <c r="L537" s="7719">
        <v>92.0</v>
      </c>
      <c r="M537" s="7719">
        <v>82.0</v>
      </c>
      <c r="N537" s="7721">
        <v>39.0</v>
      </c>
      <c r="O537" s="7701"/>
      <c r="P537" s="7704"/>
      <c r="Q537" s="7704"/>
      <c r="R537" s="7704"/>
      <c r="S537" s="7705"/>
    </row>
    <row r="538" ht="18.75" customHeight="1">
      <c r="A538" s="7696"/>
      <c r="B538" s="7712" t="s">
        <v>1431</v>
      </c>
      <c r="C538" s="7713" t="s">
        <v>3063</v>
      </c>
      <c r="D538" s="7714"/>
      <c r="E538" s="7722" t="s">
        <v>2262</v>
      </c>
      <c r="F538" s="7722" t="str">
        <f t="shared" si="42"/>
        <v/>
      </c>
      <c r="G538" s="7722"/>
      <c r="H538" s="7722" t="str">
        <f t="shared" si="43"/>
        <v/>
      </c>
      <c r="I538" s="7713">
        <v>75.0</v>
      </c>
      <c r="J538" s="7713">
        <v>100.0</v>
      </c>
      <c r="K538" s="7713">
        <v>66.0</v>
      </c>
      <c r="L538" s="7713">
        <v>60.0</v>
      </c>
      <c r="M538" s="7713">
        <v>66.0</v>
      </c>
      <c r="N538" s="7715">
        <v>115.0</v>
      </c>
      <c r="O538" s="7701"/>
      <c r="P538" s="7704"/>
      <c r="Q538" s="7704"/>
      <c r="R538" s="7704"/>
      <c r="S538" s="7705"/>
    </row>
    <row r="539" ht="18.75" customHeight="1">
      <c r="A539" s="7696"/>
      <c r="B539" s="7718" t="s">
        <v>3064</v>
      </c>
      <c r="C539" s="7719" t="s">
        <v>3065</v>
      </c>
      <c r="D539" s="7720"/>
      <c r="E539" s="7719" t="s">
        <v>2447</v>
      </c>
      <c r="F539" s="7719" t="str">
        <f t="shared" si="42"/>
        <v/>
      </c>
      <c r="G539" s="7719" t="s">
        <v>2224</v>
      </c>
      <c r="H539" s="7719" t="str">
        <f t="shared" si="43"/>
        <v/>
      </c>
      <c r="I539" s="7719">
        <v>90.0</v>
      </c>
      <c r="J539" s="7719">
        <v>50.0</v>
      </c>
      <c r="K539" s="7719">
        <v>34.0</v>
      </c>
      <c r="L539" s="7719">
        <v>60.0</v>
      </c>
      <c r="M539" s="7719">
        <v>44.0</v>
      </c>
      <c r="N539" s="7721">
        <v>70.0</v>
      </c>
      <c r="O539" s="7701"/>
      <c r="P539" s="7704"/>
      <c r="Q539" s="7704"/>
      <c r="R539" s="7704"/>
      <c r="S539" s="7705"/>
    </row>
    <row r="540" ht="18.75" customHeight="1">
      <c r="A540" s="7696"/>
      <c r="B540" s="7712" t="s">
        <v>1518</v>
      </c>
      <c r="C540" s="7713" t="s">
        <v>3066</v>
      </c>
      <c r="D540" s="7714"/>
      <c r="E540" s="7713" t="s">
        <v>2447</v>
      </c>
      <c r="F540" s="7713" t="str">
        <f t="shared" si="42"/>
        <v/>
      </c>
      <c r="G540" s="7713" t="s">
        <v>2224</v>
      </c>
      <c r="H540" s="7713" t="str">
        <f t="shared" si="43"/>
        <v/>
      </c>
      <c r="I540" s="7713">
        <v>150.0</v>
      </c>
      <c r="J540" s="7713">
        <v>80.0</v>
      </c>
      <c r="K540" s="7713">
        <v>44.0</v>
      </c>
      <c r="L540" s="7713">
        <v>90.0</v>
      </c>
      <c r="M540" s="7713">
        <v>54.0</v>
      </c>
      <c r="N540" s="7715">
        <v>80.0</v>
      </c>
      <c r="O540" s="7701"/>
      <c r="P540" s="7704"/>
      <c r="Q540" s="7704"/>
      <c r="R540" s="7704"/>
      <c r="S540" s="7705"/>
    </row>
    <row r="541" ht="18.75" customHeight="1">
      <c r="A541" s="7696"/>
      <c r="B541" s="7718" t="s">
        <v>3067</v>
      </c>
      <c r="C541" s="7719" t="s">
        <v>3068</v>
      </c>
      <c r="D541" s="7720"/>
      <c r="E541" s="7719" t="s">
        <v>2262</v>
      </c>
      <c r="F541" s="7719" t="str">
        <f t="shared" si="42"/>
        <v/>
      </c>
      <c r="G541" s="7719"/>
      <c r="H541" s="7719" t="str">
        <f t="shared" si="43"/>
        <v/>
      </c>
      <c r="I541" s="7719">
        <v>55.0</v>
      </c>
      <c r="J541" s="7719">
        <v>66.0</v>
      </c>
      <c r="K541" s="7719">
        <v>44.0</v>
      </c>
      <c r="L541" s="7719">
        <v>44.0</v>
      </c>
      <c r="M541" s="7719">
        <v>56.0</v>
      </c>
      <c r="N541" s="7721">
        <v>85.0</v>
      </c>
      <c r="O541" s="7701"/>
      <c r="P541" s="7704"/>
      <c r="Q541" s="7704"/>
      <c r="R541" s="7704"/>
      <c r="S541" s="7705"/>
    </row>
    <row r="542" ht="18.75" customHeight="1">
      <c r="A542" s="7696"/>
      <c r="B542" s="7712" t="s">
        <v>3069</v>
      </c>
      <c r="C542" s="7713" t="s">
        <v>3070</v>
      </c>
      <c r="D542" s="7714"/>
      <c r="E542" s="7722" t="s">
        <v>2262</v>
      </c>
      <c r="F542" s="7722" t="str">
        <f t="shared" si="42"/>
        <v/>
      </c>
      <c r="G542" s="7722"/>
      <c r="H542" s="7722" t="str">
        <f t="shared" si="43"/>
        <v/>
      </c>
      <c r="I542" s="7713">
        <v>65.0</v>
      </c>
      <c r="J542" s="7713">
        <v>76.0</v>
      </c>
      <c r="K542" s="7713">
        <v>84.0</v>
      </c>
      <c r="L542" s="7713">
        <v>54.0</v>
      </c>
      <c r="M542" s="7713">
        <v>96.0</v>
      </c>
      <c r="N542" s="7715">
        <v>105.0</v>
      </c>
      <c r="O542" s="7701"/>
      <c r="P542" s="7704"/>
      <c r="Q542" s="7704"/>
      <c r="R542" s="7704"/>
      <c r="S542" s="7705"/>
    </row>
    <row r="543" ht="18.75" customHeight="1">
      <c r="A543" s="7696"/>
      <c r="B543" s="7718" t="s">
        <v>1620</v>
      </c>
      <c r="C543" s="7723" t="s">
        <v>3071</v>
      </c>
      <c r="D543" s="7720"/>
      <c r="E543" s="7719" t="s">
        <v>2262</v>
      </c>
      <c r="F543" s="7719" t="str">
        <f t="shared" si="42"/>
        <v/>
      </c>
      <c r="G543" s="7719" t="s">
        <v>2296</v>
      </c>
      <c r="H543" s="7719" t="str">
        <f t="shared" si="43"/>
        <v/>
      </c>
      <c r="I543" s="7719">
        <v>65.0</v>
      </c>
      <c r="J543" s="7719">
        <v>136.0</v>
      </c>
      <c r="K543" s="7719">
        <v>94.0</v>
      </c>
      <c r="L543" s="7719">
        <v>54.0</v>
      </c>
      <c r="M543" s="7719">
        <v>96.0</v>
      </c>
      <c r="N543" s="7721">
        <v>135.0</v>
      </c>
      <c r="O543" s="7701"/>
      <c r="P543" s="7704"/>
      <c r="Q543" s="7704"/>
      <c r="R543" s="7704"/>
      <c r="S543" s="7705"/>
    </row>
    <row r="544" ht="18.75" customHeight="1">
      <c r="A544" s="7696"/>
      <c r="B544" s="7712" t="s">
        <v>865</v>
      </c>
      <c r="C544" s="7713" t="s">
        <v>3072</v>
      </c>
      <c r="D544" s="7714"/>
      <c r="E544" s="7713" t="s">
        <v>2447</v>
      </c>
      <c r="F544" s="7713" t="str">
        <f t="shared" si="42"/>
        <v/>
      </c>
      <c r="G544" s="7713" t="s">
        <v>2292</v>
      </c>
      <c r="H544" s="7713" t="str">
        <f t="shared" si="43"/>
        <v/>
      </c>
      <c r="I544" s="7713">
        <v>70.0</v>
      </c>
      <c r="J544" s="7713">
        <v>60.0</v>
      </c>
      <c r="K544" s="7713">
        <v>70.0</v>
      </c>
      <c r="L544" s="7713">
        <v>105.0</v>
      </c>
      <c r="M544" s="7713">
        <v>105.0</v>
      </c>
      <c r="N544" s="7715">
        <v>105.0</v>
      </c>
      <c r="O544" s="7701"/>
      <c r="P544" s="7704"/>
      <c r="Q544" s="7704"/>
      <c r="R544" s="7704"/>
      <c r="S544" s="7705"/>
    </row>
    <row r="545" ht="18.75" customHeight="1">
      <c r="A545" s="7696"/>
      <c r="B545" s="7718" t="s">
        <v>1238</v>
      </c>
      <c r="C545" s="7719" t="s">
        <v>3073</v>
      </c>
      <c r="D545" s="7720"/>
      <c r="E545" s="7719" t="s">
        <v>2272</v>
      </c>
      <c r="F545" s="7719" t="str">
        <f t="shared" si="42"/>
        <v/>
      </c>
      <c r="G545" s="7719" t="s">
        <v>2224</v>
      </c>
      <c r="H545" s="7719" t="str">
        <f t="shared" si="43"/>
        <v/>
      </c>
      <c r="I545" s="7719">
        <v>100.0</v>
      </c>
      <c r="J545" s="7719">
        <v>125.0</v>
      </c>
      <c r="K545" s="7719">
        <v>52.0</v>
      </c>
      <c r="L545" s="7719">
        <v>105.0</v>
      </c>
      <c r="M545" s="7719">
        <v>52.0</v>
      </c>
      <c r="N545" s="7721">
        <v>96.0</v>
      </c>
      <c r="O545" s="7701"/>
      <c r="P545" s="7704"/>
      <c r="Q545" s="7704"/>
      <c r="R545" s="7704"/>
      <c r="S545" s="7705"/>
    </row>
    <row r="546" ht="18.75" customHeight="1">
      <c r="A546" s="7696"/>
      <c r="B546" s="7712" t="s">
        <v>3074</v>
      </c>
      <c r="C546" s="7713" t="s">
        <v>3075</v>
      </c>
      <c r="D546" s="7714"/>
      <c r="E546" s="7722" t="s">
        <v>2262</v>
      </c>
      <c r="F546" s="7722" t="str">
        <f t="shared" si="42"/>
        <v/>
      </c>
      <c r="G546" s="7722"/>
      <c r="H546" s="7722" t="str">
        <f t="shared" si="43"/>
        <v/>
      </c>
      <c r="I546" s="7713">
        <v>49.0</v>
      </c>
      <c r="J546" s="7713">
        <v>55.0</v>
      </c>
      <c r="K546" s="7713">
        <v>42.0</v>
      </c>
      <c r="L546" s="7713">
        <v>42.0</v>
      </c>
      <c r="M546" s="7713">
        <v>37.0</v>
      </c>
      <c r="N546" s="7715">
        <v>85.0</v>
      </c>
      <c r="O546" s="7701"/>
      <c r="P546" s="7704"/>
      <c r="Q546" s="7704"/>
      <c r="R546" s="7704"/>
      <c r="S546" s="7705"/>
    </row>
    <row r="547" ht="18.75" customHeight="1">
      <c r="A547" s="7696"/>
      <c r="B547" s="7718" t="s">
        <v>200</v>
      </c>
      <c r="C547" s="7719" t="s">
        <v>3076</v>
      </c>
      <c r="D547" s="7720"/>
      <c r="E547" s="7719" t="s">
        <v>2262</v>
      </c>
      <c r="F547" s="7719" t="str">
        <f t="shared" si="42"/>
        <v/>
      </c>
      <c r="G547" s="7719"/>
      <c r="H547" s="7719" t="str">
        <f t="shared" si="43"/>
        <v/>
      </c>
      <c r="I547" s="7719">
        <v>100.0</v>
      </c>
      <c r="J547" s="7719">
        <v>82.0</v>
      </c>
      <c r="K547" s="7719">
        <v>79.0</v>
      </c>
      <c r="L547" s="7719">
        <v>54.0</v>
      </c>
      <c r="M547" s="7719">
        <v>74.0</v>
      </c>
      <c r="N547" s="7721">
        <v>112.0</v>
      </c>
      <c r="O547" s="7701"/>
      <c r="P547" s="7704"/>
      <c r="Q547" s="7704"/>
      <c r="R547" s="7704"/>
      <c r="S547" s="7705"/>
    </row>
    <row r="548" ht="18.75" customHeight="1">
      <c r="A548" s="7696"/>
      <c r="B548" s="7712" t="s">
        <v>3077</v>
      </c>
      <c r="C548" s="7713" t="s">
        <v>3078</v>
      </c>
      <c r="D548" s="7714"/>
      <c r="E548" s="7713" t="s">
        <v>669</v>
      </c>
      <c r="F548" s="7713" t="str">
        <f t="shared" si="42"/>
        <v/>
      </c>
      <c r="G548" s="7713"/>
      <c r="H548" s="7713" t="str">
        <f t="shared" si="43"/>
        <v/>
      </c>
      <c r="I548" s="7713">
        <v>45.0</v>
      </c>
      <c r="J548" s="7713">
        <v>30.0</v>
      </c>
      <c r="K548" s="7713">
        <v>50.0</v>
      </c>
      <c r="L548" s="7713">
        <v>65.0</v>
      </c>
      <c r="M548" s="7713">
        <v>50.0</v>
      </c>
      <c r="N548" s="7715">
        <v>45.0</v>
      </c>
      <c r="O548" s="7701"/>
      <c r="P548" s="7704"/>
      <c r="Q548" s="7704"/>
      <c r="R548" s="7704"/>
      <c r="S548" s="7705"/>
    </row>
    <row r="549" ht="18.75" customHeight="1">
      <c r="A549" s="7696"/>
      <c r="B549" s="7718" t="s">
        <v>3079</v>
      </c>
      <c r="C549" s="7719" t="s">
        <v>3080</v>
      </c>
      <c r="D549" s="7720"/>
      <c r="E549" s="7719" t="s">
        <v>2210</v>
      </c>
      <c r="F549" s="7719" t="str">
        <f t="shared" si="42"/>
        <v/>
      </c>
      <c r="G549" s="7719" t="s">
        <v>2272</v>
      </c>
      <c r="H549" s="7719" t="str">
        <f t="shared" si="43"/>
        <v/>
      </c>
      <c r="I549" s="7719">
        <v>63.0</v>
      </c>
      <c r="J549" s="7719">
        <v>63.0</v>
      </c>
      <c r="K549" s="7719">
        <v>47.0</v>
      </c>
      <c r="L549" s="7719">
        <v>41.0</v>
      </c>
      <c r="M549" s="7719">
        <v>41.0</v>
      </c>
      <c r="N549" s="7721">
        <v>74.0</v>
      </c>
      <c r="O549" s="7701"/>
      <c r="P549" s="7704"/>
      <c r="Q549" s="7704"/>
      <c r="R549" s="7704"/>
      <c r="S549" s="7705"/>
    </row>
    <row r="550" ht="18.75" customHeight="1">
      <c r="A550" s="7696"/>
      <c r="B550" s="7712" t="s">
        <v>212</v>
      </c>
      <c r="C550" s="7713" t="s">
        <v>3081</v>
      </c>
      <c r="D550" s="7714"/>
      <c r="E550" s="7722" t="s">
        <v>2210</v>
      </c>
      <c r="F550" s="7722" t="str">
        <f t="shared" si="42"/>
        <v/>
      </c>
      <c r="G550" s="7722" t="s">
        <v>2272</v>
      </c>
      <c r="H550" s="7722" t="str">
        <f t="shared" si="43"/>
        <v/>
      </c>
      <c r="I550" s="7713">
        <v>103.0</v>
      </c>
      <c r="J550" s="7713">
        <v>93.0</v>
      </c>
      <c r="K550" s="7713">
        <v>67.0</v>
      </c>
      <c r="L550" s="7713">
        <v>91.0</v>
      </c>
      <c r="M550" s="7713">
        <v>61.0</v>
      </c>
      <c r="N550" s="7715">
        <v>84.0</v>
      </c>
      <c r="O550" s="7701"/>
      <c r="P550" s="7704"/>
      <c r="Q550" s="7704"/>
      <c r="R550" s="7704"/>
      <c r="S550" s="7705"/>
    </row>
    <row r="551" ht="18.75" customHeight="1">
      <c r="A551" s="7696"/>
      <c r="B551" s="7718" t="s">
        <v>3082</v>
      </c>
      <c r="C551" s="7719" t="s">
        <v>3083</v>
      </c>
      <c r="D551" s="7720"/>
      <c r="E551" s="7719" t="s">
        <v>2286</v>
      </c>
      <c r="F551" s="7719" t="str">
        <f t="shared" si="42"/>
        <v/>
      </c>
      <c r="G551" s="7719" t="s">
        <v>669</v>
      </c>
      <c r="H551" s="7719" t="str">
        <f t="shared" si="43"/>
        <v/>
      </c>
      <c r="I551" s="7719">
        <v>57.0</v>
      </c>
      <c r="J551" s="7719">
        <v>24.0</v>
      </c>
      <c r="K551" s="7719">
        <v>86.0</v>
      </c>
      <c r="L551" s="7719">
        <v>24.0</v>
      </c>
      <c r="M551" s="7719">
        <v>86.0</v>
      </c>
      <c r="N551" s="7721">
        <v>23.0</v>
      </c>
      <c r="O551" s="7701"/>
      <c r="P551" s="7704"/>
      <c r="Q551" s="7704"/>
      <c r="R551" s="7704"/>
      <c r="S551" s="7705"/>
    </row>
    <row r="552" ht="18.75" customHeight="1">
      <c r="A552" s="7696"/>
      <c r="B552" s="7712" t="s">
        <v>3084</v>
      </c>
      <c r="C552" s="7713" t="s">
        <v>3085</v>
      </c>
      <c r="D552" s="7714"/>
      <c r="E552" s="7713" t="s">
        <v>2286</v>
      </c>
      <c r="F552" s="7713" t="str">
        <f t="shared" si="42"/>
        <v/>
      </c>
      <c r="G552" s="7713" t="s">
        <v>669</v>
      </c>
      <c r="H552" s="7713" t="str">
        <f t="shared" si="43"/>
        <v/>
      </c>
      <c r="I552" s="7713">
        <v>67.0</v>
      </c>
      <c r="J552" s="7713">
        <v>89.0</v>
      </c>
      <c r="K552" s="7713">
        <v>116.0</v>
      </c>
      <c r="L552" s="7713">
        <v>79.0</v>
      </c>
      <c r="M552" s="7713">
        <v>116.0</v>
      </c>
      <c r="N552" s="7715">
        <v>33.0</v>
      </c>
      <c r="O552" s="7701"/>
      <c r="P552" s="7704"/>
      <c r="Q552" s="7704"/>
      <c r="R552" s="7704"/>
      <c r="S552" s="7705"/>
    </row>
    <row r="553" ht="18.75" customHeight="1">
      <c r="A553" s="7696"/>
      <c r="B553" s="7718" t="s">
        <v>3086</v>
      </c>
      <c r="C553" s="7719" t="s">
        <v>3087</v>
      </c>
      <c r="D553" s="7720"/>
      <c r="E553" s="7719" t="s">
        <v>2370</v>
      </c>
      <c r="F553" s="7719" t="str">
        <f t="shared" si="42"/>
        <v/>
      </c>
      <c r="G553" s="7719"/>
      <c r="H553" s="7719" t="str">
        <f t="shared" si="43"/>
        <v/>
      </c>
      <c r="I553" s="7719">
        <v>50.0</v>
      </c>
      <c r="J553" s="7719">
        <v>80.0</v>
      </c>
      <c r="K553" s="7719">
        <v>95.0</v>
      </c>
      <c r="L553" s="7719">
        <v>10.0</v>
      </c>
      <c r="M553" s="7719">
        <v>45.0</v>
      </c>
      <c r="N553" s="7721">
        <v>10.0</v>
      </c>
      <c r="O553" s="7701"/>
      <c r="P553" s="7704"/>
      <c r="Q553" s="7704"/>
      <c r="R553" s="7704"/>
      <c r="S553" s="7705"/>
    </row>
    <row r="554" ht="18.75" customHeight="1">
      <c r="A554" s="7696"/>
      <c r="B554" s="7712" t="s">
        <v>3088</v>
      </c>
      <c r="C554" s="7722" t="s">
        <v>3089</v>
      </c>
      <c r="D554" s="7714"/>
      <c r="E554" s="7722" t="s">
        <v>669</v>
      </c>
      <c r="F554" s="7722" t="str">
        <f t="shared" si="42"/>
        <v/>
      </c>
      <c r="G554" s="7722" t="s">
        <v>2292</v>
      </c>
      <c r="H554" s="7722" t="str">
        <f t="shared" si="43"/>
        <v/>
      </c>
      <c r="I554" s="7713">
        <v>20.0</v>
      </c>
      <c r="J554" s="7713">
        <v>25.0</v>
      </c>
      <c r="K554" s="7713">
        <v>45.0</v>
      </c>
      <c r="L554" s="7713">
        <v>70.0</v>
      </c>
      <c r="M554" s="7713">
        <v>90.0</v>
      </c>
      <c r="N554" s="7715">
        <v>60.0</v>
      </c>
      <c r="O554" s="7701"/>
      <c r="P554" s="7704"/>
      <c r="Q554" s="7704"/>
      <c r="R554" s="7704"/>
      <c r="S554" s="7705"/>
    </row>
    <row r="555" ht="18.75" customHeight="1">
      <c r="A555" s="7696"/>
      <c r="B555" s="7718" t="s">
        <v>3090</v>
      </c>
      <c r="C555" s="7719" t="s">
        <v>3091</v>
      </c>
      <c r="D555" s="7720"/>
      <c r="E555" s="7719" t="s">
        <v>2262</v>
      </c>
      <c r="F555" s="7719" t="str">
        <f t="shared" si="42"/>
        <v/>
      </c>
      <c r="G555" s="7719"/>
      <c r="H555" s="7719" t="str">
        <f t="shared" si="43"/>
        <v/>
      </c>
      <c r="I555" s="7719">
        <v>100.0</v>
      </c>
      <c r="J555" s="7719">
        <v>5.0</v>
      </c>
      <c r="K555" s="7719">
        <v>5.0</v>
      </c>
      <c r="L555" s="7719">
        <v>15.0</v>
      </c>
      <c r="M555" s="7719">
        <v>65.0</v>
      </c>
      <c r="N555" s="7721">
        <v>30.0</v>
      </c>
      <c r="O555" s="7701"/>
      <c r="P555" s="7704"/>
      <c r="Q555" s="7704"/>
      <c r="R555" s="7704"/>
      <c r="S555" s="7705"/>
    </row>
    <row r="556" ht="18.75" customHeight="1">
      <c r="A556" s="7696"/>
      <c r="B556" s="7712" t="s">
        <v>223</v>
      </c>
      <c r="C556" s="7713" t="s">
        <v>3092</v>
      </c>
      <c r="D556" s="7714"/>
      <c r="E556" s="7713" t="s">
        <v>2262</v>
      </c>
      <c r="F556" s="7713" t="str">
        <f t="shared" si="42"/>
        <v/>
      </c>
      <c r="G556" s="7713" t="s">
        <v>2224</v>
      </c>
      <c r="H556" s="7713" t="str">
        <f t="shared" si="43"/>
        <v/>
      </c>
      <c r="I556" s="7713">
        <v>76.0</v>
      </c>
      <c r="J556" s="7713">
        <v>65.0</v>
      </c>
      <c r="K556" s="7713">
        <v>45.0</v>
      </c>
      <c r="L556" s="7713">
        <v>92.0</v>
      </c>
      <c r="M556" s="7713">
        <v>42.0</v>
      </c>
      <c r="N556" s="7715">
        <v>101.0</v>
      </c>
      <c r="O556" s="7701"/>
      <c r="P556" s="7704"/>
      <c r="Q556" s="7704"/>
      <c r="R556" s="7704"/>
      <c r="S556" s="7705"/>
    </row>
    <row r="557" ht="18.75" customHeight="1">
      <c r="A557" s="7696"/>
      <c r="B557" s="7718" t="s">
        <v>1327</v>
      </c>
      <c r="C557" s="7719" t="s">
        <v>3093</v>
      </c>
      <c r="D557" s="7720"/>
      <c r="E557" s="7719" t="s">
        <v>2447</v>
      </c>
      <c r="F557" s="7719" t="str">
        <f t="shared" si="42"/>
        <v/>
      </c>
      <c r="G557" s="7719" t="s">
        <v>2272</v>
      </c>
      <c r="H557" s="7719" t="str">
        <f t="shared" si="43"/>
        <v/>
      </c>
      <c r="I557" s="7719">
        <v>50.0</v>
      </c>
      <c r="J557" s="7719">
        <v>92.0</v>
      </c>
      <c r="K557" s="7719">
        <v>108.0</v>
      </c>
      <c r="L557" s="7719">
        <v>92.0</v>
      </c>
      <c r="M557" s="7719">
        <v>108.0</v>
      </c>
      <c r="N557" s="7721">
        <v>35.0</v>
      </c>
      <c r="O557" s="7701"/>
      <c r="P557" s="7704"/>
      <c r="Q557" s="7704"/>
      <c r="R557" s="7704"/>
      <c r="S557" s="7705"/>
    </row>
    <row r="558" ht="18.75" customHeight="1">
      <c r="A558" s="7696"/>
      <c r="B558" s="7712" t="s">
        <v>3094</v>
      </c>
      <c r="C558" s="7713" t="s">
        <v>3095</v>
      </c>
      <c r="D558" s="7714"/>
      <c r="E558" s="7722" t="s">
        <v>2227</v>
      </c>
      <c r="F558" s="7722" t="str">
        <f t="shared" si="42"/>
        <v/>
      </c>
      <c r="G558" s="7722" t="s">
        <v>2304</v>
      </c>
      <c r="H558" s="7722" t="str">
        <f t="shared" si="43"/>
        <v/>
      </c>
      <c r="I558" s="7713">
        <v>58.0</v>
      </c>
      <c r="J558" s="7713">
        <v>70.0</v>
      </c>
      <c r="K558" s="7713">
        <v>45.0</v>
      </c>
      <c r="L558" s="7713">
        <v>40.0</v>
      </c>
      <c r="M558" s="7713">
        <v>45.0</v>
      </c>
      <c r="N558" s="7715">
        <v>42.0</v>
      </c>
      <c r="O558" s="7701"/>
      <c r="P558" s="7704"/>
      <c r="Q558" s="7704"/>
      <c r="R558" s="7704"/>
      <c r="S558" s="7705"/>
    </row>
    <row r="559" ht="18.75" customHeight="1">
      <c r="A559" s="7696"/>
      <c r="B559" s="7718" t="s">
        <v>3096</v>
      </c>
      <c r="C559" s="7719" t="s">
        <v>3097</v>
      </c>
      <c r="D559" s="7720"/>
      <c r="E559" s="7719" t="s">
        <v>2227</v>
      </c>
      <c r="F559" s="7719" t="str">
        <f t="shared" si="42"/>
        <v/>
      </c>
      <c r="G559" s="7719" t="s">
        <v>2304</v>
      </c>
      <c r="H559" s="7719" t="str">
        <f t="shared" si="43"/>
        <v/>
      </c>
      <c r="I559" s="7719">
        <v>68.0</v>
      </c>
      <c r="J559" s="7719">
        <v>90.0</v>
      </c>
      <c r="K559" s="7719">
        <v>65.0</v>
      </c>
      <c r="L559" s="7719">
        <v>50.0</v>
      </c>
      <c r="M559" s="7719">
        <v>55.0</v>
      </c>
      <c r="N559" s="7721">
        <v>82.0</v>
      </c>
      <c r="O559" s="7701"/>
      <c r="P559" s="7704"/>
      <c r="Q559" s="7704"/>
      <c r="R559" s="7704"/>
      <c r="S559" s="7705"/>
    </row>
    <row r="560" ht="18.75" customHeight="1">
      <c r="A560" s="7696"/>
      <c r="B560" s="7712" t="s">
        <v>1108</v>
      </c>
      <c r="C560" s="7713" t="s">
        <v>3098</v>
      </c>
      <c r="D560" s="7714"/>
      <c r="E560" s="7713" t="s">
        <v>2227</v>
      </c>
      <c r="F560" s="7713" t="str">
        <f t="shared" si="42"/>
        <v/>
      </c>
      <c r="G560" s="7713" t="s">
        <v>2304</v>
      </c>
      <c r="H560" s="7713" t="str">
        <f t="shared" si="43"/>
        <v/>
      </c>
      <c r="I560" s="7713">
        <v>108.0</v>
      </c>
      <c r="J560" s="7713">
        <v>130.0</v>
      </c>
      <c r="K560" s="7713">
        <v>95.0</v>
      </c>
      <c r="L560" s="7713">
        <v>80.0</v>
      </c>
      <c r="M560" s="7713">
        <v>85.0</v>
      </c>
      <c r="N560" s="7715">
        <v>102.0</v>
      </c>
      <c r="O560" s="7701"/>
      <c r="P560" s="7704"/>
      <c r="Q560" s="7704"/>
      <c r="R560" s="7704"/>
      <c r="S560" s="7705"/>
    </row>
    <row r="561" ht="18.75" customHeight="1">
      <c r="A561" s="7696"/>
      <c r="B561" s="7718" t="s">
        <v>1278</v>
      </c>
      <c r="C561" s="7723" t="s">
        <v>3099</v>
      </c>
      <c r="D561" s="7720"/>
      <c r="E561" s="7719" t="s">
        <v>2227</v>
      </c>
      <c r="F561" s="7719" t="str">
        <f t="shared" si="42"/>
        <v/>
      </c>
      <c r="G561" s="7719" t="s">
        <v>2304</v>
      </c>
      <c r="H561" s="7719" t="str">
        <f t="shared" si="43"/>
        <v/>
      </c>
      <c r="I561" s="7719">
        <v>108.0</v>
      </c>
      <c r="J561" s="7719">
        <v>170.0</v>
      </c>
      <c r="K561" s="7719">
        <v>105.0</v>
      </c>
      <c r="L561" s="7719">
        <v>120.0</v>
      </c>
      <c r="M561" s="7719">
        <v>95.0</v>
      </c>
      <c r="N561" s="7721">
        <v>102.0</v>
      </c>
      <c r="O561" s="7701"/>
      <c r="P561" s="7704"/>
      <c r="Q561" s="7704"/>
      <c r="R561" s="7704"/>
      <c r="S561" s="7705"/>
    </row>
    <row r="562" ht="18.75" customHeight="1">
      <c r="A562" s="7696"/>
      <c r="B562" s="7712" t="s">
        <v>3100</v>
      </c>
      <c r="C562" s="7713" t="s">
        <v>3101</v>
      </c>
      <c r="D562" s="7714"/>
      <c r="E562" s="7713" t="s">
        <v>2262</v>
      </c>
      <c r="F562" s="7713" t="str">
        <f t="shared" si="42"/>
        <v/>
      </c>
      <c r="G562" s="7713"/>
      <c r="H562" s="7713" t="str">
        <f t="shared" si="43"/>
        <v/>
      </c>
      <c r="I562" s="7713">
        <v>135.0</v>
      </c>
      <c r="J562" s="7713">
        <v>85.0</v>
      </c>
      <c r="K562" s="7713">
        <v>40.0</v>
      </c>
      <c r="L562" s="7713">
        <v>40.0</v>
      </c>
      <c r="M562" s="7713">
        <v>85.0</v>
      </c>
      <c r="N562" s="7715">
        <v>5.0</v>
      </c>
      <c r="O562" s="7701"/>
      <c r="P562" s="7704"/>
      <c r="Q562" s="7704"/>
      <c r="R562" s="7704"/>
      <c r="S562" s="7705"/>
    </row>
    <row r="563" ht="18.75" customHeight="1">
      <c r="A563" s="7696"/>
      <c r="B563" s="7718" t="s">
        <v>3102</v>
      </c>
      <c r="C563" s="7719" t="s">
        <v>3103</v>
      </c>
      <c r="D563" s="7720"/>
      <c r="E563" s="7719" t="s">
        <v>2296</v>
      </c>
      <c r="F563" s="7719" t="str">
        <f t="shared" si="42"/>
        <v/>
      </c>
      <c r="G563" s="7719"/>
      <c r="H563" s="7719" t="str">
        <f t="shared" si="43"/>
        <v/>
      </c>
      <c r="I563" s="7719">
        <v>40.0</v>
      </c>
      <c r="J563" s="7719">
        <v>70.0</v>
      </c>
      <c r="K563" s="7719">
        <v>40.0</v>
      </c>
      <c r="L563" s="7719">
        <v>35.0</v>
      </c>
      <c r="M563" s="7719">
        <v>40.0</v>
      </c>
      <c r="N563" s="7721">
        <v>60.0</v>
      </c>
      <c r="O563" s="7701"/>
      <c r="P563" s="7704"/>
      <c r="Q563" s="7704"/>
      <c r="R563" s="7704"/>
      <c r="S563" s="7705"/>
    </row>
    <row r="564" ht="18.75" customHeight="1">
      <c r="A564" s="7696"/>
      <c r="B564" s="7712" t="s">
        <v>2056</v>
      </c>
      <c r="C564" s="7713" t="s">
        <v>3104</v>
      </c>
      <c r="D564" s="7714"/>
      <c r="E564" s="7713" t="s">
        <v>2296</v>
      </c>
      <c r="F564" s="7713" t="str">
        <f t="shared" si="42"/>
        <v/>
      </c>
      <c r="G564" s="7713" t="s">
        <v>2286</v>
      </c>
      <c r="H564" s="7713" t="str">
        <f t="shared" si="43"/>
        <v/>
      </c>
      <c r="I564" s="7713">
        <v>70.0</v>
      </c>
      <c r="J564" s="7713">
        <v>110.0</v>
      </c>
      <c r="K564" s="7713">
        <v>70.0</v>
      </c>
      <c r="L564" s="7713">
        <v>115.0</v>
      </c>
      <c r="M564" s="7713">
        <v>70.0</v>
      </c>
      <c r="N564" s="7715">
        <v>90.0</v>
      </c>
      <c r="O564" s="7701"/>
      <c r="P564" s="7704"/>
      <c r="Q564" s="7704"/>
      <c r="R564" s="7704"/>
      <c r="S564" s="7705"/>
    </row>
    <row r="565" ht="18.75" customHeight="1">
      <c r="A565" s="7696"/>
      <c r="B565" s="7718" t="s">
        <v>1874</v>
      </c>
      <c r="C565" s="7723" t="s">
        <v>3105</v>
      </c>
      <c r="D565" s="7720"/>
      <c r="E565" s="7719" t="s">
        <v>2296</v>
      </c>
      <c r="F565" s="7719" t="str">
        <f t="shared" si="42"/>
        <v/>
      </c>
      <c r="G565" s="7719" t="s">
        <v>2286</v>
      </c>
      <c r="H565" s="7719" t="str">
        <f t="shared" si="43"/>
        <v/>
      </c>
      <c r="I565" s="7719">
        <v>70.0</v>
      </c>
      <c r="J565" s="7719">
        <v>145.0</v>
      </c>
      <c r="K565" s="7719">
        <v>88.0</v>
      </c>
      <c r="L565" s="7719">
        <v>140.0</v>
      </c>
      <c r="M565" s="7719">
        <v>70.0</v>
      </c>
      <c r="N565" s="7721">
        <v>112.0</v>
      </c>
      <c r="O565" s="7701"/>
      <c r="P565" s="7704"/>
      <c r="Q565" s="7704"/>
      <c r="R565" s="7704"/>
      <c r="S565" s="7705"/>
    </row>
    <row r="566" ht="18.75" customHeight="1">
      <c r="A566" s="7696"/>
      <c r="B566" s="7712" t="s">
        <v>474</v>
      </c>
      <c r="C566" s="7713" t="s">
        <v>3106</v>
      </c>
      <c r="D566" s="7714"/>
      <c r="E566" s="7722" t="s">
        <v>2304</v>
      </c>
      <c r="F566" s="7722" t="str">
        <f t="shared" si="42"/>
        <v/>
      </c>
      <c r="G566" s="7722"/>
      <c r="H566" s="7722" t="str">
        <f t="shared" si="43"/>
        <v/>
      </c>
      <c r="I566" s="7713">
        <v>68.0</v>
      </c>
      <c r="J566" s="7713">
        <v>72.0</v>
      </c>
      <c r="K566" s="7713">
        <v>78.0</v>
      </c>
      <c r="L566" s="7713">
        <v>38.0</v>
      </c>
      <c r="M566" s="7713">
        <v>42.0</v>
      </c>
      <c r="N566" s="7715">
        <v>32.0</v>
      </c>
      <c r="O566" s="7701"/>
      <c r="P566" s="7704"/>
      <c r="Q566" s="7704"/>
      <c r="R566" s="7704"/>
      <c r="S566" s="7705"/>
    </row>
    <row r="567" ht="18.75" customHeight="1">
      <c r="A567" s="7696"/>
      <c r="B567" s="7718" t="s">
        <v>3107</v>
      </c>
      <c r="C567" s="7719" t="s">
        <v>3108</v>
      </c>
      <c r="D567" s="7720"/>
      <c r="E567" s="7719" t="s">
        <v>2304</v>
      </c>
      <c r="F567" s="7719" t="str">
        <f t="shared" si="42"/>
        <v/>
      </c>
      <c r="G567" s="7719"/>
      <c r="H567" s="7719" t="str">
        <f t="shared" si="43"/>
        <v/>
      </c>
      <c r="I567" s="7719">
        <v>108.0</v>
      </c>
      <c r="J567" s="7719">
        <v>112.0</v>
      </c>
      <c r="K567" s="7719">
        <v>118.0</v>
      </c>
      <c r="L567" s="7719">
        <v>68.0</v>
      </c>
      <c r="M567" s="7719">
        <v>72.0</v>
      </c>
      <c r="N567" s="7721">
        <v>47.0</v>
      </c>
      <c r="O567" s="7701"/>
      <c r="P567" s="7704"/>
      <c r="Q567" s="7704"/>
      <c r="R567" s="7704"/>
      <c r="S567" s="7705"/>
    </row>
    <row r="568" ht="18.75" customHeight="1">
      <c r="A568" s="7696"/>
      <c r="B568" s="7712" t="s">
        <v>3109</v>
      </c>
      <c r="C568" s="7713" t="s">
        <v>3110</v>
      </c>
      <c r="D568" s="7714"/>
      <c r="E568" s="7713" t="s">
        <v>2210</v>
      </c>
      <c r="F568" s="7713" t="str">
        <f t="shared" si="42"/>
        <v/>
      </c>
      <c r="G568" s="7713" t="s">
        <v>2243</v>
      </c>
      <c r="H568" s="7713" t="str">
        <f t="shared" si="43"/>
        <v/>
      </c>
      <c r="I568" s="7713">
        <v>40.0</v>
      </c>
      <c r="J568" s="7713">
        <v>50.0</v>
      </c>
      <c r="K568" s="7713">
        <v>90.0</v>
      </c>
      <c r="L568" s="7713">
        <v>30.0</v>
      </c>
      <c r="M568" s="7713">
        <v>55.0</v>
      </c>
      <c r="N568" s="7715">
        <v>65.0</v>
      </c>
      <c r="O568" s="7701"/>
      <c r="P568" s="7704"/>
      <c r="Q568" s="7704"/>
      <c r="R568" s="7704"/>
      <c r="S568" s="7705"/>
    </row>
    <row r="569" ht="18.75" customHeight="1">
      <c r="A569" s="7696"/>
      <c r="B569" s="7718" t="s">
        <v>1698</v>
      </c>
      <c r="C569" s="7719" t="s">
        <v>3111</v>
      </c>
      <c r="D569" s="7720"/>
      <c r="E569" s="7719" t="s">
        <v>2210</v>
      </c>
      <c r="F569" s="7719" t="str">
        <f t="shared" si="42"/>
        <v/>
      </c>
      <c r="G569" s="7719" t="s">
        <v>2272</v>
      </c>
      <c r="H569" s="7719" t="str">
        <f t="shared" si="43"/>
        <v/>
      </c>
      <c r="I569" s="7719">
        <v>70.0</v>
      </c>
      <c r="J569" s="7719">
        <v>80.0</v>
      </c>
      <c r="K569" s="7719">
        <v>110.0</v>
      </c>
      <c r="L569" s="7719">
        <v>60.0</v>
      </c>
      <c r="M569" s="7719">
        <v>75.0</v>
      </c>
      <c r="N569" s="7721">
        <v>95.0</v>
      </c>
      <c r="O569" s="7701"/>
      <c r="P569" s="7704"/>
      <c r="Q569" s="7704"/>
      <c r="R569" s="7704"/>
      <c r="S569" s="7705"/>
    </row>
    <row r="570" ht="18.75" customHeight="1">
      <c r="A570" s="7696"/>
      <c r="B570" s="7712" t="s">
        <v>3112</v>
      </c>
      <c r="C570" s="7713" t="s">
        <v>3113</v>
      </c>
      <c r="D570" s="7714"/>
      <c r="E570" s="7722" t="s">
        <v>2210</v>
      </c>
      <c r="F570" s="7722" t="str">
        <f t="shared" si="42"/>
        <v/>
      </c>
      <c r="G570" s="7722" t="s">
        <v>2296</v>
      </c>
      <c r="H570" s="7722" t="str">
        <f t="shared" si="43"/>
        <v/>
      </c>
      <c r="I570" s="7713">
        <v>48.0</v>
      </c>
      <c r="J570" s="7713">
        <v>61.0</v>
      </c>
      <c r="K570" s="7713">
        <v>40.0</v>
      </c>
      <c r="L570" s="7713">
        <v>61.0</v>
      </c>
      <c r="M570" s="7713">
        <v>40.0</v>
      </c>
      <c r="N570" s="7715">
        <v>50.0</v>
      </c>
      <c r="O570" s="7701"/>
      <c r="P570" s="7704"/>
      <c r="Q570" s="7704"/>
      <c r="R570" s="7704"/>
      <c r="S570" s="7705"/>
    </row>
    <row r="571" ht="18.75" customHeight="1">
      <c r="A571" s="7696"/>
      <c r="B571" s="7718" t="s">
        <v>528</v>
      </c>
      <c r="C571" s="7719" t="s">
        <v>3114</v>
      </c>
      <c r="D571" s="7720"/>
      <c r="E571" s="7719" t="s">
        <v>2210</v>
      </c>
      <c r="F571" s="7719" t="str">
        <f t="shared" si="42"/>
        <v/>
      </c>
      <c r="G571" s="7719" t="s">
        <v>2296</v>
      </c>
      <c r="H571" s="7719" t="str">
        <f t="shared" si="43"/>
        <v/>
      </c>
      <c r="I571" s="7719">
        <v>83.0</v>
      </c>
      <c r="J571" s="7719">
        <v>106.0</v>
      </c>
      <c r="K571" s="7719">
        <v>65.0</v>
      </c>
      <c r="L571" s="7719">
        <v>86.0</v>
      </c>
      <c r="M571" s="7719">
        <v>65.0</v>
      </c>
      <c r="N571" s="7721">
        <v>85.0</v>
      </c>
      <c r="O571" s="7701"/>
      <c r="P571" s="7704"/>
      <c r="Q571" s="7704"/>
      <c r="R571" s="7704"/>
      <c r="S571" s="7705"/>
    </row>
    <row r="572" ht="18.75" customHeight="1">
      <c r="A572" s="7696"/>
      <c r="B572" s="7712" t="s">
        <v>233</v>
      </c>
      <c r="C572" s="7713" t="s">
        <v>3115</v>
      </c>
      <c r="D572" s="7714"/>
      <c r="E572" s="7713" t="s">
        <v>2209</v>
      </c>
      <c r="F572" s="7713" t="str">
        <f t="shared" si="42"/>
        <v/>
      </c>
      <c r="G572" s="7713"/>
      <c r="H572" s="7713" t="str">
        <f t="shared" si="43"/>
        <v/>
      </c>
      <c r="I572" s="7713">
        <v>89.0</v>
      </c>
      <c r="J572" s="7713">
        <v>100.0</v>
      </c>
      <c r="K572" s="7713">
        <v>82.0</v>
      </c>
      <c r="L572" s="7713">
        <v>55.0</v>
      </c>
      <c r="M572" s="7713">
        <v>82.0</v>
      </c>
      <c r="N572" s="7715">
        <v>46.0</v>
      </c>
      <c r="O572" s="7701"/>
      <c r="P572" s="7704"/>
      <c r="Q572" s="7704"/>
      <c r="R572" s="7704"/>
      <c r="S572" s="7705"/>
    </row>
    <row r="573" ht="18.75" customHeight="1">
      <c r="A573" s="7696"/>
      <c r="B573" s="7718" t="s">
        <v>3116</v>
      </c>
      <c r="C573" s="7719" t="s">
        <v>3117</v>
      </c>
      <c r="D573" s="7720"/>
      <c r="E573" s="7719" t="s">
        <v>2232</v>
      </c>
      <c r="F573" s="7719" t="str">
        <f t="shared" si="42"/>
        <v/>
      </c>
      <c r="G573" s="7719"/>
      <c r="H573" s="7719" t="str">
        <f t="shared" si="43"/>
        <v/>
      </c>
      <c r="I573" s="7719">
        <v>49.0</v>
      </c>
      <c r="J573" s="7719">
        <v>49.0</v>
      </c>
      <c r="K573" s="7719">
        <v>56.0</v>
      </c>
      <c r="L573" s="7719">
        <v>49.0</v>
      </c>
      <c r="M573" s="7719">
        <v>61.0</v>
      </c>
      <c r="N573" s="7721">
        <v>66.0</v>
      </c>
      <c r="O573" s="7701"/>
      <c r="P573" s="7704"/>
      <c r="Q573" s="7704"/>
      <c r="R573" s="7704"/>
      <c r="S573" s="7705"/>
    </row>
    <row r="574" ht="18.75" customHeight="1">
      <c r="A574" s="7696"/>
      <c r="B574" s="7712" t="s">
        <v>242</v>
      </c>
      <c r="C574" s="7713" t="s">
        <v>3118</v>
      </c>
      <c r="D574" s="7714"/>
      <c r="E574" s="7722" t="s">
        <v>2232</v>
      </c>
      <c r="F574" s="7722" t="str">
        <f t="shared" si="42"/>
        <v/>
      </c>
      <c r="G574" s="7722"/>
      <c r="H574" s="7722" t="str">
        <f t="shared" si="43"/>
        <v/>
      </c>
      <c r="I574" s="7713">
        <v>79.0</v>
      </c>
      <c r="J574" s="7713">
        <v>59.0</v>
      </c>
      <c r="K574" s="7713">
        <v>76.0</v>
      </c>
      <c r="L574" s="7713">
        <v>96.0</v>
      </c>
      <c r="M574" s="7713">
        <v>69.0</v>
      </c>
      <c r="N574" s="7715">
        <v>101.0</v>
      </c>
      <c r="O574" s="7701"/>
      <c r="P574" s="7704"/>
      <c r="Q574" s="7704"/>
      <c r="R574" s="7704"/>
      <c r="S574" s="7705"/>
    </row>
    <row r="575" ht="18.75" customHeight="1">
      <c r="A575" s="7696"/>
      <c r="B575" s="7718" t="s">
        <v>3119</v>
      </c>
      <c r="C575" s="7719" t="s">
        <v>3120</v>
      </c>
      <c r="D575" s="7720"/>
      <c r="E575" s="7719" t="s">
        <v>2232</v>
      </c>
      <c r="F575" s="7719" t="str">
        <f t="shared" si="42"/>
        <v/>
      </c>
      <c r="G575" s="7719" t="s">
        <v>2224</v>
      </c>
      <c r="H575" s="7719" t="str">
        <f t="shared" si="43"/>
        <v/>
      </c>
      <c r="I575" s="7719">
        <v>45.0</v>
      </c>
      <c r="J575" s="7719">
        <v>20.0</v>
      </c>
      <c r="K575" s="7719">
        <v>50.0</v>
      </c>
      <c r="L575" s="7719">
        <v>60.0</v>
      </c>
      <c r="M575" s="7719">
        <v>120.0</v>
      </c>
      <c r="N575" s="7721">
        <v>50.0</v>
      </c>
      <c r="O575" s="7701"/>
      <c r="P575" s="7704"/>
      <c r="Q575" s="7704"/>
      <c r="R575" s="7704"/>
      <c r="S575" s="7705"/>
    </row>
    <row r="576" ht="18.75" customHeight="1">
      <c r="A576" s="7696"/>
      <c r="B576" s="7712" t="s">
        <v>1411</v>
      </c>
      <c r="C576" s="7713" t="s">
        <v>3121</v>
      </c>
      <c r="D576" s="7714"/>
      <c r="E576" s="7713" t="s">
        <v>2209</v>
      </c>
      <c r="F576" s="7713" t="str">
        <f t="shared" si="42"/>
        <v/>
      </c>
      <c r="G576" s="7713" t="s">
        <v>2289</v>
      </c>
      <c r="H576" s="7713" t="str">
        <f t="shared" si="43"/>
        <v/>
      </c>
      <c r="I576" s="7713">
        <v>60.0</v>
      </c>
      <c r="J576" s="7713">
        <v>62.0</v>
      </c>
      <c r="K576" s="7713">
        <v>50.0</v>
      </c>
      <c r="L576" s="7713">
        <v>62.0</v>
      </c>
      <c r="M576" s="7713">
        <v>60.0</v>
      </c>
      <c r="N576" s="7715">
        <v>40.0</v>
      </c>
      <c r="O576" s="7701"/>
      <c r="P576" s="7704"/>
      <c r="Q576" s="7704"/>
      <c r="R576" s="7704"/>
      <c r="S576" s="7705"/>
    </row>
    <row r="577" ht="18.75" customHeight="1">
      <c r="A577" s="7696"/>
      <c r="B577" s="7718" t="s">
        <v>249</v>
      </c>
      <c r="C577" s="7719" t="s">
        <v>3122</v>
      </c>
      <c r="D577" s="7720"/>
      <c r="E577" s="7719" t="s">
        <v>2209</v>
      </c>
      <c r="F577" s="7719" t="str">
        <f t="shared" si="42"/>
        <v/>
      </c>
      <c r="G577" s="7719" t="s">
        <v>2289</v>
      </c>
      <c r="H577" s="7719" t="str">
        <f t="shared" si="43"/>
        <v/>
      </c>
      <c r="I577" s="7719">
        <v>90.0</v>
      </c>
      <c r="J577" s="7719">
        <v>92.0</v>
      </c>
      <c r="K577" s="7719">
        <v>75.0</v>
      </c>
      <c r="L577" s="7719">
        <v>92.0</v>
      </c>
      <c r="M577" s="7719">
        <v>85.0</v>
      </c>
      <c r="N577" s="7721">
        <v>60.0</v>
      </c>
      <c r="O577" s="7701"/>
      <c r="P577" s="7704"/>
      <c r="Q577" s="7704"/>
      <c r="R577" s="7704"/>
      <c r="S577" s="7705"/>
    </row>
    <row r="578" ht="18.75" customHeight="1">
      <c r="A578" s="7696"/>
      <c r="B578" s="7712" t="s">
        <v>1862</v>
      </c>
      <c r="C578" s="7722" t="s">
        <v>3123</v>
      </c>
      <c r="D578" s="7714"/>
      <c r="E578" s="7722" t="s">
        <v>2209</v>
      </c>
      <c r="F578" s="7722" t="str">
        <f t="shared" si="42"/>
        <v/>
      </c>
      <c r="G578" s="7722" t="s">
        <v>2289</v>
      </c>
      <c r="H578" s="7722" t="str">
        <f t="shared" si="43"/>
        <v/>
      </c>
      <c r="I578" s="7713">
        <v>90.0</v>
      </c>
      <c r="J578" s="7713">
        <v>132.0</v>
      </c>
      <c r="K578" s="7713">
        <v>105.0</v>
      </c>
      <c r="L578" s="7713">
        <v>132.0</v>
      </c>
      <c r="M578" s="7713">
        <v>105.0</v>
      </c>
      <c r="N578" s="7715">
        <v>60.0</v>
      </c>
      <c r="O578" s="7701"/>
      <c r="P578" s="7704"/>
      <c r="Q578" s="7704"/>
      <c r="R578" s="7704"/>
      <c r="S578" s="7705"/>
    </row>
    <row r="579" ht="18.75" customHeight="1">
      <c r="A579" s="7696"/>
      <c r="B579" s="7718" t="s">
        <v>867</v>
      </c>
      <c r="C579" s="7719" t="s">
        <v>3124</v>
      </c>
      <c r="D579" s="7720"/>
      <c r="E579" s="7719" t="s">
        <v>2272</v>
      </c>
      <c r="F579" s="7719" t="str">
        <f t="shared" si="42"/>
        <v/>
      </c>
      <c r="G579" s="7719" t="s">
        <v>2289</v>
      </c>
      <c r="H579" s="7719" t="str">
        <f t="shared" si="43"/>
        <v/>
      </c>
      <c r="I579" s="7719">
        <v>70.0</v>
      </c>
      <c r="J579" s="7719">
        <v>120.0</v>
      </c>
      <c r="K579" s="7719">
        <v>65.0</v>
      </c>
      <c r="L579" s="7719">
        <v>45.0</v>
      </c>
      <c r="M579" s="7719">
        <v>85.0</v>
      </c>
      <c r="N579" s="7721">
        <v>125.0</v>
      </c>
      <c r="O579" s="7701"/>
      <c r="P579" s="7704"/>
      <c r="Q579" s="7704"/>
      <c r="R579" s="7704"/>
      <c r="S579" s="7705"/>
    </row>
    <row r="580" ht="18.75" customHeight="1">
      <c r="A580" s="7696"/>
      <c r="B580" s="7712" t="s">
        <v>950</v>
      </c>
      <c r="C580" s="7713" t="s">
        <v>3125</v>
      </c>
      <c r="D580" s="7714"/>
      <c r="E580" s="7713" t="s">
        <v>2283</v>
      </c>
      <c r="F580" s="7713" t="str">
        <f t="shared" si="42"/>
        <v/>
      </c>
      <c r="G580" s="7713" t="s">
        <v>2286</v>
      </c>
      <c r="H580" s="7713" t="str">
        <f t="shared" si="43"/>
        <v/>
      </c>
      <c r="I580" s="7713">
        <v>70.0</v>
      </c>
      <c r="J580" s="7713">
        <v>70.0</v>
      </c>
      <c r="K580" s="7713">
        <v>115.0</v>
      </c>
      <c r="L580" s="7713">
        <v>130.0</v>
      </c>
      <c r="M580" s="7713">
        <v>90.0</v>
      </c>
      <c r="N580" s="7715">
        <v>60.0</v>
      </c>
      <c r="O580" s="7701"/>
      <c r="P580" s="7704"/>
      <c r="Q580" s="7704"/>
      <c r="R580" s="7704"/>
      <c r="S580" s="7705"/>
    </row>
    <row r="581" ht="18.75" customHeight="1">
      <c r="A581" s="7696"/>
      <c r="B581" s="7718" t="s">
        <v>3126</v>
      </c>
      <c r="C581" s="7719" t="s">
        <v>3127</v>
      </c>
      <c r="D581" s="7720"/>
      <c r="E581" s="7719" t="s">
        <v>2262</v>
      </c>
      <c r="F581" s="7719" t="str">
        <f t="shared" si="42"/>
        <v/>
      </c>
      <c r="G581" s="7719"/>
      <c r="H581" s="7719" t="str">
        <f t="shared" si="43"/>
        <v/>
      </c>
      <c r="I581" s="7719">
        <v>110.0</v>
      </c>
      <c r="J581" s="7719">
        <v>95.0</v>
      </c>
      <c r="K581" s="7719">
        <v>95.0</v>
      </c>
      <c r="L581" s="7719">
        <v>80.0</v>
      </c>
      <c r="M581" s="7719">
        <v>95.0</v>
      </c>
      <c r="N581" s="7721">
        <v>30.0</v>
      </c>
      <c r="O581" s="7701"/>
      <c r="P581" s="7704"/>
      <c r="Q581" s="7704"/>
      <c r="R581" s="7704"/>
      <c r="S581" s="7705"/>
    </row>
    <row r="582" ht="18.75" customHeight="1">
      <c r="A582" s="7696"/>
      <c r="B582" s="7712" t="s">
        <v>1576</v>
      </c>
      <c r="C582" s="7713" t="s">
        <v>3128</v>
      </c>
      <c r="D582" s="7714"/>
      <c r="E582" s="7722" t="s">
        <v>2304</v>
      </c>
      <c r="F582" s="7722" t="str">
        <f t="shared" si="42"/>
        <v/>
      </c>
      <c r="G582" s="7722" t="s">
        <v>2370</v>
      </c>
      <c r="H582" s="7722" t="str">
        <f t="shared" si="43"/>
        <v/>
      </c>
      <c r="I582" s="7713">
        <v>115.0</v>
      </c>
      <c r="J582" s="7713">
        <v>140.0</v>
      </c>
      <c r="K582" s="7713">
        <v>130.0</v>
      </c>
      <c r="L582" s="7713">
        <v>55.0</v>
      </c>
      <c r="M582" s="7713">
        <v>55.0</v>
      </c>
      <c r="N582" s="7715">
        <v>40.0</v>
      </c>
      <c r="O582" s="7701"/>
      <c r="P582" s="7704"/>
      <c r="Q582" s="7704"/>
      <c r="R582" s="7704"/>
      <c r="S582" s="7705"/>
    </row>
    <row r="583" ht="18.75" customHeight="1">
      <c r="A583" s="7696"/>
      <c r="B583" s="7718" t="s">
        <v>1288</v>
      </c>
      <c r="C583" s="7719" t="s">
        <v>3129</v>
      </c>
      <c r="D583" s="7720"/>
      <c r="E583" s="7719" t="s">
        <v>2209</v>
      </c>
      <c r="F583" s="7719" t="str">
        <f t="shared" si="42"/>
        <v/>
      </c>
      <c r="G583" s="7719"/>
      <c r="H583" s="7719" t="str">
        <f t="shared" si="43"/>
        <v/>
      </c>
      <c r="I583" s="7719">
        <v>100.0</v>
      </c>
      <c r="J583" s="7719">
        <v>100.0</v>
      </c>
      <c r="K583" s="7719">
        <v>125.0</v>
      </c>
      <c r="L583" s="7719">
        <v>110.0</v>
      </c>
      <c r="M583" s="7719">
        <v>50.0</v>
      </c>
      <c r="N583" s="7721">
        <v>50.0</v>
      </c>
      <c r="O583" s="7701"/>
      <c r="P583" s="7704"/>
      <c r="Q583" s="7704"/>
      <c r="R583" s="7704"/>
      <c r="S583" s="7705"/>
    </row>
    <row r="584" ht="18.75" customHeight="1">
      <c r="A584" s="7696"/>
      <c r="B584" s="7712" t="s">
        <v>1045</v>
      </c>
      <c r="C584" s="7713" t="s">
        <v>3130</v>
      </c>
      <c r="D584" s="7714"/>
      <c r="E584" s="7713" t="s">
        <v>2283</v>
      </c>
      <c r="F584" s="7713" t="str">
        <f t="shared" si="42"/>
        <v/>
      </c>
      <c r="G584" s="7713"/>
      <c r="H584" s="7713" t="str">
        <f t="shared" si="43"/>
        <v/>
      </c>
      <c r="I584" s="7713">
        <v>75.0</v>
      </c>
      <c r="J584" s="7713">
        <v>123.0</v>
      </c>
      <c r="K584" s="7713">
        <v>67.0</v>
      </c>
      <c r="L584" s="7713">
        <v>95.0</v>
      </c>
      <c r="M584" s="7713">
        <v>85.0</v>
      </c>
      <c r="N584" s="7715">
        <v>95.0</v>
      </c>
      <c r="O584" s="7701"/>
      <c r="P584" s="7704"/>
      <c r="Q584" s="7704"/>
      <c r="R584" s="7704"/>
      <c r="S584" s="7705"/>
    </row>
    <row r="585" ht="18.75" customHeight="1">
      <c r="A585" s="7696"/>
      <c r="B585" s="7718" t="s">
        <v>1482</v>
      </c>
      <c r="C585" s="7719" t="s">
        <v>3131</v>
      </c>
      <c r="D585" s="7720"/>
      <c r="E585" s="7719" t="s">
        <v>2219</v>
      </c>
      <c r="F585" s="7719" t="str">
        <f t="shared" si="42"/>
        <v/>
      </c>
      <c r="G585" s="7719"/>
      <c r="H585" s="7719" t="str">
        <f t="shared" si="43"/>
        <v/>
      </c>
      <c r="I585" s="7719">
        <v>75.0</v>
      </c>
      <c r="J585" s="7719">
        <v>80.0</v>
      </c>
      <c r="K585" s="7719">
        <v>67.0</v>
      </c>
      <c r="L585" s="7719">
        <v>125.0</v>
      </c>
      <c r="M585" s="7719">
        <v>95.0</v>
      </c>
      <c r="N585" s="7721">
        <v>98.0</v>
      </c>
      <c r="O585" s="7701"/>
      <c r="P585" s="7704"/>
      <c r="Q585" s="7704"/>
      <c r="R585" s="7704"/>
      <c r="S585" s="7705"/>
    </row>
    <row r="586" ht="18.75" customHeight="1">
      <c r="A586" s="7696"/>
      <c r="B586" s="7712" t="s">
        <v>853</v>
      </c>
      <c r="C586" s="7713" t="s">
        <v>3132</v>
      </c>
      <c r="D586" s="7714"/>
      <c r="E586" s="7722" t="s">
        <v>2292</v>
      </c>
      <c r="F586" s="7722" t="str">
        <f t="shared" si="42"/>
        <v/>
      </c>
      <c r="G586" s="7722" t="s">
        <v>2224</v>
      </c>
      <c r="H586" s="7722" t="str">
        <f t="shared" si="43"/>
        <v/>
      </c>
      <c r="I586" s="7713">
        <v>85.0</v>
      </c>
      <c r="J586" s="7713">
        <v>50.0</v>
      </c>
      <c r="K586" s="7713">
        <v>95.0</v>
      </c>
      <c r="L586" s="7713">
        <v>120.0</v>
      </c>
      <c r="M586" s="7713">
        <v>115.0</v>
      </c>
      <c r="N586" s="7715">
        <v>80.0</v>
      </c>
      <c r="O586" s="7701"/>
      <c r="P586" s="7704"/>
      <c r="Q586" s="7704"/>
      <c r="R586" s="7704"/>
      <c r="S586" s="7705"/>
    </row>
    <row r="587" ht="18.75" customHeight="1">
      <c r="A587" s="7696"/>
      <c r="B587" s="7718" t="s">
        <v>1529</v>
      </c>
      <c r="C587" s="7719" t="s">
        <v>3133</v>
      </c>
      <c r="D587" s="7720"/>
      <c r="E587" s="7719" t="s">
        <v>2243</v>
      </c>
      <c r="F587" s="7719" t="str">
        <f t="shared" si="42"/>
        <v/>
      </c>
      <c r="G587" s="7719" t="s">
        <v>2224</v>
      </c>
      <c r="H587" s="7719" t="str">
        <f t="shared" si="43"/>
        <v/>
      </c>
      <c r="I587" s="7719">
        <v>86.0</v>
      </c>
      <c r="J587" s="7719">
        <v>76.0</v>
      </c>
      <c r="K587" s="7719">
        <v>86.0</v>
      </c>
      <c r="L587" s="7719">
        <v>116.0</v>
      </c>
      <c r="M587" s="7719">
        <v>56.0</v>
      </c>
      <c r="N587" s="7721">
        <v>95.0</v>
      </c>
      <c r="O587" s="7701"/>
      <c r="P587" s="7704"/>
      <c r="Q587" s="7704"/>
      <c r="R587" s="7704"/>
      <c r="S587" s="7705"/>
    </row>
    <row r="588" ht="18.75" customHeight="1">
      <c r="A588" s="7696"/>
      <c r="B588" s="7712" t="s">
        <v>1686</v>
      </c>
      <c r="C588" s="7713" t="s">
        <v>3134</v>
      </c>
      <c r="D588" s="7714"/>
      <c r="E588" s="7713" t="s">
        <v>2209</v>
      </c>
      <c r="F588" s="7713" t="str">
        <f t="shared" si="42"/>
        <v/>
      </c>
      <c r="G588" s="7713"/>
      <c r="H588" s="7713" t="str">
        <f t="shared" si="43"/>
        <v/>
      </c>
      <c r="I588" s="7713">
        <v>65.0</v>
      </c>
      <c r="J588" s="7713">
        <v>130.0</v>
      </c>
      <c r="K588" s="7713">
        <v>110.0</v>
      </c>
      <c r="L588" s="7713">
        <v>60.0</v>
      </c>
      <c r="M588" s="7713">
        <v>65.0</v>
      </c>
      <c r="N588" s="7715">
        <v>95.0</v>
      </c>
      <c r="O588" s="7701"/>
      <c r="P588" s="7704"/>
      <c r="Q588" s="7704"/>
      <c r="R588" s="7704"/>
      <c r="S588" s="7705"/>
    </row>
    <row r="589" ht="18.75" customHeight="1">
      <c r="A589" s="7696"/>
      <c r="B589" s="7718" t="s">
        <v>1859</v>
      </c>
      <c r="C589" s="7719" t="s">
        <v>3135</v>
      </c>
      <c r="D589" s="7720"/>
      <c r="E589" s="7719" t="s">
        <v>2289</v>
      </c>
      <c r="F589" s="7719" t="str">
        <f t="shared" si="42"/>
        <v/>
      </c>
      <c r="G589" s="7719"/>
      <c r="H589" s="7719" t="str">
        <f t="shared" si="43"/>
        <v/>
      </c>
      <c r="I589" s="7719">
        <v>80.0</v>
      </c>
      <c r="J589" s="7719">
        <v>45.0</v>
      </c>
      <c r="K589" s="7719">
        <v>100.0</v>
      </c>
      <c r="L589" s="7719">
        <v>130.0</v>
      </c>
      <c r="M589" s="7719">
        <v>95.0</v>
      </c>
      <c r="N589" s="7721">
        <v>75.0</v>
      </c>
      <c r="O589" s="7701"/>
      <c r="P589" s="7704"/>
      <c r="Q589" s="7704"/>
      <c r="R589" s="7704"/>
      <c r="S589" s="7705"/>
    </row>
    <row r="590" ht="18.75" customHeight="1">
      <c r="A590" s="7696"/>
      <c r="B590" s="7712" t="s">
        <v>946</v>
      </c>
      <c r="C590" s="7713" t="s">
        <v>3136</v>
      </c>
      <c r="D590" s="7714"/>
      <c r="E590" s="7722" t="s">
        <v>2304</v>
      </c>
      <c r="F590" s="7722" t="str">
        <f t="shared" si="42"/>
        <v/>
      </c>
      <c r="G590" s="7722" t="s">
        <v>2224</v>
      </c>
      <c r="H590" s="7722" t="str">
        <f t="shared" si="43"/>
        <v/>
      </c>
      <c r="I590" s="7713">
        <v>75.0</v>
      </c>
      <c r="J590" s="7713">
        <v>95.0</v>
      </c>
      <c r="K590" s="7713">
        <v>125.0</v>
      </c>
      <c r="L590" s="7713">
        <v>45.0</v>
      </c>
      <c r="M590" s="7713">
        <v>75.0</v>
      </c>
      <c r="N590" s="7715">
        <v>95.0</v>
      </c>
      <c r="O590" s="7701"/>
      <c r="P590" s="7704"/>
      <c r="Q590" s="7704"/>
      <c r="R590" s="7704"/>
      <c r="S590" s="7705"/>
    </row>
    <row r="591" ht="18.75" customHeight="1">
      <c r="A591" s="7696"/>
      <c r="B591" s="7718" t="s">
        <v>1274</v>
      </c>
      <c r="C591" s="7719" t="s">
        <v>3137</v>
      </c>
      <c r="D591" s="7720"/>
      <c r="E591" s="7719" t="s">
        <v>2289</v>
      </c>
      <c r="F591" s="7719" t="str">
        <f t="shared" si="42"/>
        <v/>
      </c>
      <c r="G591" s="7719" t="s">
        <v>2304</v>
      </c>
      <c r="H591" s="7719" t="str">
        <f t="shared" si="43"/>
        <v/>
      </c>
      <c r="I591" s="7719">
        <v>110.0</v>
      </c>
      <c r="J591" s="7719">
        <v>130.0</v>
      </c>
      <c r="K591" s="7719">
        <v>80.0</v>
      </c>
      <c r="L591" s="7719">
        <v>70.0</v>
      </c>
      <c r="M591" s="7719">
        <v>60.0</v>
      </c>
      <c r="N591" s="7721">
        <v>80.0</v>
      </c>
      <c r="O591" s="7701"/>
      <c r="P591" s="7704"/>
      <c r="Q591" s="7704"/>
      <c r="R591" s="7704"/>
      <c r="S591" s="7705"/>
    </row>
    <row r="592" ht="18.75" customHeight="1">
      <c r="A592" s="7696"/>
      <c r="B592" s="7712" t="s">
        <v>3138</v>
      </c>
      <c r="C592" s="7722" t="s">
        <v>3139</v>
      </c>
      <c r="D592" s="7714"/>
      <c r="E592" s="7713" t="s">
        <v>2262</v>
      </c>
      <c r="F592" s="7713" t="str">
        <f t="shared" ref="F592:F609" si="44">IFERROR(VLOOKUP(E592,P$3:Q610,2,False),"")</f>
        <v/>
      </c>
      <c r="G592" s="7713"/>
      <c r="H592" s="7713" t="str">
        <f t="shared" ref="H592:H609" si="45">IFERROR(VLOOKUP(G592,P$3:Q610,2,False),"")</f>
        <v/>
      </c>
      <c r="I592" s="7713">
        <v>85.0</v>
      </c>
      <c r="J592" s="7713">
        <v>80.0</v>
      </c>
      <c r="K592" s="7713">
        <v>70.0</v>
      </c>
      <c r="L592" s="7713">
        <v>135.0</v>
      </c>
      <c r="M592" s="7713">
        <v>75.0</v>
      </c>
      <c r="N592" s="7715">
        <v>90.0</v>
      </c>
      <c r="O592" s="7701"/>
      <c r="P592" s="7704"/>
      <c r="Q592" s="7704"/>
      <c r="R592" s="7704"/>
      <c r="S592" s="7705"/>
    </row>
    <row r="593" ht="18.75" customHeight="1">
      <c r="A593" s="7696"/>
      <c r="B593" s="7718" t="s">
        <v>3140</v>
      </c>
      <c r="C593" s="7719" t="s">
        <v>3141</v>
      </c>
      <c r="D593" s="7720"/>
      <c r="E593" s="7719" t="s">
        <v>669</v>
      </c>
      <c r="F593" s="7719" t="str">
        <f t="shared" si="44"/>
        <v/>
      </c>
      <c r="G593" s="7719" t="s">
        <v>2296</v>
      </c>
      <c r="H593" s="7719" t="str">
        <f t="shared" si="45"/>
        <v/>
      </c>
      <c r="I593" s="7719">
        <v>68.0</v>
      </c>
      <c r="J593" s="7719">
        <v>125.0</v>
      </c>
      <c r="K593" s="7719">
        <v>65.0</v>
      </c>
      <c r="L593" s="7719">
        <v>65.0</v>
      </c>
      <c r="M593" s="7719">
        <v>115.0</v>
      </c>
      <c r="N593" s="7721">
        <v>80.0</v>
      </c>
      <c r="O593" s="7701"/>
      <c r="P593" s="7704"/>
      <c r="Q593" s="7704"/>
      <c r="R593" s="7704"/>
      <c r="S593" s="7705"/>
    </row>
    <row r="594" ht="18.75" customHeight="1">
      <c r="A594" s="7696"/>
      <c r="B594" s="7712" t="s">
        <v>888</v>
      </c>
      <c r="C594" s="7722" t="s">
        <v>3142</v>
      </c>
      <c r="D594" s="7714"/>
      <c r="E594" s="7722" t="s">
        <v>669</v>
      </c>
      <c r="F594" s="7722" t="str">
        <f t="shared" si="44"/>
        <v/>
      </c>
      <c r="G594" s="7722" t="s">
        <v>2296</v>
      </c>
      <c r="H594" s="7722" t="str">
        <f t="shared" si="45"/>
        <v/>
      </c>
      <c r="I594" s="7713">
        <v>68.0</v>
      </c>
      <c r="J594" s="7713">
        <v>165.0</v>
      </c>
      <c r="K594" s="7713">
        <v>95.0</v>
      </c>
      <c r="L594" s="7713">
        <v>65.0</v>
      </c>
      <c r="M594" s="7713">
        <v>115.0</v>
      </c>
      <c r="N594" s="7715">
        <v>110.0</v>
      </c>
      <c r="O594" s="7701"/>
      <c r="P594" s="7704"/>
      <c r="Q594" s="7704"/>
      <c r="R594" s="7704"/>
      <c r="S594" s="7705"/>
    </row>
    <row r="595" ht="18.75" customHeight="1">
      <c r="A595" s="7696"/>
      <c r="B595" s="7718" t="s">
        <v>283</v>
      </c>
      <c r="C595" s="7719" t="s">
        <v>3143</v>
      </c>
      <c r="D595" s="7720"/>
      <c r="E595" s="7719" t="s">
        <v>2370</v>
      </c>
      <c r="F595" s="7719" t="str">
        <f t="shared" si="44"/>
        <v/>
      </c>
      <c r="G595" s="7719" t="s">
        <v>2286</v>
      </c>
      <c r="H595" s="7719" t="str">
        <f t="shared" si="45"/>
        <v/>
      </c>
      <c r="I595" s="7719">
        <v>65.0</v>
      </c>
      <c r="J595" s="7719">
        <v>45.0</v>
      </c>
      <c r="K595" s="7719">
        <v>145.0</v>
      </c>
      <c r="L595" s="7719">
        <v>80.0</v>
      </c>
      <c r="M595" s="7719">
        <v>150.0</v>
      </c>
      <c r="N595" s="7721">
        <v>40.0</v>
      </c>
      <c r="O595" s="7701"/>
      <c r="P595" s="7704"/>
      <c r="Q595" s="7704"/>
      <c r="R595" s="7704"/>
      <c r="S595" s="7705"/>
    </row>
    <row r="596" ht="18.75" customHeight="1">
      <c r="A596" s="7696"/>
      <c r="B596" s="7712" t="s">
        <v>864</v>
      </c>
      <c r="C596" s="7713" t="s">
        <v>3144</v>
      </c>
      <c r="D596" s="7714"/>
      <c r="E596" s="7713" t="s">
        <v>2447</v>
      </c>
      <c r="F596" s="7713" t="str">
        <f t="shared" si="44"/>
        <v/>
      </c>
      <c r="G596" s="7713"/>
      <c r="H596" s="7713" t="str">
        <f t="shared" si="45"/>
        <v/>
      </c>
      <c r="I596" s="7713">
        <v>45.0</v>
      </c>
      <c r="J596" s="7713">
        <v>100.0</v>
      </c>
      <c r="K596" s="7713">
        <v>135.0</v>
      </c>
      <c r="L596" s="7713">
        <v>65.0</v>
      </c>
      <c r="M596" s="7713">
        <v>135.0</v>
      </c>
      <c r="N596" s="7715">
        <v>45.0</v>
      </c>
      <c r="O596" s="7701"/>
      <c r="P596" s="7704"/>
      <c r="Q596" s="7704"/>
      <c r="R596" s="7704"/>
      <c r="S596" s="7705"/>
    </row>
    <row r="597" ht="18.75" customHeight="1">
      <c r="A597" s="7696"/>
      <c r="B597" s="7718" t="s">
        <v>1541</v>
      </c>
      <c r="C597" s="7719" t="s">
        <v>3145</v>
      </c>
      <c r="D597" s="7720"/>
      <c r="E597" s="7719" t="s">
        <v>2289</v>
      </c>
      <c r="F597" s="7719" t="str">
        <f t="shared" si="44"/>
        <v/>
      </c>
      <c r="G597" s="7719" t="s">
        <v>2447</v>
      </c>
      <c r="H597" s="7719" t="str">
        <f t="shared" si="45"/>
        <v/>
      </c>
      <c r="I597" s="7719">
        <v>70.0</v>
      </c>
      <c r="J597" s="7719">
        <v>95.0</v>
      </c>
      <c r="K597" s="7719">
        <v>70.0</v>
      </c>
      <c r="L597" s="7719">
        <v>95.0</v>
      </c>
      <c r="M597" s="7719">
        <v>70.0</v>
      </c>
      <c r="N597" s="7721">
        <v>110.0</v>
      </c>
      <c r="O597" s="7701"/>
      <c r="P597" s="7704"/>
      <c r="Q597" s="7704"/>
      <c r="R597" s="7704"/>
      <c r="S597" s="7705"/>
    </row>
    <row r="598" ht="18.75" customHeight="1">
      <c r="A598" s="7696"/>
      <c r="B598" s="7712" t="s">
        <v>3146</v>
      </c>
      <c r="C598" s="7713" t="s">
        <v>3147</v>
      </c>
      <c r="D598" s="7714"/>
      <c r="E598" s="7713" t="s">
        <v>2283</v>
      </c>
      <c r="F598" s="7713" t="str">
        <f t="shared" si="44"/>
        <v/>
      </c>
      <c r="G598" s="7713" t="s">
        <v>2447</v>
      </c>
      <c r="H598" s="7713" t="str">
        <f t="shared" si="45"/>
        <v/>
      </c>
      <c r="I598" s="7713">
        <v>50.0</v>
      </c>
      <c r="J598" s="7713">
        <v>50.0</v>
      </c>
      <c r="K598" s="7713">
        <v>77.0</v>
      </c>
      <c r="L598" s="7713">
        <v>95.0</v>
      </c>
      <c r="M598" s="7713">
        <v>77.0</v>
      </c>
      <c r="N598" s="7715">
        <v>91.0</v>
      </c>
      <c r="O598" s="7701"/>
      <c r="P598" s="7704"/>
      <c r="Q598" s="7704"/>
      <c r="R598" s="7704"/>
      <c r="S598" s="7705"/>
    </row>
    <row r="599" ht="18.75" customHeight="1">
      <c r="A599" s="7696"/>
      <c r="B599" s="7718" t="s">
        <v>1633</v>
      </c>
      <c r="C599" s="7723" t="s">
        <v>3148</v>
      </c>
      <c r="D599" s="7720"/>
      <c r="E599" s="7719" t="s">
        <v>2283</v>
      </c>
      <c r="F599" s="7719" t="str">
        <f t="shared" si="44"/>
        <v/>
      </c>
      <c r="G599" s="7719" t="s">
        <v>2219</v>
      </c>
      <c r="H599" s="7719" t="str">
        <f t="shared" si="45"/>
        <v/>
      </c>
      <c r="I599" s="7719">
        <v>50.0</v>
      </c>
      <c r="J599" s="7719">
        <v>65.0</v>
      </c>
      <c r="K599" s="7719">
        <v>107.0</v>
      </c>
      <c r="L599" s="7719">
        <v>105.0</v>
      </c>
      <c r="M599" s="7719">
        <v>107.0</v>
      </c>
      <c r="N599" s="7721">
        <v>86.0</v>
      </c>
      <c r="O599" s="7701"/>
      <c r="P599" s="7704"/>
      <c r="Q599" s="7704"/>
      <c r="R599" s="7704"/>
      <c r="S599" s="7705"/>
    </row>
    <row r="600" ht="18.75" customHeight="1">
      <c r="A600" s="7696"/>
      <c r="B600" s="7712" t="s">
        <v>1205</v>
      </c>
      <c r="C600" s="7722" t="s">
        <v>3149</v>
      </c>
      <c r="D600" s="7714"/>
      <c r="E600" s="7713" t="s">
        <v>2283</v>
      </c>
      <c r="F600" s="7713" t="str">
        <f t="shared" si="44"/>
        <v/>
      </c>
      <c r="G600" s="7713" t="s">
        <v>2232</v>
      </c>
      <c r="H600" s="7713" t="str">
        <f t="shared" si="45"/>
        <v/>
      </c>
      <c r="I600" s="7713">
        <v>50.0</v>
      </c>
      <c r="J600" s="7713">
        <v>65.0</v>
      </c>
      <c r="K600" s="7713">
        <v>107.0</v>
      </c>
      <c r="L600" s="7713">
        <v>105.0</v>
      </c>
      <c r="M600" s="7713">
        <v>107.0</v>
      </c>
      <c r="N600" s="7715">
        <v>86.0</v>
      </c>
      <c r="O600" s="7701"/>
      <c r="P600" s="7704"/>
      <c r="Q600" s="7704"/>
      <c r="R600" s="7704"/>
      <c r="S600" s="7705"/>
    </row>
    <row r="601" ht="18.75" customHeight="1">
      <c r="A601" s="7696"/>
      <c r="B601" s="7718" t="s">
        <v>558</v>
      </c>
      <c r="C601" s="7723" t="s">
        <v>3150</v>
      </c>
      <c r="D601" s="7720"/>
      <c r="E601" s="7719" t="s">
        <v>2283</v>
      </c>
      <c r="F601" s="7719" t="str">
        <f t="shared" si="44"/>
        <v/>
      </c>
      <c r="G601" s="7719" t="s">
        <v>2289</v>
      </c>
      <c r="H601" s="7719" t="str">
        <f t="shared" si="45"/>
        <v/>
      </c>
      <c r="I601" s="7719">
        <v>50.0</v>
      </c>
      <c r="J601" s="7719">
        <v>65.0</v>
      </c>
      <c r="K601" s="7719">
        <v>107.0</v>
      </c>
      <c r="L601" s="7719">
        <v>105.0</v>
      </c>
      <c r="M601" s="7719">
        <v>107.0</v>
      </c>
      <c r="N601" s="7721">
        <v>86.0</v>
      </c>
      <c r="O601" s="7701"/>
      <c r="P601" s="7704"/>
      <c r="Q601" s="7704"/>
      <c r="R601" s="7704"/>
      <c r="S601" s="7705"/>
    </row>
    <row r="602" ht="18.75" customHeight="1">
      <c r="A602" s="7696"/>
      <c r="B602" s="7712" t="s">
        <v>558</v>
      </c>
      <c r="C602" s="7722" t="s">
        <v>3151</v>
      </c>
      <c r="D602" s="7714"/>
      <c r="E602" s="7722" t="s">
        <v>2283</v>
      </c>
      <c r="F602" s="7722" t="str">
        <f t="shared" si="44"/>
        <v/>
      </c>
      <c r="G602" s="7722" t="s">
        <v>2224</v>
      </c>
      <c r="H602" s="7722" t="str">
        <f t="shared" si="45"/>
        <v/>
      </c>
      <c r="I602" s="7713">
        <v>50.0</v>
      </c>
      <c r="J602" s="7713">
        <v>65.0</v>
      </c>
      <c r="K602" s="7713">
        <v>107.0</v>
      </c>
      <c r="L602" s="7713">
        <v>105.0</v>
      </c>
      <c r="M602" s="7713">
        <v>107.0</v>
      </c>
      <c r="N602" s="7715">
        <v>86.0</v>
      </c>
      <c r="O602" s="7701"/>
      <c r="P602" s="7704"/>
      <c r="Q602" s="7704"/>
      <c r="R602" s="7704"/>
      <c r="S602" s="7705"/>
    </row>
    <row r="603" ht="18.75" customHeight="1">
      <c r="A603" s="7696"/>
      <c r="B603" s="7718" t="s">
        <v>3152</v>
      </c>
      <c r="C603" s="7723" t="s">
        <v>3153</v>
      </c>
      <c r="D603" s="7720"/>
      <c r="E603" s="7719" t="s">
        <v>2283</v>
      </c>
      <c r="F603" s="7719" t="str">
        <f t="shared" si="44"/>
        <v/>
      </c>
      <c r="G603" s="7719" t="s">
        <v>2209</v>
      </c>
      <c r="H603" s="7719" t="str">
        <f t="shared" si="45"/>
        <v/>
      </c>
      <c r="I603" s="7719">
        <v>50.0</v>
      </c>
      <c r="J603" s="7719">
        <v>65.0</v>
      </c>
      <c r="K603" s="7719">
        <v>107.0</v>
      </c>
      <c r="L603" s="7719">
        <v>105.0</v>
      </c>
      <c r="M603" s="7719">
        <v>107.0</v>
      </c>
      <c r="N603" s="7721">
        <v>86.0</v>
      </c>
      <c r="O603" s="7701"/>
      <c r="P603" s="7704"/>
      <c r="Q603" s="7704"/>
      <c r="R603" s="7704"/>
      <c r="S603" s="7705"/>
    </row>
    <row r="604" ht="18.75" customHeight="1">
      <c r="A604" s="7696"/>
      <c r="B604" s="7712" t="s">
        <v>3154</v>
      </c>
      <c r="C604" s="7713" t="s">
        <v>3155</v>
      </c>
      <c r="D604" s="7714"/>
      <c r="E604" s="7713" t="s">
        <v>669</v>
      </c>
      <c r="F604" s="7713" t="str">
        <f t="shared" si="44"/>
        <v/>
      </c>
      <c r="G604" s="7713"/>
      <c r="H604" s="7713" t="str">
        <f t="shared" si="45"/>
        <v/>
      </c>
      <c r="I604" s="7713">
        <v>75.0</v>
      </c>
      <c r="J604" s="7713">
        <v>75.0</v>
      </c>
      <c r="K604" s="7713">
        <v>130.0</v>
      </c>
      <c r="L604" s="7713">
        <v>75.0</v>
      </c>
      <c r="M604" s="7713">
        <v>130.0</v>
      </c>
      <c r="N604" s="7715">
        <v>95.0</v>
      </c>
      <c r="O604" s="7701"/>
      <c r="P604" s="7704"/>
      <c r="Q604" s="7704"/>
      <c r="R604" s="7704"/>
      <c r="S604" s="7705"/>
    </row>
    <row r="605" ht="18.75" customHeight="1">
      <c r="A605" s="7696"/>
      <c r="B605" s="7718" t="s">
        <v>3156</v>
      </c>
      <c r="C605" s="7719" t="s">
        <v>3157</v>
      </c>
      <c r="D605" s="7720"/>
      <c r="E605" s="7719" t="s">
        <v>669</v>
      </c>
      <c r="F605" s="7719" t="str">
        <f t="shared" si="44"/>
        <v/>
      </c>
      <c r="G605" s="7719"/>
      <c r="H605" s="7719" t="str">
        <f t="shared" si="45"/>
        <v/>
      </c>
      <c r="I605" s="7719">
        <v>80.0</v>
      </c>
      <c r="J605" s="7719">
        <v>105.0</v>
      </c>
      <c r="K605" s="7719">
        <v>105.0</v>
      </c>
      <c r="L605" s="7719">
        <v>105.0</v>
      </c>
      <c r="M605" s="7719">
        <v>105.0</v>
      </c>
      <c r="N605" s="7721">
        <v>80.0</v>
      </c>
      <c r="O605" s="7701"/>
      <c r="P605" s="7704"/>
      <c r="Q605" s="7704"/>
      <c r="R605" s="7704"/>
      <c r="S605" s="7705"/>
    </row>
    <row r="606" ht="18.75" customHeight="1">
      <c r="A606" s="7696"/>
      <c r="B606" s="7712" t="s">
        <v>1043</v>
      </c>
      <c r="C606" s="7713" t="s">
        <v>3158</v>
      </c>
      <c r="D606" s="7714"/>
      <c r="E606" s="7713" t="s">
        <v>669</v>
      </c>
      <c r="F606" s="7713" t="str">
        <f t="shared" si="44"/>
        <v/>
      </c>
      <c r="G606" s="7713"/>
      <c r="H606" s="7713" t="str">
        <f t="shared" si="45"/>
        <v/>
      </c>
      <c r="I606" s="7713">
        <v>75.0</v>
      </c>
      <c r="J606" s="7713">
        <v>125.0</v>
      </c>
      <c r="K606" s="7713">
        <v>70.0</v>
      </c>
      <c r="L606" s="7713">
        <v>125.0</v>
      </c>
      <c r="M606" s="7713">
        <v>70.0</v>
      </c>
      <c r="N606" s="7715">
        <v>115.0</v>
      </c>
      <c r="O606" s="7701"/>
      <c r="P606" s="7704"/>
      <c r="Q606" s="7704"/>
      <c r="R606" s="7704"/>
      <c r="S606" s="7705"/>
    </row>
    <row r="607" ht="18.75" customHeight="1">
      <c r="A607" s="7696"/>
      <c r="B607" s="7718" t="s">
        <v>1343</v>
      </c>
      <c r="C607" s="7719" t="s">
        <v>3159</v>
      </c>
      <c r="D607" s="7720"/>
      <c r="E607" s="7723" t="s">
        <v>2286</v>
      </c>
      <c r="F607" s="7723" t="str">
        <f t="shared" si="44"/>
        <v/>
      </c>
      <c r="G607" s="7723" t="s">
        <v>2227</v>
      </c>
      <c r="H607" s="7723" t="str">
        <f t="shared" si="45"/>
        <v/>
      </c>
      <c r="I607" s="7719">
        <v>100.0</v>
      </c>
      <c r="J607" s="7719">
        <v>120.0</v>
      </c>
      <c r="K607" s="7719">
        <v>120.0</v>
      </c>
      <c r="L607" s="7719">
        <v>150.0</v>
      </c>
      <c r="M607" s="7719">
        <v>100.0</v>
      </c>
      <c r="N607" s="7721">
        <v>90.0</v>
      </c>
      <c r="O607" s="7701"/>
      <c r="P607" s="7704"/>
      <c r="Q607" s="7704"/>
      <c r="R607" s="7704"/>
      <c r="S607" s="7705"/>
    </row>
    <row r="608" ht="18.75" customHeight="1">
      <c r="A608" s="7696"/>
      <c r="B608" s="7712" t="s">
        <v>3160</v>
      </c>
      <c r="C608" s="7722" t="s">
        <v>3161</v>
      </c>
      <c r="D608" s="7714"/>
      <c r="E608" s="7713" t="s">
        <v>2286</v>
      </c>
      <c r="F608" s="7713" t="str">
        <f t="shared" si="44"/>
        <v/>
      </c>
      <c r="G608" s="7713" t="s">
        <v>2227</v>
      </c>
      <c r="H608" s="7713" t="str">
        <f t="shared" si="45"/>
        <v/>
      </c>
      <c r="I608" s="7713">
        <v>100.0</v>
      </c>
      <c r="J608" s="7713">
        <v>100.0</v>
      </c>
      <c r="K608" s="7713">
        <v>120.0</v>
      </c>
      <c r="L608" s="7713">
        <v>150.0</v>
      </c>
      <c r="M608" s="7713">
        <v>120.0</v>
      </c>
      <c r="N608" s="7715">
        <v>90.0</v>
      </c>
      <c r="O608" s="7701"/>
      <c r="P608" s="7704"/>
      <c r="Q608" s="7704"/>
      <c r="R608" s="7704"/>
      <c r="S608" s="7705"/>
    </row>
    <row r="609" ht="18.75" customHeight="1">
      <c r="A609" s="7696"/>
      <c r="B609" s="7718" t="s">
        <v>1912</v>
      </c>
      <c r="C609" s="7723" t="s">
        <v>3162</v>
      </c>
      <c r="D609" s="7720"/>
      <c r="E609" s="7719" t="s">
        <v>2286</v>
      </c>
      <c r="F609" s="7719" t="str">
        <f t="shared" si="44"/>
        <v/>
      </c>
      <c r="G609" s="7719" t="s">
        <v>2227</v>
      </c>
      <c r="H609" s="7719" t="str">
        <f t="shared" si="45"/>
        <v/>
      </c>
      <c r="I609" s="7723">
        <v>100.0</v>
      </c>
      <c r="J609" s="7723">
        <v>120.0</v>
      </c>
      <c r="K609" s="7723">
        <v>150.0</v>
      </c>
      <c r="L609" s="7723">
        <v>185.0</v>
      </c>
      <c r="M609" s="7723">
        <v>130.0</v>
      </c>
      <c r="N609" s="7726">
        <v>90.0</v>
      </c>
      <c r="O609" s="7701"/>
      <c r="P609" s="7704"/>
      <c r="Q609" s="7704"/>
      <c r="R609" s="7704"/>
      <c r="S609" s="7705"/>
    </row>
    <row r="610" ht="18.75" customHeight="1">
      <c r="A610" s="7696"/>
      <c r="B610" s="7712" t="s">
        <v>3163</v>
      </c>
      <c r="C610" s="7713" t="s">
        <v>3164</v>
      </c>
      <c r="D610" s="7714"/>
      <c r="E610" s="7713" t="s">
        <v>2232</v>
      </c>
      <c r="F610" s="7713" t="str">
        <f t="shared" ref="F610:F622" si="46">IFERROR(VLOOKUP(E610,P$3:Q627,2,False),"")</f>
        <v/>
      </c>
      <c r="G610" s="7713" t="s">
        <v>2227</v>
      </c>
      <c r="H610" s="7713" t="str">
        <f t="shared" ref="H610:H622" si="47">IFERROR(VLOOKUP(G610,P$3:Q627,2,False),"")</f>
        <v/>
      </c>
      <c r="I610" s="7713">
        <v>90.0</v>
      </c>
      <c r="J610" s="7713">
        <v>120.0</v>
      </c>
      <c r="K610" s="7713">
        <v>100.0</v>
      </c>
      <c r="L610" s="7713">
        <v>150.0</v>
      </c>
      <c r="M610" s="7713">
        <v>120.0</v>
      </c>
      <c r="N610" s="7715">
        <v>100.0</v>
      </c>
      <c r="O610" s="7701"/>
      <c r="P610" s="7704"/>
      <c r="Q610" s="7704"/>
      <c r="R610" s="7704"/>
      <c r="S610" s="7705"/>
    </row>
    <row r="611" ht="18.75" customHeight="1">
      <c r="A611" s="7696"/>
      <c r="B611" s="7718" t="s">
        <v>1852</v>
      </c>
      <c r="C611" s="7723" t="s">
        <v>3165</v>
      </c>
      <c r="D611" s="7720"/>
      <c r="E611" s="7719" t="s">
        <v>2232</v>
      </c>
      <c r="F611" s="7719" t="str">
        <f t="shared" si="46"/>
        <v/>
      </c>
      <c r="G611" s="7719" t="s">
        <v>2227</v>
      </c>
      <c r="H611" s="7719" t="str">
        <f t="shared" si="47"/>
        <v/>
      </c>
      <c r="I611" s="7719">
        <v>90.0</v>
      </c>
      <c r="J611" s="7719">
        <v>100.0</v>
      </c>
      <c r="K611" s="7719">
        <v>100.0</v>
      </c>
      <c r="L611" s="7719">
        <v>150.0</v>
      </c>
      <c r="M611" s="7719">
        <v>120.0</v>
      </c>
      <c r="N611" s="7721">
        <v>120.0</v>
      </c>
      <c r="O611" s="7701"/>
      <c r="P611" s="7704"/>
      <c r="Q611" s="7704"/>
      <c r="R611" s="7704"/>
      <c r="S611" s="7705"/>
    </row>
    <row r="612" ht="18.75" customHeight="1">
      <c r="A612" s="7696"/>
      <c r="B612" s="7712" t="s">
        <v>1557</v>
      </c>
      <c r="C612" s="7713" t="s">
        <v>3166</v>
      </c>
      <c r="D612" s="7714"/>
      <c r="E612" s="7713" t="s">
        <v>2219</v>
      </c>
      <c r="F612" s="7713" t="str">
        <f t="shared" si="46"/>
        <v/>
      </c>
      <c r="G612" s="7713" t="s">
        <v>2286</v>
      </c>
      <c r="H612" s="7713" t="str">
        <f t="shared" si="47"/>
        <v/>
      </c>
      <c r="I612" s="7713">
        <v>91.0</v>
      </c>
      <c r="J612" s="7713">
        <v>90.0</v>
      </c>
      <c r="K612" s="7713">
        <v>106.0</v>
      </c>
      <c r="L612" s="7713">
        <v>130.0</v>
      </c>
      <c r="M612" s="7713">
        <v>106.0</v>
      </c>
      <c r="N612" s="7715">
        <v>77.0</v>
      </c>
      <c r="O612" s="7701"/>
      <c r="P612" s="7704"/>
      <c r="Q612" s="7704"/>
      <c r="R612" s="7704"/>
      <c r="S612" s="7705"/>
    </row>
    <row r="613" ht="18.75" customHeight="1">
      <c r="A613" s="7696"/>
      <c r="B613" s="7718" t="s">
        <v>3167</v>
      </c>
      <c r="C613" s="7719" t="s">
        <v>3168</v>
      </c>
      <c r="D613" s="7720"/>
      <c r="E613" s="7719" t="s">
        <v>2262</v>
      </c>
      <c r="F613" s="7719" t="str">
        <f t="shared" si="46"/>
        <v/>
      </c>
      <c r="G613" s="7719"/>
      <c r="H613" s="7719" t="str">
        <f t="shared" si="47"/>
        <v/>
      </c>
      <c r="I613" s="7719">
        <v>110.0</v>
      </c>
      <c r="J613" s="7719">
        <v>160.0</v>
      </c>
      <c r="K613" s="7719">
        <v>110.0</v>
      </c>
      <c r="L613" s="7719">
        <v>80.0</v>
      </c>
      <c r="M613" s="7719">
        <v>110.0</v>
      </c>
      <c r="N613" s="7721">
        <v>100.0</v>
      </c>
      <c r="O613" s="7701"/>
      <c r="P613" s="7704"/>
      <c r="Q613" s="7704"/>
      <c r="R613" s="7704"/>
      <c r="S613" s="7705"/>
    </row>
    <row r="614" ht="18.75" customHeight="1">
      <c r="A614" s="7696"/>
      <c r="B614" s="7712" t="s">
        <v>3169</v>
      </c>
      <c r="C614" s="7713" t="s">
        <v>3170</v>
      </c>
      <c r="D614" s="7714"/>
      <c r="E614" s="7713" t="s">
        <v>2447</v>
      </c>
      <c r="F614" s="7713" t="str">
        <f t="shared" si="46"/>
        <v/>
      </c>
      <c r="G614" s="7713" t="s">
        <v>2227</v>
      </c>
      <c r="H614" s="7713" t="str">
        <f t="shared" si="47"/>
        <v/>
      </c>
      <c r="I614" s="7713">
        <v>150.0</v>
      </c>
      <c r="J614" s="7713">
        <v>100.0</v>
      </c>
      <c r="K614" s="7713">
        <v>120.0</v>
      </c>
      <c r="L614" s="7713">
        <v>100.0</v>
      </c>
      <c r="M614" s="7713">
        <v>120.0</v>
      </c>
      <c r="N614" s="7715">
        <v>90.0</v>
      </c>
      <c r="O614" s="7701"/>
      <c r="P614" s="7704"/>
      <c r="Q614" s="7704"/>
      <c r="R614" s="7704"/>
      <c r="S614" s="7705"/>
    </row>
    <row r="615" ht="18.75" customHeight="1">
      <c r="A615" s="7696"/>
      <c r="B615" s="7718" t="s">
        <v>2201</v>
      </c>
      <c r="C615" s="7723" t="s">
        <v>3171</v>
      </c>
      <c r="D615" s="7720"/>
      <c r="E615" s="7719" t="s">
        <v>2447</v>
      </c>
      <c r="F615" s="7719" t="str">
        <f t="shared" si="46"/>
        <v/>
      </c>
      <c r="G615" s="7719" t="s">
        <v>2227</v>
      </c>
      <c r="H615" s="7719" t="str">
        <f t="shared" si="47"/>
        <v/>
      </c>
      <c r="I615" s="7719">
        <v>150.0</v>
      </c>
      <c r="J615" s="7719">
        <v>120.0</v>
      </c>
      <c r="K615" s="7719">
        <v>100.0</v>
      </c>
      <c r="L615" s="7719">
        <v>120.0</v>
      </c>
      <c r="M615" s="7719">
        <v>100.0</v>
      </c>
      <c r="N615" s="7721">
        <v>90.0</v>
      </c>
      <c r="O615" s="7701"/>
      <c r="P615" s="7704"/>
      <c r="Q615" s="7704"/>
      <c r="R615" s="7704"/>
      <c r="S615" s="7705"/>
    </row>
    <row r="616" ht="18.75" customHeight="1">
      <c r="A616" s="7696"/>
      <c r="B616" s="7712" t="s">
        <v>1519</v>
      </c>
      <c r="C616" s="7713" t="s">
        <v>3172</v>
      </c>
      <c r="D616" s="7714"/>
      <c r="E616" s="7713" t="s">
        <v>669</v>
      </c>
      <c r="F616" s="7713" t="str">
        <f t="shared" si="46"/>
        <v/>
      </c>
      <c r="G616" s="7713"/>
      <c r="H616" s="7713" t="str">
        <f t="shared" si="47"/>
        <v/>
      </c>
      <c r="I616" s="7713">
        <v>120.0</v>
      </c>
      <c r="J616" s="7713">
        <v>70.0</v>
      </c>
      <c r="K616" s="7722">
        <v>120.0</v>
      </c>
      <c r="L616" s="7713">
        <v>75.0</v>
      </c>
      <c r="M616" s="7722">
        <v>130.0</v>
      </c>
      <c r="N616" s="7715">
        <v>85.0</v>
      </c>
      <c r="O616" s="7701"/>
      <c r="P616" s="7704"/>
      <c r="Q616" s="7704"/>
      <c r="R616" s="7704"/>
      <c r="S616" s="7705"/>
    </row>
    <row r="617" ht="18.75" customHeight="1">
      <c r="A617" s="7696"/>
      <c r="B617" s="7718" t="s">
        <v>256</v>
      </c>
      <c r="C617" s="7719" t="s">
        <v>3173</v>
      </c>
      <c r="D617" s="7720"/>
      <c r="E617" s="7719" t="s">
        <v>2232</v>
      </c>
      <c r="F617" s="7719" t="str">
        <f t="shared" si="46"/>
        <v/>
      </c>
      <c r="G617" s="7719"/>
      <c r="H617" s="7719" t="str">
        <f t="shared" si="47"/>
        <v/>
      </c>
      <c r="I617" s="7719">
        <v>80.0</v>
      </c>
      <c r="J617" s="7719">
        <v>80.0</v>
      </c>
      <c r="K617" s="7719">
        <v>80.0</v>
      </c>
      <c r="L617" s="7719">
        <v>80.0</v>
      </c>
      <c r="M617" s="7719">
        <v>80.0</v>
      </c>
      <c r="N617" s="7721">
        <v>80.0</v>
      </c>
      <c r="O617" s="7701"/>
      <c r="P617" s="7704"/>
      <c r="Q617" s="7704"/>
      <c r="R617" s="7704"/>
      <c r="S617" s="7705"/>
    </row>
    <row r="618" ht="18.75" customHeight="1">
      <c r="A618" s="7696"/>
      <c r="B618" s="7712" t="s">
        <v>3174</v>
      </c>
      <c r="C618" s="7713" t="s">
        <v>3175</v>
      </c>
      <c r="D618" s="7714"/>
      <c r="E618" s="7713" t="s">
        <v>2232</v>
      </c>
      <c r="F618" s="7713" t="str">
        <f t="shared" si="46"/>
        <v/>
      </c>
      <c r="G618" s="7713"/>
      <c r="H618" s="7713" t="str">
        <f t="shared" si="47"/>
        <v/>
      </c>
      <c r="I618" s="7713">
        <v>100.0</v>
      </c>
      <c r="J618" s="7713">
        <v>100.0</v>
      </c>
      <c r="K618" s="7713">
        <v>100.0</v>
      </c>
      <c r="L618" s="7713">
        <v>100.0</v>
      </c>
      <c r="M618" s="7713">
        <v>100.0</v>
      </c>
      <c r="N618" s="7715">
        <v>100.0</v>
      </c>
      <c r="O618" s="7701"/>
      <c r="P618" s="7704"/>
      <c r="Q618" s="7704"/>
      <c r="R618" s="7704"/>
      <c r="S618" s="7705"/>
    </row>
    <row r="619" ht="18.75" customHeight="1">
      <c r="A619" s="7696"/>
      <c r="B619" s="7718" t="s">
        <v>2141</v>
      </c>
      <c r="C619" s="7719" t="s">
        <v>3176</v>
      </c>
      <c r="D619" s="7720"/>
      <c r="E619" s="7723" t="s">
        <v>2272</v>
      </c>
      <c r="F619" s="7723" t="str">
        <f t="shared" si="46"/>
        <v/>
      </c>
      <c r="G619" s="7723"/>
      <c r="H619" s="7723" t="str">
        <f t="shared" si="47"/>
        <v/>
      </c>
      <c r="I619" s="7719">
        <v>70.0</v>
      </c>
      <c r="J619" s="7719">
        <v>90.0</v>
      </c>
      <c r="K619" s="7719">
        <v>90.0</v>
      </c>
      <c r="L619" s="7719">
        <v>135.0</v>
      </c>
      <c r="M619" s="7719">
        <v>90.0</v>
      </c>
      <c r="N619" s="7721">
        <v>125.0</v>
      </c>
      <c r="O619" s="7701"/>
      <c r="P619" s="7704"/>
      <c r="Q619" s="7704"/>
      <c r="R619" s="7704"/>
      <c r="S619" s="7705"/>
    </row>
    <row r="620" ht="18.75" customHeight="1">
      <c r="A620" s="7696"/>
      <c r="B620" s="7712" t="s">
        <v>3177</v>
      </c>
      <c r="C620" s="7713" t="s">
        <v>3178</v>
      </c>
      <c r="D620" s="7714"/>
      <c r="E620" s="7713" t="s">
        <v>2209</v>
      </c>
      <c r="F620" s="7713" t="str">
        <f t="shared" si="46"/>
        <v/>
      </c>
      <c r="G620" s="7713"/>
      <c r="H620" s="7713" t="str">
        <f t="shared" si="47"/>
        <v/>
      </c>
      <c r="I620" s="7713">
        <v>100.0</v>
      </c>
      <c r="J620" s="7713">
        <v>100.0</v>
      </c>
      <c r="K620" s="7713">
        <v>100.0</v>
      </c>
      <c r="L620" s="7713">
        <v>100.0</v>
      </c>
      <c r="M620" s="7713">
        <v>100.0</v>
      </c>
      <c r="N620" s="7715">
        <v>100.0</v>
      </c>
      <c r="O620" s="7701"/>
      <c r="P620" s="7704"/>
      <c r="Q620" s="7704"/>
      <c r="R620" s="7704"/>
      <c r="S620" s="7705"/>
    </row>
    <row r="621" ht="18.75" customHeight="1">
      <c r="A621" s="7696"/>
      <c r="B621" s="7718" t="s">
        <v>1977</v>
      </c>
      <c r="C621" s="7723" t="s">
        <v>3179</v>
      </c>
      <c r="D621" s="7720"/>
      <c r="E621" s="7719" t="s">
        <v>2209</v>
      </c>
      <c r="F621" s="7719" t="str">
        <f t="shared" si="46"/>
        <v/>
      </c>
      <c r="G621" s="7719" t="s">
        <v>2224</v>
      </c>
      <c r="H621" s="7719" t="str">
        <f t="shared" si="47"/>
        <v/>
      </c>
      <c r="I621" s="7719">
        <v>100.0</v>
      </c>
      <c r="J621" s="7719">
        <v>103.0</v>
      </c>
      <c r="K621" s="7719">
        <v>75.0</v>
      </c>
      <c r="L621" s="7719">
        <v>120.0</v>
      </c>
      <c r="M621" s="7719">
        <v>75.0</v>
      </c>
      <c r="N621" s="7721">
        <v>127.0</v>
      </c>
      <c r="O621" s="7701"/>
      <c r="P621" s="7704"/>
      <c r="Q621" s="7704"/>
      <c r="R621" s="7704"/>
      <c r="S621" s="7705"/>
    </row>
    <row r="622" ht="18.75" customHeight="1">
      <c r="A622" s="7696"/>
      <c r="B622" s="7712" t="s">
        <v>1927</v>
      </c>
      <c r="C622" s="7713" t="s">
        <v>3180</v>
      </c>
      <c r="D622" s="7714"/>
      <c r="E622" s="7713" t="s">
        <v>2262</v>
      </c>
      <c r="F622" s="7713" t="str">
        <f t="shared" si="46"/>
        <v/>
      </c>
      <c r="G622" s="7713"/>
      <c r="H622" s="7713" t="str">
        <f t="shared" si="47"/>
        <v/>
      </c>
      <c r="I622" s="7713">
        <v>120.0</v>
      </c>
      <c r="J622" s="7713">
        <v>120.0</v>
      </c>
      <c r="K622" s="7713">
        <v>120.0</v>
      </c>
      <c r="L622" s="7713">
        <v>120.0</v>
      </c>
      <c r="M622" s="7713">
        <v>120.0</v>
      </c>
      <c r="N622" s="7715">
        <v>120.0</v>
      </c>
      <c r="O622" s="7701"/>
      <c r="P622" s="7704"/>
      <c r="Q622" s="7704"/>
      <c r="R622" s="7704"/>
      <c r="S622" s="7705"/>
    </row>
    <row r="623" ht="18.75" customHeight="1">
      <c r="A623" s="7696"/>
      <c r="B623" s="7718" t="s">
        <v>2100</v>
      </c>
      <c r="C623" s="7723" t="s">
        <v>3181</v>
      </c>
      <c r="D623" s="7720"/>
      <c r="E623" s="7719" t="s">
        <v>2243</v>
      </c>
      <c r="F623" s="7719" t="str">
        <f t="shared" ref="F623:F639" si="48">IFERROR(VLOOKUP(E623,P$3:Q641,2,False),"")</f>
        <v/>
      </c>
      <c r="G623" s="7719"/>
      <c r="H623" s="7719" t="str">
        <f t="shared" ref="H623:H639" si="49">IFERROR(VLOOKUP(G623,P$3:Q641,2,False),"")</f>
        <v/>
      </c>
      <c r="I623" s="7719">
        <v>120.0</v>
      </c>
      <c r="J623" s="7719">
        <v>120.0</v>
      </c>
      <c r="K623" s="7719">
        <v>120.0</v>
      </c>
      <c r="L623" s="7719">
        <v>120.0</v>
      </c>
      <c r="M623" s="7719">
        <v>120.0</v>
      </c>
      <c r="N623" s="7721">
        <v>120.0</v>
      </c>
      <c r="O623" s="7701"/>
      <c r="P623" s="7704"/>
      <c r="Q623" s="7704"/>
      <c r="R623" s="7704"/>
      <c r="S623" s="7705"/>
    </row>
    <row r="624" ht="18.75" customHeight="1">
      <c r="A624" s="7696"/>
      <c r="B624" s="7712" t="s">
        <v>3182</v>
      </c>
      <c r="C624" s="7722" t="s">
        <v>3183</v>
      </c>
      <c r="D624" s="7714"/>
      <c r="E624" s="7713" t="s">
        <v>2272</v>
      </c>
      <c r="F624" s="7713" t="str">
        <f t="shared" si="48"/>
        <v/>
      </c>
      <c r="G624" s="7713"/>
      <c r="H624" s="7713" t="str">
        <f t="shared" si="49"/>
        <v/>
      </c>
      <c r="I624" s="7713">
        <v>120.0</v>
      </c>
      <c r="J624" s="7713">
        <v>120.0</v>
      </c>
      <c r="K624" s="7713">
        <v>120.0</v>
      </c>
      <c r="L624" s="7713">
        <v>120.0</v>
      </c>
      <c r="M624" s="7713">
        <v>120.0</v>
      </c>
      <c r="N624" s="7715">
        <v>120.0</v>
      </c>
      <c r="O624" s="7701"/>
      <c r="P624" s="7704"/>
      <c r="Q624" s="7704"/>
      <c r="R624" s="7704"/>
      <c r="S624" s="7705"/>
    </row>
    <row r="625" ht="18.75" customHeight="1">
      <c r="A625" s="7696"/>
      <c r="B625" s="7718" t="s">
        <v>3184</v>
      </c>
      <c r="C625" s="7723" t="s">
        <v>3185</v>
      </c>
      <c r="D625" s="7720"/>
      <c r="E625" s="7719" t="s">
        <v>2227</v>
      </c>
      <c r="F625" s="7719" t="str">
        <f t="shared" si="48"/>
        <v/>
      </c>
      <c r="G625" s="7719"/>
      <c r="H625" s="7719" t="str">
        <f t="shared" si="49"/>
        <v/>
      </c>
      <c r="I625" s="7719">
        <v>120.0</v>
      </c>
      <c r="J625" s="7719">
        <v>120.0</v>
      </c>
      <c r="K625" s="7719">
        <v>120.0</v>
      </c>
      <c r="L625" s="7719">
        <v>120.0</v>
      </c>
      <c r="M625" s="7719">
        <v>120.0</v>
      </c>
      <c r="N625" s="7721">
        <v>120.0</v>
      </c>
      <c r="O625" s="7701"/>
      <c r="P625" s="7704"/>
      <c r="Q625" s="7704"/>
      <c r="R625" s="7704"/>
      <c r="S625" s="7705"/>
    </row>
    <row r="626" ht="18.75" customHeight="1">
      <c r="A626" s="7696"/>
      <c r="B626" s="7712" t="s">
        <v>3186</v>
      </c>
      <c r="C626" s="7722" t="s">
        <v>3187</v>
      </c>
      <c r="D626" s="7714"/>
      <c r="E626" s="7713" t="s">
        <v>2283</v>
      </c>
      <c r="F626" s="7713" t="str">
        <f t="shared" si="48"/>
        <v/>
      </c>
      <c r="G626" s="7713"/>
      <c r="H626" s="7713" t="str">
        <f t="shared" si="49"/>
        <v/>
      </c>
      <c r="I626" s="7713">
        <v>120.0</v>
      </c>
      <c r="J626" s="7713">
        <v>120.0</v>
      </c>
      <c r="K626" s="7713">
        <v>120.0</v>
      </c>
      <c r="L626" s="7713">
        <v>120.0</v>
      </c>
      <c r="M626" s="7713">
        <v>120.0</v>
      </c>
      <c r="N626" s="7715">
        <v>120.0</v>
      </c>
      <c r="O626" s="7701"/>
      <c r="P626" s="7704"/>
      <c r="Q626" s="7704"/>
      <c r="R626" s="7704"/>
      <c r="S626" s="7705"/>
    </row>
    <row r="627" ht="18.75" customHeight="1">
      <c r="A627" s="7696"/>
      <c r="B627" s="7718" t="s">
        <v>1911</v>
      </c>
      <c r="C627" s="7723" t="s">
        <v>3188</v>
      </c>
      <c r="D627" s="7720"/>
      <c r="E627" s="7719" t="s">
        <v>2292</v>
      </c>
      <c r="F627" s="7719" t="str">
        <f t="shared" si="48"/>
        <v/>
      </c>
      <c r="G627" s="7719"/>
      <c r="H627" s="7719" t="str">
        <f t="shared" si="49"/>
        <v/>
      </c>
      <c r="I627" s="7719">
        <v>120.0</v>
      </c>
      <c r="J627" s="7719">
        <v>120.0</v>
      </c>
      <c r="K627" s="7719">
        <v>120.0</v>
      </c>
      <c r="L627" s="7719">
        <v>120.0</v>
      </c>
      <c r="M627" s="7719">
        <v>120.0</v>
      </c>
      <c r="N627" s="7721">
        <v>120.0</v>
      </c>
      <c r="O627" s="7701"/>
      <c r="P627" s="7704"/>
      <c r="Q627" s="7704"/>
      <c r="R627" s="7704"/>
      <c r="S627" s="7705"/>
    </row>
    <row r="628" ht="18.75" customHeight="1">
      <c r="A628" s="7696"/>
      <c r="B628" s="7712" t="s">
        <v>3189</v>
      </c>
      <c r="C628" s="7722" t="s">
        <v>3190</v>
      </c>
      <c r="D628" s="7714"/>
      <c r="E628" s="7713" t="s">
        <v>2296</v>
      </c>
      <c r="F628" s="7713" t="str">
        <f t="shared" si="48"/>
        <v/>
      </c>
      <c r="G628" s="7713"/>
      <c r="H628" s="7713" t="str">
        <f t="shared" si="49"/>
        <v/>
      </c>
      <c r="I628" s="7713">
        <v>120.0</v>
      </c>
      <c r="J628" s="7713">
        <v>120.0</v>
      </c>
      <c r="K628" s="7713">
        <v>120.0</v>
      </c>
      <c r="L628" s="7713">
        <v>120.0</v>
      </c>
      <c r="M628" s="7713">
        <v>120.0</v>
      </c>
      <c r="N628" s="7715">
        <v>120.0</v>
      </c>
      <c r="O628" s="7701"/>
      <c r="P628" s="7704"/>
      <c r="Q628" s="7704"/>
      <c r="R628" s="7704"/>
      <c r="S628" s="7705"/>
    </row>
    <row r="629" ht="18.75" customHeight="1">
      <c r="A629" s="7696"/>
      <c r="B629" s="7718" t="s">
        <v>3191</v>
      </c>
      <c r="C629" s="7723" t="s">
        <v>3192</v>
      </c>
      <c r="D629" s="7720"/>
      <c r="E629" s="7719" t="s">
        <v>2219</v>
      </c>
      <c r="F629" s="7719" t="str">
        <f t="shared" si="48"/>
        <v/>
      </c>
      <c r="G629" s="7719"/>
      <c r="H629" s="7719" t="str">
        <f t="shared" si="49"/>
        <v/>
      </c>
      <c r="I629" s="7719">
        <v>120.0</v>
      </c>
      <c r="J629" s="7719">
        <v>120.0</v>
      </c>
      <c r="K629" s="7719">
        <v>120.0</v>
      </c>
      <c r="L629" s="7719">
        <v>120.0</v>
      </c>
      <c r="M629" s="7719">
        <v>120.0</v>
      </c>
      <c r="N629" s="7721">
        <v>120.0</v>
      </c>
      <c r="O629" s="7701"/>
      <c r="P629" s="7704"/>
      <c r="Q629" s="7704"/>
      <c r="R629" s="7704"/>
      <c r="S629" s="7705"/>
    </row>
    <row r="630" ht="18.75" customHeight="1">
      <c r="A630" s="7696"/>
      <c r="B630" s="7712" t="s">
        <v>3193</v>
      </c>
      <c r="C630" s="7722" t="s">
        <v>3194</v>
      </c>
      <c r="D630" s="7714"/>
      <c r="E630" s="7722" t="s">
        <v>2224</v>
      </c>
      <c r="F630" s="7722" t="str">
        <f t="shared" si="48"/>
        <v/>
      </c>
      <c r="G630" s="7722"/>
      <c r="H630" s="7722" t="str">
        <f t="shared" si="49"/>
        <v/>
      </c>
      <c r="I630" s="7713">
        <v>120.0</v>
      </c>
      <c r="J630" s="7713">
        <v>120.0</v>
      </c>
      <c r="K630" s="7713">
        <v>120.0</v>
      </c>
      <c r="L630" s="7713">
        <v>120.0</v>
      </c>
      <c r="M630" s="7713">
        <v>120.0</v>
      </c>
      <c r="N630" s="7715">
        <v>120.0</v>
      </c>
      <c r="O630" s="7701"/>
      <c r="P630" s="7704"/>
      <c r="Q630" s="7704"/>
      <c r="R630" s="7704"/>
      <c r="S630" s="7705"/>
    </row>
    <row r="631" ht="18.75" customHeight="1">
      <c r="A631" s="7696"/>
      <c r="B631" s="7718" t="s">
        <v>3195</v>
      </c>
      <c r="C631" s="7723" t="s">
        <v>3196</v>
      </c>
      <c r="D631" s="7720"/>
      <c r="E631" s="7719" t="s">
        <v>2447</v>
      </c>
      <c r="F631" s="7719" t="str">
        <f t="shared" si="48"/>
        <v/>
      </c>
      <c r="G631" s="7719"/>
      <c r="H631" s="7719" t="str">
        <f t="shared" si="49"/>
        <v/>
      </c>
      <c r="I631" s="7719">
        <v>120.0</v>
      </c>
      <c r="J631" s="7719">
        <v>120.0</v>
      </c>
      <c r="K631" s="7719">
        <v>120.0</v>
      </c>
      <c r="L631" s="7719">
        <v>120.0</v>
      </c>
      <c r="M631" s="7719">
        <v>120.0</v>
      </c>
      <c r="N631" s="7721">
        <v>120.0</v>
      </c>
      <c r="O631" s="7701"/>
      <c r="P631" s="7704"/>
      <c r="Q631" s="7704"/>
      <c r="R631" s="7704"/>
      <c r="S631" s="7705"/>
    </row>
    <row r="632" ht="18.75" customHeight="1">
      <c r="A632" s="7696"/>
      <c r="B632" s="7712" t="s">
        <v>3197</v>
      </c>
      <c r="C632" s="7722" t="s">
        <v>3198</v>
      </c>
      <c r="D632" s="7714"/>
      <c r="E632" s="7713" t="s">
        <v>2209</v>
      </c>
      <c r="F632" s="7713" t="str">
        <f t="shared" si="48"/>
        <v/>
      </c>
      <c r="G632" s="7713"/>
      <c r="H632" s="7713" t="str">
        <f t="shared" si="49"/>
        <v/>
      </c>
      <c r="I632" s="7713">
        <v>120.0</v>
      </c>
      <c r="J632" s="7713">
        <v>120.0</v>
      </c>
      <c r="K632" s="7713">
        <v>120.0</v>
      </c>
      <c r="L632" s="7713">
        <v>120.0</v>
      </c>
      <c r="M632" s="7713">
        <v>120.0</v>
      </c>
      <c r="N632" s="7715">
        <v>120.0</v>
      </c>
      <c r="O632" s="7701"/>
      <c r="P632" s="7704"/>
      <c r="Q632" s="7704"/>
      <c r="R632" s="7704"/>
      <c r="S632" s="7705"/>
    </row>
    <row r="633" ht="18.75" customHeight="1">
      <c r="A633" s="7696"/>
      <c r="B633" s="7718" t="s">
        <v>1939</v>
      </c>
      <c r="C633" s="7723" t="s">
        <v>3199</v>
      </c>
      <c r="D633" s="7720"/>
      <c r="E633" s="7719" t="s">
        <v>2304</v>
      </c>
      <c r="F633" s="7719" t="str">
        <f t="shared" si="48"/>
        <v/>
      </c>
      <c r="G633" s="7719"/>
      <c r="H633" s="7719" t="str">
        <f t="shared" si="49"/>
        <v/>
      </c>
      <c r="I633" s="7719">
        <v>120.0</v>
      </c>
      <c r="J633" s="7719">
        <v>120.0</v>
      </c>
      <c r="K633" s="7719">
        <v>120.0</v>
      </c>
      <c r="L633" s="7719">
        <v>120.0</v>
      </c>
      <c r="M633" s="7719">
        <v>120.0</v>
      </c>
      <c r="N633" s="7721">
        <v>120.0</v>
      </c>
      <c r="O633" s="7701"/>
      <c r="P633" s="7704"/>
      <c r="Q633" s="7704"/>
      <c r="R633" s="7704"/>
      <c r="S633" s="7705"/>
    </row>
    <row r="634" ht="18.75" customHeight="1">
      <c r="A634" s="7696"/>
      <c r="B634" s="7712" t="s">
        <v>3200</v>
      </c>
      <c r="C634" s="7722" t="s">
        <v>3201</v>
      </c>
      <c r="D634" s="7714"/>
      <c r="E634" s="7713" t="s">
        <v>2289</v>
      </c>
      <c r="F634" s="7713" t="str">
        <f t="shared" si="48"/>
        <v/>
      </c>
      <c r="G634" s="7713"/>
      <c r="H634" s="7713" t="str">
        <f t="shared" si="49"/>
        <v/>
      </c>
      <c r="I634" s="7713">
        <v>120.0</v>
      </c>
      <c r="J634" s="7713">
        <v>120.0</v>
      </c>
      <c r="K634" s="7713">
        <v>120.0</v>
      </c>
      <c r="L634" s="7713">
        <v>120.0</v>
      </c>
      <c r="M634" s="7713">
        <v>120.0</v>
      </c>
      <c r="N634" s="7715">
        <v>120.0</v>
      </c>
      <c r="O634" s="7701"/>
      <c r="P634" s="7704"/>
      <c r="Q634" s="7704"/>
      <c r="R634" s="7704"/>
      <c r="S634" s="7705"/>
    </row>
    <row r="635" ht="18.75" customHeight="1">
      <c r="A635" s="7696"/>
      <c r="B635" s="7718" t="s">
        <v>3202</v>
      </c>
      <c r="C635" s="7723" t="s">
        <v>3203</v>
      </c>
      <c r="D635" s="7720"/>
      <c r="E635" s="7719" t="s">
        <v>2210</v>
      </c>
      <c r="F635" s="7719" t="str">
        <f t="shared" si="48"/>
        <v/>
      </c>
      <c r="G635" s="7719"/>
      <c r="H635" s="7719" t="str">
        <f t="shared" si="49"/>
        <v/>
      </c>
      <c r="I635" s="7719">
        <v>120.0</v>
      </c>
      <c r="J635" s="7719">
        <v>120.0</v>
      </c>
      <c r="K635" s="7719">
        <v>120.0</v>
      </c>
      <c r="L635" s="7719">
        <v>120.0</v>
      </c>
      <c r="M635" s="7719">
        <v>120.0</v>
      </c>
      <c r="N635" s="7721">
        <v>120.0</v>
      </c>
      <c r="O635" s="7701"/>
      <c r="P635" s="7704"/>
      <c r="Q635" s="7704"/>
      <c r="R635" s="7704"/>
      <c r="S635" s="7705"/>
    </row>
    <row r="636" ht="18.75" customHeight="1">
      <c r="A636" s="7696"/>
      <c r="B636" s="7712" t="s">
        <v>3204</v>
      </c>
      <c r="C636" s="7722" t="s">
        <v>3205</v>
      </c>
      <c r="D636" s="7714"/>
      <c r="E636" s="7713" t="s">
        <v>669</v>
      </c>
      <c r="F636" s="7713" t="str">
        <f t="shared" si="48"/>
        <v/>
      </c>
      <c r="G636" s="7713"/>
      <c r="H636" s="7713" t="str">
        <f t="shared" si="49"/>
        <v/>
      </c>
      <c r="I636" s="7713">
        <v>120.0</v>
      </c>
      <c r="J636" s="7713">
        <v>120.0</v>
      </c>
      <c r="K636" s="7713">
        <v>120.0</v>
      </c>
      <c r="L636" s="7713">
        <v>120.0</v>
      </c>
      <c r="M636" s="7713">
        <v>120.0</v>
      </c>
      <c r="N636" s="7715">
        <v>120.0</v>
      </c>
      <c r="O636" s="7701"/>
      <c r="P636" s="7704"/>
      <c r="Q636" s="7704"/>
      <c r="R636" s="7704"/>
      <c r="S636" s="7705"/>
    </row>
    <row r="637" ht="18.75" customHeight="1">
      <c r="A637" s="7696"/>
      <c r="B637" s="7718" t="s">
        <v>3206</v>
      </c>
      <c r="C637" s="7723" t="s">
        <v>3207</v>
      </c>
      <c r="D637" s="7720"/>
      <c r="E637" s="7719" t="s">
        <v>2370</v>
      </c>
      <c r="F637" s="7719" t="str">
        <f t="shared" si="48"/>
        <v/>
      </c>
      <c r="G637" s="7719"/>
      <c r="H637" s="7719" t="str">
        <f t="shared" si="49"/>
        <v/>
      </c>
      <c r="I637" s="7719">
        <v>120.0</v>
      </c>
      <c r="J637" s="7719">
        <v>120.0</v>
      </c>
      <c r="K637" s="7719">
        <v>120.0</v>
      </c>
      <c r="L637" s="7719">
        <v>120.0</v>
      </c>
      <c r="M637" s="7719">
        <v>120.0</v>
      </c>
      <c r="N637" s="7721">
        <v>120.0</v>
      </c>
      <c r="O637" s="7701"/>
      <c r="P637" s="7704"/>
      <c r="Q637" s="7704"/>
      <c r="R637" s="7704"/>
      <c r="S637" s="7705"/>
    </row>
    <row r="638" ht="18.75" customHeight="1">
      <c r="A638" s="7696"/>
      <c r="B638" s="7712" t="s">
        <v>1950</v>
      </c>
      <c r="C638" s="7722" t="s">
        <v>3208</v>
      </c>
      <c r="D638" s="7714"/>
      <c r="E638" s="7713" t="s">
        <v>2286</v>
      </c>
      <c r="F638" s="7713" t="str">
        <f t="shared" si="48"/>
        <v/>
      </c>
      <c r="G638" s="7713"/>
      <c r="H638" s="7713" t="str">
        <f t="shared" si="49"/>
        <v/>
      </c>
      <c r="I638" s="7713">
        <v>120.0</v>
      </c>
      <c r="J638" s="7713">
        <v>120.0</v>
      </c>
      <c r="K638" s="7713">
        <v>120.0</v>
      </c>
      <c r="L638" s="7713">
        <v>120.0</v>
      </c>
      <c r="M638" s="7713">
        <v>120.0</v>
      </c>
      <c r="N638" s="7715">
        <v>120.0</v>
      </c>
      <c r="O638" s="7701"/>
      <c r="P638" s="7704"/>
      <c r="Q638" s="7704"/>
      <c r="R638" s="7704"/>
      <c r="S638" s="7705"/>
    </row>
    <row r="639" ht="18.75" customHeight="1">
      <c r="A639" s="7696"/>
      <c r="B639" s="7749" t="s">
        <v>3209</v>
      </c>
      <c r="C639" s="7750" t="s">
        <v>3210</v>
      </c>
      <c r="D639" s="7751"/>
      <c r="E639" s="7752" t="s">
        <v>2232</v>
      </c>
      <c r="F639" s="7752" t="str">
        <f t="shared" si="48"/>
        <v/>
      </c>
      <c r="G639" s="7752"/>
      <c r="H639" s="7752" t="str">
        <f t="shared" si="49"/>
        <v/>
      </c>
      <c r="I639" s="7752">
        <v>120.0</v>
      </c>
      <c r="J639" s="7752">
        <v>120.0</v>
      </c>
      <c r="K639" s="7752">
        <v>120.0</v>
      </c>
      <c r="L639" s="7752">
        <v>120.0</v>
      </c>
      <c r="M639" s="7752">
        <v>120.0</v>
      </c>
      <c r="N639" s="7753">
        <v>120.0</v>
      </c>
      <c r="O639" s="7701"/>
      <c r="P639" s="7704"/>
      <c r="Q639" s="7704"/>
      <c r="R639" s="7704"/>
      <c r="S639" s="7705"/>
    </row>
    <row r="640">
      <c r="A640" s="7696"/>
      <c r="B640" s="7694"/>
      <c r="C640" s="7694"/>
      <c r="D640" s="7694"/>
      <c r="E640" s="7694"/>
      <c r="F640" s="7694"/>
      <c r="G640" s="7694"/>
      <c r="H640" s="7694"/>
      <c r="I640" s="7694"/>
      <c r="J640" s="7694"/>
      <c r="K640" s="7694"/>
      <c r="L640" s="7694"/>
      <c r="M640" s="7694"/>
      <c r="N640" s="7694"/>
      <c r="O640" s="7696"/>
      <c r="P640" s="7696"/>
      <c r="Q640" s="7696"/>
      <c r="R640" s="7696"/>
      <c r="S640" s="7705"/>
    </row>
    <row r="641">
      <c r="A641" s="7696"/>
      <c r="B641" s="7754" t="s">
        <v>3211</v>
      </c>
      <c r="C641" s="7755"/>
      <c r="D641" s="7755"/>
      <c r="E641" s="7755"/>
      <c r="F641" s="7755"/>
      <c r="G641" s="7755"/>
      <c r="H641" s="7756"/>
      <c r="I641" s="7757" t="s">
        <v>513</v>
      </c>
      <c r="J641" s="7757" t="s">
        <v>514</v>
      </c>
      <c r="K641" s="7757" t="s">
        <v>515</v>
      </c>
      <c r="L641" s="7757" t="s">
        <v>516</v>
      </c>
      <c r="M641" s="7757" t="s">
        <v>517</v>
      </c>
      <c r="N641" s="7758" t="s">
        <v>518</v>
      </c>
      <c r="O641" s="7701"/>
      <c r="P641" s="7704"/>
      <c r="Q641" s="7704"/>
      <c r="R641" s="7704"/>
      <c r="S641" s="7705"/>
    </row>
    <row r="642" ht="18.75" customHeight="1">
      <c r="A642" s="7696"/>
      <c r="B642" s="7712" t="s">
        <v>1892</v>
      </c>
      <c r="C642" s="7713" t="s">
        <v>3212</v>
      </c>
      <c r="D642" s="7714"/>
      <c r="E642" s="7713" t="s">
        <v>669</v>
      </c>
      <c r="F642" s="7713" t="str">
        <f t="shared" ref="F642:F802" si="50">IFERROR(VLOOKUP(E642,P$3:Q659,2,False),"")</f>
        <v/>
      </c>
      <c r="G642" s="7713" t="s">
        <v>2219</v>
      </c>
      <c r="H642" s="7713" t="str">
        <f t="shared" ref="H642:H802" si="51">IFERROR(VLOOKUP(G642,P$3:Q659,2,False),"")</f>
        <v/>
      </c>
      <c r="I642" s="7713">
        <v>100.0</v>
      </c>
      <c r="J642" s="7713">
        <v>100.0</v>
      </c>
      <c r="K642" s="7713">
        <v>100.0</v>
      </c>
      <c r="L642" s="7713">
        <v>100.0</v>
      </c>
      <c r="M642" s="7713">
        <v>100.0</v>
      </c>
      <c r="N642" s="7715">
        <v>100.0</v>
      </c>
      <c r="O642" s="7701"/>
      <c r="P642" s="7704"/>
      <c r="Q642" s="7704"/>
      <c r="R642" s="7704"/>
      <c r="S642" s="7705"/>
    </row>
    <row r="643" ht="18.75" customHeight="1">
      <c r="A643" s="7696"/>
      <c r="B643" s="7718" t="s">
        <v>3213</v>
      </c>
      <c r="C643" s="7719" t="s">
        <v>3214</v>
      </c>
      <c r="D643" s="7720"/>
      <c r="E643" s="7719" t="s">
        <v>2209</v>
      </c>
      <c r="F643" s="7719" t="str">
        <f t="shared" si="50"/>
        <v/>
      </c>
      <c r="G643" s="7719"/>
      <c r="H643" s="7719" t="str">
        <f t="shared" si="51"/>
        <v/>
      </c>
      <c r="I643" s="7719">
        <v>45.0</v>
      </c>
      <c r="J643" s="7719">
        <v>45.0</v>
      </c>
      <c r="K643" s="7719">
        <v>55.0</v>
      </c>
      <c r="L643" s="7719">
        <v>45.0</v>
      </c>
      <c r="M643" s="7719">
        <v>55.0</v>
      </c>
      <c r="N643" s="7721">
        <v>63.0</v>
      </c>
      <c r="O643" s="7701"/>
      <c r="P643" s="7704"/>
      <c r="Q643" s="7704"/>
      <c r="R643" s="7704"/>
      <c r="S643" s="7705"/>
    </row>
    <row r="644" ht="18.75" customHeight="1">
      <c r="A644" s="7696"/>
      <c r="B644" s="7712" t="s">
        <v>3215</v>
      </c>
      <c r="C644" s="7713" t="s">
        <v>3216</v>
      </c>
      <c r="D644" s="7714"/>
      <c r="E644" s="7713" t="s">
        <v>2209</v>
      </c>
      <c r="F644" s="7713" t="str">
        <f t="shared" si="50"/>
        <v/>
      </c>
      <c r="G644" s="7713"/>
      <c r="H644" s="7713" t="str">
        <f t="shared" si="51"/>
        <v/>
      </c>
      <c r="I644" s="7713">
        <v>60.0</v>
      </c>
      <c r="J644" s="7713">
        <v>60.0</v>
      </c>
      <c r="K644" s="7713">
        <v>75.0</v>
      </c>
      <c r="L644" s="7713">
        <v>60.0</v>
      </c>
      <c r="M644" s="7713">
        <v>75.0</v>
      </c>
      <c r="N644" s="7715">
        <v>83.0</v>
      </c>
      <c r="O644" s="7701"/>
      <c r="P644" s="7704"/>
      <c r="Q644" s="7704"/>
      <c r="R644" s="7704"/>
      <c r="S644" s="7705"/>
    </row>
    <row r="645" ht="18.75" customHeight="1">
      <c r="A645" s="7696"/>
      <c r="B645" s="7718" t="s">
        <v>263</v>
      </c>
      <c r="C645" s="7719" t="s">
        <v>3217</v>
      </c>
      <c r="D645" s="7720"/>
      <c r="E645" s="7719" t="s">
        <v>2209</v>
      </c>
      <c r="F645" s="7719" t="str">
        <f t="shared" si="50"/>
        <v/>
      </c>
      <c r="G645" s="7719"/>
      <c r="H645" s="7719" t="str">
        <f t="shared" si="51"/>
        <v/>
      </c>
      <c r="I645" s="7719">
        <v>75.0</v>
      </c>
      <c r="J645" s="7719">
        <v>75.0</v>
      </c>
      <c r="K645" s="7719">
        <v>95.0</v>
      </c>
      <c r="L645" s="7719">
        <v>75.0</v>
      </c>
      <c r="M645" s="7719">
        <v>95.0</v>
      </c>
      <c r="N645" s="7721">
        <v>113.0</v>
      </c>
      <c r="O645" s="7701"/>
      <c r="P645" s="7704"/>
      <c r="Q645" s="7704"/>
      <c r="R645" s="7704"/>
      <c r="S645" s="7705"/>
    </row>
    <row r="646" ht="18.75" customHeight="1">
      <c r="A646" s="7696"/>
      <c r="B646" s="7712" t="s">
        <v>3218</v>
      </c>
      <c r="C646" s="7713" t="s">
        <v>3219</v>
      </c>
      <c r="D646" s="7714"/>
      <c r="E646" s="7713" t="s">
        <v>2219</v>
      </c>
      <c r="F646" s="7713" t="str">
        <f t="shared" si="50"/>
        <v/>
      </c>
      <c r="G646" s="7713"/>
      <c r="H646" s="7713" t="str">
        <f t="shared" si="51"/>
        <v/>
      </c>
      <c r="I646" s="7713">
        <v>65.0</v>
      </c>
      <c r="J646" s="7713">
        <v>63.0</v>
      </c>
      <c r="K646" s="7713">
        <v>45.0</v>
      </c>
      <c r="L646" s="7713">
        <v>45.0</v>
      </c>
      <c r="M646" s="7713">
        <v>45.0</v>
      </c>
      <c r="N646" s="7715">
        <v>45.0</v>
      </c>
      <c r="O646" s="7701"/>
      <c r="P646" s="7704"/>
      <c r="Q646" s="7704"/>
      <c r="R646" s="7704"/>
      <c r="S646" s="7705"/>
    </row>
    <row r="647" ht="18.75" customHeight="1">
      <c r="A647" s="7696"/>
      <c r="B647" s="7718" t="s">
        <v>3220</v>
      </c>
      <c r="C647" s="7719" t="s">
        <v>3221</v>
      </c>
      <c r="D647" s="7720"/>
      <c r="E647" s="7719" t="s">
        <v>2219</v>
      </c>
      <c r="F647" s="7719" t="str">
        <f t="shared" si="50"/>
        <v/>
      </c>
      <c r="G647" s="7719" t="s">
        <v>2296</v>
      </c>
      <c r="H647" s="7719" t="str">
        <f t="shared" si="51"/>
        <v/>
      </c>
      <c r="I647" s="7719">
        <v>90.0</v>
      </c>
      <c r="J647" s="7719">
        <v>93.0</v>
      </c>
      <c r="K647" s="7719">
        <v>55.0</v>
      </c>
      <c r="L647" s="7719">
        <v>70.0</v>
      </c>
      <c r="M647" s="7719">
        <v>55.0</v>
      </c>
      <c r="N647" s="7721">
        <v>55.0</v>
      </c>
      <c r="O647" s="7701"/>
      <c r="P647" s="7704"/>
      <c r="Q647" s="7704"/>
      <c r="R647" s="7704"/>
      <c r="S647" s="7705"/>
    </row>
    <row r="648" ht="18.75" customHeight="1">
      <c r="A648" s="7696"/>
      <c r="B648" s="7712" t="s">
        <v>1594</v>
      </c>
      <c r="C648" s="7713" t="s">
        <v>3222</v>
      </c>
      <c r="D648" s="7714"/>
      <c r="E648" s="7713" t="s">
        <v>2219</v>
      </c>
      <c r="F648" s="7713" t="str">
        <f t="shared" si="50"/>
        <v/>
      </c>
      <c r="G648" s="7713" t="s">
        <v>2296</v>
      </c>
      <c r="H648" s="7713" t="str">
        <f t="shared" si="51"/>
        <v/>
      </c>
      <c r="I648" s="7713">
        <v>110.0</v>
      </c>
      <c r="J648" s="7713">
        <v>123.0</v>
      </c>
      <c r="K648" s="7713">
        <v>65.0</v>
      </c>
      <c r="L648" s="7713">
        <v>100.0</v>
      </c>
      <c r="M648" s="7713">
        <v>65.0</v>
      </c>
      <c r="N648" s="7715">
        <v>65.0</v>
      </c>
      <c r="O648" s="7701"/>
      <c r="P648" s="7704"/>
      <c r="Q648" s="7704"/>
      <c r="R648" s="7704"/>
      <c r="S648" s="7705"/>
    </row>
    <row r="649" ht="18.75" customHeight="1">
      <c r="A649" s="7696"/>
      <c r="B649" s="7718" t="s">
        <v>3223</v>
      </c>
      <c r="C649" s="7719" t="s">
        <v>3224</v>
      </c>
      <c r="D649" s="7720"/>
      <c r="E649" s="7723" t="s">
        <v>2232</v>
      </c>
      <c r="F649" s="7723" t="str">
        <f t="shared" si="50"/>
        <v/>
      </c>
      <c r="G649" s="7723"/>
      <c r="H649" s="7723" t="str">
        <f t="shared" si="51"/>
        <v/>
      </c>
      <c r="I649" s="7719">
        <v>55.0</v>
      </c>
      <c r="J649" s="7719">
        <v>55.0</v>
      </c>
      <c r="K649" s="7719">
        <v>45.0</v>
      </c>
      <c r="L649" s="7719">
        <v>63.0</v>
      </c>
      <c r="M649" s="7719">
        <v>45.0</v>
      </c>
      <c r="N649" s="7721">
        <v>45.0</v>
      </c>
      <c r="O649" s="7701"/>
      <c r="P649" s="7704"/>
      <c r="Q649" s="7704"/>
      <c r="R649" s="7704"/>
      <c r="S649" s="7705"/>
    </row>
    <row r="650" ht="18.75" customHeight="1">
      <c r="A650" s="7696"/>
      <c r="B650" s="7712" t="s">
        <v>3225</v>
      </c>
      <c r="C650" s="7713" t="s">
        <v>3226</v>
      </c>
      <c r="D650" s="7714"/>
      <c r="E650" s="7713" t="s">
        <v>2232</v>
      </c>
      <c r="F650" s="7713" t="str">
        <f t="shared" si="50"/>
        <v/>
      </c>
      <c r="G650" s="7713"/>
      <c r="H650" s="7713" t="str">
        <f t="shared" si="51"/>
        <v/>
      </c>
      <c r="I650" s="7713">
        <v>75.0</v>
      </c>
      <c r="J650" s="7713">
        <v>75.0</v>
      </c>
      <c r="K650" s="7713">
        <v>60.0</v>
      </c>
      <c r="L650" s="7713">
        <v>83.0</v>
      </c>
      <c r="M650" s="7713">
        <v>60.0</v>
      </c>
      <c r="N650" s="7715">
        <v>60.0</v>
      </c>
      <c r="O650" s="7701"/>
      <c r="P650" s="7704"/>
      <c r="Q650" s="7704"/>
      <c r="R650" s="7704"/>
      <c r="S650" s="7705"/>
    </row>
    <row r="651" ht="18.75" customHeight="1">
      <c r="A651" s="7696"/>
      <c r="B651" s="7718" t="s">
        <v>1443</v>
      </c>
      <c r="C651" s="7719" t="s">
        <v>3227</v>
      </c>
      <c r="D651" s="7720"/>
      <c r="E651" s="7719" t="s">
        <v>2232</v>
      </c>
      <c r="F651" s="7719" t="str">
        <f t="shared" si="50"/>
        <v/>
      </c>
      <c r="G651" s="7719" t="s">
        <v>2286</v>
      </c>
      <c r="H651" s="7719" t="str">
        <f t="shared" si="51"/>
        <v/>
      </c>
      <c r="I651" s="7719">
        <v>95.0</v>
      </c>
      <c r="J651" s="7719">
        <v>108.0</v>
      </c>
      <c r="K651" s="7719">
        <v>85.0</v>
      </c>
      <c r="L651" s="7719">
        <v>95.0</v>
      </c>
      <c r="M651" s="7719">
        <v>70.0</v>
      </c>
      <c r="N651" s="7721">
        <v>90.0</v>
      </c>
      <c r="O651" s="7701"/>
      <c r="P651" s="7704"/>
      <c r="Q651" s="7704"/>
      <c r="R651" s="7704"/>
      <c r="S651" s="7705"/>
    </row>
    <row r="652" ht="18.75" customHeight="1">
      <c r="A652" s="7696"/>
      <c r="B652" s="7712" t="s">
        <v>1684</v>
      </c>
      <c r="C652" s="7722" t="s">
        <v>3228</v>
      </c>
      <c r="D652" s="7714"/>
      <c r="E652" s="7713" t="s">
        <v>2232</v>
      </c>
      <c r="F652" s="7713" t="str">
        <f t="shared" si="50"/>
        <v/>
      </c>
      <c r="G652" s="7713" t="s">
        <v>2272</v>
      </c>
      <c r="H652" s="7713" t="str">
        <f t="shared" si="51"/>
        <v/>
      </c>
      <c r="I652" s="7713">
        <v>95.0</v>
      </c>
      <c r="J652" s="7713">
        <v>108.0</v>
      </c>
      <c r="K652" s="7713">
        <v>85.0</v>
      </c>
      <c r="L652" s="7713">
        <v>95.0</v>
      </c>
      <c r="M652" s="7713">
        <v>70.0</v>
      </c>
      <c r="N652" s="7715">
        <v>90.0</v>
      </c>
      <c r="O652" s="7701"/>
      <c r="P652" s="7704"/>
      <c r="Q652" s="7704"/>
      <c r="R652" s="7704"/>
      <c r="S652" s="7705"/>
    </row>
    <row r="653" ht="18.75" customHeight="1">
      <c r="A653" s="7696"/>
      <c r="B653" s="7718" t="s">
        <v>3229</v>
      </c>
      <c r="C653" s="7719" t="s">
        <v>3230</v>
      </c>
      <c r="D653" s="7720"/>
      <c r="E653" s="7719" t="s">
        <v>2262</v>
      </c>
      <c r="F653" s="7719" t="str">
        <f t="shared" si="50"/>
        <v/>
      </c>
      <c r="G653" s="7719"/>
      <c r="H653" s="7719" t="str">
        <f t="shared" si="51"/>
        <v/>
      </c>
      <c r="I653" s="7719">
        <v>45.0</v>
      </c>
      <c r="J653" s="7719">
        <v>55.0</v>
      </c>
      <c r="K653" s="7719">
        <v>39.0</v>
      </c>
      <c r="L653" s="7719">
        <v>35.0</v>
      </c>
      <c r="M653" s="7719">
        <v>39.0</v>
      </c>
      <c r="N653" s="7721">
        <v>42.0</v>
      </c>
      <c r="O653" s="7701"/>
      <c r="P653" s="7704"/>
      <c r="Q653" s="7704"/>
      <c r="R653" s="7704"/>
      <c r="S653" s="7705"/>
    </row>
    <row r="654" ht="18.75" customHeight="1">
      <c r="A654" s="7696"/>
      <c r="B654" s="7712" t="s">
        <v>277</v>
      </c>
      <c r="C654" s="7713" t="s">
        <v>3231</v>
      </c>
      <c r="D654" s="7714"/>
      <c r="E654" s="7713" t="s">
        <v>2262</v>
      </c>
      <c r="F654" s="7713" t="str">
        <f t="shared" si="50"/>
        <v/>
      </c>
      <c r="G654" s="7713"/>
      <c r="H654" s="7713" t="str">
        <f t="shared" si="51"/>
        <v/>
      </c>
      <c r="I654" s="7713">
        <v>85.0</v>
      </c>
      <c r="J654" s="7713">
        <v>100.0</v>
      </c>
      <c r="K654" s="7713">
        <v>69.0</v>
      </c>
      <c r="L654" s="7713">
        <v>60.0</v>
      </c>
      <c r="M654" s="7713">
        <v>69.0</v>
      </c>
      <c r="N654" s="7715">
        <v>77.0</v>
      </c>
      <c r="O654" s="7701"/>
      <c r="P654" s="7704"/>
      <c r="Q654" s="7704"/>
      <c r="R654" s="7704"/>
      <c r="S654" s="7705"/>
    </row>
    <row r="655" ht="18.75" customHeight="1">
      <c r="A655" s="7696"/>
      <c r="B655" s="7718" t="s">
        <v>3232</v>
      </c>
      <c r="C655" s="7719" t="s">
        <v>3233</v>
      </c>
      <c r="D655" s="7720"/>
      <c r="E655" s="7719" t="s">
        <v>2262</v>
      </c>
      <c r="F655" s="7719" t="str">
        <f t="shared" si="50"/>
        <v/>
      </c>
      <c r="G655" s="7719"/>
      <c r="H655" s="7719" t="str">
        <f t="shared" si="51"/>
        <v/>
      </c>
      <c r="I655" s="7719">
        <v>45.0</v>
      </c>
      <c r="J655" s="7719">
        <v>60.0</v>
      </c>
      <c r="K655" s="7719">
        <v>45.0</v>
      </c>
      <c r="L655" s="7719">
        <v>25.0</v>
      </c>
      <c r="M655" s="7719">
        <v>45.0</v>
      </c>
      <c r="N655" s="7721">
        <v>55.0</v>
      </c>
      <c r="O655" s="7701"/>
      <c r="P655" s="7704"/>
      <c r="Q655" s="7704"/>
      <c r="R655" s="7704"/>
      <c r="S655" s="7705"/>
    </row>
    <row r="656" ht="18.75" customHeight="1">
      <c r="A656" s="7696"/>
      <c r="B656" s="7712" t="s">
        <v>3234</v>
      </c>
      <c r="C656" s="7713" t="s">
        <v>3235</v>
      </c>
      <c r="D656" s="7714"/>
      <c r="E656" s="7713" t="s">
        <v>2262</v>
      </c>
      <c r="F656" s="7713" t="str">
        <f t="shared" si="50"/>
        <v/>
      </c>
      <c r="G656" s="7713"/>
      <c r="H656" s="7713" t="str">
        <f t="shared" si="51"/>
        <v/>
      </c>
      <c r="I656" s="7713">
        <v>65.0</v>
      </c>
      <c r="J656" s="7713">
        <v>80.0</v>
      </c>
      <c r="K656" s="7713">
        <v>65.0</v>
      </c>
      <c r="L656" s="7713">
        <v>35.0</v>
      </c>
      <c r="M656" s="7713">
        <v>65.0</v>
      </c>
      <c r="N656" s="7715">
        <v>60.0</v>
      </c>
      <c r="O656" s="7701"/>
      <c r="P656" s="7704"/>
      <c r="Q656" s="7704"/>
      <c r="R656" s="7704"/>
      <c r="S656" s="7705"/>
    </row>
    <row r="657" ht="18.75" customHeight="1">
      <c r="A657" s="7696"/>
      <c r="B657" s="7718" t="s">
        <v>3236</v>
      </c>
      <c r="C657" s="7719" t="s">
        <v>3237</v>
      </c>
      <c r="D657" s="7720"/>
      <c r="E657" s="7719" t="s">
        <v>2262</v>
      </c>
      <c r="F657" s="7719" t="str">
        <f t="shared" si="50"/>
        <v/>
      </c>
      <c r="G657" s="7719"/>
      <c r="H657" s="7719" t="str">
        <f t="shared" si="51"/>
        <v/>
      </c>
      <c r="I657" s="7719">
        <v>90.0</v>
      </c>
      <c r="J657" s="7719">
        <v>115.0</v>
      </c>
      <c r="K657" s="7719">
        <v>90.0</v>
      </c>
      <c r="L657" s="7719">
        <v>45.0</v>
      </c>
      <c r="M657" s="7719">
        <v>90.0</v>
      </c>
      <c r="N657" s="7721">
        <v>80.0</v>
      </c>
      <c r="O657" s="7701"/>
      <c r="P657" s="7704"/>
      <c r="Q657" s="7704"/>
      <c r="R657" s="7704"/>
      <c r="S657" s="7705"/>
    </row>
    <row r="658" ht="18.75" customHeight="1">
      <c r="A658" s="7696"/>
      <c r="B658" s="7712" t="s">
        <v>3238</v>
      </c>
      <c r="C658" s="7713" t="s">
        <v>3239</v>
      </c>
      <c r="D658" s="7714"/>
      <c r="E658" s="7713" t="s">
        <v>2272</v>
      </c>
      <c r="F658" s="7713" t="str">
        <f t="shared" si="50"/>
        <v/>
      </c>
      <c r="G658" s="7713"/>
      <c r="H658" s="7713" t="str">
        <f t="shared" si="51"/>
        <v/>
      </c>
      <c r="I658" s="7713">
        <v>41.0</v>
      </c>
      <c r="J658" s="7713">
        <v>50.0</v>
      </c>
      <c r="K658" s="7713">
        <v>37.0</v>
      </c>
      <c r="L658" s="7713">
        <v>50.0</v>
      </c>
      <c r="M658" s="7713">
        <v>37.0</v>
      </c>
      <c r="N658" s="7715">
        <v>66.0</v>
      </c>
      <c r="O658" s="7701"/>
      <c r="P658" s="7704"/>
      <c r="Q658" s="7704"/>
      <c r="R658" s="7704"/>
      <c r="S658" s="7705"/>
    </row>
    <row r="659" ht="18.75" customHeight="1">
      <c r="A659" s="7696"/>
      <c r="B659" s="7718" t="s">
        <v>284</v>
      </c>
      <c r="C659" s="7719" t="s">
        <v>3240</v>
      </c>
      <c r="D659" s="7720"/>
      <c r="E659" s="7719" t="s">
        <v>2272</v>
      </c>
      <c r="F659" s="7719" t="str">
        <f t="shared" si="50"/>
        <v/>
      </c>
      <c r="G659" s="7719"/>
      <c r="H659" s="7719" t="str">
        <f t="shared" si="51"/>
        <v/>
      </c>
      <c r="I659" s="7719">
        <v>64.0</v>
      </c>
      <c r="J659" s="7719">
        <v>98.0</v>
      </c>
      <c r="K659" s="7719">
        <v>50.0</v>
      </c>
      <c r="L659" s="7719">
        <v>78.0</v>
      </c>
      <c r="M659" s="7719">
        <v>50.0</v>
      </c>
      <c r="N659" s="7721">
        <v>106.0</v>
      </c>
      <c r="O659" s="7701"/>
      <c r="P659" s="7704"/>
      <c r="Q659" s="7704"/>
      <c r="R659" s="7704"/>
      <c r="S659" s="7705"/>
    </row>
    <row r="660" ht="18.75" customHeight="1">
      <c r="A660" s="7696"/>
      <c r="B660" s="7712" t="s">
        <v>3241</v>
      </c>
      <c r="C660" s="7713" t="s">
        <v>3242</v>
      </c>
      <c r="D660" s="7714"/>
      <c r="E660" s="7713" t="s">
        <v>2209</v>
      </c>
      <c r="F660" s="7713" t="str">
        <f t="shared" si="50"/>
        <v/>
      </c>
      <c r="G660" s="7713"/>
      <c r="H660" s="7713" t="str">
        <f t="shared" si="51"/>
        <v/>
      </c>
      <c r="I660" s="7713">
        <v>50.0</v>
      </c>
      <c r="J660" s="7713">
        <v>53.0</v>
      </c>
      <c r="K660" s="7713">
        <v>48.0</v>
      </c>
      <c r="L660" s="7713">
        <v>53.0</v>
      </c>
      <c r="M660" s="7713">
        <v>48.0</v>
      </c>
      <c r="N660" s="7715">
        <v>64.0</v>
      </c>
      <c r="O660" s="7701"/>
      <c r="P660" s="7704"/>
      <c r="Q660" s="7704"/>
      <c r="R660" s="7704"/>
      <c r="S660" s="7705"/>
    </row>
    <row r="661" ht="18.75" customHeight="1">
      <c r="A661" s="7696"/>
      <c r="B661" s="7718" t="s">
        <v>1016</v>
      </c>
      <c r="C661" s="7719" t="s">
        <v>3243</v>
      </c>
      <c r="D661" s="7720"/>
      <c r="E661" s="7719" t="s">
        <v>2209</v>
      </c>
      <c r="F661" s="7719" t="str">
        <f t="shared" si="50"/>
        <v/>
      </c>
      <c r="G661" s="7719"/>
      <c r="H661" s="7719" t="str">
        <f t="shared" si="51"/>
        <v/>
      </c>
      <c r="I661" s="7719">
        <v>75.0</v>
      </c>
      <c r="J661" s="7719">
        <v>98.0</v>
      </c>
      <c r="K661" s="7719">
        <v>63.0</v>
      </c>
      <c r="L661" s="7719">
        <v>98.0</v>
      </c>
      <c r="M661" s="7719">
        <v>63.0</v>
      </c>
      <c r="N661" s="7721">
        <v>101.0</v>
      </c>
      <c r="O661" s="7701"/>
      <c r="P661" s="7704"/>
      <c r="Q661" s="7704"/>
      <c r="R661" s="7704"/>
      <c r="S661" s="7705"/>
    </row>
    <row r="662" ht="18.75" customHeight="1">
      <c r="A662" s="7696"/>
      <c r="B662" s="7712" t="s">
        <v>3244</v>
      </c>
      <c r="C662" s="7713" t="s">
        <v>3245</v>
      </c>
      <c r="D662" s="7714"/>
      <c r="E662" s="7713" t="s">
        <v>2219</v>
      </c>
      <c r="F662" s="7713" t="str">
        <f t="shared" si="50"/>
        <v/>
      </c>
      <c r="G662" s="7713"/>
      <c r="H662" s="7713" t="str">
        <f t="shared" si="51"/>
        <v/>
      </c>
      <c r="I662" s="7713">
        <v>50.0</v>
      </c>
      <c r="J662" s="7713">
        <v>53.0</v>
      </c>
      <c r="K662" s="7713">
        <v>48.0</v>
      </c>
      <c r="L662" s="7713">
        <v>53.0</v>
      </c>
      <c r="M662" s="7713">
        <v>48.0</v>
      </c>
      <c r="N662" s="7715">
        <v>64.0</v>
      </c>
      <c r="O662" s="7701"/>
      <c r="P662" s="7704"/>
      <c r="Q662" s="7704"/>
      <c r="R662" s="7704"/>
      <c r="S662" s="7705"/>
    </row>
    <row r="663" ht="18.75" customHeight="1">
      <c r="A663" s="7696"/>
      <c r="B663" s="7718" t="s">
        <v>999</v>
      </c>
      <c r="C663" s="7719" t="s">
        <v>3246</v>
      </c>
      <c r="D663" s="7720"/>
      <c r="E663" s="7723" t="s">
        <v>2219</v>
      </c>
      <c r="F663" s="7723" t="str">
        <f t="shared" si="50"/>
        <v/>
      </c>
      <c r="G663" s="7723"/>
      <c r="H663" s="7723" t="str">
        <f t="shared" si="51"/>
        <v/>
      </c>
      <c r="I663" s="7719">
        <v>75.0</v>
      </c>
      <c r="J663" s="7719">
        <v>98.0</v>
      </c>
      <c r="K663" s="7719">
        <v>63.0</v>
      </c>
      <c r="L663" s="7719">
        <v>98.0</v>
      </c>
      <c r="M663" s="7719">
        <v>63.0</v>
      </c>
      <c r="N663" s="7721">
        <v>101.0</v>
      </c>
      <c r="O663" s="7701"/>
      <c r="P663" s="7704"/>
      <c r="Q663" s="7704"/>
      <c r="R663" s="7704"/>
      <c r="S663" s="7705"/>
    </row>
    <row r="664" ht="18.75" customHeight="1">
      <c r="A664" s="7696"/>
      <c r="B664" s="7712" t="s">
        <v>3247</v>
      </c>
      <c r="C664" s="7713" t="s">
        <v>3248</v>
      </c>
      <c r="D664" s="7714"/>
      <c r="E664" s="7713" t="s">
        <v>2232</v>
      </c>
      <c r="F664" s="7713" t="str">
        <f t="shared" si="50"/>
        <v/>
      </c>
      <c r="G664" s="7713"/>
      <c r="H664" s="7713" t="str">
        <f t="shared" si="51"/>
        <v/>
      </c>
      <c r="I664" s="7713">
        <v>50.0</v>
      </c>
      <c r="J664" s="7713">
        <v>53.0</v>
      </c>
      <c r="K664" s="7713">
        <v>48.0</v>
      </c>
      <c r="L664" s="7713">
        <v>53.0</v>
      </c>
      <c r="M664" s="7713">
        <v>48.0</v>
      </c>
      <c r="N664" s="7715">
        <v>64.0</v>
      </c>
      <c r="O664" s="7701"/>
      <c r="P664" s="7704"/>
      <c r="Q664" s="7704"/>
      <c r="R664" s="7704"/>
      <c r="S664" s="7705"/>
    </row>
    <row r="665" ht="18.75" customHeight="1">
      <c r="A665" s="7696"/>
      <c r="B665" s="7718" t="s">
        <v>1026</v>
      </c>
      <c r="C665" s="7719" t="s">
        <v>3249</v>
      </c>
      <c r="D665" s="7720"/>
      <c r="E665" s="7719" t="s">
        <v>2232</v>
      </c>
      <c r="F665" s="7719" t="str">
        <f t="shared" si="50"/>
        <v/>
      </c>
      <c r="G665" s="7719"/>
      <c r="H665" s="7719" t="str">
        <f t="shared" si="51"/>
        <v/>
      </c>
      <c r="I665" s="7719">
        <v>75.0</v>
      </c>
      <c r="J665" s="7719">
        <v>98.0</v>
      </c>
      <c r="K665" s="7719">
        <v>63.0</v>
      </c>
      <c r="L665" s="7719">
        <v>98.0</v>
      </c>
      <c r="M665" s="7719">
        <v>63.0</v>
      </c>
      <c r="N665" s="7721">
        <v>101.0</v>
      </c>
      <c r="O665" s="7701"/>
      <c r="P665" s="7704"/>
      <c r="Q665" s="7704"/>
      <c r="R665" s="7704"/>
      <c r="S665" s="7705"/>
    </row>
    <row r="666" ht="18.75" customHeight="1">
      <c r="A666" s="7696"/>
      <c r="B666" s="7712" t="s">
        <v>3250</v>
      </c>
      <c r="C666" s="7713" t="s">
        <v>3251</v>
      </c>
      <c r="D666" s="7714"/>
      <c r="E666" s="7713" t="s">
        <v>669</v>
      </c>
      <c r="F666" s="7713" t="str">
        <f t="shared" si="50"/>
        <v/>
      </c>
      <c r="G666" s="7713"/>
      <c r="H666" s="7713" t="str">
        <f t="shared" si="51"/>
        <v/>
      </c>
      <c r="I666" s="7713">
        <v>76.0</v>
      </c>
      <c r="J666" s="7713">
        <v>25.0</v>
      </c>
      <c r="K666" s="7713">
        <v>45.0</v>
      </c>
      <c r="L666" s="7713">
        <v>67.0</v>
      </c>
      <c r="M666" s="7713">
        <v>55.0</v>
      </c>
      <c r="N666" s="7715">
        <v>24.0</v>
      </c>
      <c r="O666" s="7701"/>
      <c r="P666" s="7704"/>
      <c r="Q666" s="7704"/>
      <c r="R666" s="7704"/>
      <c r="S666" s="7705"/>
    </row>
    <row r="667" ht="18.75" customHeight="1">
      <c r="A667" s="7696"/>
      <c r="B667" s="7718" t="s">
        <v>270</v>
      </c>
      <c r="C667" s="7719" t="s">
        <v>3252</v>
      </c>
      <c r="D667" s="7720"/>
      <c r="E667" s="7719" t="s">
        <v>669</v>
      </c>
      <c r="F667" s="7719" t="str">
        <f t="shared" si="50"/>
        <v/>
      </c>
      <c r="G667" s="7719"/>
      <c r="H667" s="7719" t="str">
        <f t="shared" si="51"/>
        <v/>
      </c>
      <c r="I667" s="7719">
        <v>116.0</v>
      </c>
      <c r="J667" s="7719">
        <v>55.0</v>
      </c>
      <c r="K667" s="7719">
        <v>85.0</v>
      </c>
      <c r="L667" s="7719">
        <v>107.0</v>
      </c>
      <c r="M667" s="7719">
        <v>95.0</v>
      </c>
      <c r="N667" s="7721">
        <v>29.0</v>
      </c>
      <c r="O667" s="7701"/>
      <c r="P667" s="7704"/>
      <c r="Q667" s="7704"/>
      <c r="R667" s="7704"/>
      <c r="S667" s="7705"/>
    </row>
    <row r="668" ht="18.75" customHeight="1">
      <c r="A668" s="7696"/>
      <c r="B668" s="7712" t="s">
        <v>3253</v>
      </c>
      <c r="C668" s="7713" t="s">
        <v>3254</v>
      </c>
      <c r="D668" s="7714"/>
      <c r="E668" s="7713" t="s">
        <v>2262</v>
      </c>
      <c r="F668" s="7713" t="str">
        <f t="shared" si="50"/>
        <v/>
      </c>
      <c r="G668" s="7713" t="s">
        <v>2224</v>
      </c>
      <c r="H668" s="7713" t="str">
        <f t="shared" si="51"/>
        <v/>
      </c>
      <c r="I668" s="7713">
        <v>50.0</v>
      </c>
      <c r="J668" s="7713">
        <v>55.0</v>
      </c>
      <c r="K668" s="7713">
        <v>50.0</v>
      </c>
      <c r="L668" s="7713">
        <v>36.0</v>
      </c>
      <c r="M668" s="7713">
        <v>30.0</v>
      </c>
      <c r="N668" s="7715">
        <v>43.0</v>
      </c>
      <c r="O668" s="7701"/>
      <c r="P668" s="7704"/>
      <c r="Q668" s="7704"/>
      <c r="R668" s="7704"/>
      <c r="S668" s="7705"/>
    </row>
    <row r="669" ht="18.75" customHeight="1">
      <c r="A669" s="7696"/>
      <c r="B669" s="7718" t="s">
        <v>3255</v>
      </c>
      <c r="C669" s="7719" t="s">
        <v>3256</v>
      </c>
      <c r="D669" s="7720"/>
      <c r="E669" s="7719" t="s">
        <v>2262</v>
      </c>
      <c r="F669" s="7719" t="str">
        <f t="shared" si="50"/>
        <v/>
      </c>
      <c r="G669" s="7719" t="s">
        <v>2224</v>
      </c>
      <c r="H669" s="7719" t="str">
        <f t="shared" si="51"/>
        <v/>
      </c>
      <c r="I669" s="7719">
        <v>62.0</v>
      </c>
      <c r="J669" s="7719">
        <v>77.0</v>
      </c>
      <c r="K669" s="7719">
        <v>62.0</v>
      </c>
      <c r="L669" s="7719">
        <v>50.0</v>
      </c>
      <c r="M669" s="7719">
        <v>42.0</v>
      </c>
      <c r="N669" s="7721">
        <v>65.0</v>
      </c>
      <c r="O669" s="7701"/>
      <c r="P669" s="7704"/>
      <c r="Q669" s="7704"/>
      <c r="R669" s="7704"/>
      <c r="S669" s="7705"/>
    </row>
    <row r="670" ht="18.75" customHeight="1">
      <c r="A670" s="7696"/>
      <c r="B670" s="7712" t="s">
        <v>291</v>
      </c>
      <c r="C670" s="7713" t="s">
        <v>3257</v>
      </c>
      <c r="D670" s="7714"/>
      <c r="E670" s="7713" t="s">
        <v>2262</v>
      </c>
      <c r="F670" s="7713" t="str">
        <f t="shared" si="50"/>
        <v/>
      </c>
      <c r="G670" s="7713" t="s">
        <v>2224</v>
      </c>
      <c r="H670" s="7713" t="str">
        <f t="shared" si="51"/>
        <v/>
      </c>
      <c r="I670" s="7713">
        <v>80.0</v>
      </c>
      <c r="J670" s="7713">
        <v>115.0</v>
      </c>
      <c r="K670" s="7713">
        <v>80.0</v>
      </c>
      <c r="L670" s="7713">
        <v>65.0</v>
      </c>
      <c r="M670" s="7713">
        <v>55.0</v>
      </c>
      <c r="N670" s="7715">
        <v>108.0</v>
      </c>
      <c r="O670" s="7701"/>
      <c r="P670" s="7704"/>
      <c r="Q670" s="7704"/>
      <c r="R670" s="7704"/>
      <c r="S670" s="7705"/>
    </row>
    <row r="671" ht="18.75" customHeight="1">
      <c r="A671" s="7696"/>
      <c r="B671" s="7718" t="s">
        <v>3258</v>
      </c>
      <c r="C671" s="7723" t="s">
        <v>3259</v>
      </c>
      <c r="D671" s="7720"/>
      <c r="E671" s="7719" t="s">
        <v>2262</v>
      </c>
      <c r="F671" s="7719" t="str">
        <f t="shared" si="50"/>
        <v/>
      </c>
      <c r="G671" s="7719" t="s">
        <v>2224</v>
      </c>
      <c r="H671" s="7719" t="str">
        <f t="shared" si="51"/>
        <v/>
      </c>
      <c r="I671" s="7723">
        <v>80.0</v>
      </c>
      <c r="J671" s="7723">
        <v>105.0</v>
      </c>
      <c r="K671" s="7723">
        <v>80.0</v>
      </c>
      <c r="L671" s="7723">
        <v>65.0</v>
      </c>
      <c r="M671" s="7723">
        <v>55.0</v>
      </c>
      <c r="N671" s="7726">
        <v>93.0</v>
      </c>
      <c r="O671" s="7701"/>
      <c r="P671" s="7704"/>
      <c r="Q671" s="7704"/>
      <c r="R671" s="7704"/>
      <c r="S671" s="7705"/>
    </row>
    <row r="672" ht="18.75" customHeight="1">
      <c r="A672" s="7696"/>
      <c r="B672" s="7712" t="s">
        <v>3260</v>
      </c>
      <c r="C672" s="7713" t="s">
        <v>3261</v>
      </c>
      <c r="D672" s="7714"/>
      <c r="E672" s="7713" t="s">
        <v>2283</v>
      </c>
      <c r="F672" s="7713" t="str">
        <f t="shared" si="50"/>
        <v/>
      </c>
      <c r="G672" s="7713"/>
      <c r="H672" s="7713" t="str">
        <f t="shared" si="51"/>
        <v/>
      </c>
      <c r="I672" s="7713">
        <v>45.0</v>
      </c>
      <c r="J672" s="7713">
        <v>60.0</v>
      </c>
      <c r="K672" s="7713">
        <v>32.0</v>
      </c>
      <c r="L672" s="7713">
        <v>50.0</v>
      </c>
      <c r="M672" s="7713">
        <v>32.0</v>
      </c>
      <c r="N672" s="7715">
        <v>76.0</v>
      </c>
      <c r="O672" s="7701"/>
      <c r="P672" s="7704"/>
      <c r="Q672" s="7704"/>
      <c r="R672" s="7704"/>
      <c r="S672" s="7705"/>
    </row>
    <row r="673" ht="18.75" customHeight="1">
      <c r="A673" s="7696"/>
      <c r="B673" s="7718" t="s">
        <v>1570</v>
      </c>
      <c r="C673" s="7719" t="s">
        <v>3262</v>
      </c>
      <c r="D673" s="7720"/>
      <c r="E673" s="7719" t="s">
        <v>2283</v>
      </c>
      <c r="F673" s="7719" t="str">
        <f t="shared" si="50"/>
        <v/>
      </c>
      <c r="G673" s="7719"/>
      <c r="H673" s="7719" t="str">
        <f t="shared" si="51"/>
        <v/>
      </c>
      <c r="I673" s="7719">
        <v>75.0</v>
      </c>
      <c r="J673" s="7719">
        <v>100.0</v>
      </c>
      <c r="K673" s="7719">
        <v>63.0</v>
      </c>
      <c r="L673" s="7719">
        <v>80.0</v>
      </c>
      <c r="M673" s="7719">
        <v>63.0</v>
      </c>
      <c r="N673" s="7721">
        <v>116.0</v>
      </c>
      <c r="O673" s="7701"/>
      <c r="P673" s="7704"/>
      <c r="Q673" s="7704"/>
      <c r="R673" s="7704"/>
      <c r="S673" s="7705"/>
    </row>
    <row r="674" ht="18.75" customHeight="1">
      <c r="A674" s="7696"/>
      <c r="B674" s="7712" t="s">
        <v>3263</v>
      </c>
      <c r="C674" s="7713" t="s">
        <v>3264</v>
      </c>
      <c r="D674" s="7714"/>
      <c r="E674" s="7713" t="s">
        <v>2370</v>
      </c>
      <c r="F674" s="7713" t="str">
        <f t="shared" si="50"/>
        <v/>
      </c>
      <c r="G674" s="7713"/>
      <c r="H674" s="7713" t="str">
        <f t="shared" si="51"/>
        <v/>
      </c>
      <c r="I674" s="7713">
        <v>55.0</v>
      </c>
      <c r="J674" s="7713">
        <v>75.0</v>
      </c>
      <c r="K674" s="7713">
        <v>85.0</v>
      </c>
      <c r="L674" s="7713">
        <v>25.0</v>
      </c>
      <c r="M674" s="7713">
        <v>25.0</v>
      </c>
      <c r="N674" s="7715">
        <v>15.0</v>
      </c>
      <c r="O674" s="7701"/>
      <c r="P674" s="7704"/>
      <c r="Q674" s="7704"/>
      <c r="R674" s="7704"/>
      <c r="S674" s="7705"/>
    </row>
    <row r="675" ht="18.75" customHeight="1">
      <c r="A675" s="7696"/>
      <c r="B675" s="7718" t="s">
        <v>3265</v>
      </c>
      <c r="C675" s="7719" t="s">
        <v>3266</v>
      </c>
      <c r="D675" s="7720"/>
      <c r="E675" s="7719" t="s">
        <v>2370</v>
      </c>
      <c r="F675" s="7719" t="str">
        <f t="shared" si="50"/>
        <v/>
      </c>
      <c r="G675" s="7719"/>
      <c r="H675" s="7719" t="str">
        <f t="shared" si="51"/>
        <v/>
      </c>
      <c r="I675" s="7719">
        <v>70.0</v>
      </c>
      <c r="J675" s="7719">
        <v>105.0</v>
      </c>
      <c r="K675" s="7719">
        <v>105.0</v>
      </c>
      <c r="L675" s="7719">
        <v>50.0</v>
      </c>
      <c r="M675" s="7719">
        <v>40.0</v>
      </c>
      <c r="N675" s="7721">
        <v>20.0</v>
      </c>
      <c r="O675" s="7701"/>
      <c r="P675" s="7704"/>
      <c r="Q675" s="7704"/>
      <c r="R675" s="7704"/>
      <c r="S675" s="7705"/>
    </row>
    <row r="676" ht="18.75" customHeight="1">
      <c r="A676" s="7696"/>
      <c r="B676" s="7712" t="s">
        <v>95</v>
      </c>
      <c r="C676" s="7713" t="s">
        <v>3267</v>
      </c>
      <c r="D676" s="7714"/>
      <c r="E676" s="7713" t="s">
        <v>2370</v>
      </c>
      <c r="F676" s="7713" t="str">
        <f t="shared" si="50"/>
        <v/>
      </c>
      <c r="G676" s="7713"/>
      <c r="H676" s="7713" t="str">
        <f t="shared" si="51"/>
        <v/>
      </c>
      <c r="I676" s="7713">
        <v>85.0</v>
      </c>
      <c r="J676" s="7713">
        <v>135.0</v>
      </c>
      <c r="K676" s="7713">
        <v>130.0</v>
      </c>
      <c r="L676" s="7713">
        <v>60.0</v>
      </c>
      <c r="M676" s="7713">
        <v>80.0</v>
      </c>
      <c r="N676" s="7715">
        <v>25.0</v>
      </c>
      <c r="O676" s="7701"/>
      <c r="P676" s="7704"/>
      <c r="Q676" s="7704"/>
      <c r="R676" s="7704"/>
      <c r="S676" s="7705"/>
    </row>
    <row r="677" ht="18.75" customHeight="1">
      <c r="A677" s="7696"/>
      <c r="B677" s="7718" t="s">
        <v>3268</v>
      </c>
      <c r="C677" s="7719" t="s">
        <v>3269</v>
      </c>
      <c r="D677" s="7720"/>
      <c r="E677" s="7723" t="s">
        <v>669</v>
      </c>
      <c r="F677" s="7723" t="str">
        <f t="shared" si="50"/>
        <v/>
      </c>
      <c r="G677" s="7723" t="s">
        <v>2224</v>
      </c>
      <c r="H677" s="7723" t="str">
        <f t="shared" si="51"/>
        <v/>
      </c>
      <c r="I677" s="7719">
        <v>65.0</v>
      </c>
      <c r="J677" s="7719">
        <v>45.0</v>
      </c>
      <c r="K677" s="7719">
        <v>43.0</v>
      </c>
      <c r="L677" s="7719">
        <v>55.0</v>
      </c>
      <c r="M677" s="7719">
        <v>43.0</v>
      </c>
      <c r="N677" s="7721">
        <v>72.0</v>
      </c>
      <c r="O677" s="7701"/>
      <c r="P677" s="7704"/>
      <c r="Q677" s="7704"/>
      <c r="R677" s="7704"/>
      <c r="S677" s="7705"/>
    </row>
    <row r="678" ht="18.75" customHeight="1">
      <c r="A678" s="7696"/>
      <c r="B678" s="7712" t="s">
        <v>302</v>
      </c>
      <c r="C678" s="7713" t="s">
        <v>3270</v>
      </c>
      <c r="D678" s="7714"/>
      <c r="E678" s="7713" t="s">
        <v>669</v>
      </c>
      <c r="F678" s="7713" t="str">
        <f t="shared" si="50"/>
        <v/>
      </c>
      <c r="G678" s="7713" t="s">
        <v>2224</v>
      </c>
      <c r="H678" s="7713" t="str">
        <f t="shared" si="51"/>
        <v/>
      </c>
      <c r="I678" s="7713">
        <v>75.0</v>
      </c>
      <c r="J678" s="7713">
        <v>57.0</v>
      </c>
      <c r="K678" s="7713">
        <v>65.0</v>
      </c>
      <c r="L678" s="7713">
        <v>77.0</v>
      </c>
      <c r="M678" s="7713">
        <v>55.0</v>
      </c>
      <c r="N678" s="7715">
        <v>114.0</v>
      </c>
      <c r="O678" s="7701"/>
      <c r="P678" s="7704"/>
      <c r="Q678" s="7704"/>
      <c r="R678" s="7704"/>
      <c r="S678" s="7705"/>
    </row>
    <row r="679" ht="18.75" customHeight="1">
      <c r="A679" s="7696"/>
      <c r="B679" s="7718" t="s">
        <v>3271</v>
      </c>
      <c r="C679" s="7719" t="s">
        <v>3272</v>
      </c>
      <c r="D679" s="7720"/>
      <c r="E679" s="7719" t="s">
        <v>2304</v>
      </c>
      <c r="F679" s="7719" t="str">
        <f t="shared" si="50"/>
        <v/>
      </c>
      <c r="G679" s="7719"/>
      <c r="H679" s="7719" t="str">
        <f t="shared" si="51"/>
        <v/>
      </c>
      <c r="I679" s="7719">
        <v>60.0</v>
      </c>
      <c r="J679" s="7719">
        <v>85.0</v>
      </c>
      <c r="K679" s="7719">
        <v>40.0</v>
      </c>
      <c r="L679" s="7719">
        <v>30.0</v>
      </c>
      <c r="M679" s="7719">
        <v>45.0</v>
      </c>
      <c r="N679" s="7721">
        <v>68.0</v>
      </c>
      <c r="O679" s="7701"/>
      <c r="P679" s="7704"/>
      <c r="Q679" s="7704"/>
      <c r="R679" s="7704"/>
      <c r="S679" s="7705"/>
    </row>
    <row r="680" ht="18.75" customHeight="1">
      <c r="A680" s="7696"/>
      <c r="B680" s="7712" t="s">
        <v>1277</v>
      </c>
      <c r="C680" s="7713" t="s">
        <v>3273</v>
      </c>
      <c r="D680" s="7714"/>
      <c r="E680" s="7713" t="s">
        <v>2304</v>
      </c>
      <c r="F680" s="7713" t="str">
        <f t="shared" si="50"/>
        <v/>
      </c>
      <c r="G680" s="7713" t="s">
        <v>2286</v>
      </c>
      <c r="H680" s="7713" t="str">
        <f t="shared" si="51"/>
        <v/>
      </c>
      <c r="I680" s="7713">
        <v>110.0</v>
      </c>
      <c r="J680" s="7713">
        <v>135.0</v>
      </c>
      <c r="K680" s="7713">
        <v>60.0</v>
      </c>
      <c r="L680" s="7713">
        <v>50.0</v>
      </c>
      <c r="M680" s="7713">
        <v>65.0</v>
      </c>
      <c r="N680" s="7715">
        <v>88.0</v>
      </c>
      <c r="O680" s="7701"/>
      <c r="P680" s="7704"/>
      <c r="Q680" s="7704"/>
      <c r="R680" s="7704"/>
      <c r="S680" s="7705"/>
    </row>
    <row r="681" ht="18.75" customHeight="1">
      <c r="A681" s="7696"/>
      <c r="B681" s="7718" t="s">
        <v>1353</v>
      </c>
      <c r="C681" s="7719" t="s">
        <v>3274</v>
      </c>
      <c r="D681" s="7720"/>
      <c r="E681" s="7719" t="s">
        <v>2262</v>
      </c>
      <c r="F681" s="7719" t="str">
        <f t="shared" si="50"/>
        <v/>
      </c>
      <c r="G681" s="7719"/>
      <c r="H681" s="7719" t="str">
        <f t="shared" si="51"/>
        <v/>
      </c>
      <c r="I681" s="7719">
        <v>103.0</v>
      </c>
      <c r="J681" s="7719">
        <v>60.0</v>
      </c>
      <c r="K681" s="7719">
        <v>86.0</v>
      </c>
      <c r="L681" s="7719">
        <v>60.0</v>
      </c>
      <c r="M681" s="7719">
        <v>86.0</v>
      </c>
      <c r="N681" s="7721">
        <v>50.0</v>
      </c>
      <c r="O681" s="7701"/>
      <c r="P681" s="7704"/>
      <c r="Q681" s="7704"/>
      <c r="R681" s="7704"/>
      <c r="S681" s="7705"/>
    </row>
    <row r="682" ht="18.75" customHeight="1">
      <c r="A682" s="7696"/>
      <c r="B682" s="7712" t="s">
        <v>3275</v>
      </c>
      <c r="C682" s="7722" t="s">
        <v>3276</v>
      </c>
      <c r="D682" s="7714"/>
      <c r="E682" s="7713" t="s">
        <v>2262</v>
      </c>
      <c r="F682" s="7713" t="str">
        <f t="shared" si="50"/>
        <v/>
      </c>
      <c r="G682" s="7713" t="s">
        <v>2292</v>
      </c>
      <c r="H682" s="7713" t="str">
        <f t="shared" si="51"/>
        <v/>
      </c>
      <c r="I682" s="7713">
        <v>103.0</v>
      </c>
      <c r="J682" s="7713">
        <v>60.0</v>
      </c>
      <c r="K682" s="7713">
        <v>126.0</v>
      </c>
      <c r="L682" s="7713">
        <v>80.0</v>
      </c>
      <c r="M682" s="7713">
        <v>126.0</v>
      </c>
      <c r="N682" s="7715">
        <v>50.0</v>
      </c>
      <c r="O682" s="7701"/>
      <c r="P682" s="7704"/>
      <c r="Q682" s="7704"/>
      <c r="R682" s="7704"/>
      <c r="S682" s="7705"/>
    </row>
    <row r="683" ht="18.75" customHeight="1">
      <c r="A683" s="7696"/>
      <c r="B683" s="7718" t="s">
        <v>3277</v>
      </c>
      <c r="C683" s="7719" t="s">
        <v>3278</v>
      </c>
      <c r="D683" s="7720"/>
      <c r="E683" s="7719" t="s">
        <v>2296</v>
      </c>
      <c r="F683" s="7719" t="str">
        <f t="shared" si="50"/>
        <v/>
      </c>
      <c r="G683" s="7719"/>
      <c r="H683" s="7719" t="str">
        <f t="shared" si="51"/>
        <v/>
      </c>
      <c r="I683" s="7719">
        <v>75.0</v>
      </c>
      <c r="J683" s="7719">
        <v>80.0</v>
      </c>
      <c r="K683" s="7719">
        <v>55.0</v>
      </c>
      <c r="L683" s="7719">
        <v>25.0</v>
      </c>
      <c r="M683" s="7719">
        <v>35.0</v>
      </c>
      <c r="N683" s="7721">
        <v>35.0</v>
      </c>
      <c r="O683" s="7701"/>
      <c r="P683" s="7704"/>
      <c r="Q683" s="7704"/>
      <c r="R683" s="7704"/>
      <c r="S683" s="7705"/>
    </row>
    <row r="684" ht="18.75" customHeight="1">
      <c r="A684" s="7696"/>
      <c r="B684" s="7712" t="s">
        <v>3279</v>
      </c>
      <c r="C684" s="7713" t="s">
        <v>3280</v>
      </c>
      <c r="D684" s="7714"/>
      <c r="E684" s="7713" t="s">
        <v>2296</v>
      </c>
      <c r="F684" s="7713" t="str">
        <f t="shared" si="50"/>
        <v/>
      </c>
      <c r="G684" s="7713"/>
      <c r="H684" s="7713" t="str">
        <f t="shared" si="51"/>
        <v/>
      </c>
      <c r="I684" s="7713">
        <v>85.0</v>
      </c>
      <c r="J684" s="7713">
        <v>105.0</v>
      </c>
      <c r="K684" s="7713">
        <v>85.0</v>
      </c>
      <c r="L684" s="7713">
        <v>40.0</v>
      </c>
      <c r="M684" s="7713">
        <v>50.0</v>
      </c>
      <c r="N684" s="7715">
        <v>40.0</v>
      </c>
      <c r="O684" s="7701"/>
      <c r="P684" s="7704"/>
      <c r="Q684" s="7704"/>
      <c r="R684" s="7704"/>
      <c r="S684" s="7705"/>
    </row>
    <row r="685" ht="18.75" customHeight="1">
      <c r="A685" s="7696"/>
      <c r="B685" s="7718" t="s">
        <v>1537</v>
      </c>
      <c r="C685" s="7719" t="s">
        <v>3281</v>
      </c>
      <c r="D685" s="7720"/>
      <c r="E685" s="7719" t="s">
        <v>2296</v>
      </c>
      <c r="F685" s="7719" t="str">
        <f t="shared" si="50"/>
        <v/>
      </c>
      <c r="G685" s="7719"/>
      <c r="H685" s="7719" t="str">
        <f t="shared" si="51"/>
        <v/>
      </c>
      <c r="I685" s="7719">
        <v>105.0</v>
      </c>
      <c r="J685" s="7719">
        <v>140.0</v>
      </c>
      <c r="K685" s="7719">
        <v>95.0</v>
      </c>
      <c r="L685" s="7719">
        <v>55.0</v>
      </c>
      <c r="M685" s="7719">
        <v>65.0</v>
      </c>
      <c r="N685" s="7721">
        <v>45.0</v>
      </c>
      <c r="O685" s="7701"/>
      <c r="P685" s="7704"/>
      <c r="Q685" s="7704"/>
      <c r="R685" s="7704"/>
      <c r="S685" s="7705"/>
    </row>
    <row r="686" ht="18.75" customHeight="1">
      <c r="A686" s="7696"/>
      <c r="B686" s="7712" t="s">
        <v>3282</v>
      </c>
      <c r="C686" s="7713" t="s">
        <v>3283</v>
      </c>
      <c r="D686" s="7714"/>
      <c r="E686" s="7713" t="s">
        <v>2232</v>
      </c>
      <c r="F686" s="7713" t="str">
        <f t="shared" si="50"/>
        <v/>
      </c>
      <c r="G686" s="7713"/>
      <c r="H686" s="7713" t="str">
        <f t="shared" si="51"/>
        <v/>
      </c>
      <c r="I686" s="7713">
        <v>50.0</v>
      </c>
      <c r="J686" s="7713">
        <v>50.0</v>
      </c>
      <c r="K686" s="7713">
        <v>40.0</v>
      </c>
      <c r="L686" s="7713">
        <v>50.0</v>
      </c>
      <c r="M686" s="7713">
        <v>40.0</v>
      </c>
      <c r="N686" s="7715">
        <v>64.0</v>
      </c>
      <c r="O686" s="7701"/>
      <c r="P686" s="7704"/>
      <c r="Q686" s="7704"/>
      <c r="R686" s="7704"/>
      <c r="S686" s="7705"/>
    </row>
    <row r="687" ht="18.75" customHeight="1">
      <c r="A687" s="7696"/>
      <c r="B687" s="7718" t="s">
        <v>3284</v>
      </c>
      <c r="C687" s="7719" t="s">
        <v>3285</v>
      </c>
      <c r="D687" s="7720"/>
      <c r="E687" s="7719" t="s">
        <v>2232</v>
      </c>
      <c r="F687" s="7719" t="str">
        <f t="shared" si="50"/>
        <v/>
      </c>
      <c r="G687" s="7719" t="s">
        <v>2304</v>
      </c>
      <c r="H687" s="7719" t="str">
        <f t="shared" si="51"/>
        <v/>
      </c>
      <c r="I687" s="7719">
        <v>75.0</v>
      </c>
      <c r="J687" s="7719">
        <v>65.0</v>
      </c>
      <c r="K687" s="7719">
        <v>55.0</v>
      </c>
      <c r="L687" s="7719">
        <v>65.0</v>
      </c>
      <c r="M687" s="7719">
        <v>55.0</v>
      </c>
      <c r="N687" s="7721">
        <v>69.0</v>
      </c>
      <c r="O687" s="7701"/>
      <c r="P687" s="7704"/>
      <c r="Q687" s="7704"/>
      <c r="R687" s="7704"/>
      <c r="S687" s="7705"/>
    </row>
    <row r="688" ht="18.75" customHeight="1">
      <c r="A688" s="7696"/>
      <c r="B688" s="7712" t="s">
        <v>2193</v>
      </c>
      <c r="C688" s="7713" t="s">
        <v>3286</v>
      </c>
      <c r="D688" s="7714"/>
      <c r="E688" s="7713" t="s">
        <v>2232</v>
      </c>
      <c r="F688" s="7713" t="str">
        <f t="shared" si="50"/>
        <v/>
      </c>
      <c r="G688" s="7713" t="s">
        <v>2304</v>
      </c>
      <c r="H688" s="7713" t="str">
        <f t="shared" si="51"/>
        <v/>
      </c>
      <c r="I688" s="7713">
        <v>105.0</v>
      </c>
      <c r="J688" s="7713">
        <v>95.0</v>
      </c>
      <c r="K688" s="7713">
        <v>75.0</v>
      </c>
      <c r="L688" s="7713">
        <v>85.0</v>
      </c>
      <c r="M688" s="7713">
        <v>75.0</v>
      </c>
      <c r="N688" s="7715">
        <v>74.0</v>
      </c>
      <c r="O688" s="7701"/>
      <c r="P688" s="7704"/>
      <c r="Q688" s="7704"/>
      <c r="R688" s="7704"/>
      <c r="S688" s="7705"/>
    </row>
    <row r="689" ht="18.75" customHeight="1">
      <c r="A689" s="7696"/>
      <c r="B689" s="7718" t="s">
        <v>3287</v>
      </c>
      <c r="C689" s="7719" t="s">
        <v>3288</v>
      </c>
      <c r="D689" s="7720"/>
      <c r="E689" s="7719" t="s">
        <v>2296</v>
      </c>
      <c r="F689" s="7719" t="str">
        <f t="shared" si="50"/>
        <v/>
      </c>
      <c r="G689" s="7719"/>
      <c r="H689" s="7719" t="str">
        <f t="shared" si="51"/>
        <v/>
      </c>
      <c r="I689" s="7719">
        <v>120.0</v>
      </c>
      <c r="J689" s="7719">
        <v>100.0</v>
      </c>
      <c r="K689" s="7719">
        <v>95.0</v>
      </c>
      <c r="L689" s="7719">
        <v>30.0</v>
      </c>
      <c r="M689" s="7719">
        <v>95.0</v>
      </c>
      <c r="N689" s="7721">
        <v>45.0</v>
      </c>
      <c r="O689" s="7701"/>
      <c r="P689" s="7704"/>
      <c r="Q689" s="7704"/>
      <c r="R689" s="7704"/>
      <c r="S689" s="7705"/>
    </row>
    <row r="690" ht="18.75" customHeight="1">
      <c r="A690" s="7696"/>
      <c r="B690" s="7712" t="s">
        <v>3289</v>
      </c>
      <c r="C690" s="7713" t="s">
        <v>3290</v>
      </c>
      <c r="D690" s="7714"/>
      <c r="E690" s="7713" t="s">
        <v>2296</v>
      </c>
      <c r="F690" s="7713" t="str">
        <f t="shared" si="50"/>
        <v/>
      </c>
      <c r="G690" s="7713"/>
      <c r="H690" s="7713" t="str">
        <f t="shared" si="51"/>
        <v/>
      </c>
      <c r="I690" s="7713">
        <v>75.0</v>
      </c>
      <c r="J690" s="7713">
        <v>125.0</v>
      </c>
      <c r="K690" s="7713">
        <v>75.0</v>
      </c>
      <c r="L690" s="7713">
        <v>30.0</v>
      </c>
      <c r="M690" s="7713">
        <v>75.0</v>
      </c>
      <c r="N690" s="7715">
        <v>85.0</v>
      </c>
      <c r="O690" s="7701"/>
      <c r="P690" s="7704"/>
      <c r="Q690" s="7704"/>
      <c r="R690" s="7704"/>
      <c r="S690" s="7705"/>
    </row>
    <row r="691" ht="18.75" customHeight="1">
      <c r="A691" s="7696"/>
      <c r="B691" s="7718" t="s">
        <v>3291</v>
      </c>
      <c r="C691" s="7719" t="s">
        <v>3292</v>
      </c>
      <c r="D691" s="7720"/>
      <c r="E691" s="7723" t="s">
        <v>2243</v>
      </c>
      <c r="F691" s="7723" t="str">
        <f t="shared" si="50"/>
        <v/>
      </c>
      <c r="G691" s="7723" t="s">
        <v>2209</v>
      </c>
      <c r="H691" s="7723" t="str">
        <f t="shared" si="51"/>
        <v/>
      </c>
      <c r="I691" s="7719">
        <v>45.0</v>
      </c>
      <c r="J691" s="7719">
        <v>53.0</v>
      </c>
      <c r="K691" s="7719">
        <v>70.0</v>
      </c>
      <c r="L691" s="7719">
        <v>40.0</v>
      </c>
      <c r="M691" s="7719">
        <v>60.0</v>
      </c>
      <c r="N691" s="7721">
        <v>42.0</v>
      </c>
      <c r="O691" s="7701"/>
      <c r="P691" s="7704"/>
      <c r="Q691" s="7704"/>
      <c r="R691" s="7704"/>
      <c r="S691" s="7705"/>
    </row>
    <row r="692" ht="18.75" customHeight="1">
      <c r="A692" s="7696"/>
      <c r="B692" s="7712" t="s">
        <v>3293</v>
      </c>
      <c r="C692" s="7713" t="s">
        <v>3294</v>
      </c>
      <c r="D692" s="7714"/>
      <c r="E692" s="7713" t="s">
        <v>2243</v>
      </c>
      <c r="F692" s="7713" t="str">
        <f t="shared" si="50"/>
        <v/>
      </c>
      <c r="G692" s="7713" t="s">
        <v>2209</v>
      </c>
      <c r="H692" s="7713" t="str">
        <f t="shared" si="51"/>
        <v/>
      </c>
      <c r="I692" s="7713">
        <v>55.0</v>
      </c>
      <c r="J692" s="7713">
        <v>63.0</v>
      </c>
      <c r="K692" s="7713">
        <v>90.0</v>
      </c>
      <c r="L692" s="7713">
        <v>50.0</v>
      </c>
      <c r="M692" s="7713">
        <v>80.0</v>
      </c>
      <c r="N692" s="7715">
        <v>42.0</v>
      </c>
      <c r="O692" s="7701"/>
      <c r="P692" s="7704"/>
      <c r="Q692" s="7704"/>
      <c r="R692" s="7704"/>
      <c r="S692" s="7705"/>
    </row>
    <row r="693" ht="18.75" customHeight="1">
      <c r="A693" s="7696"/>
      <c r="B693" s="7718" t="s">
        <v>1587</v>
      </c>
      <c r="C693" s="7719" t="s">
        <v>3295</v>
      </c>
      <c r="D693" s="7720"/>
      <c r="E693" s="7719" t="s">
        <v>2243</v>
      </c>
      <c r="F693" s="7719" t="str">
        <f t="shared" si="50"/>
        <v/>
      </c>
      <c r="G693" s="7719" t="s">
        <v>2209</v>
      </c>
      <c r="H693" s="7719" t="str">
        <f t="shared" si="51"/>
        <v/>
      </c>
      <c r="I693" s="7719">
        <v>75.0</v>
      </c>
      <c r="J693" s="7719">
        <v>103.0</v>
      </c>
      <c r="K693" s="7719">
        <v>80.0</v>
      </c>
      <c r="L693" s="7719">
        <v>70.0</v>
      </c>
      <c r="M693" s="7719">
        <v>80.0</v>
      </c>
      <c r="N693" s="7721">
        <v>92.0</v>
      </c>
      <c r="O693" s="7701"/>
      <c r="P693" s="7704"/>
      <c r="Q693" s="7704"/>
      <c r="R693" s="7704"/>
      <c r="S693" s="7705"/>
    </row>
    <row r="694" ht="18.75" customHeight="1">
      <c r="A694" s="7696"/>
      <c r="B694" s="7712" t="s">
        <v>3296</v>
      </c>
      <c r="C694" s="7713" t="s">
        <v>3297</v>
      </c>
      <c r="D694" s="7714"/>
      <c r="E694" s="7713" t="s">
        <v>2243</v>
      </c>
      <c r="F694" s="7713" t="str">
        <f t="shared" si="50"/>
        <v/>
      </c>
      <c r="G694" s="7713" t="s">
        <v>2210</v>
      </c>
      <c r="H694" s="7713" t="str">
        <f t="shared" si="51"/>
        <v/>
      </c>
      <c r="I694" s="7713">
        <v>30.0</v>
      </c>
      <c r="J694" s="7713">
        <v>45.0</v>
      </c>
      <c r="K694" s="7713">
        <v>59.0</v>
      </c>
      <c r="L694" s="7713">
        <v>30.0</v>
      </c>
      <c r="M694" s="7713">
        <v>39.0</v>
      </c>
      <c r="N694" s="7715">
        <v>57.0</v>
      </c>
      <c r="O694" s="7701"/>
      <c r="P694" s="7704"/>
      <c r="Q694" s="7704"/>
      <c r="R694" s="7704"/>
      <c r="S694" s="7705"/>
    </row>
    <row r="695" ht="18.75" customHeight="1">
      <c r="A695" s="7696"/>
      <c r="B695" s="7718" t="s">
        <v>3298</v>
      </c>
      <c r="C695" s="7719" t="s">
        <v>3299</v>
      </c>
      <c r="D695" s="7720"/>
      <c r="E695" s="7719" t="s">
        <v>2243</v>
      </c>
      <c r="F695" s="7719" t="str">
        <f t="shared" si="50"/>
        <v/>
      </c>
      <c r="G695" s="7719" t="s">
        <v>2210</v>
      </c>
      <c r="H695" s="7719" t="str">
        <f t="shared" si="51"/>
        <v/>
      </c>
      <c r="I695" s="7719">
        <v>40.0</v>
      </c>
      <c r="J695" s="7719">
        <v>55.0</v>
      </c>
      <c r="K695" s="7719">
        <v>99.0</v>
      </c>
      <c r="L695" s="7719">
        <v>40.0</v>
      </c>
      <c r="M695" s="7719">
        <v>79.0</v>
      </c>
      <c r="N695" s="7721">
        <v>47.0</v>
      </c>
      <c r="O695" s="7701"/>
      <c r="P695" s="7704"/>
      <c r="Q695" s="7704"/>
      <c r="R695" s="7704"/>
      <c r="S695" s="7705"/>
    </row>
    <row r="696" ht="18.75" customHeight="1">
      <c r="A696" s="7696"/>
      <c r="B696" s="7712" t="s">
        <v>3300</v>
      </c>
      <c r="C696" s="7713" t="s">
        <v>3301</v>
      </c>
      <c r="D696" s="7714"/>
      <c r="E696" s="7713" t="s">
        <v>2243</v>
      </c>
      <c r="F696" s="7713" t="str">
        <f t="shared" si="50"/>
        <v/>
      </c>
      <c r="G696" s="7713" t="s">
        <v>2210</v>
      </c>
      <c r="H696" s="7713" t="str">
        <f t="shared" si="51"/>
        <v/>
      </c>
      <c r="I696" s="7713">
        <v>60.0</v>
      </c>
      <c r="J696" s="7713">
        <v>100.0</v>
      </c>
      <c r="K696" s="7713">
        <v>89.0</v>
      </c>
      <c r="L696" s="7713">
        <v>55.0</v>
      </c>
      <c r="M696" s="7713">
        <v>69.0</v>
      </c>
      <c r="N696" s="7715">
        <v>112.0</v>
      </c>
      <c r="O696" s="7701"/>
      <c r="P696" s="7704"/>
      <c r="Q696" s="7704"/>
      <c r="R696" s="7704"/>
      <c r="S696" s="7705"/>
    </row>
    <row r="697" ht="18.75" customHeight="1">
      <c r="A697" s="7696"/>
      <c r="B697" s="7718" t="s">
        <v>3302</v>
      </c>
      <c r="C697" s="7719" t="s">
        <v>3303</v>
      </c>
      <c r="D697" s="7720"/>
      <c r="E697" s="7719" t="s">
        <v>2209</v>
      </c>
      <c r="F697" s="7719" t="str">
        <f t="shared" si="50"/>
        <v/>
      </c>
      <c r="G697" s="7719" t="s">
        <v>2292</v>
      </c>
      <c r="H697" s="7719" t="str">
        <f t="shared" si="51"/>
        <v/>
      </c>
      <c r="I697" s="7719">
        <v>40.0</v>
      </c>
      <c r="J697" s="7719">
        <v>27.0</v>
      </c>
      <c r="K697" s="7719">
        <v>60.0</v>
      </c>
      <c r="L697" s="7719">
        <v>37.0</v>
      </c>
      <c r="M697" s="7719">
        <v>50.0</v>
      </c>
      <c r="N697" s="7721">
        <v>66.0</v>
      </c>
      <c r="O697" s="7701"/>
      <c r="P697" s="7704"/>
      <c r="Q697" s="7704"/>
      <c r="R697" s="7704"/>
      <c r="S697" s="7705"/>
    </row>
    <row r="698" ht="18.75" customHeight="1">
      <c r="A698" s="7696"/>
      <c r="B698" s="7712" t="s">
        <v>1376</v>
      </c>
      <c r="C698" s="7713" t="s">
        <v>3304</v>
      </c>
      <c r="D698" s="7714"/>
      <c r="E698" s="7713" t="s">
        <v>2209</v>
      </c>
      <c r="F698" s="7713" t="str">
        <f t="shared" si="50"/>
        <v/>
      </c>
      <c r="G698" s="7713" t="s">
        <v>2292</v>
      </c>
      <c r="H698" s="7713" t="str">
        <f t="shared" si="51"/>
        <v/>
      </c>
      <c r="I698" s="7713">
        <v>60.0</v>
      </c>
      <c r="J698" s="7713">
        <v>67.0</v>
      </c>
      <c r="K698" s="7713">
        <v>85.0</v>
      </c>
      <c r="L698" s="7713">
        <v>77.0</v>
      </c>
      <c r="M698" s="7713">
        <v>75.0</v>
      </c>
      <c r="N698" s="7715">
        <v>116.0</v>
      </c>
      <c r="O698" s="7701"/>
      <c r="P698" s="7704"/>
      <c r="Q698" s="7704"/>
      <c r="R698" s="7704"/>
      <c r="S698" s="7705"/>
    </row>
    <row r="699" ht="18.75" customHeight="1">
      <c r="A699" s="7696"/>
      <c r="B699" s="7718" t="s">
        <v>3305</v>
      </c>
      <c r="C699" s="7719" t="s">
        <v>3306</v>
      </c>
      <c r="D699" s="7720"/>
      <c r="E699" s="7719" t="s">
        <v>2209</v>
      </c>
      <c r="F699" s="7719" t="str">
        <f t="shared" si="50"/>
        <v/>
      </c>
      <c r="G699" s="7719"/>
      <c r="H699" s="7719" t="str">
        <f t="shared" si="51"/>
        <v/>
      </c>
      <c r="I699" s="7719">
        <v>45.0</v>
      </c>
      <c r="J699" s="7719">
        <v>35.0</v>
      </c>
      <c r="K699" s="7719">
        <v>50.0</v>
      </c>
      <c r="L699" s="7719">
        <v>70.0</v>
      </c>
      <c r="M699" s="7719">
        <v>50.0</v>
      </c>
      <c r="N699" s="7721">
        <v>30.0</v>
      </c>
      <c r="O699" s="7701"/>
      <c r="P699" s="7704"/>
      <c r="Q699" s="7704"/>
      <c r="R699" s="7704"/>
      <c r="S699" s="7705"/>
    </row>
    <row r="700" ht="18.75" customHeight="1">
      <c r="A700" s="7696"/>
      <c r="B700" s="7712" t="s">
        <v>307</v>
      </c>
      <c r="C700" s="7713" t="s">
        <v>3307</v>
      </c>
      <c r="D700" s="7714"/>
      <c r="E700" s="7713" t="s">
        <v>2209</v>
      </c>
      <c r="F700" s="7713" t="str">
        <f t="shared" si="50"/>
        <v/>
      </c>
      <c r="G700" s="7713"/>
      <c r="H700" s="7713" t="str">
        <f t="shared" si="51"/>
        <v/>
      </c>
      <c r="I700" s="7713">
        <v>70.0</v>
      </c>
      <c r="J700" s="7713">
        <v>60.0</v>
      </c>
      <c r="K700" s="7713">
        <v>75.0</v>
      </c>
      <c r="L700" s="7713">
        <v>110.0</v>
      </c>
      <c r="M700" s="7713">
        <v>75.0</v>
      </c>
      <c r="N700" s="7715">
        <v>90.0</v>
      </c>
      <c r="O700" s="7701"/>
      <c r="P700" s="7704"/>
      <c r="Q700" s="7704"/>
      <c r="R700" s="7704"/>
      <c r="S700" s="7705"/>
    </row>
    <row r="701" ht="18.75" customHeight="1">
      <c r="A701" s="7696"/>
      <c r="B701" s="7718" t="s">
        <v>1195</v>
      </c>
      <c r="C701" s="7723" t="s">
        <v>3308</v>
      </c>
      <c r="D701" s="7720"/>
      <c r="E701" s="7719" t="s">
        <v>2209</v>
      </c>
      <c r="F701" s="7719" t="str">
        <f t="shared" si="50"/>
        <v/>
      </c>
      <c r="G701" s="7719" t="s">
        <v>2296</v>
      </c>
      <c r="H701" s="7719" t="str">
        <f t="shared" si="51"/>
        <v/>
      </c>
      <c r="I701" s="7719">
        <v>70.0</v>
      </c>
      <c r="J701" s="7719">
        <v>105.0</v>
      </c>
      <c r="K701" s="7719">
        <v>75.0</v>
      </c>
      <c r="L701" s="7719">
        <v>50.0</v>
      </c>
      <c r="M701" s="7719">
        <v>75.0</v>
      </c>
      <c r="N701" s="7721">
        <v>105.0</v>
      </c>
      <c r="O701" s="7701"/>
      <c r="P701" s="7704"/>
      <c r="Q701" s="7704"/>
      <c r="R701" s="7704"/>
      <c r="S701" s="7705"/>
    </row>
    <row r="702" ht="18.75" customHeight="1">
      <c r="A702" s="7696"/>
      <c r="B702" s="7712" t="s">
        <v>3309</v>
      </c>
      <c r="C702" s="7722" t="s">
        <v>3310</v>
      </c>
      <c r="D702" s="7714"/>
      <c r="E702" s="7713" t="s">
        <v>2232</v>
      </c>
      <c r="F702" s="7713" t="str">
        <f t="shared" si="50"/>
        <v/>
      </c>
      <c r="G702" s="7713"/>
      <c r="H702" s="7713" t="str">
        <f t="shared" si="51"/>
        <v/>
      </c>
      <c r="I702" s="7713">
        <v>70.0</v>
      </c>
      <c r="J702" s="7713">
        <v>92.0</v>
      </c>
      <c r="K702" s="7713">
        <v>65.0</v>
      </c>
      <c r="L702" s="7713">
        <v>80.0</v>
      </c>
      <c r="M702" s="7713">
        <v>55.0</v>
      </c>
      <c r="N702" s="7715">
        <v>98.0</v>
      </c>
      <c r="O702" s="7701"/>
      <c r="P702" s="7704"/>
      <c r="Q702" s="7704"/>
      <c r="R702" s="7704"/>
      <c r="S702" s="7705"/>
    </row>
    <row r="703" ht="18.75" customHeight="1">
      <c r="A703" s="7696"/>
      <c r="B703" s="7718" t="s">
        <v>3311</v>
      </c>
      <c r="C703" s="7723" t="s">
        <v>3312</v>
      </c>
      <c r="D703" s="7720"/>
      <c r="E703" s="7719" t="s">
        <v>2232</v>
      </c>
      <c r="F703" s="7719" t="str">
        <f t="shared" si="50"/>
        <v/>
      </c>
      <c r="G703" s="7719"/>
      <c r="H703" s="7719" t="str">
        <f t="shared" si="51"/>
        <v/>
      </c>
      <c r="I703" s="7719">
        <v>70.0</v>
      </c>
      <c r="J703" s="7719">
        <v>92.0</v>
      </c>
      <c r="K703" s="7719">
        <v>65.0</v>
      </c>
      <c r="L703" s="7719">
        <v>80.0</v>
      </c>
      <c r="M703" s="7719">
        <v>55.0</v>
      </c>
      <c r="N703" s="7721">
        <v>98.0</v>
      </c>
      <c r="O703" s="7701"/>
      <c r="P703" s="7704"/>
      <c r="Q703" s="7704"/>
      <c r="R703" s="7704"/>
      <c r="S703" s="7705"/>
    </row>
    <row r="704" ht="18.75" customHeight="1">
      <c r="A704" s="7696"/>
      <c r="B704" s="7712" t="s">
        <v>3313</v>
      </c>
      <c r="C704" s="7713" t="s">
        <v>3314</v>
      </c>
      <c r="D704" s="7714"/>
      <c r="E704" s="7713" t="s">
        <v>2304</v>
      </c>
      <c r="F704" s="7713" t="str">
        <f t="shared" si="50"/>
        <v/>
      </c>
      <c r="G704" s="7713" t="s">
        <v>2272</v>
      </c>
      <c r="H704" s="7713" t="str">
        <f t="shared" si="51"/>
        <v/>
      </c>
      <c r="I704" s="7713">
        <v>50.0</v>
      </c>
      <c r="J704" s="7713">
        <v>72.0</v>
      </c>
      <c r="K704" s="7713">
        <v>35.0</v>
      </c>
      <c r="L704" s="7713">
        <v>35.0</v>
      </c>
      <c r="M704" s="7713">
        <v>35.0</v>
      </c>
      <c r="N704" s="7715">
        <v>65.0</v>
      </c>
      <c r="O704" s="7701"/>
      <c r="P704" s="7704"/>
      <c r="Q704" s="7704"/>
      <c r="R704" s="7704"/>
      <c r="S704" s="7705"/>
    </row>
    <row r="705" ht="18.75" customHeight="1">
      <c r="A705" s="7696"/>
      <c r="B705" s="7718" t="s">
        <v>3315</v>
      </c>
      <c r="C705" s="7719" t="s">
        <v>3316</v>
      </c>
      <c r="D705" s="7720"/>
      <c r="E705" s="7723" t="s">
        <v>2304</v>
      </c>
      <c r="F705" s="7723" t="str">
        <f t="shared" si="50"/>
        <v/>
      </c>
      <c r="G705" s="7723" t="s">
        <v>2272</v>
      </c>
      <c r="H705" s="7723" t="str">
        <f t="shared" si="51"/>
        <v/>
      </c>
      <c r="I705" s="7719">
        <v>60.0</v>
      </c>
      <c r="J705" s="7719">
        <v>82.0</v>
      </c>
      <c r="K705" s="7719">
        <v>45.0</v>
      </c>
      <c r="L705" s="7719">
        <v>45.0</v>
      </c>
      <c r="M705" s="7719">
        <v>45.0</v>
      </c>
      <c r="N705" s="7721">
        <v>74.0</v>
      </c>
      <c r="O705" s="7701"/>
      <c r="P705" s="7704"/>
      <c r="Q705" s="7704"/>
      <c r="R705" s="7704"/>
      <c r="S705" s="7705"/>
    </row>
    <row r="706" ht="18.75" customHeight="1">
      <c r="A706" s="7696"/>
      <c r="B706" s="7712" t="s">
        <v>654</v>
      </c>
      <c r="C706" s="7713" t="s">
        <v>3317</v>
      </c>
      <c r="D706" s="7714"/>
      <c r="E706" s="7713" t="s">
        <v>2304</v>
      </c>
      <c r="F706" s="7713" t="str">
        <f t="shared" si="50"/>
        <v/>
      </c>
      <c r="G706" s="7713" t="s">
        <v>2272</v>
      </c>
      <c r="H706" s="7713" t="str">
        <f t="shared" si="51"/>
        <v/>
      </c>
      <c r="I706" s="7713">
        <v>95.0</v>
      </c>
      <c r="J706" s="7713">
        <v>117.0</v>
      </c>
      <c r="K706" s="7713">
        <v>80.0</v>
      </c>
      <c r="L706" s="7713">
        <v>65.0</v>
      </c>
      <c r="M706" s="7713">
        <v>70.0</v>
      </c>
      <c r="N706" s="7715">
        <v>92.0</v>
      </c>
      <c r="O706" s="7701"/>
      <c r="P706" s="7704"/>
      <c r="Q706" s="7704"/>
      <c r="R706" s="7704"/>
      <c r="S706" s="7705"/>
    </row>
    <row r="707" ht="18.75" customHeight="1">
      <c r="A707" s="7696"/>
      <c r="B707" s="7718" t="s">
        <v>3318</v>
      </c>
      <c r="C707" s="7719" t="s">
        <v>3319</v>
      </c>
      <c r="D707" s="7720"/>
      <c r="E707" s="7719" t="s">
        <v>2219</v>
      </c>
      <c r="F707" s="7719" t="str">
        <f t="shared" si="50"/>
        <v/>
      </c>
      <c r="G707" s="7719"/>
      <c r="H707" s="7719" t="str">
        <f t="shared" si="51"/>
        <v/>
      </c>
      <c r="I707" s="7719">
        <v>70.0</v>
      </c>
      <c r="J707" s="7719">
        <v>90.0</v>
      </c>
      <c r="K707" s="7719">
        <v>45.0</v>
      </c>
      <c r="L707" s="7719">
        <v>15.0</v>
      </c>
      <c r="M707" s="7719">
        <v>45.0</v>
      </c>
      <c r="N707" s="7721">
        <v>50.0</v>
      </c>
      <c r="O707" s="7701"/>
      <c r="P707" s="7704"/>
      <c r="Q707" s="7704"/>
      <c r="R707" s="7704"/>
      <c r="S707" s="7705"/>
    </row>
    <row r="708" ht="18.75" customHeight="1">
      <c r="A708" s="7696"/>
      <c r="B708" s="7712" t="s">
        <v>3320</v>
      </c>
      <c r="C708" s="7722" t="s">
        <v>3321</v>
      </c>
      <c r="D708" s="7714"/>
      <c r="E708" s="7713" t="s">
        <v>2289</v>
      </c>
      <c r="F708" s="7713" t="str">
        <f t="shared" si="50"/>
        <v/>
      </c>
      <c r="G708" s="7713"/>
      <c r="H708" s="7713" t="str">
        <f t="shared" si="51"/>
        <v/>
      </c>
      <c r="I708" s="7713">
        <v>70.0</v>
      </c>
      <c r="J708" s="7713">
        <v>90.0</v>
      </c>
      <c r="K708" s="7713">
        <v>45.0</v>
      </c>
      <c r="L708" s="7713">
        <v>15.0</v>
      </c>
      <c r="M708" s="7713">
        <v>45.0</v>
      </c>
      <c r="N708" s="7715">
        <v>50.0</v>
      </c>
      <c r="O708" s="7701"/>
      <c r="P708" s="7704"/>
      <c r="Q708" s="7704"/>
      <c r="R708" s="7704"/>
      <c r="S708" s="7705"/>
    </row>
    <row r="709" ht="18.75" customHeight="1">
      <c r="A709" s="7696"/>
      <c r="B709" s="7718" t="s">
        <v>1047</v>
      </c>
      <c r="C709" s="7719" t="s">
        <v>3322</v>
      </c>
      <c r="D709" s="7720"/>
      <c r="E709" s="7719" t="s">
        <v>2219</v>
      </c>
      <c r="F709" s="7719" t="str">
        <f t="shared" si="50"/>
        <v/>
      </c>
      <c r="G709" s="7719"/>
      <c r="H709" s="7719" t="str">
        <f t="shared" si="51"/>
        <v/>
      </c>
      <c r="I709" s="7719">
        <v>105.0</v>
      </c>
      <c r="J709" s="7719">
        <v>140.0</v>
      </c>
      <c r="K709" s="7719">
        <v>55.0</v>
      </c>
      <c r="L709" s="7719">
        <v>30.0</v>
      </c>
      <c r="M709" s="7719">
        <v>55.0</v>
      </c>
      <c r="N709" s="7721">
        <v>95.0</v>
      </c>
      <c r="O709" s="7701"/>
      <c r="P709" s="7704"/>
      <c r="Q709" s="7704"/>
      <c r="R709" s="7704"/>
      <c r="S709" s="7705"/>
    </row>
    <row r="710" ht="18.75" customHeight="1">
      <c r="A710" s="7696"/>
      <c r="B710" s="7712" t="s">
        <v>1773</v>
      </c>
      <c r="C710" s="7722" t="s">
        <v>3323</v>
      </c>
      <c r="D710" s="7714"/>
      <c r="E710" s="7713" t="s">
        <v>2219</v>
      </c>
      <c r="F710" s="7713" t="str">
        <f t="shared" si="50"/>
        <v/>
      </c>
      <c r="G710" s="7713" t="s">
        <v>669</v>
      </c>
      <c r="H710" s="7713" t="str">
        <f t="shared" si="51"/>
        <v/>
      </c>
      <c r="I710" s="7713">
        <v>105.0</v>
      </c>
      <c r="J710" s="7722">
        <v>30.0</v>
      </c>
      <c r="K710" s="7722">
        <v>105.0</v>
      </c>
      <c r="L710" s="7722">
        <v>140.0</v>
      </c>
      <c r="M710" s="7722">
        <v>105.0</v>
      </c>
      <c r="N710" s="7724">
        <v>55.0</v>
      </c>
      <c r="O710" s="7701"/>
      <c r="P710" s="7704"/>
      <c r="Q710" s="7704"/>
      <c r="R710" s="7704"/>
      <c r="S710" s="7705"/>
    </row>
    <row r="711" ht="18.75" customHeight="1">
      <c r="A711" s="7696"/>
      <c r="B711" s="7718" t="s">
        <v>3324</v>
      </c>
      <c r="C711" s="7723" t="s">
        <v>3325</v>
      </c>
      <c r="D711" s="7720"/>
      <c r="E711" s="7719" t="s">
        <v>2289</v>
      </c>
      <c r="F711" s="7719" t="str">
        <f t="shared" si="50"/>
        <v/>
      </c>
      <c r="G711" s="7719"/>
      <c r="H711" s="7719" t="str">
        <f t="shared" si="51"/>
        <v/>
      </c>
      <c r="I711" s="7719">
        <v>105.0</v>
      </c>
      <c r="J711" s="7719">
        <v>140.0</v>
      </c>
      <c r="K711" s="7719">
        <v>55.0</v>
      </c>
      <c r="L711" s="7719">
        <v>30.0</v>
      </c>
      <c r="M711" s="7719">
        <v>55.0</v>
      </c>
      <c r="N711" s="7721">
        <v>95.0</v>
      </c>
      <c r="O711" s="7701"/>
      <c r="P711" s="7704"/>
      <c r="Q711" s="7704"/>
      <c r="R711" s="7704"/>
      <c r="S711" s="7705"/>
    </row>
    <row r="712" ht="18.75" customHeight="1">
      <c r="A712" s="7696"/>
      <c r="B712" s="7712" t="s">
        <v>1535</v>
      </c>
      <c r="C712" s="7722" t="s">
        <v>3326</v>
      </c>
      <c r="D712" s="7714"/>
      <c r="E712" s="7713" t="s">
        <v>2289</v>
      </c>
      <c r="F712" s="7713" t="str">
        <f t="shared" si="50"/>
        <v/>
      </c>
      <c r="G712" s="7713" t="s">
        <v>2219</v>
      </c>
      <c r="H712" s="7713" t="str">
        <f t="shared" si="51"/>
        <v/>
      </c>
      <c r="I712" s="7713">
        <v>105.0</v>
      </c>
      <c r="J712" s="7713">
        <v>160.0</v>
      </c>
      <c r="K712" s="7713">
        <v>55.0</v>
      </c>
      <c r="L712" s="7713">
        <v>30.0</v>
      </c>
      <c r="M712" s="7713">
        <v>55.0</v>
      </c>
      <c r="N712" s="7715">
        <v>135.0</v>
      </c>
      <c r="O712" s="7701"/>
      <c r="P712" s="7704"/>
      <c r="Q712" s="7704"/>
      <c r="R712" s="7704"/>
      <c r="S712" s="7705"/>
    </row>
    <row r="713" ht="18.75" customHeight="1">
      <c r="A713" s="7696"/>
      <c r="B713" s="7718" t="s">
        <v>139</v>
      </c>
      <c r="C713" s="7719" t="s">
        <v>3327</v>
      </c>
      <c r="D713" s="7720"/>
      <c r="E713" s="7719" t="s">
        <v>2209</v>
      </c>
      <c r="F713" s="7719" t="str">
        <f t="shared" si="50"/>
        <v/>
      </c>
      <c r="G713" s="7719"/>
      <c r="H713" s="7719" t="str">
        <f t="shared" si="51"/>
        <v/>
      </c>
      <c r="I713" s="7719">
        <v>75.0</v>
      </c>
      <c r="J713" s="7719">
        <v>106.0</v>
      </c>
      <c r="K713" s="7719">
        <v>67.0</v>
      </c>
      <c r="L713" s="7719">
        <v>85.0</v>
      </c>
      <c r="M713" s="7719">
        <v>67.0</v>
      </c>
      <c r="N713" s="7721">
        <v>60.0</v>
      </c>
      <c r="O713" s="7701"/>
      <c r="P713" s="7704"/>
      <c r="Q713" s="7704"/>
      <c r="R713" s="7704"/>
      <c r="S713" s="7705"/>
    </row>
    <row r="714" ht="18.75" customHeight="1">
      <c r="A714" s="7696"/>
      <c r="B714" s="7712" t="s">
        <v>3328</v>
      </c>
      <c r="C714" s="7713" t="s">
        <v>3329</v>
      </c>
      <c r="D714" s="7714"/>
      <c r="E714" s="7713" t="s">
        <v>2243</v>
      </c>
      <c r="F714" s="7713" t="str">
        <f t="shared" si="50"/>
        <v/>
      </c>
      <c r="G714" s="7713" t="s">
        <v>2370</v>
      </c>
      <c r="H714" s="7713" t="str">
        <f t="shared" si="51"/>
        <v/>
      </c>
      <c r="I714" s="7713">
        <v>50.0</v>
      </c>
      <c r="J714" s="7713">
        <v>65.0</v>
      </c>
      <c r="K714" s="7713">
        <v>85.0</v>
      </c>
      <c r="L714" s="7713">
        <v>35.0</v>
      </c>
      <c r="M714" s="7713">
        <v>35.0</v>
      </c>
      <c r="N714" s="7715">
        <v>55.0</v>
      </c>
      <c r="O714" s="7701"/>
      <c r="P714" s="7704"/>
      <c r="Q714" s="7704"/>
      <c r="R714" s="7704"/>
      <c r="S714" s="7705"/>
    </row>
    <row r="715" ht="18.75" customHeight="1">
      <c r="A715" s="7696"/>
      <c r="B715" s="7718" t="s">
        <v>1586</v>
      </c>
      <c r="C715" s="7719" t="s">
        <v>3330</v>
      </c>
      <c r="D715" s="7720"/>
      <c r="E715" s="7719" t="s">
        <v>2243</v>
      </c>
      <c r="F715" s="7719" t="str">
        <f t="shared" si="50"/>
        <v/>
      </c>
      <c r="G715" s="7719" t="s">
        <v>2370</v>
      </c>
      <c r="H715" s="7719" t="str">
        <f t="shared" si="51"/>
        <v/>
      </c>
      <c r="I715" s="7719">
        <v>70.0</v>
      </c>
      <c r="J715" s="7719">
        <v>105.0</v>
      </c>
      <c r="K715" s="7719">
        <v>125.0</v>
      </c>
      <c r="L715" s="7719">
        <v>65.0</v>
      </c>
      <c r="M715" s="7719">
        <v>75.0</v>
      </c>
      <c r="N715" s="7721">
        <v>55.0</v>
      </c>
      <c r="O715" s="7701"/>
      <c r="P715" s="7704"/>
      <c r="Q715" s="7704"/>
      <c r="R715" s="7704"/>
      <c r="S715" s="7705"/>
    </row>
    <row r="716" ht="18.75" customHeight="1">
      <c r="A716" s="7696"/>
      <c r="B716" s="7712" t="s">
        <v>3331</v>
      </c>
      <c r="C716" s="7713" t="s">
        <v>3332</v>
      </c>
      <c r="D716" s="7714"/>
      <c r="E716" s="7713" t="s">
        <v>2272</v>
      </c>
      <c r="F716" s="7713" t="str">
        <f t="shared" si="50"/>
        <v/>
      </c>
      <c r="G716" s="7713" t="s">
        <v>2296</v>
      </c>
      <c r="H716" s="7713" t="str">
        <f t="shared" si="51"/>
        <v/>
      </c>
      <c r="I716" s="7713">
        <v>50.0</v>
      </c>
      <c r="J716" s="7713">
        <v>75.0</v>
      </c>
      <c r="K716" s="7713">
        <v>70.0</v>
      </c>
      <c r="L716" s="7713">
        <v>35.0</v>
      </c>
      <c r="M716" s="7713">
        <v>70.0</v>
      </c>
      <c r="N716" s="7715">
        <v>48.0</v>
      </c>
      <c r="O716" s="7701"/>
      <c r="P716" s="7704"/>
      <c r="Q716" s="7704"/>
      <c r="R716" s="7704"/>
      <c r="S716" s="7705"/>
    </row>
    <row r="717" ht="18.75" customHeight="1">
      <c r="A717" s="7696"/>
      <c r="B717" s="7718" t="s">
        <v>1771</v>
      </c>
      <c r="C717" s="7719" t="s">
        <v>3333</v>
      </c>
      <c r="D717" s="7720"/>
      <c r="E717" s="7719" t="s">
        <v>2272</v>
      </c>
      <c r="F717" s="7719" t="str">
        <f t="shared" si="50"/>
        <v/>
      </c>
      <c r="G717" s="7719" t="s">
        <v>2296</v>
      </c>
      <c r="H717" s="7719" t="str">
        <f t="shared" si="51"/>
        <v/>
      </c>
      <c r="I717" s="7719">
        <v>65.0</v>
      </c>
      <c r="J717" s="7719">
        <v>90.0</v>
      </c>
      <c r="K717" s="7719">
        <v>115.0</v>
      </c>
      <c r="L717" s="7719">
        <v>45.0</v>
      </c>
      <c r="M717" s="7719">
        <v>115.0</v>
      </c>
      <c r="N717" s="7721">
        <v>58.0</v>
      </c>
      <c r="O717" s="7701"/>
      <c r="P717" s="7704"/>
      <c r="Q717" s="7704"/>
      <c r="R717" s="7704"/>
      <c r="S717" s="7705"/>
    </row>
    <row r="718" ht="18.75" customHeight="1">
      <c r="A718" s="7696"/>
      <c r="B718" s="7712" t="s">
        <v>3334</v>
      </c>
      <c r="C718" s="7713" t="s">
        <v>3335</v>
      </c>
      <c r="D718" s="7714"/>
      <c r="E718" s="7713" t="s">
        <v>669</v>
      </c>
      <c r="F718" s="7713" t="str">
        <f t="shared" si="50"/>
        <v/>
      </c>
      <c r="G718" s="7713" t="s">
        <v>2224</v>
      </c>
      <c r="H718" s="7713" t="str">
        <f t="shared" si="51"/>
        <v/>
      </c>
      <c r="I718" s="7713">
        <v>72.0</v>
      </c>
      <c r="J718" s="7713">
        <v>58.0</v>
      </c>
      <c r="K718" s="7713">
        <v>80.0</v>
      </c>
      <c r="L718" s="7713">
        <v>103.0</v>
      </c>
      <c r="M718" s="7713">
        <v>80.0</v>
      </c>
      <c r="N718" s="7715">
        <v>97.0</v>
      </c>
      <c r="O718" s="7701"/>
      <c r="P718" s="7704"/>
      <c r="Q718" s="7704"/>
      <c r="R718" s="7704"/>
      <c r="S718" s="7705"/>
    </row>
    <row r="719" ht="18.75" customHeight="1">
      <c r="A719" s="7696"/>
      <c r="B719" s="7718" t="s">
        <v>3336</v>
      </c>
      <c r="C719" s="7719" t="s">
        <v>3337</v>
      </c>
      <c r="D719" s="7720"/>
      <c r="E719" s="7723" t="s">
        <v>2447</v>
      </c>
      <c r="F719" s="7723" t="str">
        <f t="shared" si="50"/>
        <v/>
      </c>
      <c r="G719" s="7723"/>
      <c r="H719" s="7723" t="str">
        <f t="shared" si="51"/>
        <v/>
      </c>
      <c r="I719" s="7719">
        <v>38.0</v>
      </c>
      <c r="J719" s="7719">
        <v>30.0</v>
      </c>
      <c r="K719" s="7719">
        <v>85.0</v>
      </c>
      <c r="L719" s="7719">
        <v>55.0</v>
      </c>
      <c r="M719" s="7719">
        <v>65.0</v>
      </c>
      <c r="N719" s="7721">
        <v>30.0</v>
      </c>
      <c r="O719" s="7701"/>
      <c r="P719" s="7704"/>
      <c r="Q719" s="7704"/>
      <c r="R719" s="7704"/>
      <c r="S719" s="7705"/>
    </row>
    <row r="720" ht="18.75" customHeight="1">
      <c r="A720" s="7696"/>
      <c r="B720" s="7712" t="s">
        <v>3338</v>
      </c>
      <c r="C720" s="7722" t="s">
        <v>3339</v>
      </c>
      <c r="D720" s="7714"/>
      <c r="E720" s="7713" t="s">
        <v>2304</v>
      </c>
      <c r="F720" s="7713" t="str">
        <f t="shared" si="50"/>
        <v/>
      </c>
      <c r="G720" s="7713" t="s">
        <v>2447</v>
      </c>
      <c r="H720" s="7713" t="str">
        <f t="shared" si="51"/>
        <v/>
      </c>
      <c r="I720" s="7713">
        <v>38.0</v>
      </c>
      <c r="J720" s="7713">
        <v>55.0</v>
      </c>
      <c r="K720" s="7713">
        <v>85.0</v>
      </c>
      <c r="L720" s="7713">
        <v>30.0</v>
      </c>
      <c r="M720" s="7713">
        <v>65.0</v>
      </c>
      <c r="N720" s="7715">
        <v>30.0</v>
      </c>
      <c r="O720" s="7701"/>
      <c r="P720" s="7704"/>
      <c r="Q720" s="7704"/>
      <c r="R720" s="7704"/>
      <c r="S720" s="7705"/>
    </row>
    <row r="721" ht="18.75" customHeight="1">
      <c r="A721" s="7696"/>
      <c r="B721" s="7718" t="s">
        <v>3340</v>
      </c>
      <c r="C721" s="7719" t="s">
        <v>3341</v>
      </c>
      <c r="D721" s="7720"/>
      <c r="E721" s="7719" t="s">
        <v>2447</v>
      </c>
      <c r="F721" s="7719" t="str">
        <f t="shared" si="50"/>
        <v/>
      </c>
      <c r="G721" s="7719"/>
      <c r="H721" s="7719" t="str">
        <f t="shared" si="51"/>
        <v/>
      </c>
      <c r="I721" s="7719">
        <v>58.0</v>
      </c>
      <c r="J721" s="7719">
        <v>50.0</v>
      </c>
      <c r="K721" s="7719">
        <v>145.0</v>
      </c>
      <c r="L721" s="7719">
        <v>95.0</v>
      </c>
      <c r="M721" s="7719">
        <v>105.0</v>
      </c>
      <c r="N721" s="7721">
        <v>30.0</v>
      </c>
      <c r="O721" s="7701"/>
      <c r="P721" s="7704"/>
      <c r="Q721" s="7704"/>
      <c r="R721" s="7704"/>
      <c r="S721" s="7705"/>
    </row>
    <row r="722" ht="18.75" customHeight="1">
      <c r="A722" s="7696"/>
      <c r="B722" s="7712" t="s">
        <v>3342</v>
      </c>
      <c r="C722" s="7713" t="s">
        <v>3343</v>
      </c>
      <c r="D722" s="7714"/>
      <c r="E722" s="7713" t="s">
        <v>2232</v>
      </c>
      <c r="F722" s="7713" t="str">
        <f t="shared" si="50"/>
        <v/>
      </c>
      <c r="G722" s="7713" t="s">
        <v>2370</v>
      </c>
      <c r="H722" s="7713" t="str">
        <f t="shared" si="51"/>
        <v/>
      </c>
      <c r="I722" s="7713">
        <v>54.0</v>
      </c>
      <c r="J722" s="7713">
        <v>78.0</v>
      </c>
      <c r="K722" s="7713">
        <v>103.0</v>
      </c>
      <c r="L722" s="7713">
        <v>53.0</v>
      </c>
      <c r="M722" s="7713">
        <v>45.0</v>
      </c>
      <c r="N722" s="7715">
        <v>22.0</v>
      </c>
      <c r="O722" s="7701"/>
      <c r="P722" s="7704"/>
      <c r="Q722" s="7704"/>
      <c r="R722" s="7704"/>
      <c r="S722" s="7705"/>
    </row>
    <row r="723" ht="18.75" customHeight="1">
      <c r="A723" s="7696"/>
      <c r="B723" s="7718" t="s">
        <v>2161</v>
      </c>
      <c r="C723" s="7719" t="s">
        <v>3344</v>
      </c>
      <c r="D723" s="7720"/>
      <c r="E723" s="7719" t="s">
        <v>2232</v>
      </c>
      <c r="F723" s="7719" t="str">
        <f t="shared" si="50"/>
        <v/>
      </c>
      <c r="G723" s="7719" t="s">
        <v>2370</v>
      </c>
      <c r="H723" s="7719" t="str">
        <f t="shared" si="51"/>
        <v/>
      </c>
      <c r="I723" s="7719">
        <v>74.0</v>
      </c>
      <c r="J723" s="7719">
        <v>108.0</v>
      </c>
      <c r="K723" s="7719">
        <v>133.0</v>
      </c>
      <c r="L723" s="7719">
        <v>83.0</v>
      </c>
      <c r="M723" s="7719">
        <v>65.0</v>
      </c>
      <c r="N723" s="7721">
        <v>32.0</v>
      </c>
      <c r="O723" s="7701"/>
      <c r="P723" s="7704"/>
      <c r="Q723" s="7704"/>
      <c r="R723" s="7704"/>
      <c r="S723" s="7705"/>
    </row>
    <row r="724" ht="18.75" customHeight="1">
      <c r="A724" s="7696"/>
      <c r="B724" s="7712" t="s">
        <v>478</v>
      </c>
      <c r="C724" s="7713" t="s">
        <v>3345</v>
      </c>
      <c r="D724" s="7714"/>
      <c r="E724" s="7713" t="s">
        <v>2370</v>
      </c>
      <c r="F724" s="7713" t="str">
        <f t="shared" si="50"/>
        <v/>
      </c>
      <c r="G724" s="7713" t="s">
        <v>2224</v>
      </c>
      <c r="H724" s="7713" t="str">
        <f t="shared" si="51"/>
        <v/>
      </c>
      <c r="I724" s="7713">
        <v>55.0</v>
      </c>
      <c r="J724" s="7713">
        <v>112.0</v>
      </c>
      <c r="K724" s="7713">
        <v>45.0</v>
      </c>
      <c r="L724" s="7713">
        <v>74.0</v>
      </c>
      <c r="M724" s="7713">
        <v>45.0</v>
      </c>
      <c r="N724" s="7715">
        <v>70.0</v>
      </c>
      <c r="O724" s="7701"/>
      <c r="P724" s="7704"/>
      <c r="Q724" s="7704"/>
      <c r="R724" s="7704"/>
      <c r="S724" s="7705"/>
    </row>
    <row r="725" ht="18.75" customHeight="1">
      <c r="A725" s="7696"/>
      <c r="B725" s="7718" t="s">
        <v>1593</v>
      </c>
      <c r="C725" s="7719" t="s">
        <v>3346</v>
      </c>
      <c r="D725" s="7720"/>
      <c r="E725" s="7719" t="s">
        <v>2370</v>
      </c>
      <c r="F725" s="7719" t="str">
        <f t="shared" si="50"/>
        <v/>
      </c>
      <c r="G725" s="7719" t="s">
        <v>2224</v>
      </c>
      <c r="H725" s="7719" t="str">
        <f t="shared" si="51"/>
        <v/>
      </c>
      <c r="I725" s="7719">
        <v>75.0</v>
      </c>
      <c r="J725" s="7719">
        <v>140.0</v>
      </c>
      <c r="K725" s="7719">
        <v>65.0</v>
      </c>
      <c r="L725" s="7719">
        <v>112.0</v>
      </c>
      <c r="M725" s="7719">
        <v>65.0</v>
      </c>
      <c r="N725" s="7721">
        <v>110.0</v>
      </c>
      <c r="O725" s="7701"/>
      <c r="P725" s="7704"/>
      <c r="Q725" s="7704"/>
      <c r="R725" s="7704"/>
      <c r="S725" s="7705"/>
    </row>
    <row r="726" ht="18.75" customHeight="1">
      <c r="A726" s="7696"/>
      <c r="B726" s="7712" t="s">
        <v>3347</v>
      </c>
      <c r="C726" s="7713" t="s">
        <v>3348</v>
      </c>
      <c r="D726" s="7714"/>
      <c r="E726" s="7713" t="s">
        <v>2210</v>
      </c>
      <c r="F726" s="7713" t="str">
        <f t="shared" si="50"/>
        <v/>
      </c>
      <c r="G726" s="7713"/>
      <c r="H726" s="7713" t="str">
        <f t="shared" si="51"/>
        <v/>
      </c>
      <c r="I726" s="7713">
        <v>50.0</v>
      </c>
      <c r="J726" s="7713">
        <v>50.0</v>
      </c>
      <c r="K726" s="7713">
        <v>62.0</v>
      </c>
      <c r="L726" s="7713">
        <v>40.0</v>
      </c>
      <c r="M726" s="7713">
        <v>62.0</v>
      </c>
      <c r="N726" s="7715">
        <v>65.0</v>
      </c>
      <c r="O726" s="7701"/>
      <c r="P726" s="7704"/>
      <c r="Q726" s="7704"/>
      <c r="R726" s="7704"/>
      <c r="S726" s="7705"/>
    </row>
    <row r="727" ht="18.75" customHeight="1">
      <c r="A727" s="7696"/>
      <c r="B727" s="7718" t="s">
        <v>152</v>
      </c>
      <c r="C727" s="7719" t="s">
        <v>3349</v>
      </c>
      <c r="D727" s="7720"/>
      <c r="E727" s="7719" t="s">
        <v>2210</v>
      </c>
      <c r="F727" s="7719" t="str">
        <f t="shared" si="50"/>
        <v/>
      </c>
      <c r="G727" s="7719"/>
      <c r="H727" s="7719" t="str">
        <f t="shared" si="51"/>
        <v/>
      </c>
      <c r="I727" s="7719">
        <v>80.0</v>
      </c>
      <c r="J727" s="7719">
        <v>115.0</v>
      </c>
      <c r="K727" s="7719">
        <v>82.0</v>
      </c>
      <c r="L727" s="7719">
        <v>60.0</v>
      </c>
      <c r="M727" s="7719">
        <v>82.0</v>
      </c>
      <c r="N727" s="7721">
        <v>60.0</v>
      </c>
      <c r="O727" s="7701"/>
      <c r="P727" s="7704"/>
      <c r="Q727" s="7704"/>
      <c r="R727" s="7704"/>
      <c r="S727" s="7705"/>
    </row>
    <row r="728" ht="18.75" customHeight="1">
      <c r="A728" s="7696"/>
      <c r="B728" s="7712" t="s">
        <v>1289</v>
      </c>
      <c r="C728" s="7722" t="s">
        <v>3350</v>
      </c>
      <c r="D728" s="7714"/>
      <c r="E728" s="7713" t="s">
        <v>2210</v>
      </c>
      <c r="F728" s="7713" t="str">
        <f t="shared" si="50"/>
        <v/>
      </c>
      <c r="G728" s="7713"/>
      <c r="H728" s="7713" t="str">
        <f t="shared" si="51"/>
        <v/>
      </c>
      <c r="I728" s="7713">
        <v>80.0</v>
      </c>
      <c r="J728" s="7713">
        <v>135.0</v>
      </c>
      <c r="K728" s="7713">
        <v>105.0</v>
      </c>
      <c r="L728" s="7713">
        <v>105.0</v>
      </c>
      <c r="M728" s="7713">
        <v>105.0</v>
      </c>
      <c r="N728" s="7715">
        <v>75.0</v>
      </c>
      <c r="O728" s="7701"/>
      <c r="P728" s="7704"/>
      <c r="Q728" s="7704"/>
      <c r="R728" s="7704"/>
      <c r="S728" s="7705"/>
    </row>
    <row r="729" ht="18.75" customHeight="1">
      <c r="A729" s="7696"/>
      <c r="B729" s="7718" t="s">
        <v>3351</v>
      </c>
      <c r="C729" s="7719" t="s">
        <v>3352</v>
      </c>
      <c r="D729" s="7720"/>
      <c r="E729" s="7719" t="s">
        <v>2272</v>
      </c>
      <c r="F729" s="7719" t="str">
        <f t="shared" si="50"/>
        <v/>
      </c>
      <c r="G729" s="7719"/>
      <c r="H729" s="7719" t="str">
        <f t="shared" si="51"/>
        <v/>
      </c>
      <c r="I729" s="7719">
        <v>40.0</v>
      </c>
      <c r="J729" s="7719">
        <v>65.0</v>
      </c>
      <c r="K729" s="7719">
        <v>40.0</v>
      </c>
      <c r="L729" s="7719">
        <v>80.0</v>
      </c>
      <c r="M729" s="7719">
        <v>40.0</v>
      </c>
      <c r="N729" s="7721">
        <v>65.0</v>
      </c>
      <c r="O729" s="7701"/>
      <c r="P729" s="7704"/>
      <c r="Q729" s="7704"/>
      <c r="R729" s="7704"/>
      <c r="S729" s="7705"/>
    </row>
    <row r="730" ht="18.75" customHeight="1">
      <c r="A730" s="7696"/>
      <c r="B730" s="7712" t="s">
        <v>3353</v>
      </c>
      <c r="C730" s="7722" t="s">
        <v>3354</v>
      </c>
      <c r="D730" s="7714"/>
      <c r="E730" s="7713" t="s">
        <v>2262</v>
      </c>
      <c r="F730" s="7713" t="str">
        <f t="shared" si="50"/>
        <v/>
      </c>
      <c r="G730" s="7713" t="s">
        <v>2447</v>
      </c>
      <c r="H730" s="7713" t="str">
        <f t="shared" si="51"/>
        <v/>
      </c>
      <c r="I730" s="7713">
        <v>35.0</v>
      </c>
      <c r="J730" s="7713">
        <v>60.0</v>
      </c>
      <c r="K730" s="7713">
        <v>40.0</v>
      </c>
      <c r="L730" s="7713">
        <v>85.0</v>
      </c>
      <c r="M730" s="7713">
        <v>40.0</v>
      </c>
      <c r="N730" s="7715">
        <v>70.0</v>
      </c>
      <c r="O730" s="7701"/>
      <c r="P730" s="7704"/>
      <c r="Q730" s="7704"/>
      <c r="R730" s="7704"/>
      <c r="S730" s="7705"/>
    </row>
    <row r="731" ht="18.75" customHeight="1">
      <c r="A731" s="7696"/>
      <c r="B731" s="7718" t="s">
        <v>2188</v>
      </c>
      <c r="C731" s="7719" t="s">
        <v>3355</v>
      </c>
      <c r="D731" s="7720"/>
      <c r="E731" s="7719" t="s">
        <v>2272</v>
      </c>
      <c r="F731" s="7719" t="str">
        <f t="shared" si="50"/>
        <v/>
      </c>
      <c r="G731" s="7719"/>
      <c r="H731" s="7719" t="str">
        <f t="shared" si="51"/>
        <v/>
      </c>
      <c r="I731" s="7719">
        <v>60.0</v>
      </c>
      <c r="J731" s="7719">
        <v>105.0</v>
      </c>
      <c r="K731" s="7719">
        <v>60.0</v>
      </c>
      <c r="L731" s="7719">
        <v>120.0</v>
      </c>
      <c r="M731" s="7719">
        <v>60.0</v>
      </c>
      <c r="N731" s="7721">
        <v>105.0</v>
      </c>
      <c r="O731" s="7701"/>
      <c r="P731" s="7704"/>
      <c r="Q731" s="7704"/>
      <c r="R731" s="7704"/>
      <c r="S731" s="7705"/>
    </row>
    <row r="732" ht="18.75" customHeight="1">
      <c r="A732" s="7696"/>
      <c r="B732" s="7712" t="s">
        <v>2128</v>
      </c>
      <c r="C732" s="7722" t="s">
        <v>3356</v>
      </c>
      <c r="D732" s="7714"/>
      <c r="E732" s="7713" t="s">
        <v>2262</v>
      </c>
      <c r="F732" s="7713" t="str">
        <f t="shared" si="50"/>
        <v/>
      </c>
      <c r="G732" s="7713" t="s">
        <v>2447</v>
      </c>
      <c r="H732" s="7713" t="str">
        <f t="shared" si="51"/>
        <v/>
      </c>
      <c r="I732" s="7713">
        <v>55.0</v>
      </c>
      <c r="J732" s="7713">
        <v>100.0</v>
      </c>
      <c r="K732" s="7713">
        <v>60.0</v>
      </c>
      <c r="L732" s="7713">
        <v>125.0</v>
      </c>
      <c r="M732" s="7713">
        <v>60.0</v>
      </c>
      <c r="N732" s="7715">
        <v>110.0</v>
      </c>
      <c r="O732" s="7701"/>
      <c r="P732" s="7704"/>
      <c r="Q732" s="7704"/>
      <c r="R732" s="7704"/>
      <c r="S732" s="7705"/>
    </row>
    <row r="733" ht="18.75" customHeight="1">
      <c r="A733" s="7696"/>
      <c r="B733" s="7718" t="s">
        <v>3357</v>
      </c>
      <c r="C733" s="7719" t="s">
        <v>3358</v>
      </c>
      <c r="D733" s="7720"/>
      <c r="E733" s="7723" t="s">
        <v>2262</v>
      </c>
      <c r="F733" s="7723" t="str">
        <f t="shared" si="50"/>
        <v/>
      </c>
      <c r="G733" s="7723"/>
      <c r="H733" s="7723" t="str">
        <f t="shared" si="51"/>
        <v/>
      </c>
      <c r="I733" s="7719">
        <v>55.0</v>
      </c>
      <c r="J733" s="7719">
        <v>50.0</v>
      </c>
      <c r="K733" s="7719">
        <v>40.0</v>
      </c>
      <c r="L733" s="7719">
        <v>40.0</v>
      </c>
      <c r="M733" s="7719">
        <v>40.0</v>
      </c>
      <c r="N733" s="7721">
        <v>75.0</v>
      </c>
      <c r="O733" s="7701"/>
      <c r="P733" s="7704"/>
      <c r="Q733" s="7704"/>
      <c r="R733" s="7704"/>
      <c r="S733" s="7705"/>
    </row>
    <row r="734" ht="18.75" customHeight="1">
      <c r="A734" s="7696"/>
      <c r="B734" s="7712" t="s">
        <v>3359</v>
      </c>
      <c r="C734" s="7713" t="s">
        <v>3360</v>
      </c>
      <c r="D734" s="7714"/>
      <c r="E734" s="7713" t="s">
        <v>2262</v>
      </c>
      <c r="F734" s="7713" t="str">
        <f t="shared" si="50"/>
        <v/>
      </c>
      <c r="G734" s="7713"/>
      <c r="H734" s="7713" t="str">
        <f t="shared" si="51"/>
        <v/>
      </c>
      <c r="I734" s="7713">
        <v>75.0</v>
      </c>
      <c r="J734" s="7713">
        <v>95.0</v>
      </c>
      <c r="K734" s="7713">
        <v>60.0</v>
      </c>
      <c r="L734" s="7713">
        <v>65.0</v>
      </c>
      <c r="M734" s="7713">
        <v>60.0</v>
      </c>
      <c r="N734" s="7715">
        <v>115.0</v>
      </c>
      <c r="O734" s="7701"/>
      <c r="P734" s="7704"/>
      <c r="Q734" s="7704"/>
      <c r="R734" s="7704"/>
      <c r="S734" s="7705"/>
    </row>
    <row r="735" ht="18.75" customHeight="1">
      <c r="A735" s="7696"/>
      <c r="B735" s="7718" t="s">
        <v>3361</v>
      </c>
      <c r="C735" s="7719" t="s">
        <v>3362</v>
      </c>
      <c r="D735" s="7720"/>
      <c r="E735" s="7719" t="s">
        <v>669</v>
      </c>
      <c r="F735" s="7719" t="str">
        <f t="shared" si="50"/>
        <v/>
      </c>
      <c r="G735" s="7719"/>
      <c r="H735" s="7719" t="str">
        <f t="shared" si="51"/>
        <v/>
      </c>
      <c r="I735" s="7719">
        <v>45.0</v>
      </c>
      <c r="J735" s="7719">
        <v>30.0</v>
      </c>
      <c r="K735" s="7719">
        <v>50.0</v>
      </c>
      <c r="L735" s="7719">
        <v>55.0</v>
      </c>
      <c r="M735" s="7719">
        <v>65.0</v>
      </c>
      <c r="N735" s="7721">
        <v>45.0</v>
      </c>
      <c r="O735" s="7701"/>
      <c r="P735" s="7704"/>
      <c r="Q735" s="7704"/>
      <c r="R735" s="7704"/>
      <c r="S735" s="7705"/>
    </row>
    <row r="736" ht="18.75" customHeight="1">
      <c r="A736" s="7696"/>
      <c r="B736" s="7712" t="s">
        <v>3363</v>
      </c>
      <c r="C736" s="7713" t="s">
        <v>3364</v>
      </c>
      <c r="D736" s="7714"/>
      <c r="E736" s="7713" t="s">
        <v>669</v>
      </c>
      <c r="F736" s="7713" t="str">
        <f t="shared" si="50"/>
        <v/>
      </c>
      <c r="G736" s="7713"/>
      <c r="H736" s="7713" t="str">
        <f t="shared" si="51"/>
        <v/>
      </c>
      <c r="I736" s="7713">
        <v>60.0</v>
      </c>
      <c r="J736" s="7713">
        <v>45.0</v>
      </c>
      <c r="K736" s="7713">
        <v>70.0</v>
      </c>
      <c r="L736" s="7713">
        <v>75.0</v>
      </c>
      <c r="M736" s="7713">
        <v>85.0</v>
      </c>
      <c r="N736" s="7715">
        <v>55.0</v>
      </c>
      <c r="O736" s="7701"/>
      <c r="P736" s="7704"/>
      <c r="Q736" s="7704"/>
      <c r="R736" s="7704"/>
      <c r="S736" s="7705"/>
    </row>
    <row r="737" ht="18.75" customHeight="1">
      <c r="A737" s="7696"/>
      <c r="B737" s="7718" t="s">
        <v>3365</v>
      </c>
      <c r="C737" s="7719" t="s">
        <v>3366</v>
      </c>
      <c r="D737" s="7720"/>
      <c r="E737" s="7719" t="s">
        <v>669</v>
      </c>
      <c r="F737" s="7719" t="str">
        <f t="shared" si="50"/>
        <v/>
      </c>
      <c r="G737" s="7719"/>
      <c r="H737" s="7719" t="str">
        <f t="shared" si="51"/>
        <v/>
      </c>
      <c r="I737" s="7719">
        <v>70.0</v>
      </c>
      <c r="J737" s="7719">
        <v>55.0</v>
      </c>
      <c r="K737" s="7719">
        <v>95.0</v>
      </c>
      <c r="L737" s="7719">
        <v>95.0</v>
      </c>
      <c r="M737" s="7719">
        <v>110.0</v>
      </c>
      <c r="N737" s="7721">
        <v>65.0</v>
      </c>
      <c r="O737" s="7701"/>
      <c r="P737" s="7704"/>
      <c r="Q737" s="7704"/>
      <c r="R737" s="7704"/>
      <c r="S737" s="7705"/>
    </row>
    <row r="738" ht="18.75" customHeight="1">
      <c r="A738" s="7696"/>
      <c r="B738" s="7712" t="s">
        <v>3367</v>
      </c>
      <c r="C738" s="7713" t="s">
        <v>3368</v>
      </c>
      <c r="D738" s="7714"/>
      <c r="E738" s="7713" t="s">
        <v>669</v>
      </c>
      <c r="F738" s="7713" t="str">
        <f t="shared" si="50"/>
        <v/>
      </c>
      <c r="G738" s="7713"/>
      <c r="H738" s="7713" t="str">
        <f t="shared" si="51"/>
        <v/>
      </c>
      <c r="I738" s="7713">
        <v>45.0</v>
      </c>
      <c r="J738" s="7713">
        <v>30.0</v>
      </c>
      <c r="K738" s="7713">
        <v>40.0</v>
      </c>
      <c r="L738" s="7713">
        <v>105.0</v>
      </c>
      <c r="M738" s="7713">
        <v>50.0</v>
      </c>
      <c r="N738" s="7715">
        <v>20.0</v>
      </c>
      <c r="O738" s="7701"/>
      <c r="P738" s="7704"/>
      <c r="Q738" s="7704"/>
      <c r="R738" s="7704"/>
      <c r="S738" s="7705"/>
    </row>
    <row r="739" ht="18.75" customHeight="1">
      <c r="A739" s="7696"/>
      <c r="B739" s="7718" t="s">
        <v>3369</v>
      </c>
      <c r="C739" s="7719" t="s">
        <v>3370</v>
      </c>
      <c r="D739" s="7720"/>
      <c r="E739" s="7719" t="s">
        <v>669</v>
      </c>
      <c r="F739" s="7719" t="str">
        <f t="shared" si="50"/>
        <v/>
      </c>
      <c r="G739" s="7719"/>
      <c r="H739" s="7719" t="str">
        <f t="shared" si="51"/>
        <v/>
      </c>
      <c r="I739" s="7719">
        <v>65.0</v>
      </c>
      <c r="J739" s="7719">
        <v>40.0</v>
      </c>
      <c r="K739" s="7719">
        <v>50.0</v>
      </c>
      <c r="L739" s="7719">
        <v>125.0</v>
      </c>
      <c r="M739" s="7719">
        <v>60.0</v>
      </c>
      <c r="N739" s="7721">
        <v>30.0</v>
      </c>
      <c r="O739" s="7701"/>
      <c r="P739" s="7704"/>
      <c r="Q739" s="7704"/>
      <c r="R739" s="7704"/>
      <c r="S739" s="7705"/>
    </row>
    <row r="740" ht="18.75" customHeight="1">
      <c r="A740" s="7696"/>
      <c r="B740" s="7712" t="s">
        <v>935</v>
      </c>
      <c r="C740" s="7713" t="s">
        <v>3371</v>
      </c>
      <c r="D740" s="7714"/>
      <c r="E740" s="7713" t="s">
        <v>669</v>
      </c>
      <c r="F740" s="7713" t="str">
        <f t="shared" si="50"/>
        <v/>
      </c>
      <c r="G740" s="7713"/>
      <c r="H740" s="7713" t="str">
        <f t="shared" si="51"/>
        <v/>
      </c>
      <c r="I740" s="7713">
        <v>110.0</v>
      </c>
      <c r="J740" s="7713">
        <v>65.0</v>
      </c>
      <c r="K740" s="7713">
        <v>75.0</v>
      </c>
      <c r="L740" s="7713">
        <v>125.0</v>
      </c>
      <c r="M740" s="7713">
        <v>85.0</v>
      </c>
      <c r="N740" s="7715">
        <v>30.0</v>
      </c>
      <c r="O740" s="7701"/>
      <c r="P740" s="7704"/>
      <c r="Q740" s="7704"/>
      <c r="R740" s="7704"/>
      <c r="S740" s="7705"/>
    </row>
    <row r="741" ht="18.75" customHeight="1">
      <c r="A741" s="7696"/>
      <c r="B741" s="7718" t="s">
        <v>3372</v>
      </c>
      <c r="C741" s="7719" t="s">
        <v>3373</v>
      </c>
      <c r="D741" s="7720"/>
      <c r="E741" s="7719" t="s">
        <v>2232</v>
      </c>
      <c r="F741" s="7719" t="str">
        <f t="shared" si="50"/>
        <v/>
      </c>
      <c r="G741" s="7719" t="s">
        <v>2224</v>
      </c>
      <c r="H741" s="7719" t="str">
        <f t="shared" si="51"/>
        <v/>
      </c>
      <c r="I741" s="7719">
        <v>62.0</v>
      </c>
      <c r="J741" s="7719">
        <v>44.0</v>
      </c>
      <c r="K741" s="7719">
        <v>50.0</v>
      </c>
      <c r="L741" s="7719">
        <v>44.0</v>
      </c>
      <c r="M741" s="7719">
        <v>50.0</v>
      </c>
      <c r="N741" s="7721">
        <v>55.0</v>
      </c>
      <c r="O741" s="7701"/>
      <c r="P741" s="7704"/>
      <c r="Q741" s="7704"/>
      <c r="R741" s="7704"/>
      <c r="S741" s="7705"/>
    </row>
    <row r="742" ht="18.75" customHeight="1">
      <c r="A742" s="7696"/>
      <c r="B742" s="7712" t="s">
        <v>164</v>
      </c>
      <c r="C742" s="7713" t="s">
        <v>3374</v>
      </c>
      <c r="D742" s="7714"/>
      <c r="E742" s="7713" t="s">
        <v>2232</v>
      </c>
      <c r="F742" s="7713" t="str">
        <f t="shared" si="50"/>
        <v/>
      </c>
      <c r="G742" s="7713" t="s">
        <v>2224</v>
      </c>
      <c r="H742" s="7713" t="str">
        <f t="shared" si="51"/>
        <v/>
      </c>
      <c r="I742" s="7713">
        <v>75.0</v>
      </c>
      <c r="J742" s="7713">
        <v>77.0</v>
      </c>
      <c r="K742" s="7713">
        <v>63.0</v>
      </c>
      <c r="L742" s="7713">
        <v>97.0</v>
      </c>
      <c r="M742" s="7713">
        <v>63.0</v>
      </c>
      <c r="N742" s="7715">
        <v>108.0</v>
      </c>
      <c r="O742" s="7701"/>
      <c r="P742" s="7704"/>
      <c r="Q742" s="7704"/>
      <c r="R742" s="7704"/>
      <c r="S742" s="7705"/>
    </row>
    <row r="743" ht="18.75" customHeight="1">
      <c r="A743" s="7696"/>
      <c r="B743" s="7718" t="s">
        <v>3375</v>
      </c>
      <c r="C743" s="7719" t="s">
        <v>3376</v>
      </c>
      <c r="D743" s="7720"/>
      <c r="E743" s="7719" t="s">
        <v>2289</v>
      </c>
      <c r="F743" s="7719" t="str">
        <f t="shared" si="50"/>
        <v/>
      </c>
      <c r="G743" s="7719"/>
      <c r="H743" s="7719" t="str">
        <f t="shared" si="51"/>
        <v/>
      </c>
      <c r="I743" s="7719">
        <v>36.0</v>
      </c>
      <c r="J743" s="7719">
        <v>50.0</v>
      </c>
      <c r="K743" s="7719">
        <v>50.0</v>
      </c>
      <c r="L743" s="7719">
        <v>65.0</v>
      </c>
      <c r="M743" s="7719">
        <v>60.0</v>
      </c>
      <c r="N743" s="7721">
        <v>44.0</v>
      </c>
      <c r="O743" s="7701"/>
      <c r="P743" s="7704"/>
      <c r="Q743" s="7704"/>
      <c r="R743" s="7704"/>
      <c r="S743" s="7705"/>
    </row>
    <row r="744" ht="18.75" customHeight="1">
      <c r="A744" s="7696"/>
      <c r="B744" s="7712" t="s">
        <v>3377</v>
      </c>
      <c r="C744" s="7713" t="s">
        <v>3378</v>
      </c>
      <c r="D744" s="7714"/>
      <c r="E744" s="7713" t="s">
        <v>2289</v>
      </c>
      <c r="F744" s="7713" t="str">
        <f t="shared" si="50"/>
        <v/>
      </c>
      <c r="G744" s="7713"/>
      <c r="H744" s="7713" t="str">
        <f t="shared" si="51"/>
        <v/>
      </c>
      <c r="I744" s="7713">
        <v>51.0</v>
      </c>
      <c r="J744" s="7713">
        <v>65.0</v>
      </c>
      <c r="K744" s="7713">
        <v>65.0</v>
      </c>
      <c r="L744" s="7713">
        <v>80.0</v>
      </c>
      <c r="M744" s="7713">
        <v>75.0</v>
      </c>
      <c r="N744" s="7715">
        <v>59.0</v>
      </c>
      <c r="O744" s="7701"/>
      <c r="P744" s="7704"/>
      <c r="Q744" s="7704"/>
      <c r="R744" s="7704"/>
      <c r="S744" s="7705"/>
    </row>
    <row r="745" ht="18.75" customHeight="1">
      <c r="A745" s="7696"/>
      <c r="B745" s="7718" t="s">
        <v>175</v>
      </c>
      <c r="C745" s="7719" t="s">
        <v>3379</v>
      </c>
      <c r="D745" s="7720"/>
      <c r="E745" s="7719" t="s">
        <v>2289</v>
      </c>
      <c r="F745" s="7719" t="str">
        <f t="shared" si="50"/>
        <v/>
      </c>
      <c r="G745" s="7719"/>
      <c r="H745" s="7719" t="str">
        <f t="shared" si="51"/>
        <v/>
      </c>
      <c r="I745" s="7719">
        <v>71.0</v>
      </c>
      <c r="J745" s="7719">
        <v>90.0</v>
      </c>
      <c r="K745" s="7719">
        <v>85.0</v>
      </c>
      <c r="L745" s="7719">
        <v>110.0</v>
      </c>
      <c r="M745" s="7719">
        <v>95.0</v>
      </c>
      <c r="N745" s="7721">
        <v>84.0</v>
      </c>
      <c r="O745" s="7701"/>
      <c r="P745" s="7704"/>
      <c r="Q745" s="7704"/>
      <c r="R745" s="7704"/>
      <c r="S745" s="7705"/>
    </row>
    <row r="746" ht="18.75" customHeight="1">
      <c r="A746" s="7696"/>
      <c r="B746" s="7712" t="s">
        <v>3380</v>
      </c>
      <c r="C746" s="7713" t="s">
        <v>3381</v>
      </c>
      <c r="D746" s="7714"/>
      <c r="E746" s="7713" t="s">
        <v>2262</v>
      </c>
      <c r="F746" s="7713" t="str">
        <f t="shared" si="50"/>
        <v/>
      </c>
      <c r="G746" s="7713" t="s">
        <v>2209</v>
      </c>
      <c r="H746" s="7713" t="str">
        <f t="shared" si="51"/>
        <v/>
      </c>
      <c r="I746" s="7713">
        <v>60.0</v>
      </c>
      <c r="J746" s="7713">
        <v>60.0</v>
      </c>
      <c r="K746" s="7713">
        <v>50.0</v>
      </c>
      <c r="L746" s="7713">
        <v>40.0</v>
      </c>
      <c r="M746" s="7713">
        <v>50.0</v>
      </c>
      <c r="N746" s="7715">
        <v>75.0</v>
      </c>
      <c r="O746" s="7701"/>
      <c r="P746" s="7704"/>
      <c r="Q746" s="7704"/>
      <c r="R746" s="7704"/>
      <c r="S746" s="7705"/>
    </row>
    <row r="747" ht="18.75" customHeight="1">
      <c r="A747" s="7696"/>
      <c r="B747" s="7718" t="s">
        <v>3382</v>
      </c>
      <c r="C747" s="7719" t="s">
        <v>3383</v>
      </c>
      <c r="D747" s="7720"/>
      <c r="E747" s="7723" t="s">
        <v>2262</v>
      </c>
      <c r="F747" s="7723" t="str">
        <f t="shared" si="50"/>
        <v/>
      </c>
      <c r="G747" s="7723" t="s">
        <v>2209</v>
      </c>
      <c r="H747" s="7723" t="str">
        <f t="shared" si="51"/>
        <v/>
      </c>
      <c r="I747" s="7719">
        <v>80.0</v>
      </c>
      <c r="J747" s="7719">
        <v>110.0</v>
      </c>
      <c r="K747" s="7719">
        <v>70.0</v>
      </c>
      <c r="L747" s="7719">
        <v>60.0</v>
      </c>
      <c r="M747" s="7719">
        <v>70.0</v>
      </c>
      <c r="N747" s="7721">
        <v>105.0</v>
      </c>
      <c r="O747" s="7701"/>
      <c r="P747" s="7704"/>
      <c r="Q747" s="7704"/>
      <c r="R747" s="7704"/>
      <c r="S747" s="7705"/>
    </row>
    <row r="748" ht="18.75" customHeight="1">
      <c r="A748" s="7696"/>
      <c r="B748" s="7712" t="s">
        <v>188</v>
      </c>
      <c r="C748" s="7713" t="s">
        <v>3384</v>
      </c>
      <c r="D748" s="7714"/>
      <c r="E748" s="7713" t="s">
        <v>2283</v>
      </c>
      <c r="F748" s="7713" t="str">
        <f t="shared" si="50"/>
        <v/>
      </c>
      <c r="G748" s="7713" t="s">
        <v>2224</v>
      </c>
      <c r="H748" s="7713" t="str">
        <f t="shared" si="51"/>
        <v/>
      </c>
      <c r="I748" s="7713">
        <v>55.0</v>
      </c>
      <c r="J748" s="7713">
        <v>55.0</v>
      </c>
      <c r="K748" s="7713">
        <v>60.0</v>
      </c>
      <c r="L748" s="7713">
        <v>95.0</v>
      </c>
      <c r="M748" s="7713">
        <v>60.0</v>
      </c>
      <c r="N748" s="7715">
        <v>103.0</v>
      </c>
      <c r="O748" s="7701"/>
      <c r="P748" s="7704"/>
      <c r="Q748" s="7704"/>
      <c r="R748" s="7704"/>
      <c r="S748" s="7705"/>
    </row>
    <row r="749" ht="18.75" customHeight="1">
      <c r="A749" s="7696"/>
      <c r="B749" s="7718" t="s">
        <v>3385</v>
      </c>
      <c r="C749" s="7719" t="s">
        <v>3386</v>
      </c>
      <c r="D749" s="7720"/>
      <c r="E749" s="7719" t="s">
        <v>2243</v>
      </c>
      <c r="F749" s="7719" t="str">
        <f t="shared" si="50"/>
        <v/>
      </c>
      <c r="G749" s="7719"/>
      <c r="H749" s="7719" t="str">
        <f t="shared" si="51"/>
        <v/>
      </c>
      <c r="I749" s="7719">
        <v>50.0</v>
      </c>
      <c r="J749" s="7719">
        <v>75.0</v>
      </c>
      <c r="K749" s="7719">
        <v>45.0</v>
      </c>
      <c r="L749" s="7719">
        <v>40.0</v>
      </c>
      <c r="M749" s="7719">
        <v>45.0</v>
      </c>
      <c r="N749" s="7721">
        <v>60.0</v>
      </c>
      <c r="O749" s="7701"/>
      <c r="P749" s="7704"/>
      <c r="Q749" s="7704"/>
      <c r="R749" s="7704"/>
      <c r="S749" s="7705"/>
    </row>
    <row r="750" ht="18.75" customHeight="1">
      <c r="A750" s="7696"/>
      <c r="B750" s="7712" t="s">
        <v>1807</v>
      </c>
      <c r="C750" s="7713" t="s">
        <v>3387</v>
      </c>
      <c r="D750" s="7714"/>
      <c r="E750" s="7713" t="s">
        <v>2243</v>
      </c>
      <c r="F750" s="7713" t="str">
        <f t="shared" si="50"/>
        <v/>
      </c>
      <c r="G750" s="7713" t="s">
        <v>2286</v>
      </c>
      <c r="H750" s="7713" t="str">
        <f t="shared" si="51"/>
        <v/>
      </c>
      <c r="I750" s="7713">
        <v>70.0</v>
      </c>
      <c r="J750" s="7713">
        <v>135.0</v>
      </c>
      <c r="K750" s="7713">
        <v>105.0</v>
      </c>
      <c r="L750" s="7713">
        <v>60.0</v>
      </c>
      <c r="M750" s="7713">
        <v>105.0</v>
      </c>
      <c r="N750" s="7715">
        <v>20.0</v>
      </c>
      <c r="O750" s="7701"/>
      <c r="P750" s="7704"/>
      <c r="Q750" s="7704"/>
      <c r="R750" s="7704"/>
      <c r="S750" s="7705"/>
    </row>
    <row r="751" ht="18.75" customHeight="1">
      <c r="A751" s="7696"/>
      <c r="B751" s="7718" t="s">
        <v>3388</v>
      </c>
      <c r="C751" s="7719" t="s">
        <v>3389</v>
      </c>
      <c r="D751" s="7720"/>
      <c r="E751" s="7719" t="s">
        <v>2209</v>
      </c>
      <c r="F751" s="7719" t="str">
        <f t="shared" si="50"/>
        <v/>
      </c>
      <c r="G751" s="7719" t="s">
        <v>2210</v>
      </c>
      <c r="H751" s="7719" t="str">
        <f t="shared" si="51"/>
        <v/>
      </c>
      <c r="I751" s="7719">
        <v>69.0</v>
      </c>
      <c r="J751" s="7719">
        <v>55.0</v>
      </c>
      <c r="K751" s="7719">
        <v>45.0</v>
      </c>
      <c r="L751" s="7719">
        <v>55.0</v>
      </c>
      <c r="M751" s="7719">
        <v>55.0</v>
      </c>
      <c r="N751" s="7721">
        <v>15.0</v>
      </c>
      <c r="O751" s="7701"/>
      <c r="P751" s="7704"/>
      <c r="Q751" s="7704"/>
      <c r="R751" s="7704"/>
      <c r="S751" s="7705"/>
    </row>
    <row r="752" ht="18.75" customHeight="1">
      <c r="A752" s="7696"/>
      <c r="B752" s="7712" t="s">
        <v>3390</v>
      </c>
      <c r="C752" s="7713" t="s">
        <v>3391</v>
      </c>
      <c r="D752" s="7714"/>
      <c r="E752" s="7713" t="s">
        <v>2209</v>
      </c>
      <c r="F752" s="7713" t="str">
        <f t="shared" si="50"/>
        <v/>
      </c>
      <c r="G752" s="7713" t="s">
        <v>2210</v>
      </c>
      <c r="H752" s="7713" t="str">
        <f t="shared" si="51"/>
        <v/>
      </c>
      <c r="I752" s="7713">
        <v>114.0</v>
      </c>
      <c r="J752" s="7713">
        <v>85.0</v>
      </c>
      <c r="K752" s="7713">
        <v>70.0</v>
      </c>
      <c r="L752" s="7713">
        <v>85.0</v>
      </c>
      <c r="M752" s="7713">
        <v>80.0</v>
      </c>
      <c r="N752" s="7715">
        <v>30.0</v>
      </c>
      <c r="O752" s="7701"/>
      <c r="P752" s="7704"/>
      <c r="Q752" s="7704"/>
      <c r="R752" s="7704"/>
      <c r="S752" s="7705"/>
    </row>
    <row r="753" ht="18.75" customHeight="1">
      <c r="A753" s="7696"/>
      <c r="B753" s="7718" t="s">
        <v>3392</v>
      </c>
      <c r="C753" s="7719" t="s">
        <v>3393</v>
      </c>
      <c r="D753" s="7720"/>
      <c r="E753" s="7719" t="s">
        <v>2232</v>
      </c>
      <c r="F753" s="7719" t="str">
        <f t="shared" si="50"/>
        <v/>
      </c>
      <c r="G753" s="7719" t="s">
        <v>2447</v>
      </c>
      <c r="H753" s="7719" t="str">
        <f t="shared" si="51"/>
        <v/>
      </c>
      <c r="I753" s="7719">
        <v>55.0</v>
      </c>
      <c r="J753" s="7719">
        <v>40.0</v>
      </c>
      <c r="K753" s="7719">
        <v>50.0</v>
      </c>
      <c r="L753" s="7719">
        <v>65.0</v>
      </c>
      <c r="M753" s="7719">
        <v>85.0</v>
      </c>
      <c r="N753" s="7721">
        <v>40.0</v>
      </c>
      <c r="O753" s="7701"/>
      <c r="P753" s="7704"/>
      <c r="Q753" s="7704"/>
      <c r="R753" s="7704"/>
      <c r="S753" s="7705"/>
    </row>
    <row r="754" ht="18.75" customHeight="1">
      <c r="A754" s="7696"/>
      <c r="B754" s="7712" t="s">
        <v>3394</v>
      </c>
      <c r="C754" s="7722" t="s">
        <v>3395</v>
      </c>
      <c r="D754" s="7714"/>
      <c r="E754" s="7713" t="s">
        <v>2232</v>
      </c>
      <c r="F754" s="7713" t="str">
        <f t="shared" si="50"/>
        <v/>
      </c>
      <c r="G754" s="7713" t="s">
        <v>2447</v>
      </c>
      <c r="H754" s="7713" t="str">
        <f t="shared" si="51"/>
        <v/>
      </c>
      <c r="I754" s="7713">
        <v>55.0</v>
      </c>
      <c r="J754" s="7713">
        <v>40.0</v>
      </c>
      <c r="K754" s="7713">
        <v>50.0</v>
      </c>
      <c r="L754" s="7713">
        <v>65.0</v>
      </c>
      <c r="M754" s="7713">
        <v>85.0</v>
      </c>
      <c r="N754" s="7715">
        <v>40.0</v>
      </c>
      <c r="O754" s="7701"/>
      <c r="P754" s="7704"/>
      <c r="Q754" s="7704"/>
      <c r="R754" s="7704"/>
      <c r="S754" s="7705"/>
    </row>
    <row r="755" ht="18.75" customHeight="1">
      <c r="A755" s="7696"/>
      <c r="B755" s="7718" t="s">
        <v>632</v>
      </c>
      <c r="C755" s="7719" t="s">
        <v>3396</v>
      </c>
      <c r="D755" s="7720"/>
      <c r="E755" s="7719" t="s">
        <v>2232</v>
      </c>
      <c r="F755" s="7719" t="str">
        <f t="shared" si="50"/>
        <v/>
      </c>
      <c r="G755" s="7719" t="s">
        <v>2447</v>
      </c>
      <c r="H755" s="7719" t="str">
        <f t="shared" si="51"/>
        <v/>
      </c>
      <c r="I755" s="7719">
        <v>100.0</v>
      </c>
      <c r="J755" s="7719">
        <v>60.0</v>
      </c>
      <c r="K755" s="7719">
        <v>80.0</v>
      </c>
      <c r="L755" s="7719">
        <v>75.0</v>
      </c>
      <c r="M755" s="7719">
        <v>105.0</v>
      </c>
      <c r="N755" s="7721">
        <v>60.0</v>
      </c>
      <c r="O755" s="7701"/>
      <c r="P755" s="7704"/>
      <c r="Q755" s="7704"/>
      <c r="R755" s="7704"/>
      <c r="S755" s="7705"/>
    </row>
    <row r="756" ht="18.75" customHeight="1">
      <c r="A756" s="7696"/>
      <c r="B756" s="7712" t="s">
        <v>3397</v>
      </c>
      <c r="C756" s="7722" t="s">
        <v>3398</v>
      </c>
      <c r="D756" s="7714"/>
      <c r="E756" s="7713" t="s">
        <v>2232</v>
      </c>
      <c r="F756" s="7713" t="str">
        <f t="shared" si="50"/>
        <v/>
      </c>
      <c r="G756" s="7713" t="s">
        <v>2447</v>
      </c>
      <c r="H756" s="7713" t="str">
        <f t="shared" si="51"/>
        <v/>
      </c>
      <c r="I756" s="7722">
        <v>100.0</v>
      </c>
      <c r="J756" s="7722">
        <v>60.0</v>
      </c>
      <c r="K756" s="7722">
        <v>70.0</v>
      </c>
      <c r="L756" s="7722">
        <v>85.0</v>
      </c>
      <c r="M756" s="7722">
        <v>105.0</v>
      </c>
      <c r="N756" s="7724">
        <v>60.0</v>
      </c>
      <c r="O756" s="7701"/>
      <c r="P756" s="7704"/>
      <c r="Q756" s="7704"/>
      <c r="R756" s="7704"/>
      <c r="S756" s="7705"/>
    </row>
    <row r="757" ht="18.75" customHeight="1">
      <c r="A757" s="7696"/>
      <c r="B757" s="7718" t="s">
        <v>3399</v>
      </c>
      <c r="C757" s="7719" t="s">
        <v>3400</v>
      </c>
      <c r="D757" s="7720"/>
      <c r="E757" s="7719" t="s">
        <v>2232</v>
      </c>
      <c r="F757" s="7719" t="str">
        <f t="shared" si="50"/>
        <v/>
      </c>
      <c r="G757" s="7719"/>
      <c r="H757" s="7719" t="str">
        <f t="shared" si="51"/>
        <v/>
      </c>
      <c r="I757" s="7719">
        <v>165.0</v>
      </c>
      <c r="J757" s="7719">
        <v>75.0</v>
      </c>
      <c r="K757" s="7719">
        <v>80.0</v>
      </c>
      <c r="L757" s="7719">
        <v>40.0</v>
      </c>
      <c r="M757" s="7719">
        <v>45.0</v>
      </c>
      <c r="N757" s="7721">
        <v>65.0</v>
      </c>
      <c r="O757" s="7701"/>
      <c r="P757" s="7704"/>
      <c r="Q757" s="7704"/>
      <c r="R757" s="7704"/>
      <c r="S757" s="7705"/>
    </row>
    <row r="758" ht="18.75" customHeight="1">
      <c r="A758" s="7696"/>
      <c r="B758" s="7712" t="s">
        <v>3401</v>
      </c>
      <c r="C758" s="7713" t="s">
        <v>3402</v>
      </c>
      <c r="D758" s="7714"/>
      <c r="E758" s="7713" t="s">
        <v>2243</v>
      </c>
      <c r="F758" s="7713" t="str">
        <f t="shared" si="50"/>
        <v/>
      </c>
      <c r="G758" s="7713" t="s">
        <v>2283</v>
      </c>
      <c r="H758" s="7713" t="str">
        <f t="shared" si="51"/>
        <v/>
      </c>
      <c r="I758" s="7713">
        <v>50.0</v>
      </c>
      <c r="J758" s="7713">
        <v>47.0</v>
      </c>
      <c r="K758" s="7713">
        <v>50.0</v>
      </c>
      <c r="L758" s="7713">
        <v>57.0</v>
      </c>
      <c r="M758" s="7713">
        <v>50.0</v>
      </c>
      <c r="N758" s="7715">
        <v>65.0</v>
      </c>
      <c r="O758" s="7701"/>
      <c r="P758" s="7704"/>
      <c r="Q758" s="7704"/>
      <c r="R758" s="7704"/>
      <c r="S758" s="7705"/>
    </row>
    <row r="759" ht="18.75" customHeight="1">
      <c r="A759" s="7696"/>
      <c r="B759" s="7718" t="s">
        <v>1733</v>
      </c>
      <c r="C759" s="7719" t="s">
        <v>3403</v>
      </c>
      <c r="D759" s="7720"/>
      <c r="E759" s="7719" t="s">
        <v>2243</v>
      </c>
      <c r="F759" s="7719" t="str">
        <f t="shared" si="50"/>
        <v/>
      </c>
      <c r="G759" s="7719" t="s">
        <v>2283</v>
      </c>
      <c r="H759" s="7719" t="str">
        <f t="shared" si="51"/>
        <v/>
      </c>
      <c r="I759" s="7719">
        <v>70.0</v>
      </c>
      <c r="J759" s="7719">
        <v>77.0</v>
      </c>
      <c r="K759" s="7719">
        <v>60.0</v>
      </c>
      <c r="L759" s="7719">
        <v>97.0</v>
      </c>
      <c r="M759" s="7719">
        <v>60.0</v>
      </c>
      <c r="N759" s="7721">
        <v>108.0</v>
      </c>
      <c r="O759" s="7701"/>
      <c r="P759" s="7704"/>
      <c r="Q759" s="7704"/>
      <c r="R759" s="7704"/>
      <c r="S759" s="7705"/>
    </row>
    <row r="760" ht="18.75" customHeight="1">
      <c r="A760" s="7696"/>
      <c r="B760" s="7712" t="s">
        <v>3404</v>
      </c>
      <c r="C760" s="7713" t="s">
        <v>3405</v>
      </c>
      <c r="D760" s="7714"/>
      <c r="E760" s="7713" t="s">
        <v>2209</v>
      </c>
      <c r="F760" s="7713" t="str">
        <f t="shared" si="50"/>
        <v/>
      </c>
      <c r="G760" s="7713" t="s">
        <v>2286</v>
      </c>
      <c r="H760" s="7713" t="str">
        <f t="shared" si="51"/>
        <v/>
      </c>
      <c r="I760" s="7713">
        <v>44.0</v>
      </c>
      <c r="J760" s="7713">
        <v>50.0</v>
      </c>
      <c r="K760" s="7713">
        <v>91.0</v>
      </c>
      <c r="L760" s="7713">
        <v>24.0</v>
      </c>
      <c r="M760" s="7713">
        <v>86.0</v>
      </c>
      <c r="N760" s="7715">
        <v>10.0</v>
      </c>
      <c r="O760" s="7701"/>
      <c r="P760" s="7704"/>
      <c r="Q760" s="7704"/>
      <c r="R760" s="7704"/>
      <c r="S760" s="7705"/>
    </row>
    <row r="761" ht="18.75" customHeight="1">
      <c r="A761" s="7696"/>
      <c r="B761" s="7718" t="s">
        <v>1094</v>
      </c>
      <c r="C761" s="7719" t="s">
        <v>3406</v>
      </c>
      <c r="D761" s="7720"/>
      <c r="E761" s="7723" t="s">
        <v>2209</v>
      </c>
      <c r="F761" s="7723" t="str">
        <f t="shared" si="50"/>
        <v/>
      </c>
      <c r="G761" s="7723" t="s">
        <v>2286</v>
      </c>
      <c r="H761" s="7723" t="str">
        <f t="shared" si="51"/>
        <v/>
      </c>
      <c r="I761" s="7719">
        <v>74.0</v>
      </c>
      <c r="J761" s="7719">
        <v>94.0</v>
      </c>
      <c r="K761" s="7719">
        <v>131.0</v>
      </c>
      <c r="L761" s="7719">
        <v>54.0</v>
      </c>
      <c r="M761" s="7719">
        <v>116.0</v>
      </c>
      <c r="N761" s="7721">
        <v>20.0</v>
      </c>
      <c r="O761" s="7701"/>
      <c r="P761" s="7704"/>
      <c r="Q761" s="7704"/>
      <c r="R761" s="7704"/>
      <c r="S761" s="7705"/>
    </row>
    <row r="762" ht="18.75" customHeight="1">
      <c r="A762" s="7696"/>
      <c r="B762" s="7712" t="s">
        <v>3407</v>
      </c>
      <c r="C762" s="7713" t="s">
        <v>3408</v>
      </c>
      <c r="D762" s="7714"/>
      <c r="E762" s="7713" t="s">
        <v>2286</v>
      </c>
      <c r="F762" s="7713" t="str">
        <f t="shared" si="50"/>
        <v/>
      </c>
      <c r="G762" s="7713"/>
      <c r="H762" s="7713" t="str">
        <f t="shared" si="51"/>
        <v/>
      </c>
      <c r="I762" s="7713">
        <v>40.0</v>
      </c>
      <c r="J762" s="7713">
        <v>55.0</v>
      </c>
      <c r="K762" s="7713">
        <v>70.0</v>
      </c>
      <c r="L762" s="7713">
        <v>45.0</v>
      </c>
      <c r="M762" s="7713">
        <v>60.0</v>
      </c>
      <c r="N762" s="7715">
        <v>30.0</v>
      </c>
      <c r="O762" s="7701"/>
      <c r="P762" s="7704"/>
      <c r="Q762" s="7704"/>
      <c r="R762" s="7704"/>
      <c r="S762" s="7705"/>
    </row>
    <row r="763" ht="18.75" customHeight="1">
      <c r="A763" s="7696"/>
      <c r="B763" s="7718" t="s">
        <v>3409</v>
      </c>
      <c r="C763" s="7719" t="s">
        <v>3410</v>
      </c>
      <c r="D763" s="7720"/>
      <c r="E763" s="7719" t="s">
        <v>2286</v>
      </c>
      <c r="F763" s="7719" t="str">
        <f t="shared" si="50"/>
        <v/>
      </c>
      <c r="G763" s="7719"/>
      <c r="H763" s="7719" t="str">
        <f t="shared" si="51"/>
        <v/>
      </c>
      <c r="I763" s="7719">
        <v>60.0</v>
      </c>
      <c r="J763" s="7719">
        <v>80.0</v>
      </c>
      <c r="K763" s="7719">
        <v>95.0</v>
      </c>
      <c r="L763" s="7719">
        <v>70.0</v>
      </c>
      <c r="M763" s="7719">
        <v>85.0</v>
      </c>
      <c r="N763" s="7721">
        <v>50.0</v>
      </c>
      <c r="O763" s="7701"/>
      <c r="P763" s="7704"/>
      <c r="Q763" s="7704"/>
      <c r="R763" s="7704"/>
      <c r="S763" s="7705"/>
    </row>
    <row r="764" ht="18.75" customHeight="1">
      <c r="A764" s="7696"/>
      <c r="B764" s="7712" t="s">
        <v>1800</v>
      </c>
      <c r="C764" s="7713" t="s">
        <v>3411</v>
      </c>
      <c r="D764" s="7714"/>
      <c r="E764" s="7713" t="s">
        <v>2286</v>
      </c>
      <c r="F764" s="7713" t="str">
        <f t="shared" si="50"/>
        <v/>
      </c>
      <c r="G764" s="7713"/>
      <c r="H764" s="7713" t="str">
        <f t="shared" si="51"/>
        <v/>
      </c>
      <c r="I764" s="7713">
        <v>60.0</v>
      </c>
      <c r="J764" s="7713">
        <v>100.0</v>
      </c>
      <c r="K764" s="7713">
        <v>115.0</v>
      </c>
      <c r="L764" s="7713">
        <v>70.0</v>
      </c>
      <c r="M764" s="7713">
        <v>85.0</v>
      </c>
      <c r="N764" s="7715">
        <v>90.0</v>
      </c>
      <c r="O764" s="7701"/>
      <c r="P764" s="7704"/>
      <c r="Q764" s="7704"/>
      <c r="R764" s="7704"/>
      <c r="S764" s="7705"/>
    </row>
    <row r="765" ht="18.75" customHeight="1">
      <c r="A765" s="7696"/>
      <c r="B765" s="7718" t="s">
        <v>3412</v>
      </c>
      <c r="C765" s="7719" t="s">
        <v>3413</v>
      </c>
      <c r="D765" s="7720"/>
      <c r="E765" s="7719" t="s">
        <v>2283</v>
      </c>
      <c r="F765" s="7719" t="str">
        <f t="shared" si="50"/>
        <v/>
      </c>
      <c r="G765" s="7719"/>
      <c r="H765" s="7719" t="str">
        <f t="shared" si="51"/>
        <v/>
      </c>
      <c r="I765" s="7719">
        <v>35.0</v>
      </c>
      <c r="J765" s="7719">
        <v>55.0</v>
      </c>
      <c r="K765" s="7719">
        <v>40.0</v>
      </c>
      <c r="L765" s="7719">
        <v>45.0</v>
      </c>
      <c r="M765" s="7719">
        <v>40.0</v>
      </c>
      <c r="N765" s="7721">
        <v>60.0</v>
      </c>
      <c r="O765" s="7701"/>
      <c r="P765" s="7704"/>
      <c r="Q765" s="7704"/>
      <c r="R765" s="7704"/>
      <c r="S765" s="7705"/>
    </row>
    <row r="766" ht="18.75" customHeight="1">
      <c r="A766" s="7696"/>
      <c r="B766" s="7712" t="s">
        <v>3414</v>
      </c>
      <c r="C766" s="7713" t="s">
        <v>3415</v>
      </c>
      <c r="D766" s="7714"/>
      <c r="E766" s="7713" t="s">
        <v>2283</v>
      </c>
      <c r="F766" s="7713" t="str">
        <f t="shared" si="50"/>
        <v/>
      </c>
      <c r="G766" s="7713"/>
      <c r="H766" s="7713" t="str">
        <f t="shared" si="51"/>
        <v/>
      </c>
      <c r="I766" s="7713">
        <v>65.0</v>
      </c>
      <c r="J766" s="7713">
        <v>85.0</v>
      </c>
      <c r="K766" s="7713">
        <v>70.0</v>
      </c>
      <c r="L766" s="7713">
        <v>75.0</v>
      </c>
      <c r="M766" s="7713">
        <v>70.0</v>
      </c>
      <c r="N766" s="7715">
        <v>40.0</v>
      </c>
      <c r="O766" s="7701"/>
      <c r="P766" s="7704"/>
      <c r="Q766" s="7704"/>
      <c r="R766" s="7704"/>
      <c r="S766" s="7705"/>
    </row>
    <row r="767" ht="18.75" customHeight="1">
      <c r="A767" s="7696"/>
      <c r="B767" s="7718" t="s">
        <v>1588</v>
      </c>
      <c r="C767" s="7719" t="s">
        <v>3416</v>
      </c>
      <c r="D767" s="7720"/>
      <c r="E767" s="7719" t="s">
        <v>2283</v>
      </c>
      <c r="F767" s="7719" t="str">
        <f t="shared" si="50"/>
        <v/>
      </c>
      <c r="G767" s="7719"/>
      <c r="H767" s="7719" t="str">
        <f t="shared" si="51"/>
        <v/>
      </c>
      <c r="I767" s="7719">
        <v>85.0</v>
      </c>
      <c r="J767" s="7719">
        <v>105.0</v>
      </c>
      <c r="K767" s="7719">
        <v>80.0</v>
      </c>
      <c r="L767" s="7719">
        <v>115.0</v>
      </c>
      <c r="M767" s="7719">
        <v>80.0</v>
      </c>
      <c r="N767" s="7721">
        <v>50.0</v>
      </c>
      <c r="O767" s="7701"/>
      <c r="P767" s="7704"/>
      <c r="Q767" s="7704"/>
      <c r="R767" s="7704"/>
      <c r="S767" s="7705"/>
    </row>
    <row r="768" ht="18.75" customHeight="1">
      <c r="A768" s="7696"/>
      <c r="B768" s="7712" t="s">
        <v>3417</v>
      </c>
      <c r="C768" s="7713" t="s">
        <v>3418</v>
      </c>
      <c r="D768" s="7714"/>
      <c r="E768" s="7713" t="s">
        <v>669</v>
      </c>
      <c r="F768" s="7713" t="str">
        <f t="shared" si="50"/>
        <v/>
      </c>
      <c r="G768" s="7713"/>
      <c r="H768" s="7713" t="str">
        <f t="shared" si="51"/>
        <v/>
      </c>
      <c r="I768" s="7713">
        <v>55.0</v>
      </c>
      <c r="J768" s="7713">
        <v>55.0</v>
      </c>
      <c r="K768" s="7713">
        <v>55.0</v>
      </c>
      <c r="L768" s="7713">
        <v>85.0</v>
      </c>
      <c r="M768" s="7713">
        <v>55.0</v>
      </c>
      <c r="N768" s="7715">
        <v>30.0</v>
      </c>
      <c r="O768" s="7701"/>
      <c r="P768" s="7704"/>
      <c r="Q768" s="7704"/>
      <c r="R768" s="7704"/>
      <c r="S768" s="7705"/>
    </row>
    <row r="769" ht="18.75" customHeight="1">
      <c r="A769" s="7696"/>
      <c r="B769" s="7718" t="s">
        <v>201</v>
      </c>
      <c r="C769" s="7719" t="s">
        <v>3419</v>
      </c>
      <c r="D769" s="7720"/>
      <c r="E769" s="7719" t="s">
        <v>669</v>
      </c>
      <c r="F769" s="7719" t="str">
        <f t="shared" si="50"/>
        <v/>
      </c>
      <c r="G769" s="7719"/>
      <c r="H769" s="7719" t="str">
        <f t="shared" si="51"/>
        <v/>
      </c>
      <c r="I769" s="7719">
        <v>95.0</v>
      </c>
      <c r="J769" s="7719">
        <v>75.0</v>
      </c>
      <c r="K769" s="7719">
        <v>75.0</v>
      </c>
      <c r="L769" s="7719">
        <v>125.0</v>
      </c>
      <c r="M769" s="7719">
        <v>95.0</v>
      </c>
      <c r="N769" s="7721">
        <v>40.0</v>
      </c>
      <c r="O769" s="7701"/>
      <c r="P769" s="7704"/>
      <c r="Q769" s="7704"/>
      <c r="R769" s="7704"/>
      <c r="S769" s="7705"/>
    </row>
    <row r="770" ht="18.75" customHeight="1">
      <c r="A770" s="7696"/>
      <c r="B770" s="7712" t="s">
        <v>3420</v>
      </c>
      <c r="C770" s="7713" t="s">
        <v>3421</v>
      </c>
      <c r="D770" s="7714"/>
      <c r="E770" s="7713" t="s">
        <v>2447</v>
      </c>
      <c r="F770" s="7713" t="str">
        <f t="shared" si="50"/>
        <v/>
      </c>
      <c r="G770" s="7713" t="s">
        <v>2219</v>
      </c>
      <c r="H770" s="7713" t="str">
        <f t="shared" si="51"/>
        <v/>
      </c>
      <c r="I770" s="7713">
        <v>50.0</v>
      </c>
      <c r="J770" s="7713">
        <v>30.0</v>
      </c>
      <c r="K770" s="7713">
        <v>55.0</v>
      </c>
      <c r="L770" s="7713">
        <v>65.0</v>
      </c>
      <c r="M770" s="7713">
        <v>55.0</v>
      </c>
      <c r="N770" s="7715">
        <v>20.0</v>
      </c>
      <c r="O770" s="7701"/>
      <c r="P770" s="7704"/>
      <c r="Q770" s="7704"/>
      <c r="R770" s="7704"/>
      <c r="S770" s="7705"/>
    </row>
    <row r="771" ht="18.75" customHeight="1">
      <c r="A771" s="7696"/>
      <c r="B771" s="7718" t="s">
        <v>3422</v>
      </c>
      <c r="C771" s="7719" t="s">
        <v>3423</v>
      </c>
      <c r="D771" s="7720"/>
      <c r="E771" s="7719" t="s">
        <v>2447</v>
      </c>
      <c r="F771" s="7719" t="str">
        <f t="shared" si="50"/>
        <v/>
      </c>
      <c r="G771" s="7719" t="s">
        <v>2219</v>
      </c>
      <c r="H771" s="7719" t="str">
        <f t="shared" si="51"/>
        <v/>
      </c>
      <c r="I771" s="7719">
        <v>60.0</v>
      </c>
      <c r="J771" s="7719">
        <v>40.0</v>
      </c>
      <c r="K771" s="7719">
        <v>60.0</v>
      </c>
      <c r="L771" s="7719">
        <v>95.0</v>
      </c>
      <c r="M771" s="7719">
        <v>60.0</v>
      </c>
      <c r="N771" s="7721">
        <v>55.0</v>
      </c>
      <c r="O771" s="7701"/>
      <c r="P771" s="7704"/>
      <c r="Q771" s="7704"/>
      <c r="R771" s="7704"/>
      <c r="S771" s="7705"/>
    </row>
    <row r="772" ht="18.75" customHeight="1">
      <c r="A772" s="7696"/>
      <c r="B772" s="7712" t="s">
        <v>1121</v>
      </c>
      <c r="C772" s="7713" t="s">
        <v>3424</v>
      </c>
      <c r="D772" s="7714"/>
      <c r="E772" s="7713" t="s">
        <v>2447</v>
      </c>
      <c r="F772" s="7713" t="str">
        <f t="shared" si="50"/>
        <v/>
      </c>
      <c r="G772" s="7713" t="s">
        <v>2219</v>
      </c>
      <c r="H772" s="7713" t="str">
        <f t="shared" si="51"/>
        <v/>
      </c>
      <c r="I772" s="7713">
        <v>60.0</v>
      </c>
      <c r="J772" s="7713">
        <v>55.0</v>
      </c>
      <c r="K772" s="7713">
        <v>90.0</v>
      </c>
      <c r="L772" s="7713">
        <v>145.0</v>
      </c>
      <c r="M772" s="7713">
        <v>90.0</v>
      </c>
      <c r="N772" s="7715">
        <v>80.0</v>
      </c>
      <c r="O772" s="7701"/>
      <c r="P772" s="7704"/>
      <c r="Q772" s="7704"/>
      <c r="R772" s="7704"/>
      <c r="S772" s="7705"/>
    </row>
    <row r="773" ht="18.75" customHeight="1">
      <c r="A773" s="7696"/>
      <c r="B773" s="7718" t="s">
        <v>3425</v>
      </c>
      <c r="C773" s="7719" t="s">
        <v>3426</v>
      </c>
      <c r="D773" s="7720"/>
      <c r="E773" s="7719" t="s">
        <v>2227</v>
      </c>
      <c r="F773" s="7719" t="str">
        <f t="shared" si="50"/>
        <v/>
      </c>
      <c r="G773" s="7719"/>
      <c r="H773" s="7719" t="str">
        <f t="shared" si="51"/>
        <v/>
      </c>
      <c r="I773" s="7719">
        <v>46.0</v>
      </c>
      <c r="J773" s="7719">
        <v>87.0</v>
      </c>
      <c r="K773" s="7719">
        <v>60.0</v>
      </c>
      <c r="L773" s="7719">
        <v>30.0</v>
      </c>
      <c r="M773" s="7719">
        <v>40.0</v>
      </c>
      <c r="N773" s="7721">
        <v>57.0</v>
      </c>
      <c r="O773" s="7701"/>
      <c r="P773" s="7704"/>
      <c r="Q773" s="7704"/>
      <c r="R773" s="7704"/>
      <c r="S773" s="7705"/>
    </row>
    <row r="774" ht="18.75" customHeight="1">
      <c r="A774" s="7696"/>
      <c r="B774" s="7712" t="s">
        <v>3427</v>
      </c>
      <c r="C774" s="7713" t="s">
        <v>3428</v>
      </c>
      <c r="D774" s="7714"/>
      <c r="E774" s="7713" t="s">
        <v>2227</v>
      </c>
      <c r="F774" s="7713" t="str">
        <f t="shared" si="50"/>
        <v/>
      </c>
      <c r="G774" s="7713"/>
      <c r="H774" s="7713" t="str">
        <f t="shared" si="51"/>
        <v/>
      </c>
      <c r="I774" s="7713">
        <v>66.0</v>
      </c>
      <c r="J774" s="7713">
        <v>117.0</v>
      </c>
      <c r="K774" s="7713">
        <v>70.0</v>
      </c>
      <c r="L774" s="7713">
        <v>40.0</v>
      </c>
      <c r="M774" s="7713">
        <v>50.0</v>
      </c>
      <c r="N774" s="7715">
        <v>67.0</v>
      </c>
      <c r="O774" s="7701"/>
      <c r="P774" s="7704"/>
      <c r="Q774" s="7704"/>
      <c r="R774" s="7704"/>
      <c r="S774" s="7705"/>
    </row>
    <row r="775" ht="18.75" customHeight="1">
      <c r="A775" s="7696"/>
      <c r="B775" s="7718" t="s">
        <v>2107</v>
      </c>
      <c r="C775" s="7719" t="s">
        <v>3429</v>
      </c>
      <c r="D775" s="7720"/>
      <c r="E775" s="7723" t="s">
        <v>2227</v>
      </c>
      <c r="F775" s="7723" t="str">
        <f t="shared" si="50"/>
        <v/>
      </c>
      <c r="G775" s="7723"/>
      <c r="H775" s="7723" t="str">
        <f t="shared" si="51"/>
        <v/>
      </c>
      <c r="I775" s="7719">
        <v>76.0</v>
      </c>
      <c r="J775" s="7719">
        <v>147.0</v>
      </c>
      <c r="K775" s="7719">
        <v>90.0</v>
      </c>
      <c r="L775" s="7719">
        <v>60.0</v>
      </c>
      <c r="M775" s="7719">
        <v>70.0</v>
      </c>
      <c r="N775" s="7721">
        <v>97.0</v>
      </c>
      <c r="O775" s="7701"/>
      <c r="P775" s="7704"/>
      <c r="Q775" s="7704"/>
      <c r="R775" s="7704"/>
      <c r="S775" s="7705"/>
    </row>
    <row r="776" ht="18.75" customHeight="1">
      <c r="A776" s="7696"/>
      <c r="B776" s="7712" t="s">
        <v>3430</v>
      </c>
      <c r="C776" s="7713" t="s">
        <v>3431</v>
      </c>
      <c r="D776" s="7714"/>
      <c r="E776" s="7713" t="s">
        <v>2289</v>
      </c>
      <c r="F776" s="7713" t="str">
        <f t="shared" si="50"/>
        <v/>
      </c>
      <c r="G776" s="7713"/>
      <c r="H776" s="7713" t="str">
        <f t="shared" si="51"/>
        <v/>
      </c>
      <c r="I776" s="7713">
        <v>55.0</v>
      </c>
      <c r="J776" s="7713">
        <v>70.0</v>
      </c>
      <c r="K776" s="7713">
        <v>40.0</v>
      </c>
      <c r="L776" s="7713">
        <v>60.0</v>
      </c>
      <c r="M776" s="7713">
        <v>40.0</v>
      </c>
      <c r="N776" s="7715">
        <v>40.0</v>
      </c>
      <c r="O776" s="7701"/>
      <c r="P776" s="7704"/>
      <c r="Q776" s="7704"/>
      <c r="R776" s="7704"/>
      <c r="S776" s="7705"/>
    </row>
    <row r="777" ht="18.75" customHeight="1">
      <c r="A777" s="7696"/>
      <c r="B777" s="7718" t="s">
        <v>1786</v>
      </c>
      <c r="C777" s="7719" t="s">
        <v>3432</v>
      </c>
      <c r="D777" s="7720"/>
      <c r="E777" s="7719" t="s">
        <v>2289</v>
      </c>
      <c r="F777" s="7719" t="str">
        <f t="shared" si="50"/>
        <v/>
      </c>
      <c r="G777" s="7719" t="s">
        <v>2296</v>
      </c>
      <c r="H777" s="7719" t="str">
        <f t="shared" si="51"/>
        <v/>
      </c>
      <c r="I777" s="7719">
        <v>95.0</v>
      </c>
      <c r="J777" s="7719">
        <v>140.0</v>
      </c>
      <c r="K777" s="7719">
        <v>80.0</v>
      </c>
      <c r="L777" s="7719">
        <v>70.0</v>
      </c>
      <c r="M777" s="7719">
        <v>80.0</v>
      </c>
      <c r="N777" s="7721">
        <v>50.0</v>
      </c>
      <c r="O777" s="7701"/>
      <c r="P777" s="7704"/>
      <c r="Q777" s="7704"/>
      <c r="R777" s="7704"/>
      <c r="S777" s="7705"/>
    </row>
    <row r="778" ht="18.75" customHeight="1">
      <c r="A778" s="7696"/>
      <c r="B778" s="7712" t="s">
        <v>213</v>
      </c>
      <c r="C778" s="7713" t="s">
        <v>3433</v>
      </c>
      <c r="D778" s="7714"/>
      <c r="E778" s="7713" t="s">
        <v>2289</v>
      </c>
      <c r="F778" s="7713" t="str">
        <f t="shared" si="50"/>
        <v/>
      </c>
      <c r="G778" s="7713"/>
      <c r="H778" s="7713" t="str">
        <f t="shared" si="51"/>
        <v/>
      </c>
      <c r="I778" s="7713">
        <v>80.0</v>
      </c>
      <c r="J778" s="7713">
        <v>50.0</v>
      </c>
      <c r="K778" s="7713">
        <v>50.0</v>
      </c>
      <c r="L778" s="7713">
        <v>110.0</v>
      </c>
      <c r="M778" s="7713">
        <v>135.0</v>
      </c>
      <c r="N778" s="7715">
        <v>105.0</v>
      </c>
      <c r="O778" s="7701"/>
      <c r="P778" s="7704"/>
      <c r="Q778" s="7704"/>
      <c r="R778" s="7704"/>
      <c r="S778" s="7705"/>
    </row>
    <row r="779" ht="18.75" customHeight="1">
      <c r="A779" s="7696"/>
      <c r="B779" s="7718" t="s">
        <v>3434</v>
      </c>
      <c r="C779" s="7719" t="s">
        <v>3435</v>
      </c>
      <c r="D779" s="7720"/>
      <c r="E779" s="7719" t="s">
        <v>2243</v>
      </c>
      <c r="F779" s="7719" t="str">
        <f t="shared" si="50"/>
        <v/>
      </c>
      <c r="G779" s="7719"/>
      <c r="H779" s="7719" t="str">
        <f t="shared" si="51"/>
        <v/>
      </c>
      <c r="I779" s="7719">
        <v>50.0</v>
      </c>
      <c r="J779" s="7719">
        <v>40.0</v>
      </c>
      <c r="K779" s="7719">
        <v>85.0</v>
      </c>
      <c r="L779" s="7719">
        <v>40.0</v>
      </c>
      <c r="M779" s="7719">
        <v>65.0</v>
      </c>
      <c r="N779" s="7721">
        <v>25.0</v>
      </c>
      <c r="O779" s="7701"/>
      <c r="P779" s="7704"/>
      <c r="Q779" s="7704"/>
      <c r="R779" s="7704"/>
      <c r="S779" s="7705"/>
    </row>
    <row r="780" ht="18.75" customHeight="1">
      <c r="A780" s="7696"/>
      <c r="B780" s="7712" t="s">
        <v>1619</v>
      </c>
      <c r="C780" s="7713" t="s">
        <v>3436</v>
      </c>
      <c r="D780" s="7714"/>
      <c r="E780" s="7713" t="s">
        <v>2243</v>
      </c>
      <c r="F780" s="7713" t="str">
        <f t="shared" si="50"/>
        <v/>
      </c>
      <c r="G780" s="7713"/>
      <c r="H780" s="7713" t="str">
        <f t="shared" si="51"/>
        <v/>
      </c>
      <c r="I780" s="7713">
        <v>80.0</v>
      </c>
      <c r="J780" s="7713">
        <v>70.0</v>
      </c>
      <c r="K780" s="7713">
        <v>40.0</v>
      </c>
      <c r="L780" s="7713">
        <v>100.0</v>
      </c>
      <c r="M780" s="7713">
        <v>60.0</v>
      </c>
      <c r="N780" s="7715">
        <v>145.0</v>
      </c>
      <c r="O780" s="7701"/>
      <c r="P780" s="7704"/>
      <c r="Q780" s="7704"/>
      <c r="R780" s="7704"/>
      <c r="S780" s="7705"/>
    </row>
    <row r="781" ht="18.75" customHeight="1">
      <c r="A781" s="7696"/>
      <c r="B781" s="7718" t="s">
        <v>224</v>
      </c>
      <c r="C781" s="7719" t="s">
        <v>3437</v>
      </c>
      <c r="D781" s="7720"/>
      <c r="E781" s="7719" t="s">
        <v>2304</v>
      </c>
      <c r="F781" s="7719" t="str">
        <f t="shared" si="50"/>
        <v/>
      </c>
      <c r="G781" s="7719" t="s">
        <v>2283</v>
      </c>
      <c r="H781" s="7719" t="str">
        <f t="shared" si="51"/>
        <v/>
      </c>
      <c r="I781" s="7719">
        <v>109.0</v>
      </c>
      <c r="J781" s="7719">
        <v>66.0</v>
      </c>
      <c r="K781" s="7719">
        <v>84.0</v>
      </c>
      <c r="L781" s="7719">
        <v>81.0</v>
      </c>
      <c r="M781" s="7719">
        <v>99.0</v>
      </c>
      <c r="N781" s="7721">
        <v>32.0</v>
      </c>
      <c r="O781" s="7701"/>
      <c r="P781" s="7704"/>
      <c r="Q781" s="7704"/>
      <c r="R781" s="7704"/>
      <c r="S781" s="7705"/>
    </row>
    <row r="782" ht="18.75" customHeight="1">
      <c r="A782" s="7696"/>
      <c r="B782" s="7712" t="s">
        <v>234</v>
      </c>
      <c r="C782" s="7722" t="s">
        <v>3438</v>
      </c>
      <c r="D782" s="7714"/>
      <c r="E782" s="7713" t="s">
        <v>2304</v>
      </c>
      <c r="F782" s="7713" t="str">
        <f t="shared" si="50"/>
        <v/>
      </c>
      <c r="G782" s="7713" t="s">
        <v>2286</v>
      </c>
      <c r="H782" s="7713" t="str">
        <f t="shared" si="51"/>
        <v/>
      </c>
      <c r="I782" s="7713">
        <v>109.0</v>
      </c>
      <c r="J782" s="7713">
        <v>81.0</v>
      </c>
      <c r="K782" s="7713">
        <v>99.0</v>
      </c>
      <c r="L782" s="7713">
        <v>66.0</v>
      </c>
      <c r="M782" s="7713">
        <v>84.0</v>
      </c>
      <c r="N782" s="7715">
        <v>32.0</v>
      </c>
      <c r="O782" s="7701"/>
      <c r="P782" s="7704"/>
      <c r="Q782" s="7704"/>
      <c r="R782" s="7704"/>
      <c r="S782" s="7705"/>
    </row>
    <row r="783" ht="18.75" customHeight="1">
      <c r="A783" s="7696"/>
      <c r="B783" s="7718" t="s">
        <v>3439</v>
      </c>
      <c r="C783" s="7719" t="s">
        <v>3440</v>
      </c>
      <c r="D783" s="7720"/>
      <c r="E783" s="7719" t="s">
        <v>2296</v>
      </c>
      <c r="F783" s="7719" t="str">
        <f t="shared" si="50"/>
        <v/>
      </c>
      <c r="G783" s="7719"/>
      <c r="H783" s="7719" t="str">
        <f t="shared" si="51"/>
        <v/>
      </c>
      <c r="I783" s="7719">
        <v>45.0</v>
      </c>
      <c r="J783" s="7719">
        <v>85.0</v>
      </c>
      <c r="K783" s="7719">
        <v>50.0</v>
      </c>
      <c r="L783" s="7719">
        <v>55.0</v>
      </c>
      <c r="M783" s="7719">
        <v>50.0</v>
      </c>
      <c r="N783" s="7721">
        <v>65.0</v>
      </c>
      <c r="O783" s="7701"/>
      <c r="P783" s="7704"/>
      <c r="Q783" s="7704"/>
      <c r="R783" s="7704"/>
      <c r="S783" s="7705"/>
    </row>
    <row r="784" ht="18.75" customHeight="1">
      <c r="A784" s="7696"/>
      <c r="B784" s="7712" t="s">
        <v>1599</v>
      </c>
      <c r="C784" s="7713" t="s">
        <v>3441</v>
      </c>
      <c r="D784" s="7714"/>
      <c r="E784" s="7713" t="s">
        <v>2296</v>
      </c>
      <c r="F784" s="7713" t="str">
        <f t="shared" si="50"/>
        <v/>
      </c>
      <c r="G784" s="7713"/>
      <c r="H784" s="7713" t="str">
        <f t="shared" si="51"/>
        <v/>
      </c>
      <c r="I784" s="7713">
        <v>65.0</v>
      </c>
      <c r="J784" s="7713">
        <v>125.0</v>
      </c>
      <c r="K784" s="7713">
        <v>60.0</v>
      </c>
      <c r="L784" s="7713">
        <v>95.0</v>
      </c>
      <c r="M784" s="7713">
        <v>60.0</v>
      </c>
      <c r="N784" s="7715">
        <v>105.0</v>
      </c>
      <c r="O784" s="7701"/>
      <c r="P784" s="7704"/>
      <c r="Q784" s="7704"/>
      <c r="R784" s="7704"/>
      <c r="S784" s="7705"/>
    </row>
    <row r="785" ht="18.75" customHeight="1">
      <c r="A785" s="7696"/>
      <c r="B785" s="7718" t="s">
        <v>243</v>
      </c>
      <c r="C785" s="7719" t="s">
        <v>3442</v>
      </c>
      <c r="D785" s="7720"/>
      <c r="E785" s="7719" t="s">
        <v>2227</v>
      </c>
      <c r="F785" s="7719" t="str">
        <f t="shared" si="50"/>
        <v/>
      </c>
      <c r="G785" s="7719"/>
      <c r="H785" s="7719" t="str">
        <f t="shared" si="51"/>
        <v/>
      </c>
      <c r="I785" s="7719">
        <v>90.0</v>
      </c>
      <c r="J785" s="7719">
        <v>120.0</v>
      </c>
      <c r="K785" s="7719">
        <v>90.0</v>
      </c>
      <c r="L785" s="7719">
        <v>60.0</v>
      </c>
      <c r="M785" s="7719">
        <v>90.0</v>
      </c>
      <c r="N785" s="7721">
        <v>41.0</v>
      </c>
      <c r="O785" s="7701"/>
      <c r="P785" s="7704"/>
      <c r="Q785" s="7704"/>
      <c r="R785" s="7704"/>
      <c r="S785" s="7705"/>
    </row>
    <row r="786" ht="18.75" customHeight="1">
      <c r="A786" s="7696"/>
      <c r="B786" s="7712" t="s">
        <v>3443</v>
      </c>
      <c r="C786" s="7713" t="s">
        <v>3444</v>
      </c>
      <c r="D786" s="7714"/>
      <c r="E786" s="7713" t="s">
        <v>2304</v>
      </c>
      <c r="F786" s="7713" t="str">
        <f t="shared" si="50"/>
        <v/>
      </c>
      <c r="G786" s="7713" t="s">
        <v>2447</v>
      </c>
      <c r="H786" s="7713" t="str">
        <f t="shared" si="51"/>
        <v/>
      </c>
      <c r="I786" s="7713">
        <v>59.0</v>
      </c>
      <c r="J786" s="7713">
        <v>74.0</v>
      </c>
      <c r="K786" s="7713">
        <v>50.0</v>
      </c>
      <c r="L786" s="7713">
        <v>35.0</v>
      </c>
      <c r="M786" s="7713">
        <v>50.0</v>
      </c>
      <c r="N786" s="7715">
        <v>35.0</v>
      </c>
      <c r="O786" s="7701"/>
      <c r="P786" s="7704"/>
      <c r="Q786" s="7704"/>
      <c r="R786" s="7704"/>
      <c r="S786" s="7705"/>
    </row>
    <row r="787" ht="18.75" customHeight="1">
      <c r="A787" s="7696"/>
      <c r="B787" s="7718" t="s">
        <v>1245</v>
      </c>
      <c r="C787" s="7719" t="s">
        <v>3445</v>
      </c>
      <c r="D787" s="7720"/>
      <c r="E787" s="7719" t="s">
        <v>2304</v>
      </c>
      <c r="F787" s="7719" t="str">
        <f t="shared" si="50"/>
        <v/>
      </c>
      <c r="G787" s="7719" t="s">
        <v>2447</v>
      </c>
      <c r="H787" s="7719" t="str">
        <f t="shared" si="51"/>
        <v/>
      </c>
      <c r="I787" s="7719">
        <v>100.0</v>
      </c>
      <c r="J787" s="7719">
        <v>124.0</v>
      </c>
      <c r="K787" s="7719">
        <v>90.0</v>
      </c>
      <c r="L787" s="7719">
        <v>55.0</v>
      </c>
      <c r="M787" s="7719">
        <v>90.0</v>
      </c>
      <c r="N787" s="7721">
        <v>55.0</v>
      </c>
      <c r="O787" s="7701"/>
      <c r="P787" s="7704"/>
      <c r="Q787" s="7704"/>
      <c r="R787" s="7704"/>
      <c r="S787" s="7705"/>
    </row>
    <row r="788" ht="18.75" customHeight="1">
      <c r="A788" s="7696"/>
      <c r="B788" s="7712" t="s">
        <v>3446</v>
      </c>
      <c r="C788" s="7713" t="s">
        <v>3447</v>
      </c>
      <c r="D788" s="7714"/>
      <c r="E788" s="7713" t="s">
        <v>2272</v>
      </c>
      <c r="F788" s="7713" t="str">
        <f t="shared" si="50"/>
        <v/>
      </c>
      <c r="G788" s="7713" t="s">
        <v>2286</v>
      </c>
      <c r="H788" s="7713" t="str">
        <f t="shared" si="51"/>
        <v/>
      </c>
      <c r="I788" s="7713">
        <v>45.0</v>
      </c>
      <c r="J788" s="7713">
        <v>85.0</v>
      </c>
      <c r="K788" s="7713">
        <v>70.0</v>
      </c>
      <c r="L788" s="7713">
        <v>40.0</v>
      </c>
      <c r="M788" s="7713">
        <v>40.0</v>
      </c>
      <c r="N788" s="7715">
        <v>60.0</v>
      </c>
      <c r="O788" s="7701"/>
      <c r="P788" s="7704"/>
      <c r="Q788" s="7704"/>
      <c r="R788" s="7704"/>
      <c r="S788" s="7705"/>
    </row>
    <row r="789" ht="18.75" customHeight="1">
      <c r="A789" s="7696"/>
      <c r="B789" s="7718" t="s">
        <v>1643</v>
      </c>
      <c r="C789" s="7719" t="s">
        <v>3448</v>
      </c>
      <c r="D789" s="7720"/>
      <c r="E789" s="7723" t="s">
        <v>2272</v>
      </c>
      <c r="F789" s="7723" t="str">
        <f t="shared" si="50"/>
        <v/>
      </c>
      <c r="G789" s="7723" t="s">
        <v>2286</v>
      </c>
      <c r="H789" s="7723" t="str">
        <f t="shared" si="51"/>
        <v/>
      </c>
      <c r="I789" s="7719">
        <v>65.0</v>
      </c>
      <c r="J789" s="7719">
        <v>125.0</v>
      </c>
      <c r="K789" s="7719">
        <v>100.0</v>
      </c>
      <c r="L789" s="7719">
        <v>60.0</v>
      </c>
      <c r="M789" s="7719">
        <v>70.0</v>
      </c>
      <c r="N789" s="7721">
        <v>70.0</v>
      </c>
      <c r="O789" s="7701"/>
      <c r="P789" s="7704"/>
      <c r="Q789" s="7704"/>
      <c r="R789" s="7704"/>
      <c r="S789" s="7705"/>
    </row>
    <row r="790" ht="18.75" customHeight="1">
      <c r="A790" s="7696"/>
      <c r="B790" s="7712" t="s">
        <v>1479</v>
      </c>
      <c r="C790" s="7713" t="s">
        <v>3449</v>
      </c>
      <c r="D790" s="7714"/>
      <c r="E790" s="7713" t="s">
        <v>2262</v>
      </c>
      <c r="F790" s="7713" t="str">
        <f t="shared" si="50"/>
        <v/>
      </c>
      <c r="G790" s="7713"/>
      <c r="H790" s="7713" t="str">
        <f t="shared" si="51"/>
        <v/>
      </c>
      <c r="I790" s="7713">
        <v>100.0</v>
      </c>
      <c r="J790" s="7713">
        <v>110.0</v>
      </c>
      <c r="K790" s="7713">
        <v>95.0</v>
      </c>
      <c r="L790" s="7713">
        <v>40.0</v>
      </c>
      <c r="M790" s="7713">
        <v>95.0</v>
      </c>
      <c r="N790" s="7715">
        <v>65.0</v>
      </c>
      <c r="O790" s="7701"/>
      <c r="P790" s="7704"/>
      <c r="Q790" s="7704"/>
      <c r="R790" s="7704"/>
      <c r="S790" s="7705"/>
    </row>
    <row r="791" ht="18.75" customHeight="1">
      <c r="A791" s="7696"/>
      <c r="B791" s="7718" t="s">
        <v>3450</v>
      </c>
      <c r="C791" s="7719" t="s">
        <v>3451</v>
      </c>
      <c r="D791" s="7720"/>
      <c r="E791" s="7719" t="s">
        <v>2262</v>
      </c>
      <c r="F791" s="7719" t="str">
        <f t="shared" si="50"/>
        <v/>
      </c>
      <c r="G791" s="7719" t="s">
        <v>2224</v>
      </c>
      <c r="H791" s="7719" t="str">
        <f t="shared" si="51"/>
        <v/>
      </c>
      <c r="I791" s="7719">
        <v>70.0</v>
      </c>
      <c r="J791" s="7719">
        <v>83.0</v>
      </c>
      <c r="K791" s="7719">
        <v>50.0</v>
      </c>
      <c r="L791" s="7719">
        <v>37.0</v>
      </c>
      <c r="M791" s="7719">
        <v>50.0</v>
      </c>
      <c r="N791" s="7721">
        <v>60.0</v>
      </c>
      <c r="O791" s="7701"/>
      <c r="P791" s="7704"/>
      <c r="Q791" s="7704"/>
      <c r="R791" s="7704"/>
      <c r="S791" s="7705"/>
    </row>
    <row r="792" ht="18.75" customHeight="1">
      <c r="A792" s="7696"/>
      <c r="B792" s="7712" t="s">
        <v>1236</v>
      </c>
      <c r="C792" s="7713" t="s">
        <v>3452</v>
      </c>
      <c r="D792" s="7714"/>
      <c r="E792" s="7713" t="s">
        <v>2262</v>
      </c>
      <c r="F792" s="7713" t="str">
        <f t="shared" si="50"/>
        <v/>
      </c>
      <c r="G792" s="7713" t="s">
        <v>2224</v>
      </c>
      <c r="H792" s="7713" t="str">
        <f t="shared" si="51"/>
        <v/>
      </c>
      <c r="I792" s="7713">
        <v>100.0</v>
      </c>
      <c r="J792" s="7713">
        <v>123.0</v>
      </c>
      <c r="K792" s="7713">
        <v>75.0</v>
      </c>
      <c r="L792" s="7713">
        <v>57.0</v>
      </c>
      <c r="M792" s="7713">
        <v>75.0</v>
      </c>
      <c r="N792" s="7715">
        <v>80.0</v>
      </c>
      <c r="O792" s="7701"/>
      <c r="P792" s="7704"/>
      <c r="Q792" s="7704"/>
      <c r="R792" s="7704"/>
      <c r="S792" s="7705"/>
    </row>
    <row r="793" ht="18.75" customHeight="1">
      <c r="A793" s="7696"/>
      <c r="B793" s="7718" t="s">
        <v>1505</v>
      </c>
      <c r="C793" s="7723" t="s">
        <v>3453</v>
      </c>
      <c r="D793" s="7720"/>
      <c r="E793" s="7719" t="s">
        <v>669</v>
      </c>
      <c r="F793" s="7719" t="str">
        <f t="shared" si="50"/>
        <v/>
      </c>
      <c r="G793" s="7719" t="s">
        <v>2224</v>
      </c>
      <c r="H793" s="7719" t="str">
        <f t="shared" si="51"/>
        <v/>
      </c>
      <c r="I793" s="7719">
        <v>115.0</v>
      </c>
      <c r="J793" s="7719">
        <v>58.0</v>
      </c>
      <c r="K793" s="7719">
        <v>80.0</v>
      </c>
      <c r="L793" s="7719">
        <v>112.0</v>
      </c>
      <c r="M793" s="7719">
        <v>80.0</v>
      </c>
      <c r="N793" s="7721">
        <v>65.0</v>
      </c>
      <c r="O793" s="7701"/>
      <c r="P793" s="7704"/>
      <c r="Q793" s="7704"/>
      <c r="R793" s="7704"/>
      <c r="S793" s="7705"/>
    </row>
    <row r="794" ht="18.75" customHeight="1">
      <c r="A794" s="7696"/>
      <c r="B794" s="7712" t="s">
        <v>3454</v>
      </c>
      <c r="C794" s="7713" t="s">
        <v>3455</v>
      </c>
      <c r="D794" s="7714"/>
      <c r="E794" s="7713" t="s">
        <v>2272</v>
      </c>
      <c r="F794" s="7713" t="str">
        <f t="shared" si="50"/>
        <v/>
      </c>
      <c r="G794" s="7713" t="s">
        <v>2224</v>
      </c>
      <c r="H794" s="7713" t="str">
        <f t="shared" si="51"/>
        <v/>
      </c>
      <c r="I794" s="7713">
        <v>70.0</v>
      </c>
      <c r="J794" s="7713">
        <v>55.0</v>
      </c>
      <c r="K794" s="7713">
        <v>75.0</v>
      </c>
      <c r="L794" s="7713">
        <v>45.0</v>
      </c>
      <c r="M794" s="7713">
        <v>65.0</v>
      </c>
      <c r="N794" s="7715">
        <v>60.0</v>
      </c>
      <c r="O794" s="7701"/>
      <c r="P794" s="7704"/>
      <c r="Q794" s="7704"/>
      <c r="R794" s="7704"/>
      <c r="S794" s="7705"/>
    </row>
    <row r="795" ht="18.75" customHeight="1">
      <c r="A795" s="7696"/>
      <c r="B795" s="7718" t="s">
        <v>1286</v>
      </c>
      <c r="C795" s="7719" t="s">
        <v>3456</v>
      </c>
      <c r="D795" s="7720"/>
      <c r="E795" s="7719" t="s">
        <v>2272</v>
      </c>
      <c r="F795" s="7719" t="str">
        <f t="shared" si="50"/>
        <v/>
      </c>
      <c r="G795" s="7719" t="s">
        <v>2224</v>
      </c>
      <c r="H795" s="7719" t="str">
        <f t="shared" si="51"/>
        <v/>
      </c>
      <c r="I795" s="7719">
        <v>110.0</v>
      </c>
      <c r="J795" s="7719">
        <v>65.0</v>
      </c>
      <c r="K795" s="7719">
        <v>105.0</v>
      </c>
      <c r="L795" s="7719">
        <v>55.0</v>
      </c>
      <c r="M795" s="7719">
        <v>95.0</v>
      </c>
      <c r="N795" s="7721">
        <v>80.0</v>
      </c>
      <c r="O795" s="7701"/>
      <c r="P795" s="7704"/>
      <c r="Q795" s="7704"/>
      <c r="R795" s="7704"/>
      <c r="S795" s="7705"/>
    </row>
    <row r="796" ht="18.75" customHeight="1">
      <c r="A796" s="7696"/>
      <c r="B796" s="7712" t="s">
        <v>3457</v>
      </c>
      <c r="C796" s="7713" t="s">
        <v>3458</v>
      </c>
      <c r="D796" s="7714"/>
      <c r="E796" s="7713" t="s">
        <v>2219</v>
      </c>
      <c r="F796" s="7713" t="str">
        <f t="shared" si="50"/>
        <v/>
      </c>
      <c r="G796" s="7713"/>
      <c r="H796" s="7713" t="str">
        <f t="shared" si="51"/>
        <v/>
      </c>
      <c r="I796" s="7713">
        <v>85.0</v>
      </c>
      <c r="J796" s="7713">
        <v>90.0</v>
      </c>
      <c r="K796" s="7713">
        <v>66.0</v>
      </c>
      <c r="L796" s="7713">
        <v>105.0</v>
      </c>
      <c r="M796" s="7713">
        <v>66.0</v>
      </c>
      <c r="N796" s="7715">
        <v>100.0</v>
      </c>
      <c r="O796" s="7701"/>
      <c r="P796" s="7704"/>
      <c r="Q796" s="7704"/>
      <c r="R796" s="7704"/>
      <c r="S796" s="7705"/>
    </row>
    <row r="797" ht="18.75" customHeight="1">
      <c r="A797" s="7696"/>
      <c r="B797" s="7718" t="s">
        <v>3459</v>
      </c>
      <c r="C797" s="7719" t="s">
        <v>3460</v>
      </c>
      <c r="D797" s="7720"/>
      <c r="E797" s="7719" t="s">
        <v>2243</v>
      </c>
      <c r="F797" s="7719" t="str">
        <f t="shared" si="50"/>
        <v/>
      </c>
      <c r="G797" s="7719" t="s">
        <v>2286</v>
      </c>
      <c r="H797" s="7719" t="str">
        <f t="shared" si="51"/>
        <v/>
      </c>
      <c r="I797" s="7719">
        <v>58.0</v>
      </c>
      <c r="J797" s="7719">
        <v>109.0</v>
      </c>
      <c r="K797" s="7719">
        <v>112.0</v>
      </c>
      <c r="L797" s="7719">
        <v>48.0</v>
      </c>
      <c r="M797" s="7719">
        <v>48.0</v>
      </c>
      <c r="N797" s="7721">
        <v>109.0</v>
      </c>
      <c r="O797" s="7701"/>
      <c r="P797" s="7704"/>
      <c r="Q797" s="7704"/>
      <c r="R797" s="7704"/>
      <c r="S797" s="7705"/>
    </row>
    <row r="798" ht="18.75" customHeight="1">
      <c r="A798" s="7696"/>
      <c r="B798" s="7712" t="s">
        <v>3461</v>
      </c>
      <c r="C798" s="7713" t="s">
        <v>3462</v>
      </c>
      <c r="D798" s="7714"/>
      <c r="E798" s="7713" t="s">
        <v>2272</v>
      </c>
      <c r="F798" s="7713" t="str">
        <f t="shared" si="50"/>
        <v/>
      </c>
      <c r="G798" s="7713" t="s">
        <v>2227</v>
      </c>
      <c r="H798" s="7713" t="str">
        <f t="shared" si="51"/>
        <v/>
      </c>
      <c r="I798" s="7713">
        <v>52.0</v>
      </c>
      <c r="J798" s="7713">
        <v>65.0</v>
      </c>
      <c r="K798" s="7713">
        <v>50.0</v>
      </c>
      <c r="L798" s="7713">
        <v>45.0</v>
      </c>
      <c r="M798" s="7713">
        <v>50.0</v>
      </c>
      <c r="N798" s="7715">
        <v>38.0</v>
      </c>
      <c r="O798" s="7701"/>
      <c r="P798" s="7704"/>
      <c r="Q798" s="7704"/>
      <c r="R798" s="7704"/>
      <c r="S798" s="7705"/>
    </row>
    <row r="799" ht="18.75" customHeight="1">
      <c r="A799" s="7696"/>
      <c r="B799" s="7718" t="s">
        <v>3463</v>
      </c>
      <c r="C799" s="7719" t="s">
        <v>3464</v>
      </c>
      <c r="D799" s="7720"/>
      <c r="E799" s="7719" t="s">
        <v>2272</v>
      </c>
      <c r="F799" s="7719" t="str">
        <f t="shared" si="50"/>
        <v/>
      </c>
      <c r="G799" s="7719" t="s">
        <v>2227</v>
      </c>
      <c r="H799" s="7719" t="str">
        <f t="shared" si="51"/>
        <v/>
      </c>
      <c r="I799" s="7719">
        <v>72.0</v>
      </c>
      <c r="J799" s="7719">
        <v>85.0</v>
      </c>
      <c r="K799" s="7719">
        <v>70.0</v>
      </c>
      <c r="L799" s="7719">
        <v>65.0</v>
      </c>
      <c r="M799" s="7719">
        <v>70.0</v>
      </c>
      <c r="N799" s="7721">
        <v>58.0</v>
      </c>
      <c r="O799" s="7701"/>
      <c r="P799" s="7704"/>
      <c r="Q799" s="7704"/>
      <c r="R799" s="7704"/>
      <c r="S799" s="7705"/>
    </row>
    <row r="800" ht="18.75" customHeight="1">
      <c r="A800" s="7696"/>
      <c r="B800" s="7712" t="s">
        <v>1122</v>
      </c>
      <c r="C800" s="7713" t="s">
        <v>3465</v>
      </c>
      <c r="D800" s="7714"/>
      <c r="E800" s="7713" t="s">
        <v>2272</v>
      </c>
      <c r="F800" s="7713" t="str">
        <f t="shared" si="50"/>
        <v/>
      </c>
      <c r="G800" s="7713" t="s">
        <v>2227</v>
      </c>
      <c r="H800" s="7713" t="str">
        <f t="shared" si="51"/>
        <v/>
      </c>
      <c r="I800" s="7713">
        <v>92.0</v>
      </c>
      <c r="J800" s="7713">
        <v>105.0</v>
      </c>
      <c r="K800" s="7713">
        <v>90.0</v>
      </c>
      <c r="L800" s="7713">
        <v>125.0</v>
      </c>
      <c r="M800" s="7713">
        <v>90.0</v>
      </c>
      <c r="N800" s="7715">
        <v>98.0</v>
      </c>
      <c r="O800" s="7701"/>
      <c r="P800" s="7704"/>
      <c r="Q800" s="7704"/>
      <c r="R800" s="7704"/>
      <c r="S800" s="7705"/>
    </row>
    <row r="801" ht="18.75" customHeight="1">
      <c r="A801" s="7696"/>
      <c r="B801" s="7718" t="s">
        <v>3466</v>
      </c>
      <c r="C801" s="7719" t="s">
        <v>3467</v>
      </c>
      <c r="D801" s="7720"/>
      <c r="E801" s="7719" t="s">
        <v>2243</v>
      </c>
      <c r="F801" s="7719" t="str">
        <f t="shared" si="50"/>
        <v/>
      </c>
      <c r="G801" s="7719" t="s">
        <v>2219</v>
      </c>
      <c r="H801" s="7719" t="str">
        <f t="shared" si="51"/>
        <v/>
      </c>
      <c r="I801" s="7719">
        <v>55.0</v>
      </c>
      <c r="J801" s="7719">
        <v>85.0</v>
      </c>
      <c r="K801" s="7719">
        <v>55.0</v>
      </c>
      <c r="L801" s="7719">
        <v>50.0</v>
      </c>
      <c r="M801" s="7719">
        <v>55.0</v>
      </c>
      <c r="N801" s="7721">
        <v>60.0</v>
      </c>
      <c r="O801" s="7701"/>
      <c r="P801" s="7704"/>
      <c r="Q801" s="7704"/>
      <c r="R801" s="7704"/>
      <c r="S801" s="7705"/>
    </row>
    <row r="802" ht="18.75" customHeight="1">
      <c r="A802" s="7696"/>
      <c r="B802" s="7712" t="s">
        <v>1724</v>
      </c>
      <c r="C802" s="7713" t="s">
        <v>3468</v>
      </c>
      <c r="D802" s="7714"/>
      <c r="E802" s="7713" t="s">
        <v>2243</v>
      </c>
      <c r="F802" s="7713" t="str">
        <f t="shared" si="50"/>
        <v/>
      </c>
      <c r="G802" s="7713" t="s">
        <v>2219</v>
      </c>
      <c r="H802" s="7713" t="str">
        <f t="shared" si="51"/>
        <v/>
      </c>
      <c r="I802" s="7713">
        <v>85.0</v>
      </c>
      <c r="J802" s="7713">
        <v>60.0</v>
      </c>
      <c r="K802" s="7713">
        <v>65.0</v>
      </c>
      <c r="L802" s="7713">
        <v>135.0</v>
      </c>
      <c r="M802" s="7713">
        <v>105.0</v>
      </c>
      <c r="N802" s="7715">
        <v>100.0</v>
      </c>
      <c r="O802" s="7701"/>
      <c r="P802" s="7704"/>
      <c r="Q802" s="7704"/>
      <c r="R802" s="7704"/>
      <c r="S802" s="7705"/>
    </row>
    <row r="803" ht="18.75" customHeight="1">
      <c r="A803" s="7696"/>
      <c r="B803" s="7718" t="s">
        <v>3469</v>
      </c>
      <c r="C803" s="7719" t="s">
        <v>3470</v>
      </c>
      <c r="D803" s="7720"/>
      <c r="E803" s="7723" t="s">
        <v>2286</v>
      </c>
      <c r="F803" s="7723" t="str">
        <f>IFERROR(VLOOKUP(E803,P$3:Q824,2,False),"")</f>
        <v/>
      </c>
      <c r="G803" s="7723" t="s">
        <v>2296</v>
      </c>
      <c r="H803" s="7723" t="str">
        <f>IFERROR(VLOOKUP(G803,P$3:Q824,2,False),"")</f>
        <v/>
      </c>
      <c r="I803" s="7719">
        <v>91.0</v>
      </c>
      <c r="J803" s="7719">
        <v>90.0</v>
      </c>
      <c r="K803" s="7719">
        <v>129.0</v>
      </c>
      <c r="L803" s="7719">
        <v>90.0</v>
      </c>
      <c r="M803" s="7719">
        <v>72.0</v>
      </c>
      <c r="N803" s="7721">
        <v>108.0</v>
      </c>
      <c r="O803" s="7701"/>
      <c r="P803" s="7704"/>
      <c r="Q803" s="7704"/>
      <c r="R803" s="7704"/>
      <c r="S803" s="7705"/>
    </row>
    <row r="804" ht="18.75" customHeight="1">
      <c r="A804" s="7696"/>
      <c r="B804" s="7712" t="s">
        <v>3471</v>
      </c>
      <c r="C804" s="7713" t="s">
        <v>3472</v>
      </c>
      <c r="D804" s="7714"/>
      <c r="E804" s="7713" t="s">
        <v>2370</v>
      </c>
      <c r="F804" s="7713" t="str">
        <f t="shared" ref="F804:F819" si="52">IFERROR(VLOOKUP(E804,P$3:Q826,2,False),"")</f>
        <v/>
      </c>
      <c r="G804" s="7713" t="s">
        <v>2296</v>
      </c>
      <c r="H804" s="7713" t="str">
        <f t="shared" ref="H804:H819" si="53">IFERROR(VLOOKUP(G804,P$3:Q826,2,False),"")</f>
        <v/>
      </c>
      <c r="I804" s="7713">
        <v>91.0</v>
      </c>
      <c r="J804" s="7713">
        <v>129.0</v>
      </c>
      <c r="K804" s="7713">
        <v>90.0</v>
      </c>
      <c r="L804" s="7713">
        <v>72.0</v>
      </c>
      <c r="M804" s="7713">
        <v>90.0</v>
      </c>
      <c r="N804" s="7715">
        <v>108.0</v>
      </c>
      <c r="O804" s="7701"/>
      <c r="P804" s="7704"/>
      <c r="Q804" s="7704"/>
      <c r="R804" s="7704"/>
      <c r="S804" s="7705"/>
    </row>
    <row r="805" ht="18.75" customHeight="1">
      <c r="A805" s="7696"/>
      <c r="B805" s="7718" t="s">
        <v>3473</v>
      </c>
      <c r="C805" s="7719" t="s">
        <v>3474</v>
      </c>
      <c r="D805" s="7720"/>
      <c r="E805" s="7719" t="s">
        <v>2209</v>
      </c>
      <c r="F805" s="7719" t="str">
        <f t="shared" si="52"/>
        <v/>
      </c>
      <c r="G805" s="7719" t="s">
        <v>2296</v>
      </c>
      <c r="H805" s="7719" t="str">
        <f t="shared" si="53"/>
        <v/>
      </c>
      <c r="I805" s="7719">
        <v>91.0</v>
      </c>
      <c r="J805" s="7719">
        <v>90.0</v>
      </c>
      <c r="K805" s="7719">
        <v>72.0</v>
      </c>
      <c r="L805" s="7719">
        <v>90.0</v>
      </c>
      <c r="M805" s="7719">
        <v>129.0</v>
      </c>
      <c r="N805" s="7721">
        <v>108.0</v>
      </c>
      <c r="O805" s="7701"/>
      <c r="P805" s="7704"/>
      <c r="Q805" s="7704"/>
      <c r="R805" s="7704"/>
      <c r="S805" s="7705"/>
    </row>
    <row r="806" ht="18.75" customHeight="1">
      <c r="A806" s="7696"/>
      <c r="B806" s="7712" t="s">
        <v>1528</v>
      </c>
      <c r="C806" s="7722" t="s">
        <v>3475</v>
      </c>
      <c r="D806" s="7714"/>
      <c r="E806" s="7713" t="s">
        <v>2224</v>
      </c>
      <c r="F806" s="7713" t="str">
        <f t="shared" si="52"/>
        <v/>
      </c>
      <c r="G806" s="7713"/>
      <c r="H806" s="7713" t="str">
        <f t="shared" si="53"/>
        <v/>
      </c>
      <c r="I806" s="7713">
        <v>79.0</v>
      </c>
      <c r="J806" s="7713">
        <v>115.0</v>
      </c>
      <c r="K806" s="7713">
        <v>70.0</v>
      </c>
      <c r="L806" s="7713">
        <v>125.0</v>
      </c>
      <c r="M806" s="7713">
        <v>80.0</v>
      </c>
      <c r="N806" s="7715">
        <v>111.0</v>
      </c>
      <c r="O806" s="7701"/>
      <c r="P806" s="7704"/>
      <c r="Q806" s="7704"/>
      <c r="R806" s="7704"/>
      <c r="S806" s="7705"/>
    </row>
    <row r="807" ht="18.75" customHeight="1">
      <c r="A807" s="7696"/>
      <c r="B807" s="7718" t="s">
        <v>3476</v>
      </c>
      <c r="C807" s="7723" t="s">
        <v>3477</v>
      </c>
      <c r="D807" s="7720"/>
      <c r="E807" s="7719" t="s">
        <v>2224</v>
      </c>
      <c r="F807" s="7719" t="str">
        <f t="shared" si="52"/>
        <v/>
      </c>
      <c r="G807" s="7719"/>
      <c r="H807" s="7719" t="str">
        <f t="shared" si="53"/>
        <v/>
      </c>
      <c r="I807" s="7719">
        <v>79.0</v>
      </c>
      <c r="J807" s="7719">
        <v>100.0</v>
      </c>
      <c r="K807" s="7719">
        <v>80.0</v>
      </c>
      <c r="L807" s="7719">
        <v>110.0</v>
      </c>
      <c r="M807" s="7719">
        <v>90.0</v>
      </c>
      <c r="N807" s="7721">
        <v>121.0</v>
      </c>
      <c r="O807" s="7701"/>
      <c r="P807" s="7704"/>
      <c r="Q807" s="7704"/>
      <c r="R807" s="7704"/>
      <c r="S807" s="7705"/>
    </row>
    <row r="808" ht="18.75" customHeight="1">
      <c r="A808" s="7696"/>
      <c r="B808" s="7712" t="s">
        <v>3478</v>
      </c>
      <c r="C808" s="7722" t="s">
        <v>3479</v>
      </c>
      <c r="D808" s="7714"/>
      <c r="E808" s="7713" t="s">
        <v>2283</v>
      </c>
      <c r="F808" s="7713" t="str">
        <f t="shared" si="52"/>
        <v/>
      </c>
      <c r="G808" s="7713" t="s">
        <v>2224</v>
      </c>
      <c r="H808" s="7713" t="str">
        <f t="shared" si="53"/>
        <v/>
      </c>
      <c r="I808" s="7713">
        <v>79.0</v>
      </c>
      <c r="J808" s="7713">
        <v>115.0</v>
      </c>
      <c r="K808" s="7713">
        <v>70.0</v>
      </c>
      <c r="L808" s="7713">
        <v>125.0</v>
      </c>
      <c r="M808" s="7713">
        <v>80.0</v>
      </c>
      <c r="N808" s="7715">
        <v>111.0</v>
      </c>
      <c r="O808" s="7701"/>
      <c r="P808" s="7704"/>
      <c r="Q808" s="7704"/>
      <c r="R808" s="7704"/>
      <c r="S808" s="7705"/>
    </row>
    <row r="809" ht="18.75" customHeight="1">
      <c r="A809" s="7696"/>
      <c r="B809" s="7718" t="s">
        <v>752</v>
      </c>
      <c r="C809" s="7723" t="s">
        <v>3480</v>
      </c>
      <c r="D809" s="7720"/>
      <c r="E809" s="7719" t="s">
        <v>2283</v>
      </c>
      <c r="F809" s="7719" t="str">
        <f t="shared" si="52"/>
        <v/>
      </c>
      <c r="G809" s="7719" t="s">
        <v>2224</v>
      </c>
      <c r="H809" s="7719" t="str">
        <f t="shared" si="53"/>
        <v/>
      </c>
      <c r="I809" s="7719">
        <v>79.0</v>
      </c>
      <c r="J809" s="7719">
        <v>105.0</v>
      </c>
      <c r="K809" s="7719">
        <v>70.0</v>
      </c>
      <c r="L809" s="7719">
        <v>145.0</v>
      </c>
      <c r="M809" s="7719">
        <v>80.0</v>
      </c>
      <c r="N809" s="7721">
        <v>101.0</v>
      </c>
      <c r="O809" s="7701"/>
      <c r="P809" s="7704"/>
      <c r="Q809" s="7704"/>
      <c r="R809" s="7704"/>
      <c r="S809" s="7705"/>
    </row>
    <row r="810" ht="18.75" customHeight="1">
      <c r="A810" s="7696"/>
      <c r="B810" s="7712" t="s">
        <v>3481</v>
      </c>
      <c r="C810" s="7713" t="s">
        <v>3482</v>
      </c>
      <c r="D810" s="7714"/>
      <c r="E810" s="7713" t="s">
        <v>2227</v>
      </c>
      <c r="F810" s="7713" t="str">
        <f t="shared" si="52"/>
        <v/>
      </c>
      <c r="G810" s="7713" t="s">
        <v>2219</v>
      </c>
      <c r="H810" s="7713" t="str">
        <f t="shared" si="53"/>
        <v/>
      </c>
      <c r="I810" s="7713">
        <v>100.0</v>
      </c>
      <c r="J810" s="7713">
        <v>120.0</v>
      </c>
      <c r="K810" s="7713">
        <v>100.0</v>
      </c>
      <c r="L810" s="7713">
        <v>150.0</v>
      </c>
      <c r="M810" s="7713">
        <v>120.0</v>
      </c>
      <c r="N810" s="7715">
        <v>90.0</v>
      </c>
      <c r="O810" s="7701"/>
      <c r="P810" s="7704"/>
      <c r="Q810" s="7704"/>
      <c r="R810" s="7704"/>
      <c r="S810" s="7705"/>
    </row>
    <row r="811" ht="18.75" customHeight="1">
      <c r="A811" s="7696"/>
      <c r="B811" s="7718" t="s">
        <v>3483</v>
      </c>
      <c r="C811" s="7719" t="s">
        <v>3484</v>
      </c>
      <c r="D811" s="7720"/>
      <c r="E811" s="7719" t="s">
        <v>2227</v>
      </c>
      <c r="F811" s="7719" t="str">
        <f t="shared" si="52"/>
        <v/>
      </c>
      <c r="G811" s="7719" t="s">
        <v>2283</v>
      </c>
      <c r="H811" s="7719" t="str">
        <f t="shared" si="53"/>
        <v/>
      </c>
      <c r="I811" s="7719">
        <v>100.0</v>
      </c>
      <c r="J811" s="7719">
        <v>150.0</v>
      </c>
      <c r="K811" s="7719">
        <v>120.0</v>
      </c>
      <c r="L811" s="7719">
        <v>120.0</v>
      </c>
      <c r="M811" s="7719">
        <v>100.0</v>
      </c>
      <c r="N811" s="7721">
        <v>90.0</v>
      </c>
      <c r="O811" s="7701"/>
      <c r="P811" s="7704"/>
      <c r="Q811" s="7704"/>
      <c r="R811" s="7704"/>
      <c r="S811" s="7705"/>
    </row>
    <row r="812" ht="18.75" customHeight="1">
      <c r="A812" s="7696"/>
      <c r="B812" s="7712" t="s">
        <v>724</v>
      </c>
      <c r="C812" s="7722" t="s">
        <v>3485</v>
      </c>
      <c r="D812" s="7714"/>
      <c r="E812" s="7713" t="s">
        <v>2304</v>
      </c>
      <c r="F812" s="7713" t="str">
        <f t="shared" si="52"/>
        <v/>
      </c>
      <c r="G812" s="7713" t="s">
        <v>2224</v>
      </c>
      <c r="H812" s="7713" t="str">
        <f t="shared" si="53"/>
        <v/>
      </c>
      <c r="I812" s="7713">
        <v>89.0</v>
      </c>
      <c r="J812" s="7713">
        <v>125.0</v>
      </c>
      <c r="K812" s="7713">
        <v>90.0</v>
      </c>
      <c r="L812" s="7713">
        <v>115.0</v>
      </c>
      <c r="M812" s="7713">
        <v>80.0</v>
      </c>
      <c r="N812" s="7715">
        <v>101.0</v>
      </c>
      <c r="O812" s="7701"/>
      <c r="P812" s="7704"/>
      <c r="Q812" s="7704"/>
      <c r="R812" s="7704"/>
      <c r="S812" s="7705"/>
    </row>
    <row r="813" ht="18.75" customHeight="1">
      <c r="A813" s="7696"/>
      <c r="B813" s="7718" t="s">
        <v>1311</v>
      </c>
      <c r="C813" s="7723" t="s">
        <v>3486</v>
      </c>
      <c r="D813" s="7720"/>
      <c r="E813" s="7719" t="s">
        <v>2304</v>
      </c>
      <c r="F813" s="7719" t="str">
        <f t="shared" si="52"/>
        <v/>
      </c>
      <c r="G813" s="7719" t="s">
        <v>2224</v>
      </c>
      <c r="H813" s="7719" t="str">
        <f t="shared" si="53"/>
        <v/>
      </c>
      <c r="I813" s="7719">
        <v>89.0</v>
      </c>
      <c r="J813" s="7719">
        <v>145.0</v>
      </c>
      <c r="K813" s="7719">
        <v>90.0</v>
      </c>
      <c r="L813" s="7719">
        <v>105.0</v>
      </c>
      <c r="M813" s="7719">
        <v>80.0</v>
      </c>
      <c r="N813" s="7721">
        <v>91.0</v>
      </c>
      <c r="O813" s="7701"/>
      <c r="P813" s="7704"/>
      <c r="Q813" s="7704"/>
      <c r="R813" s="7704"/>
      <c r="S813" s="7705"/>
    </row>
    <row r="814" ht="18.75" customHeight="1">
      <c r="A814" s="7696"/>
      <c r="B814" s="7712" t="s">
        <v>3487</v>
      </c>
      <c r="C814" s="7713" t="s">
        <v>3488</v>
      </c>
      <c r="D814" s="7714"/>
      <c r="E814" s="7713" t="s">
        <v>2227</v>
      </c>
      <c r="F814" s="7713" t="str">
        <f t="shared" si="52"/>
        <v/>
      </c>
      <c r="G814" s="7713" t="s">
        <v>2289</v>
      </c>
      <c r="H814" s="7713" t="str">
        <f t="shared" si="53"/>
        <v/>
      </c>
      <c r="I814" s="7713">
        <v>125.0</v>
      </c>
      <c r="J814" s="7713">
        <v>130.0</v>
      </c>
      <c r="K814" s="7713">
        <v>90.0</v>
      </c>
      <c r="L814" s="7713">
        <v>130.0</v>
      </c>
      <c r="M814" s="7713">
        <v>90.0</v>
      </c>
      <c r="N814" s="7715">
        <v>95.0</v>
      </c>
      <c r="O814" s="7701"/>
      <c r="P814" s="7704"/>
      <c r="Q814" s="7704"/>
      <c r="R814" s="7704"/>
      <c r="S814" s="7705"/>
    </row>
    <row r="815" ht="18.75" customHeight="1">
      <c r="A815" s="7696"/>
      <c r="B815" s="7718" t="s">
        <v>914</v>
      </c>
      <c r="C815" s="7723" t="s">
        <v>3489</v>
      </c>
      <c r="D815" s="7720"/>
      <c r="E815" s="7719" t="s">
        <v>2227</v>
      </c>
      <c r="F815" s="7719" t="str">
        <f t="shared" si="52"/>
        <v/>
      </c>
      <c r="G815" s="7719" t="s">
        <v>2289</v>
      </c>
      <c r="H815" s="7719" t="str">
        <f t="shared" si="53"/>
        <v/>
      </c>
      <c r="I815" s="7719">
        <v>125.0</v>
      </c>
      <c r="J815" s="7719">
        <v>170.0</v>
      </c>
      <c r="K815" s="7719">
        <v>100.0</v>
      </c>
      <c r="L815" s="7719">
        <v>120.0</v>
      </c>
      <c r="M815" s="7719">
        <v>90.0</v>
      </c>
      <c r="N815" s="7721">
        <v>95.0</v>
      </c>
      <c r="O815" s="7701"/>
      <c r="P815" s="7704"/>
      <c r="Q815" s="7704"/>
      <c r="R815" s="7704"/>
      <c r="S815" s="7705"/>
    </row>
    <row r="816" ht="18.75" customHeight="1">
      <c r="A816" s="7696"/>
      <c r="B816" s="7712" t="s">
        <v>1861</v>
      </c>
      <c r="C816" s="7722" t="s">
        <v>3490</v>
      </c>
      <c r="D816" s="7714"/>
      <c r="E816" s="7713" t="s">
        <v>2227</v>
      </c>
      <c r="F816" s="7713" t="str">
        <f t="shared" si="52"/>
        <v/>
      </c>
      <c r="G816" s="7713" t="s">
        <v>2289</v>
      </c>
      <c r="H816" s="7713" t="str">
        <f t="shared" si="53"/>
        <v/>
      </c>
      <c r="I816" s="7713">
        <v>125.0</v>
      </c>
      <c r="J816" s="7713">
        <v>120.0</v>
      </c>
      <c r="K816" s="7713">
        <v>90.0</v>
      </c>
      <c r="L816" s="7713">
        <v>170.0</v>
      </c>
      <c r="M816" s="7713">
        <v>100.0</v>
      </c>
      <c r="N816" s="7715">
        <v>95.0</v>
      </c>
      <c r="O816" s="7701"/>
      <c r="P816" s="7704"/>
      <c r="Q816" s="7704"/>
      <c r="R816" s="7704"/>
      <c r="S816" s="7705"/>
    </row>
    <row r="817" ht="18.75" customHeight="1">
      <c r="A817" s="7696"/>
      <c r="B817" s="7718" t="s">
        <v>2008</v>
      </c>
      <c r="C817" s="7719" t="s">
        <v>3491</v>
      </c>
      <c r="D817" s="7720"/>
      <c r="E817" s="7719" t="s">
        <v>2232</v>
      </c>
      <c r="F817" s="7719" t="str">
        <f t="shared" si="52"/>
        <v/>
      </c>
      <c r="G817" s="7719" t="s">
        <v>2296</v>
      </c>
      <c r="H817" s="7719" t="str">
        <f t="shared" si="53"/>
        <v/>
      </c>
      <c r="I817" s="7719">
        <v>91.0</v>
      </c>
      <c r="J817" s="7719">
        <v>72.0</v>
      </c>
      <c r="K817" s="7719">
        <v>90.0</v>
      </c>
      <c r="L817" s="7719">
        <v>129.0</v>
      </c>
      <c r="M817" s="7719">
        <v>90.0</v>
      </c>
      <c r="N817" s="7721">
        <v>108.0</v>
      </c>
      <c r="O817" s="7701"/>
      <c r="P817" s="7704"/>
      <c r="Q817" s="7704"/>
      <c r="R817" s="7704"/>
      <c r="S817" s="7705"/>
    </row>
    <row r="818" ht="18.75" customHeight="1">
      <c r="A818" s="7696"/>
      <c r="B818" s="7712" t="s">
        <v>3492</v>
      </c>
      <c r="C818" s="7713" t="s">
        <v>3493</v>
      </c>
      <c r="D818" s="7714"/>
      <c r="E818" s="7713" t="s">
        <v>2262</v>
      </c>
      <c r="F818" s="7713" t="str">
        <f t="shared" si="52"/>
        <v/>
      </c>
      <c r="G818" s="7713" t="s">
        <v>669</v>
      </c>
      <c r="H818" s="7713" t="str">
        <f t="shared" si="53"/>
        <v/>
      </c>
      <c r="I818" s="7713">
        <v>100.0</v>
      </c>
      <c r="J818" s="7713">
        <v>77.0</v>
      </c>
      <c r="K818" s="7713">
        <v>77.0</v>
      </c>
      <c r="L818" s="7713">
        <v>128.0</v>
      </c>
      <c r="M818" s="7713">
        <v>128.0</v>
      </c>
      <c r="N818" s="7715">
        <v>90.0</v>
      </c>
      <c r="O818" s="7701"/>
      <c r="P818" s="7704"/>
      <c r="Q818" s="7704"/>
      <c r="R818" s="7704"/>
      <c r="S818" s="7705"/>
    </row>
    <row r="819" ht="18.75" customHeight="1">
      <c r="A819" s="7696"/>
      <c r="B819" s="7718" t="s">
        <v>2200</v>
      </c>
      <c r="C819" s="7723" t="s">
        <v>3494</v>
      </c>
      <c r="D819" s="7720"/>
      <c r="E819" s="7719" t="s">
        <v>2262</v>
      </c>
      <c r="F819" s="7719" t="str">
        <f t="shared" si="52"/>
        <v/>
      </c>
      <c r="G819" s="7719" t="s">
        <v>2296</v>
      </c>
      <c r="H819" s="7719" t="str">
        <f t="shared" si="53"/>
        <v/>
      </c>
      <c r="I819" s="7719">
        <v>100.0</v>
      </c>
      <c r="J819" s="7719">
        <v>128.0</v>
      </c>
      <c r="K819" s="7719">
        <v>90.0</v>
      </c>
      <c r="L819" s="7719">
        <v>77.0</v>
      </c>
      <c r="M819" s="7719">
        <v>77.0</v>
      </c>
      <c r="N819" s="7721">
        <v>128.0</v>
      </c>
      <c r="O819" s="7701"/>
      <c r="P819" s="7704"/>
      <c r="Q819" s="7704"/>
      <c r="R819" s="7704"/>
      <c r="S819" s="7705"/>
    </row>
    <row r="820" ht="18.75" customHeight="1">
      <c r="A820" s="7696"/>
      <c r="B820" s="7712" t="s">
        <v>949</v>
      </c>
      <c r="C820" s="7713" t="s">
        <v>3495</v>
      </c>
      <c r="D820" s="7714"/>
      <c r="E820" s="7713" t="s">
        <v>2243</v>
      </c>
      <c r="F820" s="7713" t="str">
        <f t="shared" ref="F820:F824" si="54">IFERROR(VLOOKUP(E820,P$3:Q838,2,False),"")</f>
        <v/>
      </c>
      <c r="G820" s="7713" t="s">
        <v>2286</v>
      </c>
      <c r="H820" s="7713" t="str">
        <f t="shared" ref="H820:H824" si="55">IFERROR(VLOOKUP(G820,P$3:Q838,2,False),"")</f>
        <v/>
      </c>
      <c r="I820" s="7713">
        <v>71.0</v>
      </c>
      <c r="J820" s="7713">
        <v>120.0</v>
      </c>
      <c r="K820" s="7713">
        <v>95.0</v>
      </c>
      <c r="L820" s="7713">
        <v>120.0</v>
      </c>
      <c r="M820" s="7713">
        <v>95.0</v>
      </c>
      <c r="N820" s="7715">
        <v>99.0</v>
      </c>
      <c r="O820" s="7701"/>
      <c r="P820" s="7704"/>
      <c r="Q820" s="7704"/>
      <c r="R820" s="7704"/>
      <c r="S820" s="7705"/>
    </row>
    <row r="821" ht="18.75" customHeight="1">
      <c r="A821" s="7696"/>
      <c r="B821" s="7718" t="s">
        <v>3496</v>
      </c>
      <c r="C821" s="7723" t="s">
        <v>3495</v>
      </c>
      <c r="D821" s="7720"/>
      <c r="E821" s="7719" t="s">
        <v>2243</v>
      </c>
      <c r="F821" s="7719" t="str">
        <f t="shared" si="54"/>
        <v/>
      </c>
      <c r="G821" s="7719" t="s">
        <v>2286</v>
      </c>
      <c r="H821" s="7719" t="str">
        <f t="shared" si="55"/>
        <v/>
      </c>
      <c r="I821" s="7719">
        <v>71.0</v>
      </c>
      <c r="J821" s="7719">
        <v>120.0</v>
      </c>
      <c r="K821" s="7719">
        <v>95.0</v>
      </c>
      <c r="L821" s="7719">
        <v>120.0</v>
      </c>
      <c r="M821" s="7719">
        <v>95.0</v>
      </c>
      <c r="N821" s="7721">
        <v>99.0</v>
      </c>
      <c r="O821" s="7701"/>
      <c r="P821" s="7704"/>
      <c r="Q821" s="7704"/>
      <c r="R821" s="7704"/>
      <c r="S821" s="7705"/>
    </row>
    <row r="822" ht="18.75" customHeight="1">
      <c r="A822" s="7696"/>
      <c r="B822" s="7712" t="s">
        <v>3497</v>
      </c>
      <c r="C822" s="7713" t="s">
        <v>3495</v>
      </c>
      <c r="D822" s="7714"/>
      <c r="E822" s="7713" t="s">
        <v>2243</v>
      </c>
      <c r="F822" s="7713" t="str">
        <f t="shared" si="54"/>
        <v/>
      </c>
      <c r="G822" s="7713" t="s">
        <v>2286</v>
      </c>
      <c r="H822" s="7713" t="str">
        <f t="shared" si="55"/>
        <v/>
      </c>
      <c r="I822" s="7713">
        <v>71.0</v>
      </c>
      <c r="J822" s="7713">
        <v>120.0</v>
      </c>
      <c r="K822" s="7713">
        <v>95.0</v>
      </c>
      <c r="L822" s="7713">
        <v>120.0</v>
      </c>
      <c r="M822" s="7713">
        <v>95.0</v>
      </c>
      <c r="N822" s="7715">
        <v>99.0</v>
      </c>
      <c r="O822" s="7701"/>
      <c r="P822" s="7704"/>
      <c r="Q822" s="7704"/>
      <c r="R822" s="7704"/>
      <c r="S822" s="7705"/>
    </row>
    <row r="823" ht="18.75" customHeight="1">
      <c r="A823" s="7696"/>
      <c r="B823" s="7718" t="s">
        <v>2099</v>
      </c>
      <c r="C823" s="7723" t="s">
        <v>3495</v>
      </c>
      <c r="D823" s="7720"/>
      <c r="E823" s="7719" t="s">
        <v>2243</v>
      </c>
      <c r="F823" s="7719" t="str">
        <f t="shared" si="54"/>
        <v/>
      </c>
      <c r="G823" s="7719" t="s">
        <v>2286</v>
      </c>
      <c r="H823" s="7719" t="str">
        <f t="shared" si="55"/>
        <v/>
      </c>
      <c r="I823" s="7719">
        <v>71.0</v>
      </c>
      <c r="J823" s="7719">
        <v>120.0</v>
      </c>
      <c r="K823" s="7719">
        <v>95.0</v>
      </c>
      <c r="L823" s="7719">
        <v>120.0</v>
      </c>
      <c r="M823" s="7719">
        <v>95.0</v>
      </c>
      <c r="N823" s="7721">
        <v>99.0</v>
      </c>
      <c r="O823" s="7701"/>
      <c r="P823" s="7704"/>
      <c r="Q823" s="7704"/>
      <c r="R823" s="7704"/>
      <c r="S823" s="7705"/>
    </row>
    <row r="824" ht="18.75" customHeight="1">
      <c r="A824" s="7696"/>
      <c r="B824" s="7736" t="s">
        <v>3498</v>
      </c>
      <c r="C824" s="7737" t="s">
        <v>3495</v>
      </c>
      <c r="D824" s="7738"/>
      <c r="E824" s="7737" t="s">
        <v>2243</v>
      </c>
      <c r="F824" s="7737" t="str">
        <f t="shared" si="54"/>
        <v/>
      </c>
      <c r="G824" s="7737" t="s">
        <v>2286</v>
      </c>
      <c r="H824" s="7737" t="str">
        <f t="shared" si="55"/>
        <v/>
      </c>
      <c r="I824" s="7737">
        <v>71.0</v>
      </c>
      <c r="J824" s="7737">
        <v>120.0</v>
      </c>
      <c r="K824" s="7737">
        <v>95.0</v>
      </c>
      <c r="L824" s="7737">
        <v>120.0</v>
      </c>
      <c r="M824" s="7737">
        <v>95.0</v>
      </c>
      <c r="N824" s="7739">
        <v>99.0</v>
      </c>
      <c r="O824" s="7701"/>
      <c r="P824" s="7704"/>
      <c r="Q824" s="7704"/>
      <c r="R824" s="7704"/>
      <c r="S824" s="7705"/>
    </row>
    <row r="825">
      <c r="A825" s="7696"/>
      <c r="B825" s="7694"/>
      <c r="C825" s="7694"/>
      <c r="D825" s="7694"/>
      <c r="E825" s="7694"/>
      <c r="F825" s="7694"/>
      <c r="G825" s="7694"/>
      <c r="H825" s="7694"/>
      <c r="I825" s="7694"/>
      <c r="J825" s="7694"/>
      <c r="K825" s="7694"/>
      <c r="L825" s="7694"/>
      <c r="M825" s="7694"/>
      <c r="N825" s="7694"/>
      <c r="O825" s="7696"/>
      <c r="P825" s="7696"/>
      <c r="Q825" s="7696"/>
      <c r="R825" s="7696"/>
      <c r="S825" s="7705"/>
    </row>
    <row r="826">
      <c r="A826" s="7696"/>
      <c r="B826" s="7754" t="s">
        <v>3499</v>
      </c>
      <c r="C826" s="7759"/>
      <c r="D826" s="7759"/>
      <c r="E826" s="7759"/>
      <c r="F826" s="7759"/>
      <c r="G826" s="7759"/>
      <c r="H826" s="7760"/>
      <c r="I826" s="7757" t="s">
        <v>513</v>
      </c>
      <c r="J826" s="7757" t="s">
        <v>514</v>
      </c>
      <c r="K826" s="7757" t="s">
        <v>515</v>
      </c>
      <c r="L826" s="7757" t="s">
        <v>516</v>
      </c>
      <c r="M826" s="7757" t="s">
        <v>517</v>
      </c>
      <c r="N826" s="7758" t="s">
        <v>518</v>
      </c>
      <c r="O826" s="7701"/>
      <c r="P826" s="7704"/>
      <c r="Q826" s="7704"/>
      <c r="R826" s="7704"/>
      <c r="S826" s="7705"/>
    </row>
    <row r="827" ht="18.75" customHeight="1">
      <c r="A827" s="7696"/>
      <c r="B827" s="7742" t="s">
        <v>3500</v>
      </c>
      <c r="C827" s="7743" t="s">
        <v>3501</v>
      </c>
      <c r="D827" s="7744"/>
      <c r="E827" s="7747" t="s">
        <v>2209</v>
      </c>
      <c r="F827" s="7747" t="str">
        <f t="shared" ref="F827:F832" si="56">IFERROR(VLOOKUP(E827,P$3:Q844,2,False),"")</f>
        <v/>
      </c>
      <c r="G827" s="7747"/>
      <c r="H827" s="7747" t="str">
        <f t="shared" ref="H827:H832" si="57">IFERROR(VLOOKUP(G827,P$3:Q844,2,False),"")</f>
        <v/>
      </c>
      <c r="I827" s="7745">
        <v>56.0</v>
      </c>
      <c r="J827" s="7745">
        <v>61.0</v>
      </c>
      <c r="K827" s="7745">
        <v>65.0</v>
      </c>
      <c r="L827" s="7745">
        <v>48.0</v>
      </c>
      <c r="M827" s="7745">
        <v>45.0</v>
      </c>
      <c r="N827" s="7746">
        <v>38.0</v>
      </c>
      <c r="O827" s="7701"/>
      <c r="P827" s="7704"/>
      <c r="Q827" s="7704"/>
      <c r="R827" s="7704"/>
      <c r="S827" s="7705"/>
    </row>
    <row r="828" ht="18.75" customHeight="1">
      <c r="A828" s="7696"/>
      <c r="B828" s="7712" t="s">
        <v>3502</v>
      </c>
      <c r="C828" s="7713" t="s">
        <v>3503</v>
      </c>
      <c r="D828" s="7714"/>
      <c r="E828" s="7713" t="s">
        <v>2209</v>
      </c>
      <c r="F828" s="7713" t="str">
        <f t="shared" si="56"/>
        <v/>
      </c>
      <c r="G828" s="7713"/>
      <c r="H828" s="7713" t="str">
        <f t="shared" si="57"/>
        <v/>
      </c>
      <c r="I828" s="7713">
        <v>61.0</v>
      </c>
      <c r="J828" s="7713">
        <v>78.0</v>
      </c>
      <c r="K828" s="7713">
        <v>95.0</v>
      </c>
      <c r="L828" s="7713">
        <v>56.0</v>
      </c>
      <c r="M828" s="7713">
        <v>58.0</v>
      </c>
      <c r="N828" s="7715">
        <v>57.0</v>
      </c>
      <c r="O828" s="7701"/>
      <c r="P828" s="7704"/>
      <c r="Q828" s="7704"/>
      <c r="R828" s="7704"/>
      <c r="S828" s="7705"/>
    </row>
    <row r="829" ht="18.75" customHeight="1">
      <c r="A829" s="7696"/>
      <c r="B829" s="7718" t="s">
        <v>3504</v>
      </c>
      <c r="C829" s="7719" t="s">
        <v>3505</v>
      </c>
      <c r="D829" s="7720"/>
      <c r="E829" s="7719" t="s">
        <v>2209</v>
      </c>
      <c r="F829" s="7719" t="str">
        <f t="shared" si="56"/>
        <v/>
      </c>
      <c r="G829" s="7719" t="s">
        <v>2296</v>
      </c>
      <c r="H829" s="7719" t="str">
        <f t="shared" si="57"/>
        <v/>
      </c>
      <c r="I829" s="7719">
        <v>88.0</v>
      </c>
      <c r="J829" s="7719">
        <v>107.0</v>
      </c>
      <c r="K829" s="7719">
        <v>122.0</v>
      </c>
      <c r="L829" s="7719">
        <v>74.0</v>
      </c>
      <c r="M829" s="7719">
        <v>75.0</v>
      </c>
      <c r="N829" s="7721">
        <v>64.0</v>
      </c>
      <c r="O829" s="7701"/>
      <c r="P829" s="7704"/>
      <c r="Q829" s="7704"/>
      <c r="R829" s="7704"/>
      <c r="S829" s="7705"/>
    </row>
    <row r="830" ht="18.75" customHeight="1">
      <c r="A830" s="7696"/>
      <c r="B830" s="7712" t="s">
        <v>3506</v>
      </c>
      <c r="C830" s="7713" t="s">
        <v>3507</v>
      </c>
      <c r="D830" s="7714"/>
      <c r="E830" s="7713" t="s">
        <v>2219</v>
      </c>
      <c r="F830" s="7713" t="str">
        <f t="shared" si="56"/>
        <v/>
      </c>
      <c r="G830" s="7713"/>
      <c r="H830" s="7713" t="str">
        <f t="shared" si="57"/>
        <v/>
      </c>
      <c r="I830" s="7713">
        <v>40.0</v>
      </c>
      <c r="J830" s="7713">
        <v>45.0</v>
      </c>
      <c r="K830" s="7713">
        <v>40.0</v>
      </c>
      <c r="L830" s="7713">
        <v>62.0</v>
      </c>
      <c r="M830" s="7713">
        <v>60.0</v>
      </c>
      <c r="N830" s="7715">
        <v>60.0</v>
      </c>
      <c r="O830" s="7701"/>
      <c r="P830" s="7704"/>
      <c r="Q830" s="7704"/>
      <c r="R830" s="7704"/>
      <c r="S830" s="7705"/>
    </row>
    <row r="831" ht="18.75" customHeight="1">
      <c r="A831" s="7696"/>
      <c r="B831" s="7718" t="s">
        <v>3508</v>
      </c>
      <c r="C831" s="7719" t="s">
        <v>3509</v>
      </c>
      <c r="D831" s="7720"/>
      <c r="E831" s="7719" t="s">
        <v>2219</v>
      </c>
      <c r="F831" s="7719" t="str">
        <f t="shared" si="56"/>
        <v/>
      </c>
      <c r="G831" s="7719"/>
      <c r="H831" s="7719" t="str">
        <f t="shared" si="57"/>
        <v/>
      </c>
      <c r="I831" s="7719">
        <v>59.0</v>
      </c>
      <c r="J831" s="7719">
        <v>59.0</v>
      </c>
      <c r="K831" s="7719">
        <v>58.0</v>
      </c>
      <c r="L831" s="7719">
        <v>90.0</v>
      </c>
      <c r="M831" s="7719">
        <v>70.0</v>
      </c>
      <c r="N831" s="7721">
        <v>73.0</v>
      </c>
      <c r="O831" s="7701"/>
      <c r="P831" s="7704"/>
      <c r="Q831" s="7704"/>
      <c r="R831" s="7704"/>
      <c r="S831" s="7705"/>
    </row>
    <row r="832" ht="18.75" customHeight="1">
      <c r="A832" s="7696"/>
      <c r="B832" s="7712" t="s">
        <v>1328</v>
      </c>
      <c r="C832" s="7713" t="s">
        <v>3510</v>
      </c>
      <c r="D832" s="7714"/>
      <c r="E832" s="7713" t="s">
        <v>2219</v>
      </c>
      <c r="F832" s="7713" t="str">
        <f t="shared" si="56"/>
        <v/>
      </c>
      <c r="G832" s="7713" t="s">
        <v>669</v>
      </c>
      <c r="H832" s="7713" t="str">
        <f t="shared" si="57"/>
        <v/>
      </c>
      <c r="I832" s="7713">
        <v>75.0</v>
      </c>
      <c r="J832" s="7713">
        <v>69.0</v>
      </c>
      <c r="K832" s="7713">
        <v>72.0</v>
      </c>
      <c r="L832" s="7713">
        <v>114.0</v>
      </c>
      <c r="M832" s="7713">
        <v>100.0</v>
      </c>
      <c r="N832" s="7715">
        <v>104.0</v>
      </c>
      <c r="O832" s="7701"/>
      <c r="P832" s="7704"/>
      <c r="Q832" s="7704"/>
      <c r="R832" s="7704"/>
      <c r="S832" s="7705"/>
    </row>
    <row r="833" ht="18.75" customHeight="1">
      <c r="A833" s="7696"/>
      <c r="B833" s="7718" t="s">
        <v>3511</v>
      </c>
      <c r="C833" s="7719" t="s">
        <v>3512</v>
      </c>
      <c r="D833" s="7720"/>
      <c r="E833" s="7719" t="s">
        <v>2232</v>
      </c>
      <c r="F833" s="7719" t="str">
        <f t="shared" ref="F833:F850" si="58">IFERROR(VLOOKUP(E833,P$3:Q851,2,False),"")</f>
        <v/>
      </c>
      <c r="G833" s="7719"/>
      <c r="H833" s="7719" t="str">
        <f t="shared" ref="H833:H849" si="59">IFERROR(VLOOKUP(G833,P$3:Q851,2,False),"")</f>
        <v/>
      </c>
      <c r="I833" s="7719">
        <v>41.0</v>
      </c>
      <c r="J833" s="7719">
        <v>56.0</v>
      </c>
      <c r="K833" s="7719">
        <v>40.0</v>
      </c>
      <c r="L833" s="7719">
        <v>62.0</v>
      </c>
      <c r="M833" s="7719">
        <v>44.0</v>
      </c>
      <c r="N833" s="7721">
        <v>71.0</v>
      </c>
      <c r="O833" s="7701"/>
      <c r="P833" s="7704"/>
      <c r="Q833" s="7704"/>
      <c r="R833" s="7704"/>
      <c r="S833" s="7705"/>
    </row>
    <row r="834" ht="18.75" customHeight="1">
      <c r="A834" s="7696"/>
      <c r="B834" s="7712" t="s">
        <v>3513</v>
      </c>
      <c r="C834" s="7713" t="s">
        <v>3514</v>
      </c>
      <c r="D834" s="7714"/>
      <c r="E834" s="7713" t="s">
        <v>2232</v>
      </c>
      <c r="F834" s="7713" t="str">
        <f t="shared" si="58"/>
        <v/>
      </c>
      <c r="G834" s="7713"/>
      <c r="H834" s="7713" t="str">
        <f t="shared" si="59"/>
        <v/>
      </c>
      <c r="I834" s="7713">
        <v>54.0</v>
      </c>
      <c r="J834" s="7713">
        <v>63.0</v>
      </c>
      <c r="K834" s="7713">
        <v>52.0</v>
      </c>
      <c r="L834" s="7713">
        <v>83.0</v>
      </c>
      <c r="M834" s="7713">
        <v>56.0</v>
      </c>
      <c r="N834" s="7715">
        <v>97.0</v>
      </c>
      <c r="O834" s="7701"/>
      <c r="P834" s="7704"/>
      <c r="Q834" s="7704"/>
      <c r="R834" s="7704"/>
      <c r="S834" s="7705"/>
    </row>
    <row r="835" ht="18.75" customHeight="1">
      <c r="A835" s="7696"/>
      <c r="B835" s="7718" t="s">
        <v>1634</v>
      </c>
      <c r="C835" s="7719" t="s">
        <v>3515</v>
      </c>
      <c r="D835" s="7720"/>
      <c r="E835" s="7719" t="s">
        <v>2232</v>
      </c>
      <c r="F835" s="7719" t="str">
        <f t="shared" si="58"/>
        <v/>
      </c>
      <c r="G835" s="7719" t="s">
        <v>2272</v>
      </c>
      <c r="H835" s="7719" t="str">
        <f t="shared" si="59"/>
        <v/>
      </c>
      <c r="I835" s="7719">
        <v>72.0</v>
      </c>
      <c r="J835" s="7719">
        <v>95.0</v>
      </c>
      <c r="K835" s="7719">
        <v>67.0</v>
      </c>
      <c r="L835" s="7719">
        <v>103.0</v>
      </c>
      <c r="M835" s="7719">
        <v>71.0</v>
      </c>
      <c r="N835" s="7721">
        <v>122.0</v>
      </c>
      <c r="O835" s="7701"/>
      <c r="P835" s="7704"/>
      <c r="Q835" s="7704"/>
      <c r="R835" s="7704"/>
      <c r="S835" s="7705"/>
    </row>
    <row r="836" ht="18.75" customHeight="1">
      <c r="A836" s="7696"/>
      <c r="B836" s="7712" t="s">
        <v>1984</v>
      </c>
      <c r="C836" s="7722" t="s">
        <v>3516</v>
      </c>
      <c r="D836" s="7714"/>
      <c r="E836" s="7713" t="s">
        <v>2232</v>
      </c>
      <c r="F836" s="7713" t="str">
        <f t="shared" si="58"/>
        <v/>
      </c>
      <c r="G836" s="7713" t="s">
        <v>2272</v>
      </c>
      <c r="H836" s="7713" t="str">
        <f t="shared" si="59"/>
        <v/>
      </c>
      <c r="I836" s="7713">
        <v>72.0</v>
      </c>
      <c r="J836" s="7713">
        <v>145.0</v>
      </c>
      <c r="K836" s="7713">
        <v>67.0</v>
      </c>
      <c r="L836" s="7713">
        <v>153.0</v>
      </c>
      <c r="M836" s="7713">
        <v>71.0</v>
      </c>
      <c r="N836" s="7715">
        <v>132.0</v>
      </c>
      <c r="O836" s="7701"/>
      <c r="P836" s="7704"/>
      <c r="Q836" s="7704"/>
      <c r="R836" s="7704"/>
      <c r="S836" s="7705"/>
    </row>
    <row r="837" ht="18.75" customHeight="1">
      <c r="A837" s="7696"/>
      <c r="B837" s="7718" t="s">
        <v>3517</v>
      </c>
      <c r="C837" s="7719" t="s">
        <v>3518</v>
      </c>
      <c r="D837" s="7720"/>
      <c r="E837" s="7719" t="s">
        <v>2262</v>
      </c>
      <c r="F837" s="7719" t="str">
        <f t="shared" si="58"/>
        <v/>
      </c>
      <c r="G837" s="7719"/>
      <c r="H837" s="7719" t="str">
        <f t="shared" si="59"/>
        <v/>
      </c>
      <c r="I837" s="7719">
        <v>38.0</v>
      </c>
      <c r="J837" s="7719">
        <v>36.0</v>
      </c>
      <c r="K837" s="7719">
        <v>38.0</v>
      </c>
      <c r="L837" s="7719">
        <v>32.0</v>
      </c>
      <c r="M837" s="7719">
        <v>36.0</v>
      </c>
      <c r="N837" s="7721">
        <v>57.0</v>
      </c>
      <c r="O837" s="7701"/>
      <c r="P837" s="7704"/>
      <c r="Q837" s="7704"/>
      <c r="R837" s="7704"/>
      <c r="S837" s="7705"/>
    </row>
    <row r="838" ht="18.75" customHeight="1">
      <c r="A838" s="7696"/>
      <c r="B838" s="7712" t="s">
        <v>3519</v>
      </c>
      <c r="C838" s="7713" t="s">
        <v>3520</v>
      </c>
      <c r="D838" s="7714"/>
      <c r="E838" s="7713" t="s">
        <v>2262</v>
      </c>
      <c r="F838" s="7713" t="str">
        <f t="shared" si="58"/>
        <v/>
      </c>
      <c r="G838" s="7713" t="s">
        <v>2304</v>
      </c>
      <c r="H838" s="7713" t="str">
        <f t="shared" si="59"/>
        <v/>
      </c>
      <c r="I838" s="7713">
        <v>85.0</v>
      </c>
      <c r="J838" s="7713">
        <v>56.0</v>
      </c>
      <c r="K838" s="7713">
        <v>77.0</v>
      </c>
      <c r="L838" s="7713">
        <v>50.0</v>
      </c>
      <c r="M838" s="7713">
        <v>77.0</v>
      </c>
      <c r="N838" s="7715">
        <v>78.0</v>
      </c>
      <c r="O838" s="7701"/>
      <c r="P838" s="7704"/>
      <c r="Q838" s="7704"/>
      <c r="R838" s="7704"/>
      <c r="S838" s="7705"/>
    </row>
    <row r="839" ht="18.75" customHeight="1">
      <c r="A839" s="7696"/>
      <c r="B839" s="7718" t="s">
        <v>3521</v>
      </c>
      <c r="C839" s="7719" t="s">
        <v>3522</v>
      </c>
      <c r="D839" s="7720"/>
      <c r="E839" s="7719" t="s">
        <v>2262</v>
      </c>
      <c r="F839" s="7719" t="str">
        <f t="shared" si="58"/>
        <v/>
      </c>
      <c r="G839" s="7719" t="s">
        <v>2224</v>
      </c>
      <c r="H839" s="7719" t="str">
        <f t="shared" si="59"/>
        <v/>
      </c>
      <c r="I839" s="7719">
        <v>45.0</v>
      </c>
      <c r="J839" s="7719">
        <v>50.0</v>
      </c>
      <c r="K839" s="7719">
        <v>43.0</v>
      </c>
      <c r="L839" s="7719">
        <v>40.0</v>
      </c>
      <c r="M839" s="7719">
        <v>38.0</v>
      </c>
      <c r="N839" s="7721">
        <v>62.0</v>
      </c>
      <c r="O839" s="7701"/>
      <c r="P839" s="7704"/>
      <c r="Q839" s="7704"/>
      <c r="R839" s="7704"/>
      <c r="S839" s="7705"/>
    </row>
    <row r="840" ht="18.75" customHeight="1">
      <c r="A840" s="7696"/>
      <c r="B840" s="7712" t="s">
        <v>3523</v>
      </c>
      <c r="C840" s="7713" t="s">
        <v>3524</v>
      </c>
      <c r="D840" s="7714"/>
      <c r="E840" s="7713" t="s">
        <v>2219</v>
      </c>
      <c r="F840" s="7713" t="str">
        <f t="shared" si="58"/>
        <v/>
      </c>
      <c r="G840" s="7713" t="s">
        <v>2224</v>
      </c>
      <c r="H840" s="7713" t="str">
        <f t="shared" si="59"/>
        <v/>
      </c>
      <c r="I840" s="7713">
        <v>62.0</v>
      </c>
      <c r="J840" s="7713">
        <v>73.0</v>
      </c>
      <c r="K840" s="7713">
        <v>55.0</v>
      </c>
      <c r="L840" s="7713">
        <v>56.0</v>
      </c>
      <c r="M840" s="7713">
        <v>52.0</v>
      </c>
      <c r="N840" s="7715">
        <v>84.0</v>
      </c>
      <c r="O840" s="7701"/>
      <c r="P840" s="7704"/>
      <c r="Q840" s="7704"/>
      <c r="R840" s="7704"/>
      <c r="S840" s="7705"/>
    </row>
    <row r="841" ht="18.75" customHeight="1">
      <c r="A841" s="7696"/>
      <c r="B841" s="7718" t="s">
        <v>1202</v>
      </c>
      <c r="C841" s="7719" t="s">
        <v>3525</v>
      </c>
      <c r="D841" s="7720"/>
      <c r="E841" s="7719" t="s">
        <v>2219</v>
      </c>
      <c r="F841" s="7719" t="str">
        <f t="shared" si="58"/>
        <v/>
      </c>
      <c r="G841" s="7719" t="s">
        <v>2224</v>
      </c>
      <c r="H841" s="7719" t="str">
        <f t="shared" si="59"/>
        <v/>
      </c>
      <c r="I841" s="7719">
        <v>78.0</v>
      </c>
      <c r="J841" s="7719">
        <v>91.0</v>
      </c>
      <c r="K841" s="7719">
        <v>71.0</v>
      </c>
      <c r="L841" s="7719">
        <v>74.0</v>
      </c>
      <c r="M841" s="7719">
        <v>69.0</v>
      </c>
      <c r="N841" s="7721">
        <v>126.0</v>
      </c>
      <c r="O841" s="7701"/>
      <c r="P841" s="7704"/>
      <c r="Q841" s="7704"/>
      <c r="R841" s="7704"/>
      <c r="S841" s="7705"/>
    </row>
    <row r="842" ht="18.75" customHeight="1">
      <c r="A842" s="7696"/>
      <c r="B842" s="7712" t="s">
        <v>3526</v>
      </c>
      <c r="C842" s="7713" t="s">
        <v>3527</v>
      </c>
      <c r="D842" s="7714"/>
      <c r="E842" s="7713" t="s">
        <v>2243</v>
      </c>
      <c r="F842" s="7713" t="str">
        <f t="shared" si="58"/>
        <v/>
      </c>
      <c r="G842" s="7713"/>
      <c r="H842" s="7713" t="str">
        <f t="shared" si="59"/>
        <v/>
      </c>
      <c r="I842" s="7713">
        <v>38.0</v>
      </c>
      <c r="J842" s="7713">
        <v>35.0</v>
      </c>
      <c r="K842" s="7713">
        <v>40.0</v>
      </c>
      <c r="L842" s="7713">
        <v>27.0</v>
      </c>
      <c r="M842" s="7713">
        <v>25.0</v>
      </c>
      <c r="N842" s="7715">
        <v>35.0</v>
      </c>
      <c r="O842" s="7701"/>
      <c r="P842" s="7704"/>
      <c r="Q842" s="7704"/>
      <c r="R842" s="7704"/>
      <c r="S842" s="7705"/>
    </row>
    <row r="843" ht="18.75" customHeight="1">
      <c r="A843" s="7696"/>
      <c r="B843" s="7718" t="s">
        <v>3528</v>
      </c>
      <c r="C843" s="7719" t="s">
        <v>3529</v>
      </c>
      <c r="D843" s="7720"/>
      <c r="E843" s="7719" t="s">
        <v>2243</v>
      </c>
      <c r="F843" s="7719" t="str">
        <f t="shared" si="58"/>
        <v/>
      </c>
      <c r="G843" s="7719"/>
      <c r="H843" s="7719" t="str">
        <f t="shared" si="59"/>
        <v/>
      </c>
      <c r="I843" s="7719">
        <v>45.0</v>
      </c>
      <c r="J843" s="7719">
        <v>22.0</v>
      </c>
      <c r="K843" s="7719">
        <v>60.0</v>
      </c>
      <c r="L843" s="7719">
        <v>27.0</v>
      </c>
      <c r="M843" s="7719">
        <v>30.0</v>
      </c>
      <c r="N843" s="7721">
        <v>29.0</v>
      </c>
      <c r="O843" s="7701"/>
      <c r="P843" s="7704"/>
      <c r="Q843" s="7704"/>
      <c r="R843" s="7704"/>
      <c r="S843" s="7705"/>
    </row>
    <row r="844" ht="18.75" customHeight="1">
      <c r="A844" s="7696"/>
      <c r="B844" s="7712" t="s">
        <v>250</v>
      </c>
      <c r="C844" s="7713" t="s">
        <v>3530</v>
      </c>
      <c r="D844" s="7714"/>
      <c r="E844" s="7722" t="s">
        <v>2243</v>
      </c>
      <c r="F844" s="7722" t="str">
        <f t="shared" si="58"/>
        <v/>
      </c>
      <c r="G844" s="7722" t="s">
        <v>2224</v>
      </c>
      <c r="H844" s="7722" t="str">
        <f t="shared" si="59"/>
        <v/>
      </c>
      <c r="I844" s="7713">
        <v>80.0</v>
      </c>
      <c r="J844" s="7713">
        <v>52.0</v>
      </c>
      <c r="K844" s="7713">
        <v>50.0</v>
      </c>
      <c r="L844" s="7713">
        <v>90.0</v>
      </c>
      <c r="M844" s="7713">
        <v>50.0</v>
      </c>
      <c r="N844" s="7715">
        <v>89.0</v>
      </c>
      <c r="O844" s="7701"/>
      <c r="P844" s="7704"/>
      <c r="Q844" s="7704"/>
      <c r="R844" s="7704"/>
      <c r="S844" s="7705"/>
    </row>
    <row r="845" ht="18.75" customHeight="1">
      <c r="A845" s="7696"/>
      <c r="B845" s="7718" t="s">
        <v>965</v>
      </c>
      <c r="C845" s="7719" t="s">
        <v>3531</v>
      </c>
      <c r="D845" s="7720"/>
      <c r="E845" s="7719" t="s">
        <v>2219</v>
      </c>
      <c r="F845" s="7719" t="str">
        <f t="shared" si="58"/>
        <v/>
      </c>
      <c r="G845" s="7719" t="s">
        <v>2262</v>
      </c>
      <c r="H845" s="7719" t="str">
        <f t="shared" si="59"/>
        <v/>
      </c>
      <c r="I845" s="7719">
        <v>62.0</v>
      </c>
      <c r="J845" s="7719">
        <v>50.0</v>
      </c>
      <c r="K845" s="7719">
        <v>58.0</v>
      </c>
      <c r="L845" s="7719">
        <v>73.0</v>
      </c>
      <c r="M845" s="7719">
        <v>54.0</v>
      </c>
      <c r="N845" s="7721">
        <v>72.0</v>
      </c>
      <c r="O845" s="7701"/>
      <c r="P845" s="7704"/>
      <c r="Q845" s="7704"/>
      <c r="R845" s="7704"/>
      <c r="S845" s="7705"/>
    </row>
    <row r="846" ht="18.75" customHeight="1">
      <c r="A846" s="7696"/>
      <c r="B846" s="7712" t="s">
        <v>850</v>
      </c>
      <c r="C846" s="7713" t="s">
        <v>3532</v>
      </c>
      <c r="D846" s="7714"/>
      <c r="E846" s="7713" t="s">
        <v>2219</v>
      </c>
      <c r="F846" s="7713" t="str">
        <f t="shared" si="58"/>
        <v/>
      </c>
      <c r="G846" s="7713" t="s">
        <v>2262</v>
      </c>
      <c r="H846" s="7713" t="str">
        <f t="shared" si="59"/>
        <v/>
      </c>
      <c r="I846" s="7713">
        <v>86.0</v>
      </c>
      <c r="J846" s="7713">
        <v>68.0</v>
      </c>
      <c r="K846" s="7713">
        <v>72.0</v>
      </c>
      <c r="L846" s="7713">
        <v>109.0</v>
      </c>
      <c r="M846" s="7713">
        <v>66.0</v>
      </c>
      <c r="N846" s="7715">
        <v>106.0</v>
      </c>
      <c r="O846" s="7701"/>
      <c r="P846" s="7704"/>
      <c r="Q846" s="7704"/>
      <c r="R846" s="7704"/>
      <c r="S846" s="7705"/>
    </row>
    <row r="847" ht="18.75" customHeight="1">
      <c r="A847" s="7696"/>
      <c r="B847" s="7718" t="s">
        <v>3533</v>
      </c>
      <c r="C847" s="7723" t="s">
        <v>3534</v>
      </c>
      <c r="D847" s="7720"/>
      <c r="E847" s="7719" t="s">
        <v>2219</v>
      </c>
      <c r="F847" s="7719" t="str">
        <f t="shared" si="58"/>
        <v/>
      </c>
      <c r="G847" s="7719" t="s">
        <v>2262</v>
      </c>
      <c r="H847" s="7719" t="str">
        <f t="shared" si="59"/>
        <v/>
      </c>
      <c r="I847" s="7719">
        <v>86.0</v>
      </c>
      <c r="J847" s="7719">
        <v>68.0</v>
      </c>
      <c r="K847" s="7719">
        <v>72.0</v>
      </c>
      <c r="L847" s="7719">
        <v>109.0</v>
      </c>
      <c r="M847" s="7719">
        <v>66.0</v>
      </c>
      <c r="N847" s="7721">
        <v>106.0</v>
      </c>
      <c r="O847" s="7701"/>
      <c r="P847" s="7704"/>
      <c r="Q847" s="7704"/>
      <c r="R847" s="7704"/>
      <c r="S847" s="7705"/>
    </row>
    <row r="848" ht="18.75" customHeight="1">
      <c r="A848" s="7696"/>
      <c r="B848" s="7712" t="s">
        <v>3535</v>
      </c>
      <c r="C848" s="7713" t="s">
        <v>3536</v>
      </c>
      <c r="D848" s="7714"/>
      <c r="E848" s="7713" t="s">
        <v>2292</v>
      </c>
      <c r="F848" s="7713" t="str">
        <f t="shared" si="58"/>
        <v/>
      </c>
      <c r="G848" s="7713"/>
      <c r="H848" s="7713" t="str">
        <f t="shared" si="59"/>
        <v/>
      </c>
      <c r="I848" s="7713">
        <v>44.0</v>
      </c>
      <c r="J848" s="7713">
        <v>38.0</v>
      </c>
      <c r="K848" s="7713">
        <v>39.0</v>
      </c>
      <c r="L848" s="7713">
        <v>61.0</v>
      </c>
      <c r="M848" s="7713">
        <v>79.0</v>
      </c>
      <c r="N848" s="7715">
        <v>42.0</v>
      </c>
      <c r="O848" s="7701"/>
      <c r="P848" s="7704"/>
      <c r="Q848" s="7704"/>
      <c r="R848" s="7704"/>
      <c r="S848" s="7705"/>
    </row>
    <row r="849" ht="18.75" customHeight="1">
      <c r="A849" s="7696"/>
      <c r="B849" s="7718" t="s">
        <v>3537</v>
      </c>
      <c r="C849" s="7719" t="s">
        <v>3538</v>
      </c>
      <c r="D849" s="7720"/>
      <c r="E849" s="7719" t="s">
        <v>2292</v>
      </c>
      <c r="F849" s="7719" t="str">
        <f t="shared" si="58"/>
        <v/>
      </c>
      <c r="G849" s="7719"/>
      <c r="H849" s="7719" t="str">
        <f t="shared" si="59"/>
        <v/>
      </c>
      <c r="I849" s="7719">
        <v>54.0</v>
      </c>
      <c r="J849" s="7719">
        <v>45.0</v>
      </c>
      <c r="K849" s="7719">
        <v>47.0</v>
      </c>
      <c r="L849" s="7719">
        <v>75.0</v>
      </c>
      <c r="M849" s="7719">
        <v>98.0</v>
      </c>
      <c r="N849" s="7721">
        <v>52.0</v>
      </c>
      <c r="O849" s="7701"/>
      <c r="P849" s="7704"/>
      <c r="Q849" s="7704"/>
      <c r="R849" s="7704"/>
      <c r="S849" s="7705"/>
    </row>
    <row r="850" ht="18.75" customHeight="1">
      <c r="A850" s="7696"/>
      <c r="B850" s="7712" t="s">
        <v>3539</v>
      </c>
      <c r="C850" s="7722" t="s">
        <v>3538</v>
      </c>
      <c r="D850" s="7714"/>
      <c r="E850" s="7722" t="s">
        <v>2292</v>
      </c>
      <c r="F850" s="7713" t="str">
        <f t="shared" si="58"/>
        <v/>
      </c>
      <c r="G850" s="7713"/>
      <c r="H850" s="7713"/>
      <c r="I850" s="7722">
        <v>74.0</v>
      </c>
      <c r="J850" s="7722">
        <v>65.0</v>
      </c>
      <c r="K850" s="7722">
        <v>67.0</v>
      </c>
      <c r="L850" s="7722">
        <v>125.0</v>
      </c>
      <c r="M850" s="7722">
        <v>128.0</v>
      </c>
      <c r="N850" s="7724">
        <v>92.0</v>
      </c>
      <c r="O850" s="7701"/>
      <c r="P850" s="7704"/>
      <c r="Q850" s="7704"/>
      <c r="R850" s="7704"/>
      <c r="S850" s="7705"/>
    </row>
    <row r="851" ht="18.75" customHeight="1">
      <c r="A851" s="7696"/>
      <c r="B851" s="7718" t="s">
        <v>1569</v>
      </c>
      <c r="C851" s="7719" t="s">
        <v>3540</v>
      </c>
      <c r="D851" s="7720"/>
      <c r="E851" s="7719" t="s">
        <v>2292</v>
      </c>
      <c r="F851" s="7719" t="str">
        <f t="shared" ref="F851:F899" si="60">IFERROR(VLOOKUP(E851,P$3:Q868,2,False),"")</f>
        <v/>
      </c>
      <c r="G851" s="7719"/>
      <c r="H851" s="7719" t="str">
        <f t="shared" ref="H851:H899" si="61">IFERROR(VLOOKUP(G851,P$3:Q868,2,False),"")</f>
        <v/>
      </c>
      <c r="I851" s="7719">
        <v>78.0</v>
      </c>
      <c r="J851" s="7719">
        <v>65.0</v>
      </c>
      <c r="K851" s="7719">
        <v>68.0</v>
      </c>
      <c r="L851" s="7719">
        <v>112.0</v>
      </c>
      <c r="M851" s="7719">
        <v>154.0</v>
      </c>
      <c r="N851" s="7721">
        <v>75.0</v>
      </c>
      <c r="O851" s="7701"/>
      <c r="P851" s="7704"/>
      <c r="Q851" s="7704"/>
      <c r="R851" s="7704"/>
      <c r="S851" s="7705"/>
    </row>
    <row r="852" ht="18.75" customHeight="1">
      <c r="A852" s="7696"/>
      <c r="B852" s="7712" t="s">
        <v>1389</v>
      </c>
      <c r="C852" s="7713" t="s">
        <v>3541</v>
      </c>
      <c r="D852" s="7714"/>
      <c r="E852" s="7713" t="s">
        <v>2209</v>
      </c>
      <c r="F852" s="7713" t="str">
        <f t="shared" si="60"/>
        <v/>
      </c>
      <c r="G852" s="7713"/>
      <c r="H852" s="7713" t="str">
        <f t="shared" si="61"/>
        <v/>
      </c>
      <c r="I852" s="7713">
        <v>66.0</v>
      </c>
      <c r="J852" s="7713">
        <v>65.0</v>
      </c>
      <c r="K852" s="7713">
        <v>48.0</v>
      </c>
      <c r="L852" s="7713">
        <v>62.0</v>
      </c>
      <c r="M852" s="7713">
        <v>57.0</v>
      </c>
      <c r="N852" s="7715">
        <v>52.0</v>
      </c>
      <c r="O852" s="7701"/>
      <c r="P852" s="7704"/>
      <c r="Q852" s="7704"/>
      <c r="R852" s="7704"/>
      <c r="S852" s="7705"/>
    </row>
    <row r="853" ht="18.75" customHeight="1">
      <c r="A853" s="7696"/>
      <c r="B853" s="7718" t="s">
        <v>3542</v>
      </c>
      <c r="C853" s="7719" t="s">
        <v>3543</v>
      </c>
      <c r="D853" s="7720"/>
      <c r="E853" s="7719" t="s">
        <v>2209</v>
      </c>
      <c r="F853" s="7719" t="str">
        <f t="shared" si="60"/>
        <v/>
      </c>
      <c r="G853" s="7719"/>
      <c r="H853" s="7719" t="str">
        <f t="shared" si="61"/>
        <v/>
      </c>
      <c r="I853" s="7719">
        <v>123.0</v>
      </c>
      <c r="J853" s="7719">
        <v>100.0</v>
      </c>
      <c r="K853" s="7719">
        <v>72.0</v>
      </c>
      <c r="L853" s="7719">
        <v>67.0</v>
      </c>
      <c r="M853" s="7719">
        <v>87.0</v>
      </c>
      <c r="N853" s="7721">
        <v>74.0</v>
      </c>
      <c r="O853" s="7701"/>
      <c r="P853" s="7704"/>
      <c r="Q853" s="7704"/>
      <c r="R853" s="7704"/>
      <c r="S853" s="7705"/>
    </row>
    <row r="854" ht="18.75" customHeight="1">
      <c r="A854" s="7696"/>
      <c r="B854" s="7712" t="s">
        <v>3544</v>
      </c>
      <c r="C854" s="7713" t="s">
        <v>3545</v>
      </c>
      <c r="D854" s="7714"/>
      <c r="E854" s="7713" t="s">
        <v>2296</v>
      </c>
      <c r="F854" s="7713" t="str">
        <f t="shared" si="60"/>
        <v/>
      </c>
      <c r="G854" s="7713"/>
      <c r="H854" s="7713" t="str">
        <f t="shared" si="61"/>
        <v/>
      </c>
      <c r="I854" s="7713">
        <v>67.0</v>
      </c>
      <c r="J854" s="7713">
        <v>82.0</v>
      </c>
      <c r="K854" s="7713">
        <v>62.0</v>
      </c>
      <c r="L854" s="7713">
        <v>46.0</v>
      </c>
      <c r="M854" s="7713">
        <v>48.0</v>
      </c>
      <c r="N854" s="7715">
        <v>43.0</v>
      </c>
      <c r="O854" s="7701"/>
      <c r="P854" s="7704"/>
      <c r="Q854" s="7704"/>
      <c r="R854" s="7704"/>
      <c r="S854" s="7705"/>
    </row>
    <row r="855" ht="18.75" customHeight="1">
      <c r="A855" s="7696"/>
      <c r="B855" s="7718" t="s">
        <v>1746</v>
      </c>
      <c r="C855" s="7719" t="s">
        <v>3546</v>
      </c>
      <c r="D855" s="7720"/>
      <c r="E855" s="7719" t="s">
        <v>2296</v>
      </c>
      <c r="F855" s="7719" t="str">
        <f t="shared" si="60"/>
        <v/>
      </c>
      <c r="G855" s="7719" t="s">
        <v>2272</v>
      </c>
      <c r="H855" s="7719" t="str">
        <f t="shared" si="61"/>
        <v/>
      </c>
      <c r="I855" s="7719">
        <v>95.0</v>
      </c>
      <c r="J855" s="7719">
        <v>124.0</v>
      </c>
      <c r="K855" s="7719">
        <v>78.0</v>
      </c>
      <c r="L855" s="7719">
        <v>69.0</v>
      </c>
      <c r="M855" s="7719">
        <v>71.0</v>
      </c>
      <c r="N855" s="7721">
        <v>58.0</v>
      </c>
      <c r="O855" s="7701"/>
      <c r="P855" s="7704"/>
      <c r="Q855" s="7704"/>
      <c r="R855" s="7704"/>
      <c r="S855" s="7705"/>
    </row>
    <row r="856" ht="18.75" customHeight="1">
      <c r="A856" s="7696"/>
      <c r="B856" s="7712" t="s">
        <v>257</v>
      </c>
      <c r="C856" s="7713" t="s">
        <v>3547</v>
      </c>
      <c r="D856" s="7714"/>
      <c r="E856" s="7713" t="s">
        <v>2262</v>
      </c>
      <c r="F856" s="7713" t="str">
        <f t="shared" si="60"/>
        <v/>
      </c>
      <c r="G856" s="7713"/>
      <c r="H856" s="7713" t="str">
        <f t="shared" si="61"/>
        <v/>
      </c>
      <c r="I856" s="7713">
        <v>75.0</v>
      </c>
      <c r="J856" s="7713">
        <v>90.0</v>
      </c>
      <c r="K856" s="7713">
        <v>60.0</v>
      </c>
      <c r="L856" s="7713">
        <v>65.0</v>
      </c>
      <c r="M856" s="7713">
        <v>90.0</v>
      </c>
      <c r="N856" s="7715">
        <v>102.0</v>
      </c>
      <c r="O856" s="7701"/>
      <c r="P856" s="7704"/>
      <c r="Q856" s="7704"/>
      <c r="R856" s="7704"/>
      <c r="S856" s="7705"/>
    </row>
    <row r="857" ht="18.75" customHeight="1">
      <c r="A857" s="7696"/>
      <c r="B857" s="7718" t="s">
        <v>3548</v>
      </c>
      <c r="C857" s="7719" t="s">
        <v>3549</v>
      </c>
      <c r="D857" s="7720"/>
      <c r="E857" s="7719" t="s">
        <v>669</v>
      </c>
      <c r="F857" s="7719" t="str">
        <f t="shared" si="60"/>
        <v/>
      </c>
      <c r="G857" s="7719"/>
      <c r="H857" s="7719" t="str">
        <f t="shared" si="61"/>
        <v/>
      </c>
      <c r="I857" s="7719">
        <v>62.0</v>
      </c>
      <c r="J857" s="7719">
        <v>48.0</v>
      </c>
      <c r="K857" s="7719">
        <v>54.0</v>
      </c>
      <c r="L857" s="7719">
        <v>63.0</v>
      </c>
      <c r="M857" s="7719">
        <v>60.0</v>
      </c>
      <c r="N857" s="7721">
        <v>68.0</v>
      </c>
      <c r="O857" s="7701"/>
      <c r="P857" s="7704"/>
      <c r="Q857" s="7704"/>
      <c r="R857" s="7704"/>
      <c r="S857" s="7705"/>
    </row>
    <row r="858" ht="18.75" customHeight="1">
      <c r="A858" s="7696"/>
      <c r="B858" s="7712" t="s">
        <v>3550</v>
      </c>
      <c r="C858" s="7713" t="s">
        <v>3551</v>
      </c>
      <c r="D858" s="7714"/>
      <c r="E858" s="7713" t="s">
        <v>669</v>
      </c>
      <c r="F858" s="7713" t="str">
        <f t="shared" si="60"/>
        <v/>
      </c>
      <c r="G858" s="7713"/>
      <c r="H858" s="7713" t="str">
        <f t="shared" si="61"/>
        <v/>
      </c>
      <c r="I858" s="7713">
        <v>74.0</v>
      </c>
      <c r="J858" s="7713">
        <v>48.0</v>
      </c>
      <c r="K858" s="7713">
        <v>76.0</v>
      </c>
      <c r="L858" s="7713">
        <v>63.0</v>
      </c>
      <c r="M858" s="7713">
        <v>81.0</v>
      </c>
      <c r="N858" s="7715">
        <v>104.0</v>
      </c>
      <c r="O858" s="7701"/>
      <c r="P858" s="7704"/>
      <c r="Q858" s="7704"/>
      <c r="R858" s="7704"/>
      <c r="S858" s="7705"/>
    </row>
    <row r="859" ht="18.75" customHeight="1">
      <c r="A859" s="7696"/>
      <c r="B859" s="7718" t="s">
        <v>3552</v>
      </c>
      <c r="C859" s="7723" t="s">
        <v>3553</v>
      </c>
      <c r="D859" s="7720"/>
      <c r="E859" s="7719" t="s">
        <v>669</v>
      </c>
      <c r="F859" s="7719" t="str">
        <f t="shared" si="60"/>
        <v/>
      </c>
      <c r="G859" s="7719"/>
      <c r="H859" s="7719" t="str">
        <f t="shared" si="61"/>
        <v/>
      </c>
      <c r="I859" s="7719">
        <v>74.0</v>
      </c>
      <c r="J859" s="7719">
        <v>48.0</v>
      </c>
      <c r="K859" s="7719">
        <v>76.0</v>
      </c>
      <c r="L859" s="7719">
        <v>63.0</v>
      </c>
      <c r="M859" s="7719">
        <v>81.0</v>
      </c>
      <c r="N859" s="7721">
        <v>104.0</v>
      </c>
      <c r="O859" s="7701"/>
      <c r="P859" s="7704"/>
      <c r="Q859" s="7704"/>
      <c r="R859" s="7704"/>
      <c r="S859" s="7705"/>
    </row>
    <row r="860" ht="18.75" customHeight="1">
      <c r="A860" s="7696"/>
      <c r="B860" s="7712" t="s">
        <v>3554</v>
      </c>
      <c r="C860" s="7713" t="s">
        <v>3555</v>
      </c>
      <c r="D860" s="7714"/>
      <c r="E860" s="7713" t="s">
        <v>2286</v>
      </c>
      <c r="F860" s="7713" t="str">
        <f t="shared" si="60"/>
        <v/>
      </c>
      <c r="G860" s="7713" t="s">
        <v>2447</v>
      </c>
      <c r="H860" s="7713" t="str">
        <f t="shared" si="61"/>
        <v/>
      </c>
      <c r="I860" s="7713">
        <v>45.0</v>
      </c>
      <c r="J860" s="7713">
        <v>80.0</v>
      </c>
      <c r="K860" s="7713">
        <v>100.0</v>
      </c>
      <c r="L860" s="7713">
        <v>35.0</v>
      </c>
      <c r="M860" s="7713">
        <v>37.0</v>
      </c>
      <c r="N860" s="7715">
        <v>28.0</v>
      </c>
      <c r="O860" s="7701"/>
      <c r="P860" s="7704"/>
      <c r="Q860" s="7704"/>
      <c r="R860" s="7704"/>
      <c r="S860" s="7705"/>
    </row>
    <row r="861" ht="18.75" customHeight="1">
      <c r="A861" s="7696"/>
      <c r="B861" s="7718" t="s">
        <v>3556</v>
      </c>
      <c r="C861" s="7719" t="s">
        <v>3557</v>
      </c>
      <c r="D861" s="7720"/>
      <c r="E861" s="7719" t="s">
        <v>2286</v>
      </c>
      <c r="F861" s="7719" t="str">
        <f t="shared" si="60"/>
        <v/>
      </c>
      <c r="G861" s="7719" t="s">
        <v>2447</v>
      </c>
      <c r="H861" s="7719" t="str">
        <f t="shared" si="61"/>
        <v/>
      </c>
      <c r="I861" s="7719">
        <v>59.0</v>
      </c>
      <c r="J861" s="7719">
        <v>110.0</v>
      </c>
      <c r="K861" s="7719">
        <v>150.0</v>
      </c>
      <c r="L861" s="7719">
        <v>45.0</v>
      </c>
      <c r="M861" s="7719">
        <v>49.0</v>
      </c>
      <c r="N861" s="7721">
        <v>35.0</v>
      </c>
      <c r="O861" s="7701"/>
      <c r="P861" s="7704"/>
      <c r="Q861" s="7704"/>
      <c r="R861" s="7704"/>
      <c r="S861" s="7705"/>
    </row>
    <row r="862" ht="18.75" customHeight="1">
      <c r="A862" s="7696"/>
      <c r="B862" s="7712" t="s">
        <v>3558</v>
      </c>
      <c r="C862" s="7713" t="s">
        <v>3559</v>
      </c>
      <c r="D862" s="7714"/>
      <c r="E862" s="7722" t="s">
        <v>2286</v>
      </c>
      <c r="F862" s="7722" t="str">
        <f t="shared" si="60"/>
        <v/>
      </c>
      <c r="G862" s="7722" t="s">
        <v>2447</v>
      </c>
      <c r="H862" s="7722" t="str">
        <f t="shared" si="61"/>
        <v/>
      </c>
      <c r="I862" s="7713">
        <v>60.0</v>
      </c>
      <c r="J862" s="7713">
        <v>50.0</v>
      </c>
      <c r="K862" s="7713">
        <v>140.0</v>
      </c>
      <c r="L862" s="7713">
        <v>50.0</v>
      </c>
      <c r="M862" s="7713">
        <v>140.0</v>
      </c>
      <c r="N862" s="7715">
        <v>60.0</v>
      </c>
      <c r="O862" s="7701"/>
      <c r="P862" s="7704"/>
      <c r="Q862" s="7704"/>
      <c r="R862" s="7704"/>
      <c r="S862" s="7705"/>
    </row>
    <row r="863" ht="18.75" customHeight="1">
      <c r="A863" s="7696"/>
      <c r="B863" s="7718" t="s">
        <v>1814</v>
      </c>
      <c r="C863" s="7723" t="s">
        <v>3560</v>
      </c>
      <c r="D863" s="7720"/>
      <c r="E863" s="7719" t="s">
        <v>2286</v>
      </c>
      <c r="F863" s="7719" t="str">
        <f t="shared" si="60"/>
        <v/>
      </c>
      <c r="G863" s="7719" t="s">
        <v>2447</v>
      </c>
      <c r="H863" s="7719" t="str">
        <f t="shared" si="61"/>
        <v/>
      </c>
      <c r="I863" s="7723">
        <v>60.0</v>
      </c>
      <c r="J863" s="7723">
        <v>140.0</v>
      </c>
      <c r="K863" s="7723">
        <v>50.0</v>
      </c>
      <c r="L863" s="7723">
        <v>140.0</v>
      </c>
      <c r="M863" s="7723">
        <v>50.0</v>
      </c>
      <c r="N863" s="7726">
        <v>60.0</v>
      </c>
      <c r="O863" s="7701"/>
      <c r="P863" s="7704"/>
      <c r="Q863" s="7704"/>
      <c r="R863" s="7704"/>
      <c r="S863" s="7705"/>
    </row>
    <row r="864" ht="18.75" customHeight="1">
      <c r="A864" s="7696"/>
      <c r="B864" s="7712" t="s">
        <v>3561</v>
      </c>
      <c r="C864" s="7713" t="s">
        <v>3562</v>
      </c>
      <c r="D864" s="7714"/>
      <c r="E864" s="7713" t="s">
        <v>2292</v>
      </c>
      <c r="F864" s="7713" t="str">
        <f t="shared" si="60"/>
        <v/>
      </c>
      <c r="G864" s="7713"/>
      <c r="H864" s="7713" t="str">
        <f t="shared" si="61"/>
        <v/>
      </c>
      <c r="I864" s="7713">
        <v>78.0</v>
      </c>
      <c r="J864" s="7713">
        <v>52.0</v>
      </c>
      <c r="K864" s="7713">
        <v>60.0</v>
      </c>
      <c r="L864" s="7713">
        <v>63.0</v>
      </c>
      <c r="M864" s="7713">
        <v>65.0</v>
      </c>
      <c r="N864" s="7715">
        <v>23.0</v>
      </c>
      <c r="O864" s="7701"/>
      <c r="P864" s="7704"/>
      <c r="Q864" s="7704"/>
      <c r="R864" s="7704"/>
      <c r="S864" s="7705"/>
    </row>
    <row r="865" ht="18.75" customHeight="1">
      <c r="A865" s="7696"/>
      <c r="B865" s="7718" t="s">
        <v>3563</v>
      </c>
      <c r="C865" s="7719" t="s">
        <v>3564</v>
      </c>
      <c r="D865" s="7720"/>
      <c r="E865" s="7719" t="s">
        <v>2292</v>
      </c>
      <c r="F865" s="7719" t="str">
        <f t="shared" si="60"/>
        <v/>
      </c>
      <c r="G865" s="7719"/>
      <c r="H865" s="7719" t="str">
        <f t="shared" si="61"/>
        <v/>
      </c>
      <c r="I865" s="7719">
        <v>101.0</v>
      </c>
      <c r="J865" s="7719">
        <v>62.0</v>
      </c>
      <c r="K865" s="7719">
        <v>82.0</v>
      </c>
      <c r="L865" s="7719">
        <v>99.0</v>
      </c>
      <c r="M865" s="7719">
        <v>89.0</v>
      </c>
      <c r="N865" s="7721">
        <v>29.0</v>
      </c>
      <c r="O865" s="7701"/>
      <c r="P865" s="7704"/>
      <c r="Q865" s="7704"/>
      <c r="R865" s="7704"/>
      <c r="S865" s="7705"/>
    </row>
    <row r="866" ht="18.75" customHeight="1">
      <c r="A866" s="7696"/>
      <c r="B866" s="7712" t="s">
        <v>3565</v>
      </c>
      <c r="C866" s="7713" t="s">
        <v>3566</v>
      </c>
      <c r="D866" s="7714"/>
      <c r="E866" s="7713" t="s">
        <v>2292</v>
      </c>
      <c r="F866" s="7713" t="str">
        <f t="shared" si="60"/>
        <v/>
      </c>
      <c r="G866" s="7713"/>
      <c r="H866" s="7713" t="str">
        <f t="shared" si="61"/>
        <v/>
      </c>
      <c r="I866" s="7713">
        <v>62.0</v>
      </c>
      <c r="J866" s="7713">
        <v>48.0</v>
      </c>
      <c r="K866" s="7713">
        <v>66.0</v>
      </c>
      <c r="L866" s="7713">
        <v>59.0</v>
      </c>
      <c r="M866" s="7713">
        <v>57.0</v>
      </c>
      <c r="N866" s="7715">
        <v>49.0</v>
      </c>
      <c r="O866" s="7701"/>
      <c r="P866" s="7704"/>
      <c r="Q866" s="7704"/>
      <c r="R866" s="7704"/>
      <c r="S866" s="7705"/>
    </row>
    <row r="867" ht="18.75" customHeight="1">
      <c r="A867" s="7696"/>
      <c r="B867" s="7718" t="s">
        <v>264</v>
      </c>
      <c r="C867" s="7719" t="s">
        <v>3567</v>
      </c>
      <c r="D867" s="7720"/>
      <c r="E867" s="7719" t="s">
        <v>2292</v>
      </c>
      <c r="F867" s="7719" t="str">
        <f t="shared" si="60"/>
        <v/>
      </c>
      <c r="G867" s="7719"/>
      <c r="H867" s="7719" t="str">
        <f t="shared" si="61"/>
        <v/>
      </c>
      <c r="I867" s="7719">
        <v>82.0</v>
      </c>
      <c r="J867" s="7719">
        <v>90.0</v>
      </c>
      <c r="K867" s="7719">
        <v>86.0</v>
      </c>
      <c r="L867" s="7719">
        <v>75.0</v>
      </c>
      <c r="M867" s="7719">
        <v>75.0</v>
      </c>
      <c r="N867" s="7721">
        <v>72.0</v>
      </c>
      <c r="O867" s="7701"/>
      <c r="P867" s="7704"/>
      <c r="Q867" s="7704"/>
      <c r="R867" s="7704"/>
      <c r="S867" s="7705"/>
    </row>
    <row r="868" ht="18.75" customHeight="1">
      <c r="A868" s="7696"/>
      <c r="B868" s="7712" t="s">
        <v>3568</v>
      </c>
      <c r="C868" s="7713" t="s">
        <v>3569</v>
      </c>
      <c r="D868" s="7714"/>
      <c r="E868" s="7713" t="s">
        <v>2272</v>
      </c>
      <c r="F868" s="7713" t="str">
        <f t="shared" si="60"/>
        <v/>
      </c>
      <c r="G868" s="7713" t="s">
        <v>669</v>
      </c>
      <c r="H868" s="7713" t="str">
        <f t="shared" si="61"/>
        <v/>
      </c>
      <c r="I868" s="7713">
        <v>53.0</v>
      </c>
      <c r="J868" s="7713">
        <v>54.0</v>
      </c>
      <c r="K868" s="7713">
        <v>53.0</v>
      </c>
      <c r="L868" s="7713">
        <v>37.0</v>
      </c>
      <c r="M868" s="7713">
        <v>46.0</v>
      </c>
      <c r="N868" s="7715">
        <v>45.0</v>
      </c>
      <c r="O868" s="7701"/>
      <c r="P868" s="7704"/>
      <c r="Q868" s="7704"/>
      <c r="R868" s="7704"/>
      <c r="S868" s="7705"/>
    </row>
    <row r="869" ht="18.75" customHeight="1">
      <c r="A869" s="7696"/>
      <c r="B869" s="7718" t="s">
        <v>271</v>
      </c>
      <c r="C869" s="7719" t="s">
        <v>3570</v>
      </c>
      <c r="D869" s="7720"/>
      <c r="E869" s="7719" t="s">
        <v>2272</v>
      </c>
      <c r="F869" s="7719" t="str">
        <f t="shared" si="60"/>
        <v/>
      </c>
      <c r="G869" s="7719" t="s">
        <v>669</v>
      </c>
      <c r="H869" s="7719" t="str">
        <f t="shared" si="61"/>
        <v/>
      </c>
      <c r="I869" s="7719">
        <v>86.0</v>
      </c>
      <c r="J869" s="7719">
        <v>92.0</v>
      </c>
      <c r="K869" s="7719">
        <v>88.0</v>
      </c>
      <c r="L869" s="7719">
        <v>68.0</v>
      </c>
      <c r="M869" s="7719">
        <v>75.0</v>
      </c>
      <c r="N869" s="7721">
        <v>73.0</v>
      </c>
      <c r="O869" s="7701"/>
      <c r="P869" s="7704"/>
      <c r="Q869" s="7704"/>
      <c r="R869" s="7704"/>
      <c r="S869" s="7705"/>
    </row>
    <row r="870" ht="18.75" customHeight="1">
      <c r="A870" s="7696"/>
      <c r="B870" s="7712" t="s">
        <v>3571</v>
      </c>
      <c r="C870" s="7713" t="s">
        <v>3572</v>
      </c>
      <c r="D870" s="7714"/>
      <c r="E870" s="7713" t="s">
        <v>2370</v>
      </c>
      <c r="F870" s="7713" t="str">
        <f t="shared" si="60"/>
        <v/>
      </c>
      <c r="G870" s="7713" t="s">
        <v>2232</v>
      </c>
      <c r="H870" s="7713" t="str">
        <f t="shared" si="61"/>
        <v/>
      </c>
      <c r="I870" s="7713">
        <v>42.0</v>
      </c>
      <c r="J870" s="7713">
        <v>52.0</v>
      </c>
      <c r="K870" s="7713">
        <v>67.0</v>
      </c>
      <c r="L870" s="7713">
        <v>39.0</v>
      </c>
      <c r="M870" s="7713">
        <v>56.0</v>
      </c>
      <c r="N870" s="7715">
        <v>50.0</v>
      </c>
      <c r="O870" s="7701"/>
      <c r="P870" s="7704"/>
      <c r="Q870" s="7704"/>
      <c r="R870" s="7704"/>
      <c r="S870" s="7705"/>
    </row>
    <row r="871" ht="18.75" customHeight="1">
      <c r="A871" s="7696"/>
      <c r="B871" s="7718" t="s">
        <v>1542</v>
      </c>
      <c r="C871" s="7719" t="s">
        <v>3573</v>
      </c>
      <c r="D871" s="7720"/>
      <c r="E871" s="7719" t="s">
        <v>2370</v>
      </c>
      <c r="F871" s="7719" t="str">
        <f t="shared" si="60"/>
        <v/>
      </c>
      <c r="G871" s="7719" t="s">
        <v>2232</v>
      </c>
      <c r="H871" s="7719" t="str">
        <f t="shared" si="61"/>
        <v/>
      </c>
      <c r="I871" s="7719">
        <v>72.0</v>
      </c>
      <c r="J871" s="7719">
        <v>105.0</v>
      </c>
      <c r="K871" s="7719">
        <v>115.0</v>
      </c>
      <c r="L871" s="7719">
        <v>54.0</v>
      </c>
      <c r="M871" s="7719">
        <v>86.0</v>
      </c>
      <c r="N871" s="7721">
        <v>68.0</v>
      </c>
      <c r="O871" s="7701"/>
      <c r="P871" s="7704"/>
      <c r="Q871" s="7704"/>
      <c r="R871" s="7704"/>
      <c r="S871" s="7705"/>
    </row>
    <row r="872" ht="18.75" customHeight="1">
      <c r="A872" s="7696"/>
      <c r="B872" s="7712" t="s">
        <v>3574</v>
      </c>
      <c r="C872" s="7713" t="s">
        <v>3575</v>
      </c>
      <c r="D872" s="7714"/>
      <c r="E872" s="7713" t="s">
        <v>2210</v>
      </c>
      <c r="F872" s="7713" t="str">
        <f t="shared" si="60"/>
        <v/>
      </c>
      <c r="G872" s="7713" t="s">
        <v>2232</v>
      </c>
      <c r="H872" s="7713" t="str">
        <f t="shared" si="61"/>
        <v/>
      </c>
      <c r="I872" s="7713">
        <v>50.0</v>
      </c>
      <c r="J872" s="7713">
        <v>60.0</v>
      </c>
      <c r="K872" s="7713">
        <v>60.0</v>
      </c>
      <c r="L872" s="7713">
        <v>60.0</v>
      </c>
      <c r="M872" s="7713">
        <v>60.0</v>
      </c>
      <c r="N872" s="7715">
        <v>30.0</v>
      </c>
      <c r="O872" s="7701"/>
      <c r="P872" s="7704"/>
      <c r="Q872" s="7704"/>
      <c r="R872" s="7704"/>
      <c r="S872" s="7705"/>
    </row>
    <row r="873" ht="18.75" customHeight="1">
      <c r="A873" s="7696"/>
      <c r="B873" s="7718" t="s">
        <v>1237</v>
      </c>
      <c r="C873" s="7719" t="s">
        <v>3576</v>
      </c>
      <c r="D873" s="7720"/>
      <c r="E873" s="7719" t="s">
        <v>2210</v>
      </c>
      <c r="F873" s="7719" t="str">
        <f t="shared" si="60"/>
        <v/>
      </c>
      <c r="G873" s="7719" t="s">
        <v>2227</v>
      </c>
      <c r="H873" s="7719" t="str">
        <f t="shared" si="61"/>
        <v/>
      </c>
      <c r="I873" s="7719">
        <v>65.0</v>
      </c>
      <c r="J873" s="7719">
        <v>75.0</v>
      </c>
      <c r="K873" s="7719">
        <v>90.0</v>
      </c>
      <c r="L873" s="7719">
        <v>97.0</v>
      </c>
      <c r="M873" s="7719">
        <v>123.0</v>
      </c>
      <c r="N873" s="7721">
        <v>44.0</v>
      </c>
      <c r="O873" s="7701"/>
      <c r="P873" s="7704"/>
      <c r="Q873" s="7704"/>
      <c r="R873" s="7704"/>
      <c r="S873" s="7705"/>
    </row>
    <row r="874" ht="18.75" customHeight="1">
      <c r="A874" s="7696"/>
      <c r="B874" s="7712" t="s">
        <v>3577</v>
      </c>
      <c r="C874" s="7713" t="s">
        <v>3578</v>
      </c>
      <c r="D874" s="7714"/>
      <c r="E874" s="7713" t="s">
        <v>2232</v>
      </c>
      <c r="F874" s="7713" t="str">
        <f t="shared" si="60"/>
        <v/>
      </c>
      <c r="G874" s="7713"/>
      <c r="H874" s="7713" t="str">
        <f t="shared" si="61"/>
        <v/>
      </c>
      <c r="I874" s="7713">
        <v>50.0</v>
      </c>
      <c r="J874" s="7713">
        <v>53.0</v>
      </c>
      <c r="K874" s="7713">
        <v>62.0</v>
      </c>
      <c r="L874" s="7713">
        <v>58.0</v>
      </c>
      <c r="M874" s="7713">
        <v>63.0</v>
      </c>
      <c r="N874" s="7715">
        <v>44.0</v>
      </c>
      <c r="O874" s="7701"/>
      <c r="P874" s="7704"/>
      <c r="Q874" s="7704"/>
      <c r="R874" s="7704"/>
      <c r="S874" s="7705"/>
    </row>
    <row r="875" ht="18.75" customHeight="1">
      <c r="A875" s="7696"/>
      <c r="B875" s="7718" t="s">
        <v>1480</v>
      </c>
      <c r="C875" s="7719" t="s">
        <v>3579</v>
      </c>
      <c r="D875" s="7720"/>
      <c r="E875" s="7719" t="s">
        <v>2232</v>
      </c>
      <c r="F875" s="7719" t="str">
        <f t="shared" si="60"/>
        <v/>
      </c>
      <c r="G875" s="7719"/>
      <c r="H875" s="7719" t="str">
        <f t="shared" si="61"/>
        <v/>
      </c>
      <c r="I875" s="7719">
        <v>71.0</v>
      </c>
      <c r="J875" s="7719">
        <v>73.0</v>
      </c>
      <c r="K875" s="7719">
        <v>88.0</v>
      </c>
      <c r="L875" s="7719">
        <v>120.0</v>
      </c>
      <c r="M875" s="7719">
        <v>89.0</v>
      </c>
      <c r="N875" s="7721">
        <v>72.0</v>
      </c>
      <c r="O875" s="7701"/>
      <c r="P875" s="7704"/>
      <c r="Q875" s="7704"/>
      <c r="R875" s="7704"/>
      <c r="S875" s="7705"/>
    </row>
    <row r="876" ht="18.75" customHeight="1">
      <c r="A876" s="7696"/>
      <c r="B876" s="7712" t="s">
        <v>3580</v>
      </c>
      <c r="C876" s="7713" t="s">
        <v>3581</v>
      </c>
      <c r="D876" s="7714"/>
      <c r="E876" s="7713" t="s">
        <v>2283</v>
      </c>
      <c r="F876" s="7713" t="str">
        <f t="shared" si="60"/>
        <v/>
      </c>
      <c r="G876" s="7713" t="s">
        <v>2262</v>
      </c>
      <c r="H876" s="7713" t="str">
        <f t="shared" si="61"/>
        <v/>
      </c>
      <c r="I876" s="7713">
        <v>44.0</v>
      </c>
      <c r="J876" s="7713">
        <v>38.0</v>
      </c>
      <c r="K876" s="7713">
        <v>33.0</v>
      </c>
      <c r="L876" s="7713">
        <v>61.0</v>
      </c>
      <c r="M876" s="7713">
        <v>43.0</v>
      </c>
      <c r="N876" s="7715">
        <v>70.0</v>
      </c>
      <c r="O876" s="7701"/>
      <c r="P876" s="7704"/>
      <c r="Q876" s="7704"/>
      <c r="R876" s="7704"/>
      <c r="S876" s="7705"/>
    </row>
    <row r="877" ht="18.75" customHeight="1">
      <c r="A877" s="7696"/>
      <c r="B877" s="7718" t="s">
        <v>1600</v>
      </c>
      <c r="C877" s="7719" t="s">
        <v>3582</v>
      </c>
      <c r="D877" s="7720"/>
      <c r="E877" s="7719" t="s">
        <v>2283</v>
      </c>
      <c r="F877" s="7719" t="str">
        <f t="shared" si="60"/>
        <v/>
      </c>
      <c r="G877" s="7719" t="s">
        <v>2262</v>
      </c>
      <c r="H877" s="7719" t="str">
        <f t="shared" si="61"/>
        <v/>
      </c>
      <c r="I877" s="7719">
        <v>62.0</v>
      </c>
      <c r="J877" s="7719">
        <v>55.0</v>
      </c>
      <c r="K877" s="7719">
        <v>52.0</v>
      </c>
      <c r="L877" s="7719">
        <v>109.0</v>
      </c>
      <c r="M877" s="7719">
        <v>94.0</v>
      </c>
      <c r="N877" s="7721">
        <v>109.0</v>
      </c>
      <c r="O877" s="7701"/>
      <c r="P877" s="7704"/>
      <c r="Q877" s="7704"/>
      <c r="R877" s="7704"/>
      <c r="S877" s="7705"/>
    </row>
    <row r="878" ht="18.75" customHeight="1">
      <c r="A878" s="7696"/>
      <c r="B878" s="7712" t="s">
        <v>3583</v>
      </c>
      <c r="C878" s="7713" t="s">
        <v>3584</v>
      </c>
      <c r="D878" s="7714"/>
      <c r="E878" s="7713" t="s">
        <v>2370</v>
      </c>
      <c r="F878" s="7713" t="str">
        <f t="shared" si="60"/>
        <v/>
      </c>
      <c r="G878" s="7713" t="s">
        <v>2227</v>
      </c>
      <c r="H878" s="7713" t="str">
        <f t="shared" si="61"/>
        <v/>
      </c>
      <c r="I878" s="7713">
        <v>58.0</v>
      </c>
      <c r="J878" s="7713">
        <v>89.0</v>
      </c>
      <c r="K878" s="7713">
        <v>77.0</v>
      </c>
      <c r="L878" s="7713">
        <v>45.0</v>
      </c>
      <c r="M878" s="7713">
        <v>45.0</v>
      </c>
      <c r="N878" s="7715">
        <v>48.0</v>
      </c>
      <c r="O878" s="7701"/>
      <c r="P878" s="7704"/>
      <c r="Q878" s="7704"/>
      <c r="R878" s="7704"/>
      <c r="S878" s="7705"/>
    </row>
    <row r="879" ht="18.75" customHeight="1">
      <c r="A879" s="7696"/>
      <c r="B879" s="7718" t="s">
        <v>1129</v>
      </c>
      <c r="C879" s="7719" t="s">
        <v>3585</v>
      </c>
      <c r="D879" s="7720"/>
      <c r="E879" s="7723" t="s">
        <v>2370</v>
      </c>
      <c r="F879" s="7723" t="str">
        <f t="shared" si="60"/>
        <v/>
      </c>
      <c r="G879" s="7723" t="s">
        <v>2227</v>
      </c>
      <c r="H879" s="7723" t="str">
        <f t="shared" si="61"/>
        <v/>
      </c>
      <c r="I879" s="7719">
        <v>82.0</v>
      </c>
      <c r="J879" s="7719">
        <v>121.0</v>
      </c>
      <c r="K879" s="7719">
        <v>119.0</v>
      </c>
      <c r="L879" s="7719">
        <v>69.0</v>
      </c>
      <c r="M879" s="7719">
        <v>59.0</v>
      </c>
      <c r="N879" s="7721">
        <v>71.0</v>
      </c>
      <c r="O879" s="7701"/>
      <c r="P879" s="7704"/>
      <c r="Q879" s="7704"/>
      <c r="R879" s="7704"/>
      <c r="S879" s="7705"/>
    </row>
    <row r="880" ht="18.75" customHeight="1">
      <c r="A880" s="7696"/>
      <c r="B880" s="7712" t="s">
        <v>1405</v>
      </c>
      <c r="C880" s="7713" t="s">
        <v>3586</v>
      </c>
      <c r="D880" s="7714"/>
      <c r="E880" s="7713" t="s">
        <v>2370</v>
      </c>
      <c r="F880" s="7713" t="str">
        <f t="shared" si="60"/>
        <v/>
      </c>
      <c r="G880" s="7713" t="s">
        <v>2289</v>
      </c>
      <c r="H880" s="7713" t="str">
        <f t="shared" si="61"/>
        <v/>
      </c>
      <c r="I880" s="7713">
        <v>77.0</v>
      </c>
      <c r="J880" s="7713">
        <v>59.0</v>
      </c>
      <c r="K880" s="7713">
        <v>50.0</v>
      </c>
      <c r="L880" s="7713">
        <v>67.0</v>
      </c>
      <c r="M880" s="7713">
        <v>63.0</v>
      </c>
      <c r="N880" s="7715">
        <v>46.0</v>
      </c>
      <c r="O880" s="7701"/>
      <c r="P880" s="7704"/>
      <c r="Q880" s="7704"/>
      <c r="R880" s="7704"/>
      <c r="S880" s="7705"/>
    </row>
    <row r="881" ht="18.75" customHeight="1">
      <c r="A881" s="7696"/>
      <c r="B881" s="7718" t="s">
        <v>3587</v>
      </c>
      <c r="C881" s="7719" t="s">
        <v>3588</v>
      </c>
      <c r="D881" s="7720"/>
      <c r="E881" s="7719" t="s">
        <v>2370</v>
      </c>
      <c r="F881" s="7719" t="str">
        <f t="shared" si="60"/>
        <v/>
      </c>
      <c r="G881" s="7719" t="s">
        <v>2289</v>
      </c>
      <c r="H881" s="7719" t="str">
        <f t="shared" si="61"/>
        <v/>
      </c>
      <c r="I881" s="7719">
        <v>123.0</v>
      </c>
      <c r="J881" s="7719">
        <v>77.0</v>
      </c>
      <c r="K881" s="7719">
        <v>72.0</v>
      </c>
      <c r="L881" s="7719">
        <v>99.0</v>
      </c>
      <c r="M881" s="7719">
        <v>92.0</v>
      </c>
      <c r="N881" s="7721">
        <v>58.0</v>
      </c>
      <c r="O881" s="7701"/>
      <c r="P881" s="7704"/>
      <c r="Q881" s="7704"/>
      <c r="R881" s="7704"/>
      <c r="S881" s="7705"/>
    </row>
    <row r="882" ht="18.75" customHeight="1">
      <c r="A882" s="7696"/>
      <c r="B882" s="7712" t="s">
        <v>1492</v>
      </c>
      <c r="C882" s="7713" t="s">
        <v>3589</v>
      </c>
      <c r="D882" s="7714"/>
      <c r="E882" s="7713" t="s">
        <v>2292</v>
      </c>
      <c r="F882" s="7713" t="str">
        <f t="shared" si="60"/>
        <v/>
      </c>
      <c r="G882" s="7713"/>
      <c r="H882" s="7713" t="str">
        <f t="shared" si="61"/>
        <v/>
      </c>
      <c r="I882" s="7713">
        <v>95.0</v>
      </c>
      <c r="J882" s="7713">
        <v>65.0</v>
      </c>
      <c r="K882" s="7713">
        <v>65.0</v>
      </c>
      <c r="L882" s="7713">
        <v>110.0</v>
      </c>
      <c r="M882" s="7713">
        <v>130.0</v>
      </c>
      <c r="N882" s="7715">
        <v>60.0</v>
      </c>
      <c r="O882" s="7701"/>
      <c r="P882" s="7704"/>
      <c r="Q882" s="7704"/>
      <c r="R882" s="7704"/>
      <c r="S882" s="7705"/>
    </row>
    <row r="883" ht="18.75" customHeight="1">
      <c r="A883" s="7696"/>
      <c r="B883" s="7718" t="s">
        <v>598</v>
      </c>
      <c r="C883" s="7719" t="s">
        <v>3590</v>
      </c>
      <c r="D883" s="7720"/>
      <c r="E883" s="7719" t="s">
        <v>2296</v>
      </c>
      <c r="F883" s="7719" t="str">
        <f t="shared" si="60"/>
        <v/>
      </c>
      <c r="G883" s="7719" t="s">
        <v>2224</v>
      </c>
      <c r="H883" s="7719" t="str">
        <f t="shared" si="61"/>
        <v/>
      </c>
      <c r="I883" s="7719">
        <v>78.0</v>
      </c>
      <c r="J883" s="7719">
        <v>92.0</v>
      </c>
      <c r="K883" s="7719">
        <v>75.0</v>
      </c>
      <c r="L883" s="7719">
        <v>74.0</v>
      </c>
      <c r="M883" s="7719">
        <v>63.0</v>
      </c>
      <c r="N883" s="7721">
        <v>118.0</v>
      </c>
      <c r="O883" s="7701"/>
      <c r="P883" s="7704"/>
      <c r="Q883" s="7704"/>
      <c r="R883" s="7704"/>
      <c r="S883" s="7705"/>
    </row>
    <row r="884" ht="18.75" customHeight="1">
      <c r="A884" s="7696"/>
      <c r="B884" s="7712" t="s">
        <v>278</v>
      </c>
      <c r="C884" s="7713" t="s">
        <v>3591</v>
      </c>
      <c r="D884" s="7714"/>
      <c r="E884" s="7713" t="s">
        <v>2283</v>
      </c>
      <c r="F884" s="7713" t="str">
        <f t="shared" si="60"/>
        <v/>
      </c>
      <c r="G884" s="7713" t="s">
        <v>2292</v>
      </c>
      <c r="H884" s="7713" t="str">
        <f t="shared" si="61"/>
        <v/>
      </c>
      <c r="I884" s="7713">
        <v>67.0</v>
      </c>
      <c r="J884" s="7713">
        <v>58.0</v>
      </c>
      <c r="K884" s="7713">
        <v>57.0</v>
      </c>
      <c r="L884" s="7713">
        <v>91.0</v>
      </c>
      <c r="M884" s="7713">
        <v>67.0</v>
      </c>
      <c r="N884" s="7715">
        <v>101.0</v>
      </c>
      <c r="O884" s="7701"/>
      <c r="P884" s="7704"/>
      <c r="Q884" s="7704"/>
      <c r="R884" s="7704"/>
      <c r="S884" s="7705"/>
    </row>
    <row r="885" ht="18.75" customHeight="1">
      <c r="A885" s="7696"/>
      <c r="B885" s="7718" t="s">
        <v>285</v>
      </c>
      <c r="C885" s="7719" t="s">
        <v>3592</v>
      </c>
      <c r="D885" s="7720"/>
      <c r="E885" s="7719" t="s">
        <v>2370</v>
      </c>
      <c r="F885" s="7719" t="str">
        <f t="shared" si="60"/>
        <v/>
      </c>
      <c r="G885" s="7719" t="s">
        <v>2292</v>
      </c>
      <c r="H885" s="7719" t="str">
        <f t="shared" si="61"/>
        <v/>
      </c>
      <c r="I885" s="7719">
        <v>50.0</v>
      </c>
      <c r="J885" s="7719">
        <v>50.0</v>
      </c>
      <c r="K885" s="7719">
        <v>150.0</v>
      </c>
      <c r="L885" s="7719">
        <v>50.0</v>
      </c>
      <c r="M885" s="7719">
        <v>150.0</v>
      </c>
      <c r="N885" s="7721">
        <v>50.0</v>
      </c>
      <c r="O885" s="7701"/>
      <c r="P885" s="7704"/>
      <c r="Q885" s="7704"/>
      <c r="R885" s="7704"/>
      <c r="S885" s="7705"/>
    </row>
    <row r="886" ht="18.75" customHeight="1">
      <c r="A886" s="7696"/>
      <c r="B886" s="7712" t="s">
        <v>3593</v>
      </c>
      <c r="C886" s="7713" t="s">
        <v>3594</v>
      </c>
      <c r="D886" s="7714"/>
      <c r="E886" s="7713" t="s">
        <v>2227</v>
      </c>
      <c r="F886" s="7713" t="str">
        <f t="shared" si="60"/>
        <v/>
      </c>
      <c r="G886" s="7713"/>
      <c r="H886" s="7713" t="str">
        <f t="shared" si="61"/>
        <v/>
      </c>
      <c r="I886" s="7713">
        <v>45.0</v>
      </c>
      <c r="J886" s="7713">
        <v>50.0</v>
      </c>
      <c r="K886" s="7713">
        <v>35.0</v>
      </c>
      <c r="L886" s="7713">
        <v>55.0</v>
      </c>
      <c r="M886" s="7713">
        <v>75.0</v>
      </c>
      <c r="N886" s="7715">
        <v>40.0</v>
      </c>
      <c r="O886" s="7701"/>
      <c r="P886" s="7704"/>
      <c r="Q886" s="7704"/>
      <c r="R886" s="7704"/>
      <c r="S886" s="7705"/>
    </row>
    <row r="887" ht="18.75" customHeight="1">
      <c r="A887" s="7696"/>
      <c r="B887" s="7718" t="s">
        <v>3595</v>
      </c>
      <c r="C887" s="7719" t="s">
        <v>3596</v>
      </c>
      <c r="D887" s="7720"/>
      <c r="E887" s="7719" t="s">
        <v>2227</v>
      </c>
      <c r="F887" s="7719" t="str">
        <f t="shared" si="60"/>
        <v/>
      </c>
      <c r="G887" s="7719"/>
      <c r="H887" s="7719" t="str">
        <f t="shared" si="61"/>
        <v/>
      </c>
      <c r="I887" s="7719">
        <v>68.0</v>
      </c>
      <c r="J887" s="7719">
        <v>75.0</v>
      </c>
      <c r="K887" s="7719">
        <v>53.0</v>
      </c>
      <c r="L887" s="7719">
        <v>83.0</v>
      </c>
      <c r="M887" s="7719">
        <v>113.0</v>
      </c>
      <c r="N887" s="7721">
        <v>60.0</v>
      </c>
      <c r="O887" s="7701"/>
      <c r="P887" s="7704"/>
      <c r="Q887" s="7704"/>
      <c r="R887" s="7704"/>
      <c r="S887" s="7705"/>
    </row>
    <row r="888" ht="18.75" customHeight="1">
      <c r="A888" s="7696"/>
      <c r="B888" s="7712" t="s">
        <v>3597</v>
      </c>
      <c r="C888" s="7722" t="s">
        <v>3598</v>
      </c>
      <c r="D888" s="7714"/>
      <c r="E888" s="7713" t="s">
        <v>2286</v>
      </c>
      <c r="F888" s="7713" t="str">
        <f t="shared" si="60"/>
        <v/>
      </c>
      <c r="G888" s="7713" t="s">
        <v>2227</v>
      </c>
      <c r="H888" s="7713" t="str">
        <f t="shared" si="61"/>
        <v/>
      </c>
      <c r="I888" s="7713">
        <v>58.0</v>
      </c>
      <c r="J888" s="7713">
        <v>75.0</v>
      </c>
      <c r="K888" s="7713">
        <v>83.0</v>
      </c>
      <c r="L888" s="7713">
        <v>83.0</v>
      </c>
      <c r="M888" s="7713">
        <v>113.0</v>
      </c>
      <c r="N888" s="7715">
        <v>40.0</v>
      </c>
      <c r="O888" s="7701"/>
      <c r="P888" s="7704"/>
      <c r="Q888" s="7704"/>
      <c r="R888" s="7704"/>
      <c r="S888" s="7705"/>
    </row>
    <row r="889" ht="18.75" customHeight="1">
      <c r="A889" s="7696"/>
      <c r="B889" s="7718" t="s">
        <v>1096</v>
      </c>
      <c r="C889" s="7719" t="s">
        <v>3599</v>
      </c>
      <c r="D889" s="7720"/>
      <c r="E889" s="7719" t="s">
        <v>2227</v>
      </c>
      <c r="F889" s="7719" t="str">
        <f t="shared" si="60"/>
        <v/>
      </c>
      <c r="G889" s="7719"/>
      <c r="H889" s="7719" t="str">
        <f t="shared" si="61"/>
        <v/>
      </c>
      <c r="I889" s="7719">
        <v>90.0</v>
      </c>
      <c r="J889" s="7719">
        <v>100.0</v>
      </c>
      <c r="K889" s="7719">
        <v>70.0</v>
      </c>
      <c r="L889" s="7719">
        <v>110.0</v>
      </c>
      <c r="M889" s="7719">
        <v>150.0</v>
      </c>
      <c r="N889" s="7721">
        <v>80.0</v>
      </c>
      <c r="O889" s="7701"/>
      <c r="P889" s="7704"/>
      <c r="Q889" s="7704"/>
      <c r="R889" s="7704"/>
      <c r="S889" s="7705"/>
    </row>
    <row r="890" ht="18.75" customHeight="1">
      <c r="A890" s="7696"/>
      <c r="B890" s="7712" t="s">
        <v>1968</v>
      </c>
      <c r="C890" s="7722" t="s">
        <v>3600</v>
      </c>
      <c r="D890" s="7714"/>
      <c r="E890" s="7713" t="s">
        <v>2286</v>
      </c>
      <c r="F890" s="7713" t="str">
        <f t="shared" si="60"/>
        <v/>
      </c>
      <c r="G890" s="7713" t="s">
        <v>2227</v>
      </c>
      <c r="H890" s="7713" t="str">
        <f t="shared" si="61"/>
        <v/>
      </c>
      <c r="I890" s="7713">
        <v>80.0</v>
      </c>
      <c r="J890" s="7713">
        <v>100.0</v>
      </c>
      <c r="K890" s="7713">
        <v>100.0</v>
      </c>
      <c r="L890" s="7713">
        <v>110.0</v>
      </c>
      <c r="M890" s="7713">
        <v>150.0</v>
      </c>
      <c r="N890" s="7715">
        <v>60.0</v>
      </c>
      <c r="O890" s="7701"/>
      <c r="P890" s="7704"/>
      <c r="Q890" s="7704"/>
      <c r="R890" s="7704"/>
      <c r="S890" s="7705"/>
    </row>
    <row r="891" ht="18.75" customHeight="1">
      <c r="A891" s="7696"/>
      <c r="B891" s="7718" t="s">
        <v>1234</v>
      </c>
      <c r="C891" s="7719" t="s">
        <v>3601</v>
      </c>
      <c r="D891" s="7720"/>
      <c r="E891" s="7719" t="s">
        <v>2286</v>
      </c>
      <c r="F891" s="7719" t="str">
        <f t="shared" si="60"/>
        <v/>
      </c>
      <c r="G891" s="7719" t="s">
        <v>2292</v>
      </c>
      <c r="H891" s="7719" t="str">
        <f t="shared" si="61"/>
        <v/>
      </c>
      <c r="I891" s="7719">
        <v>57.0</v>
      </c>
      <c r="J891" s="7719">
        <v>80.0</v>
      </c>
      <c r="K891" s="7719">
        <v>91.0</v>
      </c>
      <c r="L891" s="7719">
        <v>80.0</v>
      </c>
      <c r="M891" s="7719">
        <v>87.0</v>
      </c>
      <c r="N891" s="7721">
        <v>75.0</v>
      </c>
      <c r="O891" s="7701"/>
      <c r="P891" s="7704"/>
      <c r="Q891" s="7704"/>
      <c r="R891" s="7704"/>
      <c r="S891" s="7705"/>
    </row>
    <row r="892" ht="18.75" customHeight="1">
      <c r="A892" s="7696"/>
      <c r="B892" s="7712" t="s">
        <v>3602</v>
      </c>
      <c r="C892" s="7713" t="s">
        <v>3603</v>
      </c>
      <c r="D892" s="7714"/>
      <c r="E892" s="7713" t="s">
        <v>2447</v>
      </c>
      <c r="F892" s="7713" t="str">
        <f t="shared" si="60"/>
        <v/>
      </c>
      <c r="G892" s="7713" t="s">
        <v>2209</v>
      </c>
      <c r="H892" s="7713" t="str">
        <f t="shared" si="61"/>
        <v/>
      </c>
      <c r="I892" s="7713">
        <v>43.0</v>
      </c>
      <c r="J892" s="7713">
        <v>70.0</v>
      </c>
      <c r="K892" s="7713">
        <v>48.0</v>
      </c>
      <c r="L892" s="7713">
        <v>50.0</v>
      </c>
      <c r="M892" s="7713">
        <v>60.0</v>
      </c>
      <c r="N892" s="7715">
        <v>38.0</v>
      </c>
      <c r="O892" s="7701"/>
      <c r="P892" s="7704"/>
      <c r="Q892" s="7704"/>
      <c r="R892" s="7704"/>
      <c r="S892" s="7705"/>
    </row>
    <row r="893" ht="18.75" customHeight="1">
      <c r="A893" s="7696"/>
      <c r="B893" s="7718" t="s">
        <v>3604</v>
      </c>
      <c r="C893" s="7719" t="s">
        <v>3605</v>
      </c>
      <c r="D893" s="7720"/>
      <c r="E893" s="7719" t="s">
        <v>2447</v>
      </c>
      <c r="F893" s="7719" t="str">
        <f t="shared" si="60"/>
        <v/>
      </c>
      <c r="G893" s="7719" t="s">
        <v>2209</v>
      </c>
      <c r="H893" s="7719" t="str">
        <f t="shared" si="61"/>
        <v/>
      </c>
      <c r="I893" s="7719">
        <v>85.0</v>
      </c>
      <c r="J893" s="7719">
        <v>120.0</v>
      </c>
      <c r="K893" s="7719">
        <v>82.0</v>
      </c>
      <c r="L893" s="7719">
        <v>65.0</v>
      </c>
      <c r="M893" s="7719">
        <v>82.0</v>
      </c>
      <c r="N893" s="7721">
        <v>56.0</v>
      </c>
      <c r="O893" s="7701"/>
      <c r="P893" s="7704"/>
      <c r="Q893" s="7704"/>
      <c r="R893" s="7704"/>
      <c r="S893" s="7705"/>
    </row>
    <row r="894" ht="18.75" customHeight="1">
      <c r="A894" s="7696"/>
      <c r="B894" s="7712" t="s">
        <v>3606</v>
      </c>
      <c r="C894" s="7713" t="s">
        <v>3607</v>
      </c>
      <c r="D894" s="7714"/>
      <c r="E894" s="7713" t="s">
        <v>2447</v>
      </c>
      <c r="F894" s="7713" t="str">
        <f t="shared" si="60"/>
        <v/>
      </c>
      <c r="G894" s="7713" t="s">
        <v>2209</v>
      </c>
      <c r="H894" s="7713" t="str">
        <f t="shared" si="61"/>
        <v/>
      </c>
      <c r="I894" s="7713">
        <v>49.0</v>
      </c>
      <c r="J894" s="7713">
        <v>44.0</v>
      </c>
      <c r="K894" s="7713">
        <v>70.0</v>
      </c>
      <c r="L894" s="7713">
        <v>66.0</v>
      </c>
      <c r="M894" s="7713">
        <v>55.0</v>
      </c>
      <c r="N894" s="7715">
        <v>51.0</v>
      </c>
      <c r="O894" s="7701"/>
      <c r="P894" s="7704"/>
      <c r="Q894" s="7704"/>
      <c r="R894" s="7704"/>
      <c r="S894" s="7705"/>
    </row>
    <row r="895" ht="18.75" customHeight="1">
      <c r="A895" s="7696"/>
      <c r="B895" s="7718" t="s">
        <v>3608</v>
      </c>
      <c r="C895" s="7723" t="s">
        <v>3609</v>
      </c>
      <c r="D895" s="7720"/>
      <c r="E895" s="7719" t="s">
        <v>2447</v>
      </c>
      <c r="F895" s="7719" t="str">
        <f t="shared" si="60"/>
        <v/>
      </c>
      <c r="G895" s="7719" t="s">
        <v>2209</v>
      </c>
      <c r="H895" s="7719" t="str">
        <f t="shared" si="61"/>
        <v/>
      </c>
      <c r="I895" s="7723">
        <v>44.0</v>
      </c>
      <c r="J895" s="7723">
        <v>44.0</v>
      </c>
      <c r="K895" s="7723">
        <v>70.0</v>
      </c>
      <c r="L895" s="7723">
        <v>66.0</v>
      </c>
      <c r="M895" s="7723">
        <v>55.0</v>
      </c>
      <c r="N895" s="7726">
        <v>56.0</v>
      </c>
      <c r="O895" s="7701"/>
      <c r="P895" s="7704"/>
      <c r="Q895" s="7704"/>
      <c r="R895" s="7704"/>
      <c r="S895" s="7705"/>
    </row>
    <row r="896" ht="18.75" customHeight="1">
      <c r="A896" s="7696"/>
      <c r="B896" s="7712" t="s">
        <v>3610</v>
      </c>
      <c r="C896" s="7722" t="s">
        <v>3611</v>
      </c>
      <c r="D896" s="7714"/>
      <c r="E896" s="7722" t="s">
        <v>2447</v>
      </c>
      <c r="F896" s="7722" t="str">
        <f t="shared" si="60"/>
        <v/>
      </c>
      <c r="G896" s="7722" t="s">
        <v>2209</v>
      </c>
      <c r="H896" s="7722" t="str">
        <f t="shared" si="61"/>
        <v/>
      </c>
      <c r="I896" s="7722">
        <v>54.0</v>
      </c>
      <c r="J896" s="7722">
        <v>44.0</v>
      </c>
      <c r="K896" s="7722">
        <v>70.0</v>
      </c>
      <c r="L896" s="7722">
        <v>66.0</v>
      </c>
      <c r="M896" s="7722">
        <v>55.0</v>
      </c>
      <c r="N896" s="7724">
        <v>46.0</v>
      </c>
      <c r="O896" s="7701"/>
      <c r="P896" s="7704"/>
      <c r="Q896" s="7704"/>
      <c r="R896" s="7704"/>
      <c r="S896" s="7705"/>
    </row>
    <row r="897" ht="18.75" customHeight="1">
      <c r="A897" s="7696"/>
      <c r="B897" s="7718" t="s">
        <v>3612</v>
      </c>
      <c r="C897" s="7723" t="s">
        <v>3613</v>
      </c>
      <c r="D897" s="7720"/>
      <c r="E897" s="7719" t="s">
        <v>2447</v>
      </c>
      <c r="F897" s="7719" t="str">
        <f t="shared" si="60"/>
        <v/>
      </c>
      <c r="G897" s="7719" t="s">
        <v>2209</v>
      </c>
      <c r="H897" s="7719" t="str">
        <f t="shared" si="61"/>
        <v/>
      </c>
      <c r="I897" s="7723">
        <v>59.0</v>
      </c>
      <c r="J897" s="7723">
        <v>44.0</v>
      </c>
      <c r="K897" s="7723">
        <v>70.0</v>
      </c>
      <c r="L897" s="7723">
        <v>66.0</v>
      </c>
      <c r="M897" s="7723">
        <v>55.0</v>
      </c>
      <c r="N897" s="7726">
        <v>41.0</v>
      </c>
      <c r="O897" s="7701"/>
      <c r="P897" s="7704"/>
      <c r="Q897" s="7704"/>
      <c r="R897" s="7704"/>
      <c r="S897" s="7705"/>
    </row>
    <row r="898" ht="18.75" customHeight="1">
      <c r="A898" s="7696"/>
      <c r="B898" s="7712" t="s">
        <v>3614</v>
      </c>
      <c r="C898" s="7713" t="s">
        <v>3615</v>
      </c>
      <c r="D898" s="7714"/>
      <c r="E898" s="7713" t="s">
        <v>2447</v>
      </c>
      <c r="F898" s="7713" t="str">
        <f t="shared" si="60"/>
        <v/>
      </c>
      <c r="G898" s="7713" t="s">
        <v>2209</v>
      </c>
      <c r="H898" s="7713" t="str">
        <f t="shared" si="61"/>
        <v/>
      </c>
      <c r="I898" s="7722">
        <v>65.0</v>
      </c>
      <c r="J898" s="7713">
        <v>58.0</v>
      </c>
      <c r="K898" s="7713">
        <v>122.0</v>
      </c>
      <c r="L898" s="7722">
        <v>90.0</v>
      </c>
      <c r="M898" s="7713">
        <v>75.0</v>
      </c>
      <c r="N898" s="7724">
        <v>84.0</v>
      </c>
      <c r="O898" s="7701"/>
      <c r="P898" s="7704"/>
      <c r="Q898" s="7704"/>
      <c r="R898" s="7704"/>
      <c r="S898" s="7705"/>
    </row>
    <row r="899" ht="18.75" customHeight="1">
      <c r="A899" s="7696"/>
      <c r="B899" s="7718" t="s">
        <v>3616</v>
      </c>
      <c r="C899" s="7723" t="s">
        <v>3617</v>
      </c>
      <c r="D899" s="7720"/>
      <c r="E899" s="7719" t="s">
        <v>2447</v>
      </c>
      <c r="F899" s="7719" t="str">
        <f t="shared" si="60"/>
        <v/>
      </c>
      <c r="G899" s="7719" t="s">
        <v>2209</v>
      </c>
      <c r="H899" s="7719" t="str">
        <f t="shared" si="61"/>
        <v/>
      </c>
      <c r="I899" s="7723">
        <v>55.0</v>
      </c>
      <c r="J899" s="7723">
        <v>58.0</v>
      </c>
      <c r="K899" s="7723">
        <v>122.0</v>
      </c>
      <c r="L899" s="7723">
        <v>85.0</v>
      </c>
      <c r="M899" s="7723">
        <v>75.0</v>
      </c>
      <c r="N899" s="7726">
        <v>99.0</v>
      </c>
      <c r="O899" s="7701"/>
      <c r="P899" s="7704"/>
      <c r="Q899" s="7704"/>
      <c r="R899" s="7704"/>
      <c r="S899" s="7705"/>
    </row>
    <row r="900" ht="18.75" customHeight="1">
      <c r="A900" s="7696"/>
      <c r="B900" s="7712" t="s">
        <v>3618</v>
      </c>
      <c r="C900" s="7722" t="s">
        <v>3619</v>
      </c>
      <c r="D900" s="7714"/>
      <c r="E900" s="7713" t="s">
        <v>2447</v>
      </c>
      <c r="F900" s="7713" t="str">
        <f t="shared" ref="F900:F916" si="62">IFERROR(VLOOKUP(E900,P$3:Q918,2,False),"")</f>
        <v/>
      </c>
      <c r="G900" s="7713" t="s">
        <v>2209</v>
      </c>
      <c r="H900" s="7713" t="str">
        <f t="shared" ref="H900:H916" si="63">IFERROR(VLOOKUP(G900,P$3:Q918,2,False),"")</f>
        <v/>
      </c>
      <c r="I900" s="7722">
        <v>75.0</v>
      </c>
      <c r="J900" s="7722">
        <v>58.0</v>
      </c>
      <c r="K900" s="7722">
        <v>122.0</v>
      </c>
      <c r="L900" s="7722">
        <v>95.0</v>
      </c>
      <c r="M900" s="7722">
        <v>75.0</v>
      </c>
      <c r="N900" s="7724">
        <v>69.0</v>
      </c>
      <c r="O900" s="7701"/>
      <c r="P900" s="7704"/>
      <c r="Q900" s="7704"/>
      <c r="R900" s="7704"/>
      <c r="S900" s="7705"/>
    </row>
    <row r="901" ht="18.75" customHeight="1">
      <c r="A901" s="7696"/>
      <c r="B901" s="7718" t="s">
        <v>3620</v>
      </c>
      <c r="C901" s="7723" t="s">
        <v>3621</v>
      </c>
      <c r="D901" s="7720"/>
      <c r="E901" s="7719" t="s">
        <v>2447</v>
      </c>
      <c r="F901" s="7719" t="str">
        <f t="shared" si="62"/>
        <v/>
      </c>
      <c r="G901" s="7719" t="s">
        <v>2209</v>
      </c>
      <c r="H901" s="7719" t="str">
        <f t="shared" si="63"/>
        <v/>
      </c>
      <c r="I901" s="7723">
        <v>85.0</v>
      </c>
      <c r="J901" s="7723">
        <v>58.0</v>
      </c>
      <c r="K901" s="7723">
        <v>122.0</v>
      </c>
      <c r="L901" s="7723">
        <v>100.0</v>
      </c>
      <c r="M901" s="7723">
        <v>75.0</v>
      </c>
      <c r="N901" s="7726">
        <v>54.0</v>
      </c>
      <c r="O901" s="7701"/>
      <c r="P901" s="7704"/>
      <c r="Q901" s="7704"/>
      <c r="R901" s="7704"/>
      <c r="S901" s="7705"/>
    </row>
    <row r="902" ht="18.75" customHeight="1">
      <c r="A902" s="7696"/>
      <c r="B902" s="7712" t="s">
        <v>3622</v>
      </c>
      <c r="C902" s="7713" t="s">
        <v>3623</v>
      </c>
      <c r="D902" s="7714"/>
      <c r="E902" s="7713" t="s">
        <v>2289</v>
      </c>
      <c r="F902" s="7713" t="str">
        <f t="shared" si="62"/>
        <v/>
      </c>
      <c r="G902" s="7713"/>
      <c r="H902" s="7713" t="str">
        <f t="shared" si="63"/>
        <v/>
      </c>
      <c r="I902" s="7713">
        <v>55.0</v>
      </c>
      <c r="J902" s="7713">
        <v>69.0</v>
      </c>
      <c r="K902" s="7713">
        <v>85.0</v>
      </c>
      <c r="L902" s="7713">
        <v>32.0</v>
      </c>
      <c r="M902" s="7713">
        <v>35.0</v>
      </c>
      <c r="N902" s="7715">
        <v>28.0</v>
      </c>
      <c r="O902" s="7701"/>
      <c r="P902" s="7704"/>
      <c r="Q902" s="7704"/>
      <c r="R902" s="7704"/>
      <c r="S902" s="7705"/>
    </row>
    <row r="903" ht="18.75" customHeight="1">
      <c r="A903" s="7696"/>
      <c r="B903" s="7718" t="s">
        <v>3624</v>
      </c>
      <c r="C903" s="7719" t="s">
        <v>3625</v>
      </c>
      <c r="D903" s="7720"/>
      <c r="E903" s="7719" t="s">
        <v>2289</v>
      </c>
      <c r="F903" s="7719" t="str">
        <f t="shared" si="62"/>
        <v/>
      </c>
      <c r="G903" s="7719"/>
      <c r="H903" s="7719" t="str">
        <f t="shared" si="63"/>
        <v/>
      </c>
      <c r="I903" s="7719">
        <v>95.0</v>
      </c>
      <c r="J903" s="7719">
        <v>117.0</v>
      </c>
      <c r="K903" s="7719">
        <v>184.0</v>
      </c>
      <c r="L903" s="7719">
        <v>44.0</v>
      </c>
      <c r="M903" s="7719">
        <v>46.0</v>
      </c>
      <c r="N903" s="7721">
        <v>28.0</v>
      </c>
      <c r="O903" s="7701"/>
      <c r="P903" s="7704"/>
      <c r="Q903" s="7704"/>
      <c r="R903" s="7704"/>
      <c r="S903" s="7705"/>
    </row>
    <row r="904" ht="18.75" customHeight="1">
      <c r="A904" s="7696"/>
      <c r="B904" s="7712" t="s">
        <v>2148</v>
      </c>
      <c r="C904" s="7722" t="s">
        <v>3626</v>
      </c>
      <c r="D904" s="7714"/>
      <c r="E904" s="7713" t="s">
        <v>2289</v>
      </c>
      <c r="F904" s="7713" t="str">
        <f t="shared" si="62"/>
        <v/>
      </c>
      <c r="G904" s="7713" t="s">
        <v>2370</v>
      </c>
      <c r="H904" s="7713" t="str">
        <f t="shared" si="63"/>
        <v/>
      </c>
      <c r="I904" s="7713">
        <v>100.0</v>
      </c>
      <c r="J904" s="7713">
        <v>132.0</v>
      </c>
      <c r="K904" s="7713">
        <v>184.0</v>
      </c>
      <c r="L904" s="7713">
        <v>34.0</v>
      </c>
      <c r="M904" s="7713">
        <v>36.0</v>
      </c>
      <c r="N904" s="7715">
        <v>38.0</v>
      </c>
      <c r="O904" s="7701"/>
      <c r="P904" s="7704"/>
      <c r="Q904" s="7704"/>
      <c r="R904" s="7704"/>
      <c r="S904" s="7705"/>
    </row>
    <row r="905" ht="18.75" customHeight="1">
      <c r="A905" s="7696"/>
      <c r="B905" s="7718" t="s">
        <v>3627</v>
      </c>
      <c r="C905" s="7719" t="s">
        <v>3628</v>
      </c>
      <c r="D905" s="7720"/>
      <c r="E905" s="7719" t="s">
        <v>2224</v>
      </c>
      <c r="F905" s="7719" t="str">
        <f t="shared" si="62"/>
        <v/>
      </c>
      <c r="G905" s="7719" t="s">
        <v>2227</v>
      </c>
      <c r="H905" s="7719" t="str">
        <f t="shared" si="63"/>
        <v/>
      </c>
      <c r="I905" s="7719">
        <v>40.0</v>
      </c>
      <c r="J905" s="7719">
        <v>30.0</v>
      </c>
      <c r="K905" s="7719">
        <v>35.0</v>
      </c>
      <c r="L905" s="7719">
        <v>45.0</v>
      </c>
      <c r="M905" s="7719">
        <v>40.0</v>
      </c>
      <c r="N905" s="7721">
        <v>55.0</v>
      </c>
      <c r="O905" s="7701"/>
      <c r="P905" s="7704"/>
      <c r="Q905" s="7704"/>
      <c r="R905" s="7704"/>
      <c r="S905" s="7705"/>
    </row>
    <row r="906" ht="18.75" customHeight="1">
      <c r="A906" s="7696"/>
      <c r="B906" s="7712" t="s">
        <v>2167</v>
      </c>
      <c r="C906" s="7713" t="s">
        <v>3629</v>
      </c>
      <c r="D906" s="7714"/>
      <c r="E906" s="7713" t="s">
        <v>2224</v>
      </c>
      <c r="F906" s="7713" t="str">
        <f t="shared" si="62"/>
        <v/>
      </c>
      <c r="G906" s="7713" t="s">
        <v>2227</v>
      </c>
      <c r="H906" s="7713" t="str">
        <f t="shared" si="63"/>
        <v/>
      </c>
      <c r="I906" s="7713">
        <v>85.0</v>
      </c>
      <c r="J906" s="7713">
        <v>70.0</v>
      </c>
      <c r="K906" s="7713">
        <v>80.0</v>
      </c>
      <c r="L906" s="7713">
        <v>102.0</v>
      </c>
      <c r="M906" s="7713">
        <v>80.0</v>
      </c>
      <c r="N906" s="7715">
        <v>123.0</v>
      </c>
      <c r="O906" s="7701"/>
      <c r="P906" s="7704"/>
      <c r="Q906" s="7704"/>
      <c r="R906" s="7704"/>
      <c r="S906" s="7705"/>
    </row>
    <row r="907" ht="18.75" customHeight="1">
      <c r="A907" s="7696"/>
      <c r="B907" s="7718" t="s">
        <v>1940</v>
      </c>
      <c r="C907" s="7719" t="s">
        <v>3630</v>
      </c>
      <c r="D907" s="7720"/>
      <c r="E907" s="7719" t="s">
        <v>2292</v>
      </c>
      <c r="F907" s="7719" t="str">
        <f t="shared" si="62"/>
        <v/>
      </c>
      <c r="G907" s="7719"/>
      <c r="H907" s="7719" t="str">
        <f t="shared" si="63"/>
        <v/>
      </c>
      <c r="I907" s="7719">
        <v>126.0</v>
      </c>
      <c r="J907" s="7719">
        <v>131.0</v>
      </c>
      <c r="K907" s="7719">
        <v>95.0</v>
      </c>
      <c r="L907" s="7719">
        <v>131.0</v>
      </c>
      <c r="M907" s="7719">
        <v>98.0</v>
      </c>
      <c r="N907" s="7721">
        <v>99.0</v>
      </c>
      <c r="O907" s="7701"/>
      <c r="P907" s="7704"/>
      <c r="Q907" s="7704"/>
      <c r="R907" s="7704"/>
      <c r="S907" s="7705"/>
    </row>
    <row r="908" ht="18.75" customHeight="1">
      <c r="A908" s="7696"/>
      <c r="B908" s="7712" t="s">
        <v>1890</v>
      </c>
      <c r="C908" s="7713" t="s">
        <v>3631</v>
      </c>
      <c r="D908" s="7714"/>
      <c r="E908" s="7713" t="s">
        <v>2272</v>
      </c>
      <c r="F908" s="7713" t="str">
        <f t="shared" si="62"/>
        <v/>
      </c>
      <c r="G908" s="7713" t="s">
        <v>2224</v>
      </c>
      <c r="H908" s="7713" t="str">
        <f t="shared" si="63"/>
        <v/>
      </c>
      <c r="I908" s="7713">
        <v>126.0</v>
      </c>
      <c r="J908" s="7713">
        <v>131.0</v>
      </c>
      <c r="K908" s="7713">
        <v>95.0</v>
      </c>
      <c r="L908" s="7713">
        <v>131.0</v>
      </c>
      <c r="M908" s="7713">
        <v>98.0</v>
      </c>
      <c r="N908" s="7715">
        <v>99.0</v>
      </c>
      <c r="O908" s="7701"/>
      <c r="P908" s="7704"/>
      <c r="Q908" s="7704"/>
      <c r="R908" s="7704"/>
      <c r="S908" s="7705"/>
    </row>
    <row r="909" ht="18.75" customHeight="1">
      <c r="A909" s="7696"/>
      <c r="B909" s="7718" t="s">
        <v>3632</v>
      </c>
      <c r="C909" s="7719" t="s">
        <v>3633</v>
      </c>
      <c r="D909" s="7720"/>
      <c r="E909" s="7719" t="s">
        <v>2227</v>
      </c>
      <c r="F909" s="7719" t="str">
        <f t="shared" si="62"/>
        <v/>
      </c>
      <c r="G909" s="7719" t="s">
        <v>2304</v>
      </c>
      <c r="H909" s="7719" t="str">
        <f t="shared" si="63"/>
        <v/>
      </c>
      <c r="I909" s="7719">
        <v>108.0</v>
      </c>
      <c r="J909" s="7719">
        <v>100.0</v>
      </c>
      <c r="K909" s="7719">
        <v>121.0</v>
      </c>
      <c r="L909" s="7719">
        <v>81.0</v>
      </c>
      <c r="M909" s="7719">
        <v>95.0</v>
      </c>
      <c r="N909" s="7721">
        <v>95.0</v>
      </c>
      <c r="O909" s="7701"/>
      <c r="P909" s="7704"/>
      <c r="Q909" s="7704"/>
      <c r="R909" s="7704"/>
      <c r="S909" s="7705"/>
    </row>
    <row r="910" ht="18.75" customHeight="1">
      <c r="A910" s="7696"/>
      <c r="B910" s="7712" t="s">
        <v>1614</v>
      </c>
      <c r="C910" s="7722" t="s">
        <v>3634</v>
      </c>
      <c r="D910" s="7714"/>
      <c r="E910" s="7713" t="s">
        <v>2227</v>
      </c>
      <c r="F910" s="7713" t="str">
        <f t="shared" si="62"/>
        <v/>
      </c>
      <c r="G910" s="7713" t="s">
        <v>2304</v>
      </c>
      <c r="H910" s="7713" t="str">
        <f t="shared" si="63"/>
        <v/>
      </c>
      <c r="I910" s="7713">
        <v>54.0</v>
      </c>
      <c r="J910" s="7713">
        <v>100.0</v>
      </c>
      <c r="K910" s="7713">
        <v>71.0</v>
      </c>
      <c r="L910" s="7713">
        <v>61.0</v>
      </c>
      <c r="M910" s="7713">
        <v>85.0</v>
      </c>
      <c r="N910" s="7715">
        <v>115.0</v>
      </c>
      <c r="O910" s="7701"/>
      <c r="P910" s="7704"/>
      <c r="Q910" s="7704"/>
      <c r="R910" s="7704"/>
      <c r="S910" s="7705"/>
    </row>
    <row r="911" ht="18.75" customHeight="1">
      <c r="A911" s="7696"/>
      <c r="B911" s="7718" t="s">
        <v>725</v>
      </c>
      <c r="C911" s="7723" t="s">
        <v>3635</v>
      </c>
      <c r="D911" s="7720"/>
      <c r="E911" s="7719" t="s">
        <v>2227</v>
      </c>
      <c r="F911" s="7719" t="str">
        <f t="shared" si="62"/>
        <v/>
      </c>
      <c r="G911" s="7719" t="s">
        <v>2304</v>
      </c>
      <c r="H911" s="7719" t="str">
        <f t="shared" si="63"/>
        <v/>
      </c>
      <c r="I911" s="7719">
        <v>216.0</v>
      </c>
      <c r="J911" s="7719">
        <v>100.0</v>
      </c>
      <c r="K911" s="7719">
        <v>121.0</v>
      </c>
      <c r="L911" s="7719">
        <v>91.0</v>
      </c>
      <c r="M911" s="7719">
        <v>95.0</v>
      </c>
      <c r="N911" s="7721">
        <v>85.0</v>
      </c>
      <c r="O911" s="7701"/>
      <c r="P911" s="7704"/>
      <c r="Q911" s="7704"/>
      <c r="R911" s="7704"/>
      <c r="S911" s="7705"/>
    </row>
    <row r="912" ht="18.75" customHeight="1">
      <c r="A912" s="7696"/>
      <c r="B912" s="7712" t="s">
        <v>3636</v>
      </c>
      <c r="C912" s="7713" t="s">
        <v>3637</v>
      </c>
      <c r="D912" s="7714"/>
      <c r="E912" s="7713" t="s">
        <v>2370</v>
      </c>
      <c r="F912" s="7713" t="str">
        <f t="shared" si="62"/>
        <v/>
      </c>
      <c r="G912" s="7713" t="s">
        <v>2292</v>
      </c>
      <c r="H912" s="7713" t="str">
        <f t="shared" si="63"/>
        <v/>
      </c>
      <c r="I912" s="7713">
        <v>50.0</v>
      </c>
      <c r="J912" s="7713">
        <v>100.0</v>
      </c>
      <c r="K912" s="7713">
        <v>150.0</v>
      </c>
      <c r="L912" s="7713">
        <v>100.0</v>
      </c>
      <c r="M912" s="7713">
        <v>150.0</v>
      </c>
      <c r="N912" s="7715">
        <v>50.0</v>
      </c>
      <c r="O912" s="7701"/>
      <c r="P912" s="7704"/>
      <c r="Q912" s="7704"/>
      <c r="R912" s="7704"/>
      <c r="S912" s="7705"/>
    </row>
    <row r="913" ht="18.75" customHeight="1">
      <c r="A913" s="7696"/>
      <c r="B913" s="7718" t="s">
        <v>1757</v>
      </c>
      <c r="C913" s="7723" t="s">
        <v>3638</v>
      </c>
      <c r="D913" s="7720"/>
      <c r="E913" s="7719" t="s">
        <v>2370</v>
      </c>
      <c r="F913" s="7719" t="str">
        <f t="shared" si="62"/>
        <v/>
      </c>
      <c r="G913" s="7719" t="s">
        <v>2292</v>
      </c>
      <c r="H913" s="7719" t="str">
        <f t="shared" si="63"/>
        <v/>
      </c>
      <c r="I913" s="7719">
        <v>50.0</v>
      </c>
      <c r="J913" s="7719">
        <v>160.0</v>
      </c>
      <c r="K913" s="7719">
        <v>110.0</v>
      </c>
      <c r="L913" s="7719">
        <v>160.0</v>
      </c>
      <c r="M913" s="7719">
        <v>110.0</v>
      </c>
      <c r="N913" s="7721">
        <v>110.0</v>
      </c>
      <c r="O913" s="7701"/>
      <c r="P913" s="7704"/>
      <c r="Q913" s="7704"/>
      <c r="R913" s="7704"/>
      <c r="S913" s="7705"/>
    </row>
    <row r="914" ht="18.75" customHeight="1">
      <c r="A914" s="7696"/>
      <c r="B914" s="7712" t="s">
        <v>3639</v>
      </c>
      <c r="C914" s="7713" t="s">
        <v>3640</v>
      </c>
      <c r="D914" s="7714"/>
      <c r="E914" s="7713" t="s">
        <v>669</v>
      </c>
      <c r="F914" s="7713" t="str">
        <f t="shared" si="62"/>
        <v/>
      </c>
      <c r="G914" s="7713" t="s">
        <v>2447</v>
      </c>
      <c r="H914" s="7713" t="str">
        <f t="shared" si="63"/>
        <v/>
      </c>
      <c r="I914" s="7713">
        <v>80.0</v>
      </c>
      <c r="J914" s="7713">
        <v>110.0</v>
      </c>
      <c r="K914" s="7713">
        <v>60.0</v>
      </c>
      <c r="L914" s="7713">
        <v>150.0</v>
      </c>
      <c r="M914" s="7713">
        <v>130.0</v>
      </c>
      <c r="N914" s="7715">
        <v>70.0</v>
      </c>
      <c r="O914" s="7701"/>
      <c r="P914" s="7704"/>
      <c r="Q914" s="7704"/>
      <c r="R914" s="7704"/>
      <c r="S914" s="7705"/>
    </row>
    <row r="915" ht="18.75" customHeight="1">
      <c r="A915" s="7696"/>
      <c r="B915" s="7718" t="s">
        <v>653</v>
      </c>
      <c r="C915" s="7723" t="s">
        <v>3641</v>
      </c>
      <c r="D915" s="7720"/>
      <c r="E915" s="7719" t="s">
        <v>669</v>
      </c>
      <c r="F915" s="7719" t="str">
        <f t="shared" si="62"/>
        <v/>
      </c>
      <c r="G915" s="7719" t="s">
        <v>2272</v>
      </c>
      <c r="H915" s="7719" t="str">
        <f t="shared" si="63"/>
        <v/>
      </c>
      <c r="I915" s="7719">
        <v>80.0</v>
      </c>
      <c r="J915" s="7719">
        <v>160.0</v>
      </c>
      <c r="K915" s="7719">
        <v>60.0</v>
      </c>
      <c r="L915" s="7719">
        <v>170.0</v>
      </c>
      <c r="M915" s="7719">
        <v>130.0</v>
      </c>
      <c r="N915" s="7721">
        <v>80.0</v>
      </c>
      <c r="O915" s="7701"/>
      <c r="P915" s="7704"/>
      <c r="Q915" s="7704"/>
      <c r="R915" s="7704"/>
      <c r="S915" s="7705"/>
    </row>
    <row r="916" ht="18.75" customHeight="1">
      <c r="A916" s="7696"/>
      <c r="B916" s="7736" t="s">
        <v>1679</v>
      </c>
      <c r="C916" s="7737" t="s">
        <v>3642</v>
      </c>
      <c r="D916" s="7738"/>
      <c r="E916" s="7737" t="s">
        <v>2219</v>
      </c>
      <c r="F916" s="7737" t="str">
        <f t="shared" si="62"/>
        <v/>
      </c>
      <c r="G916" s="7737" t="s">
        <v>2232</v>
      </c>
      <c r="H916" s="7737" t="str">
        <f t="shared" si="63"/>
        <v/>
      </c>
      <c r="I916" s="7737">
        <v>80.0</v>
      </c>
      <c r="J916" s="7737">
        <v>110.0</v>
      </c>
      <c r="K916" s="7737">
        <v>120.0</v>
      </c>
      <c r="L916" s="7737">
        <v>130.0</v>
      </c>
      <c r="M916" s="7737">
        <v>90.0</v>
      </c>
      <c r="N916" s="7739">
        <v>70.0</v>
      </c>
      <c r="O916" s="7701"/>
      <c r="P916" s="7704"/>
      <c r="Q916" s="7704"/>
      <c r="R916" s="7704"/>
      <c r="S916" s="7705"/>
    </row>
    <row r="917">
      <c r="A917" s="7696"/>
      <c r="B917" s="7694"/>
      <c r="C917" s="7694"/>
      <c r="D917" s="7694"/>
      <c r="E917" s="7694"/>
      <c r="F917" s="7694"/>
      <c r="G917" s="7694"/>
      <c r="H917" s="7694"/>
      <c r="I917" s="7694"/>
      <c r="J917" s="7694"/>
      <c r="K917" s="7694"/>
      <c r="L917" s="7694"/>
      <c r="M917" s="7694"/>
      <c r="N917" s="7694"/>
      <c r="O917" s="7696"/>
      <c r="P917" s="7696"/>
      <c r="Q917" s="7696"/>
      <c r="R917" s="7696"/>
      <c r="S917" s="7705"/>
    </row>
    <row r="918">
      <c r="A918" s="7696"/>
      <c r="B918" s="7754" t="s">
        <v>3643</v>
      </c>
      <c r="C918" s="7759"/>
      <c r="D918" s="7759"/>
      <c r="E918" s="7759"/>
      <c r="F918" s="7759"/>
      <c r="G918" s="7759"/>
      <c r="H918" s="7760"/>
      <c r="I918" s="7757" t="s">
        <v>513</v>
      </c>
      <c r="J918" s="7757" t="s">
        <v>514</v>
      </c>
      <c r="K918" s="7757" t="s">
        <v>515</v>
      </c>
      <c r="L918" s="7757" t="s">
        <v>516</v>
      </c>
      <c r="M918" s="7757" t="s">
        <v>517</v>
      </c>
      <c r="N918" s="7758" t="s">
        <v>518</v>
      </c>
      <c r="O918" s="7701"/>
      <c r="P918" s="7704"/>
      <c r="Q918" s="7704"/>
      <c r="R918" s="7704"/>
      <c r="S918" s="7705"/>
    </row>
    <row r="919" ht="18.75" customHeight="1">
      <c r="A919" s="7696"/>
      <c r="B919" s="7742" t="s">
        <v>3644</v>
      </c>
      <c r="C919" s="7743" t="s">
        <v>3645</v>
      </c>
      <c r="D919" s="7744"/>
      <c r="E919" s="7745" t="s">
        <v>2209</v>
      </c>
      <c r="F919" s="7745" t="str">
        <f t="shared" ref="F919:F978" si="64">IFERROR(VLOOKUP(E919,P$3:Q936,2,False),"")</f>
        <v/>
      </c>
      <c r="G919" s="7745" t="s">
        <v>2224</v>
      </c>
      <c r="H919" s="7745" t="str">
        <f t="shared" ref="H919:H978" si="65">IFERROR(VLOOKUP(G919,P$3:Q936,2,False),"")</f>
        <v/>
      </c>
      <c r="I919" s="7745">
        <v>68.0</v>
      </c>
      <c r="J919" s="7745">
        <v>55.0</v>
      </c>
      <c r="K919" s="7745">
        <v>55.0</v>
      </c>
      <c r="L919" s="7745">
        <v>50.0</v>
      </c>
      <c r="M919" s="7745">
        <v>50.0</v>
      </c>
      <c r="N919" s="7746">
        <v>42.0</v>
      </c>
      <c r="O919" s="7701"/>
      <c r="P919" s="7704"/>
      <c r="Q919" s="7704"/>
      <c r="R919" s="7704"/>
      <c r="S919" s="7705"/>
    </row>
    <row r="920" ht="18.75" customHeight="1">
      <c r="A920" s="7696"/>
      <c r="B920" s="7712" t="s">
        <v>3646</v>
      </c>
      <c r="C920" s="7713" t="s">
        <v>3647</v>
      </c>
      <c r="D920" s="7714"/>
      <c r="E920" s="7713" t="s">
        <v>2209</v>
      </c>
      <c r="F920" s="7713" t="str">
        <f t="shared" si="64"/>
        <v/>
      </c>
      <c r="G920" s="7713" t="s">
        <v>2224</v>
      </c>
      <c r="H920" s="7713" t="str">
        <f t="shared" si="65"/>
        <v/>
      </c>
      <c r="I920" s="7713">
        <v>78.0</v>
      </c>
      <c r="J920" s="7713">
        <v>75.0</v>
      </c>
      <c r="K920" s="7713">
        <v>75.0</v>
      </c>
      <c r="L920" s="7713">
        <v>70.0</v>
      </c>
      <c r="M920" s="7713">
        <v>70.0</v>
      </c>
      <c r="N920" s="7715">
        <v>52.0</v>
      </c>
      <c r="O920" s="7701"/>
      <c r="P920" s="7704"/>
      <c r="Q920" s="7704"/>
      <c r="R920" s="7704"/>
      <c r="S920" s="7705"/>
    </row>
    <row r="921" ht="18.75" customHeight="1">
      <c r="A921" s="7696"/>
      <c r="B921" s="7718" t="s">
        <v>1444</v>
      </c>
      <c r="C921" s="7719" t="s">
        <v>3648</v>
      </c>
      <c r="D921" s="7720"/>
      <c r="E921" s="7719" t="s">
        <v>2209</v>
      </c>
      <c r="F921" s="7719" t="str">
        <f t="shared" si="64"/>
        <v/>
      </c>
      <c r="G921" s="7719" t="s">
        <v>2447</v>
      </c>
      <c r="H921" s="7719" t="str">
        <f t="shared" si="65"/>
        <v/>
      </c>
      <c r="I921" s="7719">
        <v>78.0</v>
      </c>
      <c r="J921" s="7719">
        <v>107.0</v>
      </c>
      <c r="K921" s="7719">
        <v>75.0</v>
      </c>
      <c r="L921" s="7719">
        <v>95.0</v>
      </c>
      <c r="M921" s="7719">
        <v>85.0</v>
      </c>
      <c r="N921" s="7721">
        <v>100.0</v>
      </c>
      <c r="O921" s="7701"/>
      <c r="P921" s="7704"/>
      <c r="Q921" s="7704"/>
      <c r="R921" s="7704"/>
      <c r="S921" s="7705"/>
    </row>
    <row r="922" ht="18.75" customHeight="1">
      <c r="A922" s="7696"/>
      <c r="B922" s="7712" t="s">
        <v>2020</v>
      </c>
      <c r="C922" s="7722" t="s">
        <v>3649</v>
      </c>
      <c r="D922" s="7714"/>
      <c r="E922" s="7713" t="s">
        <v>2209</v>
      </c>
      <c r="F922" s="7713" t="str">
        <f t="shared" si="64"/>
        <v/>
      </c>
      <c r="G922" s="7713" t="s">
        <v>2296</v>
      </c>
      <c r="H922" s="7713" t="str">
        <f t="shared" si="65"/>
        <v/>
      </c>
      <c r="I922" s="7713">
        <v>98.0</v>
      </c>
      <c r="J922" s="7713">
        <v>112.0</v>
      </c>
      <c r="K922" s="7713">
        <v>85.0</v>
      </c>
      <c r="L922" s="7713">
        <v>75.0</v>
      </c>
      <c r="M922" s="7713">
        <v>100.0</v>
      </c>
      <c r="N922" s="7715">
        <v>70.0</v>
      </c>
      <c r="O922" s="7701"/>
      <c r="P922" s="7704"/>
      <c r="Q922" s="7704"/>
      <c r="R922" s="7704"/>
      <c r="S922" s="7705"/>
    </row>
    <row r="923" ht="18.75" customHeight="1">
      <c r="A923" s="7696"/>
      <c r="B923" s="7718" t="s">
        <v>3650</v>
      </c>
      <c r="C923" s="7719" t="s">
        <v>3651</v>
      </c>
      <c r="D923" s="7720"/>
      <c r="E923" s="7719" t="s">
        <v>2219</v>
      </c>
      <c r="F923" s="7719" t="str">
        <f t="shared" si="64"/>
        <v/>
      </c>
      <c r="G923" s="7719"/>
      <c r="H923" s="7719" t="str">
        <f t="shared" si="65"/>
        <v/>
      </c>
      <c r="I923" s="7719">
        <v>45.0</v>
      </c>
      <c r="J923" s="7719">
        <v>65.0</v>
      </c>
      <c r="K923" s="7719">
        <v>40.0</v>
      </c>
      <c r="L923" s="7719">
        <v>60.0</v>
      </c>
      <c r="M923" s="7719">
        <v>40.0</v>
      </c>
      <c r="N923" s="7721">
        <v>70.0</v>
      </c>
      <c r="O923" s="7701"/>
      <c r="P923" s="7704"/>
      <c r="Q923" s="7704"/>
      <c r="R923" s="7704"/>
      <c r="S923" s="7705"/>
    </row>
    <row r="924" ht="18.75" customHeight="1">
      <c r="A924" s="7696"/>
      <c r="B924" s="7712" t="s">
        <v>3652</v>
      </c>
      <c r="C924" s="7713" t="s">
        <v>3653</v>
      </c>
      <c r="D924" s="7714"/>
      <c r="E924" s="7713" t="s">
        <v>2219</v>
      </c>
      <c r="F924" s="7713" t="str">
        <f t="shared" si="64"/>
        <v/>
      </c>
      <c r="G924" s="7713"/>
      <c r="H924" s="7713" t="str">
        <f t="shared" si="65"/>
        <v/>
      </c>
      <c r="I924" s="7713">
        <v>65.0</v>
      </c>
      <c r="J924" s="7713">
        <v>85.0</v>
      </c>
      <c r="K924" s="7713">
        <v>50.0</v>
      </c>
      <c r="L924" s="7713">
        <v>80.0</v>
      </c>
      <c r="M924" s="7713">
        <v>50.0</v>
      </c>
      <c r="N924" s="7715">
        <v>90.0</v>
      </c>
      <c r="O924" s="7701"/>
      <c r="P924" s="7704"/>
      <c r="Q924" s="7704"/>
      <c r="R924" s="7704"/>
      <c r="S924" s="7705"/>
    </row>
    <row r="925" ht="18.75" customHeight="1">
      <c r="A925" s="7696"/>
      <c r="B925" s="7718" t="s">
        <v>1251</v>
      </c>
      <c r="C925" s="7719" t="s">
        <v>3654</v>
      </c>
      <c r="D925" s="7720"/>
      <c r="E925" s="7719" t="s">
        <v>2219</v>
      </c>
      <c r="F925" s="7719" t="str">
        <f t="shared" si="64"/>
        <v/>
      </c>
      <c r="G925" s="7719" t="s">
        <v>2272</v>
      </c>
      <c r="H925" s="7719" t="str">
        <f t="shared" si="65"/>
        <v/>
      </c>
      <c r="I925" s="7719">
        <v>95.0</v>
      </c>
      <c r="J925" s="7719">
        <v>115.0</v>
      </c>
      <c r="K925" s="7719">
        <v>90.0</v>
      </c>
      <c r="L925" s="7719">
        <v>80.0</v>
      </c>
      <c r="M925" s="7719">
        <v>90.0</v>
      </c>
      <c r="N925" s="7721">
        <v>60.0</v>
      </c>
      <c r="O925" s="7701"/>
      <c r="P925" s="7704"/>
      <c r="Q925" s="7704"/>
      <c r="R925" s="7704"/>
      <c r="S925" s="7705"/>
    </row>
    <row r="926" ht="18.75" customHeight="1">
      <c r="A926" s="7696"/>
      <c r="B926" s="7712" t="s">
        <v>3655</v>
      </c>
      <c r="C926" s="7713" t="s">
        <v>3656</v>
      </c>
      <c r="D926" s="7714"/>
      <c r="E926" s="7713" t="s">
        <v>2232</v>
      </c>
      <c r="F926" s="7713" t="str">
        <f t="shared" si="64"/>
        <v/>
      </c>
      <c r="G926" s="7713"/>
      <c r="H926" s="7713" t="str">
        <f t="shared" si="65"/>
        <v/>
      </c>
      <c r="I926" s="7713">
        <v>50.0</v>
      </c>
      <c r="J926" s="7713">
        <v>54.0</v>
      </c>
      <c r="K926" s="7713">
        <v>54.0</v>
      </c>
      <c r="L926" s="7713">
        <v>66.0</v>
      </c>
      <c r="M926" s="7713">
        <v>56.0</v>
      </c>
      <c r="N926" s="7715">
        <v>40.0</v>
      </c>
      <c r="O926" s="7701"/>
      <c r="P926" s="7704"/>
      <c r="Q926" s="7704"/>
      <c r="R926" s="7704"/>
      <c r="S926" s="7705"/>
    </row>
    <row r="927" ht="18.75" customHeight="1">
      <c r="A927" s="7696"/>
      <c r="B927" s="7718" t="s">
        <v>1406</v>
      </c>
      <c r="C927" s="7719" t="s">
        <v>3657</v>
      </c>
      <c r="D927" s="7720"/>
      <c r="E927" s="7719" t="s">
        <v>2232</v>
      </c>
      <c r="F927" s="7719" t="str">
        <f t="shared" si="64"/>
        <v/>
      </c>
      <c r="G927" s="7719"/>
      <c r="H927" s="7719" t="str">
        <f t="shared" si="65"/>
        <v/>
      </c>
      <c r="I927" s="7719">
        <v>60.0</v>
      </c>
      <c r="J927" s="7719">
        <v>69.0</v>
      </c>
      <c r="K927" s="7719">
        <v>69.0</v>
      </c>
      <c r="L927" s="7719">
        <v>91.0</v>
      </c>
      <c r="M927" s="7719">
        <v>81.0</v>
      </c>
      <c r="N927" s="7721">
        <v>50.0</v>
      </c>
      <c r="O927" s="7701"/>
      <c r="P927" s="7704"/>
      <c r="Q927" s="7704"/>
      <c r="R927" s="7704"/>
      <c r="S927" s="7705"/>
    </row>
    <row r="928" ht="18.75" customHeight="1">
      <c r="A928" s="7696"/>
      <c r="B928" s="7712" t="s">
        <v>1120</v>
      </c>
      <c r="C928" s="7713" t="s">
        <v>3658</v>
      </c>
      <c r="D928" s="7714"/>
      <c r="E928" s="7713" t="s">
        <v>2232</v>
      </c>
      <c r="F928" s="7713" t="str">
        <f t="shared" si="64"/>
        <v/>
      </c>
      <c r="G928" s="7713" t="s">
        <v>2292</v>
      </c>
      <c r="H928" s="7713" t="str">
        <f t="shared" si="65"/>
        <v/>
      </c>
      <c r="I928" s="7713">
        <v>80.0</v>
      </c>
      <c r="J928" s="7713">
        <v>74.0</v>
      </c>
      <c r="K928" s="7713">
        <v>74.0</v>
      </c>
      <c r="L928" s="7713">
        <v>126.0</v>
      </c>
      <c r="M928" s="7713">
        <v>116.0</v>
      </c>
      <c r="N928" s="7715">
        <v>60.0</v>
      </c>
      <c r="O928" s="7701"/>
      <c r="P928" s="7704"/>
      <c r="Q928" s="7704"/>
      <c r="R928" s="7704"/>
      <c r="S928" s="7705"/>
    </row>
    <row r="929" ht="18.75" customHeight="1">
      <c r="A929" s="7696"/>
      <c r="B929" s="7718" t="s">
        <v>3659</v>
      </c>
      <c r="C929" s="7719" t="s">
        <v>3660</v>
      </c>
      <c r="D929" s="7720"/>
      <c r="E929" s="7719" t="s">
        <v>2262</v>
      </c>
      <c r="F929" s="7719" t="str">
        <f t="shared" si="64"/>
        <v/>
      </c>
      <c r="G929" s="7719" t="s">
        <v>2224</v>
      </c>
      <c r="H929" s="7719" t="str">
        <f t="shared" si="65"/>
        <v/>
      </c>
      <c r="I929" s="7719">
        <v>35.0</v>
      </c>
      <c r="J929" s="7719">
        <v>75.0</v>
      </c>
      <c r="K929" s="7719">
        <v>30.0</v>
      </c>
      <c r="L929" s="7719">
        <v>30.0</v>
      </c>
      <c r="M929" s="7719">
        <v>30.0</v>
      </c>
      <c r="N929" s="7721">
        <v>65.0</v>
      </c>
      <c r="O929" s="7701"/>
      <c r="P929" s="7704"/>
      <c r="Q929" s="7704"/>
      <c r="R929" s="7704"/>
      <c r="S929" s="7705"/>
    </row>
    <row r="930" ht="18.75" customHeight="1">
      <c r="A930" s="7696"/>
      <c r="B930" s="7712" t="s">
        <v>791</v>
      </c>
      <c r="C930" s="7713" t="s">
        <v>3661</v>
      </c>
      <c r="D930" s="7714"/>
      <c r="E930" s="7713" t="s">
        <v>2262</v>
      </c>
      <c r="F930" s="7713" t="str">
        <f t="shared" si="64"/>
        <v/>
      </c>
      <c r="G930" s="7713" t="s">
        <v>2224</v>
      </c>
      <c r="H930" s="7713" t="str">
        <f t="shared" si="65"/>
        <v/>
      </c>
      <c r="I930" s="7713">
        <v>55.0</v>
      </c>
      <c r="J930" s="7713">
        <v>85.0</v>
      </c>
      <c r="K930" s="7713">
        <v>50.0</v>
      </c>
      <c r="L930" s="7713">
        <v>40.0</v>
      </c>
      <c r="M930" s="7713">
        <v>50.0</v>
      </c>
      <c r="N930" s="7715">
        <v>75.0</v>
      </c>
      <c r="O930" s="7701"/>
      <c r="P930" s="7704"/>
      <c r="Q930" s="7704"/>
      <c r="R930" s="7704"/>
      <c r="S930" s="7705"/>
    </row>
    <row r="931" ht="18.75" customHeight="1">
      <c r="A931" s="7696"/>
      <c r="B931" s="7718" t="s">
        <v>3662</v>
      </c>
      <c r="C931" s="7719" t="s">
        <v>3663</v>
      </c>
      <c r="D931" s="7720"/>
      <c r="E931" s="7719" t="s">
        <v>2262</v>
      </c>
      <c r="F931" s="7719" t="str">
        <f t="shared" si="64"/>
        <v/>
      </c>
      <c r="G931" s="7719" t="s">
        <v>2224</v>
      </c>
      <c r="H931" s="7719" t="str">
        <f t="shared" si="65"/>
        <v/>
      </c>
      <c r="I931" s="7719">
        <v>90.0</v>
      </c>
      <c r="J931" s="7719">
        <v>120.0</v>
      </c>
      <c r="K931" s="7719">
        <v>75.0</v>
      </c>
      <c r="L931" s="7719">
        <v>75.0</v>
      </c>
      <c r="M931" s="7719">
        <v>75.0</v>
      </c>
      <c r="N931" s="7721">
        <v>60.0</v>
      </c>
      <c r="O931" s="7701"/>
      <c r="P931" s="7704"/>
      <c r="Q931" s="7704"/>
      <c r="R931" s="7704"/>
      <c r="S931" s="7705"/>
    </row>
    <row r="932" ht="18.75" customHeight="1">
      <c r="A932" s="7696"/>
      <c r="B932" s="7712" t="s">
        <v>3664</v>
      </c>
      <c r="C932" s="7713" t="s">
        <v>3665</v>
      </c>
      <c r="D932" s="7714"/>
      <c r="E932" s="7713" t="s">
        <v>2262</v>
      </c>
      <c r="F932" s="7713" t="str">
        <f t="shared" si="64"/>
        <v/>
      </c>
      <c r="G932" s="7713"/>
      <c r="H932" s="7713" t="str">
        <f t="shared" si="65"/>
        <v/>
      </c>
      <c r="I932" s="7713">
        <v>48.0</v>
      </c>
      <c r="J932" s="7713">
        <v>70.0</v>
      </c>
      <c r="K932" s="7713">
        <v>30.0</v>
      </c>
      <c r="L932" s="7713">
        <v>30.0</v>
      </c>
      <c r="M932" s="7713">
        <v>30.0</v>
      </c>
      <c r="N932" s="7715">
        <v>45.0</v>
      </c>
      <c r="O932" s="7701"/>
      <c r="P932" s="7704"/>
      <c r="Q932" s="7704"/>
      <c r="R932" s="7704"/>
      <c r="S932" s="7705"/>
    </row>
    <row r="933" ht="18.75" customHeight="1">
      <c r="A933" s="7696"/>
      <c r="B933" s="7718" t="s">
        <v>292</v>
      </c>
      <c r="C933" s="7719" t="s">
        <v>3666</v>
      </c>
      <c r="D933" s="7720"/>
      <c r="E933" s="7723" t="s">
        <v>2262</v>
      </c>
      <c r="F933" s="7723" t="str">
        <f t="shared" si="64"/>
        <v/>
      </c>
      <c r="G933" s="7723"/>
      <c r="H933" s="7723" t="str">
        <f t="shared" si="65"/>
        <v/>
      </c>
      <c r="I933" s="7719">
        <v>98.0</v>
      </c>
      <c r="J933" s="7719">
        <v>110.0</v>
      </c>
      <c r="K933" s="7719">
        <v>60.0</v>
      </c>
      <c r="L933" s="7719">
        <v>55.0</v>
      </c>
      <c r="M933" s="7719">
        <v>60.0</v>
      </c>
      <c r="N933" s="7721">
        <v>45.0</v>
      </c>
      <c r="O933" s="7701"/>
      <c r="P933" s="7704"/>
      <c r="Q933" s="7704"/>
      <c r="R933" s="7704"/>
      <c r="S933" s="7705"/>
    </row>
    <row r="934" ht="18.75" customHeight="1">
      <c r="A934" s="7696"/>
      <c r="B934" s="7712" t="s">
        <v>3667</v>
      </c>
      <c r="C934" s="7713" t="s">
        <v>3668</v>
      </c>
      <c r="D934" s="7714"/>
      <c r="E934" s="7713" t="s">
        <v>2243</v>
      </c>
      <c r="F934" s="7713" t="str">
        <f t="shared" si="64"/>
        <v/>
      </c>
      <c r="G934" s="7713"/>
      <c r="H934" s="7713" t="str">
        <f t="shared" si="65"/>
        <v/>
      </c>
      <c r="I934" s="7713">
        <v>47.0</v>
      </c>
      <c r="J934" s="7713">
        <v>62.0</v>
      </c>
      <c r="K934" s="7713">
        <v>45.0</v>
      </c>
      <c r="L934" s="7713">
        <v>55.0</v>
      </c>
      <c r="M934" s="7713">
        <v>45.0</v>
      </c>
      <c r="N934" s="7715">
        <v>46.0</v>
      </c>
      <c r="O934" s="7701"/>
      <c r="P934" s="7704"/>
      <c r="Q934" s="7704"/>
      <c r="R934" s="7704"/>
      <c r="S934" s="7705"/>
    </row>
    <row r="935" ht="18.75" customHeight="1">
      <c r="A935" s="7696"/>
      <c r="B935" s="7718" t="s">
        <v>3669</v>
      </c>
      <c r="C935" s="7719" t="s">
        <v>3670</v>
      </c>
      <c r="D935" s="7720"/>
      <c r="E935" s="7719" t="s">
        <v>2243</v>
      </c>
      <c r="F935" s="7719" t="str">
        <f t="shared" si="64"/>
        <v/>
      </c>
      <c r="G935" s="7719" t="s">
        <v>2283</v>
      </c>
      <c r="H935" s="7719" t="str">
        <f t="shared" si="65"/>
        <v/>
      </c>
      <c r="I935" s="7719">
        <v>57.0</v>
      </c>
      <c r="J935" s="7719">
        <v>82.0</v>
      </c>
      <c r="K935" s="7719">
        <v>95.0</v>
      </c>
      <c r="L935" s="7719">
        <v>55.0</v>
      </c>
      <c r="M935" s="7719">
        <v>75.0</v>
      </c>
      <c r="N935" s="7721">
        <v>36.0</v>
      </c>
      <c r="O935" s="7701"/>
      <c r="P935" s="7704"/>
      <c r="Q935" s="7704"/>
      <c r="R935" s="7704"/>
      <c r="S935" s="7705"/>
    </row>
    <row r="936" ht="18.75" customHeight="1">
      <c r="A936" s="7696"/>
      <c r="B936" s="7712" t="s">
        <v>824</v>
      </c>
      <c r="C936" s="7713" t="s">
        <v>3671</v>
      </c>
      <c r="D936" s="7714"/>
      <c r="E936" s="7713" t="s">
        <v>2243</v>
      </c>
      <c r="F936" s="7713" t="str">
        <f t="shared" si="64"/>
        <v/>
      </c>
      <c r="G936" s="7713" t="s">
        <v>2283</v>
      </c>
      <c r="H936" s="7713" t="str">
        <f t="shared" si="65"/>
        <v/>
      </c>
      <c r="I936" s="7713">
        <v>77.0</v>
      </c>
      <c r="J936" s="7713">
        <v>70.0</v>
      </c>
      <c r="K936" s="7713">
        <v>90.0</v>
      </c>
      <c r="L936" s="7713">
        <v>145.0</v>
      </c>
      <c r="M936" s="7713">
        <v>75.0</v>
      </c>
      <c r="N936" s="7715">
        <v>43.0</v>
      </c>
      <c r="O936" s="7701"/>
      <c r="P936" s="7704"/>
      <c r="Q936" s="7704"/>
      <c r="R936" s="7704"/>
      <c r="S936" s="7705"/>
    </row>
    <row r="937" ht="18.75" customHeight="1">
      <c r="A937" s="7696"/>
      <c r="B937" s="7718" t="s">
        <v>3672</v>
      </c>
      <c r="C937" s="7719" t="s">
        <v>3673</v>
      </c>
      <c r="D937" s="7720"/>
      <c r="E937" s="7719" t="s">
        <v>2296</v>
      </c>
      <c r="F937" s="7719" t="str">
        <f t="shared" si="64"/>
        <v/>
      </c>
      <c r="G937" s="7719"/>
      <c r="H937" s="7719" t="str">
        <f t="shared" si="65"/>
        <v/>
      </c>
      <c r="I937" s="7719">
        <v>47.0</v>
      </c>
      <c r="J937" s="7719">
        <v>82.0</v>
      </c>
      <c r="K937" s="7719">
        <v>57.0</v>
      </c>
      <c r="L937" s="7719">
        <v>42.0</v>
      </c>
      <c r="M937" s="7719">
        <v>47.0</v>
      </c>
      <c r="N937" s="7721">
        <v>63.0</v>
      </c>
      <c r="O937" s="7701"/>
      <c r="P937" s="7704"/>
      <c r="Q937" s="7704"/>
      <c r="R937" s="7704"/>
      <c r="S937" s="7705"/>
    </row>
    <row r="938" ht="18.75" customHeight="1">
      <c r="A938" s="7696"/>
      <c r="B938" s="7712" t="s">
        <v>3674</v>
      </c>
      <c r="C938" s="7713" t="s">
        <v>3675</v>
      </c>
      <c r="D938" s="7714"/>
      <c r="E938" s="7713" t="s">
        <v>2296</v>
      </c>
      <c r="F938" s="7713" t="str">
        <f t="shared" si="64"/>
        <v/>
      </c>
      <c r="G938" s="7713" t="s">
        <v>2289</v>
      </c>
      <c r="H938" s="7713" t="str">
        <f t="shared" si="65"/>
        <v/>
      </c>
      <c r="I938" s="7713">
        <v>97.0</v>
      </c>
      <c r="J938" s="7713">
        <v>132.0</v>
      </c>
      <c r="K938" s="7713">
        <v>77.0</v>
      </c>
      <c r="L938" s="7713">
        <v>62.0</v>
      </c>
      <c r="M938" s="7713">
        <v>67.0</v>
      </c>
      <c r="N938" s="7715">
        <v>43.0</v>
      </c>
      <c r="O938" s="7701"/>
      <c r="P938" s="7704"/>
      <c r="Q938" s="7704"/>
      <c r="R938" s="7704"/>
      <c r="S938" s="7705"/>
    </row>
    <row r="939" ht="18.75" customHeight="1">
      <c r="A939" s="7696"/>
      <c r="B939" s="7718" t="s">
        <v>297</v>
      </c>
      <c r="C939" s="7719" t="s">
        <v>3676</v>
      </c>
      <c r="D939" s="7720"/>
      <c r="E939" s="7719" t="s">
        <v>2219</v>
      </c>
      <c r="F939" s="7719" t="str">
        <f t="shared" si="64"/>
        <v/>
      </c>
      <c r="G939" s="7719" t="s">
        <v>2224</v>
      </c>
      <c r="H939" s="7719" t="str">
        <f t="shared" si="65"/>
        <v/>
      </c>
      <c r="I939" s="7719">
        <v>75.0</v>
      </c>
      <c r="J939" s="7719">
        <v>70.0</v>
      </c>
      <c r="K939" s="7719">
        <v>70.0</v>
      </c>
      <c r="L939" s="7719">
        <v>98.0</v>
      </c>
      <c r="M939" s="7719">
        <v>70.0</v>
      </c>
      <c r="N939" s="7721">
        <v>93.0</v>
      </c>
      <c r="O939" s="7701"/>
      <c r="P939" s="7704"/>
      <c r="Q939" s="7704"/>
      <c r="R939" s="7704"/>
      <c r="S939" s="7705"/>
    </row>
    <row r="940" ht="18.75" customHeight="1">
      <c r="A940" s="7696"/>
      <c r="B940" s="7712" t="s">
        <v>3677</v>
      </c>
      <c r="C940" s="7722" t="s">
        <v>3678</v>
      </c>
      <c r="D940" s="7714"/>
      <c r="E940" s="7713" t="s">
        <v>2283</v>
      </c>
      <c r="F940" s="7713" t="str">
        <f t="shared" si="64"/>
        <v/>
      </c>
      <c r="G940" s="7713" t="s">
        <v>2224</v>
      </c>
      <c r="H940" s="7713" t="str">
        <f t="shared" si="65"/>
        <v/>
      </c>
      <c r="I940" s="7713">
        <v>75.0</v>
      </c>
      <c r="J940" s="7713">
        <v>70.0</v>
      </c>
      <c r="K940" s="7713">
        <v>70.0</v>
      </c>
      <c r="L940" s="7713">
        <v>98.0</v>
      </c>
      <c r="M940" s="7713">
        <v>70.0</v>
      </c>
      <c r="N940" s="7715">
        <v>93.0</v>
      </c>
      <c r="O940" s="7701"/>
      <c r="P940" s="7704"/>
      <c r="Q940" s="7704"/>
      <c r="R940" s="7704"/>
      <c r="S940" s="7705"/>
    </row>
    <row r="941" ht="18.75" customHeight="1">
      <c r="A941" s="7696"/>
      <c r="B941" s="7718" t="s">
        <v>3679</v>
      </c>
      <c r="C941" s="7723" t="s">
        <v>3680</v>
      </c>
      <c r="D941" s="7720"/>
      <c r="E941" s="7719" t="s">
        <v>669</v>
      </c>
      <c r="F941" s="7719" t="str">
        <f t="shared" si="64"/>
        <v/>
      </c>
      <c r="G941" s="7719" t="s">
        <v>2224</v>
      </c>
      <c r="H941" s="7719" t="str">
        <f t="shared" si="65"/>
        <v/>
      </c>
      <c r="I941" s="7719">
        <v>75.0</v>
      </c>
      <c r="J941" s="7719">
        <v>70.0</v>
      </c>
      <c r="K941" s="7719">
        <v>70.0</v>
      </c>
      <c r="L941" s="7719">
        <v>98.0</v>
      </c>
      <c r="M941" s="7719">
        <v>70.0</v>
      </c>
      <c r="N941" s="7721">
        <v>93.0</v>
      </c>
      <c r="O941" s="7701"/>
      <c r="P941" s="7704"/>
      <c r="Q941" s="7704"/>
      <c r="R941" s="7704"/>
      <c r="S941" s="7705"/>
    </row>
    <row r="942" ht="18.75" customHeight="1">
      <c r="A942" s="7696"/>
      <c r="B942" s="7712" t="s">
        <v>1375</v>
      </c>
      <c r="C942" s="7722" t="s">
        <v>3681</v>
      </c>
      <c r="D942" s="7714"/>
      <c r="E942" s="7713" t="s">
        <v>2447</v>
      </c>
      <c r="F942" s="7713" t="str">
        <f t="shared" si="64"/>
        <v/>
      </c>
      <c r="G942" s="7713" t="s">
        <v>2224</v>
      </c>
      <c r="H942" s="7713" t="str">
        <f t="shared" si="65"/>
        <v/>
      </c>
      <c r="I942" s="7713">
        <v>75.0</v>
      </c>
      <c r="J942" s="7713">
        <v>70.0</v>
      </c>
      <c r="K942" s="7713">
        <v>70.0</v>
      </c>
      <c r="L942" s="7713">
        <v>98.0</v>
      </c>
      <c r="M942" s="7713">
        <v>70.0</v>
      </c>
      <c r="N942" s="7715">
        <v>93.0</v>
      </c>
      <c r="O942" s="7701"/>
      <c r="P942" s="7704"/>
      <c r="Q942" s="7704"/>
      <c r="R942" s="7704"/>
      <c r="S942" s="7705"/>
    </row>
    <row r="943" ht="18.75" customHeight="1">
      <c r="A943" s="7696"/>
      <c r="B943" s="7718" t="s">
        <v>3682</v>
      </c>
      <c r="C943" s="7719" t="s">
        <v>3683</v>
      </c>
      <c r="D943" s="7720"/>
      <c r="E943" s="7719" t="s">
        <v>2243</v>
      </c>
      <c r="F943" s="7719" t="str">
        <f t="shared" si="64"/>
        <v/>
      </c>
      <c r="G943" s="7719" t="s">
        <v>2292</v>
      </c>
      <c r="H943" s="7719" t="str">
        <f t="shared" si="65"/>
        <v/>
      </c>
      <c r="I943" s="7719">
        <v>40.0</v>
      </c>
      <c r="J943" s="7719">
        <v>45.0</v>
      </c>
      <c r="K943" s="7719">
        <v>40.0</v>
      </c>
      <c r="L943" s="7719">
        <v>55.0</v>
      </c>
      <c r="M943" s="7719">
        <v>40.0</v>
      </c>
      <c r="N943" s="7721">
        <v>84.0</v>
      </c>
      <c r="O943" s="7701"/>
      <c r="P943" s="7704"/>
      <c r="Q943" s="7704"/>
      <c r="R943" s="7704"/>
      <c r="S943" s="7705"/>
    </row>
    <row r="944" ht="18.75" customHeight="1">
      <c r="A944" s="7696"/>
      <c r="B944" s="7712" t="s">
        <v>303</v>
      </c>
      <c r="C944" s="7713" t="s">
        <v>3684</v>
      </c>
      <c r="D944" s="7714"/>
      <c r="E944" s="7713" t="s">
        <v>2243</v>
      </c>
      <c r="F944" s="7713" t="str">
        <f t="shared" si="64"/>
        <v/>
      </c>
      <c r="G944" s="7713" t="s">
        <v>2292</v>
      </c>
      <c r="H944" s="7713" t="str">
        <f t="shared" si="65"/>
        <v/>
      </c>
      <c r="I944" s="7713">
        <v>60.0</v>
      </c>
      <c r="J944" s="7713">
        <v>55.0</v>
      </c>
      <c r="K944" s="7713">
        <v>60.0</v>
      </c>
      <c r="L944" s="7713">
        <v>95.0</v>
      </c>
      <c r="M944" s="7713">
        <v>70.0</v>
      </c>
      <c r="N944" s="7715">
        <v>124.0</v>
      </c>
      <c r="O944" s="7701"/>
      <c r="P944" s="7704"/>
      <c r="Q944" s="7704"/>
      <c r="R944" s="7704"/>
      <c r="S944" s="7705"/>
    </row>
    <row r="945" ht="18.75" customHeight="1">
      <c r="A945" s="7696"/>
      <c r="B945" s="7718" t="s">
        <v>3685</v>
      </c>
      <c r="C945" s="7719" t="s">
        <v>3686</v>
      </c>
      <c r="D945" s="7720"/>
      <c r="E945" s="7719" t="s">
        <v>2370</v>
      </c>
      <c r="F945" s="7719" t="str">
        <f t="shared" si="64"/>
        <v/>
      </c>
      <c r="G945" s="7719"/>
      <c r="H945" s="7719" t="str">
        <f t="shared" si="65"/>
        <v/>
      </c>
      <c r="I945" s="7719">
        <v>45.0</v>
      </c>
      <c r="J945" s="7719">
        <v>65.0</v>
      </c>
      <c r="K945" s="7719">
        <v>40.0</v>
      </c>
      <c r="L945" s="7719">
        <v>30.0</v>
      </c>
      <c r="M945" s="7719">
        <v>40.0</v>
      </c>
      <c r="N945" s="7721">
        <v>60.0</v>
      </c>
      <c r="O945" s="7701"/>
      <c r="P945" s="7704"/>
      <c r="Q945" s="7704"/>
      <c r="R945" s="7704"/>
      <c r="S945" s="7705"/>
    </row>
    <row r="946" ht="18.75" customHeight="1">
      <c r="A946" s="7696"/>
      <c r="B946" s="7712" t="s">
        <v>1715</v>
      </c>
      <c r="C946" s="7713" t="s">
        <v>3687</v>
      </c>
      <c r="D946" s="7714"/>
      <c r="E946" s="7713" t="s">
        <v>2370</v>
      </c>
      <c r="F946" s="7713" t="str">
        <f t="shared" si="64"/>
        <v/>
      </c>
      <c r="G946" s="7713"/>
      <c r="H946" s="7713" t="str">
        <f t="shared" si="65"/>
        <v/>
      </c>
      <c r="I946" s="7713">
        <v>75.0</v>
      </c>
      <c r="J946" s="7713">
        <v>115.0</v>
      </c>
      <c r="K946" s="7713">
        <v>65.0</v>
      </c>
      <c r="L946" s="7713">
        <v>55.0</v>
      </c>
      <c r="M946" s="7713">
        <v>65.0</v>
      </c>
      <c r="N946" s="7715">
        <v>112.0</v>
      </c>
      <c r="O946" s="7701"/>
      <c r="P946" s="7704"/>
      <c r="Q946" s="7704"/>
      <c r="R946" s="7704"/>
      <c r="S946" s="7705"/>
    </row>
    <row r="947" ht="18.75" customHeight="1">
      <c r="A947" s="7696"/>
      <c r="B947" s="7718" t="s">
        <v>3688</v>
      </c>
      <c r="C947" s="7723" t="s">
        <v>3689</v>
      </c>
      <c r="D947" s="7720"/>
      <c r="E947" s="7719" t="s">
        <v>2370</v>
      </c>
      <c r="F947" s="7719" t="str">
        <f t="shared" si="64"/>
        <v/>
      </c>
      <c r="G947" s="7719"/>
      <c r="H947" s="7719" t="str">
        <f t="shared" si="65"/>
        <v/>
      </c>
      <c r="I947" s="7719">
        <v>85.0</v>
      </c>
      <c r="J947" s="7719">
        <v>115.0</v>
      </c>
      <c r="K947" s="7719">
        <v>75.0</v>
      </c>
      <c r="L947" s="7719">
        <v>55.0</v>
      </c>
      <c r="M947" s="7719">
        <v>75.0</v>
      </c>
      <c r="N947" s="7721">
        <v>82.0</v>
      </c>
      <c r="O947" s="7701"/>
      <c r="P947" s="7704"/>
      <c r="Q947" s="7704"/>
      <c r="R947" s="7704"/>
      <c r="S947" s="7705"/>
    </row>
    <row r="948" ht="18.75" customHeight="1">
      <c r="A948" s="7696"/>
      <c r="B948" s="7712" t="s">
        <v>2076</v>
      </c>
      <c r="C948" s="7722" t="s">
        <v>3690</v>
      </c>
      <c r="D948" s="7714"/>
      <c r="E948" s="7713" t="s">
        <v>2370</v>
      </c>
      <c r="F948" s="7713" t="str">
        <f t="shared" si="64"/>
        <v/>
      </c>
      <c r="G948" s="7713"/>
      <c r="H948" s="7713" t="str">
        <f t="shared" si="65"/>
        <v/>
      </c>
      <c r="I948" s="7713">
        <v>75.0</v>
      </c>
      <c r="J948" s="7713">
        <v>117.0</v>
      </c>
      <c r="K948" s="7713">
        <v>65.0</v>
      </c>
      <c r="L948" s="7713">
        <v>55.0</v>
      </c>
      <c r="M948" s="7713">
        <v>65.0</v>
      </c>
      <c r="N948" s="7715">
        <v>110.0</v>
      </c>
      <c r="O948" s="7701"/>
      <c r="P948" s="7704"/>
      <c r="Q948" s="7704"/>
      <c r="R948" s="7704"/>
      <c r="S948" s="7705"/>
    </row>
    <row r="949" ht="18.75" customHeight="1">
      <c r="A949" s="7696"/>
      <c r="B949" s="7718" t="s">
        <v>3691</v>
      </c>
      <c r="C949" s="7719" t="s">
        <v>3692</v>
      </c>
      <c r="D949" s="7720"/>
      <c r="E949" s="7719" t="s">
        <v>2232</v>
      </c>
      <c r="F949" s="7719" t="str">
        <f t="shared" si="64"/>
        <v/>
      </c>
      <c r="G949" s="7719"/>
      <c r="H949" s="7719" t="str">
        <f t="shared" si="65"/>
        <v/>
      </c>
      <c r="I949" s="7719">
        <v>55.0</v>
      </c>
      <c r="J949" s="7719">
        <v>20.0</v>
      </c>
      <c r="K949" s="7719">
        <v>20.0</v>
      </c>
      <c r="L949" s="7719">
        <v>25.0</v>
      </c>
      <c r="M949" s="7719">
        <v>25.0</v>
      </c>
      <c r="N949" s="7721">
        <v>40.0</v>
      </c>
      <c r="O949" s="7701"/>
      <c r="P949" s="7704"/>
      <c r="Q949" s="7704"/>
      <c r="R949" s="7704"/>
      <c r="S949" s="7705"/>
    </row>
    <row r="950" ht="18.75" customHeight="1">
      <c r="A950" s="7696"/>
      <c r="B950" s="7712" t="s">
        <v>2044</v>
      </c>
      <c r="C950" s="7722" t="s">
        <v>3693</v>
      </c>
      <c r="D950" s="7714"/>
      <c r="E950" s="7713" t="s">
        <v>2232</v>
      </c>
      <c r="F950" s="7713" t="str">
        <f t="shared" si="64"/>
        <v/>
      </c>
      <c r="G950" s="7713"/>
      <c r="H950" s="7713" t="str">
        <f t="shared" si="65"/>
        <v/>
      </c>
      <c r="I950" s="7713">
        <v>55.0</v>
      </c>
      <c r="J950" s="7713">
        <v>140.0</v>
      </c>
      <c r="K950" s="7713">
        <v>130.0</v>
      </c>
      <c r="L950" s="7713">
        <v>140.0</v>
      </c>
      <c r="M950" s="7713">
        <v>135.0</v>
      </c>
      <c r="N950" s="7715">
        <v>30.0</v>
      </c>
      <c r="O950" s="7701"/>
      <c r="P950" s="7704"/>
      <c r="Q950" s="7704"/>
      <c r="R950" s="7704"/>
      <c r="S950" s="7705"/>
    </row>
    <row r="951" ht="18.75" customHeight="1">
      <c r="A951" s="7696"/>
      <c r="B951" s="7718" t="s">
        <v>3694</v>
      </c>
      <c r="C951" s="7719" t="s">
        <v>3695</v>
      </c>
      <c r="D951" s="7720"/>
      <c r="E951" s="7719" t="s">
        <v>2210</v>
      </c>
      <c r="F951" s="7719" t="str">
        <f t="shared" si="64"/>
        <v/>
      </c>
      <c r="G951" s="7719" t="s">
        <v>2232</v>
      </c>
      <c r="H951" s="7719" t="str">
        <f t="shared" si="65"/>
        <v/>
      </c>
      <c r="I951" s="7719">
        <v>50.0</v>
      </c>
      <c r="J951" s="7719">
        <v>53.0</v>
      </c>
      <c r="K951" s="7719">
        <v>62.0</v>
      </c>
      <c r="L951" s="7719">
        <v>43.0</v>
      </c>
      <c r="M951" s="7719">
        <v>52.0</v>
      </c>
      <c r="N951" s="7721">
        <v>45.0</v>
      </c>
      <c r="O951" s="7701"/>
      <c r="P951" s="7704"/>
      <c r="Q951" s="7704"/>
      <c r="R951" s="7704"/>
      <c r="S951" s="7705"/>
    </row>
    <row r="952" ht="18.75" customHeight="1">
      <c r="A952" s="7696"/>
      <c r="B952" s="7712" t="s">
        <v>2179</v>
      </c>
      <c r="C952" s="7713" t="s">
        <v>3696</v>
      </c>
      <c r="D952" s="7714"/>
      <c r="E952" s="7713" t="s">
        <v>2210</v>
      </c>
      <c r="F952" s="7713" t="str">
        <f t="shared" si="64"/>
        <v/>
      </c>
      <c r="G952" s="7713" t="s">
        <v>2232</v>
      </c>
      <c r="H952" s="7713" t="str">
        <f t="shared" si="65"/>
        <v/>
      </c>
      <c r="I952" s="7713">
        <v>50.0</v>
      </c>
      <c r="J952" s="7713">
        <v>63.0</v>
      </c>
      <c r="K952" s="7713">
        <v>152.0</v>
      </c>
      <c r="L952" s="7713">
        <v>53.0</v>
      </c>
      <c r="M952" s="7713">
        <v>142.0</v>
      </c>
      <c r="N952" s="7715">
        <v>35.0</v>
      </c>
      <c r="O952" s="7701"/>
      <c r="P952" s="7704"/>
      <c r="Q952" s="7704"/>
      <c r="R952" s="7704"/>
      <c r="S952" s="7705"/>
    </row>
    <row r="953" ht="18.75" customHeight="1">
      <c r="A953" s="7696"/>
      <c r="B953" s="7718" t="s">
        <v>3697</v>
      </c>
      <c r="C953" s="7719" t="s">
        <v>3698</v>
      </c>
      <c r="D953" s="7720"/>
      <c r="E953" s="7719" t="s">
        <v>2304</v>
      </c>
      <c r="F953" s="7719" t="str">
        <f t="shared" si="64"/>
        <v/>
      </c>
      <c r="G953" s="7719"/>
      <c r="H953" s="7719" t="str">
        <f t="shared" si="65"/>
        <v/>
      </c>
      <c r="I953" s="7719">
        <v>70.0</v>
      </c>
      <c r="J953" s="7719">
        <v>100.0</v>
      </c>
      <c r="K953" s="7719">
        <v>70.0</v>
      </c>
      <c r="L953" s="7719">
        <v>45.0</v>
      </c>
      <c r="M953" s="7719">
        <v>55.0</v>
      </c>
      <c r="N953" s="7721">
        <v>45.0</v>
      </c>
      <c r="O953" s="7701"/>
      <c r="P953" s="7704"/>
      <c r="Q953" s="7704"/>
      <c r="R953" s="7704"/>
      <c r="S953" s="7705"/>
    </row>
    <row r="954" ht="18.75" customHeight="1">
      <c r="A954" s="7696"/>
      <c r="B954" s="7712" t="s">
        <v>3699</v>
      </c>
      <c r="C954" s="7713" t="s">
        <v>3700</v>
      </c>
      <c r="D954" s="7714"/>
      <c r="E954" s="7713" t="s">
        <v>2304</v>
      </c>
      <c r="F954" s="7713" t="str">
        <f t="shared" si="64"/>
        <v/>
      </c>
      <c r="G954" s="7713"/>
      <c r="H954" s="7713" t="str">
        <f t="shared" si="65"/>
        <v/>
      </c>
      <c r="I954" s="7713">
        <v>100.0</v>
      </c>
      <c r="J954" s="7713">
        <v>125.0</v>
      </c>
      <c r="K954" s="7713">
        <v>100.0</v>
      </c>
      <c r="L954" s="7713">
        <v>55.0</v>
      </c>
      <c r="M954" s="7713">
        <v>85.0</v>
      </c>
      <c r="N954" s="7715">
        <v>35.0</v>
      </c>
      <c r="O954" s="7701"/>
      <c r="P954" s="7704"/>
      <c r="Q954" s="7704"/>
      <c r="R954" s="7704"/>
      <c r="S954" s="7705"/>
    </row>
    <row r="955" ht="18.75" customHeight="1">
      <c r="A955" s="7696"/>
      <c r="B955" s="7718" t="s">
        <v>3701</v>
      </c>
      <c r="C955" s="7719" t="s">
        <v>3702</v>
      </c>
      <c r="D955" s="7720"/>
      <c r="E955" s="7719" t="s">
        <v>2232</v>
      </c>
      <c r="F955" s="7719" t="str">
        <f t="shared" si="64"/>
        <v/>
      </c>
      <c r="G955" s="7719" t="s">
        <v>2243</v>
      </c>
      <c r="H955" s="7719" t="str">
        <f t="shared" si="65"/>
        <v/>
      </c>
      <c r="I955" s="7719">
        <v>38.0</v>
      </c>
      <c r="J955" s="7719">
        <v>40.0</v>
      </c>
      <c r="K955" s="7719">
        <v>52.0</v>
      </c>
      <c r="L955" s="7719">
        <v>40.0</v>
      </c>
      <c r="M955" s="7719">
        <v>72.0</v>
      </c>
      <c r="N955" s="7721">
        <v>27.0</v>
      </c>
      <c r="O955" s="7701"/>
      <c r="P955" s="7704"/>
      <c r="Q955" s="7704"/>
      <c r="R955" s="7704"/>
      <c r="S955" s="7705"/>
    </row>
    <row r="956" ht="18.75" customHeight="1">
      <c r="A956" s="7696"/>
      <c r="B956" s="7712" t="s">
        <v>823</v>
      </c>
      <c r="C956" s="7713" t="s">
        <v>3703</v>
      </c>
      <c r="D956" s="7714"/>
      <c r="E956" s="7713" t="s">
        <v>2232</v>
      </c>
      <c r="F956" s="7713" t="str">
        <f t="shared" si="64"/>
        <v/>
      </c>
      <c r="G956" s="7713" t="s">
        <v>2243</v>
      </c>
      <c r="H956" s="7713" t="str">
        <f t="shared" si="65"/>
        <v/>
      </c>
      <c r="I956" s="7713">
        <v>68.0</v>
      </c>
      <c r="J956" s="7713">
        <v>70.0</v>
      </c>
      <c r="K956" s="7713">
        <v>92.0</v>
      </c>
      <c r="L956" s="7713">
        <v>50.0</v>
      </c>
      <c r="M956" s="7713">
        <v>132.0</v>
      </c>
      <c r="N956" s="7715">
        <v>42.0</v>
      </c>
      <c r="O956" s="7701"/>
      <c r="P956" s="7704"/>
      <c r="Q956" s="7704"/>
      <c r="R956" s="7704"/>
      <c r="S956" s="7705"/>
    </row>
    <row r="957" ht="18.75" customHeight="1">
      <c r="A957" s="7696"/>
      <c r="B957" s="7718" t="s">
        <v>3704</v>
      </c>
      <c r="C957" s="7719" t="s">
        <v>3705</v>
      </c>
      <c r="D957" s="7720"/>
      <c r="E957" s="7719" t="s">
        <v>2209</v>
      </c>
      <c r="F957" s="7719" t="str">
        <f t="shared" si="64"/>
        <v/>
      </c>
      <c r="G957" s="7719"/>
      <c r="H957" s="7719" t="str">
        <f t="shared" si="65"/>
        <v/>
      </c>
      <c r="I957" s="7719">
        <v>40.0</v>
      </c>
      <c r="J957" s="7719">
        <v>55.0</v>
      </c>
      <c r="K957" s="7719">
        <v>35.0</v>
      </c>
      <c r="L957" s="7719">
        <v>50.0</v>
      </c>
      <c r="M957" s="7719">
        <v>35.0</v>
      </c>
      <c r="N957" s="7721">
        <v>35.0</v>
      </c>
      <c r="O957" s="7701"/>
      <c r="P957" s="7704"/>
      <c r="Q957" s="7704"/>
      <c r="R957" s="7704"/>
      <c r="S957" s="7705"/>
    </row>
    <row r="958" ht="18.75" customHeight="1">
      <c r="A958" s="7696"/>
      <c r="B958" s="7712" t="s">
        <v>308</v>
      </c>
      <c r="C958" s="7713" t="s">
        <v>3706</v>
      </c>
      <c r="D958" s="7714"/>
      <c r="E958" s="7713" t="s">
        <v>2209</v>
      </c>
      <c r="F958" s="7713" t="str">
        <f t="shared" si="64"/>
        <v/>
      </c>
      <c r="G958" s="7713"/>
      <c r="H958" s="7713" t="str">
        <f t="shared" si="65"/>
        <v/>
      </c>
      <c r="I958" s="7713">
        <v>70.0</v>
      </c>
      <c r="J958" s="7713">
        <v>105.0</v>
      </c>
      <c r="K958" s="7713">
        <v>90.0</v>
      </c>
      <c r="L958" s="7713">
        <v>80.0</v>
      </c>
      <c r="M958" s="7713">
        <v>90.0</v>
      </c>
      <c r="N958" s="7715">
        <v>55.0</v>
      </c>
      <c r="O958" s="7701"/>
      <c r="P958" s="7704"/>
      <c r="Q958" s="7704"/>
      <c r="R958" s="7704"/>
      <c r="S958" s="7705"/>
    </row>
    <row r="959" ht="18.75" customHeight="1">
      <c r="A959" s="7696"/>
      <c r="B959" s="7718" t="s">
        <v>3707</v>
      </c>
      <c r="C959" s="7719" t="s">
        <v>3708</v>
      </c>
      <c r="D959" s="7720"/>
      <c r="E959" s="7719" t="s">
        <v>2209</v>
      </c>
      <c r="F959" s="7719" t="str">
        <f t="shared" si="64"/>
        <v/>
      </c>
      <c r="G959" s="7719" t="s">
        <v>2292</v>
      </c>
      <c r="H959" s="7719" t="str">
        <f t="shared" si="65"/>
        <v/>
      </c>
      <c r="I959" s="7719">
        <v>40.0</v>
      </c>
      <c r="J959" s="7719">
        <v>35.0</v>
      </c>
      <c r="K959" s="7719">
        <v>55.0</v>
      </c>
      <c r="L959" s="7719">
        <v>65.0</v>
      </c>
      <c r="M959" s="7719">
        <v>75.0</v>
      </c>
      <c r="N959" s="7721">
        <v>15.0</v>
      </c>
      <c r="O959" s="7701"/>
      <c r="P959" s="7704"/>
      <c r="Q959" s="7704"/>
      <c r="R959" s="7704"/>
      <c r="S959" s="7705"/>
    </row>
    <row r="960" ht="18.75" customHeight="1">
      <c r="A960" s="7696"/>
      <c r="B960" s="7712" t="s">
        <v>140</v>
      </c>
      <c r="C960" s="7713" t="s">
        <v>3709</v>
      </c>
      <c r="D960" s="7714"/>
      <c r="E960" s="7713" t="s">
        <v>2209</v>
      </c>
      <c r="F960" s="7713" t="str">
        <f t="shared" si="64"/>
        <v/>
      </c>
      <c r="G960" s="7713" t="s">
        <v>2292</v>
      </c>
      <c r="H960" s="7713" t="str">
        <f t="shared" si="65"/>
        <v/>
      </c>
      <c r="I960" s="7713">
        <v>75.0</v>
      </c>
      <c r="J960" s="7713">
        <v>45.0</v>
      </c>
      <c r="K960" s="7713">
        <v>80.0</v>
      </c>
      <c r="L960" s="7713">
        <v>90.0</v>
      </c>
      <c r="M960" s="7713">
        <v>100.0</v>
      </c>
      <c r="N960" s="7715">
        <v>30.0</v>
      </c>
      <c r="O960" s="7701"/>
      <c r="P960" s="7704"/>
      <c r="Q960" s="7704"/>
      <c r="R960" s="7704"/>
      <c r="S960" s="7705"/>
    </row>
    <row r="961" ht="18.75" customHeight="1">
      <c r="A961" s="7696"/>
      <c r="B961" s="7718" t="s">
        <v>1425</v>
      </c>
      <c r="C961" s="7719" t="s">
        <v>3710</v>
      </c>
      <c r="D961" s="7720"/>
      <c r="E961" s="7719" t="s">
        <v>2210</v>
      </c>
      <c r="F961" s="7719" t="str">
        <f t="shared" si="64"/>
        <v/>
      </c>
      <c r="G961" s="7719" t="s">
        <v>2219</v>
      </c>
      <c r="H961" s="7719" t="str">
        <f t="shared" si="65"/>
        <v/>
      </c>
      <c r="I961" s="7719">
        <v>48.0</v>
      </c>
      <c r="J961" s="7719">
        <v>44.0</v>
      </c>
      <c r="K961" s="7719">
        <v>40.0</v>
      </c>
      <c r="L961" s="7719">
        <v>71.0</v>
      </c>
      <c r="M961" s="7719">
        <v>40.0</v>
      </c>
      <c r="N961" s="7721">
        <v>77.0</v>
      </c>
      <c r="O961" s="7701"/>
      <c r="P961" s="7704"/>
      <c r="Q961" s="7704"/>
      <c r="R961" s="7704"/>
      <c r="S961" s="7705"/>
    </row>
    <row r="962" ht="18.75" customHeight="1">
      <c r="A962" s="7696"/>
      <c r="B962" s="7712" t="s">
        <v>3711</v>
      </c>
      <c r="C962" s="7713" t="s">
        <v>3712</v>
      </c>
      <c r="D962" s="7714"/>
      <c r="E962" s="7713" t="s">
        <v>2210</v>
      </c>
      <c r="F962" s="7713" t="str">
        <f t="shared" si="64"/>
        <v/>
      </c>
      <c r="G962" s="7713" t="s">
        <v>2219</v>
      </c>
      <c r="H962" s="7713" t="str">
        <f t="shared" si="65"/>
        <v/>
      </c>
      <c r="I962" s="7713">
        <v>68.0</v>
      </c>
      <c r="J962" s="7713">
        <v>64.0</v>
      </c>
      <c r="K962" s="7713">
        <v>60.0</v>
      </c>
      <c r="L962" s="7713">
        <v>111.0</v>
      </c>
      <c r="M962" s="7713">
        <v>60.0</v>
      </c>
      <c r="N962" s="7715">
        <v>117.0</v>
      </c>
      <c r="O962" s="7701"/>
      <c r="P962" s="7704"/>
      <c r="Q962" s="7704"/>
      <c r="R962" s="7704"/>
      <c r="S962" s="7705"/>
    </row>
    <row r="963" ht="18.75" customHeight="1">
      <c r="A963" s="7696"/>
      <c r="B963" s="7718" t="s">
        <v>1351</v>
      </c>
      <c r="C963" s="7719" t="s">
        <v>3713</v>
      </c>
      <c r="D963" s="7720"/>
      <c r="E963" s="7719" t="s">
        <v>2262</v>
      </c>
      <c r="F963" s="7719" t="str">
        <f t="shared" si="64"/>
        <v/>
      </c>
      <c r="G963" s="7719" t="s">
        <v>2296</v>
      </c>
      <c r="H963" s="7719" t="str">
        <f t="shared" si="65"/>
        <v/>
      </c>
      <c r="I963" s="7719">
        <v>70.0</v>
      </c>
      <c r="J963" s="7719">
        <v>75.0</v>
      </c>
      <c r="K963" s="7719">
        <v>50.0</v>
      </c>
      <c r="L963" s="7719">
        <v>45.0</v>
      </c>
      <c r="M963" s="7719">
        <v>50.0</v>
      </c>
      <c r="N963" s="7721">
        <v>50.0</v>
      </c>
      <c r="O963" s="7701"/>
      <c r="P963" s="7704"/>
      <c r="Q963" s="7704"/>
      <c r="R963" s="7704"/>
      <c r="S963" s="7705"/>
    </row>
    <row r="964" ht="18.75" customHeight="1">
      <c r="A964" s="7696"/>
      <c r="B964" s="7712" t="s">
        <v>2063</v>
      </c>
      <c r="C964" s="7713" t="s">
        <v>3714</v>
      </c>
      <c r="D964" s="7714"/>
      <c r="E964" s="7713" t="s">
        <v>2262</v>
      </c>
      <c r="F964" s="7713" t="str">
        <f t="shared" si="64"/>
        <v/>
      </c>
      <c r="G964" s="7713" t="s">
        <v>2296</v>
      </c>
      <c r="H964" s="7713" t="str">
        <f t="shared" si="65"/>
        <v/>
      </c>
      <c r="I964" s="7713">
        <v>120.0</v>
      </c>
      <c r="J964" s="7713">
        <v>125.0</v>
      </c>
      <c r="K964" s="7713">
        <v>80.0</v>
      </c>
      <c r="L964" s="7713">
        <v>55.0</v>
      </c>
      <c r="M964" s="7713">
        <v>60.0</v>
      </c>
      <c r="N964" s="7715">
        <v>60.0</v>
      </c>
      <c r="O964" s="7701"/>
      <c r="P964" s="7704"/>
      <c r="Q964" s="7704"/>
      <c r="R964" s="7704"/>
      <c r="S964" s="7705"/>
    </row>
    <row r="965" ht="18.75" customHeight="1">
      <c r="A965" s="7696"/>
      <c r="B965" s="7718" t="s">
        <v>3715</v>
      </c>
      <c r="C965" s="7719" t="s">
        <v>3716</v>
      </c>
      <c r="D965" s="7720"/>
      <c r="E965" s="7719" t="s">
        <v>2209</v>
      </c>
      <c r="F965" s="7719" t="str">
        <f t="shared" si="64"/>
        <v/>
      </c>
      <c r="G965" s="7719"/>
      <c r="H965" s="7719" t="str">
        <f t="shared" si="65"/>
        <v/>
      </c>
      <c r="I965" s="7719">
        <v>42.0</v>
      </c>
      <c r="J965" s="7719">
        <v>30.0</v>
      </c>
      <c r="K965" s="7719">
        <v>38.0</v>
      </c>
      <c r="L965" s="7719">
        <v>30.0</v>
      </c>
      <c r="M965" s="7719">
        <v>38.0</v>
      </c>
      <c r="N965" s="7721">
        <v>32.0</v>
      </c>
      <c r="O965" s="7701"/>
      <c r="P965" s="7704"/>
      <c r="Q965" s="7704"/>
      <c r="R965" s="7704"/>
      <c r="S965" s="7705"/>
    </row>
    <row r="966" ht="18.75" customHeight="1">
      <c r="A966" s="7696"/>
      <c r="B966" s="7712" t="s">
        <v>3717</v>
      </c>
      <c r="C966" s="7713" t="s">
        <v>3718</v>
      </c>
      <c r="D966" s="7714"/>
      <c r="E966" s="7713" t="s">
        <v>2209</v>
      </c>
      <c r="F966" s="7713" t="str">
        <f t="shared" si="64"/>
        <v/>
      </c>
      <c r="G966" s="7713"/>
      <c r="H966" s="7713" t="str">
        <f t="shared" si="65"/>
        <v/>
      </c>
      <c r="I966" s="7713">
        <v>52.0</v>
      </c>
      <c r="J966" s="7713">
        <v>70.0</v>
      </c>
      <c r="K966" s="7713">
        <v>48.0</v>
      </c>
      <c r="L966" s="7713">
        <v>70.0</v>
      </c>
      <c r="M966" s="7713">
        <v>48.0</v>
      </c>
      <c r="N966" s="7715">
        <v>62.0</v>
      </c>
      <c r="O966" s="7701"/>
      <c r="P966" s="7704"/>
      <c r="Q966" s="7704"/>
      <c r="R966" s="7704"/>
      <c r="S966" s="7705"/>
    </row>
    <row r="967" ht="18.75" customHeight="1">
      <c r="A967" s="7696"/>
      <c r="B967" s="7718" t="s">
        <v>1502</v>
      </c>
      <c r="C967" s="7719" t="s">
        <v>3719</v>
      </c>
      <c r="D967" s="7720"/>
      <c r="E967" s="7719" t="s">
        <v>2209</v>
      </c>
      <c r="F967" s="7719" t="str">
        <f t="shared" si="64"/>
        <v/>
      </c>
      <c r="G967" s="7719"/>
      <c r="H967" s="7719" t="str">
        <f t="shared" si="65"/>
        <v/>
      </c>
      <c r="I967" s="7719">
        <v>72.0</v>
      </c>
      <c r="J967" s="7719">
        <v>120.0</v>
      </c>
      <c r="K967" s="7719">
        <v>98.0</v>
      </c>
      <c r="L967" s="7719">
        <v>50.0</v>
      </c>
      <c r="M967" s="7719">
        <v>98.0</v>
      </c>
      <c r="N967" s="7721">
        <v>72.0</v>
      </c>
      <c r="O967" s="7701"/>
      <c r="P967" s="7704"/>
      <c r="Q967" s="7704"/>
      <c r="R967" s="7704"/>
      <c r="S967" s="7705"/>
    </row>
    <row r="968" ht="18.75" customHeight="1">
      <c r="A968" s="7696"/>
      <c r="B968" s="7712" t="s">
        <v>3720</v>
      </c>
      <c r="C968" s="7713" t="s">
        <v>3721</v>
      </c>
      <c r="D968" s="7714"/>
      <c r="E968" s="7722" t="s">
        <v>2292</v>
      </c>
      <c r="F968" s="7722" t="str">
        <f t="shared" si="64"/>
        <v/>
      </c>
      <c r="G968" s="7722"/>
      <c r="H968" s="7722" t="str">
        <f t="shared" si="65"/>
        <v/>
      </c>
      <c r="I968" s="7713">
        <v>51.0</v>
      </c>
      <c r="J968" s="7713">
        <v>52.0</v>
      </c>
      <c r="K968" s="7713">
        <v>90.0</v>
      </c>
      <c r="L968" s="7713">
        <v>82.0</v>
      </c>
      <c r="M968" s="7713">
        <v>110.0</v>
      </c>
      <c r="N968" s="7715">
        <v>100.0</v>
      </c>
      <c r="O968" s="7701"/>
      <c r="P968" s="7704"/>
      <c r="Q968" s="7704"/>
      <c r="R968" s="7704"/>
      <c r="S968" s="7705"/>
    </row>
    <row r="969" ht="18.75" customHeight="1">
      <c r="A969" s="7696"/>
      <c r="B969" s="7718" t="s">
        <v>3722</v>
      </c>
      <c r="C969" s="7719" t="s">
        <v>3723</v>
      </c>
      <c r="D969" s="7720"/>
      <c r="E969" s="7719" t="s">
        <v>2262</v>
      </c>
      <c r="F969" s="7719" t="str">
        <f t="shared" si="64"/>
        <v/>
      </c>
      <c r="G969" s="7719" t="s">
        <v>669</v>
      </c>
      <c r="H969" s="7719" t="str">
        <f t="shared" si="65"/>
        <v/>
      </c>
      <c r="I969" s="7719">
        <v>90.0</v>
      </c>
      <c r="J969" s="7719">
        <v>60.0</v>
      </c>
      <c r="K969" s="7719">
        <v>110.0</v>
      </c>
      <c r="L969" s="7719">
        <v>90.0</v>
      </c>
      <c r="M969" s="7719">
        <v>80.0</v>
      </c>
      <c r="N969" s="7721">
        <v>60.0</v>
      </c>
      <c r="O969" s="7701"/>
      <c r="P969" s="7704"/>
      <c r="Q969" s="7704"/>
      <c r="R969" s="7704"/>
      <c r="S969" s="7705"/>
    </row>
    <row r="970" ht="18.75" customHeight="1">
      <c r="A970" s="7696"/>
      <c r="B970" s="7712" t="s">
        <v>3724</v>
      </c>
      <c r="C970" s="7713" t="s">
        <v>3725</v>
      </c>
      <c r="D970" s="7714"/>
      <c r="E970" s="7713" t="s">
        <v>2296</v>
      </c>
      <c r="F970" s="7713" t="str">
        <f t="shared" si="64"/>
        <v/>
      </c>
      <c r="G970" s="7713"/>
      <c r="H970" s="7713" t="str">
        <f t="shared" si="65"/>
        <v/>
      </c>
      <c r="I970" s="7713">
        <v>100.0</v>
      </c>
      <c r="J970" s="7713">
        <v>120.0</v>
      </c>
      <c r="K970" s="7713">
        <v>90.0</v>
      </c>
      <c r="L970" s="7713">
        <v>40.0</v>
      </c>
      <c r="M970" s="7713">
        <v>75.0</v>
      </c>
      <c r="N970" s="7715">
        <v>80.0</v>
      </c>
      <c r="O970" s="7701"/>
      <c r="P970" s="7704"/>
      <c r="Q970" s="7704"/>
      <c r="R970" s="7704"/>
      <c r="S970" s="7705"/>
    </row>
    <row r="971" ht="18.75" customHeight="1">
      <c r="A971" s="7696"/>
      <c r="B971" s="7718" t="s">
        <v>3726</v>
      </c>
      <c r="C971" s="7719" t="s">
        <v>3727</v>
      </c>
      <c r="D971" s="7720"/>
      <c r="E971" s="7719" t="s">
        <v>2243</v>
      </c>
      <c r="F971" s="7719" t="str">
        <f t="shared" si="64"/>
        <v/>
      </c>
      <c r="G971" s="7719" t="s">
        <v>2232</v>
      </c>
      <c r="H971" s="7719" t="str">
        <f t="shared" si="65"/>
        <v/>
      </c>
      <c r="I971" s="7719">
        <v>25.0</v>
      </c>
      <c r="J971" s="7719">
        <v>35.0</v>
      </c>
      <c r="K971" s="7719">
        <v>40.0</v>
      </c>
      <c r="L971" s="7719">
        <v>20.0</v>
      </c>
      <c r="M971" s="7719">
        <v>30.0</v>
      </c>
      <c r="N971" s="7721">
        <v>80.0</v>
      </c>
      <c r="O971" s="7701"/>
      <c r="P971" s="7704"/>
      <c r="Q971" s="7704"/>
      <c r="R971" s="7704"/>
      <c r="S971" s="7705"/>
    </row>
    <row r="972" ht="18.75" customHeight="1">
      <c r="A972" s="7696"/>
      <c r="B972" s="7712" t="s">
        <v>2043</v>
      </c>
      <c r="C972" s="7713" t="s">
        <v>3728</v>
      </c>
      <c r="D972" s="7714"/>
      <c r="E972" s="7713" t="s">
        <v>2243</v>
      </c>
      <c r="F972" s="7713" t="str">
        <f t="shared" si="64"/>
        <v/>
      </c>
      <c r="G972" s="7713" t="s">
        <v>2232</v>
      </c>
      <c r="H972" s="7713" t="str">
        <f t="shared" si="65"/>
        <v/>
      </c>
      <c r="I972" s="7713">
        <v>75.0</v>
      </c>
      <c r="J972" s="7713">
        <v>125.0</v>
      </c>
      <c r="K972" s="7713">
        <v>140.0</v>
      </c>
      <c r="L972" s="7713">
        <v>60.0</v>
      </c>
      <c r="M972" s="7713">
        <v>90.0</v>
      </c>
      <c r="N972" s="7715">
        <v>40.0</v>
      </c>
      <c r="O972" s="7701"/>
      <c r="P972" s="7704"/>
      <c r="Q972" s="7704"/>
      <c r="R972" s="7704"/>
      <c r="S972" s="7705"/>
    </row>
    <row r="973" ht="18.75" customHeight="1">
      <c r="A973" s="7696"/>
      <c r="B973" s="7718" t="s">
        <v>3729</v>
      </c>
      <c r="C973" s="7719" t="s">
        <v>3730</v>
      </c>
      <c r="D973" s="7720"/>
      <c r="E973" s="7719" t="s">
        <v>2447</v>
      </c>
      <c r="F973" s="7719" t="str">
        <f t="shared" si="64"/>
        <v/>
      </c>
      <c r="G973" s="7719" t="s">
        <v>2304</v>
      </c>
      <c r="H973" s="7719" t="str">
        <f t="shared" si="65"/>
        <v/>
      </c>
      <c r="I973" s="7719">
        <v>55.0</v>
      </c>
      <c r="J973" s="7719">
        <v>55.0</v>
      </c>
      <c r="K973" s="7719">
        <v>80.0</v>
      </c>
      <c r="L973" s="7719">
        <v>70.0</v>
      </c>
      <c r="M973" s="7719">
        <v>45.0</v>
      </c>
      <c r="N973" s="7721">
        <v>15.0</v>
      </c>
      <c r="O973" s="7701"/>
      <c r="P973" s="7704"/>
      <c r="Q973" s="7704"/>
      <c r="R973" s="7704"/>
      <c r="S973" s="7705"/>
    </row>
    <row r="974" ht="18.75" customHeight="1">
      <c r="A974" s="7696"/>
      <c r="B974" s="7712" t="s">
        <v>2173</v>
      </c>
      <c r="C974" s="7713" t="s">
        <v>3731</v>
      </c>
      <c r="D974" s="7714"/>
      <c r="E974" s="7713" t="s">
        <v>2447</v>
      </c>
      <c r="F974" s="7713" t="str">
        <f t="shared" si="64"/>
        <v/>
      </c>
      <c r="G974" s="7713" t="s">
        <v>2304</v>
      </c>
      <c r="H974" s="7713" t="str">
        <f t="shared" si="65"/>
        <v/>
      </c>
      <c r="I974" s="7713">
        <v>85.0</v>
      </c>
      <c r="J974" s="7713">
        <v>75.0</v>
      </c>
      <c r="K974" s="7713">
        <v>110.0</v>
      </c>
      <c r="L974" s="7713">
        <v>100.0</v>
      </c>
      <c r="M974" s="7713">
        <v>75.0</v>
      </c>
      <c r="N974" s="7715">
        <v>35.0</v>
      </c>
      <c r="O974" s="7701"/>
      <c r="P974" s="7704"/>
      <c r="Q974" s="7704"/>
      <c r="R974" s="7704"/>
      <c r="S974" s="7705"/>
    </row>
    <row r="975" ht="18.75" customHeight="1">
      <c r="A975" s="7696"/>
      <c r="B975" s="7718" t="s">
        <v>3732</v>
      </c>
      <c r="C975" s="7719" t="s">
        <v>3733</v>
      </c>
      <c r="D975" s="7720"/>
      <c r="E975" s="7719" t="s">
        <v>2232</v>
      </c>
      <c r="F975" s="7719" t="str">
        <f t="shared" si="64"/>
        <v/>
      </c>
      <c r="G975" s="7719"/>
      <c r="H975" s="7719" t="str">
        <f t="shared" si="65"/>
        <v/>
      </c>
      <c r="I975" s="7719">
        <v>55.0</v>
      </c>
      <c r="J975" s="7719">
        <v>60.0</v>
      </c>
      <c r="K975" s="7719">
        <v>130.0</v>
      </c>
      <c r="L975" s="7719">
        <v>30.0</v>
      </c>
      <c r="M975" s="7719">
        <v>130.0</v>
      </c>
      <c r="N975" s="7721">
        <v>5.0</v>
      </c>
      <c r="O975" s="7701"/>
      <c r="P975" s="7704"/>
      <c r="Q975" s="7704"/>
      <c r="R975" s="7704"/>
      <c r="S975" s="7705"/>
    </row>
    <row r="976" ht="18.75" customHeight="1">
      <c r="A976" s="7696"/>
      <c r="B976" s="7712" t="s">
        <v>3734</v>
      </c>
      <c r="C976" s="7722" t="s">
        <v>3735</v>
      </c>
      <c r="D976" s="7714"/>
      <c r="E976" s="7713" t="s">
        <v>2262</v>
      </c>
      <c r="F976" s="7713" t="str">
        <f t="shared" si="64"/>
        <v/>
      </c>
      <c r="G976" s="7713"/>
      <c r="H976" s="7713" t="str">
        <f t="shared" si="65"/>
        <v/>
      </c>
      <c r="I976" s="7713">
        <v>95.0</v>
      </c>
      <c r="J976" s="7713">
        <v>95.0</v>
      </c>
      <c r="K976" s="7713">
        <v>95.0</v>
      </c>
      <c r="L976" s="7713">
        <v>95.0</v>
      </c>
      <c r="M976" s="7713">
        <v>95.0</v>
      </c>
      <c r="N976" s="7715">
        <v>59.0</v>
      </c>
      <c r="O976" s="7701"/>
      <c r="P976" s="7704"/>
      <c r="Q976" s="7704"/>
      <c r="R976" s="7704"/>
      <c r="S976" s="7705"/>
    </row>
    <row r="977" ht="18.75" customHeight="1">
      <c r="A977" s="7696"/>
      <c r="B977" s="7718" t="s">
        <v>1678</v>
      </c>
      <c r="C977" s="7719" t="s">
        <v>3736</v>
      </c>
      <c r="D977" s="7720"/>
      <c r="E977" s="7719" t="s">
        <v>2262</v>
      </c>
      <c r="F977" s="7719" t="str">
        <f t="shared" si="64"/>
        <v/>
      </c>
      <c r="G977" s="7719"/>
      <c r="H977" s="7719" t="str">
        <f t="shared" si="65"/>
        <v/>
      </c>
      <c r="I977" s="7719">
        <v>100.0</v>
      </c>
      <c r="J977" s="7719">
        <v>100.0</v>
      </c>
      <c r="K977" s="7719">
        <v>100.0</v>
      </c>
      <c r="L977" s="7719">
        <v>100.0</v>
      </c>
      <c r="M977" s="7719">
        <v>100.0</v>
      </c>
      <c r="N977" s="7721">
        <v>100.0</v>
      </c>
      <c r="O977" s="7701"/>
      <c r="P977" s="7704"/>
      <c r="Q977" s="7704"/>
      <c r="R977" s="7704"/>
      <c r="S977" s="7705"/>
    </row>
    <row r="978" ht="18.75" customHeight="1">
      <c r="A978" s="7696"/>
      <c r="B978" s="7712" t="s">
        <v>3737</v>
      </c>
      <c r="C978" s="7722" t="s">
        <v>3738</v>
      </c>
      <c r="D978" s="7714"/>
      <c r="E978" s="7713" t="s">
        <v>2243</v>
      </c>
      <c r="F978" s="7713" t="str">
        <f t="shared" si="64"/>
        <v/>
      </c>
      <c r="G978" s="7713"/>
      <c r="H978" s="7713" t="str">
        <f t="shared" si="65"/>
        <v/>
      </c>
      <c r="I978" s="7713">
        <v>100.0</v>
      </c>
      <c r="J978" s="7713">
        <v>100.0</v>
      </c>
      <c r="K978" s="7713">
        <v>100.0</v>
      </c>
      <c r="L978" s="7713">
        <v>100.0</v>
      </c>
      <c r="M978" s="7713">
        <v>100.0</v>
      </c>
      <c r="N978" s="7715">
        <v>100.0</v>
      </c>
      <c r="O978" s="7701"/>
      <c r="P978" s="7704"/>
      <c r="Q978" s="7704"/>
      <c r="R978" s="7704"/>
      <c r="S978" s="7705"/>
    </row>
    <row r="979" ht="18.75" customHeight="1">
      <c r="A979" s="7696"/>
      <c r="B979" s="7718" t="s">
        <v>3739</v>
      </c>
      <c r="C979" s="7723" t="s">
        <v>3740</v>
      </c>
      <c r="D979" s="7720"/>
      <c r="E979" s="7719" t="s">
        <v>2272</v>
      </c>
      <c r="F979" s="7719" t="str">
        <f t="shared" ref="F979:F996" si="66">IFERROR(VLOOKUP(E979,P$3:Q997,2,False),"")</f>
        <v/>
      </c>
      <c r="G979" s="7719"/>
      <c r="H979" s="7719" t="str">
        <f t="shared" ref="H979:H996" si="67">IFERROR(VLOOKUP(G979,P$3:Q997,2,False),"")</f>
        <v/>
      </c>
      <c r="I979" s="7719">
        <v>100.0</v>
      </c>
      <c r="J979" s="7719">
        <v>100.0</v>
      </c>
      <c r="K979" s="7719">
        <v>100.0</v>
      </c>
      <c r="L979" s="7719">
        <v>100.0</v>
      </c>
      <c r="M979" s="7719">
        <v>100.0</v>
      </c>
      <c r="N979" s="7721">
        <v>100.0</v>
      </c>
      <c r="O979" s="7701"/>
      <c r="P979" s="7704"/>
      <c r="Q979" s="7704"/>
      <c r="R979" s="7704"/>
      <c r="S979" s="7705"/>
    </row>
    <row r="980" ht="18.75" customHeight="1">
      <c r="A980" s="7696"/>
      <c r="B980" s="7712" t="s">
        <v>3741</v>
      </c>
      <c r="C980" s="7722" t="s">
        <v>3742</v>
      </c>
      <c r="D980" s="7714"/>
      <c r="E980" s="7713" t="s">
        <v>2227</v>
      </c>
      <c r="F980" s="7713" t="str">
        <f t="shared" si="66"/>
        <v/>
      </c>
      <c r="G980" s="7713"/>
      <c r="H980" s="7713" t="str">
        <f t="shared" si="67"/>
        <v/>
      </c>
      <c r="I980" s="7713">
        <v>100.0</v>
      </c>
      <c r="J980" s="7713">
        <v>100.0</v>
      </c>
      <c r="K980" s="7713">
        <v>100.0</v>
      </c>
      <c r="L980" s="7713">
        <v>100.0</v>
      </c>
      <c r="M980" s="7713">
        <v>100.0</v>
      </c>
      <c r="N980" s="7715">
        <v>100.0</v>
      </c>
      <c r="O980" s="7701"/>
      <c r="P980" s="7704"/>
      <c r="Q980" s="7704"/>
      <c r="R980" s="7704"/>
      <c r="S980" s="7705"/>
    </row>
    <row r="981" ht="18.75" customHeight="1">
      <c r="A981" s="7696"/>
      <c r="B981" s="7718" t="s">
        <v>3743</v>
      </c>
      <c r="C981" s="7723" t="s">
        <v>3744</v>
      </c>
      <c r="D981" s="7720"/>
      <c r="E981" s="7719" t="s">
        <v>2283</v>
      </c>
      <c r="F981" s="7719" t="str">
        <f t="shared" si="66"/>
        <v/>
      </c>
      <c r="G981" s="7719"/>
      <c r="H981" s="7719" t="str">
        <f t="shared" si="67"/>
        <v/>
      </c>
      <c r="I981" s="7719">
        <v>100.0</v>
      </c>
      <c r="J981" s="7719">
        <v>100.0</v>
      </c>
      <c r="K981" s="7719">
        <v>100.0</v>
      </c>
      <c r="L981" s="7719">
        <v>100.0</v>
      </c>
      <c r="M981" s="7719">
        <v>100.0</v>
      </c>
      <c r="N981" s="7721">
        <v>100.0</v>
      </c>
      <c r="O981" s="7701"/>
      <c r="P981" s="7704"/>
      <c r="Q981" s="7704"/>
      <c r="R981" s="7704"/>
      <c r="S981" s="7705"/>
    </row>
    <row r="982" ht="18.75" customHeight="1">
      <c r="A982" s="7696"/>
      <c r="B982" s="7712" t="s">
        <v>1329</v>
      </c>
      <c r="C982" s="7722" t="s">
        <v>3745</v>
      </c>
      <c r="D982" s="7714"/>
      <c r="E982" s="7713" t="s">
        <v>2292</v>
      </c>
      <c r="F982" s="7713" t="str">
        <f t="shared" si="66"/>
        <v/>
      </c>
      <c r="G982" s="7713"/>
      <c r="H982" s="7713" t="str">
        <f t="shared" si="67"/>
        <v/>
      </c>
      <c r="I982" s="7713">
        <v>100.0</v>
      </c>
      <c r="J982" s="7713">
        <v>100.0</v>
      </c>
      <c r="K982" s="7713">
        <v>100.0</v>
      </c>
      <c r="L982" s="7713">
        <v>100.0</v>
      </c>
      <c r="M982" s="7713">
        <v>100.0</v>
      </c>
      <c r="N982" s="7715">
        <v>100.0</v>
      </c>
      <c r="O982" s="7701"/>
      <c r="P982" s="7704"/>
      <c r="Q982" s="7704"/>
      <c r="R982" s="7704"/>
      <c r="S982" s="7705"/>
    </row>
    <row r="983" ht="18.75" customHeight="1">
      <c r="A983" s="7696"/>
      <c r="B983" s="7718" t="s">
        <v>3746</v>
      </c>
      <c r="C983" s="7723" t="s">
        <v>3747</v>
      </c>
      <c r="D983" s="7720"/>
      <c r="E983" s="7719" t="s">
        <v>2296</v>
      </c>
      <c r="F983" s="7719" t="str">
        <f t="shared" si="66"/>
        <v/>
      </c>
      <c r="G983" s="7719"/>
      <c r="H983" s="7719" t="str">
        <f t="shared" si="67"/>
        <v/>
      </c>
      <c r="I983" s="7719">
        <v>100.0</v>
      </c>
      <c r="J983" s="7719">
        <v>100.0</v>
      </c>
      <c r="K983" s="7719">
        <v>100.0</v>
      </c>
      <c r="L983" s="7719">
        <v>100.0</v>
      </c>
      <c r="M983" s="7719">
        <v>100.0</v>
      </c>
      <c r="N983" s="7721">
        <v>100.0</v>
      </c>
      <c r="O983" s="7701"/>
      <c r="P983" s="7704"/>
      <c r="Q983" s="7704"/>
      <c r="R983" s="7704"/>
      <c r="S983" s="7705"/>
    </row>
    <row r="984" ht="18.75" customHeight="1">
      <c r="A984" s="7696"/>
      <c r="B984" s="7712" t="s">
        <v>3748</v>
      </c>
      <c r="C984" s="7722" t="s">
        <v>3749</v>
      </c>
      <c r="D984" s="7714"/>
      <c r="E984" s="7713" t="s">
        <v>2219</v>
      </c>
      <c r="F984" s="7713" t="str">
        <f t="shared" si="66"/>
        <v/>
      </c>
      <c r="G984" s="7713"/>
      <c r="H984" s="7713" t="str">
        <f t="shared" si="67"/>
        <v/>
      </c>
      <c r="I984" s="7713">
        <v>100.0</v>
      </c>
      <c r="J984" s="7713">
        <v>100.0</v>
      </c>
      <c r="K984" s="7713">
        <v>100.0</v>
      </c>
      <c r="L984" s="7713">
        <v>100.0</v>
      </c>
      <c r="M984" s="7713">
        <v>100.0</v>
      </c>
      <c r="N984" s="7715">
        <v>100.0</v>
      </c>
      <c r="O984" s="7701"/>
      <c r="P984" s="7704"/>
      <c r="Q984" s="7704"/>
      <c r="R984" s="7704"/>
      <c r="S984" s="7705"/>
    </row>
    <row r="985" ht="18.75" customHeight="1">
      <c r="A985" s="7696"/>
      <c r="B985" s="7718" t="s">
        <v>3750</v>
      </c>
      <c r="C985" s="7723" t="s">
        <v>3751</v>
      </c>
      <c r="D985" s="7720"/>
      <c r="E985" s="7719" t="s">
        <v>2224</v>
      </c>
      <c r="F985" s="7719" t="str">
        <f t="shared" si="66"/>
        <v/>
      </c>
      <c r="G985" s="7719"/>
      <c r="H985" s="7719" t="str">
        <f t="shared" si="67"/>
        <v/>
      </c>
      <c r="I985" s="7719">
        <v>100.0</v>
      </c>
      <c r="J985" s="7719">
        <v>100.0</v>
      </c>
      <c r="K985" s="7719">
        <v>100.0</v>
      </c>
      <c r="L985" s="7719">
        <v>100.0</v>
      </c>
      <c r="M985" s="7719">
        <v>100.0</v>
      </c>
      <c r="N985" s="7721">
        <v>100.0</v>
      </c>
      <c r="O985" s="7701"/>
      <c r="P985" s="7704"/>
      <c r="Q985" s="7704"/>
      <c r="R985" s="7704"/>
      <c r="S985" s="7705"/>
    </row>
    <row r="986" ht="18.75" customHeight="1">
      <c r="A986" s="7696"/>
      <c r="B986" s="7712" t="s">
        <v>3752</v>
      </c>
      <c r="C986" s="7722" t="s">
        <v>3753</v>
      </c>
      <c r="D986" s="7714"/>
      <c r="E986" s="7713" t="s">
        <v>2447</v>
      </c>
      <c r="F986" s="7713" t="str">
        <f t="shared" si="66"/>
        <v/>
      </c>
      <c r="G986" s="7713"/>
      <c r="H986" s="7713" t="str">
        <f t="shared" si="67"/>
        <v/>
      </c>
      <c r="I986" s="7713">
        <v>100.0</v>
      </c>
      <c r="J986" s="7713">
        <v>100.0</v>
      </c>
      <c r="K986" s="7713">
        <v>100.0</v>
      </c>
      <c r="L986" s="7713">
        <v>100.0</v>
      </c>
      <c r="M986" s="7713">
        <v>100.0</v>
      </c>
      <c r="N986" s="7715">
        <v>100.0</v>
      </c>
      <c r="O986" s="7701"/>
      <c r="P986" s="7704"/>
      <c r="Q986" s="7704"/>
      <c r="R986" s="7704"/>
      <c r="S986" s="7705"/>
    </row>
    <row r="987" ht="18.75" customHeight="1">
      <c r="A987" s="7696"/>
      <c r="B987" s="7718" t="s">
        <v>3754</v>
      </c>
      <c r="C987" s="7723" t="s">
        <v>3755</v>
      </c>
      <c r="D987" s="7720"/>
      <c r="E987" s="7719" t="s">
        <v>2209</v>
      </c>
      <c r="F987" s="7719" t="str">
        <f t="shared" si="66"/>
        <v/>
      </c>
      <c r="G987" s="7719"/>
      <c r="H987" s="7719" t="str">
        <f t="shared" si="67"/>
        <v/>
      </c>
      <c r="I987" s="7719">
        <v>100.0</v>
      </c>
      <c r="J987" s="7719">
        <v>100.0</v>
      </c>
      <c r="K987" s="7719">
        <v>100.0</v>
      </c>
      <c r="L987" s="7719">
        <v>100.0</v>
      </c>
      <c r="M987" s="7719">
        <v>100.0</v>
      </c>
      <c r="N987" s="7721">
        <v>100.0</v>
      </c>
      <c r="O987" s="7701"/>
      <c r="P987" s="7704"/>
      <c r="Q987" s="7704"/>
      <c r="R987" s="7704"/>
      <c r="S987" s="7705"/>
    </row>
    <row r="988" ht="18.75" customHeight="1">
      <c r="A988" s="7696"/>
      <c r="B988" s="7712" t="s">
        <v>3756</v>
      </c>
      <c r="C988" s="7722" t="s">
        <v>3757</v>
      </c>
      <c r="D988" s="7714"/>
      <c r="E988" s="7713" t="s">
        <v>2304</v>
      </c>
      <c r="F988" s="7713" t="str">
        <f t="shared" si="66"/>
        <v/>
      </c>
      <c r="G988" s="7713"/>
      <c r="H988" s="7713" t="str">
        <f t="shared" si="67"/>
        <v/>
      </c>
      <c r="I988" s="7713">
        <v>100.0</v>
      </c>
      <c r="J988" s="7713">
        <v>100.0</v>
      </c>
      <c r="K988" s="7713">
        <v>100.0</v>
      </c>
      <c r="L988" s="7713">
        <v>100.0</v>
      </c>
      <c r="M988" s="7713">
        <v>100.0</v>
      </c>
      <c r="N988" s="7715">
        <v>100.0</v>
      </c>
      <c r="O988" s="7701"/>
      <c r="P988" s="7704"/>
      <c r="Q988" s="7704"/>
      <c r="R988" s="7704"/>
      <c r="S988" s="7705"/>
    </row>
    <row r="989" ht="18.75" customHeight="1">
      <c r="A989" s="7696"/>
      <c r="B989" s="7718" t="s">
        <v>3758</v>
      </c>
      <c r="C989" s="7723" t="s">
        <v>3759</v>
      </c>
      <c r="D989" s="7720"/>
      <c r="E989" s="7719" t="s">
        <v>2289</v>
      </c>
      <c r="F989" s="7719" t="str">
        <f t="shared" si="66"/>
        <v/>
      </c>
      <c r="G989" s="7719"/>
      <c r="H989" s="7719" t="str">
        <f t="shared" si="67"/>
        <v/>
      </c>
      <c r="I989" s="7719">
        <v>100.0</v>
      </c>
      <c r="J989" s="7719">
        <v>100.0</v>
      </c>
      <c r="K989" s="7719">
        <v>100.0</v>
      </c>
      <c r="L989" s="7719">
        <v>100.0</v>
      </c>
      <c r="M989" s="7719">
        <v>100.0</v>
      </c>
      <c r="N989" s="7721">
        <v>100.0</v>
      </c>
      <c r="O989" s="7701"/>
      <c r="P989" s="7704"/>
      <c r="Q989" s="7704"/>
      <c r="R989" s="7704"/>
      <c r="S989" s="7705"/>
    </row>
    <row r="990" ht="18.75" customHeight="1">
      <c r="A990" s="7696"/>
      <c r="B990" s="7712" t="s">
        <v>3760</v>
      </c>
      <c r="C990" s="7722" t="s">
        <v>3761</v>
      </c>
      <c r="D990" s="7714"/>
      <c r="E990" s="7713" t="s">
        <v>2210</v>
      </c>
      <c r="F990" s="7713" t="str">
        <f t="shared" si="66"/>
        <v/>
      </c>
      <c r="G990" s="7713"/>
      <c r="H990" s="7713" t="str">
        <f t="shared" si="67"/>
        <v/>
      </c>
      <c r="I990" s="7713">
        <v>100.0</v>
      </c>
      <c r="J990" s="7713">
        <v>100.0</v>
      </c>
      <c r="K990" s="7713">
        <v>100.0</v>
      </c>
      <c r="L990" s="7713">
        <v>100.0</v>
      </c>
      <c r="M990" s="7713">
        <v>100.0</v>
      </c>
      <c r="N990" s="7715">
        <v>100.0</v>
      </c>
      <c r="O990" s="7701"/>
      <c r="P990" s="7704"/>
      <c r="Q990" s="7704"/>
      <c r="R990" s="7704"/>
      <c r="S990" s="7705"/>
    </row>
    <row r="991" ht="18.75" customHeight="1">
      <c r="A991" s="7696"/>
      <c r="B991" s="7718" t="s">
        <v>3762</v>
      </c>
      <c r="C991" s="7723" t="s">
        <v>3763</v>
      </c>
      <c r="D991" s="7720"/>
      <c r="E991" s="7719" t="s">
        <v>669</v>
      </c>
      <c r="F991" s="7719" t="str">
        <f t="shared" si="66"/>
        <v/>
      </c>
      <c r="G991" s="7719"/>
      <c r="H991" s="7719" t="str">
        <f t="shared" si="67"/>
        <v/>
      </c>
      <c r="I991" s="7719">
        <v>100.0</v>
      </c>
      <c r="J991" s="7719">
        <v>100.0</v>
      </c>
      <c r="K991" s="7719">
        <v>100.0</v>
      </c>
      <c r="L991" s="7719">
        <v>100.0</v>
      </c>
      <c r="M991" s="7719">
        <v>100.0</v>
      </c>
      <c r="N991" s="7721">
        <v>100.0</v>
      </c>
      <c r="O991" s="7701"/>
      <c r="P991" s="7704"/>
      <c r="Q991" s="7704"/>
      <c r="R991" s="7704"/>
      <c r="S991" s="7705"/>
    </row>
    <row r="992" ht="18.75" customHeight="1">
      <c r="A992" s="7696"/>
      <c r="B992" s="7712" t="s">
        <v>3764</v>
      </c>
      <c r="C992" s="7722" t="s">
        <v>3765</v>
      </c>
      <c r="D992" s="7714"/>
      <c r="E992" s="7713" t="s">
        <v>2370</v>
      </c>
      <c r="F992" s="7713" t="str">
        <f t="shared" si="66"/>
        <v/>
      </c>
      <c r="G992" s="7713"/>
      <c r="H992" s="7713" t="str">
        <f t="shared" si="67"/>
        <v/>
      </c>
      <c r="I992" s="7713">
        <v>100.0</v>
      </c>
      <c r="J992" s="7713">
        <v>100.0</v>
      </c>
      <c r="K992" s="7713">
        <v>100.0</v>
      </c>
      <c r="L992" s="7713">
        <v>100.0</v>
      </c>
      <c r="M992" s="7713">
        <v>100.0</v>
      </c>
      <c r="N992" s="7715">
        <v>100.0</v>
      </c>
      <c r="O992" s="7701"/>
      <c r="P992" s="7704"/>
      <c r="Q992" s="7704"/>
      <c r="R992" s="7704"/>
      <c r="S992" s="7705"/>
    </row>
    <row r="993" ht="18.75" customHeight="1">
      <c r="A993" s="7696"/>
      <c r="B993" s="7718" t="s">
        <v>3766</v>
      </c>
      <c r="C993" s="7723" t="s">
        <v>3767</v>
      </c>
      <c r="D993" s="7720"/>
      <c r="E993" s="7719" t="s">
        <v>2286</v>
      </c>
      <c r="F993" s="7719" t="str">
        <f t="shared" si="66"/>
        <v/>
      </c>
      <c r="G993" s="7719"/>
      <c r="H993" s="7719" t="str">
        <f t="shared" si="67"/>
        <v/>
      </c>
      <c r="I993" s="7719">
        <v>100.0</v>
      </c>
      <c r="J993" s="7719">
        <v>100.0</v>
      </c>
      <c r="K993" s="7719">
        <v>100.0</v>
      </c>
      <c r="L993" s="7719">
        <v>100.0</v>
      </c>
      <c r="M993" s="7719">
        <v>100.0</v>
      </c>
      <c r="N993" s="7721">
        <v>100.0</v>
      </c>
      <c r="O993" s="7701"/>
      <c r="P993" s="7704"/>
      <c r="Q993" s="7704"/>
      <c r="R993" s="7704"/>
      <c r="S993" s="7705"/>
    </row>
    <row r="994" ht="18.75" customHeight="1">
      <c r="A994" s="7696"/>
      <c r="B994" s="7712" t="s">
        <v>3768</v>
      </c>
      <c r="C994" s="7722" t="s">
        <v>3769</v>
      </c>
      <c r="D994" s="7714"/>
      <c r="E994" s="7713" t="s">
        <v>2232</v>
      </c>
      <c r="F994" s="7713" t="str">
        <f t="shared" si="66"/>
        <v/>
      </c>
      <c r="G994" s="7713"/>
      <c r="H994" s="7713" t="str">
        <f t="shared" si="67"/>
        <v/>
      </c>
      <c r="I994" s="7713">
        <v>100.0</v>
      </c>
      <c r="J994" s="7713">
        <v>100.0</v>
      </c>
      <c r="K994" s="7713">
        <v>100.0</v>
      </c>
      <c r="L994" s="7713">
        <v>100.0</v>
      </c>
      <c r="M994" s="7713">
        <v>100.0</v>
      </c>
      <c r="N994" s="7715">
        <v>100.0</v>
      </c>
      <c r="O994" s="7701"/>
      <c r="P994" s="7704"/>
      <c r="Q994" s="7704"/>
      <c r="R994" s="7704"/>
      <c r="S994" s="7705"/>
    </row>
    <row r="995" ht="18.75" customHeight="1">
      <c r="A995" s="7696"/>
      <c r="B995" s="7718" t="s">
        <v>153</v>
      </c>
      <c r="C995" s="7723" t="s">
        <v>3770</v>
      </c>
      <c r="D995" s="7720"/>
      <c r="E995" s="7719" t="s">
        <v>2370</v>
      </c>
      <c r="F995" s="7719" t="str">
        <f t="shared" si="66"/>
        <v/>
      </c>
      <c r="G995" s="7719" t="s">
        <v>2224</v>
      </c>
      <c r="H995" s="7719" t="str">
        <f t="shared" si="67"/>
        <v/>
      </c>
      <c r="I995" s="7719">
        <v>60.0</v>
      </c>
      <c r="J995" s="7719">
        <v>100.0</v>
      </c>
      <c r="K995" s="7719">
        <v>60.0</v>
      </c>
      <c r="L995" s="7719">
        <v>100.0</v>
      </c>
      <c r="M995" s="7719">
        <v>60.0</v>
      </c>
      <c r="N995" s="7721">
        <v>120.0</v>
      </c>
      <c r="O995" s="7701"/>
      <c r="P995" s="7704"/>
      <c r="Q995" s="7704"/>
      <c r="R995" s="7704"/>
      <c r="S995" s="7705"/>
    </row>
    <row r="996" ht="18.75" customHeight="1">
      <c r="A996" s="7696"/>
      <c r="B996" s="7712" t="s">
        <v>3771</v>
      </c>
      <c r="C996" s="7722" t="s">
        <v>3772</v>
      </c>
      <c r="D996" s="7714"/>
      <c r="E996" s="7713" t="s">
        <v>2370</v>
      </c>
      <c r="F996" s="7713" t="str">
        <f t="shared" si="66"/>
        <v/>
      </c>
      <c r="G996" s="7713" t="s">
        <v>2224</v>
      </c>
      <c r="H996" s="7713" t="str">
        <f t="shared" si="67"/>
        <v/>
      </c>
      <c r="I996" s="7713">
        <v>60.0</v>
      </c>
      <c r="J996" s="7713">
        <v>60.0</v>
      </c>
      <c r="K996" s="7713">
        <v>100.0</v>
      </c>
      <c r="L996" s="7713">
        <v>60.0</v>
      </c>
      <c r="M996" s="7713">
        <v>100.0</v>
      </c>
      <c r="N996" s="7715">
        <v>60.0</v>
      </c>
      <c r="O996" s="7701"/>
      <c r="P996" s="7704"/>
      <c r="Q996" s="7704"/>
      <c r="R996" s="7704"/>
      <c r="S996" s="7705"/>
    </row>
    <row r="997" ht="18.75" customHeight="1">
      <c r="A997" s="7696"/>
      <c r="B997" s="7718" t="s">
        <v>165</v>
      </c>
      <c r="C997" s="7719" t="s">
        <v>3773</v>
      </c>
      <c r="D997" s="7720"/>
      <c r="E997" s="7719" t="s">
        <v>2262</v>
      </c>
      <c r="F997" s="7719" t="str">
        <f t="shared" ref="F997:F1009" si="68">IFERROR(VLOOKUP(E997,P$3:Q1014,2,False),"")</f>
        <v/>
      </c>
      <c r="G997" s="7719"/>
      <c r="H997" s="7719" t="str">
        <f t="shared" ref="H997:H1009" si="69">IFERROR(VLOOKUP(G997,P$3:Q1014,2,False),"")</f>
        <v/>
      </c>
      <c r="I997" s="7719">
        <v>75.0</v>
      </c>
      <c r="J997" s="7719">
        <v>115.0</v>
      </c>
      <c r="K997" s="7719">
        <v>65.0</v>
      </c>
      <c r="L997" s="7719">
        <v>75.0</v>
      </c>
      <c r="M997" s="7719">
        <v>95.0</v>
      </c>
      <c r="N997" s="7721">
        <v>65.0</v>
      </c>
      <c r="O997" s="7701"/>
      <c r="P997" s="7704"/>
      <c r="Q997" s="7704"/>
      <c r="R997" s="7704"/>
      <c r="S997" s="7705"/>
    </row>
    <row r="998" ht="18.75" customHeight="1">
      <c r="A998" s="7696"/>
      <c r="B998" s="7712" t="s">
        <v>1677</v>
      </c>
      <c r="C998" s="7713" t="s">
        <v>3774</v>
      </c>
      <c r="D998" s="7714"/>
      <c r="E998" s="7713" t="s">
        <v>2219</v>
      </c>
      <c r="F998" s="7713" t="str">
        <f t="shared" si="68"/>
        <v/>
      </c>
      <c r="G998" s="7713" t="s">
        <v>2227</v>
      </c>
      <c r="H998" s="7713" t="str">
        <f t="shared" si="69"/>
        <v/>
      </c>
      <c r="I998" s="7713">
        <v>70.0</v>
      </c>
      <c r="J998" s="7713">
        <v>58.0</v>
      </c>
      <c r="K998" s="7713">
        <v>135.0</v>
      </c>
      <c r="L998" s="7713">
        <v>91.0</v>
      </c>
      <c r="M998" s="7713">
        <v>85.0</v>
      </c>
      <c r="N998" s="7715">
        <v>36.0</v>
      </c>
      <c r="O998" s="7701"/>
      <c r="P998" s="7704"/>
      <c r="Q998" s="7704"/>
      <c r="R998" s="7704"/>
      <c r="S998" s="7705"/>
    </row>
    <row r="999" ht="18.75" customHeight="1">
      <c r="A999" s="7696"/>
      <c r="B999" s="7718" t="s">
        <v>1158</v>
      </c>
      <c r="C999" s="7719" t="s">
        <v>3775</v>
      </c>
      <c r="D999" s="7720"/>
      <c r="E999" s="7719" t="s">
        <v>2283</v>
      </c>
      <c r="F999" s="7719" t="str">
        <f t="shared" si="68"/>
        <v/>
      </c>
      <c r="G999" s="7719" t="s">
        <v>2286</v>
      </c>
      <c r="H999" s="7719" t="str">
        <f t="shared" si="69"/>
        <v/>
      </c>
      <c r="I999" s="7719">
        <v>65.0</v>
      </c>
      <c r="J999" s="7719">
        <v>108.0</v>
      </c>
      <c r="K999" s="7719">
        <v>63.0</v>
      </c>
      <c r="L999" s="7719">
        <v>40.0</v>
      </c>
      <c r="M999" s="7719">
        <v>73.0</v>
      </c>
      <c r="N999" s="7721">
        <v>96.0</v>
      </c>
      <c r="O999" s="7701"/>
      <c r="P999" s="7704"/>
      <c r="Q999" s="7704"/>
      <c r="R999" s="7704"/>
      <c r="S999" s="7705"/>
    </row>
    <row r="1000" ht="18.75" customHeight="1">
      <c r="A1000" s="7696"/>
      <c r="B1000" s="7712" t="s">
        <v>2025</v>
      </c>
      <c r="C1000" s="7713" t="s">
        <v>3776</v>
      </c>
      <c r="D1000" s="7714"/>
      <c r="E1000" s="7713" t="s">
        <v>2447</v>
      </c>
      <c r="F1000" s="7713" t="str">
        <f t="shared" si="68"/>
        <v/>
      </c>
      <c r="G1000" s="7713" t="s">
        <v>2292</v>
      </c>
      <c r="H1000" s="7713" t="str">
        <f t="shared" si="69"/>
        <v/>
      </c>
      <c r="I1000" s="7713">
        <v>55.0</v>
      </c>
      <c r="J1000" s="7713">
        <v>90.0</v>
      </c>
      <c r="K1000" s="7713">
        <v>80.0</v>
      </c>
      <c r="L1000" s="7713">
        <v>50.0</v>
      </c>
      <c r="M1000" s="7713">
        <v>105.0</v>
      </c>
      <c r="N1000" s="7715">
        <v>96.0</v>
      </c>
      <c r="O1000" s="7701"/>
      <c r="P1000" s="7704"/>
      <c r="Q1000" s="7704"/>
      <c r="R1000" s="7704"/>
      <c r="S1000" s="7705"/>
    </row>
    <row r="1001" ht="18.75" customHeight="1">
      <c r="A1001" s="7696"/>
      <c r="B1001" s="7718" t="s">
        <v>1466</v>
      </c>
      <c r="C1001" s="7719" t="s">
        <v>3777</v>
      </c>
      <c r="D1001" s="7720"/>
      <c r="E1001" s="7719" t="s">
        <v>2232</v>
      </c>
      <c r="F1001" s="7719" t="str">
        <f t="shared" si="68"/>
        <v/>
      </c>
      <c r="G1001" s="7719" t="s">
        <v>669</v>
      </c>
      <c r="H1001" s="7719" t="str">
        <f t="shared" si="69"/>
        <v/>
      </c>
      <c r="I1001" s="7719">
        <v>68.0</v>
      </c>
      <c r="J1001" s="7719">
        <v>105.0</v>
      </c>
      <c r="K1001" s="7719">
        <v>70.0</v>
      </c>
      <c r="L1001" s="7719">
        <v>70.0</v>
      </c>
      <c r="M1001" s="7719">
        <v>70.0</v>
      </c>
      <c r="N1001" s="7721">
        <v>92.0</v>
      </c>
      <c r="O1001" s="7701"/>
      <c r="P1001" s="7704"/>
      <c r="Q1001" s="7704"/>
      <c r="R1001" s="7704"/>
      <c r="S1001" s="7705"/>
    </row>
    <row r="1002" ht="18.75" customHeight="1">
      <c r="A1002" s="7696"/>
      <c r="B1002" s="7712" t="s">
        <v>3778</v>
      </c>
      <c r="C1002" s="7713" t="s">
        <v>3779</v>
      </c>
      <c r="D1002" s="7714"/>
      <c r="E1002" s="7713" t="s">
        <v>2262</v>
      </c>
      <c r="F1002" s="7713" t="str">
        <f t="shared" si="68"/>
        <v/>
      </c>
      <c r="G1002" s="7713" t="s">
        <v>2227</v>
      </c>
      <c r="H1002" s="7713" t="str">
        <f t="shared" si="69"/>
        <v/>
      </c>
      <c r="I1002" s="7713">
        <v>103.0</v>
      </c>
      <c r="J1002" s="7713">
        <v>50.0</v>
      </c>
      <c r="K1002" s="7713">
        <v>85.0</v>
      </c>
      <c r="L1002" s="7713">
        <v>135.0</v>
      </c>
      <c r="M1002" s="7713">
        <v>91.0</v>
      </c>
      <c r="N1002" s="7715">
        <v>36.0</v>
      </c>
      <c r="O1002" s="7701"/>
      <c r="P1002" s="7704"/>
      <c r="Q1002" s="7704"/>
      <c r="R1002" s="7704"/>
      <c r="S1002" s="7705"/>
    </row>
    <row r="1003" ht="18.75" customHeight="1">
      <c r="A1003" s="7696"/>
      <c r="B1003" s="7718" t="s">
        <v>3780</v>
      </c>
      <c r="C1003" s="7719" t="s">
        <v>3781</v>
      </c>
      <c r="D1003" s="7720"/>
      <c r="E1003" s="7719" t="s">
        <v>2447</v>
      </c>
      <c r="F1003" s="7719" t="str">
        <f t="shared" si="68"/>
        <v/>
      </c>
      <c r="G1003" s="7719" t="s">
        <v>2209</v>
      </c>
      <c r="H1003" s="7719" t="str">
        <f t="shared" si="69"/>
        <v/>
      </c>
      <c r="I1003" s="7719">
        <v>70.0</v>
      </c>
      <c r="J1003" s="7719">
        <v>131.0</v>
      </c>
      <c r="K1003" s="7719">
        <v>100.0</v>
      </c>
      <c r="L1003" s="7719">
        <v>86.0</v>
      </c>
      <c r="M1003" s="7719">
        <v>90.0</v>
      </c>
      <c r="N1003" s="7721">
        <v>40.0</v>
      </c>
      <c r="O1003" s="7701"/>
      <c r="P1003" s="7704"/>
      <c r="Q1003" s="7704"/>
      <c r="R1003" s="7704"/>
      <c r="S1003" s="7705"/>
    </row>
    <row r="1004" ht="18.75" customHeight="1">
      <c r="A1004" s="7696"/>
      <c r="B1004" s="7712" t="s">
        <v>3782</v>
      </c>
      <c r="C1004" s="7722" t="s">
        <v>3783</v>
      </c>
      <c r="D1004" s="7714"/>
      <c r="E1004" s="7722" t="s">
        <v>2227</v>
      </c>
      <c r="F1004" s="7722" t="str">
        <f t="shared" si="68"/>
        <v/>
      </c>
      <c r="G1004" s="7722"/>
      <c r="H1004" s="7722" t="str">
        <f t="shared" si="69"/>
        <v/>
      </c>
      <c r="I1004" s="7713">
        <v>45.0</v>
      </c>
      <c r="J1004" s="7713">
        <v>55.0</v>
      </c>
      <c r="K1004" s="7713">
        <v>65.0</v>
      </c>
      <c r="L1004" s="7713">
        <v>45.0</v>
      </c>
      <c r="M1004" s="7713">
        <v>45.0</v>
      </c>
      <c r="N1004" s="7715">
        <v>45.0</v>
      </c>
      <c r="O1004" s="7701"/>
      <c r="P1004" s="7704"/>
      <c r="Q1004" s="7704"/>
      <c r="R1004" s="7704"/>
      <c r="S1004" s="7705"/>
    </row>
    <row r="1005" ht="18.75" customHeight="1">
      <c r="A1005" s="7696"/>
      <c r="B1005" s="7718" t="s">
        <v>3784</v>
      </c>
      <c r="C1005" s="7723" t="s">
        <v>3785</v>
      </c>
      <c r="D1005" s="7720"/>
      <c r="E1005" s="7719" t="s">
        <v>2227</v>
      </c>
      <c r="F1005" s="7719" t="str">
        <f t="shared" si="68"/>
        <v/>
      </c>
      <c r="G1005" s="7719" t="s">
        <v>2296</v>
      </c>
      <c r="H1005" s="7719" t="str">
        <f t="shared" si="69"/>
        <v/>
      </c>
      <c r="I1005" s="7719">
        <v>55.0</v>
      </c>
      <c r="J1005" s="7719">
        <v>75.0</v>
      </c>
      <c r="K1005" s="7719">
        <v>90.0</v>
      </c>
      <c r="L1005" s="7719">
        <v>65.0</v>
      </c>
      <c r="M1005" s="7719">
        <v>70.0</v>
      </c>
      <c r="N1005" s="7721">
        <v>65.0</v>
      </c>
      <c r="O1005" s="7701"/>
      <c r="P1005" s="7704"/>
      <c r="Q1005" s="7704"/>
      <c r="R1005" s="7704"/>
      <c r="S1005" s="7705"/>
    </row>
    <row r="1006" ht="18.75" customHeight="1">
      <c r="A1006" s="7696"/>
      <c r="B1006" s="7712" t="s">
        <v>885</v>
      </c>
      <c r="C1006" s="7722" t="s">
        <v>3786</v>
      </c>
      <c r="D1006" s="7714"/>
      <c r="E1006" s="7713" t="s">
        <v>2227</v>
      </c>
      <c r="F1006" s="7713" t="str">
        <f t="shared" si="68"/>
        <v/>
      </c>
      <c r="G1006" s="7713" t="s">
        <v>2296</v>
      </c>
      <c r="H1006" s="7713" t="str">
        <f t="shared" si="69"/>
        <v/>
      </c>
      <c r="I1006" s="7713">
        <v>75.0</v>
      </c>
      <c r="J1006" s="7713">
        <v>110.0</v>
      </c>
      <c r="K1006" s="7713">
        <v>125.0</v>
      </c>
      <c r="L1006" s="7713">
        <v>100.0</v>
      </c>
      <c r="M1006" s="7713">
        <v>105.0</v>
      </c>
      <c r="N1006" s="7715">
        <v>85.0</v>
      </c>
      <c r="O1006" s="7701"/>
      <c r="P1006" s="7704"/>
      <c r="Q1006" s="7704"/>
      <c r="R1006" s="7704"/>
      <c r="S1006" s="7705"/>
    </row>
    <row r="1007" ht="18.75" customHeight="1">
      <c r="A1007" s="7696"/>
      <c r="B1007" s="7718" t="s">
        <v>1067</v>
      </c>
      <c r="C1007" s="7723" t="s">
        <v>3787</v>
      </c>
      <c r="D1007" s="7720"/>
      <c r="E1007" s="7719" t="s">
        <v>2283</v>
      </c>
      <c r="F1007" s="7719" t="str">
        <f t="shared" si="68"/>
        <v/>
      </c>
      <c r="G1007" s="7719" t="s">
        <v>2292</v>
      </c>
      <c r="H1007" s="7719" t="str">
        <f t="shared" si="69"/>
        <v/>
      </c>
      <c r="I1007" s="7719">
        <v>70.0</v>
      </c>
      <c r="J1007" s="7719">
        <v>115.0</v>
      </c>
      <c r="K1007" s="7719">
        <v>85.0</v>
      </c>
      <c r="L1007" s="7719">
        <v>95.0</v>
      </c>
      <c r="M1007" s="7719">
        <v>75.0</v>
      </c>
      <c r="N1007" s="7721">
        <v>130.0</v>
      </c>
      <c r="O1007" s="7701"/>
      <c r="P1007" s="7704"/>
      <c r="Q1007" s="7704"/>
      <c r="R1007" s="7704"/>
      <c r="S1007" s="7705"/>
    </row>
    <row r="1008" ht="18.75" customHeight="1">
      <c r="A1008" s="7696"/>
      <c r="B1008" s="7712" t="s">
        <v>652</v>
      </c>
      <c r="C1008" s="7722" t="s">
        <v>3788</v>
      </c>
      <c r="D1008" s="7714"/>
      <c r="E1008" s="7713" t="s">
        <v>669</v>
      </c>
      <c r="F1008" s="7713" t="str">
        <f t="shared" si="68"/>
        <v/>
      </c>
      <c r="G1008" s="7713" t="s">
        <v>2292</v>
      </c>
      <c r="H1008" s="7713" t="str">
        <f t="shared" si="69"/>
        <v/>
      </c>
      <c r="I1008" s="7713">
        <v>70.0</v>
      </c>
      <c r="J1008" s="7713">
        <v>85.0</v>
      </c>
      <c r="K1008" s="7713">
        <v>75.0</v>
      </c>
      <c r="L1008" s="7713">
        <v>130.0</v>
      </c>
      <c r="M1008" s="7713">
        <v>115.0</v>
      </c>
      <c r="N1008" s="7715">
        <v>95.0</v>
      </c>
      <c r="O1008" s="7701"/>
      <c r="P1008" s="7704"/>
      <c r="Q1008" s="7704"/>
      <c r="R1008" s="7704"/>
      <c r="S1008" s="7705"/>
    </row>
    <row r="1009" ht="18.75" customHeight="1">
      <c r="A1009" s="7696"/>
      <c r="B1009" s="7718" t="s">
        <v>947</v>
      </c>
      <c r="C1009" s="7723" t="s">
        <v>3789</v>
      </c>
      <c r="D1009" s="7720"/>
      <c r="E1009" s="7719" t="s">
        <v>2209</v>
      </c>
      <c r="F1009" s="7719" t="str">
        <f t="shared" si="68"/>
        <v/>
      </c>
      <c r="G1009" s="7719" t="s">
        <v>2292</v>
      </c>
      <c r="H1009" s="7719" t="str">
        <f t="shared" si="69"/>
        <v/>
      </c>
      <c r="I1009" s="7719">
        <v>70.0</v>
      </c>
      <c r="J1009" s="7719">
        <v>130.0</v>
      </c>
      <c r="K1009" s="7719">
        <v>115.0</v>
      </c>
      <c r="L1009" s="7719">
        <v>85.0</v>
      </c>
      <c r="M1009" s="7719">
        <v>95.0</v>
      </c>
      <c r="N1009" s="7721">
        <v>75.0</v>
      </c>
      <c r="O1009" s="7701"/>
      <c r="P1009" s="7704"/>
      <c r="Q1009" s="7704"/>
      <c r="R1009" s="7704"/>
      <c r="S1009" s="7705"/>
    </row>
    <row r="1010" ht="18.75" customHeight="1">
      <c r="A1010" s="7696"/>
      <c r="B1010" s="7712" t="s">
        <v>627</v>
      </c>
      <c r="C1010" s="7722" t="s">
        <v>3790</v>
      </c>
      <c r="D1010" s="7714"/>
      <c r="E1010" s="7713" t="s">
        <v>2232</v>
      </c>
      <c r="F1010" s="7713" t="str">
        <f t="shared" ref="F1010:F1017" si="70">IFERROR(VLOOKUP(E1010,P$3:Q1028,2,False),"")</f>
        <v/>
      </c>
      <c r="G1010" s="7713" t="s">
        <v>2292</v>
      </c>
      <c r="H1010" s="7713" t="str">
        <f t="shared" ref="H1010:H1017" si="71">IFERROR(VLOOKUP(G1010,P$3:Q1028,2,False),"")</f>
        <v/>
      </c>
      <c r="I1010" s="7713">
        <v>70.0</v>
      </c>
      <c r="J1010" s="7713">
        <v>75.0</v>
      </c>
      <c r="K1010" s="7713">
        <v>115.0</v>
      </c>
      <c r="L1010" s="7713">
        <v>95.0</v>
      </c>
      <c r="M1010" s="7713">
        <v>130.0</v>
      </c>
      <c r="N1010" s="7715">
        <v>85.0</v>
      </c>
      <c r="O1010" s="7701"/>
      <c r="P1010" s="7704"/>
      <c r="Q1010" s="7704"/>
      <c r="R1010" s="7704"/>
      <c r="S1010" s="7705"/>
    </row>
    <row r="1011" ht="18.75" customHeight="1">
      <c r="A1011" s="7696"/>
      <c r="B1011" s="7718" t="s">
        <v>3791</v>
      </c>
      <c r="C1011" s="7719" t="s">
        <v>3792</v>
      </c>
      <c r="D1011" s="7720"/>
      <c r="E1011" s="7719" t="s">
        <v>669</v>
      </c>
      <c r="F1011" s="7719" t="str">
        <f t="shared" si="70"/>
        <v/>
      </c>
      <c r="G1011" s="7719"/>
      <c r="H1011" s="7719" t="str">
        <f t="shared" si="71"/>
        <v/>
      </c>
      <c r="I1011" s="7719">
        <v>43.0</v>
      </c>
      <c r="J1011" s="7719">
        <v>29.0</v>
      </c>
      <c r="K1011" s="7719">
        <v>31.0</v>
      </c>
      <c r="L1011" s="7719">
        <v>29.0</v>
      </c>
      <c r="M1011" s="7719">
        <v>31.0</v>
      </c>
      <c r="N1011" s="7721">
        <v>37.0</v>
      </c>
      <c r="O1011" s="7701"/>
      <c r="P1011" s="7704"/>
      <c r="Q1011" s="7704"/>
      <c r="R1011" s="7704"/>
      <c r="S1011" s="7705"/>
    </row>
    <row r="1012" ht="18.75" customHeight="1">
      <c r="A1012" s="7696"/>
      <c r="B1012" s="7712" t="s">
        <v>3793</v>
      </c>
      <c r="C1012" s="7713" t="s">
        <v>3794</v>
      </c>
      <c r="D1012" s="7714"/>
      <c r="E1012" s="7713" t="s">
        <v>669</v>
      </c>
      <c r="F1012" s="7713" t="str">
        <f t="shared" si="70"/>
        <v/>
      </c>
      <c r="G1012" s="7713"/>
      <c r="H1012" s="7713" t="str">
        <f t="shared" si="71"/>
        <v/>
      </c>
      <c r="I1012" s="7713">
        <v>43.0</v>
      </c>
      <c r="J1012" s="7713">
        <v>29.0</v>
      </c>
      <c r="K1012" s="7713">
        <v>131.0</v>
      </c>
      <c r="L1012" s="7713">
        <v>29.0</v>
      </c>
      <c r="M1012" s="7713">
        <v>131.0</v>
      </c>
      <c r="N1012" s="7715">
        <v>37.0</v>
      </c>
      <c r="O1012" s="7701"/>
      <c r="P1012" s="7704"/>
      <c r="Q1012" s="7704"/>
      <c r="R1012" s="7704"/>
      <c r="S1012" s="7705"/>
    </row>
    <row r="1013" ht="18.75" customHeight="1">
      <c r="A1013" s="7696"/>
      <c r="B1013" s="7718" t="s">
        <v>3795</v>
      </c>
      <c r="C1013" s="7719" t="s">
        <v>3796</v>
      </c>
      <c r="D1013" s="7720"/>
      <c r="E1013" s="7719" t="s">
        <v>669</v>
      </c>
      <c r="F1013" s="7719" t="str">
        <f t="shared" si="70"/>
        <v/>
      </c>
      <c r="G1013" s="7719" t="s">
        <v>2286</v>
      </c>
      <c r="H1013" s="7719" t="str">
        <f t="shared" si="71"/>
        <v/>
      </c>
      <c r="I1013" s="7719">
        <v>137.0</v>
      </c>
      <c r="J1013" s="7719">
        <v>137.0</v>
      </c>
      <c r="K1013" s="7719">
        <v>107.0</v>
      </c>
      <c r="L1013" s="7719">
        <v>113.0</v>
      </c>
      <c r="M1013" s="7719">
        <v>89.0</v>
      </c>
      <c r="N1013" s="7721">
        <v>97.0</v>
      </c>
      <c r="O1013" s="7701"/>
      <c r="P1013" s="7704"/>
      <c r="Q1013" s="7704"/>
      <c r="R1013" s="7704"/>
      <c r="S1013" s="7705"/>
    </row>
    <row r="1014" ht="18.75" customHeight="1">
      <c r="A1014" s="7696"/>
      <c r="B1014" s="7712" t="s">
        <v>3797</v>
      </c>
      <c r="C1014" s="7713" t="s">
        <v>3798</v>
      </c>
      <c r="D1014" s="7714"/>
      <c r="E1014" s="7713" t="s">
        <v>669</v>
      </c>
      <c r="F1014" s="7713" t="str">
        <f t="shared" si="70"/>
        <v/>
      </c>
      <c r="G1014" s="7713" t="s">
        <v>2447</v>
      </c>
      <c r="H1014" s="7713" t="str">
        <f t="shared" si="71"/>
        <v/>
      </c>
      <c r="I1014" s="7713">
        <v>137.0</v>
      </c>
      <c r="J1014" s="7713">
        <v>113.0</v>
      </c>
      <c r="K1014" s="7713">
        <v>89.0</v>
      </c>
      <c r="L1014" s="7713">
        <v>137.0</v>
      </c>
      <c r="M1014" s="7713">
        <v>107.0</v>
      </c>
      <c r="N1014" s="7715">
        <v>97.0</v>
      </c>
      <c r="O1014" s="7701"/>
      <c r="P1014" s="7704"/>
      <c r="Q1014" s="7704"/>
      <c r="R1014" s="7704"/>
      <c r="S1014" s="7705"/>
    </row>
    <row r="1015" ht="18.75" customHeight="1">
      <c r="A1015" s="7696"/>
      <c r="B1015" s="7718" t="s">
        <v>1066</v>
      </c>
      <c r="C1015" s="7719" t="s">
        <v>3799</v>
      </c>
      <c r="D1015" s="7720"/>
      <c r="E1015" s="7719" t="s">
        <v>2370</v>
      </c>
      <c r="F1015" s="7719" t="str">
        <f t="shared" si="70"/>
        <v/>
      </c>
      <c r="G1015" s="7719" t="s">
        <v>2210</v>
      </c>
      <c r="H1015" s="7719" t="str">
        <f t="shared" si="71"/>
        <v/>
      </c>
      <c r="I1015" s="7719">
        <v>109.0</v>
      </c>
      <c r="J1015" s="7719">
        <v>53.0</v>
      </c>
      <c r="K1015" s="7719">
        <v>47.0</v>
      </c>
      <c r="L1015" s="7719">
        <v>127.0</v>
      </c>
      <c r="M1015" s="7719">
        <v>131.0</v>
      </c>
      <c r="N1015" s="7721">
        <v>103.0</v>
      </c>
      <c r="O1015" s="7701"/>
      <c r="P1015" s="7704"/>
      <c r="Q1015" s="7704"/>
      <c r="R1015" s="7704"/>
      <c r="S1015" s="7705"/>
    </row>
    <row r="1016" ht="18.75" customHeight="1">
      <c r="A1016" s="7696"/>
      <c r="B1016" s="7712" t="s">
        <v>1318</v>
      </c>
      <c r="C1016" s="7713" t="s">
        <v>3800</v>
      </c>
      <c r="D1016" s="7714"/>
      <c r="E1016" s="7713" t="s">
        <v>2243</v>
      </c>
      <c r="F1016" s="7713" t="str">
        <f t="shared" si="70"/>
        <v/>
      </c>
      <c r="G1016" s="7713" t="s">
        <v>2296</v>
      </c>
      <c r="H1016" s="7713" t="str">
        <f t="shared" si="71"/>
        <v/>
      </c>
      <c r="I1016" s="7713">
        <v>107.0</v>
      </c>
      <c r="J1016" s="7713">
        <v>139.0</v>
      </c>
      <c r="K1016" s="7713">
        <v>139.0</v>
      </c>
      <c r="L1016" s="7713">
        <v>53.0</v>
      </c>
      <c r="M1016" s="7713">
        <v>53.0</v>
      </c>
      <c r="N1016" s="7715">
        <v>79.0</v>
      </c>
      <c r="O1016" s="7701"/>
      <c r="P1016" s="7704"/>
      <c r="Q1016" s="7704"/>
      <c r="R1016" s="7704"/>
      <c r="S1016" s="7705"/>
    </row>
    <row r="1017" ht="18.75" customHeight="1">
      <c r="A1017" s="7696"/>
      <c r="B1017" s="7718" t="s">
        <v>2097</v>
      </c>
      <c r="C1017" s="7719" t="s">
        <v>3801</v>
      </c>
      <c r="D1017" s="7720"/>
      <c r="E1017" s="7719" t="s">
        <v>2243</v>
      </c>
      <c r="F1017" s="7719" t="str">
        <f t="shared" si="70"/>
        <v/>
      </c>
      <c r="G1017" s="7719" t="s">
        <v>2296</v>
      </c>
      <c r="H1017" s="7719" t="str">
        <f t="shared" si="71"/>
        <v/>
      </c>
      <c r="I1017" s="7719">
        <v>71.0</v>
      </c>
      <c r="J1017" s="7719">
        <v>137.0</v>
      </c>
      <c r="K1017" s="7719">
        <v>37.0</v>
      </c>
      <c r="L1017" s="7719">
        <v>137.0</v>
      </c>
      <c r="M1017" s="7719">
        <v>37.0</v>
      </c>
      <c r="N1017" s="7721">
        <v>151.0</v>
      </c>
      <c r="O1017" s="7701"/>
      <c r="P1017" s="7704"/>
      <c r="Q1017" s="7704"/>
      <c r="R1017" s="7704"/>
      <c r="S1017" s="7705"/>
    </row>
    <row r="1018" ht="18.75" customHeight="1">
      <c r="A1018" s="7696"/>
      <c r="B1018" s="7712" t="s">
        <v>3802</v>
      </c>
      <c r="C1018" s="7713" t="s">
        <v>3803</v>
      </c>
      <c r="D1018" s="7714"/>
      <c r="E1018" s="7713" t="s">
        <v>2283</v>
      </c>
      <c r="F1018" s="7713" t="str">
        <f t="shared" ref="F1018:F1027" si="72">IFERROR(VLOOKUP(E1018,P$3:Q1037,2,False),"")</f>
        <v/>
      </c>
      <c r="G1018" s="7713"/>
      <c r="H1018" s="7713" t="str">
        <f t="shared" ref="H1018:H1027" si="73">IFERROR(VLOOKUP(G1018,P$3:Q1037,2,False),"")</f>
        <v/>
      </c>
      <c r="I1018" s="7713">
        <v>83.0</v>
      </c>
      <c r="J1018" s="7713">
        <v>69.0</v>
      </c>
      <c r="K1018" s="7713">
        <v>71.0</v>
      </c>
      <c r="L1018" s="7713">
        <v>173.0</v>
      </c>
      <c r="M1018" s="7713">
        <v>71.0</v>
      </c>
      <c r="N1018" s="7715">
        <v>98.0</v>
      </c>
      <c r="O1018" s="7701"/>
      <c r="P1018" s="7704"/>
      <c r="Q1018" s="7704"/>
      <c r="R1018" s="7704"/>
      <c r="S1018" s="7705"/>
    </row>
    <row r="1019" ht="18.75" customHeight="1">
      <c r="A1019" s="7696"/>
      <c r="B1019" s="7718" t="s">
        <v>1044</v>
      </c>
      <c r="C1019" s="7719" t="s">
        <v>3804</v>
      </c>
      <c r="D1019" s="7720"/>
      <c r="E1019" s="7719" t="s">
        <v>2286</v>
      </c>
      <c r="F1019" s="7719" t="str">
        <f t="shared" si="72"/>
        <v/>
      </c>
      <c r="G1019" s="7719" t="s">
        <v>2224</v>
      </c>
      <c r="H1019" s="7719" t="str">
        <f t="shared" si="73"/>
        <v/>
      </c>
      <c r="I1019" s="7719">
        <v>97.0</v>
      </c>
      <c r="J1019" s="7719">
        <v>101.0</v>
      </c>
      <c r="K1019" s="7719">
        <v>103.0</v>
      </c>
      <c r="L1019" s="7719">
        <v>107.0</v>
      </c>
      <c r="M1019" s="7719">
        <v>101.0</v>
      </c>
      <c r="N1019" s="7721">
        <v>61.0</v>
      </c>
      <c r="O1019" s="7701"/>
      <c r="P1019" s="7704"/>
      <c r="Q1019" s="7704"/>
      <c r="R1019" s="7704"/>
      <c r="S1019" s="7705"/>
    </row>
    <row r="1020" ht="18.75" customHeight="1">
      <c r="A1020" s="7696"/>
      <c r="B1020" s="7712" t="s">
        <v>602</v>
      </c>
      <c r="C1020" s="7713" t="s">
        <v>3805</v>
      </c>
      <c r="D1020" s="7714"/>
      <c r="E1020" s="7713" t="s">
        <v>2209</v>
      </c>
      <c r="F1020" s="7713" t="str">
        <f t="shared" si="72"/>
        <v/>
      </c>
      <c r="G1020" s="7713" t="s">
        <v>2286</v>
      </c>
      <c r="H1020" s="7713" t="str">
        <f t="shared" si="73"/>
        <v/>
      </c>
      <c r="I1020" s="7713">
        <v>59.0</v>
      </c>
      <c r="J1020" s="7713">
        <v>181.0</v>
      </c>
      <c r="K1020" s="7713">
        <v>131.0</v>
      </c>
      <c r="L1020" s="7713">
        <v>59.0</v>
      </c>
      <c r="M1020" s="7713">
        <v>31.0</v>
      </c>
      <c r="N1020" s="7715">
        <v>109.0</v>
      </c>
      <c r="O1020" s="7701"/>
      <c r="P1020" s="7704"/>
      <c r="Q1020" s="7704"/>
      <c r="R1020" s="7704"/>
      <c r="S1020" s="7705"/>
    </row>
    <row r="1021" ht="18.75" customHeight="1">
      <c r="A1021" s="7696"/>
      <c r="B1021" s="7718" t="s">
        <v>3806</v>
      </c>
      <c r="C1021" s="7719" t="s">
        <v>3807</v>
      </c>
      <c r="D1021" s="7720"/>
      <c r="E1021" s="7719" t="s">
        <v>2272</v>
      </c>
      <c r="F1021" s="7719" t="str">
        <f t="shared" si="72"/>
        <v/>
      </c>
      <c r="G1021" s="7719" t="s">
        <v>2227</v>
      </c>
      <c r="H1021" s="7719" t="str">
        <f t="shared" si="73"/>
        <v/>
      </c>
      <c r="I1021" s="7719">
        <v>203.0</v>
      </c>
      <c r="J1021" s="7719">
        <v>101.0</v>
      </c>
      <c r="K1021" s="7719">
        <v>73.0</v>
      </c>
      <c r="L1021" s="7719">
        <v>97.0</v>
      </c>
      <c r="M1021" s="7719">
        <v>73.0</v>
      </c>
      <c r="N1021" s="7721">
        <v>23.0</v>
      </c>
      <c r="O1021" s="7701"/>
      <c r="P1021" s="7704"/>
      <c r="Q1021" s="7704"/>
      <c r="R1021" s="7704"/>
      <c r="S1021" s="7705"/>
    </row>
    <row r="1022" ht="18.75" customHeight="1">
      <c r="A1022" s="7696"/>
      <c r="B1022" s="7712" t="s">
        <v>1833</v>
      </c>
      <c r="C1022" s="7713" t="s">
        <v>3808</v>
      </c>
      <c r="D1022" s="7714"/>
      <c r="E1022" s="7713" t="s">
        <v>669</v>
      </c>
      <c r="F1022" s="7713" t="str">
        <f t="shared" si="72"/>
        <v/>
      </c>
      <c r="G1022" s="7713"/>
      <c r="H1022" s="7713" t="str">
        <f t="shared" si="73"/>
        <v/>
      </c>
      <c r="I1022" s="7713">
        <v>97.0</v>
      </c>
      <c r="J1022" s="7713">
        <v>107.0</v>
      </c>
      <c r="K1022" s="7713">
        <v>101.0</v>
      </c>
      <c r="L1022" s="7713">
        <v>127.0</v>
      </c>
      <c r="M1022" s="7713">
        <v>89.0</v>
      </c>
      <c r="N1022" s="7715">
        <v>79.0</v>
      </c>
      <c r="O1022" s="7701"/>
      <c r="P1022" s="7704"/>
      <c r="Q1022" s="7704"/>
      <c r="R1022" s="7704"/>
      <c r="S1022" s="7705"/>
    </row>
    <row r="1023" ht="18.75" customHeight="1">
      <c r="A1023" s="7696"/>
      <c r="B1023" s="7718" t="s">
        <v>948</v>
      </c>
      <c r="C1023" s="7723" t="s">
        <v>3809</v>
      </c>
      <c r="D1023" s="7720"/>
      <c r="E1023" s="7719" t="s">
        <v>669</v>
      </c>
      <c r="F1023" s="7719" t="str">
        <f t="shared" si="72"/>
        <v/>
      </c>
      <c r="G1023" s="7719" t="s">
        <v>2286</v>
      </c>
      <c r="H1023" s="7719" t="str">
        <f t="shared" si="73"/>
        <v/>
      </c>
      <c r="I1023" s="7719">
        <v>97.0</v>
      </c>
      <c r="J1023" s="7719">
        <v>157.0</v>
      </c>
      <c r="K1023" s="7719">
        <v>127.0</v>
      </c>
      <c r="L1023" s="7719">
        <v>113.0</v>
      </c>
      <c r="M1023" s="7719">
        <v>109.0</v>
      </c>
      <c r="N1023" s="7721">
        <v>77.0</v>
      </c>
      <c r="O1023" s="7701"/>
      <c r="P1023" s="7704"/>
      <c r="Q1023" s="7704"/>
      <c r="R1023" s="7704"/>
      <c r="S1023" s="7705"/>
    </row>
    <row r="1024" ht="18.75" customHeight="1">
      <c r="A1024" s="7696"/>
      <c r="B1024" s="7712" t="s">
        <v>3810</v>
      </c>
      <c r="C1024" s="7722" t="s">
        <v>3811</v>
      </c>
      <c r="D1024" s="7714"/>
      <c r="E1024" s="7713" t="s">
        <v>669</v>
      </c>
      <c r="F1024" s="7713" t="str">
        <f t="shared" si="72"/>
        <v/>
      </c>
      <c r="G1024" s="7713" t="s">
        <v>2447</v>
      </c>
      <c r="H1024" s="7713" t="str">
        <f t="shared" si="73"/>
        <v/>
      </c>
      <c r="I1024" s="7713">
        <v>97.0</v>
      </c>
      <c r="J1024" s="7713">
        <v>113.0</v>
      </c>
      <c r="K1024" s="7713">
        <v>109.0</v>
      </c>
      <c r="L1024" s="7713">
        <v>157.0</v>
      </c>
      <c r="M1024" s="7713">
        <v>127.0</v>
      </c>
      <c r="N1024" s="7715">
        <v>77.0</v>
      </c>
      <c r="O1024" s="7701"/>
      <c r="P1024" s="7704"/>
      <c r="Q1024" s="7704"/>
      <c r="R1024" s="7704"/>
      <c r="S1024" s="7705"/>
    </row>
    <row r="1025" ht="18.75" customHeight="1">
      <c r="A1025" s="7696"/>
      <c r="B1025" s="7718" t="s">
        <v>704</v>
      </c>
      <c r="C1025" s="7723" t="s">
        <v>3812</v>
      </c>
      <c r="D1025" s="7720"/>
      <c r="E1025" s="7719" t="s">
        <v>669</v>
      </c>
      <c r="F1025" s="7719" t="str">
        <f t="shared" si="72"/>
        <v/>
      </c>
      <c r="G1025" s="7719" t="s">
        <v>2227</v>
      </c>
      <c r="H1025" s="7719" t="str">
        <f t="shared" si="73"/>
        <v/>
      </c>
      <c r="I1025" s="7719">
        <v>97.0</v>
      </c>
      <c r="J1025" s="7719">
        <v>167.0</v>
      </c>
      <c r="K1025" s="7719">
        <v>97.0</v>
      </c>
      <c r="L1025" s="7719">
        <v>167.0</v>
      </c>
      <c r="M1025" s="7719">
        <v>97.0</v>
      </c>
      <c r="N1025" s="7721">
        <v>129.0</v>
      </c>
      <c r="O1025" s="7701"/>
      <c r="P1025" s="7704"/>
      <c r="Q1025" s="7704"/>
      <c r="R1025" s="7704"/>
      <c r="S1025" s="7705"/>
    </row>
    <row r="1026" ht="18.75" customHeight="1">
      <c r="A1026" s="7696"/>
      <c r="B1026" s="7712" t="s">
        <v>630</v>
      </c>
      <c r="C1026" s="7713" t="s">
        <v>3813</v>
      </c>
      <c r="D1026" s="7714"/>
      <c r="E1026" s="7713" t="s">
        <v>2286</v>
      </c>
      <c r="F1026" s="7713" t="str">
        <f t="shared" si="72"/>
        <v/>
      </c>
      <c r="G1026" s="7713" t="s">
        <v>2292</v>
      </c>
      <c r="H1026" s="7713" t="str">
        <f t="shared" si="73"/>
        <v/>
      </c>
      <c r="I1026" s="7713">
        <v>80.0</v>
      </c>
      <c r="J1026" s="7713">
        <v>95.0</v>
      </c>
      <c r="K1026" s="7713">
        <v>115.0</v>
      </c>
      <c r="L1026" s="7713">
        <v>130.0</v>
      </c>
      <c r="M1026" s="7713">
        <v>115.0</v>
      </c>
      <c r="N1026" s="7715">
        <v>65.0</v>
      </c>
      <c r="O1026" s="7701"/>
      <c r="P1026" s="7704"/>
      <c r="Q1026" s="7704"/>
      <c r="R1026" s="7704"/>
      <c r="S1026" s="7705"/>
    </row>
    <row r="1027" ht="18.75" customHeight="1">
      <c r="A1027" s="7696"/>
      <c r="B1027" s="7718" t="s">
        <v>1983</v>
      </c>
      <c r="C1027" s="7719" t="s">
        <v>3813</v>
      </c>
      <c r="D1027" s="7720"/>
      <c r="E1027" s="7719" t="s">
        <v>2286</v>
      </c>
      <c r="F1027" s="7719" t="str">
        <f t="shared" si="72"/>
        <v/>
      </c>
      <c r="G1027" s="7719" t="s">
        <v>2292</v>
      </c>
      <c r="H1027" s="7719" t="str">
        <f t="shared" si="73"/>
        <v/>
      </c>
      <c r="I1027" s="7719">
        <v>80.0</v>
      </c>
      <c r="J1027" s="7719">
        <v>95.0</v>
      </c>
      <c r="K1027" s="7719">
        <v>115.0</v>
      </c>
      <c r="L1027" s="7719">
        <v>130.0</v>
      </c>
      <c r="M1027" s="7719">
        <v>115.0</v>
      </c>
      <c r="N1027" s="7721">
        <v>65.0</v>
      </c>
      <c r="O1027" s="7701"/>
      <c r="P1027" s="7704"/>
      <c r="Q1027" s="7704"/>
      <c r="R1027" s="7704"/>
      <c r="S1027" s="7705"/>
    </row>
    <row r="1028" ht="18.75" customHeight="1">
      <c r="A1028" s="7696"/>
      <c r="B1028" s="7712" t="s">
        <v>2026</v>
      </c>
      <c r="C1028" s="7713" t="s">
        <v>3814</v>
      </c>
      <c r="D1028" s="7714"/>
      <c r="E1028" s="7713" t="s">
        <v>2296</v>
      </c>
      <c r="F1028" s="7713" t="str">
        <f t="shared" ref="F1028:F1035" si="74">IFERROR(VLOOKUP(E1028,P$3:Q1046,2,False),"")</f>
        <v/>
      </c>
      <c r="G1028" s="7713" t="s">
        <v>2447</v>
      </c>
      <c r="H1028" s="7713" t="str">
        <f t="shared" ref="H1028:H1035" si="75">IFERROR(VLOOKUP(G1028,P$3:Q1046,2,False),"")</f>
        <v/>
      </c>
      <c r="I1028" s="7713">
        <v>90.0</v>
      </c>
      <c r="J1028" s="7713">
        <v>125.0</v>
      </c>
      <c r="K1028" s="7713">
        <v>80.0</v>
      </c>
      <c r="L1028" s="7713">
        <v>90.0</v>
      </c>
      <c r="M1028" s="7713">
        <v>90.0</v>
      </c>
      <c r="N1028" s="7715">
        <v>125.0</v>
      </c>
      <c r="O1028" s="7701"/>
      <c r="P1028" s="7704"/>
      <c r="Q1028" s="7704"/>
      <c r="R1028" s="7704"/>
      <c r="S1028" s="7705"/>
    </row>
    <row r="1029" ht="18.75" customHeight="1">
      <c r="A1029" s="7696"/>
      <c r="B1029" s="7718" t="s">
        <v>3815</v>
      </c>
      <c r="C1029" s="7719" t="s">
        <v>3816</v>
      </c>
      <c r="D1029" s="7720"/>
      <c r="E1029" s="7719" t="s">
        <v>2210</v>
      </c>
      <c r="F1029" s="7719" t="str">
        <f t="shared" si="74"/>
        <v/>
      </c>
      <c r="G1029" s="7719"/>
      <c r="H1029" s="7719" t="str">
        <f t="shared" si="75"/>
        <v/>
      </c>
      <c r="I1029" s="7719">
        <v>67.0</v>
      </c>
      <c r="J1029" s="7719">
        <v>73.0</v>
      </c>
      <c r="K1029" s="7719">
        <v>67.0</v>
      </c>
      <c r="L1029" s="7719">
        <v>73.0</v>
      </c>
      <c r="M1029" s="7719">
        <v>67.0</v>
      </c>
      <c r="N1029" s="7721">
        <v>73.0</v>
      </c>
      <c r="O1029" s="7701"/>
      <c r="P1029" s="7704"/>
      <c r="Q1029" s="7704"/>
      <c r="R1029" s="7704"/>
      <c r="S1029" s="7705"/>
    </row>
    <row r="1030" ht="18.75" customHeight="1">
      <c r="A1030" s="7696"/>
      <c r="B1030" s="7712" t="s">
        <v>3817</v>
      </c>
      <c r="C1030" s="7713" t="s">
        <v>3818</v>
      </c>
      <c r="D1030" s="7714"/>
      <c r="E1030" s="7713" t="s">
        <v>2210</v>
      </c>
      <c r="F1030" s="7713" t="str">
        <f t="shared" si="74"/>
        <v/>
      </c>
      <c r="G1030" s="7713" t="s">
        <v>2227</v>
      </c>
      <c r="H1030" s="7713" t="str">
        <f t="shared" si="75"/>
        <v/>
      </c>
      <c r="I1030" s="7713">
        <v>73.0</v>
      </c>
      <c r="J1030" s="7713">
        <v>73.0</v>
      </c>
      <c r="K1030" s="7713">
        <v>73.0</v>
      </c>
      <c r="L1030" s="7713">
        <v>127.0</v>
      </c>
      <c r="M1030" s="7713">
        <v>73.0</v>
      </c>
      <c r="N1030" s="7715">
        <v>121.0</v>
      </c>
      <c r="O1030" s="7701"/>
      <c r="P1030" s="7704"/>
      <c r="Q1030" s="7704"/>
      <c r="R1030" s="7704"/>
      <c r="S1030" s="7705"/>
    </row>
    <row r="1031" ht="18.75" customHeight="1">
      <c r="A1031" s="7696"/>
      <c r="B1031" s="7718" t="s">
        <v>1751</v>
      </c>
      <c r="C1031" s="7719" t="s">
        <v>3819</v>
      </c>
      <c r="D1031" s="7720"/>
      <c r="E1031" s="7719" t="s">
        <v>2370</v>
      </c>
      <c r="F1031" s="7719" t="str">
        <f t="shared" si="74"/>
        <v/>
      </c>
      <c r="G1031" s="7719" t="s">
        <v>2286</v>
      </c>
      <c r="H1031" s="7719" t="str">
        <f t="shared" si="75"/>
        <v/>
      </c>
      <c r="I1031" s="7719">
        <v>61.0</v>
      </c>
      <c r="J1031" s="7719">
        <v>131.0</v>
      </c>
      <c r="K1031" s="7719">
        <v>211.0</v>
      </c>
      <c r="L1031" s="7719">
        <v>53.0</v>
      </c>
      <c r="M1031" s="7719">
        <v>101.0</v>
      </c>
      <c r="N1031" s="7721">
        <v>13.0</v>
      </c>
      <c r="O1031" s="7701"/>
      <c r="P1031" s="7704"/>
      <c r="Q1031" s="7704"/>
      <c r="R1031" s="7704"/>
      <c r="S1031" s="7705"/>
    </row>
    <row r="1032" ht="18.75" customHeight="1">
      <c r="A1032" s="7696"/>
      <c r="B1032" s="7712" t="s">
        <v>1734</v>
      </c>
      <c r="C1032" s="7713" t="s">
        <v>3820</v>
      </c>
      <c r="D1032" s="7714"/>
      <c r="E1032" s="7713" t="s">
        <v>2219</v>
      </c>
      <c r="F1032" s="7713" t="str">
        <f t="shared" si="74"/>
        <v/>
      </c>
      <c r="G1032" s="7713" t="s">
        <v>2447</v>
      </c>
      <c r="H1032" s="7713" t="str">
        <f t="shared" si="75"/>
        <v/>
      </c>
      <c r="I1032" s="7713">
        <v>53.0</v>
      </c>
      <c r="J1032" s="7713">
        <v>127.0</v>
      </c>
      <c r="K1032" s="7713">
        <v>53.0</v>
      </c>
      <c r="L1032" s="7713">
        <v>151.0</v>
      </c>
      <c r="M1032" s="7713">
        <v>79.0</v>
      </c>
      <c r="N1032" s="7715">
        <v>107.0</v>
      </c>
      <c r="O1032" s="7701"/>
      <c r="P1032" s="7704"/>
      <c r="Q1032" s="7704"/>
      <c r="R1032" s="7704"/>
      <c r="S1032" s="7705"/>
    </row>
    <row r="1033" ht="18.75" customHeight="1">
      <c r="A1033" s="7696"/>
      <c r="B1033" s="7718" t="s">
        <v>1871</v>
      </c>
      <c r="C1033" s="7719" t="s">
        <v>3821</v>
      </c>
      <c r="D1033" s="7720"/>
      <c r="E1033" s="7719" t="s">
        <v>2283</v>
      </c>
      <c r="F1033" s="7719" t="str">
        <f t="shared" si="74"/>
        <v/>
      </c>
      <c r="G1033" s="7719"/>
      <c r="H1033" s="7719" t="str">
        <f t="shared" si="75"/>
        <v/>
      </c>
      <c r="I1033" s="7719">
        <v>88.0</v>
      </c>
      <c r="J1033" s="7719">
        <v>112.0</v>
      </c>
      <c r="K1033" s="7719">
        <v>75.0</v>
      </c>
      <c r="L1033" s="7719">
        <v>102.0</v>
      </c>
      <c r="M1033" s="7719">
        <v>80.0</v>
      </c>
      <c r="N1033" s="7721">
        <v>143.0</v>
      </c>
      <c r="O1033" s="7701"/>
      <c r="P1033" s="7704"/>
      <c r="Q1033" s="7704"/>
      <c r="R1033" s="7704"/>
      <c r="S1033" s="7705"/>
    </row>
    <row r="1034" ht="18.75" customHeight="1">
      <c r="A1034" s="7696"/>
      <c r="B1034" s="7712" t="s">
        <v>3822</v>
      </c>
      <c r="C1034" s="7713" t="s">
        <v>3823</v>
      </c>
      <c r="D1034" s="7714"/>
      <c r="E1034" s="7713" t="s">
        <v>2286</v>
      </c>
      <c r="F1034" s="7713" t="str">
        <f t="shared" si="74"/>
        <v/>
      </c>
      <c r="G1034" s="7713"/>
      <c r="H1034" s="7713" t="str">
        <f t="shared" si="75"/>
        <v/>
      </c>
      <c r="I1034" s="7713">
        <v>46.0</v>
      </c>
      <c r="J1034" s="7713">
        <v>65.0</v>
      </c>
      <c r="K1034" s="7713">
        <v>65.0</v>
      </c>
      <c r="L1034" s="7713">
        <v>55.0</v>
      </c>
      <c r="M1034" s="7713">
        <v>35.0</v>
      </c>
      <c r="N1034" s="7715">
        <v>34.0</v>
      </c>
      <c r="O1034" s="7701"/>
      <c r="P1034" s="7704"/>
      <c r="Q1034" s="7704"/>
      <c r="R1034" s="7704"/>
      <c r="S1034" s="7705"/>
    </row>
    <row r="1035" ht="18.75" customHeight="1">
      <c r="A1035" s="7696"/>
      <c r="B1035" s="7749" t="s">
        <v>1910</v>
      </c>
      <c r="C1035" s="7752" t="s">
        <v>3824</v>
      </c>
      <c r="D1035" s="7751"/>
      <c r="E1035" s="7752" t="s">
        <v>2286</v>
      </c>
      <c r="F1035" s="7752" t="str">
        <f t="shared" si="74"/>
        <v/>
      </c>
      <c r="G1035" s="7752"/>
      <c r="H1035" s="7752" t="str">
        <f t="shared" si="75"/>
        <v/>
      </c>
      <c r="I1035" s="7752">
        <v>135.0</v>
      </c>
      <c r="J1035" s="7752">
        <v>143.0</v>
      </c>
      <c r="K1035" s="7752">
        <v>143.0</v>
      </c>
      <c r="L1035" s="7752">
        <v>80.0</v>
      </c>
      <c r="M1035" s="7752">
        <v>65.0</v>
      </c>
      <c r="N1035" s="7753">
        <v>34.0</v>
      </c>
      <c r="O1035" s="7701"/>
      <c r="P1035" s="7704"/>
      <c r="Q1035" s="7704"/>
      <c r="R1035" s="7704"/>
      <c r="S1035" s="7705"/>
    </row>
    <row r="1036">
      <c r="A1036" s="7696"/>
      <c r="B1036" s="7694"/>
      <c r="C1036" s="7694"/>
      <c r="D1036" s="7694"/>
      <c r="E1036" s="7694"/>
      <c r="F1036" s="7694"/>
      <c r="G1036" s="7694"/>
      <c r="H1036" s="7694"/>
      <c r="I1036" s="7694"/>
      <c r="J1036" s="7694"/>
      <c r="K1036" s="7694"/>
      <c r="L1036" s="7694"/>
      <c r="M1036" s="7694"/>
      <c r="N1036" s="7694"/>
      <c r="O1036" s="7696"/>
      <c r="P1036" s="7696"/>
      <c r="Q1036" s="7694"/>
      <c r="R1036" s="7704"/>
      <c r="S1036" s="7705"/>
    </row>
    <row r="1037">
      <c r="A1037" s="7696"/>
      <c r="B1037" s="7754" t="s">
        <v>3825</v>
      </c>
      <c r="C1037" s="7755"/>
      <c r="D1037" s="7755"/>
      <c r="E1037" s="7755"/>
      <c r="F1037" s="7755"/>
      <c r="G1037" s="7755"/>
      <c r="H1037" s="7756"/>
      <c r="I1037" s="7757" t="s">
        <v>513</v>
      </c>
      <c r="J1037" s="7757" t="s">
        <v>514</v>
      </c>
      <c r="K1037" s="7757" t="s">
        <v>515</v>
      </c>
      <c r="L1037" s="7757" t="s">
        <v>516</v>
      </c>
      <c r="M1037" s="7757" t="s">
        <v>517</v>
      </c>
      <c r="N1037" s="7758" t="s">
        <v>518</v>
      </c>
      <c r="O1037" s="7701"/>
      <c r="P1037" s="7704"/>
      <c r="Q1037" s="7704"/>
      <c r="R1037" s="7704"/>
      <c r="S1037" s="7705"/>
    </row>
    <row r="1038" ht="18.75" customHeight="1">
      <c r="A1038" s="7696"/>
      <c r="B1038" s="7761" t="s">
        <v>3826</v>
      </c>
      <c r="C1038" s="7762" t="s">
        <v>3827</v>
      </c>
      <c r="D1038" s="7763"/>
      <c r="E1038" s="7764" t="s">
        <v>2209</v>
      </c>
      <c r="F1038" s="7764" t="str">
        <f t="shared" ref="F1038:F1062" si="76">IFERROR(VLOOKUP(E1038,P$3:Q1055,2,False),"")</f>
        <v/>
      </c>
      <c r="G1038" s="7764"/>
      <c r="H1038" s="7764" t="str">
        <f t="shared" ref="H1038:H1062" si="77">IFERROR(VLOOKUP(G1038,P$3:Q1055,2,False),"")</f>
        <v/>
      </c>
      <c r="I1038" s="7764">
        <v>50.0</v>
      </c>
      <c r="J1038" s="7764">
        <v>65.0</v>
      </c>
      <c r="K1038" s="7764">
        <v>50.0</v>
      </c>
      <c r="L1038" s="7764">
        <v>40.0</v>
      </c>
      <c r="M1038" s="7764">
        <v>40.0</v>
      </c>
      <c r="N1038" s="7765">
        <v>65.0</v>
      </c>
      <c r="O1038" s="7701"/>
      <c r="P1038" s="7704"/>
      <c r="Q1038" s="7704"/>
      <c r="R1038" s="7704"/>
      <c r="S1038" s="7705"/>
    </row>
    <row r="1039" ht="18.75" customHeight="1">
      <c r="A1039" s="7696"/>
      <c r="B1039" s="7718" t="s">
        <v>1387</v>
      </c>
      <c r="C1039" s="7719" t="s">
        <v>3828</v>
      </c>
      <c r="D1039" s="7720"/>
      <c r="E1039" s="7719" t="s">
        <v>2209</v>
      </c>
      <c r="F1039" s="7719" t="str">
        <f t="shared" si="76"/>
        <v/>
      </c>
      <c r="G1039" s="7719"/>
      <c r="H1039" s="7719" t="str">
        <f t="shared" si="77"/>
        <v/>
      </c>
      <c r="I1039" s="7719">
        <v>70.0</v>
      </c>
      <c r="J1039" s="7719">
        <v>85.0</v>
      </c>
      <c r="K1039" s="7719">
        <v>70.0</v>
      </c>
      <c r="L1039" s="7719">
        <v>55.0</v>
      </c>
      <c r="M1039" s="7719">
        <v>60.0</v>
      </c>
      <c r="N1039" s="7721">
        <v>80.0</v>
      </c>
      <c r="O1039" s="7701"/>
      <c r="P1039" s="7704"/>
      <c r="Q1039" s="7704"/>
      <c r="R1039" s="7704"/>
      <c r="S1039" s="7705"/>
    </row>
    <row r="1040" ht="18.75" customHeight="1">
      <c r="A1040" s="7696"/>
      <c r="B1040" s="7712" t="s">
        <v>112</v>
      </c>
      <c r="C1040" s="7713" t="s">
        <v>3829</v>
      </c>
      <c r="D1040" s="7714"/>
      <c r="E1040" s="7713" t="s">
        <v>2209</v>
      </c>
      <c r="F1040" s="7713" t="str">
        <f t="shared" si="76"/>
        <v/>
      </c>
      <c r="G1040" s="7713"/>
      <c r="H1040" s="7713" t="str">
        <f t="shared" si="77"/>
        <v/>
      </c>
      <c r="I1040" s="7713">
        <v>100.0</v>
      </c>
      <c r="J1040" s="7713">
        <v>125.0</v>
      </c>
      <c r="K1040" s="7713">
        <v>90.0</v>
      </c>
      <c r="L1040" s="7713">
        <v>60.0</v>
      </c>
      <c r="M1040" s="7713">
        <v>70.0</v>
      </c>
      <c r="N1040" s="7715">
        <v>85.0</v>
      </c>
      <c r="O1040" s="7701"/>
      <c r="P1040" s="7704"/>
      <c r="Q1040" s="7704"/>
      <c r="R1040" s="7704"/>
      <c r="S1040" s="7705"/>
    </row>
    <row r="1041" ht="18.75" customHeight="1">
      <c r="A1041" s="7696"/>
      <c r="B1041" s="7718" t="s">
        <v>3830</v>
      </c>
      <c r="C1041" s="7719" t="s">
        <v>3831</v>
      </c>
      <c r="D1041" s="7720"/>
      <c r="E1041" s="7719" t="s">
        <v>2219</v>
      </c>
      <c r="F1041" s="7719" t="str">
        <f t="shared" si="76"/>
        <v/>
      </c>
      <c r="G1041" s="7719"/>
      <c r="H1041" s="7719" t="str">
        <f t="shared" si="77"/>
        <v/>
      </c>
      <c r="I1041" s="7719">
        <v>50.0</v>
      </c>
      <c r="J1041" s="7719">
        <v>71.0</v>
      </c>
      <c r="K1041" s="7719">
        <v>40.0</v>
      </c>
      <c r="L1041" s="7719">
        <v>40.0</v>
      </c>
      <c r="M1041" s="7719">
        <v>40.0</v>
      </c>
      <c r="N1041" s="7721">
        <v>69.0</v>
      </c>
      <c r="O1041" s="7701"/>
      <c r="P1041" s="7704"/>
      <c r="Q1041" s="7704"/>
      <c r="R1041" s="7704"/>
      <c r="S1041" s="7705"/>
    </row>
    <row r="1042" ht="18.75" customHeight="1">
      <c r="A1042" s="7696"/>
      <c r="B1042" s="7712" t="s">
        <v>3832</v>
      </c>
      <c r="C1042" s="7713" t="s">
        <v>3833</v>
      </c>
      <c r="D1042" s="7714"/>
      <c r="E1042" s="7713" t="s">
        <v>2219</v>
      </c>
      <c r="F1042" s="7713" t="str">
        <f t="shared" si="76"/>
        <v/>
      </c>
      <c r="G1042" s="7713"/>
      <c r="H1042" s="7713" t="str">
        <f t="shared" si="77"/>
        <v/>
      </c>
      <c r="I1042" s="7713">
        <v>65.0</v>
      </c>
      <c r="J1042" s="7713">
        <v>86.0</v>
      </c>
      <c r="K1042" s="7713">
        <v>60.0</v>
      </c>
      <c r="L1042" s="7713">
        <v>55.0</v>
      </c>
      <c r="M1042" s="7713">
        <v>60.0</v>
      </c>
      <c r="N1042" s="7715">
        <v>94.0</v>
      </c>
      <c r="O1042" s="7701"/>
      <c r="P1042" s="7704"/>
      <c r="Q1042" s="7704"/>
      <c r="R1042" s="7704"/>
      <c r="S1042" s="7705"/>
    </row>
    <row r="1043" ht="18.75" customHeight="1">
      <c r="A1043" s="7696"/>
      <c r="B1043" s="7718" t="s">
        <v>1723</v>
      </c>
      <c r="C1043" s="7719" t="s">
        <v>3834</v>
      </c>
      <c r="D1043" s="7720"/>
      <c r="E1043" s="7719" t="s">
        <v>2219</v>
      </c>
      <c r="F1043" s="7719" t="str">
        <f t="shared" si="76"/>
        <v/>
      </c>
      <c r="G1043" s="7719"/>
      <c r="H1043" s="7719" t="str">
        <f t="shared" si="77"/>
        <v/>
      </c>
      <c r="I1043" s="7719">
        <v>80.0</v>
      </c>
      <c r="J1043" s="7719">
        <v>116.0</v>
      </c>
      <c r="K1043" s="7719">
        <v>75.0</v>
      </c>
      <c r="L1043" s="7719">
        <v>65.0</v>
      </c>
      <c r="M1043" s="7719">
        <v>75.0</v>
      </c>
      <c r="N1043" s="7721">
        <v>119.0</v>
      </c>
      <c r="O1043" s="7701"/>
      <c r="P1043" s="7704"/>
      <c r="Q1043" s="7704"/>
      <c r="R1043" s="7704"/>
      <c r="S1043" s="7705"/>
    </row>
    <row r="1044" ht="18.75" customHeight="1">
      <c r="A1044" s="7696"/>
      <c r="B1044" s="7712" t="s">
        <v>3835</v>
      </c>
      <c r="C1044" s="7713" t="s">
        <v>3836</v>
      </c>
      <c r="D1044" s="7714"/>
      <c r="E1044" s="7713" t="s">
        <v>2232</v>
      </c>
      <c r="F1044" s="7713" t="str">
        <f t="shared" si="76"/>
        <v/>
      </c>
      <c r="G1044" s="7713"/>
      <c r="H1044" s="7713" t="str">
        <f t="shared" si="77"/>
        <v/>
      </c>
      <c r="I1044" s="7713">
        <v>50.0</v>
      </c>
      <c r="J1044" s="7713">
        <v>40.0</v>
      </c>
      <c r="K1044" s="7713">
        <v>40.0</v>
      </c>
      <c r="L1044" s="7713">
        <v>70.0</v>
      </c>
      <c r="M1044" s="7713">
        <v>40.0</v>
      </c>
      <c r="N1044" s="7715">
        <v>70.0</v>
      </c>
      <c r="O1044" s="7701"/>
      <c r="P1044" s="7704"/>
      <c r="Q1044" s="7704"/>
      <c r="R1044" s="7704"/>
      <c r="S1044" s="7705"/>
    </row>
    <row r="1045" ht="18.75" customHeight="1">
      <c r="A1045" s="7696"/>
      <c r="B1045" s="7718" t="s">
        <v>3837</v>
      </c>
      <c r="C1045" s="7719" t="s">
        <v>3838</v>
      </c>
      <c r="D1045" s="7720"/>
      <c r="E1045" s="7719" t="s">
        <v>2232</v>
      </c>
      <c r="F1045" s="7719" t="str">
        <f t="shared" si="76"/>
        <v/>
      </c>
      <c r="G1045" s="7719"/>
      <c r="H1045" s="7719" t="str">
        <f t="shared" si="77"/>
        <v/>
      </c>
      <c r="I1045" s="7719">
        <v>65.0</v>
      </c>
      <c r="J1045" s="7719">
        <v>60.0</v>
      </c>
      <c r="K1045" s="7719">
        <v>55.0</v>
      </c>
      <c r="L1045" s="7719">
        <v>95.0</v>
      </c>
      <c r="M1045" s="7719">
        <v>55.0</v>
      </c>
      <c r="N1045" s="7721">
        <v>90.0</v>
      </c>
      <c r="O1045" s="7701"/>
      <c r="P1045" s="7704"/>
      <c r="Q1045" s="7704"/>
      <c r="R1045" s="7704"/>
      <c r="S1045" s="7705"/>
    </row>
    <row r="1046" ht="18.75" customHeight="1">
      <c r="A1046" s="7696"/>
      <c r="B1046" s="7712" t="s">
        <v>1183</v>
      </c>
      <c r="C1046" s="7713" t="s">
        <v>3839</v>
      </c>
      <c r="D1046" s="7714"/>
      <c r="E1046" s="7713" t="s">
        <v>2232</v>
      </c>
      <c r="F1046" s="7713" t="str">
        <f t="shared" si="76"/>
        <v/>
      </c>
      <c r="G1046" s="7713"/>
      <c r="H1046" s="7713" t="str">
        <f t="shared" si="77"/>
        <v/>
      </c>
      <c r="I1046" s="7713">
        <v>70.0</v>
      </c>
      <c r="J1046" s="7713">
        <v>85.0</v>
      </c>
      <c r="K1046" s="7713">
        <v>65.0</v>
      </c>
      <c r="L1046" s="7713">
        <v>125.0</v>
      </c>
      <c r="M1046" s="7713">
        <v>65.0</v>
      </c>
      <c r="N1046" s="7715">
        <v>120.0</v>
      </c>
      <c r="O1046" s="7701"/>
      <c r="P1046" s="7704"/>
      <c r="Q1046" s="7704"/>
      <c r="R1046" s="7704"/>
      <c r="S1046" s="7705"/>
    </row>
    <row r="1047" ht="18.75" customHeight="1">
      <c r="A1047" s="7696"/>
      <c r="B1047" s="7718" t="s">
        <v>3840</v>
      </c>
      <c r="C1047" s="7719" t="s">
        <v>3841</v>
      </c>
      <c r="D1047" s="7720"/>
      <c r="E1047" s="7719" t="s">
        <v>2262</v>
      </c>
      <c r="F1047" s="7719" t="str">
        <f t="shared" si="76"/>
        <v/>
      </c>
      <c r="G1047" s="7719"/>
      <c r="H1047" s="7719" t="str">
        <f t="shared" si="77"/>
        <v/>
      </c>
      <c r="I1047" s="7719">
        <v>70.0</v>
      </c>
      <c r="J1047" s="7719">
        <v>55.0</v>
      </c>
      <c r="K1047" s="7719">
        <v>55.0</v>
      </c>
      <c r="L1047" s="7719">
        <v>35.0</v>
      </c>
      <c r="M1047" s="7719">
        <v>35.0</v>
      </c>
      <c r="N1047" s="7721">
        <v>25.0</v>
      </c>
      <c r="O1047" s="7701"/>
      <c r="P1047" s="7704"/>
      <c r="Q1047" s="7704"/>
      <c r="R1047" s="7704"/>
      <c r="S1047" s="7705"/>
    </row>
    <row r="1048" ht="18.75" customHeight="1">
      <c r="A1048" s="7696"/>
      <c r="B1048" s="7712" t="s">
        <v>176</v>
      </c>
      <c r="C1048" s="7713" t="s">
        <v>3842</v>
      </c>
      <c r="D1048" s="7714"/>
      <c r="E1048" s="7713" t="s">
        <v>2262</v>
      </c>
      <c r="F1048" s="7713" t="str">
        <f t="shared" si="76"/>
        <v/>
      </c>
      <c r="G1048" s="7713"/>
      <c r="H1048" s="7713" t="str">
        <f t="shared" si="77"/>
        <v/>
      </c>
      <c r="I1048" s="7713">
        <v>120.0</v>
      </c>
      <c r="J1048" s="7713">
        <v>95.0</v>
      </c>
      <c r="K1048" s="7713">
        <v>95.0</v>
      </c>
      <c r="L1048" s="7713">
        <v>55.0</v>
      </c>
      <c r="M1048" s="7713">
        <v>75.0</v>
      </c>
      <c r="N1048" s="7715">
        <v>20.0</v>
      </c>
      <c r="O1048" s="7701"/>
      <c r="P1048" s="7704"/>
      <c r="Q1048" s="7704"/>
      <c r="R1048" s="7704"/>
      <c r="S1048" s="7705"/>
    </row>
    <row r="1049" ht="18.75" customHeight="1">
      <c r="A1049" s="7696"/>
      <c r="B1049" s="7718" t="s">
        <v>3843</v>
      </c>
      <c r="C1049" s="7719" t="s">
        <v>3844</v>
      </c>
      <c r="D1049" s="7720"/>
      <c r="E1049" s="7719" t="s">
        <v>2224</v>
      </c>
      <c r="F1049" s="7719" t="str">
        <f t="shared" si="76"/>
        <v/>
      </c>
      <c r="G1049" s="7719"/>
      <c r="H1049" s="7719" t="str">
        <f t="shared" si="77"/>
        <v/>
      </c>
      <c r="I1049" s="7719">
        <v>38.0</v>
      </c>
      <c r="J1049" s="7719">
        <v>47.0</v>
      </c>
      <c r="K1049" s="7719">
        <v>35.0</v>
      </c>
      <c r="L1049" s="7719">
        <v>33.0</v>
      </c>
      <c r="M1049" s="7719">
        <v>35.0</v>
      </c>
      <c r="N1049" s="7721">
        <v>57.0</v>
      </c>
      <c r="O1049" s="7701"/>
      <c r="P1049" s="7704"/>
      <c r="Q1049" s="7704"/>
      <c r="R1049" s="7704"/>
      <c r="S1049" s="7705"/>
    </row>
    <row r="1050" ht="18.75" customHeight="1">
      <c r="A1050" s="7696"/>
      <c r="B1050" s="7712" t="s">
        <v>3845</v>
      </c>
      <c r="C1050" s="7713" t="s">
        <v>3846</v>
      </c>
      <c r="D1050" s="7714"/>
      <c r="E1050" s="7722" t="s">
        <v>2224</v>
      </c>
      <c r="F1050" s="7722" t="str">
        <f t="shared" si="76"/>
        <v/>
      </c>
      <c r="G1050" s="7722"/>
      <c r="H1050" s="7722" t="str">
        <f t="shared" si="77"/>
        <v/>
      </c>
      <c r="I1050" s="7713">
        <v>68.0</v>
      </c>
      <c r="J1050" s="7713">
        <v>67.0</v>
      </c>
      <c r="K1050" s="7713">
        <v>55.0</v>
      </c>
      <c r="L1050" s="7713">
        <v>43.0</v>
      </c>
      <c r="M1050" s="7713">
        <v>55.0</v>
      </c>
      <c r="N1050" s="7715">
        <v>77.0</v>
      </c>
      <c r="O1050" s="7701"/>
      <c r="P1050" s="7704"/>
      <c r="Q1050" s="7704"/>
      <c r="R1050" s="7704"/>
      <c r="S1050" s="7705"/>
    </row>
    <row r="1051" ht="18.75" customHeight="1">
      <c r="A1051" s="7696"/>
      <c r="B1051" s="7718" t="s">
        <v>2183</v>
      </c>
      <c r="C1051" s="7719" t="s">
        <v>3847</v>
      </c>
      <c r="D1051" s="7720"/>
      <c r="E1051" s="7719" t="s">
        <v>2224</v>
      </c>
      <c r="F1051" s="7719" t="str">
        <f t="shared" si="76"/>
        <v/>
      </c>
      <c r="G1051" s="7719" t="s">
        <v>2286</v>
      </c>
      <c r="H1051" s="7719" t="str">
        <f t="shared" si="77"/>
        <v/>
      </c>
      <c r="I1051" s="7719">
        <v>98.0</v>
      </c>
      <c r="J1051" s="7719">
        <v>87.0</v>
      </c>
      <c r="K1051" s="7719">
        <v>105.0</v>
      </c>
      <c r="L1051" s="7719">
        <v>53.0</v>
      </c>
      <c r="M1051" s="7719">
        <v>85.0</v>
      </c>
      <c r="N1051" s="7721">
        <v>67.0</v>
      </c>
      <c r="O1051" s="7701"/>
      <c r="P1051" s="7704"/>
      <c r="Q1051" s="7704"/>
      <c r="R1051" s="7704"/>
      <c r="S1051" s="7705"/>
    </row>
    <row r="1052" ht="18.75" customHeight="1">
      <c r="A1052" s="7696"/>
      <c r="B1052" s="7712" t="s">
        <v>3848</v>
      </c>
      <c r="C1052" s="7713" t="s">
        <v>3849</v>
      </c>
      <c r="D1052" s="7714"/>
      <c r="E1052" s="7713" t="s">
        <v>2243</v>
      </c>
      <c r="F1052" s="7713" t="str">
        <f t="shared" si="76"/>
        <v/>
      </c>
      <c r="G1052" s="7713"/>
      <c r="H1052" s="7713" t="str">
        <f t="shared" si="77"/>
        <v/>
      </c>
      <c r="I1052" s="7713">
        <v>25.0</v>
      </c>
      <c r="J1052" s="7713">
        <v>20.0</v>
      </c>
      <c r="K1052" s="7713">
        <v>20.0</v>
      </c>
      <c r="L1052" s="7713">
        <v>25.0</v>
      </c>
      <c r="M1052" s="7713">
        <v>45.0</v>
      </c>
      <c r="N1052" s="7715">
        <v>45.0</v>
      </c>
      <c r="O1052" s="7701"/>
      <c r="P1052" s="7704"/>
      <c r="Q1052" s="7704"/>
      <c r="R1052" s="7704"/>
      <c r="S1052" s="7705"/>
    </row>
    <row r="1053" ht="18.75" customHeight="1">
      <c r="A1053" s="7696"/>
      <c r="B1053" s="7718" t="s">
        <v>3850</v>
      </c>
      <c r="C1053" s="7719" t="s">
        <v>3851</v>
      </c>
      <c r="D1053" s="7720"/>
      <c r="E1053" s="7719" t="s">
        <v>2243</v>
      </c>
      <c r="F1053" s="7719" t="str">
        <f t="shared" si="76"/>
        <v/>
      </c>
      <c r="G1053" s="7719" t="s">
        <v>669</v>
      </c>
      <c r="H1053" s="7719" t="str">
        <f t="shared" si="77"/>
        <v/>
      </c>
      <c r="I1053" s="7719">
        <v>50.0</v>
      </c>
      <c r="J1053" s="7719">
        <v>35.0</v>
      </c>
      <c r="K1053" s="7719">
        <v>80.0</v>
      </c>
      <c r="L1053" s="7719">
        <v>50.0</v>
      </c>
      <c r="M1053" s="7719">
        <v>90.0</v>
      </c>
      <c r="N1053" s="7721">
        <v>30.0</v>
      </c>
      <c r="O1053" s="7701"/>
      <c r="P1053" s="7704"/>
      <c r="Q1053" s="7704"/>
      <c r="R1053" s="7704"/>
      <c r="S1053" s="7705"/>
    </row>
    <row r="1054" ht="18.75" customHeight="1">
      <c r="A1054" s="7696"/>
      <c r="B1054" s="7712" t="s">
        <v>3852</v>
      </c>
      <c r="C1054" s="7713" t="s">
        <v>3853</v>
      </c>
      <c r="D1054" s="7714"/>
      <c r="E1054" s="7713" t="s">
        <v>2243</v>
      </c>
      <c r="F1054" s="7713" t="str">
        <f t="shared" si="76"/>
        <v/>
      </c>
      <c r="G1054" s="7713" t="s">
        <v>669</v>
      </c>
      <c r="H1054" s="7713" t="str">
        <f t="shared" si="77"/>
        <v/>
      </c>
      <c r="I1054" s="7713">
        <v>60.0</v>
      </c>
      <c r="J1054" s="7713">
        <v>45.0</v>
      </c>
      <c r="K1054" s="7713">
        <v>110.0</v>
      </c>
      <c r="L1054" s="7713">
        <v>80.0</v>
      </c>
      <c r="M1054" s="7713">
        <v>120.0</v>
      </c>
      <c r="N1054" s="7715">
        <v>90.0</v>
      </c>
      <c r="O1054" s="7701"/>
      <c r="P1054" s="7704"/>
      <c r="Q1054" s="7704"/>
      <c r="R1054" s="7704"/>
      <c r="S1054" s="7705"/>
    </row>
    <row r="1055" ht="18.75" customHeight="1">
      <c r="A1055" s="7696"/>
      <c r="B1055" s="7718" t="s">
        <v>3854</v>
      </c>
      <c r="C1055" s="7723" t="s">
        <v>3855</v>
      </c>
      <c r="D1055" s="7720"/>
      <c r="E1055" s="7719" t="s">
        <v>2243</v>
      </c>
      <c r="F1055" s="7719" t="str">
        <f t="shared" si="76"/>
        <v/>
      </c>
      <c r="G1055" s="7719" t="s">
        <v>669</v>
      </c>
      <c r="H1055" s="7719" t="str">
        <f t="shared" si="77"/>
        <v/>
      </c>
      <c r="I1055" s="7719">
        <v>60.0</v>
      </c>
      <c r="J1055" s="7719">
        <v>45.0</v>
      </c>
      <c r="K1055" s="7719">
        <v>125.0</v>
      </c>
      <c r="L1055" s="7719">
        <v>135.0</v>
      </c>
      <c r="M1055" s="7719">
        <v>130.0</v>
      </c>
      <c r="N1055" s="7721">
        <v>100.0</v>
      </c>
      <c r="O1055" s="7701"/>
      <c r="P1055" s="7704"/>
      <c r="Q1055" s="7704"/>
      <c r="R1055" s="7704"/>
      <c r="S1055" s="7705"/>
    </row>
    <row r="1056" ht="18.75" customHeight="1">
      <c r="A1056" s="7696"/>
      <c r="B1056" s="7712" t="s">
        <v>3856</v>
      </c>
      <c r="C1056" s="7713" t="s">
        <v>3857</v>
      </c>
      <c r="D1056" s="7714"/>
      <c r="E1056" s="7713" t="s">
        <v>2272</v>
      </c>
      <c r="F1056" s="7713" t="str">
        <f t="shared" si="76"/>
        <v/>
      </c>
      <c r="G1056" s="7713"/>
      <c r="H1056" s="7713" t="str">
        <f t="shared" si="77"/>
        <v/>
      </c>
      <c r="I1056" s="7713">
        <v>40.0</v>
      </c>
      <c r="J1056" s="7713">
        <v>28.0</v>
      </c>
      <c r="K1056" s="7713">
        <v>28.0</v>
      </c>
      <c r="L1056" s="7713">
        <v>47.0</v>
      </c>
      <c r="M1056" s="7713">
        <v>52.0</v>
      </c>
      <c r="N1056" s="7715">
        <v>50.0</v>
      </c>
      <c r="O1056" s="7701"/>
      <c r="P1056" s="7704"/>
      <c r="Q1056" s="7704"/>
      <c r="R1056" s="7704"/>
      <c r="S1056" s="7705"/>
    </row>
    <row r="1057" ht="18.75" customHeight="1">
      <c r="A1057" s="7696"/>
      <c r="B1057" s="7718" t="s">
        <v>189</v>
      </c>
      <c r="C1057" s="7719" t="s">
        <v>3858</v>
      </c>
      <c r="D1057" s="7720"/>
      <c r="E1057" s="7719" t="s">
        <v>2272</v>
      </c>
      <c r="F1057" s="7719" t="str">
        <f t="shared" si="76"/>
        <v/>
      </c>
      <c r="G1057" s="7719"/>
      <c r="H1057" s="7719" t="str">
        <f t="shared" si="77"/>
        <v/>
      </c>
      <c r="I1057" s="7719">
        <v>70.0</v>
      </c>
      <c r="J1057" s="7719">
        <v>58.0</v>
      </c>
      <c r="K1057" s="7719">
        <v>58.0</v>
      </c>
      <c r="L1057" s="7719">
        <v>97.0</v>
      </c>
      <c r="M1057" s="7719">
        <v>92.0</v>
      </c>
      <c r="N1057" s="7721">
        <v>110.0</v>
      </c>
      <c r="O1057" s="7701"/>
      <c r="P1057" s="7704"/>
      <c r="Q1057" s="7704"/>
      <c r="R1057" s="7704"/>
      <c r="S1057" s="7705"/>
    </row>
    <row r="1058" ht="18.75" customHeight="1">
      <c r="A1058" s="7696"/>
      <c r="B1058" s="7712" t="s">
        <v>3859</v>
      </c>
      <c r="C1058" s="7713" t="s">
        <v>3860</v>
      </c>
      <c r="D1058" s="7714"/>
      <c r="E1058" s="7713" t="s">
        <v>2209</v>
      </c>
      <c r="F1058" s="7713" t="str">
        <f t="shared" si="76"/>
        <v/>
      </c>
      <c r="G1058" s="7713"/>
      <c r="H1058" s="7713" t="str">
        <f t="shared" si="77"/>
        <v/>
      </c>
      <c r="I1058" s="7713">
        <v>40.0</v>
      </c>
      <c r="J1058" s="7713">
        <v>40.0</v>
      </c>
      <c r="K1058" s="7713">
        <v>60.0</v>
      </c>
      <c r="L1058" s="7713">
        <v>40.0</v>
      </c>
      <c r="M1058" s="7713">
        <v>60.0</v>
      </c>
      <c r="N1058" s="7715">
        <v>10.0</v>
      </c>
      <c r="O1058" s="7701"/>
      <c r="P1058" s="7704"/>
      <c r="Q1058" s="7704"/>
      <c r="R1058" s="7704"/>
      <c r="S1058" s="7705"/>
    </row>
    <row r="1059" ht="18.75" customHeight="1">
      <c r="A1059" s="7696"/>
      <c r="B1059" s="7718" t="s">
        <v>202</v>
      </c>
      <c r="C1059" s="7719" t="s">
        <v>3861</v>
      </c>
      <c r="D1059" s="7720"/>
      <c r="E1059" s="7719" t="s">
        <v>2209</v>
      </c>
      <c r="F1059" s="7719" t="str">
        <f t="shared" si="76"/>
        <v/>
      </c>
      <c r="G1059" s="7719"/>
      <c r="H1059" s="7719" t="str">
        <f t="shared" si="77"/>
        <v/>
      </c>
      <c r="I1059" s="7719">
        <v>75.0</v>
      </c>
      <c r="J1059" s="7719">
        <v>50.0</v>
      </c>
      <c r="K1059" s="7719">
        <v>90.0</v>
      </c>
      <c r="L1059" s="7719">
        <v>90.0</v>
      </c>
      <c r="M1059" s="7719">
        <v>120.0</v>
      </c>
      <c r="N1059" s="7721">
        <v>60.0</v>
      </c>
      <c r="O1059" s="7701"/>
      <c r="P1059" s="7704"/>
      <c r="Q1059" s="7704"/>
      <c r="R1059" s="7704"/>
      <c r="S1059" s="7705"/>
    </row>
    <row r="1060" ht="18.75" customHeight="1">
      <c r="A1060" s="7696"/>
      <c r="B1060" s="7712" t="s">
        <v>3862</v>
      </c>
      <c r="C1060" s="7713" t="s">
        <v>3863</v>
      </c>
      <c r="D1060" s="7714"/>
      <c r="E1060" s="7713" t="s">
        <v>2262</v>
      </c>
      <c r="F1060" s="7713" t="str">
        <f t="shared" si="76"/>
        <v/>
      </c>
      <c r="G1060" s="7713"/>
      <c r="H1060" s="7713" t="str">
        <f t="shared" si="77"/>
        <v/>
      </c>
      <c r="I1060" s="7713">
        <v>42.0</v>
      </c>
      <c r="J1060" s="7713">
        <v>40.0</v>
      </c>
      <c r="K1060" s="7713">
        <v>55.0</v>
      </c>
      <c r="L1060" s="7713">
        <v>40.0</v>
      </c>
      <c r="M1060" s="7713">
        <v>45.0</v>
      </c>
      <c r="N1060" s="7715">
        <v>48.0</v>
      </c>
      <c r="O1060" s="7701"/>
      <c r="P1060" s="7704"/>
      <c r="Q1060" s="7704"/>
      <c r="R1060" s="7704"/>
      <c r="S1060" s="7705"/>
    </row>
    <row r="1061" ht="18.75" customHeight="1">
      <c r="A1061" s="7696"/>
      <c r="B1061" s="7718" t="s">
        <v>214</v>
      </c>
      <c r="C1061" s="7719" t="s">
        <v>3864</v>
      </c>
      <c r="D1061" s="7720"/>
      <c r="E1061" s="7719" t="s">
        <v>2262</v>
      </c>
      <c r="F1061" s="7719" t="str">
        <f t="shared" si="76"/>
        <v/>
      </c>
      <c r="G1061" s="7719"/>
      <c r="H1061" s="7719" t="str">
        <f t="shared" si="77"/>
        <v/>
      </c>
      <c r="I1061" s="7719">
        <v>82.0</v>
      </c>
      <c r="J1061" s="7719">
        <v>80.0</v>
      </c>
      <c r="K1061" s="7719">
        <v>100.0</v>
      </c>
      <c r="L1061" s="7719">
        <v>60.0</v>
      </c>
      <c r="M1061" s="7719">
        <v>90.0</v>
      </c>
      <c r="N1061" s="7721">
        <v>88.0</v>
      </c>
      <c r="O1061" s="7701"/>
      <c r="P1061" s="7704"/>
      <c r="Q1061" s="7704"/>
      <c r="R1061" s="7704"/>
      <c r="S1061" s="7705"/>
    </row>
    <row r="1062" ht="18.75" customHeight="1">
      <c r="A1062" s="7696"/>
      <c r="B1062" s="7712" t="s">
        <v>3865</v>
      </c>
      <c r="C1062" s="7713" t="s">
        <v>3866</v>
      </c>
      <c r="D1062" s="7714"/>
      <c r="E1062" s="7713" t="s">
        <v>2232</v>
      </c>
      <c r="F1062" s="7713" t="str">
        <f t="shared" si="76"/>
        <v/>
      </c>
      <c r="G1062" s="7713"/>
      <c r="H1062" s="7713" t="str">
        <f t="shared" si="77"/>
        <v/>
      </c>
      <c r="I1062" s="7713">
        <v>50.0</v>
      </c>
      <c r="J1062" s="7713">
        <v>64.0</v>
      </c>
      <c r="K1062" s="7713">
        <v>50.0</v>
      </c>
      <c r="L1062" s="7713">
        <v>38.0</v>
      </c>
      <c r="M1062" s="7713">
        <v>38.0</v>
      </c>
      <c r="N1062" s="7715">
        <v>44.0</v>
      </c>
      <c r="O1062" s="7701"/>
      <c r="P1062" s="7704"/>
      <c r="Q1062" s="7704"/>
      <c r="R1062" s="7704"/>
      <c r="S1062" s="7705"/>
    </row>
    <row r="1063" ht="18.75" customHeight="1">
      <c r="A1063" s="7696"/>
      <c r="B1063" s="7718" t="s">
        <v>3867</v>
      </c>
      <c r="C1063" s="7719" t="s">
        <v>3868</v>
      </c>
      <c r="D1063" s="7720"/>
      <c r="E1063" s="7719" t="s">
        <v>2232</v>
      </c>
      <c r="F1063" s="7719" t="str">
        <f t="shared" ref="F1063:F1081" si="78">IFERROR(VLOOKUP(E1063,P$3:Q1082,2,False),"")</f>
        <v/>
      </c>
      <c r="G1063" s="7719" t="s">
        <v>2370</v>
      </c>
      <c r="H1063" s="7719" t="str">
        <f t="shared" ref="H1063:H1081" si="79">IFERROR(VLOOKUP(G1063,P$3:Q1082,2,False),"")</f>
        <v/>
      </c>
      <c r="I1063" s="7719">
        <v>90.0</v>
      </c>
      <c r="J1063" s="7719">
        <v>115.0</v>
      </c>
      <c r="K1063" s="7719">
        <v>90.0</v>
      </c>
      <c r="L1063" s="7719">
        <v>48.0</v>
      </c>
      <c r="M1063" s="7719">
        <v>68.0</v>
      </c>
      <c r="N1063" s="7721">
        <v>74.0</v>
      </c>
      <c r="O1063" s="7701"/>
      <c r="P1063" s="7704"/>
      <c r="Q1063" s="7704"/>
      <c r="R1063" s="7704"/>
      <c r="S1063" s="7705"/>
    </row>
    <row r="1064" ht="18.75" customHeight="1">
      <c r="A1064" s="7696"/>
      <c r="B1064" s="7712" t="s">
        <v>1969</v>
      </c>
      <c r="C1064" s="7722" t="s">
        <v>3869</v>
      </c>
      <c r="D1064" s="7714"/>
      <c r="E1064" s="7713" t="s">
        <v>2232</v>
      </c>
      <c r="F1064" s="7713" t="str">
        <f t="shared" si="78"/>
        <v/>
      </c>
      <c r="G1064" s="7713" t="s">
        <v>2296</v>
      </c>
      <c r="H1064" s="7713" t="str">
        <f t="shared" si="79"/>
        <v/>
      </c>
      <c r="I1064" s="7713">
        <v>90.0</v>
      </c>
      <c r="J1064" s="7713">
        <v>155.0</v>
      </c>
      <c r="K1064" s="7713">
        <v>125.0</v>
      </c>
      <c r="L1064" s="7713">
        <v>48.0</v>
      </c>
      <c r="M1064" s="7713">
        <v>98.0</v>
      </c>
      <c r="N1064" s="7715">
        <v>85.0</v>
      </c>
      <c r="O1064" s="7701"/>
      <c r="P1064" s="7704"/>
      <c r="Q1064" s="7704"/>
      <c r="R1064" s="7704"/>
      <c r="S1064" s="7705"/>
    </row>
    <row r="1065" ht="18.75" customHeight="1">
      <c r="A1065" s="7696"/>
      <c r="B1065" s="7718" t="s">
        <v>3870</v>
      </c>
      <c r="C1065" s="7719" t="s">
        <v>3871</v>
      </c>
      <c r="D1065" s="7720"/>
      <c r="E1065" s="7719" t="s">
        <v>2283</v>
      </c>
      <c r="F1065" s="7719" t="str">
        <f t="shared" si="78"/>
        <v/>
      </c>
      <c r="G1065" s="7719"/>
      <c r="H1065" s="7719" t="str">
        <f t="shared" si="79"/>
        <v/>
      </c>
      <c r="I1065" s="7719">
        <v>59.0</v>
      </c>
      <c r="J1065" s="7719">
        <v>45.0</v>
      </c>
      <c r="K1065" s="7719">
        <v>50.0</v>
      </c>
      <c r="L1065" s="7719">
        <v>40.0</v>
      </c>
      <c r="M1065" s="7719">
        <v>50.0</v>
      </c>
      <c r="N1065" s="7721">
        <v>26.0</v>
      </c>
      <c r="O1065" s="7701"/>
      <c r="P1065" s="7704"/>
      <c r="Q1065" s="7704"/>
      <c r="R1065" s="7704"/>
      <c r="S1065" s="7705"/>
    </row>
    <row r="1066" ht="18.75" customHeight="1">
      <c r="A1066" s="7696"/>
      <c r="B1066" s="7712" t="s">
        <v>1434</v>
      </c>
      <c r="C1066" s="7713" t="s">
        <v>3872</v>
      </c>
      <c r="D1066" s="7714"/>
      <c r="E1066" s="7713" t="s">
        <v>2283</v>
      </c>
      <c r="F1066" s="7713" t="str">
        <f t="shared" si="78"/>
        <v/>
      </c>
      <c r="G1066" s="7713"/>
      <c r="H1066" s="7713" t="str">
        <f t="shared" si="79"/>
        <v/>
      </c>
      <c r="I1066" s="7713">
        <v>69.0</v>
      </c>
      <c r="J1066" s="7713">
        <v>100.0</v>
      </c>
      <c r="K1066" s="7713">
        <v>60.0</v>
      </c>
      <c r="L1066" s="7713">
        <v>80.0</v>
      </c>
      <c r="M1066" s="7713">
        <v>60.0</v>
      </c>
      <c r="N1066" s="7715">
        <v>121.0</v>
      </c>
      <c r="O1066" s="7701"/>
      <c r="P1066" s="7704"/>
      <c r="Q1066" s="7704"/>
      <c r="R1066" s="7704"/>
      <c r="S1066" s="7705"/>
    </row>
    <row r="1067" ht="18.75" customHeight="1">
      <c r="A1067" s="7696"/>
      <c r="B1067" s="7718" t="s">
        <v>3873</v>
      </c>
      <c r="C1067" s="7719" t="s">
        <v>3874</v>
      </c>
      <c r="D1067" s="7720"/>
      <c r="E1067" s="7719" t="s">
        <v>2370</v>
      </c>
      <c r="F1067" s="7719" t="str">
        <f t="shared" si="78"/>
        <v/>
      </c>
      <c r="G1067" s="7719"/>
      <c r="H1067" s="7719" t="str">
        <f t="shared" si="79"/>
        <v/>
      </c>
      <c r="I1067" s="7719">
        <v>30.0</v>
      </c>
      <c r="J1067" s="7719">
        <v>40.0</v>
      </c>
      <c r="K1067" s="7719">
        <v>50.0</v>
      </c>
      <c r="L1067" s="7719">
        <v>40.0</v>
      </c>
      <c r="M1067" s="7719">
        <v>50.0</v>
      </c>
      <c r="N1067" s="7721">
        <v>30.0</v>
      </c>
      <c r="O1067" s="7701"/>
      <c r="P1067" s="7704"/>
      <c r="Q1067" s="7704"/>
      <c r="R1067" s="7704"/>
      <c r="S1067" s="7705"/>
    </row>
    <row r="1068" ht="18.75" customHeight="1">
      <c r="A1068" s="7696"/>
      <c r="B1068" s="7712" t="s">
        <v>3875</v>
      </c>
      <c r="C1068" s="7713" t="s">
        <v>3876</v>
      </c>
      <c r="D1068" s="7714"/>
      <c r="E1068" s="7713" t="s">
        <v>2370</v>
      </c>
      <c r="F1068" s="7713" t="str">
        <f t="shared" si="78"/>
        <v/>
      </c>
      <c r="G1068" s="7713" t="s">
        <v>2219</v>
      </c>
      <c r="H1068" s="7713" t="str">
        <f t="shared" si="79"/>
        <v/>
      </c>
      <c r="I1068" s="7713">
        <v>80.0</v>
      </c>
      <c r="J1068" s="7713">
        <v>60.0</v>
      </c>
      <c r="K1068" s="7713">
        <v>90.0</v>
      </c>
      <c r="L1068" s="7713">
        <v>60.0</v>
      </c>
      <c r="M1068" s="7713">
        <v>70.0</v>
      </c>
      <c r="N1068" s="7715">
        <v>50.0</v>
      </c>
      <c r="O1068" s="7701"/>
      <c r="P1068" s="7704"/>
      <c r="Q1068" s="7704"/>
      <c r="R1068" s="7704"/>
      <c r="S1068" s="7705"/>
    </row>
    <row r="1069" ht="18.75" customHeight="1">
      <c r="A1069" s="7696"/>
      <c r="B1069" s="7718" t="s">
        <v>225</v>
      </c>
      <c r="C1069" s="7719" t="s">
        <v>3877</v>
      </c>
      <c r="D1069" s="7720"/>
      <c r="E1069" s="7719" t="s">
        <v>2370</v>
      </c>
      <c r="F1069" s="7719" t="str">
        <f t="shared" si="78"/>
        <v/>
      </c>
      <c r="G1069" s="7719" t="s">
        <v>2219</v>
      </c>
      <c r="H1069" s="7719" t="str">
        <f t="shared" si="79"/>
        <v/>
      </c>
      <c r="I1069" s="7719">
        <v>110.0</v>
      </c>
      <c r="J1069" s="7719">
        <v>80.0</v>
      </c>
      <c r="K1069" s="7719">
        <v>120.0</v>
      </c>
      <c r="L1069" s="7719">
        <v>80.0</v>
      </c>
      <c r="M1069" s="7719">
        <v>90.0</v>
      </c>
      <c r="N1069" s="7721">
        <v>30.0</v>
      </c>
      <c r="O1069" s="7701"/>
      <c r="P1069" s="7704"/>
      <c r="Q1069" s="7704"/>
      <c r="R1069" s="7704"/>
      <c r="S1069" s="7705"/>
    </row>
    <row r="1070" ht="18.75" customHeight="1">
      <c r="A1070" s="7696"/>
      <c r="B1070" s="7712" t="s">
        <v>3878</v>
      </c>
      <c r="C1070" s="7722" t="s">
        <v>3879</v>
      </c>
      <c r="D1070" s="7714"/>
      <c r="E1070" s="7713" t="s">
        <v>2370</v>
      </c>
      <c r="F1070" s="7713" t="str">
        <f t="shared" si="78"/>
        <v/>
      </c>
      <c r="G1070" s="7713" t="s">
        <v>2219</v>
      </c>
      <c r="H1070" s="7713" t="str">
        <f t="shared" si="79"/>
        <v/>
      </c>
      <c r="I1070" s="7713">
        <v>110.0</v>
      </c>
      <c r="J1070" s="7713">
        <v>80.0</v>
      </c>
      <c r="K1070" s="7713">
        <v>125.0</v>
      </c>
      <c r="L1070" s="7713">
        <v>125.0</v>
      </c>
      <c r="M1070" s="7713">
        <v>105.0</v>
      </c>
      <c r="N1070" s="7715">
        <v>45.0</v>
      </c>
      <c r="O1070" s="7701"/>
      <c r="P1070" s="7704"/>
      <c r="Q1070" s="7704"/>
      <c r="R1070" s="7704"/>
      <c r="S1070" s="7705"/>
    </row>
    <row r="1071" ht="18.75" customHeight="1">
      <c r="A1071" s="7696"/>
      <c r="B1071" s="7718" t="s">
        <v>3880</v>
      </c>
      <c r="C1071" s="7719" t="s">
        <v>3881</v>
      </c>
      <c r="D1071" s="7720"/>
      <c r="E1071" s="7719" t="s">
        <v>2209</v>
      </c>
      <c r="F1071" s="7719" t="str">
        <f t="shared" si="78"/>
        <v/>
      </c>
      <c r="G1071" s="7719" t="s">
        <v>2227</v>
      </c>
      <c r="H1071" s="7719" t="str">
        <f t="shared" si="79"/>
        <v/>
      </c>
      <c r="I1071" s="7719">
        <v>40.0</v>
      </c>
      <c r="J1071" s="7719">
        <v>40.0</v>
      </c>
      <c r="K1071" s="7719">
        <v>80.0</v>
      </c>
      <c r="L1071" s="7719">
        <v>40.0</v>
      </c>
      <c r="M1071" s="7719">
        <v>40.0</v>
      </c>
      <c r="N1071" s="7721">
        <v>20.0</v>
      </c>
      <c r="O1071" s="7701"/>
      <c r="P1071" s="7704"/>
      <c r="Q1071" s="7704"/>
      <c r="R1071" s="7704"/>
      <c r="S1071" s="7705"/>
    </row>
    <row r="1072" ht="18.75" customHeight="1">
      <c r="A1072" s="7696"/>
      <c r="B1072" s="7712" t="s">
        <v>3882</v>
      </c>
      <c r="C1072" s="7713" t="s">
        <v>3883</v>
      </c>
      <c r="D1072" s="7714"/>
      <c r="E1072" s="7713" t="s">
        <v>2209</v>
      </c>
      <c r="F1072" s="7713" t="str">
        <f t="shared" si="78"/>
        <v/>
      </c>
      <c r="G1072" s="7713" t="s">
        <v>2227</v>
      </c>
      <c r="H1072" s="7713" t="str">
        <f t="shared" si="79"/>
        <v/>
      </c>
      <c r="I1072" s="7713">
        <v>70.0</v>
      </c>
      <c r="J1072" s="7713">
        <v>110.0</v>
      </c>
      <c r="K1072" s="7713">
        <v>80.0</v>
      </c>
      <c r="L1072" s="7713">
        <v>95.0</v>
      </c>
      <c r="M1072" s="7713">
        <v>60.0</v>
      </c>
      <c r="N1072" s="7715">
        <v>70.0</v>
      </c>
      <c r="O1072" s="7701"/>
      <c r="P1072" s="7704"/>
      <c r="Q1072" s="7704"/>
      <c r="R1072" s="7704"/>
      <c r="S1072" s="7705"/>
    </row>
    <row r="1073" ht="18.75" customHeight="1">
      <c r="A1073" s="7696"/>
      <c r="B1073" s="7718" t="s">
        <v>1794</v>
      </c>
      <c r="C1073" s="7723" t="s">
        <v>3884</v>
      </c>
      <c r="D1073" s="7720"/>
      <c r="E1073" s="7719" t="s">
        <v>2209</v>
      </c>
      <c r="F1073" s="7719" t="str">
        <f t="shared" si="78"/>
        <v/>
      </c>
      <c r="G1073" s="7719" t="s">
        <v>2227</v>
      </c>
      <c r="H1073" s="7719" t="str">
        <f t="shared" si="79"/>
        <v/>
      </c>
      <c r="I1073" s="7719">
        <v>70.0</v>
      </c>
      <c r="J1073" s="7719">
        <v>145.0</v>
      </c>
      <c r="K1073" s="7719">
        <v>90.0</v>
      </c>
      <c r="L1073" s="7719">
        <v>135.0</v>
      </c>
      <c r="M1073" s="7719">
        <v>70.0</v>
      </c>
      <c r="N1073" s="7721">
        <v>105.0</v>
      </c>
      <c r="O1073" s="7701"/>
      <c r="P1073" s="7704"/>
      <c r="Q1073" s="7704"/>
      <c r="R1073" s="7704"/>
      <c r="S1073" s="7705"/>
    </row>
    <row r="1074" ht="18.75" customHeight="1">
      <c r="A1074" s="7696"/>
      <c r="B1074" s="7712" t="s">
        <v>3885</v>
      </c>
      <c r="C1074" s="7713" t="s">
        <v>3886</v>
      </c>
      <c r="D1074" s="7714"/>
      <c r="E1074" s="7713" t="s">
        <v>2209</v>
      </c>
      <c r="F1074" s="7713" t="str">
        <f t="shared" si="78"/>
        <v/>
      </c>
      <c r="G1074" s="7713" t="s">
        <v>2227</v>
      </c>
      <c r="H1074" s="7713" t="str">
        <f t="shared" si="79"/>
        <v/>
      </c>
      <c r="I1074" s="7713">
        <v>110.0</v>
      </c>
      <c r="J1074" s="7713">
        <v>85.0</v>
      </c>
      <c r="K1074" s="7713">
        <v>80.0</v>
      </c>
      <c r="L1074" s="7713">
        <v>100.0</v>
      </c>
      <c r="M1074" s="7713">
        <v>80.0</v>
      </c>
      <c r="N1074" s="7715">
        <v>30.0</v>
      </c>
      <c r="O1074" s="7701"/>
      <c r="P1074" s="7704"/>
      <c r="Q1074" s="7704"/>
      <c r="R1074" s="7704"/>
      <c r="S1074" s="7705"/>
    </row>
    <row r="1075" ht="18.75" customHeight="1">
      <c r="A1075" s="7696"/>
      <c r="B1075" s="7718" t="s">
        <v>1801</v>
      </c>
      <c r="C1075" s="7723" t="s">
        <v>3887</v>
      </c>
      <c r="D1075" s="7720"/>
      <c r="E1075" s="7719" t="s">
        <v>2209</v>
      </c>
      <c r="F1075" s="7719" t="str">
        <f t="shared" si="78"/>
        <v/>
      </c>
      <c r="G1075" s="7719" t="s">
        <v>2227</v>
      </c>
      <c r="H1075" s="7719" t="str">
        <f t="shared" si="79"/>
        <v/>
      </c>
      <c r="I1075" s="7719">
        <v>110.0</v>
      </c>
      <c r="J1075" s="7719">
        <v>105.0</v>
      </c>
      <c r="K1075" s="7719">
        <v>100.0</v>
      </c>
      <c r="L1075" s="7719">
        <v>135.0</v>
      </c>
      <c r="M1075" s="7719">
        <v>100.0</v>
      </c>
      <c r="N1075" s="7721">
        <v>40.0</v>
      </c>
      <c r="O1075" s="7701"/>
      <c r="P1075" s="7704"/>
      <c r="Q1075" s="7704"/>
      <c r="R1075" s="7704"/>
      <c r="S1075" s="7705"/>
    </row>
    <row r="1076" ht="18.75" customHeight="1">
      <c r="A1076" s="7696"/>
      <c r="B1076" s="7712" t="s">
        <v>3888</v>
      </c>
      <c r="C1076" s="7713" t="s">
        <v>3889</v>
      </c>
      <c r="D1076" s="7714"/>
      <c r="E1076" s="7713" t="s">
        <v>2304</v>
      </c>
      <c r="F1076" s="7713" t="str">
        <f t="shared" si="78"/>
        <v/>
      </c>
      <c r="G1076" s="7713"/>
      <c r="H1076" s="7713" t="str">
        <f t="shared" si="79"/>
        <v/>
      </c>
      <c r="I1076" s="7713">
        <v>52.0</v>
      </c>
      <c r="J1076" s="7713">
        <v>57.0</v>
      </c>
      <c r="K1076" s="7713">
        <v>75.0</v>
      </c>
      <c r="L1076" s="7713">
        <v>35.0</v>
      </c>
      <c r="M1076" s="7713">
        <v>50.0</v>
      </c>
      <c r="N1076" s="7715">
        <v>46.0</v>
      </c>
      <c r="O1076" s="7701"/>
      <c r="P1076" s="7704"/>
      <c r="Q1076" s="7704"/>
      <c r="R1076" s="7704"/>
      <c r="S1076" s="7705"/>
    </row>
    <row r="1077" ht="18.75" customHeight="1">
      <c r="A1077" s="7696"/>
      <c r="B1077" s="7718" t="s">
        <v>3890</v>
      </c>
      <c r="C1077" s="7719" t="s">
        <v>3891</v>
      </c>
      <c r="D1077" s="7720"/>
      <c r="E1077" s="7719" t="s">
        <v>2304</v>
      </c>
      <c r="F1077" s="7719" t="str">
        <f t="shared" si="78"/>
        <v/>
      </c>
      <c r="G1077" s="7719"/>
      <c r="H1077" s="7719" t="str">
        <f t="shared" si="79"/>
        <v/>
      </c>
      <c r="I1077" s="7719">
        <v>72.0</v>
      </c>
      <c r="J1077" s="7719">
        <v>107.0</v>
      </c>
      <c r="K1077" s="7719">
        <v>125.0</v>
      </c>
      <c r="L1077" s="7719">
        <v>65.0</v>
      </c>
      <c r="M1077" s="7719">
        <v>70.0</v>
      </c>
      <c r="N1077" s="7721">
        <v>71.0</v>
      </c>
      <c r="O1077" s="7701"/>
      <c r="P1077" s="7704"/>
      <c r="Q1077" s="7704"/>
      <c r="R1077" s="7704"/>
      <c r="S1077" s="7705"/>
    </row>
    <row r="1078" ht="18.75" customHeight="1">
      <c r="A1078" s="7696"/>
      <c r="B1078" s="7712" t="s">
        <v>1809</v>
      </c>
      <c r="C1078" s="7722" t="s">
        <v>3892</v>
      </c>
      <c r="D1078" s="7714"/>
      <c r="E1078" s="7722" t="s">
        <v>2304</v>
      </c>
      <c r="F1078" s="7713" t="str">
        <f t="shared" si="78"/>
        <v/>
      </c>
      <c r="G1078" s="7722" t="s">
        <v>2224</v>
      </c>
      <c r="H1078" s="7713" t="str">
        <f t="shared" si="79"/>
        <v/>
      </c>
      <c r="I1078" s="7713">
        <v>72.0</v>
      </c>
      <c r="J1078" s="7713">
        <v>140.0</v>
      </c>
      <c r="K1078" s="7713">
        <v>160.0</v>
      </c>
      <c r="L1078" s="7713">
        <v>85.0</v>
      </c>
      <c r="M1078" s="7713">
        <v>90.0</v>
      </c>
      <c r="N1078" s="7715">
        <v>81.0</v>
      </c>
      <c r="O1078" s="7701"/>
      <c r="P1078" s="7704"/>
      <c r="Q1078" s="7704"/>
      <c r="R1078" s="7704"/>
      <c r="S1078" s="7705"/>
    </row>
    <row r="1079" ht="18.75" customHeight="1">
      <c r="A1079" s="7696"/>
      <c r="B1079" s="7718" t="s">
        <v>1454</v>
      </c>
      <c r="C1079" s="7719" t="s">
        <v>3893</v>
      </c>
      <c r="D1079" s="7720"/>
      <c r="E1079" s="7719" t="s">
        <v>2224</v>
      </c>
      <c r="F1079" s="7719" t="str">
        <f t="shared" si="78"/>
        <v/>
      </c>
      <c r="G1079" s="7719" t="s">
        <v>2232</v>
      </c>
      <c r="H1079" s="7719" t="str">
        <f t="shared" si="79"/>
        <v/>
      </c>
      <c r="I1079" s="7719">
        <v>85.0</v>
      </c>
      <c r="J1079" s="7719">
        <v>85.0</v>
      </c>
      <c r="K1079" s="7719">
        <v>65.0</v>
      </c>
      <c r="L1079" s="7719">
        <v>100.0</v>
      </c>
      <c r="M1079" s="7719">
        <v>95.0</v>
      </c>
      <c r="N1079" s="7721">
        <v>105.0</v>
      </c>
      <c r="O1079" s="7701"/>
      <c r="P1079" s="7704"/>
      <c r="Q1079" s="7704"/>
      <c r="R1079" s="7704"/>
      <c r="S1079" s="7705"/>
    </row>
    <row r="1080" ht="18.75" customHeight="1">
      <c r="A1080" s="7696"/>
      <c r="B1080" s="7712" t="s">
        <v>1649</v>
      </c>
      <c r="C1080" s="7722" t="s">
        <v>3894</v>
      </c>
      <c r="D1080" s="7714"/>
      <c r="E1080" s="7713" t="s">
        <v>2224</v>
      </c>
      <c r="F1080" s="7713" t="str">
        <f t="shared" si="78"/>
        <v/>
      </c>
      <c r="G1080" s="7713" t="s">
        <v>2232</v>
      </c>
      <c r="H1080" s="7713" t="str">
        <f t="shared" si="79"/>
        <v/>
      </c>
      <c r="I1080" s="7713">
        <v>85.0</v>
      </c>
      <c r="J1080" s="7713">
        <v>85.0</v>
      </c>
      <c r="K1080" s="7713">
        <v>65.0</v>
      </c>
      <c r="L1080" s="7713">
        <v>100.0</v>
      </c>
      <c r="M1080" s="7713">
        <v>95.0</v>
      </c>
      <c r="N1080" s="7715">
        <v>105.0</v>
      </c>
      <c r="O1080" s="7701"/>
      <c r="P1080" s="7704"/>
      <c r="Q1080" s="7704"/>
      <c r="R1080" s="7704"/>
      <c r="S1080" s="7705"/>
    </row>
    <row r="1081" ht="18.75" customHeight="1">
      <c r="A1081" s="7696"/>
      <c r="B1081" s="7718" t="s">
        <v>3895</v>
      </c>
      <c r="C1081" s="7723" t="s">
        <v>3896</v>
      </c>
      <c r="D1081" s="7720"/>
      <c r="E1081" s="7719" t="s">
        <v>2224</v>
      </c>
      <c r="F1081" s="7719" t="str">
        <f t="shared" si="78"/>
        <v/>
      </c>
      <c r="G1081" s="7719" t="s">
        <v>2232</v>
      </c>
      <c r="H1081" s="7719" t="str">
        <f t="shared" si="79"/>
        <v/>
      </c>
      <c r="I1081" s="7719">
        <v>85.0</v>
      </c>
      <c r="J1081" s="7719">
        <v>85.0</v>
      </c>
      <c r="K1081" s="7719">
        <v>65.0</v>
      </c>
      <c r="L1081" s="7719">
        <v>100.0</v>
      </c>
      <c r="M1081" s="7719">
        <v>95.0</v>
      </c>
      <c r="N1081" s="7721">
        <v>105.0</v>
      </c>
      <c r="O1081" s="7701"/>
      <c r="P1081" s="7704"/>
      <c r="Q1081" s="7704"/>
      <c r="R1081" s="7704"/>
      <c r="S1081" s="7705"/>
    </row>
    <row r="1082" ht="18.75" customHeight="1">
      <c r="A1082" s="7696"/>
      <c r="B1082" s="7712" t="s">
        <v>3897</v>
      </c>
      <c r="C1082" s="7713" t="s">
        <v>3898</v>
      </c>
      <c r="D1082" s="7714"/>
      <c r="E1082" s="7713" t="s">
        <v>2232</v>
      </c>
      <c r="F1082" s="7713" t="str">
        <f t="shared" ref="F1082:F1139" si="80">IFERROR(VLOOKUP(E1082,P$3:Q1099,2,False),"")</f>
        <v/>
      </c>
      <c r="G1082" s="7713"/>
      <c r="H1082" s="7713" t="str">
        <f t="shared" ref="H1082:H1139" si="81">IFERROR(VLOOKUP(G1082,P$3:Q1099,2,False),"")</f>
        <v/>
      </c>
      <c r="I1082" s="7713">
        <v>41.0</v>
      </c>
      <c r="J1082" s="7713">
        <v>63.0</v>
      </c>
      <c r="K1082" s="7713">
        <v>40.0</v>
      </c>
      <c r="L1082" s="7713">
        <v>40.0</v>
      </c>
      <c r="M1082" s="7713">
        <v>30.0</v>
      </c>
      <c r="N1082" s="7715">
        <v>66.0</v>
      </c>
      <c r="O1082" s="7701"/>
      <c r="P1082" s="7704"/>
      <c r="Q1082" s="7704"/>
      <c r="R1082" s="7704"/>
      <c r="S1082" s="7705"/>
    </row>
    <row r="1083" ht="18.75" customHeight="1">
      <c r="A1083" s="7696"/>
      <c r="B1083" s="7718" t="s">
        <v>2087</v>
      </c>
      <c r="C1083" s="7719" t="s">
        <v>3899</v>
      </c>
      <c r="D1083" s="7720"/>
      <c r="E1083" s="7719" t="s">
        <v>2232</v>
      </c>
      <c r="F1083" s="7719" t="str">
        <f t="shared" si="80"/>
        <v/>
      </c>
      <c r="G1083" s="7719"/>
      <c r="H1083" s="7719" t="str">
        <f t="shared" si="81"/>
        <v/>
      </c>
      <c r="I1083" s="7719">
        <v>61.0</v>
      </c>
      <c r="J1083" s="7719">
        <v>123.0</v>
      </c>
      <c r="K1083" s="7719">
        <v>60.0</v>
      </c>
      <c r="L1083" s="7719">
        <v>60.0</v>
      </c>
      <c r="M1083" s="7719">
        <v>50.0</v>
      </c>
      <c r="N1083" s="7721">
        <v>136.0</v>
      </c>
      <c r="O1083" s="7701"/>
      <c r="P1083" s="7704"/>
      <c r="Q1083" s="7704"/>
      <c r="R1083" s="7704"/>
      <c r="S1083" s="7705"/>
    </row>
    <row r="1084" ht="18.75" customHeight="1">
      <c r="A1084" s="7696"/>
      <c r="B1084" s="7712" t="s">
        <v>3900</v>
      </c>
      <c r="C1084" s="7713" t="s">
        <v>3901</v>
      </c>
      <c r="D1084" s="7714"/>
      <c r="E1084" s="7713" t="s">
        <v>2283</v>
      </c>
      <c r="F1084" s="7713" t="str">
        <f t="shared" si="80"/>
        <v/>
      </c>
      <c r="G1084" s="7713" t="s">
        <v>2210</v>
      </c>
      <c r="H1084" s="7713" t="str">
        <f t="shared" si="81"/>
        <v/>
      </c>
      <c r="I1084" s="7713">
        <v>40.0</v>
      </c>
      <c r="J1084" s="7713">
        <v>38.0</v>
      </c>
      <c r="K1084" s="7713">
        <v>35.0</v>
      </c>
      <c r="L1084" s="7713">
        <v>54.0</v>
      </c>
      <c r="M1084" s="7713">
        <v>35.0</v>
      </c>
      <c r="N1084" s="7715">
        <v>40.0</v>
      </c>
      <c r="O1084" s="7701"/>
      <c r="P1084" s="7704"/>
      <c r="Q1084" s="7704"/>
      <c r="R1084" s="7704"/>
      <c r="S1084" s="7705"/>
    </row>
    <row r="1085" ht="18.75" customHeight="1">
      <c r="A1085" s="7696"/>
      <c r="B1085" s="7718" t="s">
        <v>600</v>
      </c>
      <c r="C1085" s="7719" t="s">
        <v>3902</v>
      </c>
      <c r="D1085" s="7720"/>
      <c r="E1085" s="7719" t="s">
        <v>2283</v>
      </c>
      <c r="F1085" s="7719" t="str">
        <f t="shared" si="80"/>
        <v/>
      </c>
      <c r="G1085" s="7719" t="s">
        <v>2210</v>
      </c>
      <c r="H1085" s="7719" t="str">
        <f t="shared" si="81"/>
        <v/>
      </c>
      <c r="I1085" s="7719">
        <v>75.0</v>
      </c>
      <c r="J1085" s="7719">
        <v>98.0</v>
      </c>
      <c r="K1085" s="7719">
        <v>70.0</v>
      </c>
      <c r="L1085" s="7719">
        <v>114.0</v>
      </c>
      <c r="M1085" s="7719">
        <v>70.0</v>
      </c>
      <c r="N1085" s="7721">
        <v>75.0</v>
      </c>
      <c r="O1085" s="7701"/>
      <c r="P1085" s="7704"/>
      <c r="Q1085" s="7704"/>
      <c r="R1085" s="7704"/>
      <c r="S1085" s="7705"/>
    </row>
    <row r="1086" ht="18.75" customHeight="1">
      <c r="A1086" s="7696"/>
      <c r="B1086" s="7712" t="s">
        <v>657</v>
      </c>
      <c r="C1086" s="7722" t="s">
        <v>3903</v>
      </c>
      <c r="D1086" s="7714"/>
      <c r="E1086" s="7713" t="s">
        <v>2283</v>
      </c>
      <c r="F1086" s="7713" t="str">
        <f t="shared" si="80"/>
        <v/>
      </c>
      <c r="G1086" s="7713" t="s">
        <v>2210</v>
      </c>
      <c r="H1086" s="7713" t="str">
        <f t="shared" si="81"/>
        <v/>
      </c>
      <c r="I1086" s="7713">
        <v>75.0</v>
      </c>
      <c r="J1086" s="7713">
        <v>120.0</v>
      </c>
      <c r="K1086" s="7713">
        <v>80.0</v>
      </c>
      <c r="L1086" s="7713">
        <v>155.0</v>
      </c>
      <c r="M1086" s="7713">
        <v>80.0</v>
      </c>
      <c r="N1086" s="7715">
        <v>111.0</v>
      </c>
      <c r="O1086" s="7701"/>
      <c r="P1086" s="7704"/>
      <c r="Q1086" s="7704"/>
      <c r="R1086" s="7704"/>
      <c r="S1086" s="7705"/>
    </row>
    <row r="1087" ht="18.75" customHeight="1">
      <c r="A1087" s="7696"/>
      <c r="B1087" s="7718" t="s">
        <v>3904</v>
      </c>
      <c r="C1087" s="7719" t="s">
        <v>3905</v>
      </c>
      <c r="D1087" s="7720"/>
      <c r="E1087" s="7719" t="s">
        <v>2219</v>
      </c>
      <c r="F1087" s="7719" t="str">
        <f t="shared" si="80"/>
        <v/>
      </c>
      <c r="G1087" s="7719" t="s">
        <v>2243</v>
      </c>
      <c r="H1087" s="7719" t="str">
        <f t="shared" si="81"/>
        <v/>
      </c>
      <c r="I1087" s="7719">
        <v>50.0</v>
      </c>
      <c r="J1087" s="7719">
        <v>65.0</v>
      </c>
      <c r="K1087" s="7719">
        <v>45.0</v>
      </c>
      <c r="L1087" s="7719">
        <v>50.0</v>
      </c>
      <c r="M1087" s="7719">
        <v>50.0</v>
      </c>
      <c r="N1087" s="7721">
        <v>45.0</v>
      </c>
      <c r="O1087" s="7701"/>
      <c r="P1087" s="7704"/>
      <c r="Q1087" s="7704"/>
      <c r="R1087" s="7704"/>
      <c r="S1087" s="7705"/>
    </row>
    <row r="1088" ht="18.75" customHeight="1">
      <c r="A1088" s="7696"/>
      <c r="B1088" s="7712" t="s">
        <v>3906</v>
      </c>
      <c r="C1088" s="7713" t="s">
        <v>3907</v>
      </c>
      <c r="D1088" s="7714"/>
      <c r="E1088" s="7713" t="s">
        <v>2219</v>
      </c>
      <c r="F1088" s="7713" t="str">
        <f t="shared" si="80"/>
        <v/>
      </c>
      <c r="G1088" s="7713" t="s">
        <v>2243</v>
      </c>
      <c r="H1088" s="7713" t="str">
        <f t="shared" si="81"/>
        <v/>
      </c>
      <c r="I1088" s="7713">
        <v>100.0</v>
      </c>
      <c r="J1088" s="7713">
        <v>115.0</v>
      </c>
      <c r="K1088" s="7713">
        <v>65.0</v>
      </c>
      <c r="L1088" s="7713">
        <v>90.0</v>
      </c>
      <c r="M1088" s="7713">
        <v>90.0</v>
      </c>
      <c r="N1088" s="7715">
        <v>65.0</v>
      </c>
      <c r="O1088" s="7701"/>
      <c r="P1088" s="7704"/>
      <c r="Q1088" s="7704"/>
      <c r="R1088" s="7704"/>
      <c r="S1088" s="7705"/>
    </row>
    <row r="1089" ht="18.75" customHeight="1">
      <c r="A1089" s="7696"/>
      <c r="B1089" s="7718" t="s">
        <v>1706</v>
      </c>
      <c r="C1089" s="7723" t="s">
        <v>3908</v>
      </c>
      <c r="D1089" s="7720"/>
      <c r="E1089" s="7719" t="s">
        <v>2219</v>
      </c>
      <c r="F1089" s="7719" t="str">
        <f t="shared" si="80"/>
        <v/>
      </c>
      <c r="G1089" s="7719" t="s">
        <v>2243</v>
      </c>
      <c r="H1089" s="7719" t="str">
        <f t="shared" si="81"/>
        <v/>
      </c>
      <c r="I1089" s="7719">
        <v>100.0</v>
      </c>
      <c r="J1089" s="7719">
        <v>150.0</v>
      </c>
      <c r="K1089" s="7719">
        <v>80.0</v>
      </c>
      <c r="L1089" s="7719">
        <v>90.0</v>
      </c>
      <c r="M1089" s="7719">
        <v>110.0</v>
      </c>
      <c r="N1089" s="7721">
        <v>85.0</v>
      </c>
      <c r="O1089" s="7701"/>
      <c r="P1089" s="7704"/>
      <c r="Q1089" s="7704"/>
      <c r="R1089" s="7704"/>
      <c r="S1089" s="7705"/>
    </row>
    <row r="1090" ht="18.75" customHeight="1">
      <c r="A1090" s="7696"/>
      <c r="B1090" s="7712" t="s">
        <v>3909</v>
      </c>
      <c r="C1090" s="7713" t="s">
        <v>3910</v>
      </c>
      <c r="D1090" s="7714"/>
      <c r="E1090" s="7713" t="s">
        <v>2296</v>
      </c>
      <c r="F1090" s="7713" t="str">
        <f t="shared" si="80"/>
        <v/>
      </c>
      <c r="G1090" s="7713"/>
      <c r="H1090" s="7713" t="str">
        <f t="shared" si="81"/>
        <v/>
      </c>
      <c r="I1090" s="7713">
        <v>50.0</v>
      </c>
      <c r="J1090" s="7713">
        <v>68.0</v>
      </c>
      <c r="K1090" s="7713">
        <v>60.0</v>
      </c>
      <c r="L1090" s="7713">
        <v>50.0</v>
      </c>
      <c r="M1090" s="7713">
        <v>50.0</v>
      </c>
      <c r="N1090" s="7715">
        <v>32.0</v>
      </c>
      <c r="O1090" s="7701"/>
      <c r="P1090" s="7704"/>
      <c r="Q1090" s="7704"/>
      <c r="R1090" s="7704"/>
      <c r="S1090" s="7705"/>
    </row>
    <row r="1091" ht="18.75" customHeight="1">
      <c r="A1091" s="7696"/>
      <c r="B1091" s="7718" t="s">
        <v>1760</v>
      </c>
      <c r="C1091" s="7719" t="s">
        <v>3911</v>
      </c>
      <c r="D1091" s="7720"/>
      <c r="E1091" s="7719" t="s">
        <v>2232</v>
      </c>
      <c r="F1091" s="7719" t="str">
        <f t="shared" si="80"/>
        <v/>
      </c>
      <c r="G1091" s="7719" t="s">
        <v>2296</v>
      </c>
      <c r="H1091" s="7719" t="str">
        <f t="shared" si="81"/>
        <v/>
      </c>
      <c r="I1091" s="7719">
        <v>80.0</v>
      </c>
      <c r="J1091" s="7719">
        <v>118.0</v>
      </c>
      <c r="K1091" s="7719">
        <v>90.0</v>
      </c>
      <c r="L1091" s="7719">
        <v>70.0</v>
      </c>
      <c r="M1091" s="7719">
        <v>80.0</v>
      </c>
      <c r="N1091" s="7721">
        <v>42.0</v>
      </c>
      <c r="O1091" s="7701"/>
      <c r="P1091" s="7704"/>
      <c r="Q1091" s="7704"/>
      <c r="R1091" s="7704"/>
      <c r="S1091" s="7705"/>
    </row>
    <row r="1092" ht="18.75" customHeight="1">
      <c r="A1092" s="7696"/>
      <c r="B1092" s="7712" t="s">
        <v>3912</v>
      </c>
      <c r="C1092" s="7713" t="s">
        <v>3913</v>
      </c>
      <c r="D1092" s="7714"/>
      <c r="E1092" s="7713" t="s">
        <v>2447</v>
      </c>
      <c r="F1092" s="7713" t="str">
        <f t="shared" si="80"/>
        <v/>
      </c>
      <c r="G1092" s="7713"/>
      <c r="H1092" s="7713" t="str">
        <f t="shared" si="81"/>
        <v/>
      </c>
      <c r="I1092" s="7713">
        <v>40.0</v>
      </c>
      <c r="J1092" s="7713">
        <v>45.0</v>
      </c>
      <c r="K1092" s="7713">
        <v>45.0</v>
      </c>
      <c r="L1092" s="7713">
        <v>74.0</v>
      </c>
      <c r="M1092" s="7713">
        <v>54.0</v>
      </c>
      <c r="N1092" s="7715">
        <v>50.0</v>
      </c>
      <c r="O1092" s="7701"/>
      <c r="P1092" s="7704"/>
      <c r="Q1092" s="7704"/>
      <c r="R1092" s="7704"/>
      <c r="S1092" s="7705"/>
    </row>
    <row r="1093" ht="18.75" customHeight="1">
      <c r="A1093" s="7696"/>
      <c r="B1093" s="7718" t="s">
        <v>1520</v>
      </c>
      <c r="C1093" s="7719" t="s">
        <v>3914</v>
      </c>
      <c r="D1093" s="7720"/>
      <c r="E1093" s="7719" t="s">
        <v>2447</v>
      </c>
      <c r="F1093" s="7719" t="str">
        <f t="shared" si="80"/>
        <v/>
      </c>
      <c r="G1093" s="7719"/>
      <c r="H1093" s="7719" t="str">
        <f t="shared" si="81"/>
        <v/>
      </c>
      <c r="I1093" s="7719">
        <v>60.0</v>
      </c>
      <c r="J1093" s="7719">
        <v>65.0</v>
      </c>
      <c r="K1093" s="7719">
        <v>65.0</v>
      </c>
      <c r="L1093" s="7719">
        <v>134.0</v>
      </c>
      <c r="M1093" s="7719">
        <v>114.0</v>
      </c>
      <c r="N1093" s="7721">
        <v>70.0</v>
      </c>
      <c r="O1093" s="7701"/>
      <c r="P1093" s="7704"/>
      <c r="Q1093" s="7704"/>
      <c r="R1093" s="7704"/>
      <c r="S1093" s="7705"/>
    </row>
    <row r="1094" ht="18.75" customHeight="1">
      <c r="A1094" s="7696"/>
      <c r="B1094" s="7712" t="s">
        <v>3915</v>
      </c>
      <c r="C1094" s="7713" t="s">
        <v>3916</v>
      </c>
      <c r="D1094" s="7714"/>
      <c r="E1094" s="7713" t="s">
        <v>669</v>
      </c>
      <c r="F1094" s="7713" t="str">
        <f t="shared" si="80"/>
        <v/>
      </c>
      <c r="G1094" s="7713"/>
      <c r="H1094" s="7713" t="str">
        <f t="shared" si="81"/>
        <v/>
      </c>
      <c r="I1094" s="7713">
        <v>42.0</v>
      </c>
      <c r="J1094" s="7713">
        <v>30.0</v>
      </c>
      <c r="K1094" s="7713">
        <v>45.0</v>
      </c>
      <c r="L1094" s="7713">
        <v>56.0</v>
      </c>
      <c r="M1094" s="7713">
        <v>53.0</v>
      </c>
      <c r="N1094" s="7715">
        <v>39.0</v>
      </c>
      <c r="O1094" s="7701"/>
      <c r="P1094" s="7704"/>
      <c r="Q1094" s="7704"/>
      <c r="R1094" s="7704"/>
      <c r="S1094" s="7705"/>
    </row>
    <row r="1095" ht="18.75" customHeight="1">
      <c r="A1095" s="7696"/>
      <c r="B1095" s="7718" t="s">
        <v>3917</v>
      </c>
      <c r="C1095" s="7719" t="s">
        <v>3918</v>
      </c>
      <c r="D1095" s="7720"/>
      <c r="E1095" s="7723" t="s">
        <v>669</v>
      </c>
      <c r="F1095" s="7723" t="str">
        <f t="shared" si="80"/>
        <v/>
      </c>
      <c r="G1095" s="7723"/>
      <c r="H1095" s="7723" t="str">
        <f t="shared" si="81"/>
        <v/>
      </c>
      <c r="I1095" s="7719">
        <v>57.0</v>
      </c>
      <c r="J1095" s="7719">
        <v>40.0</v>
      </c>
      <c r="K1095" s="7719">
        <v>65.0</v>
      </c>
      <c r="L1095" s="7719">
        <v>86.0</v>
      </c>
      <c r="M1095" s="7719">
        <v>73.0</v>
      </c>
      <c r="N1095" s="7721">
        <v>49.0</v>
      </c>
      <c r="O1095" s="7701"/>
      <c r="P1095" s="7704"/>
      <c r="Q1095" s="7704"/>
      <c r="R1095" s="7704"/>
      <c r="S1095" s="7705"/>
    </row>
    <row r="1096" ht="18.75" customHeight="1">
      <c r="A1096" s="7696"/>
      <c r="B1096" s="7712" t="s">
        <v>1675</v>
      </c>
      <c r="C1096" s="7713" t="s">
        <v>3919</v>
      </c>
      <c r="D1096" s="7714"/>
      <c r="E1096" s="7713" t="s">
        <v>669</v>
      </c>
      <c r="F1096" s="7713" t="str">
        <f t="shared" si="80"/>
        <v/>
      </c>
      <c r="G1096" s="7713" t="s">
        <v>2292</v>
      </c>
      <c r="H1096" s="7713" t="str">
        <f t="shared" si="81"/>
        <v/>
      </c>
      <c r="I1096" s="7713">
        <v>57.0</v>
      </c>
      <c r="J1096" s="7713">
        <v>90.0</v>
      </c>
      <c r="K1096" s="7713">
        <v>95.0</v>
      </c>
      <c r="L1096" s="7713">
        <v>136.0</v>
      </c>
      <c r="M1096" s="7713">
        <v>103.0</v>
      </c>
      <c r="N1096" s="7715">
        <v>29.0</v>
      </c>
      <c r="O1096" s="7701"/>
      <c r="P1096" s="7704"/>
      <c r="Q1096" s="7704"/>
      <c r="R1096" s="7704"/>
      <c r="S1096" s="7705"/>
    </row>
    <row r="1097" ht="18.75" customHeight="1">
      <c r="A1097" s="7696"/>
      <c r="B1097" s="7718" t="s">
        <v>3920</v>
      </c>
      <c r="C1097" s="7719" t="s">
        <v>3921</v>
      </c>
      <c r="D1097" s="7720"/>
      <c r="E1097" s="7719" t="s">
        <v>2272</v>
      </c>
      <c r="F1097" s="7719" t="str">
        <f t="shared" si="80"/>
        <v/>
      </c>
      <c r="G1097" s="7719" t="s">
        <v>2292</v>
      </c>
      <c r="H1097" s="7719" t="str">
        <f t="shared" si="81"/>
        <v/>
      </c>
      <c r="I1097" s="7719">
        <v>45.0</v>
      </c>
      <c r="J1097" s="7719">
        <v>45.0</v>
      </c>
      <c r="K1097" s="7719">
        <v>30.0</v>
      </c>
      <c r="L1097" s="7719">
        <v>55.0</v>
      </c>
      <c r="M1097" s="7719">
        <v>40.0</v>
      </c>
      <c r="N1097" s="7721">
        <v>50.0</v>
      </c>
      <c r="O1097" s="7701"/>
      <c r="P1097" s="7704"/>
      <c r="Q1097" s="7704"/>
      <c r="R1097" s="7704"/>
      <c r="S1097" s="7705"/>
    </row>
    <row r="1098" ht="18.75" customHeight="1">
      <c r="A1098" s="7696"/>
      <c r="B1098" s="7712" t="s">
        <v>3922</v>
      </c>
      <c r="C1098" s="7713" t="s">
        <v>3923</v>
      </c>
      <c r="D1098" s="7714"/>
      <c r="E1098" s="7713" t="s">
        <v>2272</v>
      </c>
      <c r="F1098" s="7713" t="str">
        <f t="shared" si="80"/>
        <v/>
      </c>
      <c r="G1098" s="7713" t="s">
        <v>2292</v>
      </c>
      <c r="H1098" s="7713" t="str">
        <f t="shared" si="81"/>
        <v/>
      </c>
      <c r="I1098" s="7713">
        <v>65.0</v>
      </c>
      <c r="J1098" s="7713">
        <v>60.0</v>
      </c>
      <c r="K1098" s="7713">
        <v>45.0</v>
      </c>
      <c r="L1098" s="7713">
        <v>75.0</v>
      </c>
      <c r="M1098" s="7713">
        <v>55.0</v>
      </c>
      <c r="N1098" s="7715">
        <v>70.0</v>
      </c>
      <c r="O1098" s="7701"/>
      <c r="P1098" s="7704"/>
      <c r="Q1098" s="7704"/>
      <c r="R1098" s="7704"/>
      <c r="S1098" s="7705"/>
    </row>
    <row r="1099" ht="18.75" customHeight="1">
      <c r="A1099" s="7696"/>
      <c r="B1099" s="7718" t="s">
        <v>1298</v>
      </c>
      <c r="C1099" s="7719" t="s">
        <v>3924</v>
      </c>
      <c r="D1099" s="7720"/>
      <c r="E1099" s="7719" t="s">
        <v>2272</v>
      </c>
      <c r="F1099" s="7719" t="str">
        <f t="shared" si="80"/>
        <v/>
      </c>
      <c r="G1099" s="7719" t="s">
        <v>2292</v>
      </c>
      <c r="H1099" s="7719" t="str">
        <f t="shared" si="81"/>
        <v/>
      </c>
      <c r="I1099" s="7719">
        <v>95.0</v>
      </c>
      <c r="J1099" s="7719">
        <v>120.0</v>
      </c>
      <c r="K1099" s="7719">
        <v>65.0</v>
      </c>
      <c r="L1099" s="7719">
        <v>95.0</v>
      </c>
      <c r="M1099" s="7719">
        <v>75.0</v>
      </c>
      <c r="N1099" s="7721">
        <v>60.0</v>
      </c>
      <c r="O1099" s="7701"/>
      <c r="P1099" s="7704"/>
      <c r="Q1099" s="7704"/>
      <c r="R1099" s="7704"/>
      <c r="S1099" s="7705"/>
    </row>
    <row r="1100" ht="18.75" customHeight="1">
      <c r="A1100" s="7696"/>
      <c r="B1100" s="7712" t="s">
        <v>1235</v>
      </c>
      <c r="C1100" s="7713" t="s">
        <v>3925</v>
      </c>
      <c r="D1100" s="7714"/>
      <c r="E1100" s="7713" t="s">
        <v>2272</v>
      </c>
      <c r="F1100" s="7713" t="str">
        <f t="shared" si="80"/>
        <v/>
      </c>
      <c r="G1100" s="7713" t="s">
        <v>2262</v>
      </c>
      <c r="H1100" s="7713" t="str">
        <f t="shared" si="81"/>
        <v/>
      </c>
      <c r="I1100" s="7713">
        <v>93.0</v>
      </c>
      <c r="J1100" s="7713">
        <v>90.0</v>
      </c>
      <c r="K1100" s="7713">
        <v>101.0</v>
      </c>
      <c r="L1100" s="7713">
        <v>60.0</v>
      </c>
      <c r="M1100" s="7713">
        <v>81.0</v>
      </c>
      <c r="N1100" s="7715">
        <v>95.0</v>
      </c>
      <c r="O1100" s="7701"/>
      <c r="P1100" s="7704"/>
      <c r="Q1100" s="7704"/>
      <c r="R1100" s="7704"/>
      <c r="S1100" s="7705"/>
    </row>
    <row r="1101" ht="18.75" customHeight="1">
      <c r="A1101" s="7696"/>
      <c r="B1101" s="7718" t="s">
        <v>1433</v>
      </c>
      <c r="C1101" s="7719" t="s">
        <v>3926</v>
      </c>
      <c r="D1101" s="7720"/>
      <c r="E1101" s="7719" t="s">
        <v>2286</v>
      </c>
      <c r="F1101" s="7719" t="str">
        <f t="shared" si="80"/>
        <v/>
      </c>
      <c r="G1101" s="7719"/>
      <c r="H1101" s="7719" t="str">
        <f t="shared" si="81"/>
        <v/>
      </c>
      <c r="I1101" s="7719">
        <v>90.0</v>
      </c>
      <c r="J1101" s="7719">
        <v>110.0</v>
      </c>
      <c r="K1101" s="7719">
        <v>100.0</v>
      </c>
      <c r="L1101" s="7719">
        <v>30.0</v>
      </c>
      <c r="M1101" s="7719">
        <v>60.0</v>
      </c>
      <c r="N1101" s="7721">
        <v>50.0</v>
      </c>
      <c r="O1101" s="7701"/>
      <c r="P1101" s="7704"/>
      <c r="Q1101" s="7704"/>
      <c r="R1101" s="7704"/>
      <c r="S1101" s="7705"/>
    </row>
    <row r="1102" ht="18.75" customHeight="1">
      <c r="A1102" s="7696"/>
      <c r="B1102" s="7712" t="s">
        <v>1808</v>
      </c>
      <c r="C1102" s="7713" t="s">
        <v>3927</v>
      </c>
      <c r="D1102" s="7714"/>
      <c r="E1102" s="7713" t="s">
        <v>2447</v>
      </c>
      <c r="F1102" s="7713" t="str">
        <f t="shared" si="80"/>
        <v/>
      </c>
      <c r="G1102" s="7713"/>
      <c r="H1102" s="7713" t="str">
        <f t="shared" si="81"/>
        <v/>
      </c>
      <c r="I1102" s="7713">
        <v>80.0</v>
      </c>
      <c r="J1102" s="7713">
        <v>75.0</v>
      </c>
      <c r="K1102" s="7713">
        <v>50.0</v>
      </c>
      <c r="L1102" s="7713">
        <v>145.0</v>
      </c>
      <c r="M1102" s="7713">
        <v>130.0</v>
      </c>
      <c r="N1102" s="7715">
        <v>55.0</v>
      </c>
      <c r="O1102" s="7701"/>
      <c r="P1102" s="7704"/>
      <c r="Q1102" s="7704"/>
      <c r="R1102" s="7704"/>
      <c r="S1102" s="7705"/>
    </row>
    <row r="1103" ht="18.75" customHeight="1">
      <c r="A1103" s="7696"/>
      <c r="B1103" s="7718" t="s">
        <v>3928</v>
      </c>
      <c r="C1103" s="7723" t="s">
        <v>3929</v>
      </c>
      <c r="D1103" s="7720"/>
      <c r="E1103" s="7719" t="s">
        <v>2296</v>
      </c>
      <c r="F1103" s="7719" t="str">
        <f t="shared" si="80"/>
        <v/>
      </c>
      <c r="G1103" s="7719"/>
      <c r="H1103" s="7719" t="str">
        <f t="shared" si="81"/>
        <v/>
      </c>
      <c r="I1103" s="7719">
        <v>82.0</v>
      </c>
      <c r="J1103" s="7719">
        <v>135.0</v>
      </c>
      <c r="K1103" s="7719">
        <v>95.0</v>
      </c>
      <c r="L1103" s="7719">
        <v>68.0</v>
      </c>
      <c r="M1103" s="7719">
        <v>82.0</v>
      </c>
      <c r="N1103" s="7721">
        <v>65.0</v>
      </c>
      <c r="O1103" s="7701"/>
      <c r="P1103" s="7704"/>
      <c r="Q1103" s="7704"/>
      <c r="R1103" s="7704"/>
      <c r="S1103" s="7705"/>
    </row>
    <row r="1104" ht="18.75" customHeight="1">
      <c r="A1104" s="7696"/>
      <c r="B1104" s="7712" t="s">
        <v>1228</v>
      </c>
      <c r="C1104" s="7722" t="s">
        <v>3930</v>
      </c>
      <c r="D1104" s="7714"/>
      <c r="E1104" s="7713" t="s">
        <v>2289</v>
      </c>
      <c r="F1104" s="7713" t="str">
        <f t="shared" si="80"/>
        <v/>
      </c>
      <c r="G1104" s="7713" t="s">
        <v>669</v>
      </c>
      <c r="H1104" s="7713" t="str">
        <f t="shared" si="81"/>
        <v/>
      </c>
      <c r="I1104" s="7713">
        <v>80.0</v>
      </c>
      <c r="J1104" s="7713">
        <v>65.0</v>
      </c>
      <c r="K1104" s="7713">
        <v>75.0</v>
      </c>
      <c r="L1104" s="7713">
        <v>110.0</v>
      </c>
      <c r="M1104" s="7713">
        <v>90.0</v>
      </c>
      <c r="N1104" s="7715">
        <v>100.0</v>
      </c>
      <c r="O1104" s="7701"/>
      <c r="P1104" s="7704"/>
      <c r="Q1104" s="7704"/>
      <c r="R1104" s="7704"/>
      <c r="S1104" s="7705"/>
    </row>
    <row r="1105" ht="18.75" customHeight="1">
      <c r="A1105" s="7696"/>
      <c r="B1105" s="7718" t="s">
        <v>1774</v>
      </c>
      <c r="C1105" s="7719" t="s">
        <v>3931</v>
      </c>
      <c r="D1105" s="7720"/>
      <c r="E1105" s="7719" t="s">
        <v>2304</v>
      </c>
      <c r="F1105" s="7719" t="str">
        <f t="shared" si="80"/>
        <v/>
      </c>
      <c r="G1105" s="7719" t="s">
        <v>2447</v>
      </c>
      <c r="H1105" s="7719" t="str">
        <f t="shared" si="81"/>
        <v/>
      </c>
      <c r="I1105" s="7719">
        <v>58.0</v>
      </c>
      <c r="J1105" s="7719">
        <v>95.0</v>
      </c>
      <c r="K1105" s="7719">
        <v>145.0</v>
      </c>
      <c r="L1105" s="7719">
        <v>50.0</v>
      </c>
      <c r="M1105" s="7719">
        <v>105.0</v>
      </c>
      <c r="N1105" s="7721">
        <v>30.0</v>
      </c>
      <c r="O1105" s="7701"/>
      <c r="P1105" s="7704"/>
      <c r="Q1105" s="7704"/>
      <c r="R1105" s="7704"/>
      <c r="S1105" s="7705"/>
    </row>
    <row r="1106" ht="18.75" customHeight="1">
      <c r="A1106" s="7696"/>
      <c r="B1106" s="7712" t="s">
        <v>3932</v>
      </c>
      <c r="C1106" s="7713" t="s">
        <v>3933</v>
      </c>
      <c r="D1106" s="7714"/>
      <c r="E1106" s="7713" t="s">
        <v>2292</v>
      </c>
      <c r="F1106" s="7713" t="str">
        <f t="shared" si="80"/>
        <v/>
      </c>
      <c r="G1106" s="7713"/>
      <c r="H1106" s="7713" t="str">
        <f t="shared" si="81"/>
        <v/>
      </c>
      <c r="I1106" s="7713">
        <v>45.0</v>
      </c>
      <c r="J1106" s="7713">
        <v>40.0</v>
      </c>
      <c r="K1106" s="7713">
        <v>40.0</v>
      </c>
      <c r="L1106" s="7713">
        <v>50.0</v>
      </c>
      <c r="M1106" s="7713">
        <v>61.0</v>
      </c>
      <c r="N1106" s="7715">
        <v>34.0</v>
      </c>
      <c r="O1106" s="7701"/>
      <c r="P1106" s="7704"/>
      <c r="Q1106" s="7704"/>
      <c r="R1106" s="7704"/>
      <c r="S1106" s="7705"/>
    </row>
    <row r="1107" ht="18.75" customHeight="1">
      <c r="A1107" s="7696"/>
      <c r="B1107" s="7718" t="s">
        <v>3934</v>
      </c>
      <c r="C1107" s="7723" t="s">
        <v>3935</v>
      </c>
      <c r="D1107" s="7720"/>
      <c r="E1107" s="7719" t="s">
        <v>2292</v>
      </c>
      <c r="F1107" s="7719" t="str">
        <f t="shared" si="80"/>
        <v/>
      </c>
      <c r="G1107" s="7719"/>
      <c r="H1107" s="7719" t="str">
        <f t="shared" si="81"/>
        <v/>
      </c>
      <c r="I1107" s="7719">
        <v>65.0</v>
      </c>
      <c r="J1107" s="7719">
        <v>60.0</v>
      </c>
      <c r="K1107" s="7719">
        <v>75.0</v>
      </c>
      <c r="L1107" s="7719">
        <v>110.0</v>
      </c>
      <c r="M1107" s="7719">
        <v>121.0</v>
      </c>
      <c r="N1107" s="7721">
        <v>64.0</v>
      </c>
      <c r="O1107" s="7701"/>
      <c r="P1107" s="7704"/>
      <c r="Q1107" s="7704"/>
      <c r="R1107" s="7704"/>
      <c r="S1107" s="7705"/>
    </row>
    <row r="1108" ht="18.75" customHeight="1">
      <c r="A1108" s="7696"/>
      <c r="B1108" s="7712" t="s">
        <v>1558</v>
      </c>
      <c r="C1108" s="7722" t="s">
        <v>3936</v>
      </c>
      <c r="D1108" s="7714"/>
      <c r="E1108" s="7713" t="s">
        <v>2292</v>
      </c>
      <c r="F1108" s="7713" t="str">
        <f t="shared" si="80"/>
        <v/>
      </c>
      <c r="G1108" s="7713"/>
      <c r="H1108" s="7713" t="str">
        <f t="shared" si="81"/>
        <v/>
      </c>
      <c r="I1108" s="7713">
        <v>65.0</v>
      </c>
      <c r="J1108" s="7713">
        <v>70.0</v>
      </c>
      <c r="K1108" s="7713">
        <v>90.0</v>
      </c>
      <c r="L1108" s="7713">
        <v>140.0</v>
      </c>
      <c r="M1108" s="7713">
        <v>131.0</v>
      </c>
      <c r="N1108" s="7715">
        <v>84.0</v>
      </c>
      <c r="O1108" s="7701"/>
      <c r="P1108" s="7704"/>
      <c r="Q1108" s="7704"/>
      <c r="R1108" s="7704"/>
      <c r="S1108" s="7705"/>
    </row>
    <row r="1109" ht="18.75" customHeight="1">
      <c r="A1109" s="7696"/>
      <c r="B1109" s="7718" t="s">
        <v>3937</v>
      </c>
      <c r="C1109" s="7719" t="s">
        <v>3938</v>
      </c>
      <c r="D1109" s="7720"/>
      <c r="E1109" s="7719" t="s">
        <v>2296</v>
      </c>
      <c r="F1109" s="7719" t="str">
        <f t="shared" si="80"/>
        <v/>
      </c>
      <c r="G1109" s="7719"/>
      <c r="H1109" s="7719" t="str">
        <f t="shared" si="81"/>
        <v/>
      </c>
      <c r="I1109" s="7719">
        <v>75.0</v>
      </c>
      <c r="J1109" s="7719">
        <v>100.0</v>
      </c>
      <c r="K1109" s="7719">
        <v>100.0</v>
      </c>
      <c r="L1109" s="7719">
        <v>60.0</v>
      </c>
      <c r="M1109" s="7719">
        <v>60.0</v>
      </c>
      <c r="N1109" s="7721">
        <v>75.0</v>
      </c>
      <c r="O1109" s="7701"/>
      <c r="P1109" s="7704"/>
      <c r="Q1109" s="7704"/>
      <c r="R1109" s="7704"/>
      <c r="S1109" s="7705"/>
    </row>
    <row r="1110" ht="18.75" customHeight="1">
      <c r="A1110" s="7696"/>
      <c r="B1110" s="7712" t="s">
        <v>244</v>
      </c>
      <c r="C1110" s="7713" t="s">
        <v>3939</v>
      </c>
      <c r="D1110" s="7714"/>
      <c r="E1110" s="7713" t="s">
        <v>2283</v>
      </c>
      <c r="F1110" s="7713" t="str">
        <f t="shared" si="80"/>
        <v/>
      </c>
      <c r="G1110" s="7713" t="s">
        <v>2232</v>
      </c>
      <c r="H1110" s="7713" t="str">
        <f t="shared" si="81"/>
        <v/>
      </c>
      <c r="I1110" s="7714">
        <v>68.0</v>
      </c>
      <c r="J1110" s="7713">
        <v>81.0</v>
      </c>
      <c r="K1110" s="7713">
        <v>95.0</v>
      </c>
      <c r="L1110" s="7713">
        <v>91.0</v>
      </c>
      <c r="M1110" s="7713">
        <v>85.0</v>
      </c>
      <c r="N1110" s="7715">
        <v>15.0</v>
      </c>
      <c r="O1110" s="7701"/>
      <c r="P1110" s="7704"/>
      <c r="Q1110" s="7704"/>
      <c r="R1110" s="7704"/>
      <c r="S1110" s="7705"/>
    </row>
    <row r="1111" ht="18.75" customHeight="1">
      <c r="A1111" s="7696"/>
      <c r="B1111" s="7718" t="s">
        <v>3940</v>
      </c>
      <c r="C1111" s="7719" t="s">
        <v>3941</v>
      </c>
      <c r="D1111" s="7720"/>
      <c r="E1111" s="7719" t="s">
        <v>2289</v>
      </c>
      <c r="F1111" s="7719" t="str">
        <f t="shared" si="80"/>
        <v/>
      </c>
      <c r="G1111" s="7719" t="s">
        <v>2243</v>
      </c>
      <c r="H1111" s="7719" t="str">
        <f t="shared" si="81"/>
        <v/>
      </c>
      <c r="I1111" s="7720">
        <v>30.0</v>
      </c>
      <c r="J1111" s="7719">
        <v>25.0</v>
      </c>
      <c r="K1111" s="7719">
        <v>35.0</v>
      </c>
      <c r="L1111" s="7719">
        <v>45.0</v>
      </c>
      <c r="M1111" s="7719">
        <v>30.0</v>
      </c>
      <c r="N1111" s="7721">
        <v>20.0</v>
      </c>
      <c r="O1111" s="7701"/>
      <c r="P1111" s="7704"/>
      <c r="Q1111" s="7704"/>
      <c r="R1111" s="7704"/>
      <c r="S1111" s="7705"/>
    </row>
    <row r="1112" ht="18.75" customHeight="1">
      <c r="A1112" s="7696"/>
      <c r="B1112" s="7712" t="s">
        <v>1787</v>
      </c>
      <c r="C1112" s="7713" t="s">
        <v>3942</v>
      </c>
      <c r="D1112" s="7714"/>
      <c r="E1112" s="7713" t="s">
        <v>2289</v>
      </c>
      <c r="F1112" s="7713" t="str">
        <f t="shared" si="80"/>
        <v/>
      </c>
      <c r="G1112" s="7713" t="s">
        <v>2243</v>
      </c>
      <c r="H1112" s="7713" t="str">
        <f t="shared" si="81"/>
        <v/>
      </c>
      <c r="I1112" s="7714">
        <v>70.0</v>
      </c>
      <c r="J1112" s="7713">
        <v>65.0</v>
      </c>
      <c r="K1112" s="7713">
        <v>65.0</v>
      </c>
      <c r="L1112" s="7713">
        <v>125.0</v>
      </c>
      <c r="M1112" s="7713">
        <v>90.0</v>
      </c>
      <c r="N1112" s="7715">
        <v>65.0</v>
      </c>
      <c r="O1112" s="7701"/>
      <c r="P1112" s="7704"/>
      <c r="Q1112" s="7704"/>
      <c r="R1112" s="7704"/>
      <c r="S1112" s="7705"/>
    </row>
    <row r="1113" ht="18.75" customHeight="1">
      <c r="A1113" s="7696"/>
      <c r="B1113" s="7718" t="s">
        <v>235</v>
      </c>
      <c r="C1113" s="7719" t="s">
        <v>3943</v>
      </c>
      <c r="D1113" s="7720"/>
      <c r="E1113" s="7719" t="s">
        <v>2370</v>
      </c>
      <c r="F1113" s="7719" t="str">
        <f t="shared" si="80"/>
        <v/>
      </c>
      <c r="G1113" s="7719"/>
      <c r="H1113" s="7719" t="str">
        <f t="shared" si="81"/>
        <v/>
      </c>
      <c r="I1113" s="7720">
        <v>100.0</v>
      </c>
      <c r="J1113" s="7719">
        <v>125.0</v>
      </c>
      <c r="K1113" s="7719">
        <v>135.0</v>
      </c>
      <c r="L1113" s="7719">
        <v>20.0</v>
      </c>
      <c r="M1113" s="7719">
        <v>50.0</v>
      </c>
      <c r="N1113" s="7721">
        <v>80.0</v>
      </c>
      <c r="O1113" s="7701"/>
      <c r="P1113" s="7704"/>
      <c r="Q1113" s="7704"/>
      <c r="R1113" s="7704"/>
      <c r="S1113" s="7705"/>
    </row>
    <row r="1114" ht="18.75" customHeight="1">
      <c r="A1114" s="7696"/>
      <c r="B1114" s="7712" t="s">
        <v>251</v>
      </c>
      <c r="C1114" s="7713" t="s">
        <v>3944</v>
      </c>
      <c r="D1114" s="7714"/>
      <c r="E1114" s="7713" t="s">
        <v>2289</v>
      </c>
      <c r="F1114" s="7713" t="str">
        <f t="shared" si="80"/>
        <v/>
      </c>
      <c r="G1114" s="7713"/>
      <c r="H1114" s="7713" t="str">
        <f t="shared" si="81"/>
        <v/>
      </c>
      <c r="I1114" s="7714">
        <v>75.0</v>
      </c>
      <c r="J1114" s="7713">
        <v>100.0</v>
      </c>
      <c r="K1114" s="7713">
        <v>110.0</v>
      </c>
      <c r="L1114" s="7713">
        <v>45.0</v>
      </c>
      <c r="M1114" s="7713">
        <v>90.0</v>
      </c>
      <c r="N1114" s="7715">
        <v>50.0</v>
      </c>
      <c r="O1114" s="7701"/>
      <c r="P1114" s="7704"/>
      <c r="Q1114" s="7704"/>
      <c r="R1114" s="7704"/>
      <c r="S1114" s="7705"/>
    </row>
    <row r="1115" ht="18.75" customHeight="1">
      <c r="A1115" s="7696"/>
      <c r="B1115" s="7718" t="s">
        <v>3945</v>
      </c>
      <c r="C1115" s="7723" t="s">
        <v>3946</v>
      </c>
      <c r="D1115" s="7720"/>
      <c r="E1115" s="7719" t="s">
        <v>2289</v>
      </c>
      <c r="F1115" s="7719" t="str">
        <f t="shared" si="80"/>
        <v/>
      </c>
      <c r="G1115" s="7719"/>
      <c r="H1115" s="7719" t="str">
        <f t="shared" si="81"/>
        <v/>
      </c>
      <c r="I1115" s="7720">
        <v>75.0</v>
      </c>
      <c r="J1115" s="7719">
        <v>100.0</v>
      </c>
      <c r="K1115" s="7719">
        <v>70.0</v>
      </c>
      <c r="L1115" s="7719">
        <v>45.0</v>
      </c>
      <c r="M1115" s="7719">
        <v>50.0</v>
      </c>
      <c r="N1115" s="7721">
        <v>130.0</v>
      </c>
      <c r="O1115" s="7701"/>
      <c r="P1115" s="7704"/>
      <c r="Q1115" s="7704"/>
      <c r="R1115" s="7704"/>
      <c r="S1115" s="7705"/>
    </row>
    <row r="1116" ht="18.75" customHeight="1">
      <c r="A1116" s="7696"/>
      <c r="B1116" s="7712" t="s">
        <v>258</v>
      </c>
      <c r="C1116" s="7713" t="s">
        <v>3947</v>
      </c>
      <c r="D1116" s="7714"/>
      <c r="E1116" s="7713" t="s">
        <v>669</v>
      </c>
      <c r="F1116" s="7713" t="str">
        <f t="shared" si="80"/>
        <v/>
      </c>
      <c r="G1116" s="7713" t="s">
        <v>2262</v>
      </c>
      <c r="H1116" s="7713" t="str">
        <f t="shared" si="81"/>
        <v/>
      </c>
      <c r="I1116" s="7714">
        <v>60.0</v>
      </c>
      <c r="J1116" s="7713">
        <v>65.0</v>
      </c>
      <c r="K1116" s="7713">
        <v>55.0</v>
      </c>
      <c r="L1116" s="7713">
        <v>105.0</v>
      </c>
      <c r="M1116" s="7713">
        <v>95.0</v>
      </c>
      <c r="N1116" s="7715">
        <v>95.0</v>
      </c>
      <c r="O1116" s="7701"/>
      <c r="P1116" s="7704"/>
      <c r="Q1116" s="7704"/>
      <c r="R1116" s="7704"/>
      <c r="S1116" s="7705"/>
    </row>
    <row r="1117" ht="18.75" customHeight="1">
      <c r="A1117" s="7696"/>
      <c r="B1117" s="7718" t="s">
        <v>265</v>
      </c>
      <c r="C1117" s="7723" t="s">
        <v>3948</v>
      </c>
      <c r="D1117" s="7720"/>
      <c r="E1117" s="7719" t="s">
        <v>669</v>
      </c>
      <c r="F1117" s="7719" t="str">
        <f t="shared" si="80"/>
        <v/>
      </c>
      <c r="G1117" s="7719" t="s">
        <v>2262</v>
      </c>
      <c r="H1117" s="7719" t="str">
        <f t="shared" si="81"/>
        <v/>
      </c>
      <c r="I1117" s="7720">
        <v>70.0</v>
      </c>
      <c r="J1117" s="7719">
        <v>55.0</v>
      </c>
      <c r="K1117" s="7719">
        <v>65.0</v>
      </c>
      <c r="L1117" s="7719">
        <v>95.0</v>
      </c>
      <c r="M1117" s="7719">
        <v>105.0</v>
      </c>
      <c r="N1117" s="7721">
        <v>85.0</v>
      </c>
      <c r="O1117" s="7701"/>
      <c r="P1117" s="7704"/>
      <c r="Q1117" s="7704"/>
      <c r="R1117" s="7704"/>
      <c r="S1117" s="7705"/>
    </row>
    <row r="1118" ht="18.75" customHeight="1">
      <c r="A1118" s="7696"/>
      <c r="B1118" s="7712" t="s">
        <v>1752</v>
      </c>
      <c r="C1118" s="7713" t="s">
        <v>3949</v>
      </c>
      <c r="D1118" s="7714"/>
      <c r="E1118" s="7713" t="s">
        <v>2283</v>
      </c>
      <c r="F1118" s="7713" t="str">
        <f t="shared" si="80"/>
        <v/>
      </c>
      <c r="G1118" s="7713" t="s">
        <v>2272</v>
      </c>
      <c r="H1118" s="7713" t="str">
        <f t="shared" si="81"/>
        <v/>
      </c>
      <c r="I1118" s="7714">
        <v>58.0</v>
      </c>
      <c r="J1118" s="7713">
        <v>110.0</v>
      </c>
      <c r="K1118" s="7713">
        <v>58.0</v>
      </c>
      <c r="L1118" s="7713">
        <v>70.0</v>
      </c>
      <c r="M1118" s="7713">
        <v>58.0</v>
      </c>
      <c r="N1118" s="7715">
        <v>97.0</v>
      </c>
      <c r="O1118" s="7701"/>
      <c r="P1118" s="7704"/>
      <c r="Q1118" s="7704"/>
      <c r="R1118" s="7704"/>
      <c r="S1118" s="7705"/>
    </row>
    <row r="1119" ht="18.75" customHeight="1">
      <c r="A1119" s="7696"/>
      <c r="B1119" s="7718" t="s">
        <v>3950</v>
      </c>
      <c r="C1119" s="7719" t="s">
        <v>3951</v>
      </c>
      <c r="D1119" s="7720"/>
      <c r="E1119" s="7719" t="s">
        <v>2286</v>
      </c>
      <c r="F1119" s="7719" t="str">
        <f t="shared" si="80"/>
        <v/>
      </c>
      <c r="G1119" s="7719"/>
      <c r="H1119" s="7719" t="str">
        <f t="shared" si="81"/>
        <v/>
      </c>
      <c r="I1119" s="7720">
        <v>72.0</v>
      </c>
      <c r="J1119" s="7719">
        <v>80.0</v>
      </c>
      <c r="K1119" s="7719">
        <v>49.0</v>
      </c>
      <c r="L1119" s="7719">
        <v>40.0</v>
      </c>
      <c r="M1119" s="7719">
        <v>49.0</v>
      </c>
      <c r="N1119" s="7721">
        <v>40.0</v>
      </c>
      <c r="O1119" s="7701"/>
      <c r="P1119" s="7704"/>
      <c r="Q1119" s="7704"/>
      <c r="R1119" s="7704"/>
      <c r="S1119" s="7705"/>
    </row>
    <row r="1120" ht="18.75" customHeight="1">
      <c r="A1120" s="7696"/>
      <c r="B1120" s="7712" t="s">
        <v>1511</v>
      </c>
      <c r="C1120" s="7713" t="s">
        <v>3952</v>
      </c>
      <c r="D1120" s="7714"/>
      <c r="E1120" s="7713" t="s">
        <v>2286</v>
      </c>
      <c r="F1120" s="7713" t="str">
        <f t="shared" si="80"/>
        <v/>
      </c>
      <c r="G1120" s="7713"/>
      <c r="H1120" s="7713" t="str">
        <f t="shared" si="81"/>
        <v/>
      </c>
      <c r="I1120" s="7714">
        <v>122.0</v>
      </c>
      <c r="J1120" s="7713">
        <v>130.0</v>
      </c>
      <c r="K1120" s="7713">
        <v>79.0</v>
      </c>
      <c r="L1120" s="7713">
        <v>80.0</v>
      </c>
      <c r="M1120" s="7713">
        <v>79.0</v>
      </c>
      <c r="N1120" s="7715">
        <v>30.0</v>
      </c>
      <c r="O1120" s="7701"/>
      <c r="P1120" s="7704"/>
      <c r="Q1120" s="7704"/>
      <c r="R1120" s="7704"/>
      <c r="S1120" s="7705"/>
    </row>
    <row r="1121" ht="18.75" customHeight="1">
      <c r="A1121" s="7696"/>
      <c r="B1121" s="7718" t="s">
        <v>1772</v>
      </c>
      <c r="C1121" s="7723" t="s">
        <v>3953</v>
      </c>
      <c r="D1121" s="7720"/>
      <c r="E1121" s="7719" t="s">
        <v>2286</v>
      </c>
      <c r="F1121" s="7719" t="str">
        <f t="shared" si="80"/>
        <v/>
      </c>
      <c r="G1121" s="7719" t="s">
        <v>2296</v>
      </c>
      <c r="H1121" s="7719" t="str">
        <f t="shared" si="81"/>
        <v/>
      </c>
      <c r="I1121" s="7720">
        <v>122.0</v>
      </c>
      <c r="J1121" s="7720">
        <v>155.0</v>
      </c>
      <c r="K1121" s="7720">
        <v>94.0</v>
      </c>
      <c r="L1121" s="7720">
        <v>100.0</v>
      </c>
      <c r="M1121" s="7720">
        <v>94.0</v>
      </c>
      <c r="N1121" s="7766">
        <v>20.0</v>
      </c>
      <c r="O1121" s="7701"/>
      <c r="P1121" s="7704"/>
      <c r="Q1121" s="7704"/>
      <c r="R1121" s="7704"/>
      <c r="S1121" s="7705"/>
    </row>
    <row r="1122" ht="18.75" customHeight="1">
      <c r="A1122" s="7696"/>
      <c r="B1122" s="7712" t="s">
        <v>1606</v>
      </c>
      <c r="C1122" s="7713" t="s">
        <v>3954</v>
      </c>
      <c r="D1122" s="7714"/>
      <c r="E1122" s="7713" t="s">
        <v>2283</v>
      </c>
      <c r="F1122" s="7713" t="str">
        <f t="shared" si="80"/>
        <v/>
      </c>
      <c r="G1122" s="7713" t="s">
        <v>2227</v>
      </c>
      <c r="H1122" s="7713" t="str">
        <f t="shared" si="81"/>
        <v/>
      </c>
      <c r="I1122" s="7714">
        <v>90.0</v>
      </c>
      <c r="J1122" s="7713">
        <v>100.0</v>
      </c>
      <c r="K1122" s="7713">
        <v>90.0</v>
      </c>
      <c r="L1122" s="7713">
        <v>80.0</v>
      </c>
      <c r="M1122" s="7713">
        <v>70.0</v>
      </c>
      <c r="N1122" s="7715">
        <v>75.0</v>
      </c>
      <c r="O1122" s="7701"/>
      <c r="P1122" s="7704"/>
      <c r="Q1122" s="7704"/>
      <c r="R1122" s="7704"/>
      <c r="S1122" s="7705"/>
    </row>
    <row r="1123" ht="18.75" customHeight="1">
      <c r="A1123" s="7696"/>
      <c r="B1123" s="7718" t="s">
        <v>915</v>
      </c>
      <c r="C1123" s="7719" t="s">
        <v>3955</v>
      </c>
      <c r="D1123" s="7720"/>
      <c r="E1123" s="7719" t="s">
        <v>2283</v>
      </c>
      <c r="F1123" s="7719" t="str">
        <f t="shared" si="80"/>
        <v/>
      </c>
      <c r="G1123" s="7719" t="s">
        <v>2289</v>
      </c>
      <c r="H1123" s="7719" t="str">
        <f t="shared" si="81"/>
        <v/>
      </c>
      <c r="I1123" s="7720">
        <v>90.0</v>
      </c>
      <c r="J1123" s="7719">
        <v>100.0</v>
      </c>
      <c r="K1123" s="7719">
        <v>90.0</v>
      </c>
      <c r="L1123" s="7719">
        <v>90.0</v>
      </c>
      <c r="M1123" s="7719">
        <v>80.0</v>
      </c>
      <c r="N1123" s="7721">
        <v>55.0</v>
      </c>
      <c r="O1123" s="7701"/>
      <c r="P1123" s="7704"/>
      <c r="Q1123" s="7704"/>
      <c r="R1123" s="7704"/>
      <c r="S1123" s="7705"/>
    </row>
    <row r="1124" ht="18.75" customHeight="1">
      <c r="A1124" s="7696"/>
      <c r="B1124" s="7712" t="s">
        <v>1275</v>
      </c>
      <c r="C1124" s="7713" t="s">
        <v>3956</v>
      </c>
      <c r="D1124" s="7714"/>
      <c r="E1124" s="7713" t="s">
        <v>2232</v>
      </c>
      <c r="F1124" s="7713" t="str">
        <f t="shared" si="80"/>
        <v/>
      </c>
      <c r="G1124" s="7713" t="s">
        <v>2227</v>
      </c>
      <c r="H1124" s="7713" t="str">
        <f t="shared" si="81"/>
        <v/>
      </c>
      <c r="I1124" s="7714">
        <v>90.0</v>
      </c>
      <c r="J1124" s="7713">
        <v>90.0</v>
      </c>
      <c r="K1124" s="7713">
        <v>100.0</v>
      </c>
      <c r="L1124" s="7713">
        <v>70.0</v>
      </c>
      <c r="M1124" s="7713">
        <v>80.0</v>
      </c>
      <c r="N1124" s="7715">
        <v>75.0</v>
      </c>
      <c r="O1124" s="7701"/>
      <c r="P1124" s="7704"/>
      <c r="Q1124" s="7704"/>
      <c r="R1124" s="7704"/>
      <c r="S1124" s="7705"/>
    </row>
    <row r="1125" ht="18.75" customHeight="1">
      <c r="A1125" s="7696"/>
      <c r="B1125" s="7718" t="s">
        <v>936</v>
      </c>
      <c r="C1125" s="7719" t="s">
        <v>3957</v>
      </c>
      <c r="D1125" s="7720"/>
      <c r="E1125" s="7719" t="s">
        <v>2232</v>
      </c>
      <c r="F1125" s="7719" t="str">
        <f t="shared" si="80"/>
        <v/>
      </c>
      <c r="G1125" s="7719" t="s">
        <v>2289</v>
      </c>
      <c r="H1125" s="7719" t="str">
        <f t="shared" si="81"/>
        <v/>
      </c>
      <c r="I1125" s="7720">
        <v>90.0</v>
      </c>
      <c r="J1125" s="7719">
        <v>90.0</v>
      </c>
      <c r="K1125" s="7719">
        <v>100.0</v>
      </c>
      <c r="L1125" s="7719">
        <v>55.0</v>
      </c>
      <c r="M1125" s="7719">
        <v>90.0</v>
      </c>
      <c r="N1125" s="7721">
        <v>80.0</v>
      </c>
      <c r="O1125" s="7701"/>
      <c r="P1125" s="7704"/>
      <c r="Q1125" s="7704"/>
      <c r="R1125" s="7704"/>
      <c r="S1125" s="7705"/>
    </row>
    <row r="1126" ht="18.75" customHeight="1">
      <c r="A1126" s="7696"/>
      <c r="B1126" s="7712" t="s">
        <v>3958</v>
      </c>
      <c r="C1126" s="7713" t="s">
        <v>3959</v>
      </c>
      <c r="D1126" s="7714"/>
      <c r="E1126" s="7713" t="s">
        <v>2286</v>
      </c>
      <c r="F1126" s="7713" t="str">
        <f t="shared" si="80"/>
        <v/>
      </c>
      <c r="G1126" s="7713" t="s">
        <v>2227</v>
      </c>
      <c r="H1126" s="7713" t="str">
        <f t="shared" si="81"/>
        <v/>
      </c>
      <c r="I1126" s="7714">
        <v>85.0</v>
      </c>
      <c r="J1126" s="7713">
        <v>95.0</v>
      </c>
      <c r="K1126" s="7713">
        <v>115.0</v>
      </c>
      <c r="L1126" s="7713">
        <v>120.0</v>
      </c>
      <c r="M1126" s="7713">
        <v>50.0</v>
      </c>
      <c r="N1126" s="7715">
        <v>85.0</v>
      </c>
      <c r="O1126" s="7701"/>
      <c r="P1126" s="7704"/>
      <c r="Q1126" s="7704"/>
      <c r="R1126" s="7704"/>
      <c r="S1126" s="7705"/>
    </row>
    <row r="1127" ht="18.75" customHeight="1">
      <c r="A1127" s="7696"/>
      <c r="B1127" s="7718" t="s">
        <v>3960</v>
      </c>
      <c r="C1127" s="7719" t="s">
        <v>3961</v>
      </c>
      <c r="D1127" s="7720"/>
      <c r="E1127" s="7719" t="s">
        <v>2227</v>
      </c>
      <c r="F1127" s="7719" t="str">
        <f t="shared" si="80"/>
        <v/>
      </c>
      <c r="G1127" s="7719" t="s">
        <v>2447</v>
      </c>
      <c r="H1127" s="7719" t="str">
        <f t="shared" si="81"/>
        <v/>
      </c>
      <c r="I1127" s="7720">
        <v>28.0</v>
      </c>
      <c r="J1127" s="7719">
        <v>60.0</v>
      </c>
      <c r="K1127" s="7719">
        <v>30.0</v>
      </c>
      <c r="L1127" s="7719">
        <v>40.0</v>
      </c>
      <c r="M1127" s="7719">
        <v>30.0</v>
      </c>
      <c r="N1127" s="7721">
        <v>82.0</v>
      </c>
      <c r="O1127" s="7701"/>
      <c r="P1127" s="7704"/>
      <c r="Q1127" s="7704"/>
      <c r="R1127" s="7704"/>
      <c r="S1127" s="7705"/>
    </row>
    <row r="1128" ht="18.75" customHeight="1">
      <c r="A1128" s="7696"/>
      <c r="B1128" s="7712" t="s">
        <v>3962</v>
      </c>
      <c r="C1128" s="7713" t="s">
        <v>3963</v>
      </c>
      <c r="D1128" s="7714"/>
      <c r="E1128" s="7713" t="s">
        <v>2227</v>
      </c>
      <c r="F1128" s="7713" t="str">
        <f t="shared" si="80"/>
        <v/>
      </c>
      <c r="G1128" s="7713" t="s">
        <v>2447</v>
      </c>
      <c r="H1128" s="7713" t="str">
        <f t="shared" si="81"/>
        <v/>
      </c>
      <c r="I1128" s="7714">
        <v>68.0</v>
      </c>
      <c r="J1128" s="7713">
        <v>80.0</v>
      </c>
      <c r="K1128" s="7713">
        <v>50.0</v>
      </c>
      <c r="L1128" s="7713">
        <v>60.0</v>
      </c>
      <c r="M1128" s="7713">
        <v>50.0</v>
      </c>
      <c r="N1128" s="7715">
        <v>102.0</v>
      </c>
      <c r="O1128" s="7701"/>
      <c r="P1128" s="7704"/>
      <c r="Q1128" s="7704"/>
      <c r="R1128" s="7704"/>
      <c r="S1128" s="7705"/>
    </row>
    <row r="1129" ht="18.75" customHeight="1">
      <c r="A1129" s="7696"/>
      <c r="B1129" s="7718" t="s">
        <v>1342</v>
      </c>
      <c r="C1129" s="7719" t="s">
        <v>3964</v>
      </c>
      <c r="D1129" s="7720"/>
      <c r="E1129" s="7719" t="s">
        <v>2227</v>
      </c>
      <c r="F1129" s="7719" t="str">
        <f t="shared" si="80"/>
        <v/>
      </c>
      <c r="G1129" s="7719" t="s">
        <v>2447</v>
      </c>
      <c r="H1129" s="7719" t="str">
        <f t="shared" si="81"/>
        <v/>
      </c>
      <c r="I1129" s="7720">
        <v>88.0</v>
      </c>
      <c r="J1129" s="7719">
        <v>120.0</v>
      </c>
      <c r="K1129" s="7719">
        <v>75.0</v>
      </c>
      <c r="L1129" s="7719">
        <v>100.0</v>
      </c>
      <c r="M1129" s="7719">
        <v>75.0</v>
      </c>
      <c r="N1129" s="7721">
        <v>142.0</v>
      </c>
      <c r="O1129" s="7701"/>
      <c r="P1129" s="7704"/>
      <c r="Q1129" s="7704"/>
      <c r="R1129" s="7704"/>
      <c r="S1129" s="7705"/>
    </row>
    <row r="1130" ht="18.75" customHeight="1">
      <c r="A1130" s="7696"/>
      <c r="B1130" s="7712" t="s">
        <v>3965</v>
      </c>
      <c r="C1130" s="7713" t="s">
        <v>3966</v>
      </c>
      <c r="D1130" s="7714"/>
      <c r="E1130" s="7713" t="s">
        <v>2292</v>
      </c>
      <c r="F1130" s="7713" t="str">
        <f t="shared" si="80"/>
        <v/>
      </c>
      <c r="G1130" s="7713"/>
      <c r="H1130" s="7713" t="str">
        <f t="shared" si="81"/>
        <v/>
      </c>
      <c r="I1130" s="7714">
        <v>92.0</v>
      </c>
      <c r="J1130" s="7713">
        <v>120.0</v>
      </c>
      <c r="K1130" s="7713">
        <v>115.0</v>
      </c>
      <c r="L1130" s="7713">
        <v>80.0</v>
      </c>
      <c r="M1130" s="7713">
        <v>115.0</v>
      </c>
      <c r="N1130" s="7715">
        <v>138.0</v>
      </c>
      <c r="O1130" s="7701"/>
      <c r="P1130" s="7704"/>
      <c r="Q1130" s="7704"/>
      <c r="R1130" s="7704"/>
      <c r="S1130" s="7705"/>
    </row>
    <row r="1131" ht="18.75" customHeight="1">
      <c r="A1131" s="7696"/>
      <c r="B1131" s="7718" t="s">
        <v>1873</v>
      </c>
      <c r="C1131" s="7723" t="s">
        <v>3967</v>
      </c>
      <c r="D1131" s="7720"/>
      <c r="E1131" s="7719" t="s">
        <v>2292</v>
      </c>
      <c r="F1131" s="7719" t="str">
        <f t="shared" si="80"/>
        <v/>
      </c>
      <c r="G1131" s="7719" t="s">
        <v>2286</v>
      </c>
      <c r="H1131" s="7719" t="str">
        <f t="shared" si="81"/>
        <v/>
      </c>
      <c r="I1131" s="7720">
        <v>92.0</v>
      </c>
      <c r="J1131" s="7719">
        <v>150.0</v>
      </c>
      <c r="K1131" s="7719">
        <v>115.0</v>
      </c>
      <c r="L1131" s="7719">
        <v>80.0</v>
      </c>
      <c r="M1131" s="7719">
        <v>115.0</v>
      </c>
      <c r="N1131" s="7721">
        <v>148.0</v>
      </c>
      <c r="O1131" s="7701"/>
      <c r="P1131" s="7704"/>
      <c r="Q1131" s="7704"/>
      <c r="R1131" s="7704"/>
      <c r="S1131" s="7705"/>
    </row>
    <row r="1132" ht="18.75" customHeight="1">
      <c r="A1132" s="7696"/>
      <c r="B1132" s="7712" t="s">
        <v>3968</v>
      </c>
      <c r="C1132" s="7713" t="s">
        <v>3969</v>
      </c>
      <c r="D1132" s="7714"/>
      <c r="E1132" s="7713" t="s">
        <v>2296</v>
      </c>
      <c r="F1132" s="7713" t="str">
        <f t="shared" si="80"/>
        <v/>
      </c>
      <c r="G1132" s="7713"/>
      <c r="H1132" s="7713" t="str">
        <f t="shared" si="81"/>
        <v/>
      </c>
      <c r="I1132" s="7714">
        <v>92.0</v>
      </c>
      <c r="J1132" s="7713">
        <v>120.0</v>
      </c>
      <c r="K1132" s="7713">
        <v>115.0</v>
      </c>
      <c r="L1132" s="7713">
        <v>80.0</v>
      </c>
      <c r="M1132" s="7713">
        <v>115.0</v>
      </c>
      <c r="N1132" s="7715">
        <v>138.0</v>
      </c>
      <c r="O1132" s="7701"/>
      <c r="P1132" s="7704"/>
      <c r="Q1132" s="7704"/>
      <c r="R1132" s="7704"/>
      <c r="S1132" s="7705"/>
    </row>
    <row r="1133" ht="18.75" customHeight="1">
      <c r="A1133" s="7696"/>
      <c r="B1133" s="7718" t="s">
        <v>887</v>
      </c>
      <c r="C1133" s="7723" t="s">
        <v>3970</v>
      </c>
      <c r="D1133" s="7720"/>
      <c r="E1133" s="7719" t="s">
        <v>2296</v>
      </c>
      <c r="F1133" s="7719" t="str">
        <f t="shared" si="80"/>
        <v/>
      </c>
      <c r="G1133" s="7719" t="s">
        <v>2286</v>
      </c>
      <c r="H1133" s="7719" t="str">
        <f t="shared" si="81"/>
        <v/>
      </c>
      <c r="I1133" s="7720">
        <v>92.0</v>
      </c>
      <c r="J1133" s="7719">
        <v>120.0</v>
      </c>
      <c r="K1133" s="7719">
        <v>140.0</v>
      </c>
      <c r="L1133" s="7719">
        <v>80.0</v>
      </c>
      <c r="M1133" s="7719">
        <v>140.0</v>
      </c>
      <c r="N1133" s="7721">
        <v>128.0</v>
      </c>
      <c r="O1133" s="7701"/>
      <c r="P1133" s="7704"/>
      <c r="Q1133" s="7704"/>
      <c r="R1133" s="7704"/>
      <c r="S1133" s="7705"/>
    </row>
    <row r="1134" ht="18.75" customHeight="1">
      <c r="A1134" s="7696"/>
      <c r="B1134" s="7712" t="s">
        <v>705</v>
      </c>
      <c r="C1134" s="7713" t="s">
        <v>3971</v>
      </c>
      <c r="D1134" s="7714"/>
      <c r="E1134" s="7713" t="s">
        <v>2210</v>
      </c>
      <c r="F1134" s="7713" t="str">
        <f t="shared" si="80"/>
        <v/>
      </c>
      <c r="G1134" s="7713" t="s">
        <v>2227</v>
      </c>
      <c r="H1134" s="7713" t="str">
        <f t="shared" si="81"/>
        <v/>
      </c>
      <c r="I1134" s="7714">
        <v>140.0</v>
      </c>
      <c r="J1134" s="7713">
        <v>85.0</v>
      </c>
      <c r="K1134" s="7713">
        <v>95.0</v>
      </c>
      <c r="L1134" s="7713">
        <v>145.0</v>
      </c>
      <c r="M1134" s="7713">
        <v>95.0</v>
      </c>
      <c r="N1134" s="7715">
        <v>130.0</v>
      </c>
      <c r="O1134" s="7701"/>
      <c r="P1134" s="7704"/>
      <c r="Q1134" s="7704"/>
      <c r="R1134" s="7704"/>
      <c r="S1134" s="7705"/>
    </row>
    <row r="1135" ht="18.75" customHeight="1">
      <c r="A1135" s="7696"/>
      <c r="B1135" s="7718" t="s">
        <v>1926</v>
      </c>
      <c r="C1135" s="7723" t="s">
        <v>3972</v>
      </c>
      <c r="D1135" s="7720"/>
      <c r="E1135" s="7719" t="s">
        <v>2210</v>
      </c>
      <c r="F1135" s="7719" t="str">
        <f t="shared" si="80"/>
        <v/>
      </c>
      <c r="G1135" s="7719" t="s">
        <v>2227</v>
      </c>
      <c r="H1135" s="7719" t="str">
        <f t="shared" si="81"/>
        <v/>
      </c>
      <c r="I1135" s="7720">
        <v>140.0</v>
      </c>
      <c r="J1135" s="7719">
        <v>105.0</v>
      </c>
      <c r="K1135" s="7719">
        <v>110.0</v>
      </c>
      <c r="L1135" s="7719">
        <v>185.0</v>
      </c>
      <c r="M1135" s="7719">
        <v>110.0</v>
      </c>
      <c r="N1135" s="7721">
        <v>140.0</v>
      </c>
      <c r="O1135" s="7701"/>
      <c r="P1135" s="7704"/>
      <c r="Q1135" s="7704"/>
      <c r="R1135" s="7704"/>
      <c r="S1135" s="7705"/>
    </row>
    <row r="1136" ht="18.75" customHeight="1">
      <c r="A1136" s="7696"/>
      <c r="B1136" s="7712" t="s">
        <v>3973</v>
      </c>
      <c r="C1136" s="7713" t="s">
        <v>3974</v>
      </c>
      <c r="D1136" s="7714"/>
      <c r="E1136" s="7713" t="s">
        <v>2296</v>
      </c>
      <c r="F1136" s="7713" t="str">
        <f t="shared" si="80"/>
        <v/>
      </c>
      <c r="G1136" s="7713"/>
      <c r="H1136" s="7713" t="str">
        <f t="shared" si="81"/>
        <v/>
      </c>
      <c r="I1136" s="7714">
        <v>60.0</v>
      </c>
      <c r="J1136" s="7713">
        <v>90.0</v>
      </c>
      <c r="K1136" s="7713">
        <v>60.0</v>
      </c>
      <c r="L1136" s="7713">
        <v>53.0</v>
      </c>
      <c r="M1136" s="7713">
        <v>50.0</v>
      </c>
      <c r="N1136" s="7715">
        <v>72.0</v>
      </c>
      <c r="O1136" s="7701"/>
      <c r="P1136" s="7704"/>
      <c r="Q1136" s="7704"/>
      <c r="R1136" s="7704"/>
      <c r="S1136" s="7705"/>
    </row>
    <row r="1137" ht="18.75" customHeight="1">
      <c r="A1137" s="7696"/>
      <c r="B1137" s="7718" t="s">
        <v>1825</v>
      </c>
      <c r="C1137" s="7723" t="s">
        <v>3975</v>
      </c>
      <c r="D1137" s="7720"/>
      <c r="E1137" s="7719" t="s">
        <v>2296</v>
      </c>
      <c r="F1137" s="7719" t="str">
        <f t="shared" si="80"/>
        <v/>
      </c>
      <c r="G1137" s="7719" t="s">
        <v>2272</v>
      </c>
      <c r="H1137" s="7719" t="str">
        <f t="shared" si="81"/>
        <v/>
      </c>
      <c r="I1137" s="7720">
        <v>100.0</v>
      </c>
      <c r="J1137" s="7719">
        <v>130.0</v>
      </c>
      <c r="K1137" s="7719">
        <v>100.0</v>
      </c>
      <c r="L1137" s="7719">
        <v>63.0</v>
      </c>
      <c r="M1137" s="7719">
        <v>60.0</v>
      </c>
      <c r="N1137" s="7721">
        <v>97.0</v>
      </c>
      <c r="O1137" s="7701"/>
      <c r="P1137" s="7704"/>
      <c r="Q1137" s="7704"/>
      <c r="R1137" s="7704"/>
      <c r="S1137" s="7705"/>
    </row>
    <row r="1138" ht="18.75" customHeight="1">
      <c r="A1138" s="7696"/>
      <c r="B1138" s="7712" t="s">
        <v>1068</v>
      </c>
      <c r="C1138" s="7722" t="s">
        <v>3976</v>
      </c>
      <c r="D1138" s="7714"/>
      <c r="E1138" s="7713" t="s">
        <v>2296</v>
      </c>
      <c r="F1138" s="7713" t="str">
        <f t="shared" si="80"/>
        <v/>
      </c>
      <c r="G1138" s="7713" t="s">
        <v>2232</v>
      </c>
      <c r="H1138" s="7713" t="str">
        <f t="shared" si="81"/>
        <v/>
      </c>
      <c r="I1138" s="7714">
        <v>100.0</v>
      </c>
      <c r="J1138" s="7713">
        <v>130.0</v>
      </c>
      <c r="K1138" s="7713">
        <v>100.0</v>
      </c>
      <c r="L1138" s="7713">
        <v>63.0</v>
      </c>
      <c r="M1138" s="7713">
        <v>60.0</v>
      </c>
      <c r="N1138" s="7715">
        <v>97.0</v>
      </c>
      <c r="O1138" s="7701"/>
      <c r="P1138" s="7704"/>
      <c r="Q1138" s="7704"/>
      <c r="R1138" s="7704"/>
      <c r="S1138" s="7705"/>
    </row>
    <row r="1139" ht="18.75" customHeight="1">
      <c r="A1139" s="7696"/>
      <c r="B1139" s="7718" t="s">
        <v>2027</v>
      </c>
      <c r="C1139" s="7719" t="s">
        <v>3977</v>
      </c>
      <c r="D1139" s="7720"/>
      <c r="E1139" s="7719" t="s">
        <v>2272</v>
      </c>
      <c r="F1139" s="7719" t="str">
        <f t="shared" si="80"/>
        <v/>
      </c>
      <c r="G1139" s="7719" t="s">
        <v>2209</v>
      </c>
      <c r="H1139" s="7719" t="str">
        <f t="shared" si="81"/>
        <v/>
      </c>
      <c r="I1139" s="7720">
        <v>105.0</v>
      </c>
      <c r="J1139" s="7719">
        <v>120.0</v>
      </c>
      <c r="K1139" s="7719">
        <v>105.0</v>
      </c>
      <c r="L1139" s="7719">
        <v>70.0</v>
      </c>
      <c r="M1139" s="7719">
        <v>95.0</v>
      </c>
      <c r="N1139" s="7721">
        <v>105.0</v>
      </c>
      <c r="O1139" s="7701"/>
      <c r="P1139" s="7704"/>
      <c r="Q1139" s="7704"/>
      <c r="R1139" s="7704"/>
      <c r="S1139" s="7705"/>
    </row>
    <row r="1140" ht="18.75" customHeight="1">
      <c r="A1140" s="7696"/>
      <c r="B1140" s="7712" t="s">
        <v>1077</v>
      </c>
      <c r="C1140" s="7713" t="s">
        <v>3978</v>
      </c>
      <c r="D1140" s="7714"/>
      <c r="E1140" s="7713" t="s">
        <v>2283</v>
      </c>
      <c r="F1140" s="7713" t="str">
        <f t="shared" ref="F1140:F1156" si="82">IFERROR(VLOOKUP(E1140,P$3:Q1158,2,False),"")</f>
        <v/>
      </c>
      <c r="G1140" s="7713"/>
      <c r="H1140" s="7713" t="str">
        <f t="shared" ref="H1140:H1156" si="83">IFERROR(VLOOKUP(G1140,P$3:Q1158,2,False),"")</f>
        <v/>
      </c>
      <c r="I1140" s="7714">
        <v>80.0</v>
      </c>
      <c r="J1140" s="7713">
        <v>100.0</v>
      </c>
      <c r="K1140" s="7713">
        <v>50.0</v>
      </c>
      <c r="L1140" s="7713">
        <v>100.0</v>
      </c>
      <c r="M1140" s="7713">
        <v>50.0</v>
      </c>
      <c r="N1140" s="7715">
        <v>200.0</v>
      </c>
      <c r="O1140" s="7701"/>
      <c r="P1140" s="7704"/>
      <c r="Q1140" s="7704"/>
      <c r="R1140" s="7704"/>
      <c r="S1140" s="7705"/>
    </row>
    <row r="1141" ht="18.75" customHeight="1">
      <c r="A1141" s="7696"/>
      <c r="B1141" s="7718" t="s">
        <v>3979</v>
      </c>
      <c r="C1141" s="7719" t="s">
        <v>3980</v>
      </c>
      <c r="D1141" s="7720"/>
      <c r="E1141" s="7719" t="s">
        <v>2227</v>
      </c>
      <c r="F1141" s="7719" t="str">
        <f t="shared" si="82"/>
        <v/>
      </c>
      <c r="G1141" s="7719"/>
      <c r="H1141" s="7719" t="str">
        <f t="shared" si="83"/>
        <v/>
      </c>
      <c r="I1141" s="7720">
        <v>200.0</v>
      </c>
      <c r="J1141" s="7719">
        <v>100.0</v>
      </c>
      <c r="K1141" s="7719">
        <v>50.0</v>
      </c>
      <c r="L1141" s="7719">
        <v>100.0</v>
      </c>
      <c r="M1141" s="7719">
        <v>50.0</v>
      </c>
      <c r="N1141" s="7721">
        <v>80.0</v>
      </c>
      <c r="O1141" s="7701"/>
      <c r="P1141" s="7704"/>
      <c r="Q1141" s="7704"/>
      <c r="R1141" s="7704"/>
      <c r="S1141" s="7705"/>
    </row>
    <row r="1142" ht="18.75" customHeight="1">
      <c r="A1142" s="7696"/>
      <c r="B1142" s="7712" t="s">
        <v>629</v>
      </c>
      <c r="C1142" s="7713" t="s">
        <v>3981</v>
      </c>
      <c r="D1142" s="7714"/>
      <c r="E1142" s="7713" t="s">
        <v>2289</v>
      </c>
      <c r="F1142" s="7713" t="str">
        <f t="shared" si="82"/>
        <v/>
      </c>
      <c r="G1142" s="7713"/>
      <c r="H1142" s="7713" t="str">
        <f t="shared" si="83"/>
        <v/>
      </c>
      <c r="I1142" s="7714">
        <v>100.0</v>
      </c>
      <c r="J1142" s="7713">
        <v>145.0</v>
      </c>
      <c r="K1142" s="7713">
        <v>130.0</v>
      </c>
      <c r="L1142" s="7713">
        <v>65.0</v>
      </c>
      <c r="M1142" s="7713">
        <v>110.0</v>
      </c>
      <c r="N1142" s="7715">
        <v>30.0</v>
      </c>
      <c r="O1142" s="7701"/>
      <c r="P1142" s="7704"/>
      <c r="Q1142" s="7704"/>
      <c r="R1142" s="7704"/>
      <c r="S1142" s="7705"/>
    </row>
    <row r="1143" ht="18.75" customHeight="1">
      <c r="A1143" s="7696"/>
      <c r="B1143" s="7718" t="s">
        <v>1699</v>
      </c>
      <c r="C1143" s="7719" t="s">
        <v>3982</v>
      </c>
      <c r="D1143" s="7720"/>
      <c r="E1143" s="7719" t="s">
        <v>2447</v>
      </c>
      <c r="F1143" s="7719" t="str">
        <f t="shared" si="82"/>
        <v/>
      </c>
      <c r="G1143" s="7719"/>
      <c r="H1143" s="7719" t="str">
        <f t="shared" si="83"/>
        <v/>
      </c>
      <c r="I1143" s="7720">
        <v>100.0</v>
      </c>
      <c r="J1143" s="7719">
        <v>65.0</v>
      </c>
      <c r="K1143" s="7719">
        <v>60.0</v>
      </c>
      <c r="L1143" s="7719">
        <v>145.0</v>
      </c>
      <c r="M1143" s="7719">
        <v>80.0</v>
      </c>
      <c r="N1143" s="7721">
        <v>130.0</v>
      </c>
      <c r="O1143" s="7701"/>
      <c r="P1143" s="7704"/>
      <c r="Q1143" s="7704"/>
      <c r="R1143" s="7704"/>
      <c r="S1143" s="7705"/>
    </row>
    <row r="1144" ht="18.75" customHeight="1">
      <c r="A1144" s="7696"/>
      <c r="B1144" s="7712" t="s">
        <v>3983</v>
      </c>
      <c r="C1144" s="7713" t="s">
        <v>3984</v>
      </c>
      <c r="D1144" s="7714"/>
      <c r="E1144" s="7713" t="s">
        <v>669</v>
      </c>
      <c r="F1144" s="7713" t="str">
        <f t="shared" si="82"/>
        <v/>
      </c>
      <c r="G1144" s="7713" t="s">
        <v>2209</v>
      </c>
      <c r="H1144" s="7713" t="str">
        <f t="shared" si="83"/>
        <v/>
      </c>
      <c r="I1144" s="7714">
        <v>100.0</v>
      </c>
      <c r="J1144" s="7713">
        <v>80.0</v>
      </c>
      <c r="K1144" s="7713">
        <v>80.0</v>
      </c>
      <c r="L1144" s="7713">
        <v>80.0</v>
      </c>
      <c r="M1144" s="7713">
        <v>80.0</v>
      </c>
      <c r="N1144" s="7715">
        <v>80.0</v>
      </c>
      <c r="O1144" s="7701"/>
      <c r="P1144" s="7704"/>
      <c r="Q1144" s="7704"/>
      <c r="R1144" s="7704"/>
      <c r="S1144" s="7705"/>
    </row>
    <row r="1145" ht="18.75" customHeight="1">
      <c r="A1145" s="7696"/>
      <c r="B1145" s="7718" t="s">
        <v>1994</v>
      </c>
      <c r="C1145" s="7723" t="s">
        <v>3985</v>
      </c>
      <c r="D1145" s="7720"/>
      <c r="E1145" s="7719" t="s">
        <v>669</v>
      </c>
      <c r="F1145" s="7719" t="str">
        <f t="shared" si="82"/>
        <v/>
      </c>
      <c r="G1145" s="7719" t="s">
        <v>2289</v>
      </c>
      <c r="H1145" s="7719" t="str">
        <f t="shared" si="83"/>
        <v/>
      </c>
      <c r="I1145" s="7720">
        <v>100.0</v>
      </c>
      <c r="J1145" s="7719">
        <v>165.0</v>
      </c>
      <c r="K1145" s="7719">
        <v>150.0</v>
      </c>
      <c r="L1145" s="7719">
        <v>85.0</v>
      </c>
      <c r="M1145" s="7719">
        <v>130.0</v>
      </c>
      <c r="N1145" s="7721">
        <v>50.0</v>
      </c>
      <c r="O1145" s="7701"/>
      <c r="P1145" s="7704"/>
      <c r="Q1145" s="7704"/>
      <c r="R1145" s="7704"/>
      <c r="S1145" s="7705"/>
    </row>
    <row r="1146" ht="18.75" customHeight="1">
      <c r="A1146" s="7696"/>
      <c r="B1146" s="7712" t="s">
        <v>1893</v>
      </c>
      <c r="C1146" s="7722" t="s">
        <v>3986</v>
      </c>
      <c r="D1146" s="7714"/>
      <c r="E1146" s="7713" t="s">
        <v>669</v>
      </c>
      <c r="F1146" s="7713" t="str">
        <f t="shared" si="82"/>
        <v/>
      </c>
      <c r="G1146" s="7713" t="s">
        <v>2447</v>
      </c>
      <c r="H1146" s="7713" t="str">
        <f t="shared" si="83"/>
        <v/>
      </c>
      <c r="I1146" s="7714">
        <v>100.0</v>
      </c>
      <c r="J1146" s="7713">
        <v>85.0</v>
      </c>
      <c r="K1146" s="7713">
        <v>80.0</v>
      </c>
      <c r="L1146" s="7713">
        <v>165.0</v>
      </c>
      <c r="M1146" s="7713">
        <v>100.0</v>
      </c>
      <c r="N1146" s="7715">
        <v>150.0</v>
      </c>
      <c r="O1146" s="7701"/>
      <c r="P1146" s="7704"/>
      <c r="Q1146" s="7704"/>
      <c r="R1146" s="7704"/>
      <c r="S1146" s="7705"/>
    </row>
    <row r="1147" ht="18.75" customHeight="1">
      <c r="A1147" s="7696"/>
      <c r="B1147" s="7718" t="s">
        <v>3987</v>
      </c>
      <c r="C1147" s="7719" t="s">
        <v>3988</v>
      </c>
      <c r="D1147" s="7720"/>
      <c r="E1147" s="7719" t="s">
        <v>2262</v>
      </c>
      <c r="F1147" s="7719" t="str">
        <f t="shared" si="82"/>
        <v/>
      </c>
      <c r="G1147" s="7719" t="s">
        <v>669</v>
      </c>
      <c r="H1147" s="7719" t="str">
        <f t="shared" si="83"/>
        <v/>
      </c>
      <c r="I1147" s="7720">
        <v>103.0</v>
      </c>
      <c r="J1147" s="7719">
        <v>80.0</v>
      </c>
      <c r="K1147" s="7719">
        <v>82.0</v>
      </c>
      <c r="L1147" s="7719">
        <v>110.0</v>
      </c>
      <c r="M1147" s="7719">
        <v>85.0</v>
      </c>
      <c r="N1147" s="7721">
        <v>65.0</v>
      </c>
      <c r="O1147" s="7701"/>
      <c r="P1147" s="7704"/>
      <c r="Q1147" s="7704"/>
      <c r="R1147" s="7704"/>
      <c r="S1147" s="7705"/>
    </row>
    <row r="1148" ht="18.75" customHeight="1">
      <c r="A1148" s="7696"/>
      <c r="B1148" s="7712" t="s">
        <v>819</v>
      </c>
      <c r="C1148" s="7713" t="s">
        <v>3989</v>
      </c>
      <c r="D1148" s="7714"/>
      <c r="E1148" s="7713" t="s">
        <v>2243</v>
      </c>
      <c r="F1148" s="7713" t="str">
        <f t="shared" si="82"/>
        <v/>
      </c>
      <c r="G1148" s="7713" t="s">
        <v>2370</v>
      </c>
      <c r="H1148" s="7713" t="str">
        <f t="shared" si="83"/>
        <v/>
      </c>
      <c r="I1148" s="7714">
        <v>85.0</v>
      </c>
      <c r="J1148" s="7713">
        <v>135.0</v>
      </c>
      <c r="K1148" s="7713">
        <v>95.0</v>
      </c>
      <c r="L1148" s="7713">
        <v>30.0</v>
      </c>
      <c r="M1148" s="7713">
        <v>70.0</v>
      </c>
      <c r="N1148" s="7715">
        <v>85.0</v>
      </c>
      <c r="O1148" s="7701"/>
      <c r="P1148" s="7704"/>
      <c r="Q1148" s="7704"/>
      <c r="R1148" s="7704"/>
      <c r="S1148" s="7705"/>
    </row>
    <row r="1149" ht="18.75" customHeight="1">
      <c r="A1149" s="7696"/>
      <c r="B1149" s="7718" t="s">
        <v>2129</v>
      </c>
      <c r="C1149" s="7719" t="s">
        <v>3990</v>
      </c>
      <c r="D1149" s="7720"/>
      <c r="E1149" s="7719" t="s">
        <v>2304</v>
      </c>
      <c r="F1149" s="7719" t="str">
        <f t="shared" si="82"/>
        <v/>
      </c>
      <c r="G1149" s="7719" t="s">
        <v>2262</v>
      </c>
      <c r="H1149" s="7719" t="str">
        <f t="shared" si="83"/>
        <v/>
      </c>
      <c r="I1149" s="7720">
        <v>130.0</v>
      </c>
      <c r="J1149" s="7719">
        <v>140.0</v>
      </c>
      <c r="K1149" s="7719">
        <v>105.0</v>
      </c>
      <c r="L1149" s="7719">
        <v>45.0</v>
      </c>
      <c r="M1149" s="7719">
        <v>80.0</v>
      </c>
      <c r="N1149" s="7721">
        <v>50.0</v>
      </c>
      <c r="O1149" s="7701"/>
      <c r="P1149" s="7704"/>
      <c r="Q1149" s="7704"/>
      <c r="R1149" s="7704"/>
      <c r="S1149" s="7705"/>
    </row>
    <row r="1150" ht="18.75" customHeight="1">
      <c r="A1150" s="7696"/>
      <c r="B1150" s="7712" t="s">
        <v>727</v>
      </c>
      <c r="C1150" s="7722" t="s">
        <v>3991</v>
      </c>
      <c r="D1150" s="7714"/>
      <c r="E1150" s="7713" t="s">
        <v>2304</v>
      </c>
      <c r="F1150" s="7713" t="str">
        <f t="shared" si="82"/>
        <v/>
      </c>
      <c r="G1150" s="7713" t="s">
        <v>2262</v>
      </c>
      <c r="H1150" s="7713" t="str">
        <f t="shared" si="83"/>
        <v/>
      </c>
      <c r="I1150" s="7722">
        <v>113.0</v>
      </c>
      <c r="J1150" s="7722">
        <v>70.0</v>
      </c>
      <c r="K1150" s="7722">
        <v>120.0</v>
      </c>
      <c r="L1150" s="7722">
        <v>135.0</v>
      </c>
      <c r="M1150" s="7722">
        <v>65.0</v>
      </c>
      <c r="N1150" s="7724">
        <v>52.0</v>
      </c>
      <c r="O1150" s="7701"/>
      <c r="P1150" s="7704"/>
      <c r="Q1150" s="7704"/>
      <c r="R1150" s="7704"/>
      <c r="S1150" s="7705"/>
    </row>
    <row r="1151" ht="18.75" customHeight="1">
      <c r="A1151" s="7696"/>
      <c r="B1151" s="7718" t="s">
        <v>1095</v>
      </c>
      <c r="C1151" s="7719" t="s">
        <v>3992</v>
      </c>
      <c r="D1151" s="7720"/>
      <c r="E1151" s="7719" t="s">
        <v>2232</v>
      </c>
      <c r="F1151" s="7719" t="str">
        <f t="shared" si="82"/>
        <v/>
      </c>
      <c r="G1151" s="7719" t="s">
        <v>2447</v>
      </c>
      <c r="H1151" s="7719" t="str">
        <f t="shared" si="83"/>
        <v/>
      </c>
      <c r="I1151" s="7720">
        <v>120.0</v>
      </c>
      <c r="J1151" s="7719">
        <v>112.0</v>
      </c>
      <c r="K1151" s="7719">
        <v>65.0</v>
      </c>
      <c r="L1151" s="7719">
        <v>80.0</v>
      </c>
      <c r="M1151" s="7719">
        <v>75.0</v>
      </c>
      <c r="N1151" s="7721">
        <v>78.0</v>
      </c>
      <c r="O1151" s="7701"/>
      <c r="P1151" s="7704"/>
      <c r="Q1151" s="7704"/>
      <c r="R1151" s="7704"/>
      <c r="S1151" s="7705"/>
    </row>
    <row r="1152" ht="18.75" customHeight="1">
      <c r="A1152" s="7696"/>
      <c r="B1152" s="7712" t="s">
        <v>1504</v>
      </c>
      <c r="C1152" s="7722" t="s">
        <v>3993</v>
      </c>
      <c r="D1152" s="7714"/>
      <c r="E1152" s="7713" t="s">
        <v>2232</v>
      </c>
      <c r="F1152" s="7713" t="str">
        <f t="shared" si="82"/>
        <v/>
      </c>
      <c r="G1152" s="7713" t="s">
        <v>2447</v>
      </c>
      <c r="H1152" s="7713" t="str">
        <f t="shared" si="83"/>
        <v/>
      </c>
      <c r="I1152" s="7714">
        <v>120.0</v>
      </c>
      <c r="J1152" s="7713">
        <v>92.0</v>
      </c>
      <c r="K1152" s="7713">
        <v>65.0</v>
      </c>
      <c r="L1152" s="7713">
        <v>100.0</v>
      </c>
      <c r="M1152" s="7713">
        <v>75.0</v>
      </c>
      <c r="N1152" s="7715">
        <v>78.0</v>
      </c>
      <c r="O1152" s="7701"/>
      <c r="P1152" s="7704"/>
      <c r="Q1152" s="7704"/>
      <c r="R1152" s="7704"/>
      <c r="S1152" s="7705"/>
    </row>
    <row r="1153" ht="18.75" customHeight="1">
      <c r="A1153" s="7696"/>
      <c r="B1153" s="7718" t="s">
        <v>884</v>
      </c>
      <c r="C1153" s="7719" t="s">
        <v>3994</v>
      </c>
      <c r="D1153" s="7720"/>
      <c r="E1153" s="7719" t="s">
        <v>2210</v>
      </c>
      <c r="F1153" s="7719" t="str">
        <f t="shared" si="82"/>
        <v/>
      </c>
      <c r="G1153" s="7719" t="s">
        <v>2296</v>
      </c>
      <c r="H1153" s="7719" t="str">
        <f t="shared" si="83"/>
        <v/>
      </c>
      <c r="I1153" s="7720">
        <v>80.0</v>
      </c>
      <c r="J1153" s="7719">
        <v>130.0</v>
      </c>
      <c r="K1153" s="7719">
        <v>60.0</v>
      </c>
      <c r="L1153" s="7719">
        <v>40.0</v>
      </c>
      <c r="M1153" s="7719">
        <v>80.0</v>
      </c>
      <c r="N1153" s="7721">
        <v>120.0</v>
      </c>
      <c r="O1153" s="7701"/>
      <c r="P1153" s="7704"/>
      <c r="Q1153" s="7704"/>
      <c r="R1153" s="7704"/>
      <c r="S1153" s="7705"/>
    </row>
    <row r="1154" ht="18.75" customHeight="1">
      <c r="A1154" s="7696"/>
      <c r="B1154" s="7712" t="s">
        <v>1226</v>
      </c>
      <c r="C1154" s="7713" t="s">
        <v>3995</v>
      </c>
      <c r="D1154" s="7714"/>
      <c r="E1154" s="7713" t="s">
        <v>2272</v>
      </c>
      <c r="F1154" s="7713" t="str">
        <f t="shared" si="82"/>
        <v/>
      </c>
      <c r="G1154" s="7713" t="s">
        <v>2210</v>
      </c>
      <c r="H1154" s="7713" t="str">
        <f t="shared" si="83"/>
        <v/>
      </c>
      <c r="I1154" s="7714">
        <v>95.0</v>
      </c>
      <c r="J1154" s="7713">
        <v>115.0</v>
      </c>
      <c r="K1154" s="7713">
        <v>100.0</v>
      </c>
      <c r="L1154" s="7713">
        <v>55.0</v>
      </c>
      <c r="M1154" s="7713">
        <v>80.0</v>
      </c>
      <c r="N1154" s="7715">
        <v>85.0</v>
      </c>
      <c r="O1154" s="7701"/>
      <c r="P1154" s="7704"/>
      <c r="Q1154" s="7704"/>
      <c r="R1154" s="7704"/>
      <c r="S1154" s="7705"/>
    </row>
    <row r="1155" ht="18.75" customHeight="1">
      <c r="A1155" s="7696"/>
      <c r="B1155" s="7718" t="s">
        <v>1978</v>
      </c>
      <c r="C1155" s="7723" t="s">
        <v>3996</v>
      </c>
      <c r="D1155" s="7720"/>
      <c r="E1155" s="7719" t="s">
        <v>2292</v>
      </c>
      <c r="F1155" s="7719" t="str">
        <f t="shared" si="82"/>
        <v/>
      </c>
      <c r="G1155" s="7719" t="s">
        <v>2224</v>
      </c>
      <c r="H1155" s="7719" t="str">
        <f t="shared" si="83"/>
        <v/>
      </c>
      <c r="I1155" s="7720">
        <v>74.0</v>
      </c>
      <c r="J1155" s="7719">
        <v>115.0</v>
      </c>
      <c r="K1155" s="7719">
        <v>70.0</v>
      </c>
      <c r="L1155" s="7719">
        <v>135.0</v>
      </c>
      <c r="M1155" s="7719">
        <v>80.0</v>
      </c>
      <c r="N1155" s="7721">
        <v>106.0</v>
      </c>
      <c r="O1155" s="7701"/>
      <c r="P1155" s="7704"/>
      <c r="Q1155" s="7704"/>
      <c r="R1155" s="7704"/>
      <c r="S1155" s="7705"/>
    </row>
    <row r="1156" ht="18.75" customHeight="1">
      <c r="A1156" s="7696"/>
      <c r="B1156" s="7736" t="s">
        <v>2202</v>
      </c>
      <c r="C1156" s="7748" t="s">
        <v>3997</v>
      </c>
      <c r="D1156" s="7738"/>
      <c r="E1156" s="7737" t="s">
        <v>2292</v>
      </c>
      <c r="F1156" s="7737" t="str">
        <f t="shared" si="82"/>
        <v/>
      </c>
      <c r="G1156" s="7737" t="s">
        <v>2224</v>
      </c>
      <c r="H1156" s="7737" t="str">
        <f t="shared" si="83"/>
        <v/>
      </c>
      <c r="I1156" s="7738">
        <v>74.0</v>
      </c>
      <c r="J1156" s="7737">
        <v>115.0</v>
      </c>
      <c r="K1156" s="7737">
        <v>110.0</v>
      </c>
      <c r="L1156" s="7737">
        <v>135.0</v>
      </c>
      <c r="M1156" s="7737">
        <v>100.0</v>
      </c>
      <c r="N1156" s="7739">
        <v>46.0</v>
      </c>
      <c r="O1156" s="7701"/>
      <c r="P1156" s="7704"/>
      <c r="Q1156" s="7704"/>
      <c r="R1156" s="7704"/>
      <c r="S1156" s="7705"/>
    </row>
    <row r="1157">
      <c r="A1157" s="7696"/>
      <c r="B1157" s="7694"/>
      <c r="C1157" s="7694"/>
      <c r="D1157" s="7694"/>
      <c r="E1157" s="7694"/>
      <c r="F1157" s="7694"/>
      <c r="G1157" s="7694"/>
      <c r="H1157" s="7694"/>
      <c r="I1157" s="7694"/>
      <c r="J1157" s="7694"/>
      <c r="K1157" s="7694"/>
      <c r="L1157" s="7694"/>
      <c r="M1157" s="7694"/>
      <c r="N1157" s="7694"/>
      <c r="O1157" s="7696"/>
      <c r="P1157" s="7696"/>
      <c r="Q1157" s="7696"/>
      <c r="R1157" s="7696"/>
      <c r="S1157" s="7705"/>
    </row>
    <row r="1158">
      <c r="A1158" s="7696"/>
      <c r="B1158" s="7754" t="s">
        <v>3998</v>
      </c>
      <c r="C1158" s="7759"/>
      <c r="D1158" s="7759"/>
      <c r="E1158" s="7759"/>
      <c r="F1158" s="7759"/>
      <c r="G1158" s="7759"/>
      <c r="H1158" s="7760"/>
      <c r="I1158" s="7757" t="s">
        <v>513</v>
      </c>
      <c r="J1158" s="7757" t="s">
        <v>514</v>
      </c>
      <c r="K1158" s="7757" t="s">
        <v>515</v>
      </c>
      <c r="L1158" s="7757" t="s">
        <v>516</v>
      </c>
      <c r="M1158" s="7757" t="s">
        <v>517</v>
      </c>
      <c r="N1158" s="7758" t="s">
        <v>518</v>
      </c>
      <c r="O1158" s="7701"/>
      <c r="P1158" s="7704"/>
      <c r="Q1158" s="7704"/>
      <c r="R1158" s="7704"/>
      <c r="S1158" s="7705"/>
    </row>
    <row r="1159" ht="18.75" customHeight="1">
      <c r="A1159" s="7696"/>
      <c r="B1159" s="7718" t="s">
        <v>3999</v>
      </c>
      <c r="C1159" s="7719" t="s">
        <v>4000</v>
      </c>
      <c r="D1159" s="7720"/>
      <c r="E1159" s="7719" t="s">
        <v>2209</v>
      </c>
      <c r="F1159" s="7719" t="str">
        <f t="shared" ref="F1159:F1267" si="84">IFERROR(VLOOKUP(E1159,P$3:Q1176,2,False),"")</f>
        <v/>
      </c>
      <c r="G1159" s="7719"/>
      <c r="H1159" s="7719" t="str">
        <f t="shared" ref="H1159:H1267" si="85">IFERROR(VLOOKUP(G1159,P$3:Q1176,2,False),"")</f>
        <v/>
      </c>
      <c r="I1159" s="7720">
        <v>40.0</v>
      </c>
      <c r="J1159" s="7719">
        <v>61.0</v>
      </c>
      <c r="K1159" s="7719">
        <v>54.0</v>
      </c>
      <c r="L1159" s="7719">
        <v>45.0</v>
      </c>
      <c r="M1159" s="7719">
        <v>45.0</v>
      </c>
      <c r="N1159" s="7721">
        <v>65.0</v>
      </c>
      <c r="O1159" s="7701"/>
      <c r="P1159" s="7704"/>
      <c r="Q1159" s="7704"/>
      <c r="R1159" s="7704"/>
      <c r="S1159" s="7705"/>
    </row>
    <row r="1160" ht="18.75" customHeight="1">
      <c r="A1160" s="7696"/>
      <c r="B1160" s="7712" t="s">
        <v>4001</v>
      </c>
      <c r="C1160" s="7713" t="s">
        <v>4002</v>
      </c>
      <c r="D1160" s="7714"/>
      <c r="E1160" s="7713" t="s">
        <v>2209</v>
      </c>
      <c r="F1160" s="7713" t="str">
        <f t="shared" si="84"/>
        <v/>
      </c>
      <c r="G1160" s="7713"/>
      <c r="H1160" s="7713" t="str">
        <f t="shared" si="85"/>
        <v/>
      </c>
      <c r="I1160" s="7714">
        <v>61.0</v>
      </c>
      <c r="J1160" s="7713">
        <v>80.0</v>
      </c>
      <c r="K1160" s="7713">
        <v>63.0</v>
      </c>
      <c r="L1160" s="7713">
        <v>60.0</v>
      </c>
      <c r="M1160" s="7713">
        <v>63.0</v>
      </c>
      <c r="N1160" s="7715">
        <v>83.0</v>
      </c>
      <c r="O1160" s="7701"/>
      <c r="P1160" s="7704"/>
      <c r="Q1160" s="7704"/>
      <c r="R1160" s="7704"/>
      <c r="S1160" s="7705"/>
    </row>
    <row r="1161" ht="18.75" customHeight="1">
      <c r="A1161" s="7696"/>
      <c r="B1161" s="7718" t="s">
        <v>780</v>
      </c>
      <c r="C1161" s="7719" t="s">
        <v>4003</v>
      </c>
      <c r="D1161" s="7720"/>
      <c r="E1161" s="7719" t="s">
        <v>2209</v>
      </c>
      <c r="F1161" s="7719" t="str">
        <f t="shared" si="84"/>
        <v/>
      </c>
      <c r="G1161" s="7719" t="s">
        <v>2272</v>
      </c>
      <c r="H1161" s="7719" t="str">
        <f t="shared" si="85"/>
        <v/>
      </c>
      <c r="I1161" s="7720">
        <v>76.0</v>
      </c>
      <c r="J1161" s="7719">
        <v>110.0</v>
      </c>
      <c r="K1161" s="7719">
        <v>70.0</v>
      </c>
      <c r="L1161" s="7719">
        <v>81.0</v>
      </c>
      <c r="M1161" s="7719">
        <v>70.0</v>
      </c>
      <c r="N1161" s="7721">
        <v>123.0</v>
      </c>
      <c r="O1161" s="7701"/>
      <c r="P1161" s="7704"/>
      <c r="Q1161" s="7704"/>
      <c r="R1161" s="7704"/>
      <c r="S1161" s="7705"/>
    </row>
    <row r="1162" ht="18.75" customHeight="1">
      <c r="A1162" s="7696"/>
      <c r="B1162" s="7712" t="s">
        <v>4004</v>
      </c>
      <c r="C1162" s="7713" t="s">
        <v>4005</v>
      </c>
      <c r="D1162" s="7714"/>
      <c r="E1162" s="7713" t="s">
        <v>2219</v>
      </c>
      <c r="F1162" s="7713" t="str">
        <f t="shared" si="84"/>
        <v/>
      </c>
      <c r="G1162" s="7713"/>
      <c r="H1162" s="7713" t="str">
        <f t="shared" si="85"/>
        <v/>
      </c>
      <c r="I1162" s="7714">
        <v>67.0</v>
      </c>
      <c r="J1162" s="7713">
        <v>45.0</v>
      </c>
      <c r="K1162" s="7713">
        <v>59.0</v>
      </c>
      <c r="L1162" s="7713">
        <v>63.0</v>
      </c>
      <c r="M1162" s="7713">
        <v>40.0</v>
      </c>
      <c r="N1162" s="7715">
        <v>36.0</v>
      </c>
      <c r="O1162" s="7701"/>
      <c r="P1162" s="7704"/>
      <c r="Q1162" s="7704"/>
      <c r="R1162" s="7704"/>
      <c r="S1162" s="7705"/>
    </row>
    <row r="1163" ht="18.75" customHeight="1">
      <c r="A1163" s="7696"/>
      <c r="B1163" s="7718" t="s">
        <v>4006</v>
      </c>
      <c r="C1163" s="7719" t="s">
        <v>4007</v>
      </c>
      <c r="D1163" s="7720"/>
      <c r="E1163" s="7719" t="s">
        <v>2219</v>
      </c>
      <c r="F1163" s="7719" t="str">
        <f t="shared" si="84"/>
        <v/>
      </c>
      <c r="G1163" s="7719"/>
      <c r="H1163" s="7719" t="str">
        <f t="shared" si="85"/>
        <v/>
      </c>
      <c r="I1163" s="7720">
        <v>81.0</v>
      </c>
      <c r="J1163" s="7719">
        <v>55.0</v>
      </c>
      <c r="K1163" s="7719">
        <v>78.0</v>
      </c>
      <c r="L1163" s="7719">
        <v>90.0</v>
      </c>
      <c r="M1163" s="7719">
        <v>58.0</v>
      </c>
      <c r="N1163" s="7721">
        <v>49.0</v>
      </c>
      <c r="O1163" s="7701"/>
      <c r="P1163" s="7704"/>
      <c r="Q1163" s="7704"/>
      <c r="R1163" s="7704"/>
      <c r="S1163" s="7705"/>
    </row>
    <row r="1164" ht="18.75" customHeight="1">
      <c r="A1164" s="7696"/>
      <c r="B1164" s="7712" t="s">
        <v>4008</v>
      </c>
      <c r="C1164" s="7713" t="s">
        <v>4009</v>
      </c>
      <c r="D1164" s="7714"/>
      <c r="E1164" s="7713" t="s">
        <v>2219</v>
      </c>
      <c r="F1164" s="7713" t="str">
        <f t="shared" si="84"/>
        <v/>
      </c>
      <c r="G1164" s="7713" t="s">
        <v>2447</v>
      </c>
      <c r="H1164" s="7713" t="str">
        <f t="shared" si="85"/>
        <v/>
      </c>
      <c r="I1164" s="7714">
        <v>104.0</v>
      </c>
      <c r="J1164" s="7713">
        <v>75.0</v>
      </c>
      <c r="K1164" s="7713">
        <v>100.0</v>
      </c>
      <c r="L1164" s="7713">
        <v>110.0</v>
      </c>
      <c r="M1164" s="7713">
        <v>75.0</v>
      </c>
      <c r="N1164" s="7715">
        <v>66.0</v>
      </c>
      <c r="O1164" s="7701"/>
      <c r="P1164" s="7704"/>
      <c r="Q1164" s="7704"/>
      <c r="R1164" s="7704"/>
      <c r="S1164" s="7705"/>
    </row>
    <row r="1165" ht="18.75" customHeight="1">
      <c r="A1165" s="7696"/>
      <c r="B1165" s="7718" t="s">
        <v>4010</v>
      </c>
      <c r="C1165" s="7719" t="s">
        <v>4011</v>
      </c>
      <c r="D1165" s="7720"/>
      <c r="E1165" s="7719" t="s">
        <v>2232</v>
      </c>
      <c r="F1165" s="7719" t="str">
        <f t="shared" si="84"/>
        <v/>
      </c>
      <c r="G1165" s="7719"/>
      <c r="H1165" s="7719" t="str">
        <f t="shared" si="85"/>
        <v/>
      </c>
      <c r="I1165" s="7720">
        <v>55.0</v>
      </c>
      <c r="J1165" s="7719">
        <v>65.0</v>
      </c>
      <c r="K1165" s="7719">
        <v>45.0</v>
      </c>
      <c r="L1165" s="7719">
        <v>50.0</v>
      </c>
      <c r="M1165" s="7719">
        <v>45.0</v>
      </c>
      <c r="N1165" s="7721">
        <v>50.0</v>
      </c>
      <c r="O1165" s="7701"/>
      <c r="P1165" s="7704"/>
      <c r="Q1165" s="7704"/>
      <c r="R1165" s="7704"/>
      <c r="S1165" s="7705"/>
    </row>
    <row r="1166" ht="18.75" customHeight="1">
      <c r="A1166" s="7696"/>
      <c r="B1166" s="7712" t="s">
        <v>4012</v>
      </c>
      <c r="C1166" s="7713" t="s">
        <v>4013</v>
      </c>
      <c r="D1166" s="7714"/>
      <c r="E1166" s="7713" t="s">
        <v>2232</v>
      </c>
      <c r="F1166" s="7713" t="str">
        <f t="shared" si="84"/>
        <v/>
      </c>
      <c r="G1166" s="7713"/>
      <c r="H1166" s="7713" t="str">
        <f t="shared" si="85"/>
        <v/>
      </c>
      <c r="I1166" s="7714">
        <v>70.0</v>
      </c>
      <c r="J1166" s="7713">
        <v>85.0</v>
      </c>
      <c r="K1166" s="7713">
        <v>65.0</v>
      </c>
      <c r="L1166" s="7713">
        <v>65.0</v>
      </c>
      <c r="M1166" s="7713">
        <v>60.0</v>
      </c>
      <c r="N1166" s="7715">
        <v>65.0</v>
      </c>
      <c r="O1166" s="7701"/>
      <c r="P1166" s="7704"/>
      <c r="Q1166" s="7704"/>
      <c r="R1166" s="7704"/>
      <c r="S1166" s="7705"/>
    </row>
    <row r="1167" ht="18.75" customHeight="1">
      <c r="A1167" s="7696"/>
      <c r="B1167" s="7718" t="s">
        <v>4014</v>
      </c>
      <c r="C1167" s="7719" t="s">
        <v>4015</v>
      </c>
      <c r="D1167" s="7720"/>
      <c r="E1167" s="7719" t="s">
        <v>2232</v>
      </c>
      <c r="F1167" s="7719" t="str">
        <f t="shared" si="84"/>
        <v/>
      </c>
      <c r="G1167" s="7719" t="s">
        <v>2296</v>
      </c>
      <c r="H1167" s="7719" t="str">
        <f t="shared" si="85"/>
        <v/>
      </c>
      <c r="I1167" s="7720">
        <v>85.0</v>
      </c>
      <c r="J1167" s="7719">
        <v>120.0</v>
      </c>
      <c r="K1167" s="7719">
        <v>80.0</v>
      </c>
      <c r="L1167" s="7719">
        <v>85.0</v>
      </c>
      <c r="M1167" s="7719">
        <v>75.0</v>
      </c>
      <c r="N1167" s="7721">
        <v>85.0</v>
      </c>
      <c r="O1167" s="7701"/>
      <c r="P1167" s="7704"/>
      <c r="Q1167" s="7704"/>
      <c r="R1167" s="7704"/>
      <c r="S1167" s="7705"/>
    </row>
    <row r="1168" ht="18.75" customHeight="1">
      <c r="A1168" s="7696"/>
      <c r="B1168" s="7712" t="s">
        <v>4016</v>
      </c>
      <c r="C1168" s="7713" t="s">
        <v>4017</v>
      </c>
      <c r="D1168" s="7714"/>
      <c r="E1168" s="7713" t="s">
        <v>2262</v>
      </c>
      <c r="F1168" s="7713" t="str">
        <f t="shared" si="84"/>
        <v/>
      </c>
      <c r="G1168" s="7713"/>
      <c r="H1168" s="7713" t="str">
        <f t="shared" si="85"/>
        <v/>
      </c>
      <c r="I1168" s="7714">
        <v>54.0</v>
      </c>
      <c r="J1168" s="7713">
        <v>45.0</v>
      </c>
      <c r="K1168" s="7713">
        <v>40.0</v>
      </c>
      <c r="L1168" s="7713">
        <v>35.0</v>
      </c>
      <c r="M1168" s="7713">
        <v>45.0</v>
      </c>
      <c r="N1168" s="7715">
        <v>35.0</v>
      </c>
      <c r="O1168" s="7701"/>
      <c r="P1168" s="7704"/>
      <c r="Q1168" s="7704"/>
      <c r="R1168" s="7704"/>
      <c r="S1168" s="7705"/>
    </row>
    <row r="1169" ht="18.75" customHeight="1">
      <c r="A1169" s="7696"/>
      <c r="B1169" s="7718" t="s">
        <v>272</v>
      </c>
      <c r="C1169" s="7719" t="s">
        <v>4018</v>
      </c>
      <c r="D1169" s="7720"/>
      <c r="E1169" s="7719" t="s">
        <v>2262</v>
      </c>
      <c r="F1169" s="7719" t="str">
        <f t="shared" si="84"/>
        <v/>
      </c>
      <c r="G1169" s="7719"/>
      <c r="H1169" s="7719" t="str">
        <f t="shared" si="85"/>
        <v/>
      </c>
      <c r="I1169" s="7720">
        <v>110.0</v>
      </c>
      <c r="J1169" s="7719">
        <v>100.0</v>
      </c>
      <c r="K1169" s="7719">
        <v>75.0</v>
      </c>
      <c r="L1169" s="7719">
        <v>59.0</v>
      </c>
      <c r="M1169" s="7719">
        <v>80.0</v>
      </c>
      <c r="N1169" s="7721">
        <v>65.0</v>
      </c>
      <c r="O1169" s="7701"/>
      <c r="P1169" s="7704"/>
      <c r="Q1169" s="7704"/>
      <c r="R1169" s="7704"/>
      <c r="S1169" s="7705"/>
    </row>
    <row r="1170" ht="18.75" customHeight="1">
      <c r="A1170" s="7696"/>
      <c r="B1170" s="7712" t="s">
        <v>4019</v>
      </c>
      <c r="C1170" s="7722" t="s">
        <v>4020</v>
      </c>
      <c r="D1170" s="7714"/>
      <c r="E1170" s="7713" t="s">
        <v>2262</v>
      </c>
      <c r="F1170" s="7713" t="str">
        <f t="shared" si="84"/>
        <v/>
      </c>
      <c r="G1170" s="7713"/>
      <c r="H1170" s="7713" t="str">
        <f t="shared" si="85"/>
        <v/>
      </c>
      <c r="I1170" s="7714">
        <v>115.0</v>
      </c>
      <c r="J1170" s="7713">
        <v>90.0</v>
      </c>
      <c r="K1170" s="7713">
        <v>70.0</v>
      </c>
      <c r="L1170" s="7713">
        <v>59.0</v>
      </c>
      <c r="M1170" s="7713">
        <v>90.0</v>
      </c>
      <c r="N1170" s="7715">
        <v>65.0</v>
      </c>
      <c r="O1170" s="7701"/>
      <c r="P1170" s="7704"/>
      <c r="Q1170" s="7704"/>
      <c r="R1170" s="7704"/>
      <c r="S1170" s="7705"/>
    </row>
    <row r="1171" ht="18.75" customHeight="1">
      <c r="A1171" s="7696"/>
      <c r="B1171" s="7718" t="s">
        <v>4021</v>
      </c>
      <c r="C1171" s="7719" t="s">
        <v>4022</v>
      </c>
      <c r="D1171" s="7720"/>
      <c r="E1171" s="7719" t="s">
        <v>2243</v>
      </c>
      <c r="F1171" s="7719" t="str">
        <f t="shared" si="84"/>
        <v/>
      </c>
      <c r="G1171" s="7719"/>
      <c r="H1171" s="7719" t="str">
        <f t="shared" si="85"/>
        <v/>
      </c>
      <c r="I1171" s="7720">
        <v>35.0</v>
      </c>
      <c r="J1171" s="7719">
        <v>41.0</v>
      </c>
      <c r="K1171" s="7719">
        <v>45.0</v>
      </c>
      <c r="L1171" s="7719">
        <v>29.0</v>
      </c>
      <c r="M1171" s="7719">
        <v>40.0</v>
      </c>
      <c r="N1171" s="7721">
        <v>20.0</v>
      </c>
      <c r="O1171" s="7701"/>
      <c r="P1171" s="7704"/>
      <c r="Q1171" s="7704"/>
      <c r="R1171" s="7704"/>
      <c r="S1171" s="7705"/>
    </row>
    <row r="1172" ht="18.75" customHeight="1">
      <c r="A1172" s="7696"/>
      <c r="B1172" s="7712" t="s">
        <v>279</v>
      </c>
      <c r="C1172" s="7713" t="s">
        <v>4023</v>
      </c>
      <c r="D1172" s="7714"/>
      <c r="E1172" s="7713" t="s">
        <v>2243</v>
      </c>
      <c r="F1172" s="7713" t="str">
        <f t="shared" si="84"/>
        <v/>
      </c>
      <c r="G1172" s="7713"/>
      <c r="H1172" s="7713" t="str">
        <f t="shared" si="85"/>
        <v/>
      </c>
      <c r="I1172" s="7714">
        <v>85.0</v>
      </c>
      <c r="J1172" s="7713">
        <v>89.0</v>
      </c>
      <c r="K1172" s="7713">
        <v>92.0</v>
      </c>
      <c r="L1172" s="7713">
        <v>32.0</v>
      </c>
      <c r="M1172" s="7713">
        <v>86.0</v>
      </c>
      <c r="N1172" s="7715">
        <v>35.0</v>
      </c>
      <c r="O1172" s="7701"/>
      <c r="P1172" s="7704"/>
      <c r="Q1172" s="7704"/>
      <c r="R1172" s="7704"/>
      <c r="S1172" s="7705"/>
    </row>
    <row r="1173" ht="18.75" customHeight="1">
      <c r="A1173" s="7696"/>
      <c r="B1173" s="7718" t="s">
        <v>4024</v>
      </c>
      <c r="C1173" s="7719" t="s">
        <v>4025</v>
      </c>
      <c r="D1173" s="7720"/>
      <c r="E1173" s="7719" t="s">
        <v>2243</v>
      </c>
      <c r="F1173" s="7719" t="str">
        <f t="shared" si="84"/>
        <v/>
      </c>
      <c r="G1173" s="7719"/>
      <c r="H1173" s="7719" t="str">
        <f t="shared" si="85"/>
        <v/>
      </c>
      <c r="I1173" s="7720">
        <v>33.0</v>
      </c>
      <c r="J1173" s="7719">
        <v>46.0</v>
      </c>
      <c r="K1173" s="7719">
        <v>40.0</v>
      </c>
      <c r="L1173" s="7719">
        <v>21.0</v>
      </c>
      <c r="M1173" s="7719">
        <v>25.0</v>
      </c>
      <c r="N1173" s="7721">
        <v>45.0</v>
      </c>
      <c r="O1173" s="7701"/>
      <c r="P1173" s="7704"/>
      <c r="Q1173" s="7704"/>
      <c r="R1173" s="7704"/>
      <c r="S1173" s="7705"/>
    </row>
    <row r="1174" ht="18.75" customHeight="1">
      <c r="A1174" s="7696"/>
      <c r="B1174" s="7712" t="s">
        <v>822</v>
      </c>
      <c r="C1174" s="7713" t="s">
        <v>4026</v>
      </c>
      <c r="D1174" s="7714"/>
      <c r="E1174" s="7713" t="s">
        <v>2243</v>
      </c>
      <c r="F1174" s="7713" t="str">
        <f t="shared" si="84"/>
        <v/>
      </c>
      <c r="G1174" s="7713" t="s">
        <v>2272</v>
      </c>
      <c r="H1174" s="7713" t="str">
        <f t="shared" si="85"/>
        <v/>
      </c>
      <c r="I1174" s="7714">
        <v>71.0</v>
      </c>
      <c r="J1174" s="7713">
        <v>102.0</v>
      </c>
      <c r="K1174" s="7713">
        <v>78.0</v>
      </c>
      <c r="L1174" s="7713">
        <v>52.0</v>
      </c>
      <c r="M1174" s="7713">
        <v>55.0</v>
      </c>
      <c r="N1174" s="7715">
        <v>92.0</v>
      </c>
      <c r="O1174" s="7701"/>
      <c r="P1174" s="7704"/>
      <c r="Q1174" s="7704"/>
      <c r="R1174" s="7704"/>
      <c r="S1174" s="7705"/>
    </row>
    <row r="1175" ht="18.75" customHeight="1">
      <c r="A1175" s="7696"/>
      <c r="B1175" s="7718" t="s">
        <v>4027</v>
      </c>
      <c r="C1175" s="7719" t="s">
        <v>4028</v>
      </c>
      <c r="D1175" s="7720"/>
      <c r="E1175" s="7719" t="s">
        <v>2283</v>
      </c>
      <c r="F1175" s="7719" t="str">
        <f t="shared" si="84"/>
        <v/>
      </c>
      <c r="G1175" s="7719"/>
      <c r="H1175" s="7719" t="str">
        <f t="shared" si="85"/>
        <v/>
      </c>
      <c r="I1175" s="7720">
        <v>45.0</v>
      </c>
      <c r="J1175" s="7719">
        <v>50.0</v>
      </c>
      <c r="K1175" s="7719">
        <v>20.0</v>
      </c>
      <c r="L1175" s="7719">
        <v>40.0</v>
      </c>
      <c r="M1175" s="7719">
        <v>25.0</v>
      </c>
      <c r="N1175" s="7721">
        <v>60.0</v>
      </c>
      <c r="O1175" s="7701"/>
      <c r="P1175" s="7704"/>
      <c r="Q1175" s="7704"/>
      <c r="R1175" s="7704"/>
      <c r="S1175" s="7705"/>
    </row>
    <row r="1176" ht="18.75" customHeight="1">
      <c r="A1176" s="7696"/>
      <c r="B1176" s="7712" t="s">
        <v>4029</v>
      </c>
      <c r="C1176" s="7713" t="s">
        <v>4030</v>
      </c>
      <c r="D1176" s="7714"/>
      <c r="E1176" s="7713" t="s">
        <v>2283</v>
      </c>
      <c r="F1176" s="7713" t="str">
        <f t="shared" si="84"/>
        <v/>
      </c>
      <c r="G1176" s="7713" t="s">
        <v>2296</v>
      </c>
      <c r="H1176" s="7713" t="str">
        <f t="shared" si="85"/>
        <v/>
      </c>
      <c r="I1176" s="7714">
        <v>60.0</v>
      </c>
      <c r="J1176" s="7713">
        <v>75.0</v>
      </c>
      <c r="K1176" s="7713">
        <v>40.0</v>
      </c>
      <c r="L1176" s="7713">
        <v>50.0</v>
      </c>
      <c r="M1176" s="7713">
        <v>40.0</v>
      </c>
      <c r="N1176" s="7715">
        <v>85.0</v>
      </c>
      <c r="O1176" s="7701"/>
      <c r="P1176" s="7704"/>
      <c r="Q1176" s="7704"/>
      <c r="R1176" s="7704"/>
      <c r="S1176" s="7705"/>
    </row>
    <row r="1177" ht="18.75" customHeight="1">
      <c r="A1177" s="7696"/>
      <c r="B1177" s="7718" t="s">
        <v>562</v>
      </c>
      <c r="C1177" s="7719" t="s">
        <v>4031</v>
      </c>
      <c r="D1177" s="7720"/>
      <c r="E1177" s="7719" t="s">
        <v>2283</v>
      </c>
      <c r="F1177" s="7719" t="str">
        <f t="shared" si="84"/>
        <v/>
      </c>
      <c r="G1177" s="7719" t="s">
        <v>2296</v>
      </c>
      <c r="H1177" s="7719" t="str">
        <f t="shared" si="85"/>
        <v/>
      </c>
      <c r="I1177" s="7720">
        <v>70.0</v>
      </c>
      <c r="J1177" s="7719">
        <v>115.0</v>
      </c>
      <c r="K1177" s="7719">
        <v>70.0</v>
      </c>
      <c r="L1177" s="7719">
        <v>70.0</v>
      </c>
      <c r="M1177" s="7719">
        <v>60.0</v>
      </c>
      <c r="N1177" s="7721">
        <v>105.0</v>
      </c>
      <c r="O1177" s="7701"/>
      <c r="P1177" s="7704"/>
      <c r="Q1177" s="7704"/>
      <c r="R1177" s="7704"/>
      <c r="S1177" s="7705"/>
    </row>
    <row r="1178" ht="18.75" customHeight="1">
      <c r="A1178" s="7696"/>
      <c r="B1178" s="7712" t="s">
        <v>4032</v>
      </c>
      <c r="C1178" s="7713" t="s">
        <v>4033</v>
      </c>
      <c r="D1178" s="7714"/>
      <c r="E1178" s="7713" t="s">
        <v>2262</v>
      </c>
      <c r="F1178" s="7713" t="str">
        <f t="shared" si="84"/>
        <v/>
      </c>
      <c r="G1178" s="7713"/>
      <c r="H1178" s="7713" t="str">
        <f t="shared" si="85"/>
        <v/>
      </c>
      <c r="I1178" s="7714">
        <v>50.0</v>
      </c>
      <c r="J1178" s="7713">
        <v>50.0</v>
      </c>
      <c r="K1178" s="7713">
        <v>45.0</v>
      </c>
      <c r="L1178" s="7713">
        <v>40.0</v>
      </c>
      <c r="M1178" s="7713">
        <v>45.0</v>
      </c>
      <c r="N1178" s="7715">
        <v>75.0</v>
      </c>
      <c r="O1178" s="7701"/>
      <c r="P1178" s="7704"/>
      <c r="Q1178" s="7704"/>
      <c r="R1178" s="7704"/>
      <c r="S1178" s="7705"/>
    </row>
    <row r="1179" ht="18.75" customHeight="1">
      <c r="A1179" s="7696"/>
      <c r="B1179" s="7718" t="s">
        <v>1730</v>
      </c>
      <c r="C1179" s="7719" t="s">
        <v>4034</v>
      </c>
      <c r="D1179" s="7720"/>
      <c r="E1179" s="7719" t="s">
        <v>2262</v>
      </c>
      <c r="F1179" s="7719" t="str">
        <f t="shared" si="84"/>
        <v/>
      </c>
      <c r="G1179" s="7719"/>
      <c r="H1179" s="7719" t="str">
        <f t="shared" si="85"/>
        <v/>
      </c>
      <c r="I1179" s="7720">
        <v>74.0</v>
      </c>
      <c r="J1179" s="7719">
        <v>75.0</v>
      </c>
      <c r="K1179" s="7719">
        <v>70.0</v>
      </c>
      <c r="L1179" s="7719">
        <v>65.0</v>
      </c>
      <c r="M1179" s="7719">
        <v>75.0</v>
      </c>
      <c r="N1179" s="7721">
        <v>111.0</v>
      </c>
      <c r="O1179" s="7701"/>
      <c r="P1179" s="7704"/>
      <c r="Q1179" s="7704"/>
      <c r="R1179" s="7704"/>
      <c r="S1179" s="7705"/>
    </row>
    <row r="1180" ht="18.75" customHeight="1">
      <c r="A1180" s="7696"/>
      <c r="B1180" s="7712" t="s">
        <v>4035</v>
      </c>
      <c r="C1180" s="7713" t="s">
        <v>4036</v>
      </c>
      <c r="D1180" s="7714"/>
      <c r="E1180" s="7713" t="s">
        <v>2292</v>
      </c>
      <c r="F1180" s="7713" t="str">
        <f t="shared" si="84"/>
        <v/>
      </c>
      <c r="G1180" s="7713"/>
      <c r="H1180" s="7713" t="str">
        <f t="shared" si="85"/>
        <v/>
      </c>
      <c r="I1180" s="7714">
        <v>37.0</v>
      </c>
      <c r="J1180" s="7713">
        <v>55.0</v>
      </c>
      <c r="K1180" s="7713">
        <v>70.0</v>
      </c>
      <c r="L1180" s="7713">
        <v>30.0</v>
      </c>
      <c r="M1180" s="7713">
        <v>55.0</v>
      </c>
      <c r="N1180" s="7715">
        <v>65.0</v>
      </c>
      <c r="O1180" s="7701"/>
      <c r="P1180" s="7704"/>
      <c r="Q1180" s="7704"/>
      <c r="R1180" s="7704"/>
      <c r="S1180" s="7705"/>
    </row>
    <row r="1181" ht="18.75" customHeight="1">
      <c r="A1181" s="7696"/>
      <c r="B1181" s="7718" t="s">
        <v>4037</v>
      </c>
      <c r="C1181" s="7719" t="s">
        <v>4038</v>
      </c>
      <c r="D1181" s="7720"/>
      <c r="E1181" s="7719" t="s">
        <v>2292</v>
      </c>
      <c r="F1181" s="7719" t="str">
        <f t="shared" si="84"/>
        <v/>
      </c>
      <c r="G1181" s="7719"/>
      <c r="H1181" s="7719" t="str">
        <f t="shared" si="85"/>
        <v/>
      </c>
      <c r="I1181" s="7720">
        <v>57.0</v>
      </c>
      <c r="J1181" s="7719">
        <v>80.0</v>
      </c>
      <c r="K1181" s="7719">
        <v>115.0</v>
      </c>
      <c r="L1181" s="7719">
        <v>50.0</v>
      </c>
      <c r="M1181" s="7719">
        <v>80.0</v>
      </c>
      <c r="N1181" s="7721">
        <v>95.0</v>
      </c>
      <c r="O1181" s="7701"/>
      <c r="P1181" s="7704"/>
      <c r="Q1181" s="7704"/>
      <c r="R1181" s="7704"/>
      <c r="S1181" s="7705"/>
    </row>
    <row r="1182" ht="18.75" customHeight="1">
      <c r="A1182" s="7696"/>
      <c r="B1182" s="7712" t="s">
        <v>4039</v>
      </c>
      <c r="C1182" s="7713" t="s">
        <v>4040</v>
      </c>
      <c r="D1182" s="7714"/>
      <c r="E1182" s="7713" t="s">
        <v>2209</v>
      </c>
      <c r="F1182" s="7713" t="str">
        <f t="shared" si="84"/>
        <v/>
      </c>
      <c r="G1182" s="7713"/>
      <c r="H1182" s="7713" t="str">
        <f t="shared" si="85"/>
        <v/>
      </c>
      <c r="I1182" s="7714">
        <v>41.0</v>
      </c>
      <c r="J1182" s="7713">
        <v>35.0</v>
      </c>
      <c r="K1182" s="7713">
        <v>45.0</v>
      </c>
      <c r="L1182" s="7713">
        <v>58.0</v>
      </c>
      <c r="M1182" s="7713">
        <v>51.0</v>
      </c>
      <c r="N1182" s="7715">
        <v>30.0</v>
      </c>
      <c r="O1182" s="7701"/>
      <c r="P1182" s="7704"/>
      <c r="Q1182" s="7704"/>
      <c r="R1182" s="7704"/>
      <c r="S1182" s="7705"/>
    </row>
    <row r="1183" ht="18.75" customHeight="1">
      <c r="A1183" s="7696"/>
      <c r="B1183" s="7718" t="s">
        <v>4041</v>
      </c>
      <c r="C1183" s="7719" t="s">
        <v>4042</v>
      </c>
      <c r="D1183" s="7720"/>
      <c r="E1183" s="7719" t="s">
        <v>2209</v>
      </c>
      <c r="F1183" s="7719" t="str">
        <f t="shared" si="84"/>
        <v/>
      </c>
      <c r="G1183" s="7719"/>
      <c r="H1183" s="7719" t="str">
        <f t="shared" si="85"/>
        <v/>
      </c>
      <c r="I1183" s="7720">
        <v>52.0</v>
      </c>
      <c r="J1183" s="7719">
        <v>53.0</v>
      </c>
      <c r="K1183" s="7719">
        <v>60.0</v>
      </c>
      <c r="L1183" s="7719">
        <v>78.0</v>
      </c>
      <c r="M1183" s="7719">
        <v>78.0</v>
      </c>
      <c r="N1183" s="7721">
        <v>33.0</v>
      </c>
      <c r="O1183" s="7701"/>
      <c r="P1183" s="7704"/>
      <c r="Q1183" s="7704"/>
      <c r="R1183" s="7704"/>
      <c r="S1183" s="7705"/>
    </row>
    <row r="1184" ht="18.75" customHeight="1">
      <c r="A1184" s="7696"/>
      <c r="B1184" s="7712" t="s">
        <v>4043</v>
      </c>
      <c r="C1184" s="7713" t="s">
        <v>4044</v>
      </c>
      <c r="D1184" s="7714"/>
      <c r="E1184" s="7713" t="s">
        <v>2209</v>
      </c>
      <c r="F1184" s="7713" t="str">
        <f t="shared" si="84"/>
        <v/>
      </c>
      <c r="G1184" s="7713"/>
      <c r="H1184" s="7713" t="str">
        <f t="shared" si="85"/>
        <v/>
      </c>
      <c r="I1184" s="7714">
        <v>78.0</v>
      </c>
      <c r="J1184" s="7713">
        <v>69.0</v>
      </c>
      <c r="K1184" s="7713">
        <v>90.0</v>
      </c>
      <c r="L1184" s="7713">
        <v>125.0</v>
      </c>
      <c r="M1184" s="7713">
        <v>109.0</v>
      </c>
      <c r="N1184" s="7715">
        <v>39.0</v>
      </c>
      <c r="O1184" s="7701"/>
      <c r="P1184" s="7704"/>
      <c r="Q1184" s="7704"/>
      <c r="R1184" s="7704"/>
      <c r="S1184" s="7705"/>
    </row>
    <row r="1185" ht="18.75" customHeight="1">
      <c r="A1185" s="7696"/>
      <c r="B1185" s="7718" t="s">
        <v>794</v>
      </c>
      <c r="C1185" s="7719" t="s">
        <v>4045</v>
      </c>
      <c r="D1185" s="7720"/>
      <c r="E1185" s="7719" t="s">
        <v>2262</v>
      </c>
      <c r="F1185" s="7719" t="str">
        <f t="shared" si="84"/>
        <v/>
      </c>
      <c r="G1185" s="7719" t="s">
        <v>2224</v>
      </c>
      <c r="H1185" s="7719" t="str">
        <f t="shared" si="85"/>
        <v/>
      </c>
      <c r="I1185" s="7720">
        <v>82.0</v>
      </c>
      <c r="J1185" s="7719">
        <v>96.0</v>
      </c>
      <c r="K1185" s="7719">
        <v>51.0</v>
      </c>
      <c r="L1185" s="7719">
        <v>45.0</v>
      </c>
      <c r="M1185" s="7719">
        <v>51.0</v>
      </c>
      <c r="N1185" s="7721">
        <v>92.0</v>
      </c>
      <c r="O1185" s="7701"/>
      <c r="P1185" s="7704"/>
      <c r="Q1185" s="7704"/>
      <c r="R1185" s="7704"/>
      <c r="S1185" s="7705"/>
    </row>
    <row r="1186" ht="18.75" customHeight="1">
      <c r="A1186" s="7696"/>
      <c r="B1186" s="7712" t="s">
        <v>4046</v>
      </c>
      <c r="C1186" s="7722" t="s">
        <v>4047</v>
      </c>
      <c r="D1186" s="7714"/>
      <c r="E1186" s="7713" t="s">
        <v>2262</v>
      </c>
      <c r="F1186" s="7713" t="str">
        <f t="shared" si="84"/>
        <v/>
      </c>
      <c r="G1186" s="7713" t="s">
        <v>2224</v>
      </c>
      <c r="H1186" s="7713" t="str">
        <f t="shared" si="85"/>
        <v/>
      </c>
      <c r="I1186" s="7714">
        <v>82.0</v>
      </c>
      <c r="J1186" s="7713">
        <v>96.0</v>
      </c>
      <c r="K1186" s="7713">
        <v>51.0</v>
      </c>
      <c r="L1186" s="7713">
        <v>45.0</v>
      </c>
      <c r="M1186" s="7713">
        <v>51.0</v>
      </c>
      <c r="N1186" s="7715">
        <v>92.0</v>
      </c>
      <c r="O1186" s="7701"/>
      <c r="P1186" s="7704"/>
      <c r="Q1186" s="7704"/>
      <c r="R1186" s="7704"/>
      <c r="S1186" s="7705"/>
    </row>
    <row r="1187" ht="18.75" customHeight="1">
      <c r="A1187" s="7696"/>
      <c r="B1187" s="7718" t="s">
        <v>4048</v>
      </c>
      <c r="C1187" s="7719" t="s">
        <v>4049</v>
      </c>
      <c r="D1187" s="7720"/>
      <c r="E1187" s="7719" t="s">
        <v>2370</v>
      </c>
      <c r="F1187" s="7719" t="str">
        <f t="shared" si="84"/>
        <v/>
      </c>
      <c r="G1187" s="7719"/>
      <c r="H1187" s="7719" t="str">
        <f t="shared" si="85"/>
        <v/>
      </c>
      <c r="I1187" s="7720">
        <v>55.0</v>
      </c>
      <c r="J1187" s="7719">
        <v>55.0</v>
      </c>
      <c r="K1187" s="7719">
        <v>75.0</v>
      </c>
      <c r="L1187" s="7719">
        <v>35.0</v>
      </c>
      <c r="M1187" s="7719">
        <v>35.0</v>
      </c>
      <c r="N1187" s="7721">
        <v>25.0</v>
      </c>
      <c r="O1187" s="7701"/>
      <c r="P1187" s="7704"/>
      <c r="Q1187" s="7704"/>
      <c r="R1187" s="7704"/>
      <c r="S1187" s="7705"/>
    </row>
    <row r="1188" ht="18.75" customHeight="1">
      <c r="A1188" s="7696"/>
      <c r="B1188" s="7712" t="s">
        <v>4050</v>
      </c>
      <c r="C1188" s="7713" t="s">
        <v>4051</v>
      </c>
      <c r="D1188" s="7714"/>
      <c r="E1188" s="7713" t="s">
        <v>2370</v>
      </c>
      <c r="F1188" s="7713" t="str">
        <f t="shared" si="84"/>
        <v/>
      </c>
      <c r="G1188" s="7713"/>
      <c r="H1188" s="7713" t="str">
        <f t="shared" si="85"/>
        <v/>
      </c>
      <c r="I1188" s="7714">
        <v>60.0</v>
      </c>
      <c r="J1188" s="7713">
        <v>60.0</v>
      </c>
      <c r="K1188" s="7713">
        <v>100.0</v>
      </c>
      <c r="L1188" s="7713">
        <v>35.0</v>
      </c>
      <c r="M1188" s="7713">
        <v>65.0</v>
      </c>
      <c r="N1188" s="7715">
        <v>35.0</v>
      </c>
      <c r="O1188" s="7701"/>
      <c r="P1188" s="7704"/>
      <c r="Q1188" s="7704"/>
      <c r="R1188" s="7704"/>
      <c r="S1188" s="7705"/>
    </row>
    <row r="1189" ht="18.75" customHeight="1">
      <c r="A1189" s="7696"/>
      <c r="B1189" s="7718" t="s">
        <v>1276</v>
      </c>
      <c r="C1189" s="7719" t="s">
        <v>4052</v>
      </c>
      <c r="D1189" s="7720"/>
      <c r="E1189" s="7719" t="s">
        <v>2370</v>
      </c>
      <c r="F1189" s="7719" t="str">
        <f t="shared" si="84"/>
        <v/>
      </c>
      <c r="G1189" s="7719"/>
      <c r="H1189" s="7719" t="str">
        <f t="shared" si="85"/>
        <v/>
      </c>
      <c r="I1189" s="7720">
        <v>100.0</v>
      </c>
      <c r="J1189" s="7719">
        <v>100.0</v>
      </c>
      <c r="K1189" s="7719">
        <v>130.0</v>
      </c>
      <c r="L1189" s="7719">
        <v>45.0</v>
      </c>
      <c r="M1189" s="7719">
        <v>90.0</v>
      </c>
      <c r="N1189" s="7721">
        <v>35.0</v>
      </c>
      <c r="O1189" s="7701"/>
      <c r="P1189" s="7704"/>
      <c r="Q1189" s="7704"/>
      <c r="R1189" s="7704"/>
      <c r="S1189" s="7705"/>
    </row>
    <row r="1190" ht="18.75" customHeight="1">
      <c r="A1190" s="7696"/>
      <c r="B1190" s="7712" t="s">
        <v>1361</v>
      </c>
      <c r="C1190" s="7713" t="s">
        <v>4053</v>
      </c>
      <c r="D1190" s="7714"/>
      <c r="E1190" s="7713" t="s">
        <v>2219</v>
      </c>
      <c r="F1190" s="7713" t="str">
        <f t="shared" si="84"/>
        <v/>
      </c>
      <c r="G1190" s="7713"/>
      <c r="H1190" s="7713" t="str">
        <f t="shared" si="85"/>
        <v/>
      </c>
      <c r="I1190" s="7714">
        <v>40.0</v>
      </c>
      <c r="J1190" s="7713">
        <v>50.0</v>
      </c>
      <c r="K1190" s="7713">
        <v>40.0</v>
      </c>
      <c r="L1190" s="7713">
        <v>50.0</v>
      </c>
      <c r="M1190" s="7713">
        <v>40.0</v>
      </c>
      <c r="N1190" s="7715">
        <v>35.0</v>
      </c>
      <c r="O1190" s="7701"/>
      <c r="P1190" s="7704"/>
      <c r="Q1190" s="7704"/>
      <c r="R1190" s="7704"/>
      <c r="S1190" s="7705"/>
    </row>
    <row r="1191" ht="18.75" customHeight="1">
      <c r="A1191" s="7696"/>
      <c r="B1191" s="7718" t="s">
        <v>1501</v>
      </c>
      <c r="C1191" s="7719" t="s">
        <v>4054</v>
      </c>
      <c r="D1191" s="7720"/>
      <c r="E1191" s="7719" t="s">
        <v>2219</v>
      </c>
      <c r="F1191" s="7719" t="str">
        <f t="shared" si="84"/>
        <v/>
      </c>
      <c r="G1191" s="7719" t="s">
        <v>669</v>
      </c>
      <c r="H1191" s="7719" t="str">
        <f t="shared" si="85"/>
        <v/>
      </c>
      <c r="I1191" s="7720">
        <v>85.0</v>
      </c>
      <c r="J1191" s="7719">
        <v>60.0</v>
      </c>
      <c r="K1191" s="7719">
        <v>100.0</v>
      </c>
      <c r="L1191" s="7719">
        <v>125.0</v>
      </c>
      <c r="M1191" s="7719">
        <v>80.0</v>
      </c>
      <c r="N1191" s="7721">
        <v>75.0</v>
      </c>
      <c r="O1191" s="7701"/>
      <c r="P1191" s="7704"/>
      <c r="Q1191" s="7704"/>
      <c r="R1191" s="7704"/>
      <c r="S1191" s="7705"/>
    </row>
    <row r="1192" ht="18.75" customHeight="1">
      <c r="A1192" s="7696"/>
      <c r="B1192" s="7712" t="s">
        <v>866</v>
      </c>
      <c r="C1192" s="7713" t="s">
        <v>4055</v>
      </c>
      <c r="D1192" s="7714"/>
      <c r="E1192" s="7713" t="s">
        <v>2219</v>
      </c>
      <c r="F1192" s="7713" t="str">
        <f t="shared" si="84"/>
        <v/>
      </c>
      <c r="G1192" s="7713" t="s">
        <v>2447</v>
      </c>
      <c r="H1192" s="7713" t="str">
        <f t="shared" si="85"/>
        <v/>
      </c>
      <c r="I1192" s="7714">
        <v>75.0</v>
      </c>
      <c r="J1192" s="7713">
        <v>125.0</v>
      </c>
      <c r="K1192" s="7713">
        <v>80.0</v>
      </c>
      <c r="L1192" s="7713">
        <v>60.0</v>
      </c>
      <c r="M1192" s="7713">
        <v>100.0</v>
      </c>
      <c r="N1192" s="7715">
        <v>85.0</v>
      </c>
      <c r="O1192" s="7701"/>
      <c r="P1192" s="7704"/>
      <c r="Q1192" s="7704"/>
      <c r="R1192" s="7704"/>
      <c r="S1192" s="7705"/>
    </row>
    <row r="1193" ht="18.75" customHeight="1">
      <c r="A1193" s="7696"/>
      <c r="B1193" s="7718" t="s">
        <v>4056</v>
      </c>
      <c r="C1193" s="7719" t="s">
        <v>4057</v>
      </c>
      <c r="D1193" s="7720"/>
      <c r="E1193" s="7719" t="s">
        <v>2283</v>
      </c>
      <c r="F1193" s="7719" t="str">
        <f t="shared" si="84"/>
        <v/>
      </c>
      <c r="G1193" s="7719"/>
      <c r="H1193" s="7719" t="str">
        <f t="shared" si="85"/>
        <v/>
      </c>
      <c r="I1193" s="7720">
        <v>61.0</v>
      </c>
      <c r="J1193" s="7719">
        <v>31.0</v>
      </c>
      <c r="K1193" s="7719">
        <v>41.0</v>
      </c>
      <c r="L1193" s="7719">
        <v>59.0</v>
      </c>
      <c r="M1193" s="7719">
        <v>35.0</v>
      </c>
      <c r="N1193" s="7721">
        <v>45.0</v>
      </c>
      <c r="O1193" s="7701"/>
      <c r="P1193" s="7704"/>
      <c r="Q1193" s="7704"/>
      <c r="R1193" s="7704"/>
      <c r="S1193" s="7705"/>
    </row>
    <row r="1194" ht="18.75" customHeight="1">
      <c r="A1194" s="7696"/>
      <c r="B1194" s="7712" t="s">
        <v>4058</v>
      </c>
      <c r="C1194" s="7713" t="s">
        <v>4059</v>
      </c>
      <c r="D1194" s="7714"/>
      <c r="E1194" s="7713" t="s">
        <v>2283</v>
      </c>
      <c r="F1194" s="7713" t="str">
        <f t="shared" si="84"/>
        <v/>
      </c>
      <c r="G1194" s="7713"/>
      <c r="H1194" s="7713" t="str">
        <f t="shared" si="85"/>
        <v/>
      </c>
      <c r="I1194" s="7714">
        <v>109.0</v>
      </c>
      <c r="J1194" s="7713">
        <v>64.0</v>
      </c>
      <c r="K1194" s="7713">
        <v>91.0</v>
      </c>
      <c r="L1194" s="7713">
        <v>103.0</v>
      </c>
      <c r="M1194" s="7713">
        <v>83.0</v>
      </c>
      <c r="N1194" s="7715">
        <v>45.0</v>
      </c>
      <c r="O1194" s="7701"/>
      <c r="P1194" s="7704"/>
      <c r="Q1194" s="7704"/>
      <c r="R1194" s="7704"/>
      <c r="S1194" s="7705"/>
    </row>
    <row r="1195" ht="18.75" customHeight="1">
      <c r="A1195" s="7696"/>
      <c r="B1195" s="7718" t="s">
        <v>792</v>
      </c>
      <c r="C1195" s="7719" t="s">
        <v>4060</v>
      </c>
      <c r="D1195" s="7720"/>
      <c r="E1195" s="7719" t="s">
        <v>2224</v>
      </c>
      <c r="F1195" s="7719" t="str">
        <f t="shared" si="84"/>
        <v/>
      </c>
      <c r="G1195" s="7719" t="s">
        <v>2283</v>
      </c>
      <c r="H1195" s="7719" t="str">
        <f t="shared" si="85"/>
        <v/>
      </c>
      <c r="I1195" s="7720">
        <v>40.0</v>
      </c>
      <c r="J1195" s="7719">
        <v>40.0</v>
      </c>
      <c r="K1195" s="7719">
        <v>35.0</v>
      </c>
      <c r="L1195" s="7719">
        <v>55.0</v>
      </c>
      <c r="M1195" s="7719">
        <v>40.0</v>
      </c>
      <c r="N1195" s="7721">
        <v>70.0</v>
      </c>
      <c r="O1195" s="7701"/>
      <c r="P1195" s="7704"/>
      <c r="Q1195" s="7704"/>
      <c r="R1195" s="7704"/>
      <c r="S1195" s="7705"/>
    </row>
    <row r="1196" ht="18.75" customHeight="1">
      <c r="A1196" s="7696"/>
      <c r="B1196" s="7712" t="s">
        <v>1671</v>
      </c>
      <c r="C1196" s="7713" t="s">
        <v>4061</v>
      </c>
      <c r="D1196" s="7714"/>
      <c r="E1196" s="7713" t="s">
        <v>2224</v>
      </c>
      <c r="F1196" s="7713" t="str">
        <f t="shared" si="84"/>
        <v/>
      </c>
      <c r="G1196" s="7713" t="s">
        <v>2283</v>
      </c>
      <c r="H1196" s="7713" t="str">
        <f t="shared" si="85"/>
        <v/>
      </c>
      <c r="I1196" s="7714">
        <v>70.0</v>
      </c>
      <c r="J1196" s="7713">
        <v>70.0</v>
      </c>
      <c r="K1196" s="7713">
        <v>60.0</v>
      </c>
      <c r="L1196" s="7713">
        <v>105.0</v>
      </c>
      <c r="M1196" s="7713">
        <v>60.0</v>
      </c>
      <c r="N1196" s="7715">
        <v>125.0</v>
      </c>
      <c r="O1196" s="7701"/>
      <c r="P1196" s="7704"/>
      <c r="Q1196" s="7704"/>
      <c r="R1196" s="7704"/>
      <c r="S1196" s="7705"/>
    </row>
    <row r="1197" ht="18.75" customHeight="1">
      <c r="A1197" s="7696"/>
      <c r="B1197" s="7718" t="s">
        <v>4062</v>
      </c>
      <c r="C1197" s="7719" t="s">
        <v>4063</v>
      </c>
      <c r="D1197" s="7720"/>
      <c r="E1197" s="7719" t="s">
        <v>2272</v>
      </c>
      <c r="F1197" s="7719" t="str">
        <f t="shared" si="84"/>
        <v/>
      </c>
      <c r="G1197" s="7719"/>
      <c r="H1197" s="7719" t="str">
        <f t="shared" si="85"/>
        <v/>
      </c>
      <c r="I1197" s="7720">
        <v>60.0</v>
      </c>
      <c r="J1197" s="7719">
        <v>78.0</v>
      </c>
      <c r="K1197" s="7719">
        <v>60.0</v>
      </c>
      <c r="L1197" s="7719">
        <v>40.0</v>
      </c>
      <c r="M1197" s="7719">
        <v>51.0</v>
      </c>
      <c r="N1197" s="7721">
        <v>51.0</v>
      </c>
      <c r="O1197" s="7701"/>
      <c r="P1197" s="7704"/>
      <c r="Q1197" s="7704"/>
      <c r="R1197" s="7704"/>
      <c r="S1197" s="7705"/>
    </row>
    <row r="1198" ht="18.75" customHeight="1">
      <c r="A1198" s="7696"/>
      <c r="B1198" s="7712" t="s">
        <v>1424</v>
      </c>
      <c r="C1198" s="7713" t="s">
        <v>4064</v>
      </c>
      <c r="D1198" s="7714"/>
      <c r="E1198" s="7713" t="s">
        <v>2272</v>
      </c>
      <c r="F1198" s="7713" t="str">
        <f t="shared" si="84"/>
        <v/>
      </c>
      <c r="G1198" s="7713"/>
      <c r="H1198" s="7713" t="str">
        <f t="shared" si="85"/>
        <v/>
      </c>
      <c r="I1198" s="7714">
        <v>80.0</v>
      </c>
      <c r="J1198" s="7713">
        <v>120.0</v>
      </c>
      <c r="K1198" s="7713">
        <v>90.0</v>
      </c>
      <c r="L1198" s="7713">
        <v>60.0</v>
      </c>
      <c r="M1198" s="7713">
        <v>70.0</v>
      </c>
      <c r="N1198" s="7715">
        <v>85.0</v>
      </c>
      <c r="O1198" s="7701"/>
      <c r="P1198" s="7704"/>
      <c r="Q1198" s="7704"/>
      <c r="R1198" s="7704"/>
      <c r="S1198" s="7705"/>
    </row>
    <row r="1199" ht="18.75" customHeight="1">
      <c r="A1199" s="7696"/>
      <c r="B1199" s="7718" t="s">
        <v>4065</v>
      </c>
      <c r="C1199" s="7719" t="s">
        <v>4066</v>
      </c>
      <c r="D1199" s="7720"/>
      <c r="E1199" s="7719" t="s">
        <v>2210</v>
      </c>
      <c r="F1199" s="7719" t="str">
        <f t="shared" si="84"/>
        <v/>
      </c>
      <c r="G1199" s="7719" t="s">
        <v>2262</v>
      </c>
      <c r="H1199" s="7719" t="str">
        <f t="shared" si="85"/>
        <v/>
      </c>
      <c r="I1199" s="7720">
        <v>40.0</v>
      </c>
      <c r="J1199" s="7719">
        <v>65.0</v>
      </c>
      <c r="K1199" s="7719">
        <v>35.0</v>
      </c>
      <c r="L1199" s="7719">
        <v>40.0</v>
      </c>
      <c r="M1199" s="7719">
        <v>35.0</v>
      </c>
      <c r="N1199" s="7721">
        <v>75.0</v>
      </c>
      <c r="O1199" s="7701"/>
      <c r="P1199" s="7704"/>
      <c r="Q1199" s="7704"/>
      <c r="R1199" s="7704"/>
      <c r="S1199" s="7705"/>
    </row>
    <row r="1200" ht="18.75" customHeight="1">
      <c r="A1200" s="7696"/>
      <c r="B1200" s="7712" t="s">
        <v>4067</v>
      </c>
      <c r="C1200" s="7713" t="s">
        <v>4068</v>
      </c>
      <c r="D1200" s="7714"/>
      <c r="E1200" s="7713" t="s">
        <v>2210</v>
      </c>
      <c r="F1200" s="7713" t="str">
        <f t="shared" si="84"/>
        <v/>
      </c>
      <c r="G1200" s="7713" t="s">
        <v>2262</v>
      </c>
      <c r="H1200" s="7713" t="str">
        <f t="shared" si="85"/>
        <v/>
      </c>
      <c r="I1200" s="7714">
        <v>63.0</v>
      </c>
      <c r="J1200" s="7713">
        <v>95.0</v>
      </c>
      <c r="K1200" s="7713">
        <v>65.0</v>
      </c>
      <c r="L1200" s="7713">
        <v>80.0</v>
      </c>
      <c r="M1200" s="7713">
        <v>72.0</v>
      </c>
      <c r="N1200" s="7715">
        <v>110.0</v>
      </c>
      <c r="O1200" s="7701"/>
      <c r="P1200" s="7704"/>
      <c r="Q1200" s="7704"/>
      <c r="R1200" s="7704"/>
      <c r="S1200" s="7705"/>
    </row>
    <row r="1201" ht="18.75" customHeight="1">
      <c r="A1201" s="7696"/>
      <c r="B1201" s="7718" t="s">
        <v>4069</v>
      </c>
      <c r="C1201" s="7719" t="s">
        <v>4070</v>
      </c>
      <c r="D1201" s="7720"/>
      <c r="E1201" s="7719" t="s">
        <v>2209</v>
      </c>
      <c r="F1201" s="7719" t="str">
        <f t="shared" si="84"/>
        <v/>
      </c>
      <c r="G1201" s="7719" t="s">
        <v>2447</v>
      </c>
      <c r="H1201" s="7719" t="str">
        <f t="shared" si="85"/>
        <v/>
      </c>
      <c r="I1201" s="7720">
        <v>40.0</v>
      </c>
      <c r="J1201" s="7719">
        <v>65.0</v>
      </c>
      <c r="K1201" s="7719">
        <v>30.0</v>
      </c>
      <c r="L1201" s="7719">
        <v>45.0</v>
      </c>
      <c r="M1201" s="7719">
        <v>35.0</v>
      </c>
      <c r="N1201" s="7721">
        <v>60.0</v>
      </c>
      <c r="O1201" s="7701"/>
      <c r="P1201" s="7704"/>
      <c r="Q1201" s="7704"/>
      <c r="R1201" s="7704"/>
      <c r="S1201" s="7705"/>
    </row>
    <row r="1202" ht="18.75" customHeight="1">
      <c r="A1202" s="7696"/>
      <c r="B1202" s="7712" t="s">
        <v>4071</v>
      </c>
      <c r="C1202" s="7713" t="s">
        <v>4072</v>
      </c>
      <c r="D1202" s="7714"/>
      <c r="E1202" s="7713" t="s">
        <v>2209</v>
      </c>
      <c r="F1202" s="7713" t="str">
        <f t="shared" si="84"/>
        <v/>
      </c>
      <c r="G1202" s="7713" t="s">
        <v>2447</v>
      </c>
      <c r="H1202" s="7713" t="str">
        <f t="shared" si="85"/>
        <v/>
      </c>
      <c r="I1202" s="7714">
        <v>55.0</v>
      </c>
      <c r="J1202" s="7713">
        <v>115.0</v>
      </c>
      <c r="K1202" s="7713">
        <v>70.0</v>
      </c>
      <c r="L1202" s="7713">
        <v>80.0</v>
      </c>
      <c r="M1202" s="7713">
        <v>70.0</v>
      </c>
      <c r="N1202" s="7715">
        <v>90.0</v>
      </c>
      <c r="O1202" s="7701"/>
      <c r="P1202" s="7704"/>
      <c r="Q1202" s="7704"/>
      <c r="R1202" s="7704"/>
      <c r="S1202" s="7705"/>
    </row>
    <row r="1203" ht="18.75" customHeight="1">
      <c r="A1203" s="7696"/>
      <c r="B1203" s="7718" t="s">
        <v>4073</v>
      </c>
      <c r="C1203" s="7719" t="s">
        <v>4074</v>
      </c>
      <c r="D1203" s="7720"/>
      <c r="E1203" s="7719" t="s">
        <v>2304</v>
      </c>
      <c r="F1203" s="7719" t="str">
        <f t="shared" si="84"/>
        <v/>
      </c>
      <c r="G1203" s="7719" t="s">
        <v>2209</v>
      </c>
      <c r="H1203" s="7719" t="str">
        <f t="shared" si="85"/>
        <v/>
      </c>
      <c r="I1203" s="7720">
        <v>40.0</v>
      </c>
      <c r="J1203" s="7719">
        <v>40.0</v>
      </c>
      <c r="K1203" s="7719">
        <v>35.0</v>
      </c>
      <c r="L1203" s="7719">
        <v>50.0</v>
      </c>
      <c r="M1203" s="7719">
        <v>100.0</v>
      </c>
      <c r="N1203" s="7721">
        <v>70.0</v>
      </c>
      <c r="O1203" s="7701"/>
      <c r="P1203" s="7704"/>
      <c r="Q1203" s="7704"/>
      <c r="R1203" s="7704"/>
      <c r="S1203" s="7705"/>
    </row>
    <row r="1204" ht="18.75" customHeight="1">
      <c r="A1204" s="7696"/>
      <c r="B1204" s="7712" t="s">
        <v>4075</v>
      </c>
      <c r="C1204" s="7713" t="s">
        <v>4076</v>
      </c>
      <c r="D1204" s="7714"/>
      <c r="E1204" s="7713" t="s">
        <v>2304</v>
      </c>
      <c r="F1204" s="7713" t="str">
        <f t="shared" si="84"/>
        <v/>
      </c>
      <c r="G1204" s="7713" t="s">
        <v>2209</v>
      </c>
      <c r="H1204" s="7713" t="str">
        <f t="shared" si="85"/>
        <v/>
      </c>
      <c r="I1204" s="7714">
        <v>80.0</v>
      </c>
      <c r="J1204" s="7713">
        <v>60.0</v>
      </c>
      <c r="K1204" s="7713">
        <v>80.0</v>
      </c>
      <c r="L1204" s="7713">
        <v>90.0</v>
      </c>
      <c r="M1204" s="7713">
        <v>120.0</v>
      </c>
      <c r="N1204" s="7715">
        <v>100.0</v>
      </c>
      <c r="O1204" s="7701"/>
      <c r="P1204" s="7704"/>
      <c r="Q1204" s="7704"/>
      <c r="R1204" s="7704"/>
      <c r="S1204" s="7705"/>
    </row>
    <row r="1205" ht="18.75" customHeight="1">
      <c r="A1205" s="7696"/>
      <c r="B1205" s="7718" t="s">
        <v>4077</v>
      </c>
      <c r="C1205" s="7719" t="s">
        <v>4078</v>
      </c>
      <c r="D1205" s="7720"/>
      <c r="E1205" s="7719" t="s">
        <v>2370</v>
      </c>
      <c r="F1205" s="7719" t="str">
        <f t="shared" si="84"/>
        <v/>
      </c>
      <c r="G1205" s="7719"/>
      <c r="H1205" s="7719" t="str">
        <f t="shared" si="85"/>
        <v/>
      </c>
      <c r="I1205" s="7720">
        <v>70.0</v>
      </c>
      <c r="J1205" s="7719">
        <v>100.0</v>
      </c>
      <c r="K1205" s="7719">
        <v>115.0</v>
      </c>
      <c r="L1205" s="7719">
        <v>35.0</v>
      </c>
      <c r="M1205" s="7719">
        <v>55.0</v>
      </c>
      <c r="N1205" s="7721">
        <v>75.0</v>
      </c>
      <c r="O1205" s="7701"/>
      <c r="P1205" s="7704"/>
      <c r="Q1205" s="7704"/>
      <c r="R1205" s="7704"/>
      <c r="S1205" s="7705"/>
    </row>
    <row r="1206" ht="18.75" customHeight="1">
      <c r="A1206" s="7696"/>
      <c r="B1206" s="7712" t="s">
        <v>4079</v>
      </c>
      <c r="C1206" s="7713" t="s">
        <v>4080</v>
      </c>
      <c r="D1206" s="7714"/>
      <c r="E1206" s="7713" t="s">
        <v>2209</v>
      </c>
      <c r="F1206" s="7713" t="str">
        <f t="shared" si="84"/>
        <v/>
      </c>
      <c r="G1206" s="7713"/>
      <c r="H1206" s="7713" t="str">
        <f t="shared" si="85"/>
        <v/>
      </c>
      <c r="I1206" s="7714">
        <v>52.0</v>
      </c>
      <c r="J1206" s="7713">
        <v>62.0</v>
      </c>
      <c r="K1206" s="7713">
        <v>40.0</v>
      </c>
      <c r="L1206" s="7713">
        <v>62.0</v>
      </c>
      <c r="M1206" s="7713">
        <v>40.0</v>
      </c>
      <c r="N1206" s="7715">
        <v>50.0</v>
      </c>
      <c r="O1206" s="7701"/>
      <c r="P1206" s="7704"/>
      <c r="Q1206" s="7704"/>
      <c r="R1206" s="7704"/>
      <c r="S1206" s="7705"/>
    </row>
    <row r="1207" ht="18.75" customHeight="1">
      <c r="A1207" s="7696"/>
      <c r="B1207" s="7718" t="s">
        <v>4081</v>
      </c>
      <c r="C1207" s="7719" t="s">
        <v>4082</v>
      </c>
      <c r="D1207" s="7720"/>
      <c r="E1207" s="7719" t="s">
        <v>2209</v>
      </c>
      <c r="F1207" s="7719" t="str">
        <f t="shared" si="84"/>
        <v/>
      </c>
      <c r="G1207" s="7719" t="s">
        <v>2219</v>
      </c>
      <c r="H1207" s="7719" t="str">
        <f t="shared" si="85"/>
        <v/>
      </c>
      <c r="I1207" s="7720">
        <v>85.0</v>
      </c>
      <c r="J1207" s="7719">
        <v>78.0</v>
      </c>
      <c r="K1207" s="7719">
        <v>65.0</v>
      </c>
      <c r="L1207" s="7719">
        <v>118.0</v>
      </c>
      <c r="M1207" s="7719">
        <v>65.0</v>
      </c>
      <c r="N1207" s="7721">
        <v>75.0</v>
      </c>
      <c r="O1207" s="7701"/>
      <c r="P1207" s="7704"/>
      <c r="Q1207" s="7704"/>
      <c r="R1207" s="7704"/>
      <c r="S1207" s="7705"/>
    </row>
    <row r="1208" ht="18.75" customHeight="1">
      <c r="A1208" s="7696"/>
      <c r="B1208" s="7712" t="s">
        <v>4083</v>
      </c>
      <c r="C1208" s="7713" t="s">
        <v>4084</v>
      </c>
      <c r="D1208" s="7714"/>
      <c r="E1208" s="7713" t="s">
        <v>2243</v>
      </c>
      <c r="F1208" s="7713" t="str">
        <f t="shared" si="84"/>
        <v/>
      </c>
      <c r="G1208" s="7713"/>
      <c r="H1208" s="7713" t="str">
        <f t="shared" si="85"/>
        <v/>
      </c>
      <c r="I1208" s="7714">
        <v>41.0</v>
      </c>
      <c r="J1208" s="7713">
        <v>50.0</v>
      </c>
      <c r="K1208" s="7713">
        <v>60.0</v>
      </c>
      <c r="L1208" s="7713">
        <v>31.0</v>
      </c>
      <c r="M1208" s="7713">
        <v>58.0</v>
      </c>
      <c r="N1208" s="7715">
        <v>30.0</v>
      </c>
      <c r="O1208" s="7701"/>
      <c r="P1208" s="7704"/>
      <c r="Q1208" s="7704"/>
      <c r="R1208" s="7704"/>
      <c r="S1208" s="7705"/>
    </row>
    <row r="1209" ht="18.75" customHeight="1">
      <c r="A1209" s="7696"/>
      <c r="B1209" s="7718" t="s">
        <v>286</v>
      </c>
      <c r="C1209" s="7719" t="s">
        <v>4085</v>
      </c>
      <c r="D1209" s="7720"/>
      <c r="E1209" s="7719" t="s">
        <v>2243</v>
      </c>
      <c r="F1209" s="7719" t="str">
        <f t="shared" si="84"/>
        <v/>
      </c>
      <c r="G1209" s="7719" t="s">
        <v>669</v>
      </c>
      <c r="H1209" s="7719" t="str">
        <f t="shared" si="85"/>
        <v/>
      </c>
      <c r="I1209" s="7720">
        <v>75.0</v>
      </c>
      <c r="J1209" s="7719">
        <v>50.0</v>
      </c>
      <c r="K1209" s="7719">
        <v>85.0</v>
      </c>
      <c r="L1209" s="7719">
        <v>115.0</v>
      </c>
      <c r="M1209" s="7719">
        <v>100.0</v>
      </c>
      <c r="N1209" s="7721">
        <v>45.0</v>
      </c>
      <c r="O1209" s="7701"/>
      <c r="P1209" s="7704"/>
      <c r="Q1209" s="7704"/>
      <c r="R1209" s="7704"/>
      <c r="S1209" s="7705"/>
    </row>
    <row r="1210" ht="18.75" customHeight="1">
      <c r="A1210" s="7696"/>
      <c r="B1210" s="7712" t="s">
        <v>4086</v>
      </c>
      <c r="C1210" s="7713" t="s">
        <v>4087</v>
      </c>
      <c r="D1210" s="7714"/>
      <c r="E1210" s="7713" t="s">
        <v>669</v>
      </c>
      <c r="F1210" s="7713" t="str">
        <f t="shared" si="84"/>
        <v/>
      </c>
      <c r="G1210" s="7713"/>
      <c r="H1210" s="7713" t="str">
        <f t="shared" si="85"/>
        <v/>
      </c>
      <c r="I1210" s="7714">
        <v>30.0</v>
      </c>
      <c r="J1210" s="7713">
        <v>35.0</v>
      </c>
      <c r="K1210" s="7713">
        <v>30.0</v>
      </c>
      <c r="L1210" s="7713">
        <v>55.0</v>
      </c>
      <c r="M1210" s="7713">
        <v>30.0</v>
      </c>
      <c r="N1210" s="7715">
        <v>75.0</v>
      </c>
      <c r="O1210" s="7701"/>
      <c r="P1210" s="7704"/>
      <c r="Q1210" s="7704"/>
      <c r="R1210" s="7704"/>
      <c r="S1210" s="7705"/>
    </row>
    <row r="1211" ht="18.75" customHeight="1">
      <c r="A1211" s="7696"/>
      <c r="B1211" s="7718" t="s">
        <v>1300</v>
      </c>
      <c r="C1211" s="7719" t="s">
        <v>4088</v>
      </c>
      <c r="D1211" s="7720"/>
      <c r="E1211" s="7719" t="s">
        <v>669</v>
      </c>
      <c r="F1211" s="7719" t="str">
        <f t="shared" si="84"/>
        <v/>
      </c>
      <c r="G1211" s="7719"/>
      <c r="H1211" s="7719" t="str">
        <f t="shared" si="85"/>
        <v/>
      </c>
      <c r="I1211" s="7720">
        <v>95.0</v>
      </c>
      <c r="J1211" s="7719">
        <v>60.0</v>
      </c>
      <c r="K1211" s="7719">
        <v>60.0</v>
      </c>
      <c r="L1211" s="7719">
        <v>101.0</v>
      </c>
      <c r="M1211" s="7719">
        <v>60.0</v>
      </c>
      <c r="N1211" s="7721">
        <v>105.0</v>
      </c>
      <c r="O1211" s="7701"/>
      <c r="P1211" s="7704"/>
      <c r="Q1211" s="7704"/>
      <c r="R1211" s="7704"/>
      <c r="S1211" s="7705"/>
    </row>
    <row r="1212" ht="18.75" customHeight="1">
      <c r="A1212" s="7696"/>
      <c r="B1212" s="7712" t="s">
        <v>4089</v>
      </c>
      <c r="C1212" s="7713" t="s">
        <v>4090</v>
      </c>
      <c r="D1212" s="7714"/>
      <c r="E1212" s="7713" t="s">
        <v>2292</v>
      </c>
      <c r="F1212" s="7713" t="str">
        <f t="shared" si="84"/>
        <v/>
      </c>
      <c r="G1212" s="7713" t="s">
        <v>2286</v>
      </c>
      <c r="H1212" s="7713" t="str">
        <f t="shared" si="85"/>
        <v/>
      </c>
      <c r="I1212" s="7714">
        <v>50.0</v>
      </c>
      <c r="J1212" s="7713">
        <v>45.0</v>
      </c>
      <c r="K1212" s="7713">
        <v>45.0</v>
      </c>
      <c r="L1212" s="7713">
        <v>35.0</v>
      </c>
      <c r="M1212" s="7713">
        <v>64.0</v>
      </c>
      <c r="N1212" s="7715">
        <v>58.0</v>
      </c>
      <c r="O1212" s="7701"/>
      <c r="P1212" s="7704"/>
      <c r="Q1212" s="7704"/>
      <c r="R1212" s="7704"/>
      <c r="S1212" s="7705"/>
    </row>
    <row r="1213" ht="18.75" customHeight="1">
      <c r="A1213" s="7696"/>
      <c r="B1213" s="7718" t="s">
        <v>4091</v>
      </c>
      <c r="C1213" s="7719" t="s">
        <v>4092</v>
      </c>
      <c r="D1213" s="7720"/>
      <c r="E1213" s="7719" t="s">
        <v>2292</v>
      </c>
      <c r="F1213" s="7719" t="str">
        <f t="shared" si="84"/>
        <v/>
      </c>
      <c r="G1213" s="7719" t="s">
        <v>2286</v>
      </c>
      <c r="H1213" s="7719" t="str">
        <f t="shared" si="85"/>
        <v/>
      </c>
      <c r="I1213" s="7720">
        <v>65.0</v>
      </c>
      <c r="J1213" s="7719">
        <v>55.0</v>
      </c>
      <c r="K1213" s="7719">
        <v>55.0</v>
      </c>
      <c r="L1213" s="7719">
        <v>45.0</v>
      </c>
      <c r="M1213" s="7719">
        <v>82.0</v>
      </c>
      <c r="N1213" s="7721">
        <v>78.0</v>
      </c>
      <c r="O1213" s="7701"/>
      <c r="P1213" s="7704"/>
      <c r="Q1213" s="7704"/>
      <c r="R1213" s="7704"/>
      <c r="S1213" s="7705"/>
    </row>
    <row r="1214" ht="18.75" customHeight="1">
      <c r="A1214" s="7696"/>
      <c r="B1214" s="7712" t="s">
        <v>1182</v>
      </c>
      <c r="C1214" s="7713" t="s">
        <v>4093</v>
      </c>
      <c r="D1214" s="7714"/>
      <c r="E1214" s="7713" t="s">
        <v>2292</v>
      </c>
      <c r="F1214" s="7713" t="str">
        <f t="shared" si="84"/>
        <v/>
      </c>
      <c r="G1214" s="7713" t="s">
        <v>2286</v>
      </c>
      <c r="H1214" s="7713" t="str">
        <f t="shared" si="85"/>
        <v/>
      </c>
      <c r="I1214" s="7714">
        <v>85.0</v>
      </c>
      <c r="J1214" s="7714">
        <v>85.0</v>
      </c>
      <c r="K1214" s="7714">
        <v>87.0</v>
      </c>
      <c r="L1214" s="7714">
        <v>70.0</v>
      </c>
      <c r="M1214" s="7714">
        <v>105.0</v>
      </c>
      <c r="N1214" s="7767">
        <v>94.0</v>
      </c>
      <c r="O1214" s="7701"/>
      <c r="P1214" s="7704"/>
      <c r="Q1214" s="7704"/>
      <c r="R1214" s="7704"/>
      <c r="S1214" s="7705"/>
    </row>
    <row r="1215" ht="18.75" customHeight="1">
      <c r="A1215" s="7696"/>
      <c r="B1215" s="7718" t="s">
        <v>4094</v>
      </c>
      <c r="C1215" s="7719" t="s">
        <v>4095</v>
      </c>
      <c r="D1215" s="7720"/>
      <c r="E1215" s="7719" t="s">
        <v>2232</v>
      </c>
      <c r="F1215" s="7719" t="str">
        <f t="shared" si="84"/>
        <v/>
      </c>
      <c r="G1215" s="7719"/>
      <c r="H1215" s="7719" t="str">
        <f t="shared" si="85"/>
        <v/>
      </c>
      <c r="I1215" s="7720">
        <v>10.0</v>
      </c>
      <c r="J1215" s="7720">
        <v>55.0</v>
      </c>
      <c r="K1215" s="7720">
        <v>25.0</v>
      </c>
      <c r="L1215" s="7720">
        <v>35.0</v>
      </c>
      <c r="M1215" s="7720">
        <v>25.0</v>
      </c>
      <c r="N1215" s="7766">
        <v>95.0</v>
      </c>
      <c r="O1215" s="7701"/>
      <c r="P1215" s="7704"/>
      <c r="Q1215" s="7704"/>
      <c r="R1215" s="7704"/>
      <c r="S1215" s="7705"/>
    </row>
    <row r="1216" ht="18.75" customHeight="1">
      <c r="A1216" s="7696"/>
      <c r="B1216" s="7712" t="s">
        <v>1839</v>
      </c>
      <c r="C1216" s="7713" t="s">
        <v>4096</v>
      </c>
      <c r="D1216" s="7714"/>
      <c r="E1216" s="7713" t="s">
        <v>2232</v>
      </c>
      <c r="F1216" s="7713" t="str">
        <f t="shared" si="84"/>
        <v/>
      </c>
      <c r="G1216" s="7713"/>
      <c r="H1216" s="7713" t="str">
        <f t="shared" si="85"/>
        <v/>
      </c>
      <c r="I1216" s="7714">
        <v>35.0</v>
      </c>
      <c r="J1216" s="7714">
        <v>115.0</v>
      </c>
      <c r="K1216" s="7714">
        <v>50.0</v>
      </c>
      <c r="L1216" s="7714">
        <v>35.0</v>
      </c>
      <c r="M1216" s="7714">
        <v>70.0</v>
      </c>
      <c r="N1216" s="7767">
        <v>120.0</v>
      </c>
      <c r="O1216" s="7701"/>
      <c r="P1216" s="7704"/>
      <c r="Q1216" s="7704"/>
      <c r="R1216" s="7704"/>
      <c r="S1216" s="7705"/>
    </row>
    <row r="1217" ht="18.75" customHeight="1">
      <c r="A1217" s="7696"/>
      <c r="B1217" s="7718" t="s">
        <v>4097</v>
      </c>
      <c r="C1217" s="7719" t="s">
        <v>4098</v>
      </c>
      <c r="D1217" s="7720"/>
      <c r="E1217" s="7719" t="s">
        <v>2224</v>
      </c>
      <c r="F1217" s="7719" t="str">
        <f t="shared" si="84"/>
        <v/>
      </c>
      <c r="G1217" s="7719" t="s">
        <v>2272</v>
      </c>
      <c r="H1217" s="7719" t="str">
        <f t="shared" si="85"/>
        <v/>
      </c>
      <c r="I1217" s="7720">
        <v>85.0</v>
      </c>
      <c r="J1217" s="7720">
        <v>103.0</v>
      </c>
      <c r="K1217" s="7720">
        <v>85.0</v>
      </c>
      <c r="L1217" s="7720">
        <v>60.0</v>
      </c>
      <c r="M1217" s="7720">
        <v>85.0</v>
      </c>
      <c r="N1217" s="7766">
        <v>82.0</v>
      </c>
      <c r="O1217" s="7701"/>
      <c r="P1217" s="7704"/>
      <c r="Q1217" s="7704"/>
      <c r="R1217" s="7704"/>
      <c r="S1217" s="7705"/>
    </row>
    <row r="1218" ht="18.75" customHeight="1">
      <c r="A1218" s="7696"/>
      <c r="B1218" s="7712" t="s">
        <v>4099</v>
      </c>
      <c r="C1218" s="7713" t="s">
        <v>4100</v>
      </c>
      <c r="D1218" s="7714"/>
      <c r="E1218" s="7713" t="s">
        <v>2232</v>
      </c>
      <c r="F1218" s="7713" t="str">
        <f t="shared" si="84"/>
        <v/>
      </c>
      <c r="G1218" s="7713"/>
      <c r="H1218" s="7713" t="str">
        <f t="shared" si="85"/>
        <v/>
      </c>
      <c r="I1218" s="7714">
        <v>70.0</v>
      </c>
      <c r="J1218" s="7714">
        <v>45.0</v>
      </c>
      <c r="K1218" s="7714">
        <v>40.0</v>
      </c>
      <c r="L1218" s="7714">
        <v>45.0</v>
      </c>
      <c r="M1218" s="7714">
        <v>40.0</v>
      </c>
      <c r="N1218" s="7767">
        <v>75.0</v>
      </c>
      <c r="O1218" s="7701"/>
      <c r="P1218" s="7704"/>
      <c r="Q1218" s="7704"/>
      <c r="R1218" s="7704"/>
      <c r="S1218" s="7705"/>
    </row>
    <row r="1219" ht="18.75" customHeight="1">
      <c r="A1219" s="7696"/>
      <c r="B1219" s="7718" t="s">
        <v>4101</v>
      </c>
      <c r="C1219" s="7719" t="s">
        <v>4102</v>
      </c>
      <c r="D1219" s="7720"/>
      <c r="E1219" s="7719" t="s">
        <v>2232</v>
      </c>
      <c r="F1219" s="7719" t="str">
        <f t="shared" si="84"/>
        <v/>
      </c>
      <c r="G1219" s="7719"/>
      <c r="H1219" s="7719" t="str">
        <f t="shared" si="85"/>
        <v/>
      </c>
      <c r="I1219" s="7723">
        <v>100.0</v>
      </c>
      <c r="J1219" s="7723">
        <v>70.0</v>
      </c>
      <c r="K1219" s="7723">
        <v>72.0</v>
      </c>
      <c r="L1219" s="7723">
        <v>53.0</v>
      </c>
      <c r="M1219" s="7723">
        <v>62.0</v>
      </c>
      <c r="N1219" s="7726">
        <v>100.0</v>
      </c>
      <c r="O1219" s="7701"/>
      <c r="P1219" s="7704"/>
      <c r="Q1219" s="7704"/>
      <c r="R1219" s="7704"/>
      <c r="S1219" s="7705"/>
    </row>
    <row r="1220" ht="18.75" customHeight="1">
      <c r="A1220" s="7696"/>
      <c r="B1220" s="7712" t="s">
        <v>750</v>
      </c>
      <c r="C1220" s="7722" t="s">
        <v>4103</v>
      </c>
      <c r="D1220" s="7714"/>
      <c r="E1220" s="7713" t="s">
        <v>2232</v>
      </c>
      <c r="F1220" s="7713" t="str">
        <f t="shared" si="84"/>
        <v/>
      </c>
      <c r="G1220" s="7713"/>
      <c r="H1220" s="7713" t="str">
        <f t="shared" si="85"/>
        <v/>
      </c>
      <c r="I1220" s="7714">
        <v>100.0</v>
      </c>
      <c r="J1220" s="7714">
        <v>160.0</v>
      </c>
      <c r="K1220" s="7714">
        <v>97.0</v>
      </c>
      <c r="L1220" s="7714">
        <v>106.0</v>
      </c>
      <c r="M1220" s="7714">
        <v>87.0</v>
      </c>
      <c r="N1220" s="7767">
        <v>100.0</v>
      </c>
      <c r="O1220" s="7701"/>
      <c r="P1220" s="7704"/>
      <c r="Q1220" s="7704"/>
      <c r="R1220" s="7704"/>
      <c r="S1220" s="7705"/>
    </row>
    <row r="1221" ht="18.75" customHeight="1">
      <c r="A1221" s="7696"/>
      <c r="B1221" s="7718" t="s">
        <v>479</v>
      </c>
      <c r="C1221" s="7719" t="s">
        <v>4104</v>
      </c>
      <c r="D1221" s="7720"/>
      <c r="E1221" s="7719" t="s">
        <v>2286</v>
      </c>
      <c r="F1221" s="7719" t="str">
        <f t="shared" si="84"/>
        <v/>
      </c>
      <c r="G1221" s="7719" t="s">
        <v>2210</v>
      </c>
      <c r="H1221" s="7719" t="str">
        <f t="shared" si="85"/>
        <v/>
      </c>
      <c r="I1221" s="7720">
        <v>45.0</v>
      </c>
      <c r="J1221" s="7720">
        <v>70.0</v>
      </c>
      <c r="K1221" s="7720">
        <v>63.0</v>
      </c>
      <c r="L1221" s="7720">
        <v>30.0</v>
      </c>
      <c r="M1221" s="7720">
        <v>45.0</v>
      </c>
      <c r="N1221" s="7766">
        <v>47.0</v>
      </c>
      <c r="O1221" s="7701"/>
      <c r="P1221" s="7704"/>
      <c r="Q1221" s="7704"/>
      <c r="R1221" s="7704"/>
      <c r="S1221" s="7705"/>
    </row>
    <row r="1222" ht="18.75" customHeight="1">
      <c r="A1222" s="7696"/>
      <c r="B1222" s="7712" t="s">
        <v>4105</v>
      </c>
      <c r="C1222" s="7713" t="s">
        <v>4106</v>
      </c>
      <c r="D1222" s="7714"/>
      <c r="E1222" s="7713" t="s">
        <v>2286</v>
      </c>
      <c r="F1222" s="7713" t="str">
        <f t="shared" si="84"/>
        <v/>
      </c>
      <c r="G1222" s="7713" t="s">
        <v>2210</v>
      </c>
      <c r="H1222" s="7713" t="str">
        <f t="shared" si="85"/>
        <v/>
      </c>
      <c r="I1222" s="7714">
        <v>80.0</v>
      </c>
      <c r="J1222" s="7714">
        <v>119.0</v>
      </c>
      <c r="K1222" s="7714">
        <v>90.0</v>
      </c>
      <c r="L1222" s="7714">
        <v>54.0</v>
      </c>
      <c r="M1222" s="7714">
        <v>67.0</v>
      </c>
      <c r="N1222" s="7767">
        <v>90.0</v>
      </c>
      <c r="O1222" s="7701"/>
      <c r="P1222" s="7704"/>
      <c r="Q1222" s="7704"/>
      <c r="R1222" s="7704"/>
      <c r="S1222" s="7705"/>
    </row>
    <row r="1223" ht="18.75" customHeight="1">
      <c r="A1223" s="7696"/>
      <c r="B1223" s="7718" t="s">
        <v>1741</v>
      </c>
      <c r="C1223" s="7719" t="s">
        <v>4107</v>
      </c>
      <c r="D1223" s="7720"/>
      <c r="E1223" s="7719" t="s">
        <v>2227</v>
      </c>
      <c r="F1223" s="7719" t="str">
        <f t="shared" si="84"/>
        <v/>
      </c>
      <c r="G1223" s="7719" t="s">
        <v>2262</v>
      </c>
      <c r="H1223" s="7719" t="str">
        <f t="shared" si="85"/>
        <v/>
      </c>
      <c r="I1223" s="7720">
        <v>70.0</v>
      </c>
      <c r="J1223" s="7720">
        <v>95.0</v>
      </c>
      <c r="K1223" s="7720">
        <v>65.0</v>
      </c>
      <c r="L1223" s="7720">
        <v>85.0</v>
      </c>
      <c r="M1223" s="7720">
        <v>65.0</v>
      </c>
      <c r="N1223" s="7766">
        <v>121.0</v>
      </c>
      <c r="O1223" s="7701"/>
      <c r="P1223" s="7704"/>
      <c r="Q1223" s="7704"/>
      <c r="R1223" s="7704"/>
      <c r="S1223" s="7705"/>
    </row>
    <row r="1224" ht="18.75" customHeight="1">
      <c r="A1224" s="7696"/>
      <c r="B1224" s="7712" t="s">
        <v>1215</v>
      </c>
      <c r="C1224" s="7713" t="s">
        <v>4108</v>
      </c>
      <c r="D1224" s="7714"/>
      <c r="E1224" s="7713" t="s">
        <v>2286</v>
      </c>
      <c r="F1224" s="7713" t="str">
        <f t="shared" si="84"/>
        <v/>
      </c>
      <c r="G1224" s="7713"/>
      <c r="H1224" s="7713" t="str">
        <f t="shared" si="85"/>
        <v/>
      </c>
      <c r="I1224" s="7714">
        <v>70.0</v>
      </c>
      <c r="J1224" s="7714">
        <v>85.0</v>
      </c>
      <c r="K1224" s="7714">
        <v>145.0</v>
      </c>
      <c r="L1224" s="7714">
        <v>60.0</v>
      </c>
      <c r="M1224" s="7714">
        <v>55.0</v>
      </c>
      <c r="N1224" s="7767">
        <v>65.0</v>
      </c>
      <c r="O1224" s="7701"/>
      <c r="P1224" s="7704"/>
      <c r="Q1224" s="7704"/>
      <c r="R1224" s="7704"/>
      <c r="S1224" s="7705"/>
    </row>
    <row r="1225" ht="18.75" customHeight="1">
      <c r="A1225" s="7696"/>
      <c r="B1225" s="7718" t="s">
        <v>1140</v>
      </c>
      <c r="C1225" s="7719" t="s">
        <v>4109</v>
      </c>
      <c r="D1225" s="7720"/>
      <c r="E1225" s="7719" t="s">
        <v>2370</v>
      </c>
      <c r="F1225" s="7719" t="str">
        <f t="shared" si="84"/>
        <v/>
      </c>
      <c r="G1225" s="7719" t="s">
        <v>2210</v>
      </c>
      <c r="H1225" s="7719" t="str">
        <f t="shared" si="85"/>
        <v/>
      </c>
      <c r="I1225" s="7720">
        <v>48.0</v>
      </c>
      <c r="J1225" s="7720">
        <v>35.0</v>
      </c>
      <c r="K1225" s="7720">
        <v>42.0</v>
      </c>
      <c r="L1225" s="7720">
        <v>105.0</v>
      </c>
      <c r="M1225" s="7720">
        <v>60.0</v>
      </c>
      <c r="N1225" s="7766">
        <v>60.0</v>
      </c>
      <c r="O1225" s="7701"/>
      <c r="P1225" s="7704"/>
      <c r="Q1225" s="7704"/>
      <c r="R1225" s="7704"/>
      <c r="S1225" s="7705"/>
    </row>
    <row r="1226" ht="18.75" customHeight="1">
      <c r="A1226" s="7696"/>
      <c r="B1226" s="7712" t="s">
        <v>1285</v>
      </c>
      <c r="C1226" s="7713" t="s">
        <v>4110</v>
      </c>
      <c r="D1226" s="7714"/>
      <c r="E1226" s="7713" t="s">
        <v>2370</v>
      </c>
      <c r="F1226" s="7713" t="str">
        <f t="shared" si="84"/>
        <v/>
      </c>
      <c r="G1226" s="7713" t="s">
        <v>2210</v>
      </c>
      <c r="H1226" s="7713" t="str">
        <f t="shared" si="85"/>
        <v/>
      </c>
      <c r="I1226" s="7714">
        <v>83.0</v>
      </c>
      <c r="J1226" s="7714">
        <v>55.0</v>
      </c>
      <c r="K1226" s="7714">
        <v>90.0</v>
      </c>
      <c r="L1226" s="7714">
        <v>130.0</v>
      </c>
      <c r="M1226" s="7714">
        <v>81.0</v>
      </c>
      <c r="N1226" s="7767">
        <v>86.0</v>
      </c>
      <c r="O1226" s="7701"/>
      <c r="P1226" s="7704"/>
      <c r="Q1226" s="7704"/>
      <c r="R1226" s="7704"/>
      <c r="S1226" s="7705"/>
    </row>
    <row r="1227" ht="18.75" customHeight="1">
      <c r="A1227" s="7696"/>
      <c r="B1227" s="7718" t="s">
        <v>4111</v>
      </c>
      <c r="C1227" s="7719" t="s">
        <v>4112</v>
      </c>
      <c r="D1227" s="7720"/>
      <c r="E1227" s="7719" t="s">
        <v>2447</v>
      </c>
      <c r="F1227" s="7719" t="str">
        <f t="shared" si="84"/>
        <v/>
      </c>
      <c r="G1227" s="7719"/>
      <c r="H1227" s="7719" t="str">
        <f t="shared" si="85"/>
        <v/>
      </c>
      <c r="I1227" s="7720">
        <v>50.0</v>
      </c>
      <c r="J1227" s="7720">
        <v>61.0</v>
      </c>
      <c r="K1227" s="7720">
        <v>60.0</v>
      </c>
      <c r="L1227" s="7720">
        <v>30.0</v>
      </c>
      <c r="M1227" s="7720">
        <v>55.0</v>
      </c>
      <c r="N1227" s="7766">
        <v>34.0</v>
      </c>
      <c r="O1227" s="7701"/>
      <c r="P1227" s="7704"/>
      <c r="Q1227" s="7704"/>
      <c r="R1227" s="7704"/>
      <c r="S1227" s="7705"/>
    </row>
    <row r="1228" ht="18.75" customHeight="1">
      <c r="A1228" s="7696"/>
      <c r="B1228" s="7712" t="s">
        <v>4113</v>
      </c>
      <c r="C1228" s="7713" t="s">
        <v>4114</v>
      </c>
      <c r="D1228" s="7714"/>
      <c r="E1228" s="7713" t="s">
        <v>2447</v>
      </c>
      <c r="F1228" s="7713" t="str">
        <f t="shared" si="84"/>
        <v/>
      </c>
      <c r="G1228" s="7713"/>
      <c r="H1228" s="7713" t="str">
        <f t="shared" si="85"/>
        <v/>
      </c>
      <c r="I1228" s="7714">
        <v>72.0</v>
      </c>
      <c r="J1228" s="7714">
        <v>101.0</v>
      </c>
      <c r="K1228" s="7714">
        <v>100.0</v>
      </c>
      <c r="L1228" s="7714">
        <v>50.0</v>
      </c>
      <c r="M1228" s="7714">
        <v>97.0</v>
      </c>
      <c r="N1228" s="7767">
        <v>68.0</v>
      </c>
      <c r="O1228" s="7701"/>
      <c r="P1228" s="7704"/>
      <c r="Q1228" s="7704"/>
      <c r="R1228" s="7704"/>
      <c r="S1228" s="7705"/>
    </row>
    <row r="1229" ht="18.75" customHeight="1">
      <c r="A1229" s="7696"/>
      <c r="B1229" s="7718" t="s">
        <v>4115</v>
      </c>
      <c r="C1229" s="7719" t="s">
        <v>4116</v>
      </c>
      <c r="D1229" s="7720"/>
      <c r="E1229" s="7719" t="s">
        <v>2224</v>
      </c>
      <c r="F1229" s="7719" t="str">
        <f t="shared" si="84"/>
        <v/>
      </c>
      <c r="G1229" s="7719" t="s">
        <v>2296</v>
      </c>
      <c r="H1229" s="7719" t="str">
        <f t="shared" si="85"/>
        <v/>
      </c>
      <c r="I1229" s="7720">
        <v>92.0</v>
      </c>
      <c r="J1229" s="7720">
        <v>115.0</v>
      </c>
      <c r="K1229" s="7720">
        <v>74.0</v>
      </c>
      <c r="L1229" s="7720">
        <v>75.0</v>
      </c>
      <c r="M1229" s="7720">
        <v>74.0</v>
      </c>
      <c r="N1229" s="7766">
        <v>90.0</v>
      </c>
      <c r="O1229" s="7701"/>
      <c r="P1229" s="7704"/>
      <c r="Q1229" s="7704"/>
      <c r="R1229" s="7704"/>
      <c r="S1229" s="7705"/>
    </row>
    <row r="1230" ht="18.75" customHeight="1">
      <c r="A1230" s="7696"/>
      <c r="B1230" s="7712" t="s">
        <v>4117</v>
      </c>
      <c r="C1230" s="7713" t="s">
        <v>4118</v>
      </c>
      <c r="D1230" s="7714"/>
      <c r="E1230" s="7713" t="s">
        <v>2289</v>
      </c>
      <c r="F1230" s="7713" t="str">
        <f t="shared" si="84"/>
        <v/>
      </c>
      <c r="G1230" s="7713"/>
      <c r="H1230" s="7713" t="str">
        <f t="shared" si="85"/>
        <v/>
      </c>
      <c r="I1230" s="7714">
        <v>108.0</v>
      </c>
      <c r="J1230" s="7714">
        <v>68.0</v>
      </c>
      <c r="K1230" s="7714">
        <v>45.0</v>
      </c>
      <c r="L1230" s="7714">
        <v>30.0</v>
      </c>
      <c r="M1230" s="7714">
        <v>40.0</v>
      </c>
      <c r="N1230" s="7767">
        <v>43.0</v>
      </c>
      <c r="O1230" s="7701"/>
      <c r="P1230" s="7704"/>
      <c r="Q1230" s="7704"/>
      <c r="R1230" s="7704"/>
      <c r="S1230" s="7705"/>
    </row>
    <row r="1231" ht="18.75" customHeight="1">
      <c r="A1231" s="7696"/>
      <c r="B1231" s="7718" t="s">
        <v>1536</v>
      </c>
      <c r="C1231" s="7719" t="s">
        <v>4119</v>
      </c>
      <c r="D1231" s="7720"/>
      <c r="E1231" s="7719" t="s">
        <v>2289</v>
      </c>
      <c r="F1231" s="7719" t="str">
        <f t="shared" si="84"/>
        <v/>
      </c>
      <c r="G1231" s="7719"/>
      <c r="H1231" s="7719" t="str">
        <f t="shared" si="85"/>
        <v/>
      </c>
      <c r="I1231" s="7720">
        <v>170.0</v>
      </c>
      <c r="J1231" s="7720">
        <v>113.0</v>
      </c>
      <c r="K1231" s="7720">
        <v>65.0</v>
      </c>
      <c r="L1231" s="7720">
        <v>45.0</v>
      </c>
      <c r="M1231" s="7720">
        <v>55.0</v>
      </c>
      <c r="N1231" s="7766">
        <v>73.0</v>
      </c>
      <c r="O1231" s="7701"/>
      <c r="P1231" s="7704"/>
      <c r="Q1231" s="7704"/>
      <c r="R1231" s="7704"/>
      <c r="S1231" s="7705"/>
    </row>
    <row r="1232" ht="18.75" customHeight="1">
      <c r="A1232" s="7696"/>
      <c r="B1232" s="7712" t="s">
        <v>1170</v>
      </c>
      <c r="C1232" s="7713" t="s">
        <v>4120</v>
      </c>
      <c r="D1232" s="7714"/>
      <c r="E1232" s="7713" t="s">
        <v>2232</v>
      </c>
      <c r="F1232" s="7713" t="str">
        <f t="shared" si="84"/>
        <v/>
      </c>
      <c r="G1232" s="7713" t="s">
        <v>669</v>
      </c>
      <c r="H1232" s="7713" t="str">
        <f t="shared" si="85"/>
        <v/>
      </c>
      <c r="I1232" s="7714">
        <v>95.0</v>
      </c>
      <c r="J1232" s="7714">
        <v>102.0</v>
      </c>
      <c r="K1232" s="7714">
        <v>83.0</v>
      </c>
      <c r="L1232" s="7714">
        <v>78.0</v>
      </c>
      <c r="M1232" s="7714">
        <v>75.0</v>
      </c>
      <c r="N1232" s="7767">
        <v>70.0</v>
      </c>
      <c r="O1232" s="7701"/>
      <c r="P1232" s="7704"/>
      <c r="Q1232" s="7704"/>
      <c r="R1232" s="7704"/>
      <c r="S1232" s="7705"/>
    </row>
    <row r="1233" ht="18.75" customHeight="1">
      <c r="A1233" s="7696"/>
      <c r="B1233" s="7718" t="s">
        <v>1766</v>
      </c>
      <c r="C1233" s="7719" t="s">
        <v>4121</v>
      </c>
      <c r="D1233" s="7720"/>
      <c r="E1233" s="7719" t="s">
        <v>2232</v>
      </c>
      <c r="F1233" s="7719" t="str">
        <f t="shared" si="84"/>
        <v/>
      </c>
      <c r="G1233" s="7719"/>
      <c r="H1233" s="7719" t="str">
        <f t="shared" si="85"/>
        <v/>
      </c>
      <c r="I1233" s="7720">
        <v>150.0</v>
      </c>
      <c r="J1233" s="7720">
        <v>100.0</v>
      </c>
      <c r="K1233" s="7720">
        <v>115.0</v>
      </c>
      <c r="L1233" s="7720">
        <v>65.0</v>
      </c>
      <c r="M1233" s="7720">
        <v>65.0</v>
      </c>
      <c r="N1233" s="7766">
        <v>35.0</v>
      </c>
      <c r="O1233" s="7701"/>
      <c r="P1233" s="7704"/>
      <c r="Q1233" s="7704"/>
      <c r="R1233" s="7704"/>
      <c r="S1233" s="7705"/>
    </row>
    <row r="1234" ht="18.75" customHeight="1">
      <c r="A1234" s="7696"/>
      <c r="B1234" s="7712" t="s">
        <v>1453</v>
      </c>
      <c r="C1234" s="7713" t="s">
        <v>4122</v>
      </c>
      <c r="D1234" s="7714"/>
      <c r="E1234" s="7713" t="s">
        <v>2232</v>
      </c>
      <c r="F1234" s="7713" t="str">
        <f t="shared" si="84"/>
        <v/>
      </c>
      <c r="G1234" s="7713" t="s">
        <v>2227</v>
      </c>
      <c r="H1234" s="7713" t="str">
        <f t="shared" si="85"/>
        <v/>
      </c>
      <c r="I1234" s="7714">
        <v>78.0</v>
      </c>
      <c r="J1234" s="7714">
        <v>50.0</v>
      </c>
      <c r="K1234" s="7714">
        <v>70.0</v>
      </c>
      <c r="L1234" s="7714">
        <v>120.0</v>
      </c>
      <c r="M1234" s="7714">
        <v>95.0</v>
      </c>
      <c r="N1234" s="7767">
        <v>82.0</v>
      </c>
      <c r="O1234" s="7701"/>
      <c r="P1234" s="7704"/>
      <c r="Q1234" s="7704"/>
      <c r="R1234" s="7704"/>
      <c r="S1234" s="7705"/>
    </row>
    <row r="1235" ht="18.75" customHeight="1">
      <c r="A1235" s="7696"/>
      <c r="B1235" s="7718" t="s">
        <v>886</v>
      </c>
      <c r="C1235" s="7719" t="s">
        <v>4123</v>
      </c>
      <c r="D1235" s="7720"/>
      <c r="E1235" s="7719" t="s">
        <v>2296</v>
      </c>
      <c r="F1235" s="7719" t="str">
        <f t="shared" si="84"/>
        <v/>
      </c>
      <c r="G1235" s="7719" t="s">
        <v>2447</v>
      </c>
      <c r="H1235" s="7719" t="str">
        <f t="shared" si="85"/>
        <v/>
      </c>
      <c r="I1235" s="7720">
        <v>110.0</v>
      </c>
      <c r="J1235" s="7720">
        <v>115.0</v>
      </c>
      <c r="K1235" s="7720">
        <v>80.0</v>
      </c>
      <c r="L1235" s="7720">
        <v>50.0</v>
      </c>
      <c r="M1235" s="7720">
        <v>90.0</v>
      </c>
      <c r="N1235" s="7766">
        <v>90.0</v>
      </c>
      <c r="O1235" s="7701"/>
      <c r="P1235" s="7704"/>
      <c r="Q1235" s="7704"/>
      <c r="R1235" s="7704"/>
      <c r="S1235" s="7705"/>
    </row>
    <row r="1236" ht="18.75" customHeight="1">
      <c r="A1236" s="7696"/>
      <c r="B1236" s="7712" t="s">
        <v>526</v>
      </c>
      <c r="C1236" s="7713" t="s">
        <v>4124</v>
      </c>
      <c r="D1236" s="7714"/>
      <c r="E1236" s="7713" t="s">
        <v>2210</v>
      </c>
      <c r="F1236" s="7713" t="str">
        <f t="shared" si="84"/>
        <v/>
      </c>
      <c r="G1236" s="7713" t="s">
        <v>2304</v>
      </c>
      <c r="H1236" s="7713" t="str">
        <f t="shared" si="85"/>
        <v/>
      </c>
      <c r="I1236" s="7714">
        <v>130.0</v>
      </c>
      <c r="J1236" s="7714">
        <v>75.0</v>
      </c>
      <c r="K1236" s="7714">
        <v>60.0</v>
      </c>
      <c r="L1236" s="7714">
        <v>45.0</v>
      </c>
      <c r="M1236" s="7714">
        <v>100.0</v>
      </c>
      <c r="N1236" s="7767">
        <v>20.0</v>
      </c>
      <c r="O1236" s="7701"/>
      <c r="P1236" s="7704"/>
      <c r="Q1236" s="7704"/>
      <c r="R1236" s="7704"/>
      <c r="S1236" s="7705"/>
    </row>
    <row r="1237" ht="18.75" customHeight="1">
      <c r="A1237" s="7696"/>
      <c r="B1237" s="7718" t="s">
        <v>851</v>
      </c>
      <c r="C1237" s="7719" t="s">
        <v>4125</v>
      </c>
      <c r="D1237" s="7720"/>
      <c r="E1237" s="7719" t="s">
        <v>2262</v>
      </c>
      <c r="F1237" s="7719" t="str">
        <f t="shared" si="84"/>
        <v/>
      </c>
      <c r="G1237" s="7719" t="s">
        <v>669</v>
      </c>
      <c r="H1237" s="7719" t="str">
        <f t="shared" si="85"/>
        <v/>
      </c>
      <c r="I1237" s="7720">
        <v>120.0</v>
      </c>
      <c r="J1237" s="7720">
        <v>90.0</v>
      </c>
      <c r="K1237" s="7720">
        <v>70.0</v>
      </c>
      <c r="L1237" s="7720">
        <v>110.0</v>
      </c>
      <c r="M1237" s="7720">
        <v>70.0</v>
      </c>
      <c r="N1237" s="7766">
        <v>60.0</v>
      </c>
      <c r="O1237" s="7701"/>
      <c r="P1237" s="7704"/>
      <c r="Q1237" s="7704"/>
      <c r="R1237" s="7704"/>
      <c r="S1237" s="7705"/>
    </row>
    <row r="1238" ht="18.75" customHeight="1">
      <c r="A1238" s="7696"/>
      <c r="B1238" s="7712" t="s">
        <v>2112</v>
      </c>
      <c r="C1238" s="7713" t="s">
        <v>4126</v>
      </c>
      <c r="D1238" s="7714"/>
      <c r="E1238" s="7713" t="s">
        <v>2262</v>
      </c>
      <c r="F1238" s="7713" t="str">
        <f t="shared" si="84"/>
        <v/>
      </c>
      <c r="G1238" s="7713"/>
      <c r="H1238" s="7713" t="str">
        <f t="shared" si="85"/>
        <v/>
      </c>
      <c r="I1238" s="7714">
        <v>125.0</v>
      </c>
      <c r="J1238" s="7714">
        <v>100.0</v>
      </c>
      <c r="K1238" s="7714">
        <v>80.0</v>
      </c>
      <c r="L1238" s="7714">
        <v>85.0</v>
      </c>
      <c r="M1238" s="7714">
        <v>75.0</v>
      </c>
      <c r="N1238" s="7767">
        <v>55.0</v>
      </c>
      <c r="O1238" s="7701"/>
      <c r="P1238" s="7704"/>
      <c r="Q1238" s="7704"/>
      <c r="R1238" s="7704"/>
      <c r="S1238" s="7705"/>
    </row>
    <row r="1239" ht="18.75" customHeight="1">
      <c r="A1239" s="7696"/>
      <c r="B1239" s="7718" t="s">
        <v>1119</v>
      </c>
      <c r="C1239" s="7719" t="s">
        <v>4127</v>
      </c>
      <c r="D1239" s="7720"/>
      <c r="E1239" s="7719" t="s">
        <v>2272</v>
      </c>
      <c r="F1239" s="7719" t="str">
        <f t="shared" si="84"/>
        <v/>
      </c>
      <c r="G1239" s="7719" t="s">
        <v>2286</v>
      </c>
      <c r="H1239" s="7719" t="str">
        <f t="shared" si="85"/>
        <v/>
      </c>
      <c r="I1239" s="7720">
        <v>100.0</v>
      </c>
      <c r="J1239" s="7720">
        <v>135.0</v>
      </c>
      <c r="K1239" s="7720">
        <v>120.0</v>
      </c>
      <c r="L1239" s="7720">
        <v>60.0</v>
      </c>
      <c r="M1239" s="7720">
        <v>85.0</v>
      </c>
      <c r="N1239" s="7766">
        <v>50.0</v>
      </c>
      <c r="O1239" s="7701"/>
      <c r="P1239" s="7704"/>
      <c r="Q1239" s="7704"/>
      <c r="R1239" s="7704"/>
      <c r="S1239" s="7705"/>
    </row>
    <row r="1240" ht="18.75" customHeight="1">
      <c r="A1240" s="7696"/>
      <c r="B1240" s="7712" t="s">
        <v>676</v>
      </c>
      <c r="C1240" s="7722" t="s">
        <v>4128</v>
      </c>
      <c r="D1240" s="7714"/>
      <c r="E1240" s="7713" t="s">
        <v>2304</v>
      </c>
      <c r="F1240" s="7713" t="str">
        <f t="shared" si="84"/>
        <v/>
      </c>
      <c r="G1240" s="7713" t="s">
        <v>2296</v>
      </c>
      <c r="H1240" s="7713" t="str">
        <f t="shared" si="85"/>
        <v/>
      </c>
      <c r="I1240" s="7714">
        <v>115.0</v>
      </c>
      <c r="J1240" s="7714">
        <v>131.0</v>
      </c>
      <c r="K1240" s="7714">
        <v>131.0</v>
      </c>
      <c r="L1240" s="7714">
        <v>53.0</v>
      </c>
      <c r="M1240" s="7714">
        <v>53.0</v>
      </c>
      <c r="N1240" s="7767">
        <v>87.0</v>
      </c>
      <c r="O1240" s="7701"/>
      <c r="P1240" s="7704"/>
      <c r="Q1240" s="7704"/>
      <c r="R1240" s="7704"/>
      <c r="S1240" s="7705"/>
    </row>
    <row r="1241" ht="18.75" customHeight="1">
      <c r="A1241" s="7696"/>
      <c r="B1241" s="7718" t="s">
        <v>1846</v>
      </c>
      <c r="C1241" s="7723" t="s">
        <v>4129</v>
      </c>
      <c r="D1241" s="7720"/>
      <c r="E1241" s="7719" t="s">
        <v>2292</v>
      </c>
      <c r="F1241" s="7719" t="str">
        <f t="shared" si="84"/>
        <v/>
      </c>
      <c r="G1241" s="7719" t="s">
        <v>669</v>
      </c>
      <c r="H1241" s="7719" t="str">
        <f t="shared" si="85"/>
        <v/>
      </c>
      <c r="I1241" s="7720">
        <v>115.0</v>
      </c>
      <c r="J1241" s="7720">
        <v>65.0</v>
      </c>
      <c r="K1241" s="7720">
        <v>99.0</v>
      </c>
      <c r="L1241" s="7720">
        <v>85.0</v>
      </c>
      <c r="M1241" s="7720">
        <v>115.0</v>
      </c>
      <c r="N1241" s="7766">
        <v>111.0</v>
      </c>
      <c r="O1241" s="7701"/>
      <c r="P1241" s="7704"/>
      <c r="Q1241" s="7704"/>
      <c r="R1241" s="7704"/>
      <c r="S1241" s="7705"/>
    </row>
    <row r="1242" ht="18.75" customHeight="1">
      <c r="A1242" s="7696"/>
      <c r="B1242" s="7712" t="s">
        <v>4130</v>
      </c>
      <c r="C1242" s="7722" t="s">
        <v>4131</v>
      </c>
      <c r="D1242" s="7714"/>
      <c r="E1242" s="7713" t="s">
        <v>2209</v>
      </c>
      <c r="F1242" s="7713" t="str">
        <f t="shared" si="84"/>
        <v/>
      </c>
      <c r="G1242" s="7713" t="s">
        <v>2272</v>
      </c>
      <c r="H1242" s="7713" t="str">
        <f t="shared" si="85"/>
        <v/>
      </c>
      <c r="I1242" s="7714">
        <v>111.0</v>
      </c>
      <c r="J1242" s="7714">
        <v>127.0</v>
      </c>
      <c r="K1242" s="7714">
        <v>99.0</v>
      </c>
      <c r="L1242" s="7714">
        <v>79.0</v>
      </c>
      <c r="M1242" s="7714">
        <v>99.0</v>
      </c>
      <c r="N1242" s="7767">
        <v>55.0</v>
      </c>
      <c r="O1242" s="7701"/>
      <c r="P1242" s="7704"/>
      <c r="Q1242" s="7704"/>
      <c r="R1242" s="7704"/>
      <c r="S1242" s="7705"/>
    </row>
    <row r="1243" ht="18.75" customHeight="1">
      <c r="A1243" s="7696"/>
      <c r="B1243" s="7718" t="s">
        <v>1891</v>
      </c>
      <c r="C1243" s="7723" t="s">
        <v>4132</v>
      </c>
      <c r="D1243" s="7720"/>
      <c r="E1243" s="7719" t="s">
        <v>2447</v>
      </c>
      <c r="F1243" s="7719" t="str">
        <f t="shared" si="84"/>
        <v/>
      </c>
      <c r="G1243" s="7719" t="s">
        <v>2292</v>
      </c>
      <c r="H1243" s="7719" t="str">
        <f t="shared" si="85"/>
        <v/>
      </c>
      <c r="I1243" s="7720">
        <v>55.0</v>
      </c>
      <c r="J1243" s="7720">
        <v>55.0</v>
      </c>
      <c r="K1243" s="7720">
        <v>55.0</v>
      </c>
      <c r="L1243" s="7720">
        <v>135.0</v>
      </c>
      <c r="M1243" s="7720">
        <v>135.0</v>
      </c>
      <c r="N1243" s="7766">
        <v>135.0</v>
      </c>
      <c r="O1243" s="7701"/>
      <c r="P1243" s="7704"/>
      <c r="Q1243" s="7704"/>
      <c r="R1243" s="7704"/>
      <c r="S1243" s="7705"/>
    </row>
    <row r="1244" ht="18.75" customHeight="1">
      <c r="A1244" s="7696"/>
      <c r="B1244" s="7712" t="s">
        <v>4133</v>
      </c>
      <c r="C1244" s="7722" t="s">
        <v>4134</v>
      </c>
      <c r="D1244" s="7714"/>
      <c r="E1244" s="7713" t="s">
        <v>2243</v>
      </c>
      <c r="F1244" s="7713" t="str">
        <f t="shared" si="84"/>
        <v/>
      </c>
      <c r="G1244" s="7713" t="s">
        <v>2296</v>
      </c>
      <c r="H1244" s="7713" t="str">
        <f t="shared" si="85"/>
        <v/>
      </c>
      <c r="I1244" s="7714">
        <v>85.0</v>
      </c>
      <c r="J1244" s="7714">
        <v>135.0</v>
      </c>
      <c r="K1244" s="7714">
        <v>79.0</v>
      </c>
      <c r="L1244" s="7714">
        <v>85.0</v>
      </c>
      <c r="M1244" s="7714">
        <v>105.0</v>
      </c>
      <c r="N1244" s="7767">
        <v>81.0</v>
      </c>
      <c r="O1244" s="7701"/>
      <c r="P1244" s="7704"/>
      <c r="Q1244" s="7704"/>
      <c r="R1244" s="7704"/>
      <c r="S1244" s="7705"/>
    </row>
    <row r="1245" ht="18.75" customHeight="1">
      <c r="A1245" s="7696"/>
      <c r="B1245" s="7718" t="s">
        <v>675</v>
      </c>
      <c r="C1245" s="7723" t="s">
        <v>4135</v>
      </c>
      <c r="D1245" s="7720"/>
      <c r="E1245" s="7719" t="s">
        <v>2283</v>
      </c>
      <c r="F1245" s="7719" t="str">
        <f t="shared" si="84"/>
        <v/>
      </c>
      <c r="G1245" s="7719" t="s">
        <v>2304</v>
      </c>
      <c r="H1245" s="7719" t="str">
        <f t="shared" si="85"/>
        <v/>
      </c>
      <c r="I1245" s="7720">
        <v>85.0</v>
      </c>
      <c r="J1245" s="7720">
        <v>81.0</v>
      </c>
      <c r="K1245" s="7720">
        <v>97.0</v>
      </c>
      <c r="L1245" s="7720">
        <v>121.0</v>
      </c>
      <c r="M1245" s="7720">
        <v>85.0</v>
      </c>
      <c r="N1245" s="7766">
        <v>101.0</v>
      </c>
      <c r="O1245" s="7701"/>
      <c r="P1245" s="7704"/>
      <c r="Q1245" s="7704"/>
      <c r="R1245" s="7704"/>
      <c r="S1245" s="7705"/>
    </row>
    <row r="1246" ht="18.75" customHeight="1">
      <c r="A1246" s="7696"/>
      <c r="B1246" s="7712" t="s">
        <v>726</v>
      </c>
      <c r="C1246" s="7722" t="s">
        <v>4136</v>
      </c>
      <c r="D1246" s="7714"/>
      <c r="E1246" s="7713" t="s">
        <v>2304</v>
      </c>
      <c r="F1246" s="7713" t="str">
        <f t="shared" si="84"/>
        <v/>
      </c>
      <c r="G1246" s="7713" t="s">
        <v>2286</v>
      </c>
      <c r="H1246" s="7713" t="str">
        <f t="shared" si="85"/>
        <v/>
      </c>
      <c r="I1246" s="7714">
        <v>90.0</v>
      </c>
      <c r="J1246" s="7714">
        <v>112.0</v>
      </c>
      <c r="K1246" s="7714">
        <v>120.0</v>
      </c>
      <c r="L1246" s="7714">
        <v>72.0</v>
      </c>
      <c r="M1246" s="7714">
        <v>70.0</v>
      </c>
      <c r="N1246" s="7767">
        <v>106.0</v>
      </c>
      <c r="O1246" s="7701"/>
      <c r="P1246" s="7704"/>
      <c r="Q1246" s="7704"/>
      <c r="R1246" s="7704"/>
      <c r="S1246" s="7705"/>
    </row>
    <row r="1247" ht="18.75" customHeight="1">
      <c r="A1247" s="7696"/>
      <c r="B1247" s="7718" t="s">
        <v>749</v>
      </c>
      <c r="C1247" s="7723" t="s">
        <v>4137</v>
      </c>
      <c r="D1247" s="7720"/>
      <c r="E1247" s="7719" t="s">
        <v>2289</v>
      </c>
      <c r="F1247" s="7719" t="str">
        <f t="shared" si="84"/>
        <v/>
      </c>
      <c r="G1247" s="7719" t="s">
        <v>2232</v>
      </c>
      <c r="H1247" s="7719" t="str">
        <f t="shared" si="85"/>
        <v/>
      </c>
      <c r="I1247" s="7720">
        <v>56.0</v>
      </c>
      <c r="J1247" s="7720">
        <v>80.0</v>
      </c>
      <c r="K1247" s="7720">
        <v>114.0</v>
      </c>
      <c r="L1247" s="7720">
        <v>124.0</v>
      </c>
      <c r="M1247" s="7720">
        <v>60.0</v>
      </c>
      <c r="N1247" s="7766">
        <v>136.0</v>
      </c>
      <c r="O1247" s="7701"/>
      <c r="P1247" s="7704"/>
      <c r="Q1247" s="7704"/>
      <c r="R1247" s="7704"/>
      <c r="S1247" s="7705"/>
    </row>
    <row r="1248" ht="18.75" customHeight="1">
      <c r="A1248" s="7696"/>
      <c r="B1248" s="7712" t="s">
        <v>631</v>
      </c>
      <c r="C1248" s="7722" t="s">
        <v>4138</v>
      </c>
      <c r="D1248" s="7714"/>
      <c r="E1248" s="7713" t="s">
        <v>2296</v>
      </c>
      <c r="F1248" s="7713" t="str">
        <f t="shared" si="84"/>
        <v/>
      </c>
      <c r="G1248" s="7713" t="s">
        <v>2283</v>
      </c>
      <c r="H1248" s="7713" t="str">
        <f t="shared" si="85"/>
        <v/>
      </c>
      <c r="I1248" s="7714">
        <v>154.0</v>
      </c>
      <c r="J1248" s="7714">
        <v>140.0</v>
      </c>
      <c r="K1248" s="7714">
        <v>108.0</v>
      </c>
      <c r="L1248" s="7714">
        <v>50.0</v>
      </c>
      <c r="M1248" s="7714">
        <v>68.0</v>
      </c>
      <c r="N1248" s="7767">
        <v>50.0</v>
      </c>
      <c r="O1248" s="7701"/>
      <c r="P1248" s="7704"/>
      <c r="Q1248" s="7704"/>
      <c r="R1248" s="7704"/>
      <c r="S1248" s="7705"/>
    </row>
    <row r="1249" ht="18.75" customHeight="1">
      <c r="A1249" s="7696"/>
      <c r="B1249" s="7718" t="s">
        <v>4139</v>
      </c>
      <c r="C1249" s="7723" t="s">
        <v>4140</v>
      </c>
      <c r="D1249" s="7720"/>
      <c r="E1249" s="7719" t="s">
        <v>2272</v>
      </c>
      <c r="F1249" s="7719" t="str">
        <f t="shared" si="84"/>
        <v/>
      </c>
      <c r="G1249" s="7719" t="s">
        <v>2224</v>
      </c>
      <c r="H1249" s="7719" t="str">
        <f t="shared" si="85"/>
        <v/>
      </c>
      <c r="I1249" s="7720">
        <v>94.0</v>
      </c>
      <c r="J1249" s="7720">
        <v>80.0</v>
      </c>
      <c r="K1249" s="7720">
        <v>86.0</v>
      </c>
      <c r="L1249" s="7720">
        <v>122.0</v>
      </c>
      <c r="M1249" s="7720">
        <v>80.0</v>
      </c>
      <c r="N1249" s="7766">
        <v>108.0</v>
      </c>
      <c r="O1249" s="7701"/>
      <c r="P1249" s="7704"/>
      <c r="Q1249" s="7704"/>
      <c r="R1249" s="7704"/>
      <c r="S1249" s="7705"/>
    </row>
    <row r="1250" ht="18.75" customHeight="1">
      <c r="A1250" s="7696"/>
      <c r="B1250" s="7712" t="s">
        <v>766</v>
      </c>
      <c r="C1250" s="7722" t="s">
        <v>4141</v>
      </c>
      <c r="D1250" s="7714"/>
      <c r="E1250" s="7713" t="s">
        <v>2219</v>
      </c>
      <c r="F1250" s="7713" t="str">
        <f t="shared" si="84"/>
        <v/>
      </c>
      <c r="G1250" s="7713" t="s">
        <v>2210</v>
      </c>
      <c r="H1250" s="7713" t="str">
        <f t="shared" si="85"/>
        <v/>
      </c>
      <c r="I1250" s="7714">
        <v>80.0</v>
      </c>
      <c r="J1250" s="7714">
        <v>70.0</v>
      </c>
      <c r="K1250" s="7714">
        <v>60.0</v>
      </c>
      <c r="L1250" s="7714">
        <v>140.0</v>
      </c>
      <c r="M1250" s="7714">
        <v>110.0</v>
      </c>
      <c r="N1250" s="7767">
        <v>110.0</v>
      </c>
      <c r="O1250" s="7701"/>
      <c r="P1250" s="7704"/>
      <c r="Q1250" s="7704"/>
      <c r="R1250" s="7704"/>
      <c r="S1250" s="7705"/>
    </row>
    <row r="1251" ht="18.75" customHeight="1">
      <c r="A1251" s="7696"/>
      <c r="B1251" s="7718" t="s">
        <v>765</v>
      </c>
      <c r="C1251" s="7723" t="s">
        <v>4142</v>
      </c>
      <c r="D1251" s="7720"/>
      <c r="E1251" s="7719" t="s">
        <v>2370</v>
      </c>
      <c r="F1251" s="7719" t="str">
        <f t="shared" si="84"/>
        <v/>
      </c>
      <c r="G1251" s="7719" t="s">
        <v>2283</v>
      </c>
      <c r="H1251" s="7719" t="str">
        <f t="shared" si="85"/>
        <v/>
      </c>
      <c r="I1251" s="7720">
        <v>110.0</v>
      </c>
      <c r="J1251" s="7720">
        <v>134.0</v>
      </c>
      <c r="K1251" s="7720">
        <v>110.0</v>
      </c>
      <c r="L1251" s="7720">
        <v>70.0</v>
      </c>
      <c r="M1251" s="7720">
        <v>84.0</v>
      </c>
      <c r="N1251" s="7766">
        <v>72.0</v>
      </c>
      <c r="O1251" s="7701"/>
      <c r="P1251" s="7704"/>
      <c r="Q1251" s="7704"/>
      <c r="R1251" s="7704"/>
      <c r="S1251" s="7705"/>
    </row>
    <row r="1252" ht="18.75" customHeight="1">
      <c r="A1252" s="7696"/>
      <c r="B1252" s="7712" t="s">
        <v>4143</v>
      </c>
      <c r="C1252" s="7713" t="s">
        <v>4144</v>
      </c>
      <c r="D1252" s="7714"/>
      <c r="E1252" s="7713" t="s">
        <v>2227</v>
      </c>
      <c r="F1252" s="7713" t="str">
        <f t="shared" si="84"/>
        <v/>
      </c>
      <c r="G1252" s="7713" t="s">
        <v>2289</v>
      </c>
      <c r="H1252" s="7713" t="str">
        <f t="shared" si="85"/>
        <v/>
      </c>
      <c r="I1252" s="7714">
        <v>65.0</v>
      </c>
      <c r="J1252" s="7714">
        <v>75.0</v>
      </c>
      <c r="K1252" s="7714">
        <v>45.0</v>
      </c>
      <c r="L1252" s="7714">
        <v>35.0</v>
      </c>
      <c r="M1252" s="7714">
        <v>45.0</v>
      </c>
      <c r="N1252" s="7767">
        <v>55.0</v>
      </c>
      <c r="O1252" s="7701"/>
      <c r="P1252" s="7704"/>
      <c r="Q1252" s="7704"/>
      <c r="R1252" s="7704"/>
      <c r="S1252" s="7705"/>
    </row>
    <row r="1253" ht="18.75" customHeight="1">
      <c r="A1253" s="7696"/>
      <c r="B1253" s="7718" t="s">
        <v>4145</v>
      </c>
      <c r="C1253" s="7719" t="s">
        <v>4146</v>
      </c>
      <c r="D1253" s="7720"/>
      <c r="E1253" s="7719" t="s">
        <v>2227</v>
      </c>
      <c r="F1253" s="7719" t="str">
        <f t="shared" si="84"/>
        <v/>
      </c>
      <c r="G1253" s="7719" t="s">
        <v>2289</v>
      </c>
      <c r="H1253" s="7719" t="str">
        <f t="shared" si="85"/>
        <v/>
      </c>
      <c r="I1253" s="7720">
        <v>90.0</v>
      </c>
      <c r="J1253" s="7720">
        <v>95.0</v>
      </c>
      <c r="K1253" s="7720">
        <v>66.0</v>
      </c>
      <c r="L1253" s="7720">
        <v>45.0</v>
      </c>
      <c r="M1253" s="7720">
        <v>65.0</v>
      </c>
      <c r="N1253" s="7766">
        <v>62.0</v>
      </c>
      <c r="O1253" s="7701"/>
      <c r="P1253" s="7704"/>
      <c r="Q1253" s="7704"/>
      <c r="R1253" s="7704"/>
      <c r="S1253" s="7705"/>
    </row>
    <row r="1254" ht="18.75" customHeight="1">
      <c r="A1254" s="7696"/>
      <c r="B1254" s="7712" t="s">
        <v>1543</v>
      </c>
      <c r="C1254" s="7713" t="s">
        <v>4147</v>
      </c>
      <c r="D1254" s="7714"/>
      <c r="E1254" s="7713" t="s">
        <v>2227</v>
      </c>
      <c r="F1254" s="7713" t="str">
        <f t="shared" si="84"/>
        <v/>
      </c>
      <c r="G1254" s="7722" t="s">
        <v>2289</v>
      </c>
      <c r="H1254" s="7713" t="str">
        <f t="shared" si="85"/>
        <v/>
      </c>
      <c r="I1254" s="7714">
        <v>115.0</v>
      </c>
      <c r="J1254" s="7714">
        <v>145.0</v>
      </c>
      <c r="K1254" s="7714">
        <v>92.0</v>
      </c>
      <c r="L1254" s="7714">
        <v>75.0</v>
      </c>
      <c r="M1254" s="7714">
        <v>86.0</v>
      </c>
      <c r="N1254" s="7767">
        <v>87.0</v>
      </c>
      <c r="O1254" s="7701"/>
      <c r="P1254" s="7704"/>
      <c r="Q1254" s="7704"/>
      <c r="R1254" s="7704"/>
      <c r="S1254" s="7705"/>
    </row>
    <row r="1255" ht="18.75" customHeight="1">
      <c r="A1255" s="7696"/>
      <c r="B1255" s="7718" t="s">
        <v>4148</v>
      </c>
      <c r="C1255" s="7723" t="s">
        <v>4149</v>
      </c>
      <c r="D1255" s="7720"/>
      <c r="E1255" s="7719" t="s">
        <v>2447</v>
      </c>
      <c r="F1255" s="7719" t="str">
        <f t="shared" si="84"/>
        <v/>
      </c>
      <c r="G1255" s="7719"/>
      <c r="H1255" s="7719" t="str">
        <f t="shared" si="85"/>
        <v/>
      </c>
      <c r="I1255" s="7720">
        <v>45.0</v>
      </c>
      <c r="J1255" s="7720">
        <v>30.0</v>
      </c>
      <c r="K1255" s="7720">
        <v>25.0</v>
      </c>
      <c r="L1255" s="7720">
        <v>75.0</v>
      </c>
      <c r="M1255" s="7720">
        <v>45.0</v>
      </c>
      <c r="N1255" s="7766">
        <v>80.0</v>
      </c>
      <c r="O1255" s="7701"/>
      <c r="P1255" s="7704"/>
      <c r="Q1255" s="7704"/>
      <c r="R1255" s="7704"/>
      <c r="S1255" s="7705"/>
    </row>
    <row r="1256" ht="18.75" customHeight="1">
      <c r="A1256" s="7696"/>
      <c r="B1256" s="7712" t="s">
        <v>1254</v>
      </c>
      <c r="C1256" s="7713" t="s">
        <v>4150</v>
      </c>
      <c r="D1256" s="7714"/>
      <c r="E1256" s="7713" t="s">
        <v>2286</v>
      </c>
      <c r="F1256" s="7713" t="str">
        <f t="shared" si="84"/>
        <v/>
      </c>
      <c r="G1256" s="7713" t="s">
        <v>2447</v>
      </c>
      <c r="H1256" s="7713" t="str">
        <f t="shared" si="85"/>
        <v/>
      </c>
      <c r="I1256" s="7714">
        <v>87.0</v>
      </c>
      <c r="J1256" s="7714">
        <v>60.0</v>
      </c>
      <c r="K1256" s="7714">
        <v>95.0</v>
      </c>
      <c r="L1256" s="7714">
        <v>133.0</v>
      </c>
      <c r="M1256" s="7714">
        <v>91.0</v>
      </c>
      <c r="N1256" s="7767">
        <v>84.0</v>
      </c>
      <c r="O1256" s="7701"/>
      <c r="P1256" s="7704"/>
      <c r="Q1256" s="7704"/>
      <c r="R1256" s="7704"/>
      <c r="S1256" s="7705"/>
    </row>
    <row r="1257" ht="18.75" customHeight="1">
      <c r="A1257" s="7696"/>
      <c r="B1257" s="7718" t="s">
        <v>4151</v>
      </c>
      <c r="C1257" s="7723" t="s">
        <v>4152</v>
      </c>
      <c r="D1257" s="7720"/>
      <c r="E1257" s="7719" t="s">
        <v>2272</v>
      </c>
      <c r="F1257" s="7719" t="str">
        <f t="shared" si="84"/>
        <v/>
      </c>
      <c r="G1257" s="7719" t="s">
        <v>2209</v>
      </c>
      <c r="H1257" s="7719" t="str">
        <f t="shared" si="85"/>
        <v/>
      </c>
      <c r="I1257" s="7720">
        <v>85.0</v>
      </c>
      <c r="J1257" s="7720">
        <v>85.0</v>
      </c>
      <c r="K1257" s="7720">
        <v>100.0</v>
      </c>
      <c r="L1257" s="7720">
        <v>95.0</v>
      </c>
      <c r="M1257" s="7720">
        <v>135.0</v>
      </c>
      <c r="N1257" s="7766">
        <v>70.0</v>
      </c>
      <c r="O1257" s="7701"/>
      <c r="P1257" s="7704"/>
      <c r="Q1257" s="7704"/>
      <c r="R1257" s="7704"/>
      <c r="S1257" s="7705"/>
    </row>
    <row r="1258" ht="18.75" customHeight="1">
      <c r="A1258" s="7696"/>
      <c r="B1258" s="7712" t="s">
        <v>1860</v>
      </c>
      <c r="C1258" s="7722" t="s">
        <v>4153</v>
      </c>
      <c r="D1258" s="7714"/>
      <c r="E1258" s="7713" t="s">
        <v>2272</v>
      </c>
      <c r="F1258" s="7713" t="str">
        <f t="shared" si="84"/>
        <v/>
      </c>
      <c r="G1258" s="7713" t="s">
        <v>2289</v>
      </c>
      <c r="H1258" s="7713" t="str">
        <f t="shared" si="85"/>
        <v/>
      </c>
      <c r="I1258" s="7714">
        <v>80.0</v>
      </c>
      <c r="J1258" s="7714">
        <v>120.0</v>
      </c>
      <c r="K1258" s="7714">
        <v>80.0</v>
      </c>
      <c r="L1258" s="7714">
        <v>90.0</v>
      </c>
      <c r="M1258" s="7714">
        <v>65.0</v>
      </c>
      <c r="N1258" s="7767">
        <v>135.0</v>
      </c>
      <c r="O1258" s="7701"/>
      <c r="P1258" s="7704"/>
      <c r="Q1258" s="7704"/>
      <c r="R1258" s="7704"/>
      <c r="S1258" s="7705"/>
    </row>
    <row r="1259" ht="18.75" customHeight="1">
      <c r="A1259" s="7696"/>
      <c r="B1259" s="7718" t="s">
        <v>4154</v>
      </c>
      <c r="C1259" s="7723" t="s">
        <v>4155</v>
      </c>
      <c r="D1259" s="7720"/>
      <c r="E1259" s="7719" t="s">
        <v>2272</v>
      </c>
      <c r="F1259" s="7719" t="str">
        <f t="shared" si="84"/>
        <v/>
      </c>
      <c r="G1259" s="7719" t="s">
        <v>2304</v>
      </c>
      <c r="H1259" s="7719" t="str">
        <f t="shared" si="85"/>
        <v/>
      </c>
      <c r="I1259" s="7720">
        <v>155.0</v>
      </c>
      <c r="J1259" s="7720">
        <v>110.0</v>
      </c>
      <c r="K1259" s="7720">
        <v>125.0</v>
      </c>
      <c r="L1259" s="7720">
        <v>55.0</v>
      </c>
      <c r="M1259" s="7720">
        <v>80.0</v>
      </c>
      <c r="N1259" s="7766">
        <v>45.0</v>
      </c>
      <c r="O1259" s="7701"/>
      <c r="P1259" s="7704"/>
      <c r="Q1259" s="7704"/>
      <c r="R1259" s="7704"/>
      <c r="S1259" s="7705"/>
    </row>
    <row r="1260" ht="18.75" customHeight="1">
      <c r="A1260" s="7696"/>
      <c r="B1260" s="7712" t="s">
        <v>655</v>
      </c>
      <c r="C1260" s="7722" t="s">
        <v>4156</v>
      </c>
      <c r="D1260" s="7714"/>
      <c r="E1260" s="7713" t="s">
        <v>2272</v>
      </c>
      <c r="F1260" s="7713" t="str">
        <f t="shared" si="84"/>
        <v/>
      </c>
      <c r="G1260" s="7713" t="s">
        <v>2219</v>
      </c>
      <c r="H1260" s="7713" t="str">
        <f t="shared" si="85"/>
        <v/>
      </c>
      <c r="I1260" s="7714">
        <v>55.0</v>
      </c>
      <c r="J1260" s="7714">
        <v>80.0</v>
      </c>
      <c r="K1260" s="7714">
        <v>80.0</v>
      </c>
      <c r="L1260" s="7714">
        <v>135.0</v>
      </c>
      <c r="M1260" s="7714">
        <v>120.0</v>
      </c>
      <c r="N1260" s="7767">
        <v>100.0</v>
      </c>
      <c r="O1260" s="7701"/>
      <c r="P1260" s="7704"/>
      <c r="Q1260" s="7704"/>
      <c r="R1260" s="7704"/>
      <c r="S1260" s="7705"/>
    </row>
    <row r="1261" ht="18.75" customHeight="1">
      <c r="A1261" s="7696"/>
      <c r="B1261" s="7718" t="s">
        <v>703</v>
      </c>
      <c r="C1261" s="7723" t="s">
        <v>4157</v>
      </c>
      <c r="D1261" s="7720"/>
      <c r="E1261" s="7719" t="s">
        <v>2227</v>
      </c>
      <c r="F1261" s="7719" t="str">
        <f t="shared" si="84"/>
        <v/>
      </c>
      <c r="G1261" s="7719" t="s">
        <v>2272</v>
      </c>
      <c r="H1261" s="7719" t="str">
        <f t="shared" si="85"/>
        <v/>
      </c>
      <c r="I1261" s="7720">
        <v>105.0</v>
      </c>
      <c r="J1261" s="7720">
        <v>139.0</v>
      </c>
      <c r="K1261" s="7720">
        <v>71.0</v>
      </c>
      <c r="L1261" s="7720">
        <v>55.0</v>
      </c>
      <c r="M1261" s="7720">
        <v>101.0</v>
      </c>
      <c r="N1261" s="7766">
        <v>119.0</v>
      </c>
      <c r="O1261" s="7701"/>
      <c r="P1261" s="7704"/>
      <c r="Q1261" s="7704"/>
      <c r="R1261" s="7704"/>
      <c r="S1261" s="7705"/>
    </row>
    <row r="1262" ht="18.75" customHeight="1">
      <c r="A1262" s="7696"/>
      <c r="B1262" s="7712" t="s">
        <v>1872</v>
      </c>
      <c r="C1262" s="7722" t="s">
        <v>4158</v>
      </c>
      <c r="D1262" s="7714"/>
      <c r="E1262" s="7713" t="s">
        <v>2292</v>
      </c>
      <c r="F1262" s="7713" t="str">
        <f t="shared" si="84"/>
        <v/>
      </c>
      <c r="G1262" s="7713" t="s">
        <v>2296</v>
      </c>
      <c r="H1262" s="7713" t="str">
        <f t="shared" si="85"/>
        <v/>
      </c>
      <c r="I1262" s="7714">
        <v>74.0</v>
      </c>
      <c r="J1262" s="7714">
        <v>130.0</v>
      </c>
      <c r="K1262" s="7714">
        <v>90.0</v>
      </c>
      <c r="L1262" s="7714">
        <v>120.0</v>
      </c>
      <c r="M1262" s="7714">
        <v>60.0</v>
      </c>
      <c r="N1262" s="7767">
        <v>116.0</v>
      </c>
      <c r="O1262" s="7701"/>
      <c r="P1262" s="7704"/>
      <c r="Q1262" s="7704"/>
      <c r="R1262" s="7704"/>
      <c r="S1262" s="7705"/>
    </row>
    <row r="1263" ht="18.75" customHeight="1">
      <c r="A1263" s="7696"/>
      <c r="B1263" s="7718" t="s">
        <v>1938</v>
      </c>
      <c r="C1263" s="7719" t="s">
        <v>4159</v>
      </c>
      <c r="D1263" s="7720"/>
      <c r="E1263" s="7719" t="s">
        <v>2296</v>
      </c>
      <c r="F1263" s="7719" t="str">
        <f t="shared" si="84"/>
        <v/>
      </c>
      <c r="G1263" s="7719" t="s">
        <v>2227</v>
      </c>
      <c r="H1263" s="7719" t="str">
        <f t="shared" si="85"/>
        <v/>
      </c>
      <c r="I1263" s="7720">
        <v>100.0</v>
      </c>
      <c r="J1263" s="7720">
        <v>135.0</v>
      </c>
      <c r="K1263" s="7720">
        <v>115.0</v>
      </c>
      <c r="L1263" s="7720">
        <v>85.0</v>
      </c>
      <c r="M1263" s="7720">
        <v>100.0</v>
      </c>
      <c r="N1263" s="7766">
        <v>135.0</v>
      </c>
      <c r="O1263" s="7701"/>
      <c r="P1263" s="7704"/>
      <c r="Q1263" s="7704"/>
      <c r="R1263" s="7704"/>
      <c r="S1263" s="7705"/>
    </row>
    <row r="1264" ht="18.75" customHeight="1">
      <c r="A1264" s="7696"/>
      <c r="B1264" s="7712" t="s">
        <v>767</v>
      </c>
      <c r="C1264" s="7713" t="s">
        <v>4160</v>
      </c>
      <c r="D1264" s="7714"/>
      <c r="E1264" s="7713" t="s">
        <v>2283</v>
      </c>
      <c r="F1264" s="7713" t="str">
        <f t="shared" si="84"/>
        <v/>
      </c>
      <c r="G1264" s="7713" t="s">
        <v>2227</v>
      </c>
      <c r="H1264" s="7713" t="str">
        <f t="shared" si="85"/>
        <v/>
      </c>
      <c r="I1264" s="7714">
        <v>100.0</v>
      </c>
      <c r="J1264" s="7714">
        <v>85.0</v>
      </c>
      <c r="K1264" s="7714">
        <v>100.0</v>
      </c>
      <c r="L1264" s="7714">
        <v>135.0</v>
      </c>
      <c r="M1264" s="7714">
        <v>115.0</v>
      </c>
      <c r="N1264" s="7767">
        <v>135.0</v>
      </c>
      <c r="O1264" s="7701"/>
      <c r="P1264" s="7704"/>
      <c r="Q1264" s="7704"/>
      <c r="R1264" s="7704"/>
      <c r="S1264" s="7705"/>
    </row>
    <row r="1265" ht="18.75" customHeight="1">
      <c r="A1265" s="7696"/>
      <c r="B1265" s="7718" t="s">
        <v>677</v>
      </c>
      <c r="C1265" s="7723" t="s">
        <v>4161</v>
      </c>
      <c r="D1265" s="7720"/>
      <c r="E1265" s="7719" t="s">
        <v>2232</v>
      </c>
      <c r="F1265" s="7719" t="str">
        <f t="shared" si="84"/>
        <v/>
      </c>
      <c r="G1265" s="7719" t="s">
        <v>2227</v>
      </c>
      <c r="H1265" s="7719" t="str">
        <f t="shared" si="85"/>
        <v/>
      </c>
      <c r="I1265" s="7720">
        <v>99.0</v>
      </c>
      <c r="J1265" s="7720">
        <v>83.0</v>
      </c>
      <c r="K1265" s="7720">
        <v>91.0</v>
      </c>
      <c r="L1265" s="7720">
        <v>125.0</v>
      </c>
      <c r="M1265" s="7720">
        <v>83.0</v>
      </c>
      <c r="N1265" s="7766">
        <v>109.0</v>
      </c>
      <c r="O1265" s="7701"/>
      <c r="P1265" s="7704"/>
      <c r="Q1265" s="7704"/>
      <c r="R1265" s="7704"/>
      <c r="S1265" s="7705"/>
    </row>
    <row r="1266" ht="18.75" customHeight="1">
      <c r="A1266" s="7696"/>
      <c r="B1266" s="7712" t="s">
        <v>1758</v>
      </c>
      <c r="C1266" s="7722" t="s">
        <v>4162</v>
      </c>
      <c r="D1266" s="7714"/>
      <c r="E1266" s="7713" t="s">
        <v>2209</v>
      </c>
      <c r="F1266" s="7713" t="str">
        <f t="shared" si="84"/>
        <v/>
      </c>
      <c r="G1266" s="7713" t="s">
        <v>669</v>
      </c>
      <c r="H1266" s="7713" t="str">
        <f t="shared" si="85"/>
        <v/>
      </c>
      <c r="I1266" s="7714">
        <v>90.0</v>
      </c>
      <c r="J1266" s="7714">
        <v>130.0</v>
      </c>
      <c r="K1266" s="7714">
        <v>88.0</v>
      </c>
      <c r="L1266" s="7714">
        <v>70.0</v>
      </c>
      <c r="M1266" s="7714">
        <v>108.0</v>
      </c>
      <c r="N1266" s="7767">
        <v>104.0</v>
      </c>
      <c r="O1266" s="7701"/>
      <c r="P1266" s="7704"/>
      <c r="Q1266" s="7704"/>
      <c r="R1266" s="7704"/>
      <c r="S1266" s="7705"/>
    </row>
    <row r="1267" ht="18.75" customHeight="1">
      <c r="A1267" s="7696"/>
      <c r="B1267" s="7718" t="s">
        <v>4163</v>
      </c>
      <c r="C1267" s="7719" t="s">
        <v>4164</v>
      </c>
      <c r="D1267" s="7720"/>
      <c r="E1267" s="7719" t="s">
        <v>2209</v>
      </c>
      <c r="F1267" s="7719" t="str">
        <f t="shared" si="84"/>
        <v/>
      </c>
      <c r="G1267" s="7719" t="s">
        <v>2227</v>
      </c>
      <c r="H1267" s="7719" t="str">
        <f t="shared" si="85"/>
        <v/>
      </c>
      <c r="I1267" s="7723">
        <v>80.0</v>
      </c>
      <c r="J1267" s="7723">
        <v>80.0</v>
      </c>
      <c r="K1267" s="7723">
        <v>110.0</v>
      </c>
      <c r="L1267" s="7723">
        <v>95.0</v>
      </c>
      <c r="M1267" s="7723">
        <v>80.0</v>
      </c>
      <c r="N1267" s="7726">
        <v>40.0</v>
      </c>
      <c r="O1267" s="7701"/>
      <c r="P1267" s="7704"/>
      <c r="Q1267" s="7704"/>
      <c r="R1267" s="7704"/>
      <c r="S1267" s="7705"/>
    </row>
    <row r="1268" ht="18.75" customHeight="1">
      <c r="A1268" s="7696"/>
      <c r="B1268" s="7712" t="s">
        <v>4165</v>
      </c>
      <c r="C1268" s="7713" t="s">
        <v>4166</v>
      </c>
      <c r="D1268" s="7714"/>
      <c r="E1268" s="7713" t="s">
        <v>2209</v>
      </c>
      <c r="F1268" s="7713" t="str">
        <f t="shared" ref="F1268:F1284" si="86">IFERROR(VLOOKUP(E1268,P$3:Q1286,2,False),"")</f>
        <v/>
      </c>
      <c r="G1268" s="7713" t="s">
        <v>2447</v>
      </c>
      <c r="H1268" s="7713" t="str">
        <f t="shared" ref="H1268:H1284" si="87">IFERROR(VLOOKUP(G1268,P$3:Q1286,2,False),"")</f>
        <v/>
      </c>
      <c r="I1268" s="7722">
        <v>40.0</v>
      </c>
      <c r="J1268" s="7722">
        <v>45.0</v>
      </c>
      <c r="K1268" s="7722">
        <v>45.0</v>
      </c>
      <c r="L1268" s="7722">
        <v>74.0</v>
      </c>
      <c r="M1268" s="7722">
        <v>54.0</v>
      </c>
      <c r="N1268" s="7724">
        <v>50.0</v>
      </c>
      <c r="O1268" s="7701"/>
      <c r="P1268" s="7704"/>
      <c r="Q1268" s="7704"/>
      <c r="R1268" s="7704"/>
      <c r="S1268" s="7705"/>
    </row>
    <row r="1269" ht="18.75" customHeight="1">
      <c r="A1269" s="7696"/>
      <c r="B1269" s="7718" t="s">
        <v>4167</v>
      </c>
      <c r="C1269" s="7719" t="s">
        <v>4168</v>
      </c>
      <c r="D1269" s="7720"/>
      <c r="E1269" s="7719" t="s">
        <v>2209</v>
      </c>
      <c r="F1269" s="7719" t="str">
        <f t="shared" si="86"/>
        <v/>
      </c>
      <c r="G1269" s="7719" t="s">
        <v>2447</v>
      </c>
      <c r="H1269" s="7719" t="str">
        <f t="shared" si="87"/>
        <v/>
      </c>
      <c r="I1269" s="7723">
        <v>71.0</v>
      </c>
      <c r="J1269" s="7723">
        <v>60.0</v>
      </c>
      <c r="K1269" s="7723">
        <v>106.0</v>
      </c>
      <c r="L1269" s="7723">
        <v>121.0</v>
      </c>
      <c r="M1269" s="7723">
        <v>80.0</v>
      </c>
      <c r="N1269" s="7726">
        <v>70.0</v>
      </c>
      <c r="O1269" s="7701"/>
      <c r="P1269" s="7704"/>
      <c r="Q1269" s="7704"/>
      <c r="R1269" s="7704"/>
      <c r="S1269" s="7705"/>
    </row>
    <row r="1270" ht="18.75" customHeight="1">
      <c r="A1270" s="7696"/>
      <c r="B1270" s="7712" t="s">
        <v>1204</v>
      </c>
      <c r="C1270" s="7713" t="s">
        <v>4169</v>
      </c>
      <c r="D1270" s="7714"/>
      <c r="E1270" s="7713" t="s">
        <v>2210</v>
      </c>
      <c r="F1270" s="7713" t="str">
        <f t="shared" si="86"/>
        <v/>
      </c>
      <c r="G1270" s="7713" t="s">
        <v>2296</v>
      </c>
      <c r="H1270" s="7713" t="str">
        <f t="shared" si="87"/>
        <v/>
      </c>
      <c r="I1270" s="7722">
        <v>88.0</v>
      </c>
      <c r="J1270" s="7722">
        <v>128.0</v>
      </c>
      <c r="K1270" s="7722">
        <v>115.0</v>
      </c>
      <c r="L1270" s="7722">
        <v>58.0</v>
      </c>
      <c r="M1270" s="7722">
        <v>86.0</v>
      </c>
      <c r="N1270" s="7724">
        <v>80.0</v>
      </c>
      <c r="O1270" s="7701"/>
      <c r="P1270" s="7704"/>
      <c r="Q1270" s="7704"/>
      <c r="R1270" s="7704"/>
      <c r="S1270" s="7705"/>
    </row>
    <row r="1271" ht="18.75" customHeight="1">
      <c r="A1271" s="7696"/>
      <c r="B1271" s="7718" t="s">
        <v>1845</v>
      </c>
      <c r="C1271" s="7719" t="s">
        <v>4170</v>
      </c>
      <c r="D1271" s="7720"/>
      <c r="E1271" s="7719" t="s">
        <v>2210</v>
      </c>
      <c r="F1271" s="7719" t="str">
        <f t="shared" si="86"/>
        <v/>
      </c>
      <c r="G1271" s="7719" t="s">
        <v>669</v>
      </c>
      <c r="H1271" s="7719" t="str">
        <f t="shared" si="87"/>
        <v/>
      </c>
      <c r="I1271" s="7723">
        <v>88.0</v>
      </c>
      <c r="J1271" s="7723">
        <v>75.0</v>
      </c>
      <c r="K1271" s="7723">
        <v>66.0</v>
      </c>
      <c r="L1271" s="7723">
        <v>130.0</v>
      </c>
      <c r="M1271" s="7723">
        <v>90.0</v>
      </c>
      <c r="N1271" s="7726">
        <v>106.0</v>
      </c>
      <c r="O1271" s="7701"/>
      <c r="P1271" s="7704"/>
      <c r="Q1271" s="7704"/>
      <c r="R1271" s="7704"/>
      <c r="S1271" s="7705"/>
    </row>
    <row r="1272" ht="18.75" customHeight="1">
      <c r="A1272" s="7696"/>
      <c r="B1272" s="7712" t="s">
        <v>1841</v>
      </c>
      <c r="C1272" s="7713" t="s">
        <v>4171</v>
      </c>
      <c r="D1272" s="7714"/>
      <c r="E1272" s="7713" t="s">
        <v>2210</v>
      </c>
      <c r="F1272" s="7713" t="str">
        <f t="shared" si="86"/>
        <v/>
      </c>
      <c r="G1272" s="7713" t="s">
        <v>2292</v>
      </c>
      <c r="H1272" s="7713" t="str">
        <f t="shared" si="87"/>
        <v/>
      </c>
      <c r="I1272" s="7722">
        <v>88.0</v>
      </c>
      <c r="J1272" s="7722">
        <v>71.0</v>
      </c>
      <c r="K1272" s="7722">
        <v>82.0</v>
      </c>
      <c r="L1272" s="7722">
        <v>91.0</v>
      </c>
      <c r="M1272" s="7722">
        <v>125.0</v>
      </c>
      <c r="N1272" s="7724">
        <v>99.0</v>
      </c>
      <c r="O1272" s="7701"/>
      <c r="P1272" s="7704"/>
      <c r="Q1272" s="7704"/>
      <c r="R1272" s="7704"/>
      <c r="S1272" s="7705"/>
    </row>
    <row r="1273" ht="18.75" customHeight="1">
      <c r="A1273" s="7696"/>
      <c r="B1273" s="7718" t="s">
        <v>4172</v>
      </c>
      <c r="C1273" s="7719" t="s">
        <v>4173</v>
      </c>
      <c r="D1273" s="7720"/>
      <c r="E1273" s="7719" t="s">
        <v>2209</v>
      </c>
      <c r="F1273" s="7719" t="str">
        <f t="shared" si="86"/>
        <v/>
      </c>
      <c r="G1273" s="7719"/>
      <c r="H1273" s="7719" t="str">
        <f t="shared" si="87"/>
        <v/>
      </c>
      <c r="I1273" s="7723">
        <v>80.0</v>
      </c>
      <c r="J1273" s="7723">
        <v>120.0</v>
      </c>
      <c r="K1273" s="7723">
        <v>84.0</v>
      </c>
      <c r="L1273" s="7723">
        <v>60.0</v>
      </c>
      <c r="M1273" s="7723">
        <v>96.0</v>
      </c>
      <c r="N1273" s="7726">
        <v>110.0</v>
      </c>
      <c r="O1273" s="7701"/>
      <c r="P1273" s="7704"/>
      <c r="Q1273" s="7704"/>
      <c r="R1273" s="7704"/>
      <c r="S1273" s="7705"/>
    </row>
    <row r="1274" ht="18.75" customHeight="1">
      <c r="A1274" s="7696"/>
      <c r="B1274" s="7712" t="s">
        <v>1650</v>
      </c>
      <c r="C1274" s="7722" t="s">
        <v>4174</v>
      </c>
      <c r="D1274" s="7714"/>
      <c r="E1274" s="7713" t="s">
        <v>2209</v>
      </c>
      <c r="F1274" s="7713" t="str">
        <f t="shared" si="86"/>
        <v/>
      </c>
      <c r="G1274" s="7713" t="s">
        <v>2232</v>
      </c>
      <c r="H1274" s="7713" t="str">
        <f t="shared" si="87"/>
        <v/>
      </c>
      <c r="I1274" s="7722">
        <v>80.0</v>
      </c>
      <c r="J1274" s="7722">
        <v>120.0</v>
      </c>
      <c r="K1274" s="7722">
        <v>84.0</v>
      </c>
      <c r="L1274" s="7722">
        <v>60.0</v>
      </c>
      <c r="M1274" s="7722">
        <v>96.0</v>
      </c>
      <c r="N1274" s="7724">
        <v>110.0</v>
      </c>
      <c r="O1274" s="7701"/>
      <c r="P1274" s="7704"/>
      <c r="Q1274" s="7704"/>
      <c r="R1274" s="7704"/>
      <c r="S1274" s="7705"/>
    </row>
    <row r="1275" ht="18.75" customHeight="1">
      <c r="A1275" s="7696"/>
      <c r="B1275" s="7718" t="s">
        <v>1577</v>
      </c>
      <c r="C1275" s="7723" t="s">
        <v>4175</v>
      </c>
      <c r="D1275" s="7720"/>
      <c r="E1275" s="7719" t="s">
        <v>2209</v>
      </c>
      <c r="F1275" s="7719" t="str">
        <f t="shared" si="86"/>
        <v/>
      </c>
      <c r="G1275" s="7719" t="s">
        <v>2219</v>
      </c>
      <c r="H1275" s="7719" t="str">
        <f t="shared" si="87"/>
        <v/>
      </c>
      <c r="I1275" s="7723">
        <v>80.0</v>
      </c>
      <c r="J1275" s="7723">
        <v>120.0</v>
      </c>
      <c r="K1275" s="7723">
        <v>84.0</v>
      </c>
      <c r="L1275" s="7723">
        <v>60.0</v>
      </c>
      <c r="M1275" s="7723">
        <v>96.0</v>
      </c>
      <c r="N1275" s="7726">
        <v>110.0</v>
      </c>
      <c r="O1275" s="7701"/>
      <c r="P1275" s="7704"/>
      <c r="Q1275" s="7704"/>
      <c r="R1275" s="7704"/>
      <c r="S1275" s="7705"/>
    </row>
    <row r="1276" ht="18.75" customHeight="1">
      <c r="A1276" s="7696"/>
      <c r="B1276" s="7712" t="s">
        <v>597</v>
      </c>
      <c r="C1276" s="7722" t="s">
        <v>4176</v>
      </c>
      <c r="D1276" s="7714"/>
      <c r="E1276" s="7713" t="s">
        <v>2209</v>
      </c>
      <c r="F1276" s="7713" t="str">
        <f t="shared" si="86"/>
        <v/>
      </c>
      <c r="G1276" s="7713" t="s">
        <v>2370</v>
      </c>
      <c r="H1276" s="7713" t="str">
        <f t="shared" si="87"/>
        <v/>
      </c>
      <c r="I1276" s="7722">
        <v>80.0</v>
      </c>
      <c r="J1276" s="7722">
        <v>120.0</v>
      </c>
      <c r="K1276" s="7722">
        <v>84.0</v>
      </c>
      <c r="L1276" s="7722">
        <v>60.0</v>
      </c>
      <c r="M1276" s="7722">
        <v>96.0</v>
      </c>
      <c r="N1276" s="7724">
        <v>110.0</v>
      </c>
      <c r="O1276" s="7701"/>
      <c r="P1276" s="7704"/>
      <c r="Q1276" s="7704"/>
      <c r="R1276" s="7704"/>
      <c r="S1276" s="7705"/>
    </row>
    <row r="1277" ht="18.75" customHeight="1">
      <c r="A1277" s="7696"/>
      <c r="B1277" s="7718" t="s">
        <v>706</v>
      </c>
      <c r="C1277" s="7719" t="s">
        <v>4177</v>
      </c>
      <c r="D1277" s="7720"/>
      <c r="E1277" s="7719" t="s">
        <v>2286</v>
      </c>
      <c r="F1277" s="7719" t="str">
        <f t="shared" si="86"/>
        <v/>
      </c>
      <c r="G1277" s="7719" t="s">
        <v>2227</v>
      </c>
      <c r="H1277" s="7719" t="str">
        <f t="shared" si="87"/>
        <v/>
      </c>
      <c r="I1277" s="7723">
        <v>90.0</v>
      </c>
      <c r="J1277" s="7723">
        <v>105.0</v>
      </c>
      <c r="K1277" s="7723">
        <v>130.0</v>
      </c>
      <c r="L1277" s="7723">
        <v>125.0</v>
      </c>
      <c r="M1277" s="7723">
        <v>65.0</v>
      </c>
      <c r="N1277" s="7726">
        <v>85.0</v>
      </c>
      <c r="O1277" s="7701"/>
      <c r="P1277" s="7704"/>
      <c r="Q1277" s="7704"/>
      <c r="R1277" s="7704"/>
      <c r="S1277" s="7705"/>
    </row>
    <row r="1278" ht="18.75" customHeight="1">
      <c r="A1278" s="7696"/>
      <c r="B1278" s="7712" t="s">
        <v>1840</v>
      </c>
      <c r="C1278" s="7713" t="s">
        <v>4178</v>
      </c>
      <c r="D1278" s="7714"/>
      <c r="E1278" s="7713" t="s">
        <v>2209</v>
      </c>
      <c r="F1278" s="7713" t="str">
        <f t="shared" si="86"/>
        <v/>
      </c>
      <c r="G1278" s="7713" t="s">
        <v>2227</v>
      </c>
      <c r="H1278" s="7713" t="str">
        <f t="shared" si="87"/>
        <v/>
      </c>
      <c r="I1278" s="7722">
        <v>106.0</v>
      </c>
      <c r="J1278" s="7722">
        <v>80.0</v>
      </c>
      <c r="K1278" s="7722">
        <v>110.0</v>
      </c>
      <c r="L1278" s="7722">
        <v>120.0</v>
      </c>
      <c r="M1278" s="7722">
        <v>80.0</v>
      </c>
      <c r="N1278" s="7724">
        <v>44.0</v>
      </c>
      <c r="O1278" s="7701"/>
      <c r="P1278" s="7704"/>
      <c r="Q1278" s="7704"/>
      <c r="R1278" s="7704"/>
      <c r="S1278" s="7705"/>
    </row>
    <row r="1279" ht="18.75" customHeight="1">
      <c r="A1279" s="7696"/>
      <c r="B1279" s="7718" t="s">
        <v>1937</v>
      </c>
      <c r="C1279" s="7723" t="s">
        <v>4179</v>
      </c>
      <c r="D1279" s="7720"/>
      <c r="E1279" s="7719" t="s">
        <v>2219</v>
      </c>
      <c r="F1279" s="7719" t="str">
        <f t="shared" si="86"/>
        <v/>
      </c>
      <c r="G1279" s="7719" t="s">
        <v>2227</v>
      </c>
      <c r="H1279" s="7719" t="str">
        <f t="shared" si="87"/>
        <v/>
      </c>
      <c r="I1279" s="7723">
        <v>105.0</v>
      </c>
      <c r="J1279" s="7723">
        <v>115.0</v>
      </c>
      <c r="K1279" s="7723">
        <v>121.0</v>
      </c>
      <c r="L1279" s="7723">
        <v>65.0</v>
      </c>
      <c r="M1279" s="7723">
        <v>93.0</v>
      </c>
      <c r="N1279" s="7726">
        <v>91.0</v>
      </c>
      <c r="O1279" s="7701"/>
      <c r="P1279" s="7704"/>
      <c r="Q1279" s="7704"/>
      <c r="R1279" s="7704"/>
      <c r="S1279" s="7705"/>
    </row>
    <row r="1280" ht="18.75" customHeight="1">
      <c r="A1280" s="7696"/>
      <c r="B1280" s="7712" t="s">
        <v>1716</v>
      </c>
      <c r="C1280" s="7722" t="s">
        <v>4180</v>
      </c>
      <c r="D1280" s="7714"/>
      <c r="E1280" s="7713" t="s">
        <v>2283</v>
      </c>
      <c r="F1280" s="7713" t="str">
        <f t="shared" si="86"/>
        <v/>
      </c>
      <c r="G1280" s="7713" t="s">
        <v>2227</v>
      </c>
      <c r="H1280" s="7713" t="str">
        <f t="shared" si="87"/>
        <v/>
      </c>
      <c r="I1280" s="7722">
        <v>125.0</v>
      </c>
      <c r="J1280" s="7722">
        <v>73.0</v>
      </c>
      <c r="K1280" s="7722">
        <v>91.0</v>
      </c>
      <c r="L1280" s="7722">
        <v>137.0</v>
      </c>
      <c r="M1280" s="7722">
        <v>89.0</v>
      </c>
      <c r="N1280" s="7724">
        <v>75.0</v>
      </c>
      <c r="O1280" s="7701"/>
      <c r="P1280" s="7704"/>
      <c r="Q1280" s="7704"/>
      <c r="R1280" s="7768"/>
      <c r="S1280" s="7705"/>
    </row>
    <row r="1281" ht="18.75" customHeight="1">
      <c r="A1281" s="7696"/>
      <c r="B1281" s="7718" t="s">
        <v>723</v>
      </c>
      <c r="C1281" s="7723" t="s">
        <v>4181</v>
      </c>
      <c r="D1281" s="7720"/>
      <c r="E1281" s="7719" t="s">
        <v>2370</v>
      </c>
      <c r="F1281" s="7719" t="str">
        <f t="shared" si="86"/>
        <v/>
      </c>
      <c r="G1281" s="7719" t="s">
        <v>669</v>
      </c>
      <c r="H1281" s="7719" t="str">
        <f t="shared" si="87"/>
        <v/>
      </c>
      <c r="I1281" s="7723">
        <v>90.0</v>
      </c>
      <c r="J1281" s="7723">
        <v>120.0</v>
      </c>
      <c r="K1281" s="7723">
        <v>80.0</v>
      </c>
      <c r="L1281" s="7723">
        <v>68.0</v>
      </c>
      <c r="M1281" s="7723">
        <v>108.0</v>
      </c>
      <c r="N1281" s="7726">
        <v>124.0</v>
      </c>
      <c r="O1281" s="7701"/>
      <c r="P1281" s="7704"/>
      <c r="Q1281" s="7704"/>
      <c r="R1281" s="7704"/>
      <c r="S1281" s="7705"/>
    </row>
    <row r="1282" ht="18.75" customHeight="1">
      <c r="A1282" s="7696"/>
      <c r="B1282" s="7712" t="s">
        <v>883</v>
      </c>
      <c r="C1282" s="7722" t="s">
        <v>4182</v>
      </c>
      <c r="D1282" s="7714"/>
      <c r="E1282" s="7713" t="s">
        <v>2286</v>
      </c>
      <c r="F1282" s="7713" t="str">
        <f t="shared" si="86"/>
        <v/>
      </c>
      <c r="G1282" s="7713" t="s">
        <v>669</v>
      </c>
      <c r="H1282" s="7713" t="str">
        <f t="shared" si="87"/>
        <v/>
      </c>
      <c r="I1282" s="7722">
        <v>90.0</v>
      </c>
      <c r="J1282" s="7722">
        <v>72.0</v>
      </c>
      <c r="K1282" s="7722">
        <v>100.0</v>
      </c>
      <c r="L1282" s="7722">
        <v>122.0</v>
      </c>
      <c r="M1282" s="7722">
        <v>108.0</v>
      </c>
      <c r="N1282" s="7724">
        <v>98.0</v>
      </c>
      <c r="O1282" s="7701"/>
      <c r="P1282" s="7704"/>
      <c r="Q1282" s="7704"/>
      <c r="R1282" s="7704"/>
      <c r="S1282" s="7705"/>
    </row>
    <row r="1283" ht="18.75" customHeight="1">
      <c r="A1283" s="7696"/>
      <c r="B1283" s="7718" t="s">
        <v>4183</v>
      </c>
      <c r="C1283" s="7719" t="s">
        <v>4184</v>
      </c>
      <c r="D1283" s="7720"/>
      <c r="E1283" s="7719" t="s">
        <v>2262</v>
      </c>
      <c r="F1283" s="7719" t="str">
        <f t="shared" si="86"/>
        <v/>
      </c>
      <c r="G1283" s="7719"/>
      <c r="H1283" s="7719" t="str">
        <f t="shared" si="87"/>
        <v/>
      </c>
      <c r="I1283" s="7723">
        <v>110.0</v>
      </c>
      <c r="J1283" s="7723">
        <v>95.0</v>
      </c>
      <c r="K1283" s="7723">
        <v>110.0</v>
      </c>
      <c r="L1283" s="7723">
        <v>105.0</v>
      </c>
      <c r="M1283" s="7723">
        <v>110.0</v>
      </c>
      <c r="N1283" s="7726">
        <v>85.0</v>
      </c>
      <c r="O1283" s="7701"/>
      <c r="P1283" s="7704"/>
      <c r="Q1283" s="7704"/>
      <c r="R1283" s="7704"/>
      <c r="S1283" s="7705"/>
    </row>
    <row r="1284" ht="18.75" customHeight="1">
      <c r="A1284" s="7696"/>
      <c r="B1284" s="7736" t="s">
        <v>4185</v>
      </c>
      <c r="C1284" s="7737" t="s">
        <v>4186</v>
      </c>
      <c r="D1284" s="7738"/>
      <c r="E1284" s="7737" t="s">
        <v>2210</v>
      </c>
      <c r="F1284" s="7737" t="str">
        <f t="shared" si="86"/>
        <v/>
      </c>
      <c r="G1284" s="7737" t="s">
        <v>2447</v>
      </c>
      <c r="H1284" s="7737" t="str">
        <f t="shared" si="87"/>
        <v/>
      </c>
      <c r="I1284" s="7748">
        <v>88.0</v>
      </c>
      <c r="J1284" s="7748">
        <v>88.0</v>
      </c>
      <c r="K1284" s="7748">
        <v>160.0</v>
      </c>
      <c r="L1284" s="7748">
        <v>88.0</v>
      </c>
      <c r="M1284" s="7748">
        <v>88.0</v>
      </c>
      <c r="N1284" s="7769">
        <v>88.0</v>
      </c>
      <c r="O1284" s="7701"/>
      <c r="P1284" s="7704"/>
      <c r="Q1284" s="7704"/>
      <c r="R1284" s="7704"/>
      <c r="S1284" s="7705"/>
    </row>
    <row r="1285">
      <c r="A1285" s="7696"/>
      <c r="B1285" s="7694"/>
      <c r="C1285" s="7694"/>
      <c r="D1285" s="7694"/>
      <c r="E1285" s="7694"/>
      <c r="F1285" s="7694"/>
      <c r="G1285" s="7694"/>
      <c r="H1285" s="7694"/>
      <c r="I1285" s="7694"/>
      <c r="J1285" s="7694"/>
      <c r="K1285" s="7694"/>
      <c r="L1285" s="7694"/>
      <c r="M1285" s="7694"/>
      <c r="N1285" s="7694"/>
      <c r="O1285" s="7696"/>
      <c r="P1285" s="7696"/>
      <c r="Q1285" s="7694"/>
      <c r="R1285" s="7694"/>
      <c r="S1285" s="7705"/>
    </row>
    <row r="1286">
      <c r="A1286" s="7696"/>
      <c r="B1286" s="7754" t="s">
        <v>4187</v>
      </c>
      <c r="C1286" s="7759"/>
      <c r="D1286" s="7759"/>
      <c r="E1286" s="7759"/>
      <c r="F1286" s="7759"/>
      <c r="G1286" s="7759"/>
      <c r="H1286" s="7760"/>
      <c r="I1286" s="7757" t="s">
        <v>513</v>
      </c>
      <c r="J1286" s="7757" t="s">
        <v>514</v>
      </c>
      <c r="K1286" s="7757" t="s">
        <v>515</v>
      </c>
      <c r="L1286" s="7757" t="s">
        <v>516</v>
      </c>
      <c r="M1286" s="7757" t="s">
        <v>517</v>
      </c>
      <c r="N1286" s="7758" t="s">
        <v>518</v>
      </c>
      <c r="O1286" s="7701"/>
      <c r="P1286" s="7704"/>
      <c r="Q1286" s="7704"/>
      <c r="R1286" s="7704"/>
      <c r="S1286" s="7705"/>
    </row>
    <row r="1287" ht="18.75" customHeight="1">
      <c r="A1287" s="7696"/>
      <c r="B1287" s="7742" t="s">
        <v>4188</v>
      </c>
      <c r="C1287" s="7770" t="s">
        <v>4189</v>
      </c>
      <c r="D1287" s="7744"/>
      <c r="E1287" s="7745" t="s">
        <v>2219</v>
      </c>
      <c r="F1287" s="7745" t="str">
        <f t="shared" ref="F1287:F1310" si="88">IFERROR(VLOOKUP(E1287,P$3:Q1304,2,False),"")</f>
        <v/>
      </c>
      <c r="G1287" s="7745" t="s">
        <v>2304</v>
      </c>
      <c r="H1287" s="7745" t="str">
        <f t="shared" ref="H1287:H1310" si="89">IFERROR(VLOOKUP(G1287,P$3:Q1304,2,False),"")</f>
        <v/>
      </c>
      <c r="I1287" s="7771">
        <v>40.0</v>
      </c>
      <c r="J1287" s="7771">
        <v>80.0</v>
      </c>
      <c r="K1287" s="7771">
        <v>45.0</v>
      </c>
      <c r="L1287" s="7771">
        <v>35.0</v>
      </c>
      <c r="M1287" s="7771">
        <v>35.0</v>
      </c>
      <c r="N1287" s="7772">
        <v>75.0</v>
      </c>
      <c r="O1287" s="7701"/>
      <c r="P1287" s="7704"/>
      <c r="Q1287" s="7704"/>
      <c r="R1287" s="7704"/>
      <c r="S1287" s="7705"/>
    </row>
    <row r="1288" ht="18.75" customHeight="1">
      <c r="A1288" s="7696"/>
      <c r="B1288" s="7712" t="s">
        <v>2015</v>
      </c>
      <c r="C1288" s="7722" t="s">
        <v>4190</v>
      </c>
      <c r="D1288" s="7714"/>
      <c r="E1288" s="7713" t="s">
        <v>2219</v>
      </c>
      <c r="F1288" s="7713" t="str">
        <f t="shared" si="88"/>
        <v/>
      </c>
      <c r="G1288" s="7713" t="s">
        <v>2304</v>
      </c>
      <c r="H1288" s="7713" t="str">
        <f t="shared" si="89"/>
        <v/>
      </c>
      <c r="I1288" s="7714">
        <v>70.0</v>
      </c>
      <c r="J1288" s="7722">
        <v>125.0</v>
      </c>
      <c r="K1288" s="7714">
        <v>65.0</v>
      </c>
      <c r="L1288" s="7714">
        <v>50.0</v>
      </c>
      <c r="M1288" s="7714">
        <v>60.0</v>
      </c>
      <c r="N1288" s="7767">
        <v>110.0</v>
      </c>
      <c r="O1288" s="7701"/>
      <c r="P1288" s="7704"/>
      <c r="Q1288" s="7704"/>
      <c r="R1288" s="7704"/>
      <c r="S1288" s="7705"/>
    </row>
    <row r="1289" ht="18.75" customHeight="1">
      <c r="A1289" s="7696"/>
      <c r="B1289" s="7718" t="s">
        <v>4191</v>
      </c>
      <c r="C1289" s="7723" t="s">
        <v>4192</v>
      </c>
      <c r="D1289" s="7720"/>
      <c r="E1289" s="7719" t="s">
        <v>2447</v>
      </c>
      <c r="F1289" s="7719" t="str">
        <f t="shared" si="88"/>
        <v/>
      </c>
      <c r="G1289" s="7719"/>
      <c r="H1289" s="7719" t="str">
        <f t="shared" si="89"/>
        <v/>
      </c>
      <c r="I1289" s="7720">
        <v>55.0</v>
      </c>
      <c r="J1289" s="7720">
        <v>80.0</v>
      </c>
      <c r="K1289" s="7720">
        <v>50.0</v>
      </c>
      <c r="L1289" s="7720">
        <v>45.0</v>
      </c>
      <c r="M1289" s="7720">
        <v>50.0</v>
      </c>
      <c r="N1289" s="7766">
        <v>50.0</v>
      </c>
      <c r="O1289" s="7701"/>
      <c r="P1289" s="7704"/>
      <c r="Q1289" s="7704"/>
      <c r="R1289" s="7704"/>
      <c r="S1289" s="7705"/>
    </row>
    <row r="1290" ht="18.75" customHeight="1">
      <c r="A1290" s="7696"/>
      <c r="B1290" s="7712" t="s">
        <v>2064</v>
      </c>
      <c r="C1290" s="7722" t="s">
        <v>4193</v>
      </c>
      <c r="D1290" s="7714"/>
      <c r="E1290" s="7713" t="s">
        <v>2447</v>
      </c>
      <c r="F1290" s="7713" t="str">
        <f t="shared" si="88"/>
        <v/>
      </c>
      <c r="G1290" s="7713" t="s">
        <v>2296</v>
      </c>
      <c r="H1290" s="7713" t="str">
        <f t="shared" si="89"/>
        <v/>
      </c>
      <c r="I1290" s="7714">
        <v>100.0</v>
      </c>
      <c r="J1290" s="7714">
        <v>110.0</v>
      </c>
      <c r="K1290" s="7714">
        <v>90.0</v>
      </c>
      <c r="L1290" s="7714">
        <v>55.0</v>
      </c>
      <c r="M1290" s="7714">
        <v>90.0</v>
      </c>
      <c r="N1290" s="7767">
        <v>55.0</v>
      </c>
      <c r="O1290" s="7701"/>
      <c r="P1290" s="7704"/>
      <c r="Q1290" s="7704"/>
      <c r="R1290" s="7704"/>
      <c r="S1290" s="7705"/>
    </row>
    <row r="1291" ht="18.75" customHeight="1">
      <c r="A1291" s="7696"/>
      <c r="B1291" s="7718" t="s">
        <v>4194</v>
      </c>
      <c r="C1291" s="7723" t="s">
        <v>4195</v>
      </c>
      <c r="D1291" s="7720"/>
      <c r="E1291" s="7719" t="s">
        <v>2283</v>
      </c>
      <c r="F1291" s="7719" t="str">
        <f t="shared" si="88"/>
        <v/>
      </c>
      <c r="G1291" s="7719" t="s">
        <v>2210</v>
      </c>
      <c r="H1291" s="7719" t="str">
        <f t="shared" si="89"/>
        <v/>
      </c>
      <c r="I1291" s="7720">
        <v>45.0</v>
      </c>
      <c r="J1291" s="7720">
        <v>20.0</v>
      </c>
      <c r="K1291" s="7720">
        <v>55.0</v>
      </c>
      <c r="L1291" s="7720">
        <v>70.0</v>
      </c>
      <c r="M1291" s="7720">
        <v>85.0</v>
      </c>
      <c r="N1291" s="7766">
        <v>70.0</v>
      </c>
      <c r="O1291" s="7701"/>
      <c r="P1291" s="7704"/>
      <c r="Q1291" s="7704"/>
      <c r="R1291" s="7704"/>
      <c r="S1291" s="7705"/>
    </row>
    <row r="1292" ht="18.75" customHeight="1">
      <c r="A1292" s="7696"/>
      <c r="B1292" s="7712" t="s">
        <v>2071</v>
      </c>
      <c r="C1292" s="7722" t="s">
        <v>4196</v>
      </c>
      <c r="D1292" s="7714"/>
      <c r="E1292" s="7713" t="s">
        <v>2283</v>
      </c>
      <c r="F1292" s="7713" t="str">
        <f t="shared" si="88"/>
        <v/>
      </c>
      <c r="G1292" s="7713" t="s">
        <v>2210</v>
      </c>
      <c r="H1292" s="7713" t="str">
        <f t="shared" si="89"/>
        <v/>
      </c>
      <c r="I1292" s="7714">
        <v>80.0</v>
      </c>
      <c r="J1292" s="7714">
        <v>30.0</v>
      </c>
      <c r="K1292" s="7714">
        <v>70.0</v>
      </c>
      <c r="L1292" s="7714">
        <v>100.0</v>
      </c>
      <c r="M1292" s="7714">
        <v>120.0</v>
      </c>
      <c r="N1292" s="7767">
        <v>95.0</v>
      </c>
      <c r="O1292" s="7701"/>
      <c r="P1292" s="7704"/>
      <c r="Q1292" s="7704"/>
      <c r="R1292" s="7704"/>
      <c r="S1292" s="7705"/>
    </row>
    <row r="1293" ht="18.75" customHeight="1">
      <c r="A1293" s="7696"/>
      <c r="B1293" s="7718" t="s">
        <v>4197</v>
      </c>
      <c r="C1293" s="7723" t="s">
        <v>4198</v>
      </c>
      <c r="D1293" s="7720"/>
      <c r="E1293" s="7719" t="s">
        <v>2232</v>
      </c>
      <c r="F1293" s="7719" t="str">
        <f t="shared" si="88"/>
        <v/>
      </c>
      <c r="G1293" s="7719" t="s">
        <v>2304</v>
      </c>
      <c r="H1293" s="7719" t="str">
        <f t="shared" si="89"/>
        <v/>
      </c>
      <c r="I1293" s="7720">
        <v>20.0</v>
      </c>
      <c r="J1293" s="7720">
        <v>15.0</v>
      </c>
      <c r="K1293" s="7720">
        <v>20.0</v>
      </c>
      <c r="L1293" s="7720">
        <v>10.0</v>
      </c>
      <c r="M1293" s="7720">
        <v>55.0</v>
      </c>
      <c r="N1293" s="7766">
        <v>80.0</v>
      </c>
      <c r="O1293" s="7701"/>
      <c r="P1293" s="7704"/>
      <c r="Q1293" s="7704"/>
      <c r="R1293" s="7704"/>
      <c r="S1293" s="7705"/>
    </row>
    <row r="1294" ht="18.75" customHeight="1">
      <c r="A1294" s="7696"/>
      <c r="B1294" s="7712" t="s">
        <v>2037</v>
      </c>
      <c r="C1294" s="7722" t="s">
        <v>4199</v>
      </c>
      <c r="D1294" s="7714"/>
      <c r="E1294" s="7713" t="s">
        <v>2292</v>
      </c>
      <c r="F1294" s="7713" t="str">
        <f t="shared" si="88"/>
        <v/>
      </c>
      <c r="G1294" s="7713" t="s">
        <v>2304</v>
      </c>
      <c r="H1294" s="7713" t="str">
        <f t="shared" si="89"/>
        <v/>
      </c>
      <c r="I1294" s="7714">
        <v>95.0</v>
      </c>
      <c r="J1294" s="7714">
        <v>60.0</v>
      </c>
      <c r="K1294" s="7714">
        <v>84.0</v>
      </c>
      <c r="L1294" s="7714">
        <v>105.0</v>
      </c>
      <c r="M1294" s="7714">
        <v>125.0</v>
      </c>
      <c r="N1294" s="7767">
        <v>81.0</v>
      </c>
      <c r="O1294" s="7701"/>
      <c r="P1294" s="7704"/>
      <c r="Q1294" s="7704"/>
      <c r="R1294" s="7704"/>
      <c r="S1294" s="7705"/>
    </row>
    <row r="1295" ht="18.75" customHeight="1">
      <c r="A1295" s="7696"/>
      <c r="B1295" s="7718" t="s">
        <v>4200</v>
      </c>
      <c r="C1295" s="7723" t="s">
        <v>4201</v>
      </c>
      <c r="D1295" s="7720"/>
      <c r="E1295" s="7719" t="s">
        <v>2210</v>
      </c>
      <c r="F1295" s="7719" t="str">
        <f t="shared" si="88"/>
        <v/>
      </c>
      <c r="G1295" s="7719" t="s">
        <v>2286</v>
      </c>
      <c r="H1295" s="7719" t="str">
        <f t="shared" si="89"/>
        <v/>
      </c>
      <c r="I1295" s="7720">
        <v>94.0</v>
      </c>
      <c r="J1295" s="7720">
        <v>100.0</v>
      </c>
      <c r="K1295" s="7720">
        <v>92.0</v>
      </c>
      <c r="L1295" s="7720">
        <v>55.0</v>
      </c>
      <c r="M1295" s="7720">
        <v>77.0</v>
      </c>
      <c r="N1295" s="7766">
        <v>36.0</v>
      </c>
      <c r="O1295" s="7701"/>
      <c r="P1295" s="7704"/>
      <c r="Q1295" s="7704"/>
      <c r="R1295" s="7704"/>
      <c r="S1295" s="7705"/>
    </row>
    <row r="1296" ht="18.75" customHeight="1">
      <c r="A1296" s="7696"/>
      <c r="B1296" s="7712" t="s">
        <v>4202</v>
      </c>
      <c r="C1296" s="7722" t="s">
        <v>4203</v>
      </c>
      <c r="D1296" s="7714"/>
      <c r="E1296" s="7713" t="s">
        <v>2289</v>
      </c>
      <c r="F1296" s="7713" t="str">
        <f t="shared" si="88"/>
        <v/>
      </c>
      <c r="G1296" s="7713" t="s">
        <v>2283</v>
      </c>
      <c r="H1296" s="7713" t="str">
        <f t="shared" si="89"/>
        <v/>
      </c>
      <c r="I1296" s="7714">
        <v>45.0</v>
      </c>
      <c r="J1296" s="7714">
        <v>45.0</v>
      </c>
      <c r="K1296" s="7714">
        <v>32.0</v>
      </c>
      <c r="L1296" s="7714">
        <v>65.0</v>
      </c>
      <c r="M1296" s="7714">
        <v>32.0</v>
      </c>
      <c r="N1296" s="7767">
        <v>76.0</v>
      </c>
      <c r="O1296" s="7701"/>
      <c r="P1296" s="7704"/>
      <c r="Q1296" s="7704"/>
      <c r="R1296" s="7704"/>
      <c r="S1296" s="7705"/>
    </row>
    <row r="1297" ht="18.75" customHeight="1">
      <c r="A1297" s="7696"/>
      <c r="B1297" s="7718" t="s">
        <v>2019</v>
      </c>
      <c r="C1297" s="7723" t="s">
        <v>4204</v>
      </c>
      <c r="D1297" s="7720"/>
      <c r="E1297" s="7719" t="s">
        <v>2289</v>
      </c>
      <c r="F1297" s="7719" t="str">
        <f t="shared" si="88"/>
        <v/>
      </c>
      <c r="G1297" s="7719" t="s">
        <v>2283</v>
      </c>
      <c r="H1297" s="7719" t="str">
        <f t="shared" si="89"/>
        <v/>
      </c>
      <c r="I1297" s="7720">
        <v>75.0</v>
      </c>
      <c r="J1297" s="7720">
        <v>70.0</v>
      </c>
      <c r="K1297" s="7720">
        <v>63.0</v>
      </c>
      <c r="L1297" s="7720">
        <v>110.0</v>
      </c>
      <c r="M1297" s="7720">
        <v>63.0</v>
      </c>
      <c r="N1297" s="7766">
        <v>116.0</v>
      </c>
      <c r="O1297" s="7701"/>
      <c r="P1297" s="7704"/>
      <c r="Q1297" s="7704"/>
      <c r="R1297" s="7704"/>
      <c r="S1297" s="7705"/>
    </row>
    <row r="1298" ht="18.75" customHeight="1">
      <c r="A1298" s="7696"/>
      <c r="B1298" s="7712" t="s">
        <v>4205</v>
      </c>
      <c r="C1298" s="7722" t="s">
        <v>4206</v>
      </c>
      <c r="D1298" s="7714"/>
      <c r="E1298" s="7713" t="s">
        <v>2243</v>
      </c>
      <c r="F1298" s="7713" t="str">
        <f t="shared" si="88"/>
        <v/>
      </c>
      <c r="G1298" s="7713" t="s">
        <v>2272</v>
      </c>
      <c r="H1298" s="7713" t="str">
        <f t="shared" si="89"/>
        <v/>
      </c>
      <c r="I1298" s="7714">
        <v>50.0</v>
      </c>
      <c r="J1298" s="7714">
        <v>38.0</v>
      </c>
      <c r="K1298" s="7714">
        <v>62.0</v>
      </c>
      <c r="L1298" s="7714">
        <v>58.0</v>
      </c>
      <c r="M1298" s="7714">
        <v>63.0</v>
      </c>
      <c r="N1298" s="7767">
        <v>59.0</v>
      </c>
      <c r="O1298" s="7701"/>
      <c r="P1298" s="7704"/>
      <c r="Q1298" s="7704"/>
      <c r="R1298" s="7704"/>
      <c r="S1298" s="7705"/>
    </row>
    <row r="1299" ht="18.75" customHeight="1">
      <c r="A1299" s="7696"/>
      <c r="B1299" s="7718" t="s">
        <v>2098</v>
      </c>
      <c r="C1299" s="7723" t="s">
        <v>4207</v>
      </c>
      <c r="D1299" s="7720"/>
      <c r="E1299" s="7719" t="s">
        <v>2243</v>
      </c>
      <c r="F1299" s="7719" t="str">
        <f t="shared" si="88"/>
        <v/>
      </c>
      <c r="G1299" s="7719" t="s">
        <v>2272</v>
      </c>
      <c r="H1299" s="7719" t="str">
        <f t="shared" si="89"/>
        <v/>
      </c>
      <c r="I1299" s="7720">
        <v>81.0</v>
      </c>
      <c r="J1299" s="7720">
        <v>63.0</v>
      </c>
      <c r="K1299" s="7720">
        <v>83.0</v>
      </c>
      <c r="L1299" s="7720">
        <v>110.0</v>
      </c>
      <c r="M1299" s="7720">
        <v>79.0</v>
      </c>
      <c r="N1299" s="7766">
        <v>97.0</v>
      </c>
      <c r="O1299" s="7701"/>
      <c r="P1299" s="7704"/>
      <c r="Q1299" s="7704"/>
      <c r="R1299" s="7704"/>
      <c r="S1299" s="7705"/>
    </row>
    <row r="1300" ht="18.75" customHeight="1">
      <c r="A1300" s="7696"/>
      <c r="B1300" s="7712" t="s">
        <v>4208</v>
      </c>
      <c r="C1300" s="7722" t="s">
        <v>4209</v>
      </c>
      <c r="D1300" s="7714"/>
      <c r="E1300" s="7713" t="s">
        <v>2370</v>
      </c>
      <c r="F1300" s="7713" t="str">
        <f t="shared" si="88"/>
        <v/>
      </c>
      <c r="G1300" s="7713" t="s">
        <v>2227</v>
      </c>
      <c r="H1300" s="7713" t="str">
        <f t="shared" si="89"/>
        <v/>
      </c>
      <c r="I1300" s="7714">
        <v>40.0</v>
      </c>
      <c r="J1300" s="7714">
        <v>45.0</v>
      </c>
      <c r="K1300" s="7714">
        <v>35.0</v>
      </c>
      <c r="L1300" s="7714">
        <v>30.0</v>
      </c>
      <c r="M1300" s="7714">
        <v>40.0</v>
      </c>
      <c r="N1300" s="7767">
        <v>55.0</v>
      </c>
      <c r="O1300" s="7701"/>
      <c r="P1300" s="7704"/>
      <c r="Q1300" s="7704"/>
      <c r="R1300" s="7704"/>
      <c r="S1300" s="7705"/>
    </row>
    <row r="1301" ht="18.75" customHeight="1">
      <c r="A1301" s="7696"/>
      <c r="B1301" s="7718" t="s">
        <v>4210</v>
      </c>
      <c r="C1301" s="7723" t="s">
        <v>4211</v>
      </c>
      <c r="D1301" s="7720"/>
      <c r="E1301" s="7719" t="s">
        <v>2370</v>
      </c>
      <c r="F1301" s="7719" t="str">
        <f t="shared" si="88"/>
        <v/>
      </c>
      <c r="G1301" s="7719" t="s">
        <v>2227</v>
      </c>
      <c r="H1301" s="7719" t="str">
        <f t="shared" si="89"/>
        <v/>
      </c>
      <c r="I1301" s="7720">
        <v>85.0</v>
      </c>
      <c r="J1301" s="7720">
        <v>102.0</v>
      </c>
      <c r="K1301" s="7720">
        <v>80.0</v>
      </c>
      <c r="L1301" s="7720">
        <v>70.0</v>
      </c>
      <c r="M1301" s="7720">
        <v>80.0</v>
      </c>
      <c r="N1301" s="7766">
        <v>123.0</v>
      </c>
      <c r="O1301" s="7701"/>
      <c r="P1301" s="7704"/>
      <c r="Q1301" s="7704"/>
      <c r="R1301" s="7704"/>
      <c r="S1301" s="7705"/>
    </row>
    <row r="1302" ht="18.75" customHeight="1">
      <c r="A1302" s="7696"/>
      <c r="B1302" s="7712" t="s">
        <v>4212</v>
      </c>
      <c r="C1302" s="7722" t="s">
        <v>4213</v>
      </c>
      <c r="D1302" s="7714"/>
      <c r="E1302" s="7713" t="s">
        <v>2447</v>
      </c>
      <c r="F1302" s="7713" t="str">
        <f t="shared" si="88"/>
        <v/>
      </c>
      <c r="G1302" s="7713"/>
      <c r="H1302" s="7713" t="str">
        <f t="shared" si="89"/>
        <v/>
      </c>
      <c r="I1302" s="7714">
        <v>55.0</v>
      </c>
      <c r="J1302" s="7714">
        <v>20.0</v>
      </c>
      <c r="K1302" s="7714">
        <v>20.0</v>
      </c>
      <c r="L1302" s="7714">
        <v>25.0</v>
      </c>
      <c r="M1302" s="7714">
        <v>25.0</v>
      </c>
      <c r="N1302" s="7724">
        <v>35.0</v>
      </c>
      <c r="O1302" s="7701"/>
      <c r="P1302" s="7704"/>
      <c r="Q1302" s="7704"/>
      <c r="R1302" s="7704"/>
      <c r="S1302" s="7705"/>
    </row>
    <row r="1303" ht="18.75" customHeight="1">
      <c r="A1303" s="7696"/>
      <c r="B1303" s="7718" t="s">
        <v>1995</v>
      </c>
      <c r="C1303" s="7723" t="s">
        <v>4214</v>
      </c>
      <c r="D1303" s="7720"/>
      <c r="E1303" s="7719" t="s">
        <v>2447</v>
      </c>
      <c r="F1303" s="7719" t="str">
        <f t="shared" si="88"/>
        <v/>
      </c>
      <c r="G1303" s="7719" t="s">
        <v>2227</v>
      </c>
      <c r="H1303" s="7719" t="str">
        <f t="shared" si="89"/>
        <v/>
      </c>
      <c r="I1303" s="7720">
        <v>55.0</v>
      </c>
      <c r="J1303" s="7720">
        <v>140.0</v>
      </c>
      <c r="K1303" s="7720">
        <v>130.0</v>
      </c>
      <c r="L1303" s="7720">
        <v>140.0</v>
      </c>
      <c r="M1303" s="7720">
        <v>135.0</v>
      </c>
      <c r="N1303" s="7726">
        <v>25.0</v>
      </c>
      <c r="O1303" s="7701"/>
      <c r="P1303" s="7704"/>
      <c r="Q1303" s="7704"/>
      <c r="R1303" s="7704"/>
      <c r="S1303" s="7705"/>
    </row>
    <row r="1304" ht="18.75" customHeight="1">
      <c r="A1304" s="7696"/>
      <c r="B1304" s="7712" t="s">
        <v>4215</v>
      </c>
      <c r="C1304" s="7722" t="s">
        <v>4216</v>
      </c>
      <c r="D1304" s="7714"/>
      <c r="E1304" s="7713" t="s">
        <v>2232</v>
      </c>
      <c r="F1304" s="7713" t="str">
        <f t="shared" si="88"/>
        <v/>
      </c>
      <c r="G1304" s="7713" t="s">
        <v>2209</v>
      </c>
      <c r="H1304" s="7713" t="str">
        <f t="shared" si="89"/>
        <v/>
      </c>
      <c r="I1304" s="7714">
        <v>90.0</v>
      </c>
      <c r="J1304" s="7714">
        <v>81.0</v>
      </c>
      <c r="K1304" s="7714">
        <v>105.0</v>
      </c>
      <c r="L1304" s="7714">
        <v>106.0</v>
      </c>
      <c r="M1304" s="7714">
        <v>95.0</v>
      </c>
      <c r="N1304" s="7767">
        <v>40.0</v>
      </c>
      <c r="O1304" s="7701"/>
      <c r="P1304" s="7704"/>
      <c r="Q1304" s="7704"/>
      <c r="R1304" s="7704"/>
      <c r="S1304" s="7705"/>
    </row>
    <row r="1305" ht="18.75" customHeight="1">
      <c r="A1305" s="7696"/>
      <c r="B1305" s="7718" t="s">
        <v>4217</v>
      </c>
      <c r="C1305" s="7723" t="s">
        <v>4218</v>
      </c>
      <c r="D1305" s="7720"/>
      <c r="E1305" s="7719" t="s">
        <v>2304</v>
      </c>
      <c r="F1305" s="7719" t="str">
        <f t="shared" si="88"/>
        <v/>
      </c>
      <c r="G1305" s="7719" t="s">
        <v>2243</v>
      </c>
      <c r="H1305" s="7719" t="str">
        <f t="shared" si="89"/>
        <v/>
      </c>
      <c r="I1305" s="7720">
        <v>50.0</v>
      </c>
      <c r="J1305" s="7720">
        <v>65.0</v>
      </c>
      <c r="K1305" s="7720">
        <v>45.0</v>
      </c>
      <c r="L1305" s="7720">
        <v>50.0</v>
      </c>
      <c r="M1305" s="7720">
        <v>50.0</v>
      </c>
      <c r="N1305" s="7766">
        <v>45.0</v>
      </c>
      <c r="O1305" s="7701"/>
      <c r="P1305" s="7704"/>
      <c r="Q1305" s="7704"/>
      <c r="R1305" s="7704"/>
      <c r="S1305" s="7705"/>
    </row>
    <row r="1306" ht="18.75" customHeight="1">
      <c r="A1306" s="7696"/>
      <c r="B1306" s="7712" t="s">
        <v>4219</v>
      </c>
      <c r="C1306" s="7722" t="s">
        <v>4220</v>
      </c>
      <c r="D1306" s="7714"/>
      <c r="E1306" s="7713" t="s">
        <v>2304</v>
      </c>
      <c r="F1306" s="7713" t="str">
        <f t="shared" si="88"/>
        <v/>
      </c>
      <c r="G1306" s="7713" t="s">
        <v>2243</v>
      </c>
      <c r="H1306" s="7713" t="str">
        <f t="shared" si="89"/>
        <v/>
      </c>
      <c r="I1306" s="7714">
        <v>100.0</v>
      </c>
      <c r="J1306" s="7714">
        <v>115.0</v>
      </c>
      <c r="K1306" s="7714">
        <v>65.0</v>
      </c>
      <c r="L1306" s="7714">
        <v>65.0</v>
      </c>
      <c r="M1306" s="7714">
        <v>90.0</v>
      </c>
      <c r="N1306" s="7767">
        <v>90.0</v>
      </c>
      <c r="O1306" s="7701"/>
      <c r="P1306" s="7704"/>
      <c r="Q1306" s="7704"/>
      <c r="R1306" s="7704"/>
      <c r="S1306" s="7705"/>
    </row>
    <row r="1307" ht="18.75" customHeight="1">
      <c r="A1307" s="7696"/>
      <c r="B1307" s="7718" t="s">
        <v>2151</v>
      </c>
      <c r="C1307" s="7723" t="s">
        <v>4221</v>
      </c>
      <c r="D1307" s="7720"/>
      <c r="E1307" s="7719" t="s">
        <v>2304</v>
      </c>
      <c r="F1307" s="7719" t="str">
        <f t="shared" si="88"/>
        <v/>
      </c>
      <c r="G1307" s="7719" t="s">
        <v>2243</v>
      </c>
      <c r="H1307" s="7719" t="str">
        <f t="shared" si="89"/>
        <v/>
      </c>
      <c r="I1307" s="7720">
        <v>100.0</v>
      </c>
      <c r="J1307" s="7720">
        <v>150.0</v>
      </c>
      <c r="K1307" s="7720">
        <v>80.0</v>
      </c>
      <c r="L1307" s="7720">
        <v>75.0</v>
      </c>
      <c r="M1307" s="7720">
        <v>100.0</v>
      </c>
      <c r="N1307" s="7766">
        <v>120.0</v>
      </c>
      <c r="O1307" s="7701"/>
      <c r="P1307" s="7704"/>
      <c r="Q1307" s="7704"/>
      <c r="R1307" s="7704"/>
      <c r="S1307" s="7705"/>
    </row>
    <row r="1308" ht="18.75" customHeight="1">
      <c r="A1308" s="7696"/>
      <c r="B1308" s="7712" t="s">
        <v>4222</v>
      </c>
      <c r="C1308" s="7722" t="s">
        <v>4223</v>
      </c>
      <c r="D1308" s="7714"/>
      <c r="E1308" s="7713" t="s">
        <v>2243</v>
      </c>
      <c r="F1308" s="7713" t="str">
        <f t="shared" si="88"/>
        <v/>
      </c>
      <c r="G1308" s="7713" t="s">
        <v>2227</v>
      </c>
      <c r="H1308" s="7713" t="str">
        <f t="shared" si="89"/>
        <v/>
      </c>
      <c r="I1308" s="7714">
        <v>33.0</v>
      </c>
      <c r="J1308" s="7714">
        <v>46.0</v>
      </c>
      <c r="K1308" s="7714">
        <v>40.0</v>
      </c>
      <c r="L1308" s="7714">
        <v>21.0</v>
      </c>
      <c r="M1308" s="7714">
        <v>25.0</v>
      </c>
      <c r="N1308" s="7767">
        <v>45.0</v>
      </c>
      <c r="O1308" s="7701"/>
      <c r="P1308" s="7704"/>
      <c r="Q1308" s="7704"/>
      <c r="R1308" s="7704"/>
      <c r="S1308" s="7705"/>
    </row>
    <row r="1309" ht="18.75" customHeight="1">
      <c r="A1309" s="7696"/>
      <c r="B1309" s="7718" t="s">
        <v>4224</v>
      </c>
      <c r="C1309" s="7723" t="s">
        <v>4225</v>
      </c>
      <c r="D1309" s="7720"/>
      <c r="E1309" s="7719" t="s">
        <v>2243</v>
      </c>
      <c r="F1309" s="7719" t="str">
        <f t="shared" si="88"/>
        <v/>
      </c>
      <c r="G1309" s="7719" t="s">
        <v>2227</v>
      </c>
      <c r="H1309" s="7719" t="str">
        <f t="shared" si="89"/>
        <v/>
      </c>
      <c r="I1309" s="7720">
        <v>71.0</v>
      </c>
      <c r="J1309" s="7720">
        <v>102.0</v>
      </c>
      <c r="K1309" s="7720">
        <v>78.0</v>
      </c>
      <c r="L1309" s="7720">
        <v>52.0</v>
      </c>
      <c r="M1309" s="7720">
        <v>55.0</v>
      </c>
      <c r="N1309" s="7766">
        <v>92.0</v>
      </c>
      <c r="O1309" s="7701"/>
      <c r="P1309" s="7704"/>
      <c r="Q1309" s="7704"/>
      <c r="R1309" s="7704"/>
      <c r="S1309" s="7705"/>
    </row>
    <row r="1310" ht="18.75" customHeight="1">
      <c r="A1310" s="7696"/>
      <c r="B1310" s="7736" t="s">
        <v>4226</v>
      </c>
      <c r="C1310" s="7737" t="s">
        <v>4227</v>
      </c>
      <c r="D1310" s="7738"/>
      <c r="E1310" s="7737" t="s">
        <v>2289</v>
      </c>
      <c r="F1310" s="7737" t="str">
        <f t="shared" si="88"/>
        <v/>
      </c>
      <c r="G1310" s="7737" t="s">
        <v>2227</v>
      </c>
      <c r="H1310" s="7737" t="str">
        <f t="shared" si="89"/>
        <v/>
      </c>
      <c r="I1310" s="7748">
        <v>85.0</v>
      </c>
      <c r="J1310" s="7748">
        <v>100.0</v>
      </c>
      <c r="K1310" s="7748">
        <v>74.0</v>
      </c>
      <c r="L1310" s="7748">
        <v>45.0</v>
      </c>
      <c r="M1310" s="7748">
        <v>65.0</v>
      </c>
      <c r="N1310" s="7769">
        <v>111.0</v>
      </c>
      <c r="O1310" s="7701"/>
      <c r="P1310" s="7704"/>
      <c r="Q1310" s="7704"/>
      <c r="R1310" s="7704"/>
      <c r="S1310" s="7705"/>
    </row>
    <row r="1311" ht="18.75" customHeight="1">
      <c r="A1311" s="7704"/>
      <c r="B1311" s="7729"/>
      <c r="C1311" s="7729"/>
      <c r="D1311" s="7729"/>
      <c r="E1311" s="7729"/>
      <c r="F1311" s="7729"/>
      <c r="G1311" s="7729"/>
      <c r="H1311" s="7729"/>
      <c r="I1311" s="7729"/>
      <c r="J1311" s="7729"/>
      <c r="K1311" s="7729"/>
      <c r="L1311" s="7729"/>
      <c r="M1311" s="7729"/>
      <c r="N1311" s="7729"/>
      <c r="O1311" s="7704"/>
      <c r="P1311" s="7704"/>
      <c r="Q1311" s="7704"/>
      <c r="R1311" s="7704"/>
      <c r="S1311" s="7705"/>
    </row>
    <row r="1312" ht="18.75" customHeight="1">
      <c r="A1312" s="7704"/>
      <c r="B1312" s="7729"/>
      <c r="C1312" s="7729"/>
      <c r="D1312" s="7729"/>
      <c r="E1312" s="7729"/>
      <c r="F1312" s="7729"/>
      <c r="G1312" s="7729"/>
      <c r="H1312" s="7729"/>
      <c r="I1312" s="7729"/>
      <c r="J1312" s="7729"/>
      <c r="K1312" s="7729"/>
      <c r="L1312" s="7729"/>
      <c r="M1312" s="7729"/>
      <c r="N1312" s="7729"/>
      <c r="O1312" s="7704"/>
      <c r="P1312" s="7704"/>
      <c r="Q1312" s="7704"/>
      <c r="R1312" s="7704"/>
      <c r="S1312" s="7705"/>
    </row>
    <row r="1313" ht="18.75" customHeight="1">
      <c r="A1313" s="7704"/>
      <c r="B1313" s="7729"/>
      <c r="C1313" s="7729"/>
      <c r="D1313" s="7729"/>
      <c r="E1313" s="7729"/>
      <c r="F1313" s="7729"/>
      <c r="G1313" s="7729"/>
      <c r="H1313" s="7729"/>
      <c r="I1313" s="7729"/>
      <c r="J1313" s="7729"/>
      <c r="K1313" s="7729"/>
      <c r="L1313" s="7729"/>
      <c r="M1313" s="7729"/>
      <c r="N1313" s="7729"/>
      <c r="O1313" s="7704"/>
      <c r="P1313" s="7704"/>
      <c r="Q1313" s="7704"/>
      <c r="R1313" s="7704"/>
      <c r="S1313" s="7705"/>
    </row>
    <row r="1314" ht="18.75" customHeight="1">
      <c r="A1314" s="7704"/>
      <c r="B1314" s="7729"/>
      <c r="C1314" s="7729"/>
      <c r="D1314" s="7729"/>
      <c r="E1314" s="7729"/>
      <c r="F1314" s="7729"/>
      <c r="G1314" s="7729"/>
      <c r="H1314" s="7729"/>
      <c r="I1314" s="7729"/>
      <c r="J1314" s="7729"/>
      <c r="K1314" s="7729"/>
      <c r="L1314" s="7729"/>
      <c r="M1314" s="7729"/>
      <c r="N1314" s="7729"/>
      <c r="O1314" s="7704"/>
      <c r="P1314" s="7704"/>
      <c r="Q1314" s="7704"/>
      <c r="R1314" s="7704"/>
      <c r="S1314" s="7705"/>
    </row>
    <row r="1315" ht="18.75" customHeight="1">
      <c r="A1315" s="7704"/>
      <c r="B1315" s="7729"/>
      <c r="C1315" s="7729"/>
      <c r="D1315" s="7729"/>
      <c r="E1315" s="7729"/>
      <c r="F1315" s="7729"/>
      <c r="G1315" s="7729"/>
      <c r="H1315" s="7729"/>
      <c r="I1315" s="7729"/>
      <c r="J1315" s="7729"/>
      <c r="K1315" s="7729"/>
      <c r="L1315" s="7729"/>
      <c r="M1315" s="7729"/>
      <c r="N1315" s="7729"/>
      <c r="O1315" s="7704"/>
      <c r="P1315" s="7704"/>
      <c r="Q1315" s="7704"/>
      <c r="R1315" s="7704"/>
      <c r="S1315" s="7705"/>
    </row>
    <row r="1316" ht="18.75" customHeight="1">
      <c r="A1316" s="7704"/>
      <c r="B1316" s="7729"/>
      <c r="C1316" s="7729"/>
      <c r="D1316" s="7729"/>
      <c r="E1316" s="7729"/>
      <c r="F1316" s="7729"/>
      <c r="G1316" s="7729"/>
      <c r="H1316" s="7729"/>
      <c r="I1316" s="7729"/>
      <c r="J1316" s="7729"/>
      <c r="K1316" s="7729"/>
      <c r="L1316" s="7729"/>
      <c r="M1316" s="7729"/>
      <c r="N1316" s="7729"/>
      <c r="O1316" s="7704"/>
      <c r="P1316" s="7704"/>
      <c r="Q1316" s="7704"/>
      <c r="R1316" s="7704"/>
      <c r="S1316" s="7705"/>
    </row>
    <row r="1317" ht="18.75" customHeight="1">
      <c r="A1317" s="7704"/>
      <c r="B1317" s="7729"/>
      <c r="C1317" s="7729"/>
      <c r="D1317" s="7729"/>
      <c r="E1317" s="7729"/>
      <c r="F1317" s="7729"/>
      <c r="G1317" s="7729"/>
      <c r="H1317" s="7729"/>
      <c r="I1317" s="7729"/>
      <c r="J1317" s="7729"/>
      <c r="K1317" s="7729"/>
      <c r="L1317" s="7729"/>
      <c r="M1317" s="7729"/>
      <c r="N1317" s="7729"/>
      <c r="O1317" s="7704"/>
      <c r="P1317" s="7704"/>
      <c r="Q1317" s="7704"/>
      <c r="R1317" s="7704"/>
      <c r="S1317" s="7705"/>
    </row>
    <row r="1318" ht="18.75" customHeight="1">
      <c r="A1318" s="7704"/>
      <c r="B1318" s="7729"/>
      <c r="C1318" s="7729"/>
      <c r="D1318" s="7729"/>
      <c r="E1318" s="7729"/>
      <c r="F1318" s="7729"/>
      <c r="G1318" s="7729"/>
      <c r="H1318" s="7729"/>
      <c r="I1318" s="7729"/>
      <c r="J1318" s="7729"/>
      <c r="K1318" s="7729"/>
      <c r="L1318" s="7729"/>
      <c r="M1318" s="7729"/>
      <c r="N1318" s="7729"/>
      <c r="O1318" s="7704"/>
      <c r="P1318" s="7704"/>
      <c r="Q1318" s="7704"/>
      <c r="R1318" s="7704"/>
      <c r="S1318" s="7705"/>
    </row>
    <row r="1319" ht="18.75" customHeight="1">
      <c r="A1319" s="7704"/>
      <c r="B1319" s="7729"/>
      <c r="C1319" s="7729"/>
      <c r="D1319" s="7729"/>
      <c r="E1319" s="7729"/>
      <c r="F1319" s="7729"/>
      <c r="G1319" s="7729"/>
      <c r="H1319" s="7729"/>
      <c r="I1319" s="7729"/>
      <c r="J1319" s="7729"/>
      <c r="K1319" s="7729"/>
      <c r="L1319" s="7729"/>
      <c r="M1319" s="7729"/>
      <c r="N1319" s="7729"/>
      <c r="O1319" s="7704"/>
      <c r="P1319" s="7704"/>
      <c r="Q1319" s="7704"/>
      <c r="R1319" s="7704"/>
      <c r="S1319" s="7705"/>
    </row>
    <row r="1320" ht="18.75" customHeight="1">
      <c r="A1320" s="7704"/>
      <c r="B1320" s="7729"/>
      <c r="C1320" s="7729"/>
      <c r="D1320" s="7729"/>
      <c r="E1320" s="7729"/>
      <c r="F1320" s="7729"/>
      <c r="G1320" s="7729"/>
      <c r="H1320" s="7729"/>
      <c r="I1320" s="7729"/>
      <c r="J1320" s="7729"/>
      <c r="K1320" s="7729"/>
      <c r="L1320" s="7729"/>
      <c r="M1320" s="7729"/>
      <c r="N1320" s="7729"/>
      <c r="O1320" s="7704"/>
      <c r="P1320" s="7704"/>
      <c r="Q1320" s="7704"/>
      <c r="R1320" s="7704"/>
      <c r="S1320" s="7705"/>
    </row>
    <row r="1321" ht="18.75" customHeight="1">
      <c r="A1321" s="7704"/>
      <c r="B1321" s="7729"/>
      <c r="C1321" s="7729"/>
      <c r="D1321" s="7729"/>
      <c r="E1321" s="7729"/>
      <c r="F1321" s="7729"/>
      <c r="G1321" s="7729"/>
      <c r="H1321" s="7729"/>
      <c r="I1321" s="7729"/>
      <c r="J1321" s="7729"/>
      <c r="K1321" s="7729"/>
      <c r="L1321" s="7729"/>
      <c r="M1321" s="7729"/>
      <c r="N1321" s="7729"/>
      <c r="O1321" s="7704"/>
      <c r="P1321" s="7704"/>
      <c r="Q1321" s="7704"/>
      <c r="R1321" s="7704"/>
      <c r="S1321" s="7705"/>
    </row>
    <row r="1322" ht="18.75" customHeight="1">
      <c r="A1322" s="7704"/>
      <c r="B1322" s="7729"/>
      <c r="C1322" s="7729"/>
      <c r="D1322" s="7729"/>
      <c r="E1322" s="7729"/>
      <c r="F1322" s="7729"/>
      <c r="G1322" s="7729"/>
      <c r="H1322" s="7729"/>
      <c r="I1322" s="7729"/>
      <c r="J1322" s="7729"/>
      <c r="K1322" s="7729"/>
      <c r="L1322" s="7729"/>
      <c r="M1322" s="7729"/>
      <c r="N1322" s="7729"/>
      <c r="O1322" s="7704"/>
      <c r="P1322" s="7704"/>
      <c r="Q1322" s="7704"/>
      <c r="R1322" s="7704"/>
      <c r="S1322" s="7773"/>
    </row>
  </sheetData>
  <mergeCells count="11">
    <mergeCell ref="B918:H918"/>
    <mergeCell ref="B1037:H1037"/>
    <mergeCell ref="B1158:H1158"/>
    <mergeCell ref="B1286:H1286"/>
    <mergeCell ref="B2:H2"/>
    <mergeCell ref="P2:Q2"/>
    <mergeCell ref="B218:H218"/>
    <mergeCell ref="B332:H332"/>
    <mergeCell ref="B496:H496"/>
    <mergeCell ref="B641:H641"/>
    <mergeCell ref="B826:H826"/>
  </mergeCells>
  <conditionalFormatting sqref="B3:N216 B219:N330 B333:N494 B497:N639 B642:N824 B827:N916 B919:N1035 B1038:N1156 B1159:N1284 B1287:N1310">
    <cfRule type="containsBlanks" dxfId="10" priority="1">
      <formula>LEN(TRIM(B3))=0</formula>
    </cfRule>
  </conditionalFormatting>
  <conditionalFormatting sqref="A1:N1322">
    <cfRule type="cellIs" dxfId="11" priority="2" operator="equal">
      <formula>"Grass"</formula>
    </cfRule>
  </conditionalFormatting>
  <conditionalFormatting sqref="A1:N1322">
    <cfRule type="cellIs" dxfId="12" priority="3" operator="equal">
      <formula>"Fire"</formula>
    </cfRule>
  </conditionalFormatting>
  <conditionalFormatting sqref="A1:N1322">
    <cfRule type="cellIs" dxfId="13" priority="4" operator="equal">
      <formula>"Normal"</formula>
    </cfRule>
  </conditionalFormatting>
  <conditionalFormatting sqref="A1:N1322">
    <cfRule type="cellIs" dxfId="14" priority="5" operator="equal">
      <formula>"Water"</formula>
    </cfRule>
  </conditionalFormatting>
  <conditionalFormatting sqref="A1:N1322">
    <cfRule type="cellIs" dxfId="15" priority="6" operator="equal">
      <formula>"Electric"</formula>
    </cfRule>
  </conditionalFormatting>
  <conditionalFormatting sqref="A1:N1322">
    <cfRule type="cellIs" dxfId="16" priority="7" operator="equal">
      <formula>"Ice"</formula>
    </cfRule>
  </conditionalFormatting>
  <conditionalFormatting sqref="A1:N1322">
    <cfRule type="cellIs" dxfId="17" priority="8" operator="equal">
      <formula>"Fighting"</formula>
    </cfRule>
  </conditionalFormatting>
  <conditionalFormatting sqref="A1:N1322">
    <cfRule type="cellIs" dxfId="18" priority="9" operator="equal">
      <formula>"Poison"</formula>
    </cfRule>
  </conditionalFormatting>
  <conditionalFormatting sqref="A1:N1322">
    <cfRule type="cellIs" dxfId="19" priority="10" operator="equal">
      <formula>"Ground"</formula>
    </cfRule>
  </conditionalFormatting>
  <conditionalFormatting sqref="A1:N1322">
    <cfRule type="cellIs" dxfId="20" priority="11" operator="equal">
      <formula>"Flying"</formula>
    </cfRule>
  </conditionalFormatting>
  <conditionalFormatting sqref="A1:N1322">
    <cfRule type="cellIs" dxfId="21" priority="12" operator="equal">
      <formula>"Psychic"</formula>
    </cfRule>
  </conditionalFormatting>
  <conditionalFormatting sqref="A1:N1322">
    <cfRule type="cellIs" dxfId="22" priority="13" operator="equal">
      <formula>"Bug"</formula>
    </cfRule>
  </conditionalFormatting>
  <conditionalFormatting sqref="A1:N1322">
    <cfRule type="cellIs" dxfId="23" priority="14" operator="equal">
      <formula>"Rock"</formula>
    </cfRule>
  </conditionalFormatting>
  <conditionalFormatting sqref="A1:N1322">
    <cfRule type="cellIs" dxfId="24" priority="15" operator="equal">
      <formula>"Ghost"</formula>
    </cfRule>
  </conditionalFormatting>
  <conditionalFormatting sqref="A1:N1322">
    <cfRule type="cellIs" dxfId="25" priority="16" operator="equal">
      <formula>"Dragon"</formula>
    </cfRule>
  </conditionalFormatting>
  <conditionalFormatting sqref="A1:N1322">
    <cfRule type="cellIs" dxfId="26" priority="17" operator="equal">
      <formula>"Dark"</formula>
    </cfRule>
  </conditionalFormatting>
  <conditionalFormatting sqref="A1:N1322">
    <cfRule type="cellIs" dxfId="27" priority="18" operator="equal">
      <formula>"Steel"</formula>
    </cfRule>
  </conditionalFormatting>
  <conditionalFormatting sqref="A1:N1322">
    <cfRule type="cellIs" dxfId="28" priority="19" operator="equal">
      <formula>"Fairy"</formula>
    </cfRule>
  </conditionalFormatting>
  <drawing r:id="rId1"/>
  <tableParts count="1">
    <tablePart r:id="rId3"/>
  </tableParts>
</worksheet>
</file>